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 defaultThemeVersion="166925"/>
  <xr:revisionPtr revIDLastSave="0" documentId="13_ncr:1_{7E2A4020-CB30-4688-93B4-73B34A75EB68}" xr6:coauthVersionLast="47" xr6:coauthVersionMax="47" xr10:uidLastSave="{00000000-0000-0000-0000-000000000000}"/>
  <bookViews>
    <workbookView xWindow="-108" yWindow="-108" windowWidth="23256" windowHeight="12576" tabRatio="923" xr2:uid="{00000000-000D-0000-FFFF-FFFF00000000}"/>
  </bookViews>
  <sheets>
    <sheet name="Outputs" sheetId="58" r:id="rId1"/>
    <sheet name="WP-BoGas-Colonial" sheetId="59" r:id="rId2"/>
    <sheet name="Calculation" sheetId="48" r:id="rId3"/>
    <sheet name="Labor Expenditures" sheetId="7" r:id="rId4"/>
    <sheet name="Non-Labor Expenditures" sheetId="8" r:id="rId5"/>
    <sheet name="Total Customers" sheetId="17" r:id="rId6"/>
    <sheet name="Gross Dx Plant" sheetId="14" r:id="rId7"/>
    <sheet name="Dist Plant Depreciation" sheetId="16" r:id="rId8"/>
    <sheet name="Gross Gen Plant" sheetId="15" r:id="rId9"/>
    <sheet name="Gen. Plant Depreciation" sheetId="18" r:id="rId10"/>
    <sheet name="Dist. Plant Gas Additions" sheetId="19" r:id="rId11"/>
    <sheet name="Gen. Plant Additions" sheetId="20" r:id="rId12"/>
    <sheet name="Sheet2" sheetId="61" r:id="rId13"/>
    <sheet name="Sheet4" sheetId="63" r:id="rId14"/>
    <sheet name="Sheet1" sheetId="60" r:id="rId15"/>
    <sheet name="Total Gas Plant" sheetId="49" r:id="rId16"/>
    <sheet name="Sheet3" sheetId="62" r:id="rId17"/>
    <sheet name="Sheet5" sheetId="64" r:id="rId18"/>
    <sheet name="Sheet6" sheetId="65" r:id="rId19"/>
    <sheet name="Sheet7" sheetId="66" r:id="rId20"/>
    <sheet name="PPI-Construction" sheetId="21" r:id="rId21"/>
    <sheet name="GDP-PI" sheetId="22" r:id="rId22"/>
    <sheet name="ECI - Input Price" sheetId="28" r:id="rId23"/>
    <sheet name="RoR" sheetId="53" r:id="rId24"/>
    <sheet name="HW Dx Data" sheetId="56" r:id="rId25"/>
    <sheet name="State Tax Lookup" sheetId="55" r:id="rId26"/>
    <sheet name="Delete Companies" sheetId="52" r:id="rId27"/>
  </sheets>
  <definedNames>
    <definedName name="__FDS_HYPERLINK_TOGGLE_STATE__" hidden="1">"ON"</definedName>
    <definedName name="_1E_1">#N/A</definedName>
    <definedName name="_xlnm._FilterDatabase" localSheetId="2" hidden="1">Calculation!$B$1:$EA$1351</definedName>
    <definedName name="_xlnm._FilterDatabase" localSheetId="26" hidden="1">'Delete Companies'!$A$4:$D$29</definedName>
    <definedName name="_xlnm._FilterDatabase" localSheetId="25" hidden="1">'State Tax Lookup'!$A$6:$Z$91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4" i="58" l="1"/>
  <c r="N44" i="58"/>
  <c r="M44" i="58"/>
  <c r="L44" i="58"/>
  <c r="K44" i="58"/>
  <c r="J44" i="58"/>
  <c r="I44" i="58"/>
  <c r="H22" i="58"/>
  <c r="I27" i="58" s="1"/>
  <c r="BW76" i="48" l="1"/>
  <c r="BW22" i="48"/>
  <c r="BV22" i="48"/>
  <c r="BT76" i="48"/>
  <c r="P4" i="58" l="1"/>
  <c r="Q4" i="58"/>
  <c r="W4" i="58" l="1"/>
  <c r="V4" i="58"/>
  <c r="U4" i="58"/>
  <c r="T4" i="58"/>
  <c r="S4" i="58"/>
  <c r="O21" i="58"/>
  <c r="O20" i="58"/>
  <c r="O19" i="58"/>
  <c r="O18" i="58"/>
  <c r="O17" i="58"/>
  <c r="O16" i="58"/>
  <c r="O15" i="58"/>
  <c r="O14" i="58"/>
  <c r="O13" i="58"/>
  <c r="O12" i="58"/>
  <c r="O11" i="58"/>
  <c r="O10" i="58"/>
  <c r="O9" i="58"/>
  <c r="O8" i="58"/>
  <c r="O7" i="58"/>
  <c r="O6" i="58"/>
  <c r="R4" i="58"/>
  <c r="O5" i="58"/>
  <c r="N29" i="28"/>
  <c r="N28" i="28"/>
  <c r="DG23" i="48" s="1"/>
  <c r="N21" i="28"/>
  <c r="N20" i="28"/>
  <c r="DG15" i="48" s="1"/>
  <c r="N13" i="28"/>
  <c r="DG8" i="48" s="1"/>
  <c r="M33" i="28"/>
  <c r="N33" i="28" s="1"/>
  <c r="M32" i="28"/>
  <c r="N32" i="28" s="1"/>
  <c r="DG27" i="48" s="1"/>
  <c r="M31" i="28"/>
  <c r="N31" i="28" s="1"/>
  <c r="DG26" i="48" s="1"/>
  <c r="M30" i="28"/>
  <c r="N30" i="28" s="1"/>
  <c r="DG25" i="48" s="1"/>
  <c r="M29" i="28"/>
  <c r="M28" i="28"/>
  <c r="M27" i="28"/>
  <c r="N27" i="28" s="1"/>
  <c r="DG22" i="48" s="1"/>
  <c r="M26" i="28"/>
  <c r="N26" i="28" s="1"/>
  <c r="DG21" i="48" s="1"/>
  <c r="M25" i="28"/>
  <c r="N25" i="28" s="1"/>
  <c r="DG20" i="48" s="1"/>
  <c r="M24" i="28"/>
  <c r="N24" i="28" s="1"/>
  <c r="DG19" i="48" s="1"/>
  <c r="M23" i="28"/>
  <c r="N23" i="28" s="1"/>
  <c r="DG18" i="48" s="1"/>
  <c r="M22" i="28"/>
  <c r="N22" i="28" s="1"/>
  <c r="DG17" i="48" s="1"/>
  <c r="M21" i="28"/>
  <c r="M20" i="28"/>
  <c r="M19" i="28"/>
  <c r="N19" i="28" s="1"/>
  <c r="DG14" i="48" s="1"/>
  <c r="M18" i="28"/>
  <c r="N18" i="28" s="1"/>
  <c r="DG13" i="48" s="1"/>
  <c r="M17" i="28"/>
  <c r="N17" i="28" s="1"/>
  <c r="DG12" i="48" s="1"/>
  <c r="M16" i="28"/>
  <c r="N16" i="28" s="1"/>
  <c r="DG11" i="48" s="1"/>
  <c r="M15" i="28"/>
  <c r="N15" i="28" s="1"/>
  <c r="DG10" i="48" s="1"/>
  <c r="M14" i="28"/>
  <c r="M13" i="28"/>
  <c r="H120" i="59"/>
  <c r="H112" i="59"/>
  <c r="R99" i="59"/>
  <c r="Q99" i="59"/>
  <c r="P99" i="59"/>
  <c r="R98" i="59"/>
  <c r="Q98" i="59"/>
  <c r="P98" i="59"/>
  <c r="I121" i="59" s="1"/>
  <c r="Q97" i="59"/>
  <c r="P97" i="59"/>
  <c r="Q96" i="59"/>
  <c r="R97" i="59" s="1"/>
  <c r="P96" i="59"/>
  <c r="Q95" i="59"/>
  <c r="R95" i="59" s="1"/>
  <c r="P95" i="59"/>
  <c r="Q94" i="59"/>
  <c r="R94" i="59" s="1"/>
  <c r="P94" i="59"/>
  <c r="Q93" i="59"/>
  <c r="R93" i="59" s="1"/>
  <c r="P93" i="59"/>
  <c r="Q92" i="59"/>
  <c r="R92" i="59" s="1"/>
  <c r="P92" i="59"/>
  <c r="R91" i="59"/>
  <c r="Q91" i="59"/>
  <c r="P91" i="59"/>
  <c r="R90" i="59"/>
  <c r="Q90" i="59"/>
  <c r="P90" i="59"/>
  <c r="I113" i="59" s="1"/>
  <c r="Q89" i="59"/>
  <c r="P89" i="59"/>
  <c r="Q88" i="59"/>
  <c r="R89" i="59" s="1"/>
  <c r="P88" i="59"/>
  <c r="Q87" i="59"/>
  <c r="R87" i="59" s="1"/>
  <c r="P87" i="59"/>
  <c r="Q86" i="59"/>
  <c r="R86" i="59" s="1"/>
  <c r="P86" i="59"/>
  <c r="Q85" i="59"/>
  <c r="R85" i="59" s="1"/>
  <c r="P85" i="59"/>
  <c r="Q84" i="59"/>
  <c r="R84" i="59" s="1"/>
  <c r="P84" i="59"/>
  <c r="Q83" i="59"/>
  <c r="P83" i="59"/>
  <c r="Q76" i="59"/>
  <c r="R76" i="59" s="1"/>
  <c r="P76" i="59"/>
  <c r="Q75" i="59"/>
  <c r="R75" i="59" s="1"/>
  <c r="P75" i="59"/>
  <c r="R74" i="59"/>
  <c r="Q74" i="59"/>
  <c r="P74" i="59"/>
  <c r="R73" i="59"/>
  <c r="Q73" i="59"/>
  <c r="P73" i="59"/>
  <c r="Q72" i="59"/>
  <c r="P72" i="59"/>
  <c r="Q71" i="59"/>
  <c r="R72" i="59" s="1"/>
  <c r="P71" i="59"/>
  <c r="Q70" i="59"/>
  <c r="R70" i="59" s="1"/>
  <c r="P70" i="59"/>
  <c r="Q69" i="59"/>
  <c r="R69" i="59" s="1"/>
  <c r="P69" i="59"/>
  <c r="Q68" i="59"/>
  <c r="R68" i="59" s="1"/>
  <c r="P68" i="59"/>
  <c r="Q67" i="59"/>
  <c r="R67" i="59" s="1"/>
  <c r="P67" i="59"/>
  <c r="R66" i="59"/>
  <c r="Q66" i="59"/>
  <c r="P66" i="59"/>
  <c r="R65" i="59"/>
  <c r="Q65" i="59"/>
  <c r="P65" i="59"/>
  <c r="Q64" i="59"/>
  <c r="P64" i="59"/>
  <c r="Q63" i="59"/>
  <c r="R64" i="59" s="1"/>
  <c r="P63" i="59"/>
  <c r="Q62" i="59"/>
  <c r="R62" i="59" s="1"/>
  <c r="P62" i="59"/>
  <c r="Q61" i="59"/>
  <c r="R61" i="59" s="1"/>
  <c r="P61" i="59"/>
  <c r="Q60" i="59"/>
  <c r="P60" i="59"/>
  <c r="Q56" i="59"/>
  <c r="H121" i="59" s="1"/>
  <c r="K56" i="59"/>
  <c r="L56" i="59" s="1"/>
  <c r="J56" i="59"/>
  <c r="Q55" i="59"/>
  <c r="I120" i="59" s="1"/>
  <c r="K55" i="59"/>
  <c r="J120" i="59" s="1"/>
  <c r="K120" i="59" s="1"/>
  <c r="J55" i="59"/>
  <c r="J54" i="59"/>
  <c r="K53" i="59"/>
  <c r="L53" i="59" s="1"/>
  <c r="J53" i="59"/>
  <c r="K52" i="59"/>
  <c r="Q52" i="59" s="1"/>
  <c r="J52" i="59"/>
  <c r="J51" i="59"/>
  <c r="J50" i="59"/>
  <c r="J49" i="59"/>
  <c r="Q48" i="59"/>
  <c r="H113" i="59" s="1"/>
  <c r="K48" i="59"/>
  <c r="L48" i="59" s="1"/>
  <c r="J48" i="59"/>
  <c r="Q47" i="59"/>
  <c r="I112" i="59" s="1"/>
  <c r="K47" i="59"/>
  <c r="J112" i="59" s="1"/>
  <c r="J47" i="59"/>
  <c r="J46" i="59"/>
  <c r="K45" i="59"/>
  <c r="J45" i="59"/>
  <c r="K44" i="59"/>
  <c r="Q44" i="59" s="1"/>
  <c r="J44" i="59"/>
  <c r="J43" i="59"/>
  <c r="J42" i="59"/>
  <c r="J41" i="59"/>
  <c r="K40" i="59"/>
  <c r="L40" i="59" s="1"/>
  <c r="J40" i="59"/>
  <c r="K39" i="59"/>
  <c r="L39" i="59" s="1"/>
  <c r="J39" i="59"/>
  <c r="K38" i="59"/>
  <c r="J38" i="59"/>
  <c r="J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G57" i="59" s="1"/>
  <c r="G35" i="59"/>
  <c r="Q30" i="59"/>
  <c r="R30" i="59" s="1"/>
  <c r="Q29" i="59"/>
  <c r="R29" i="59" s="1"/>
  <c r="R28" i="59"/>
  <c r="Q28" i="59"/>
  <c r="R27" i="59"/>
  <c r="Q27" i="59"/>
  <c r="Q26" i="59"/>
  <c r="K54" i="59" s="1"/>
  <c r="Q25" i="59"/>
  <c r="R26" i="59" s="1"/>
  <c r="Q24" i="59"/>
  <c r="R24" i="59" s="1"/>
  <c r="Q23" i="59"/>
  <c r="R23" i="59" s="1"/>
  <c r="Q22" i="59"/>
  <c r="K50" i="59" s="1"/>
  <c r="Q21" i="59"/>
  <c r="R21" i="59" s="1"/>
  <c r="R20" i="59"/>
  <c r="Q20" i="59"/>
  <c r="R19" i="59"/>
  <c r="Q19" i="59"/>
  <c r="Q18" i="59"/>
  <c r="K46" i="59" s="1"/>
  <c r="Q17" i="59"/>
  <c r="R18" i="59" s="1"/>
  <c r="Q16" i="59"/>
  <c r="R16" i="59" s="1"/>
  <c r="Q15" i="59"/>
  <c r="R15" i="59" s="1"/>
  <c r="Q14" i="59"/>
  <c r="R14" i="59" s="1"/>
  <c r="Q13" i="59"/>
  <c r="R13" i="59" s="1"/>
  <c r="R12" i="59"/>
  <c r="Q12" i="59"/>
  <c r="R11" i="59"/>
  <c r="Q11" i="59"/>
  <c r="Q10" i="59"/>
  <c r="Q9" i="59"/>
  <c r="K37" i="59" s="1"/>
  <c r="G9" i="59"/>
  <c r="G10" i="59" s="1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Q8" i="59"/>
  <c r="R8" i="59" s="1"/>
  <c r="G8" i="59"/>
  <c r="Q7" i="59"/>
  <c r="BQ2" i="59"/>
  <c r="BP2" i="59"/>
  <c r="BI1351" i="48"/>
  <c r="BG1351" i="48"/>
  <c r="BF1351" i="48"/>
  <c r="BE1351" i="48"/>
  <c r="BI1350" i="48"/>
  <c r="BG1350" i="48"/>
  <c r="BF1350" i="48"/>
  <c r="BE1350" i="48"/>
  <c r="BI1349" i="48"/>
  <c r="BG1349" i="48"/>
  <c r="BF1349" i="48"/>
  <c r="BE1349" i="48"/>
  <c r="BI1348" i="48"/>
  <c r="BG1348" i="48"/>
  <c r="BF1348" i="48"/>
  <c r="BE1348" i="48"/>
  <c r="BI1347" i="48"/>
  <c r="BG1347" i="48"/>
  <c r="BF1347" i="48"/>
  <c r="BE1347" i="48"/>
  <c r="BI1346" i="48"/>
  <c r="BG1346" i="48"/>
  <c r="BF1346" i="48"/>
  <c r="BE1346" i="48"/>
  <c r="BI1345" i="48"/>
  <c r="BG1345" i="48"/>
  <c r="BF1345" i="48"/>
  <c r="BE1345" i="48"/>
  <c r="BI1344" i="48"/>
  <c r="BG1344" i="48"/>
  <c r="BF1344" i="48"/>
  <c r="BE1344" i="48"/>
  <c r="BI1343" i="48"/>
  <c r="BG1343" i="48"/>
  <c r="BF1343" i="48"/>
  <c r="BE1343" i="48"/>
  <c r="BI1342" i="48"/>
  <c r="BG1342" i="48"/>
  <c r="BF1342" i="48"/>
  <c r="BE1342" i="48"/>
  <c r="BI1341" i="48"/>
  <c r="BG1341" i="48"/>
  <c r="BF1341" i="48"/>
  <c r="BE1341" i="48"/>
  <c r="BI1340" i="48"/>
  <c r="BG1340" i="48"/>
  <c r="BF1340" i="48"/>
  <c r="BE1340" i="48"/>
  <c r="BI1339" i="48"/>
  <c r="BG1339" i="48"/>
  <c r="BF1339" i="48"/>
  <c r="BE1339" i="48"/>
  <c r="BI1338" i="48"/>
  <c r="BG1338" i="48"/>
  <c r="BF1338" i="48"/>
  <c r="BE1338" i="48"/>
  <c r="BI1337" i="48"/>
  <c r="BG1337" i="48"/>
  <c r="BF1337" i="48"/>
  <c r="BE1337" i="48"/>
  <c r="BI1336" i="48"/>
  <c r="BG1336" i="48"/>
  <c r="BF1336" i="48"/>
  <c r="BE1336" i="48"/>
  <c r="BI1335" i="48"/>
  <c r="BG1335" i="48"/>
  <c r="BF1335" i="48"/>
  <c r="BE1335" i="48"/>
  <c r="BI1334" i="48"/>
  <c r="BG1334" i="48"/>
  <c r="BF1334" i="48"/>
  <c r="BE1334" i="48"/>
  <c r="BI1333" i="48"/>
  <c r="BG1333" i="48"/>
  <c r="BF1333" i="48"/>
  <c r="BE1333" i="48"/>
  <c r="BI1332" i="48"/>
  <c r="BG1332" i="48"/>
  <c r="BF1332" i="48"/>
  <c r="BE1332" i="48"/>
  <c r="BI1331" i="48"/>
  <c r="BG1331" i="48"/>
  <c r="BF1331" i="48"/>
  <c r="BE1331" i="48"/>
  <c r="BI1330" i="48"/>
  <c r="BG1330" i="48"/>
  <c r="BF1330" i="48"/>
  <c r="BE1330" i="48"/>
  <c r="BI1329" i="48"/>
  <c r="BG1329" i="48"/>
  <c r="BF1329" i="48"/>
  <c r="BE1329" i="48"/>
  <c r="BI1328" i="48"/>
  <c r="BG1328" i="48"/>
  <c r="BF1328" i="48"/>
  <c r="BE1328" i="48"/>
  <c r="BI1327" i="48"/>
  <c r="BG1327" i="48"/>
  <c r="BF1327" i="48"/>
  <c r="BE1327" i="48"/>
  <c r="BI1326" i="48"/>
  <c r="BG1326" i="48"/>
  <c r="BF1326" i="48"/>
  <c r="BE1326" i="48"/>
  <c r="BI1325" i="48"/>
  <c r="BG1325" i="48"/>
  <c r="BF1325" i="48"/>
  <c r="BE1325" i="48"/>
  <c r="BI1324" i="48"/>
  <c r="BG1324" i="48"/>
  <c r="BF1324" i="48"/>
  <c r="BE1324" i="48"/>
  <c r="BI1323" i="48"/>
  <c r="BG1323" i="48"/>
  <c r="BF1323" i="48"/>
  <c r="BE1323" i="48"/>
  <c r="BI1322" i="48"/>
  <c r="BG1322" i="48"/>
  <c r="BF1322" i="48"/>
  <c r="BE1322" i="48"/>
  <c r="BI1321" i="48"/>
  <c r="BG1321" i="48"/>
  <c r="BF1321" i="48"/>
  <c r="BE1321" i="48"/>
  <c r="BI1320" i="48"/>
  <c r="BG1320" i="48"/>
  <c r="BF1320" i="48"/>
  <c r="BE1320" i="48"/>
  <c r="BI1319" i="48"/>
  <c r="BG1319" i="48"/>
  <c r="BF1319" i="48"/>
  <c r="BE1319" i="48"/>
  <c r="BI1318" i="48"/>
  <c r="BG1318" i="48"/>
  <c r="BF1318" i="48"/>
  <c r="BE1318" i="48"/>
  <c r="BI1317" i="48"/>
  <c r="BG1317" i="48"/>
  <c r="BF1317" i="48"/>
  <c r="BE1317" i="48"/>
  <c r="BI1316" i="48"/>
  <c r="BG1316" i="48"/>
  <c r="BF1316" i="48"/>
  <c r="BE1316" i="48"/>
  <c r="BI1315" i="48"/>
  <c r="BG1315" i="48"/>
  <c r="BF1315" i="48"/>
  <c r="BE1315" i="48"/>
  <c r="BI1314" i="48"/>
  <c r="BG1314" i="48"/>
  <c r="BF1314" i="48"/>
  <c r="BE1314" i="48"/>
  <c r="BI1313" i="48"/>
  <c r="BG1313" i="48"/>
  <c r="BF1313" i="48"/>
  <c r="BE1313" i="48"/>
  <c r="BI1312" i="48"/>
  <c r="BG1312" i="48"/>
  <c r="BF1312" i="48"/>
  <c r="BE1312" i="48"/>
  <c r="BI1311" i="48"/>
  <c r="BG1311" i="48"/>
  <c r="BF1311" i="48"/>
  <c r="BE1311" i="48"/>
  <c r="BI1310" i="48"/>
  <c r="BG1310" i="48"/>
  <c r="BF1310" i="48"/>
  <c r="BE1310" i="48"/>
  <c r="BI1309" i="48"/>
  <c r="BG1309" i="48"/>
  <c r="BF1309" i="48"/>
  <c r="BE1309" i="48"/>
  <c r="BI1308" i="48"/>
  <c r="BG1308" i="48"/>
  <c r="BF1308" i="48"/>
  <c r="BE1308" i="48"/>
  <c r="BI1307" i="48"/>
  <c r="BG1307" i="48"/>
  <c r="BF1307" i="48"/>
  <c r="BE1307" i="48"/>
  <c r="BI1306" i="48"/>
  <c r="BG1306" i="48"/>
  <c r="BF1306" i="48"/>
  <c r="BE1306" i="48"/>
  <c r="BI1305" i="48"/>
  <c r="BG1305" i="48"/>
  <c r="BF1305" i="48"/>
  <c r="BE1305" i="48"/>
  <c r="BI1304" i="48"/>
  <c r="BG1304" i="48"/>
  <c r="BF1304" i="48"/>
  <c r="BE1304" i="48"/>
  <c r="BI1303" i="48"/>
  <c r="BG1303" i="48"/>
  <c r="BF1303" i="48"/>
  <c r="BE1303" i="48"/>
  <c r="BI1302" i="48"/>
  <c r="BG1302" i="48"/>
  <c r="BF1302" i="48"/>
  <c r="BE1302" i="48"/>
  <c r="BI1301" i="48"/>
  <c r="BG1301" i="48"/>
  <c r="BF1301" i="48"/>
  <c r="BE1301" i="48"/>
  <c r="BI1300" i="48"/>
  <c r="BG1300" i="48"/>
  <c r="BF1300" i="48"/>
  <c r="BE1300" i="48"/>
  <c r="BI1299" i="48"/>
  <c r="BG1299" i="48"/>
  <c r="BF1299" i="48"/>
  <c r="BE1299" i="48"/>
  <c r="BI1298" i="48"/>
  <c r="BG1298" i="48"/>
  <c r="BF1298" i="48"/>
  <c r="BE1298" i="48"/>
  <c r="BI1297" i="48"/>
  <c r="BG1297" i="48"/>
  <c r="BF1297" i="48"/>
  <c r="BE1297" i="48"/>
  <c r="BI1296" i="48"/>
  <c r="BG1296" i="48"/>
  <c r="BF1296" i="48"/>
  <c r="BE1296" i="48"/>
  <c r="BI1295" i="48"/>
  <c r="BG1295" i="48"/>
  <c r="BF1295" i="48"/>
  <c r="BE1295" i="48"/>
  <c r="BI1294" i="48"/>
  <c r="BG1294" i="48"/>
  <c r="BF1294" i="48"/>
  <c r="BE1294" i="48"/>
  <c r="BI1293" i="48"/>
  <c r="BG1293" i="48"/>
  <c r="BF1293" i="48"/>
  <c r="BE1293" i="48"/>
  <c r="BI1292" i="48"/>
  <c r="BG1292" i="48"/>
  <c r="BF1292" i="48"/>
  <c r="BE1292" i="48"/>
  <c r="BI1291" i="48"/>
  <c r="BG1291" i="48"/>
  <c r="BF1291" i="48"/>
  <c r="BE1291" i="48"/>
  <c r="BI1290" i="48"/>
  <c r="BG1290" i="48"/>
  <c r="BF1290" i="48"/>
  <c r="BE1290" i="48"/>
  <c r="BI1289" i="48"/>
  <c r="BG1289" i="48"/>
  <c r="BF1289" i="48"/>
  <c r="BE1289" i="48"/>
  <c r="BI1288" i="48"/>
  <c r="BG1288" i="48"/>
  <c r="BF1288" i="48"/>
  <c r="BE1288" i="48"/>
  <c r="BI1287" i="48"/>
  <c r="BG1287" i="48"/>
  <c r="BF1287" i="48"/>
  <c r="BE1287" i="48"/>
  <c r="BI1286" i="48"/>
  <c r="BG1286" i="48"/>
  <c r="BF1286" i="48"/>
  <c r="BE1286" i="48"/>
  <c r="BI1285" i="48"/>
  <c r="BG1285" i="48"/>
  <c r="BF1285" i="48"/>
  <c r="BE1285" i="48"/>
  <c r="BI1284" i="48"/>
  <c r="BG1284" i="48"/>
  <c r="BF1284" i="48"/>
  <c r="BE1284" i="48"/>
  <c r="BI1283" i="48"/>
  <c r="BG1283" i="48"/>
  <c r="BF1283" i="48"/>
  <c r="BE1283" i="48"/>
  <c r="BI1282" i="48"/>
  <c r="BG1282" i="48"/>
  <c r="BF1282" i="48"/>
  <c r="BE1282" i="48"/>
  <c r="BI1281" i="48"/>
  <c r="BG1281" i="48"/>
  <c r="BF1281" i="48"/>
  <c r="BE1281" i="48"/>
  <c r="BI1280" i="48"/>
  <c r="BG1280" i="48"/>
  <c r="BF1280" i="48"/>
  <c r="BE1280" i="48"/>
  <c r="BI1279" i="48"/>
  <c r="BG1279" i="48"/>
  <c r="BF1279" i="48"/>
  <c r="BE1279" i="48"/>
  <c r="BI1278" i="48"/>
  <c r="BG1278" i="48"/>
  <c r="BF1278" i="48"/>
  <c r="BE1278" i="48"/>
  <c r="BI1277" i="48"/>
  <c r="BG1277" i="48"/>
  <c r="BF1277" i="48"/>
  <c r="BE1277" i="48"/>
  <c r="BI1276" i="48"/>
  <c r="BG1276" i="48"/>
  <c r="BF1276" i="48"/>
  <c r="BE1276" i="48"/>
  <c r="BI1275" i="48"/>
  <c r="BG1275" i="48"/>
  <c r="BF1275" i="48"/>
  <c r="BE1275" i="48"/>
  <c r="BI1274" i="48"/>
  <c r="BG1274" i="48"/>
  <c r="BF1274" i="48"/>
  <c r="BE1274" i="48"/>
  <c r="BI1273" i="48"/>
  <c r="BG1273" i="48"/>
  <c r="BF1273" i="48"/>
  <c r="BE1273" i="48"/>
  <c r="BI1272" i="48"/>
  <c r="BG1272" i="48"/>
  <c r="BF1272" i="48"/>
  <c r="BE1272" i="48"/>
  <c r="BI1271" i="48"/>
  <c r="BG1271" i="48"/>
  <c r="BF1271" i="48"/>
  <c r="BE1271" i="48"/>
  <c r="BI1270" i="48"/>
  <c r="BG1270" i="48"/>
  <c r="BF1270" i="48"/>
  <c r="BE1270" i="48"/>
  <c r="BI1269" i="48"/>
  <c r="BG1269" i="48"/>
  <c r="BF1269" i="48"/>
  <c r="BE1269" i="48"/>
  <c r="BI1268" i="48"/>
  <c r="BG1268" i="48"/>
  <c r="BF1268" i="48"/>
  <c r="BE1268" i="48"/>
  <c r="BI1267" i="48"/>
  <c r="BG1267" i="48"/>
  <c r="BF1267" i="48"/>
  <c r="BE1267" i="48"/>
  <c r="BI1266" i="48"/>
  <c r="BG1266" i="48"/>
  <c r="BF1266" i="48"/>
  <c r="BE1266" i="48"/>
  <c r="BI1265" i="48"/>
  <c r="BG1265" i="48"/>
  <c r="BF1265" i="48"/>
  <c r="BE1265" i="48"/>
  <c r="BI1264" i="48"/>
  <c r="BG1264" i="48"/>
  <c r="BF1264" i="48"/>
  <c r="BE1264" i="48"/>
  <c r="BI1263" i="48"/>
  <c r="BG1263" i="48"/>
  <c r="BF1263" i="48"/>
  <c r="BE1263" i="48"/>
  <c r="BI1262" i="48"/>
  <c r="BG1262" i="48"/>
  <c r="BF1262" i="48"/>
  <c r="BE1262" i="48"/>
  <c r="BI1261" i="48"/>
  <c r="BG1261" i="48"/>
  <c r="BF1261" i="48"/>
  <c r="BE1261" i="48"/>
  <c r="BI1260" i="48"/>
  <c r="BG1260" i="48"/>
  <c r="BF1260" i="48"/>
  <c r="BE1260" i="48"/>
  <c r="BI1259" i="48"/>
  <c r="BG1259" i="48"/>
  <c r="BF1259" i="48"/>
  <c r="BE1259" i="48"/>
  <c r="BI1258" i="48"/>
  <c r="BG1258" i="48"/>
  <c r="BF1258" i="48"/>
  <c r="BE1258" i="48"/>
  <c r="BI1257" i="48"/>
  <c r="BG1257" i="48"/>
  <c r="BF1257" i="48"/>
  <c r="BE1257" i="48"/>
  <c r="BI1256" i="48"/>
  <c r="BG1256" i="48"/>
  <c r="BF1256" i="48"/>
  <c r="BE1256" i="48"/>
  <c r="BI1255" i="48"/>
  <c r="BG1255" i="48"/>
  <c r="BF1255" i="48"/>
  <c r="BE1255" i="48"/>
  <c r="BI1254" i="48"/>
  <c r="BG1254" i="48"/>
  <c r="BF1254" i="48"/>
  <c r="BE1254" i="48"/>
  <c r="BI1253" i="48"/>
  <c r="BG1253" i="48"/>
  <c r="BF1253" i="48"/>
  <c r="BE1253" i="48"/>
  <c r="BI1252" i="48"/>
  <c r="BG1252" i="48"/>
  <c r="BF1252" i="48"/>
  <c r="BE1252" i="48"/>
  <c r="BI1251" i="48"/>
  <c r="BG1251" i="48"/>
  <c r="BF1251" i="48"/>
  <c r="BE1251" i="48"/>
  <c r="BI1250" i="48"/>
  <c r="BG1250" i="48"/>
  <c r="BF1250" i="48"/>
  <c r="BE1250" i="48"/>
  <c r="BI1249" i="48"/>
  <c r="BG1249" i="48"/>
  <c r="BF1249" i="48"/>
  <c r="BE1249" i="48"/>
  <c r="BI1248" i="48"/>
  <c r="BG1248" i="48"/>
  <c r="BF1248" i="48"/>
  <c r="BE1248" i="48"/>
  <c r="BI1247" i="48"/>
  <c r="BG1247" i="48"/>
  <c r="BF1247" i="48"/>
  <c r="BE1247" i="48"/>
  <c r="BI1246" i="48"/>
  <c r="BG1246" i="48"/>
  <c r="BF1246" i="48"/>
  <c r="BE1246" i="48"/>
  <c r="BI1245" i="48"/>
  <c r="BG1245" i="48"/>
  <c r="BF1245" i="48"/>
  <c r="BE1245" i="48"/>
  <c r="BI1244" i="48"/>
  <c r="BG1244" i="48"/>
  <c r="BF1244" i="48"/>
  <c r="BE1244" i="48"/>
  <c r="BI1243" i="48"/>
  <c r="BG1243" i="48"/>
  <c r="BF1243" i="48"/>
  <c r="BE1243" i="48"/>
  <c r="BI1242" i="48"/>
  <c r="BG1242" i="48"/>
  <c r="BF1242" i="48"/>
  <c r="BE1242" i="48"/>
  <c r="BI1241" i="48"/>
  <c r="BG1241" i="48"/>
  <c r="BF1241" i="48"/>
  <c r="BE1241" i="48"/>
  <c r="BI1240" i="48"/>
  <c r="BG1240" i="48"/>
  <c r="BF1240" i="48"/>
  <c r="BE1240" i="48"/>
  <c r="BI1239" i="48"/>
  <c r="BG1239" i="48"/>
  <c r="BF1239" i="48"/>
  <c r="BE1239" i="48"/>
  <c r="BI1238" i="48"/>
  <c r="BG1238" i="48"/>
  <c r="BF1238" i="48"/>
  <c r="BE1238" i="48"/>
  <c r="BI1237" i="48"/>
  <c r="BG1237" i="48"/>
  <c r="BF1237" i="48"/>
  <c r="BE1237" i="48"/>
  <c r="BI1236" i="48"/>
  <c r="BG1236" i="48"/>
  <c r="BF1236" i="48"/>
  <c r="BE1236" i="48"/>
  <c r="BI1235" i="48"/>
  <c r="BG1235" i="48"/>
  <c r="BF1235" i="48"/>
  <c r="BE1235" i="48"/>
  <c r="BI1234" i="48"/>
  <c r="BG1234" i="48"/>
  <c r="BF1234" i="48"/>
  <c r="BE1234" i="48"/>
  <c r="BI1233" i="48"/>
  <c r="BG1233" i="48"/>
  <c r="BF1233" i="48"/>
  <c r="BE1233" i="48"/>
  <c r="BI1232" i="48"/>
  <c r="BG1232" i="48"/>
  <c r="BF1232" i="48"/>
  <c r="BE1232" i="48"/>
  <c r="BI1231" i="48"/>
  <c r="BG1231" i="48"/>
  <c r="BF1231" i="48"/>
  <c r="BE1231" i="48"/>
  <c r="BI1230" i="48"/>
  <c r="BG1230" i="48"/>
  <c r="BF1230" i="48"/>
  <c r="BE1230" i="48"/>
  <c r="BI1229" i="48"/>
  <c r="BG1229" i="48"/>
  <c r="BF1229" i="48"/>
  <c r="BE1229" i="48"/>
  <c r="BI1228" i="48"/>
  <c r="BG1228" i="48"/>
  <c r="BF1228" i="48"/>
  <c r="BE1228" i="48"/>
  <c r="BI1227" i="48"/>
  <c r="BG1227" i="48"/>
  <c r="BF1227" i="48"/>
  <c r="BE1227" i="48"/>
  <c r="BI1226" i="48"/>
  <c r="BG1226" i="48"/>
  <c r="BF1226" i="48"/>
  <c r="BE1226" i="48"/>
  <c r="BI1225" i="48"/>
  <c r="BG1225" i="48"/>
  <c r="BF1225" i="48"/>
  <c r="BE1225" i="48"/>
  <c r="BI1224" i="48"/>
  <c r="BG1224" i="48"/>
  <c r="BF1224" i="48"/>
  <c r="BE1224" i="48"/>
  <c r="BI1223" i="48"/>
  <c r="BG1223" i="48"/>
  <c r="BF1223" i="48"/>
  <c r="BE1223" i="48"/>
  <c r="BI1222" i="48"/>
  <c r="BG1222" i="48"/>
  <c r="BF1222" i="48"/>
  <c r="BE1222" i="48"/>
  <c r="BI1221" i="48"/>
  <c r="BG1221" i="48"/>
  <c r="BF1221" i="48"/>
  <c r="BE1221" i="48"/>
  <c r="BI1220" i="48"/>
  <c r="BG1220" i="48"/>
  <c r="BF1220" i="48"/>
  <c r="BE1220" i="48"/>
  <c r="BI1219" i="48"/>
  <c r="BG1219" i="48"/>
  <c r="BF1219" i="48"/>
  <c r="BE1219" i="48"/>
  <c r="BI1218" i="48"/>
  <c r="BG1218" i="48"/>
  <c r="BF1218" i="48"/>
  <c r="BE1218" i="48"/>
  <c r="BI1217" i="48"/>
  <c r="BG1217" i="48"/>
  <c r="BF1217" i="48"/>
  <c r="BE1217" i="48"/>
  <c r="BI1216" i="48"/>
  <c r="BG1216" i="48"/>
  <c r="BF1216" i="48"/>
  <c r="BE1216" i="48"/>
  <c r="BI1215" i="48"/>
  <c r="BG1215" i="48"/>
  <c r="BF1215" i="48"/>
  <c r="BE1215" i="48"/>
  <c r="BI1214" i="48"/>
  <c r="BG1214" i="48"/>
  <c r="BF1214" i="48"/>
  <c r="BE1214" i="48"/>
  <c r="BI1213" i="48"/>
  <c r="BG1213" i="48"/>
  <c r="BF1213" i="48"/>
  <c r="BE1213" i="48"/>
  <c r="BI1212" i="48"/>
  <c r="BG1212" i="48"/>
  <c r="BF1212" i="48"/>
  <c r="BE1212" i="48"/>
  <c r="BI1211" i="48"/>
  <c r="BG1211" i="48"/>
  <c r="BF1211" i="48"/>
  <c r="BE1211" i="48"/>
  <c r="BI1210" i="48"/>
  <c r="BG1210" i="48"/>
  <c r="BF1210" i="48"/>
  <c r="BE1210" i="48"/>
  <c r="BI1209" i="48"/>
  <c r="BG1209" i="48"/>
  <c r="BF1209" i="48"/>
  <c r="BE1209" i="48"/>
  <c r="BI1208" i="48"/>
  <c r="BG1208" i="48"/>
  <c r="BF1208" i="48"/>
  <c r="BE1208" i="48"/>
  <c r="BI1207" i="48"/>
  <c r="BG1207" i="48"/>
  <c r="BF1207" i="48"/>
  <c r="BE1207" i="48"/>
  <c r="BI1206" i="48"/>
  <c r="BG1206" i="48"/>
  <c r="BF1206" i="48"/>
  <c r="BE1206" i="48"/>
  <c r="BI1205" i="48"/>
  <c r="BG1205" i="48"/>
  <c r="BF1205" i="48"/>
  <c r="BE1205" i="48"/>
  <c r="BI1204" i="48"/>
  <c r="BG1204" i="48"/>
  <c r="BF1204" i="48"/>
  <c r="BE1204" i="48"/>
  <c r="BI1203" i="48"/>
  <c r="BG1203" i="48"/>
  <c r="BF1203" i="48"/>
  <c r="BE1203" i="48"/>
  <c r="BI1202" i="48"/>
  <c r="BG1202" i="48"/>
  <c r="BF1202" i="48"/>
  <c r="BE1202" i="48"/>
  <c r="BI1201" i="48"/>
  <c r="BG1201" i="48"/>
  <c r="BF1201" i="48"/>
  <c r="BE1201" i="48"/>
  <c r="BI1200" i="48"/>
  <c r="BG1200" i="48"/>
  <c r="BF1200" i="48"/>
  <c r="BE1200" i="48"/>
  <c r="BI1199" i="48"/>
  <c r="BG1199" i="48"/>
  <c r="BF1199" i="48"/>
  <c r="BE1199" i="48"/>
  <c r="BI1198" i="48"/>
  <c r="BG1198" i="48"/>
  <c r="BF1198" i="48"/>
  <c r="BE1198" i="48"/>
  <c r="BI1197" i="48"/>
  <c r="BG1197" i="48"/>
  <c r="BF1197" i="48"/>
  <c r="BE1197" i="48"/>
  <c r="BI1196" i="48"/>
  <c r="BG1196" i="48"/>
  <c r="BF1196" i="48"/>
  <c r="BE1196" i="48"/>
  <c r="BI1195" i="48"/>
  <c r="BG1195" i="48"/>
  <c r="BF1195" i="48"/>
  <c r="BE1195" i="48"/>
  <c r="BI1194" i="48"/>
  <c r="BG1194" i="48"/>
  <c r="BF1194" i="48"/>
  <c r="BE1194" i="48"/>
  <c r="BI1193" i="48"/>
  <c r="BG1193" i="48"/>
  <c r="BF1193" i="48"/>
  <c r="BE1193" i="48"/>
  <c r="BI1192" i="48"/>
  <c r="BG1192" i="48"/>
  <c r="BF1192" i="48"/>
  <c r="BE1192" i="48"/>
  <c r="BI1191" i="48"/>
  <c r="BG1191" i="48"/>
  <c r="BF1191" i="48"/>
  <c r="BE1191" i="48"/>
  <c r="BI1190" i="48"/>
  <c r="BG1190" i="48"/>
  <c r="BF1190" i="48"/>
  <c r="BE1190" i="48"/>
  <c r="BI1189" i="48"/>
  <c r="BG1189" i="48"/>
  <c r="BF1189" i="48"/>
  <c r="BE1189" i="48"/>
  <c r="BI1188" i="48"/>
  <c r="BG1188" i="48"/>
  <c r="BF1188" i="48"/>
  <c r="BE1188" i="48"/>
  <c r="BI1187" i="48"/>
  <c r="BG1187" i="48"/>
  <c r="BF1187" i="48"/>
  <c r="BE1187" i="48"/>
  <c r="BI1186" i="48"/>
  <c r="BG1186" i="48"/>
  <c r="BF1186" i="48"/>
  <c r="BE1186" i="48"/>
  <c r="BI1185" i="48"/>
  <c r="BG1185" i="48"/>
  <c r="BF1185" i="48"/>
  <c r="BE1185" i="48"/>
  <c r="BI1184" i="48"/>
  <c r="BG1184" i="48"/>
  <c r="BF1184" i="48"/>
  <c r="BE1184" i="48"/>
  <c r="BI1183" i="48"/>
  <c r="BG1183" i="48"/>
  <c r="BF1183" i="48"/>
  <c r="BE1183" i="48"/>
  <c r="BI1182" i="48"/>
  <c r="BG1182" i="48"/>
  <c r="BF1182" i="48"/>
  <c r="BE1182" i="48"/>
  <c r="BI1181" i="48"/>
  <c r="BG1181" i="48"/>
  <c r="BF1181" i="48"/>
  <c r="BE1181" i="48"/>
  <c r="BI1180" i="48"/>
  <c r="BG1180" i="48"/>
  <c r="BF1180" i="48"/>
  <c r="BE1180" i="48"/>
  <c r="BI1179" i="48"/>
  <c r="BG1179" i="48"/>
  <c r="BF1179" i="48"/>
  <c r="BE1179" i="48"/>
  <c r="BI1178" i="48"/>
  <c r="BG1178" i="48"/>
  <c r="BF1178" i="48"/>
  <c r="BE1178" i="48"/>
  <c r="BI1177" i="48"/>
  <c r="BG1177" i="48"/>
  <c r="BF1177" i="48"/>
  <c r="BE1177" i="48"/>
  <c r="BI1176" i="48"/>
  <c r="BG1176" i="48"/>
  <c r="BF1176" i="48"/>
  <c r="BE1176" i="48"/>
  <c r="BI1175" i="48"/>
  <c r="BG1175" i="48"/>
  <c r="BF1175" i="48"/>
  <c r="BE1175" i="48"/>
  <c r="BI1174" i="48"/>
  <c r="BG1174" i="48"/>
  <c r="BF1174" i="48"/>
  <c r="BE1174" i="48"/>
  <c r="BI1173" i="48"/>
  <c r="BG1173" i="48"/>
  <c r="BF1173" i="48"/>
  <c r="BE1173" i="48"/>
  <c r="BI1172" i="48"/>
  <c r="BG1172" i="48"/>
  <c r="BF1172" i="48"/>
  <c r="BE1172" i="48"/>
  <c r="BI1171" i="48"/>
  <c r="BG1171" i="48"/>
  <c r="BF1171" i="48"/>
  <c r="BE1171" i="48"/>
  <c r="BI1170" i="48"/>
  <c r="BG1170" i="48"/>
  <c r="BF1170" i="48"/>
  <c r="BE1170" i="48"/>
  <c r="BI1169" i="48"/>
  <c r="BG1169" i="48"/>
  <c r="BF1169" i="48"/>
  <c r="BE1169" i="48"/>
  <c r="BI1168" i="48"/>
  <c r="BG1168" i="48"/>
  <c r="BF1168" i="48"/>
  <c r="BE1168" i="48"/>
  <c r="BI1167" i="48"/>
  <c r="BG1167" i="48"/>
  <c r="BF1167" i="48"/>
  <c r="BE1167" i="48"/>
  <c r="BI1166" i="48"/>
  <c r="BG1166" i="48"/>
  <c r="BF1166" i="48"/>
  <c r="BE1166" i="48"/>
  <c r="BI1165" i="48"/>
  <c r="BG1165" i="48"/>
  <c r="BF1165" i="48"/>
  <c r="BE1165" i="48"/>
  <c r="BI1164" i="48"/>
  <c r="BG1164" i="48"/>
  <c r="BF1164" i="48"/>
  <c r="BE1164" i="48"/>
  <c r="BI1163" i="48"/>
  <c r="BG1163" i="48"/>
  <c r="BF1163" i="48"/>
  <c r="BE1163" i="48"/>
  <c r="BI1162" i="48"/>
  <c r="BG1162" i="48"/>
  <c r="BF1162" i="48"/>
  <c r="BE1162" i="48"/>
  <c r="BI1161" i="48"/>
  <c r="BG1161" i="48"/>
  <c r="BF1161" i="48"/>
  <c r="BE1161" i="48"/>
  <c r="BI1160" i="48"/>
  <c r="BG1160" i="48"/>
  <c r="BF1160" i="48"/>
  <c r="BE1160" i="48"/>
  <c r="BI1159" i="48"/>
  <c r="BG1159" i="48"/>
  <c r="BF1159" i="48"/>
  <c r="BE1159" i="48"/>
  <c r="BI1158" i="48"/>
  <c r="BG1158" i="48"/>
  <c r="BF1158" i="48"/>
  <c r="BE1158" i="48"/>
  <c r="BI1157" i="48"/>
  <c r="BG1157" i="48"/>
  <c r="BF1157" i="48"/>
  <c r="BE1157" i="48"/>
  <c r="BI1156" i="48"/>
  <c r="BG1156" i="48"/>
  <c r="BF1156" i="48"/>
  <c r="BE1156" i="48"/>
  <c r="BI1155" i="48"/>
  <c r="BG1155" i="48"/>
  <c r="BF1155" i="48"/>
  <c r="BE1155" i="48"/>
  <c r="BI1154" i="48"/>
  <c r="BG1154" i="48"/>
  <c r="BF1154" i="48"/>
  <c r="BE1154" i="48"/>
  <c r="BI1153" i="48"/>
  <c r="BG1153" i="48"/>
  <c r="BF1153" i="48"/>
  <c r="BE1153" i="48"/>
  <c r="BI1152" i="48"/>
  <c r="BG1152" i="48"/>
  <c r="BF1152" i="48"/>
  <c r="BE1152" i="48"/>
  <c r="BI1151" i="48"/>
  <c r="BG1151" i="48"/>
  <c r="BF1151" i="48"/>
  <c r="BE1151" i="48"/>
  <c r="BI1150" i="48"/>
  <c r="BG1150" i="48"/>
  <c r="BF1150" i="48"/>
  <c r="BE1150" i="48"/>
  <c r="BI1149" i="48"/>
  <c r="BG1149" i="48"/>
  <c r="BF1149" i="48"/>
  <c r="BE1149" i="48"/>
  <c r="BI1148" i="48"/>
  <c r="BG1148" i="48"/>
  <c r="BF1148" i="48"/>
  <c r="BE1148" i="48"/>
  <c r="BI1147" i="48"/>
  <c r="BG1147" i="48"/>
  <c r="BF1147" i="48"/>
  <c r="BE1147" i="48"/>
  <c r="BI1146" i="48"/>
  <c r="BG1146" i="48"/>
  <c r="BF1146" i="48"/>
  <c r="BE1146" i="48"/>
  <c r="BI1145" i="48"/>
  <c r="BG1145" i="48"/>
  <c r="BF1145" i="48"/>
  <c r="BE1145" i="48"/>
  <c r="BI1144" i="48"/>
  <c r="BG1144" i="48"/>
  <c r="BF1144" i="48"/>
  <c r="BE1144" i="48"/>
  <c r="BI1143" i="48"/>
  <c r="BG1143" i="48"/>
  <c r="BF1143" i="48"/>
  <c r="BE1143" i="48"/>
  <c r="BI1142" i="48"/>
  <c r="BG1142" i="48"/>
  <c r="BF1142" i="48"/>
  <c r="BE1142" i="48"/>
  <c r="BI1141" i="48"/>
  <c r="BG1141" i="48"/>
  <c r="BF1141" i="48"/>
  <c r="BE1141" i="48"/>
  <c r="BI1140" i="48"/>
  <c r="BG1140" i="48"/>
  <c r="BF1140" i="48"/>
  <c r="BE1140" i="48"/>
  <c r="BI1139" i="48"/>
  <c r="BG1139" i="48"/>
  <c r="BF1139" i="48"/>
  <c r="BE1139" i="48"/>
  <c r="BI1138" i="48"/>
  <c r="BG1138" i="48"/>
  <c r="BF1138" i="48"/>
  <c r="BE1138" i="48"/>
  <c r="BI1137" i="48"/>
  <c r="BG1137" i="48"/>
  <c r="BF1137" i="48"/>
  <c r="BE1137" i="48"/>
  <c r="BI1136" i="48"/>
  <c r="BG1136" i="48"/>
  <c r="BF1136" i="48"/>
  <c r="BE1136" i="48"/>
  <c r="BI1135" i="48"/>
  <c r="BG1135" i="48"/>
  <c r="BF1135" i="48"/>
  <c r="BE1135" i="48"/>
  <c r="BI1134" i="48"/>
  <c r="BG1134" i="48"/>
  <c r="BF1134" i="48"/>
  <c r="BE1134" i="48"/>
  <c r="BI1133" i="48"/>
  <c r="BG1133" i="48"/>
  <c r="BF1133" i="48"/>
  <c r="BE1133" i="48"/>
  <c r="BI1132" i="48"/>
  <c r="BG1132" i="48"/>
  <c r="BF1132" i="48"/>
  <c r="BE1132" i="48"/>
  <c r="BI1131" i="48"/>
  <c r="BG1131" i="48"/>
  <c r="BF1131" i="48"/>
  <c r="BE1131" i="48"/>
  <c r="BI1130" i="48"/>
  <c r="BG1130" i="48"/>
  <c r="BF1130" i="48"/>
  <c r="BE1130" i="48"/>
  <c r="BI1129" i="48"/>
  <c r="BG1129" i="48"/>
  <c r="BF1129" i="48"/>
  <c r="BE1129" i="48"/>
  <c r="BI1128" i="48"/>
  <c r="BG1128" i="48"/>
  <c r="BF1128" i="48"/>
  <c r="BE1128" i="48"/>
  <c r="BI1127" i="48"/>
  <c r="BG1127" i="48"/>
  <c r="BF1127" i="48"/>
  <c r="BE1127" i="48"/>
  <c r="BI1126" i="48"/>
  <c r="BG1126" i="48"/>
  <c r="BF1126" i="48"/>
  <c r="BE1126" i="48"/>
  <c r="BI1125" i="48"/>
  <c r="BG1125" i="48"/>
  <c r="BF1125" i="48"/>
  <c r="BE1125" i="48"/>
  <c r="BI1124" i="48"/>
  <c r="BG1124" i="48"/>
  <c r="BF1124" i="48"/>
  <c r="BE1124" i="48"/>
  <c r="BI1123" i="48"/>
  <c r="BG1123" i="48"/>
  <c r="BF1123" i="48"/>
  <c r="BE1123" i="48"/>
  <c r="BI1122" i="48"/>
  <c r="BG1122" i="48"/>
  <c r="BF1122" i="48"/>
  <c r="BE1122" i="48"/>
  <c r="BI1121" i="48"/>
  <c r="BG1121" i="48"/>
  <c r="BF1121" i="48"/>
  <c r="BE1121" i="48"/>
  <c r="BI1120" i="48"/>
  <c r="BG1120" i="48"/>
  <c r="BF1120" i="48"/>
  <c r="BE1120" i="48"/>
  <c r="BI1119" i="48"/>
  <c r="BG1119" i="48"/>
  <c r="BF1119" i="48"/>
  <c r="BE1119" i="48"/>
  <c r="BI1118" i="48"/>
  <c r="BG1118" i="48"/>
  <c r="BF1118" i="48"/>
  <c r="BE1118" i="48"/>
  <c r="BI1117" i="48"/>
  <c r="BG1117" i="48"/>
  <c r="BF1117" i="48"/>
  <c r="BE1117" i="48"/>
  <c r="BI1116" i="48"/>
  <c r="BG1116" i="48"/>
  <c r="BF1116" i="48"/>
  <c r="BE1116" i="48"/>
  <c r="BI1115" i="48"/>
  <c r="BG1115" i="48"/>
  <c r="BF1115" i="48"/>
  <c r="BE1115" i="48"/>
  <c r="BI1114" i="48"/>
  <c r="BG1114" i="48"/>
  <c r="BF1114" i="48"/>
  <c r="BE1114" i="48"/>
  <c r="BI1113" i="48"/>
  <c r="BG1113" i="48"/>
  <c r="BF1113" i="48"/>
  <c r="BE1113" i="48"/>
  <c r="BI1112" i="48"/>
  <c r="BG1112" i="48"/>
  <c r="BF1112" i="48"/>
  <c r="BE1112" i="48"/>
  <c r="BI1111" i="48"/>
  <c r="BG1111" i="48"/>
  <c r="BF1111" i="48"/>
  <c r="BE1111" i="48"/>
  <c r="BI1110" i="48"/>
  <c r="BG1110" i="48"/>
  <c r="BF1110" i="48"/>
  <c r="BE1110" i="48"/>
  <c r="BI1109" i="48"/>
  <c r="BG1109" i="48"/>
  <c r="BF1109" i="48"/>
  <c r="BE1109" i="48"/>
  <c r="BI1108" i="48"/>
  <c r="BG1108" i="48"/>
  <c r="BF1108" i="48"/>
  <c r="BE1108" i="48"/>
  <c r="BI1107" i="48"/>
  <c r="BG1107" i="48"/>
  <c r="BF1107" i="48"/>
  <c r="BE1107" i="48"/>
  <c r="BI1106" i="48"/>
  <c r="BG1106" i="48"/>
  <c r="BF1106" i="48"/>
  <c r="BE1106" i="48"/>
  <c r="BI1105" i="48"/>
  <c r="BG1105" i="48"/>
  <c r="BF1105" i="48"/>
  <c r="BE1105" i="48"/>
  <c r="BI1104" i="48"/>
  <c r="BG1104" i="48"/>
  <c r="BF1104" i="48"/>
  <c r="BE1104" i="48"/>
  <c r="BI1103" i="48"/>
  <c r="BG1103" i="48"/>
  <c r="BF1103" i="48"/>
  <c r="BE1103" i="48"/>
  <c r="BI1102" i="48"/>
  <c r="BG1102" i="48"/>
  <c r="BF1102" i="48"/>
  <c r="BE1102" i="48"/>
  <c r="BI1101" i="48"/>
  <c r="BG1101" i="48"/>
  <c r="BF1101" i="48"/>
  <c r="BE1101" i="48"/>
  <c r="BI1100" i="48"/>
  <c r="BG1100" i="48"/>
  <c r="BF1100" i="48"/>
  <c r="BE1100" i="48"/>
  <c r="BI1099" i="48"/>
  <c r="BG1099" i="48"/>
  <c r="BF1099" i="48"/>
  <c r="BE1099" i="48"/>
  <c r="BI1098" i="48"/>
  <c r="BG1098" i="48"/>
  <c r="BF1098" i="48"/>
  <c r="BE1098" i="48"/>
  <c r="BI1097" i="48"/>
  <c r="BG1097" i="48"/>
  <c r="BF1097" i="48"/>
  <c r="BE1097" i="48"/>
  <c r="BI1096" i="48"/>
  <c r="BG1096" i="48"/>
  <c r="BF1096" i="48"/>
  <c r="BE1096" i="48"/>
  <c r="BI1095" i="48"/>
  <c r="BG1095" i="48"/>
  <c r="BF1095" i="48"/>
  <c r="BE1095" i="48"/>
  <c r="BI1094" i="48"/>
  <c r="BG1094" i="48"/>
  <c r="BF1094" i="48"/>
  <c r="BE1094" i="48"/>
  <c r="BI1093" i="48"/>
  <c r="BG1093" i="48"/>
  <c r="BF1093" i="48"/>
  <c r="BE1093" i="48"/>
  <c r="BI1092" i="48"/>
  <c r="BG1092" i="48"/>
  <c r="BF1092" i="48"/>
  <c r="BE1092" i="48"/>
  <c r="BI1091" i="48"/>
  <c r="BG1091" i="48"/>
  <c r="BF1091" i="48"/>
  <c r="BE1091" i="48"/>
  <c r="BI1090" i="48"/>
  <c r="BG1090" i="48"/>
  <c r="BF1090" i="48"/>
  <c r="BE1090" i="48"/>
  <c r="BI1089" i="48"/>
  <c r="BG1089" i="48"/>
  <c r="BF1089" i="48"/>
  <c r="BE1089" i="48"/>
  <c r="BI1088" i="48"/>
  <c r="BG1088" i="48"/>
  <c r="BF1088" i="48"/>
  <c r="BE1088" i="48"/>
  <c r="BI1087" i="48"/>
  <c r="BG1087" i="48"/>
  <c r="BF1087" i="48"/>
  <c r="BE1087" i="48"/>
  <c r="BI1086" i="48"/>
  <c r="BG1086" i="48"/>
  <c r="BF1086" i="48"/>
  <c r="BE1086" i="48"/>
  <c r="BI1085" i="48"/>
  <c r="BG1085" i="48"/>
  <c r="BF1085" i="48"/>
  <c r="BE1085" i="48"/>
  <c r="BI1084" i="48"/>
  <c r="BG1084" i="48"/>
  <c r="BF1084" i="48"/>
  <c r="BE1084" i="48"/>
  <c r="BI1083" i="48"/>
  <c r="BG1083" i="48"/>
  <c r="BF1083" i="48"/>
  <c r="BE1083" i="48"/>
  <c r="BI1082" i="48"/>
  <c r="BG1082" i="48"/>
  <c r="BF1082" i="48"/>
  <c r="BE1082" i="48"/>
  <c r="BI1081" i="48"/>
  <c r="BG1081" i="48"/>
  <c r="BF1081" i="48"/>
  <c r="BE1081" i="48"/>
  <c r="BI1080" i="48"/>
  <c r="BG1080" i="48"/>
  <c r="BF1080" i="48"/>
  <c r="BE1080" i="48"/>
  <c r="BI1079" i="48"/>
  <c r="BG1079" i="48"/>
  <c r="BF1079" i="48"/>
  <c r="BE1079" i="48"/>
  <c r="BI1078" i="48"/>
  <c r="BG1078" i="48"/>
  <c r="BF1078" i="48"/>
  <c r="BE1078" i="48"/>
  <c r="BI1077" i="48"/>
  <c r="BG1077" i="48"/>
  <c r="BF1077" i="48"/>
  <c r="BE1077" i="48"/>
  <c r="BI1076" i="48"/>
  <c r="BG1076" i="48"/>
  <c r="BF1076" i="48"/>
  <c r="BE1076" i="48"/>
  <c r="BI1075" i="48"/>
  <c r="BG1075" i="48"/>
  <c r="BF1075" i="48"/>
  <c r="BE1075" i="48"/>
  <c r="BI1074" i="48"/>
  <c r="BG1074" i="48"/>
  <c r="BF1074" i="48"/>
  <c r="BE1074" i="48"/>
  <c r="BI1073" i="48"/>
  <c r="BG1073" i="48"/>
  <c r="BF1073" i="48"/>
  <c r="BE1073" i="48"/>
  <c r="BI1072" i="48"/>
  <c r="BG1072" i="48"/>
  <c r="BF1072" i="48"/>
  <c r="BE1072" i="48"/>
  <c r="BI1071" i="48"/>
  <c r="BG1071" i="48"/>
  <c r="BF1071" i="48"/>
  <c r="BE1071" i="48"/>
  <c r="BI1070" i="48"/>
  <c r="BG1070" i="48"/>
  <c r="BF1070" i="48"/>
  <c r="BE1070" i="48"/>
  <c r="BI1069" i="48"/>
  <c r="BG1069" i="48"/>
  <c r="BF1069" i="48"/>
  <c r="BE1069" i="48"/>
  <c r="BI1068" i="48"/>
  <c r="BG1068" i="48"/>
  <c r="BF1068" i="48"/>
  <c r="BE1068" i="48"/>
  <c r="BI1067" i="48"/>
  <c r="BG1067" i="48"/>
  <c r="BF1067" i="48"/>
  <c r="BE1067" i="48"/>
  <c r="BI1066" i="48"/>
  <c r="BG1066" i="48"/>
  <c r="BF1066" i="48"/>
  <c r="BE1066" i="48"/>
  <c r="BI1065" i="48"/>
  <c r="BG1065" i="48"/>
  <c r="BF1065" i="48"/>
  <c r="BE1065" i="48"/>
  <c r="BI1064" i="48"/>
  <c r="BG1064" i="48"/>
  <c r="BF1064" i="48"/>
  <c r="BE1064" i="48"/>
  <c r="BI1063" i="48"/>
  <c r="BG1063" i="48"/>
  <c r="BF1063" i="48"/>
  <c r="BE1063" i="48"/>
  <c r="BI1062" i="48"/>
  <c r="BG1062" i="48"/>
  <c r="BF1062" i="48"/>
  <c r="BE1062" i="48"/>
  <c r="BI1061" i="48"/>
  <c r="BG1061" i="48"/>
  <c r="BF1061" i="48"/>
  <c r="BE1061" i="48"/>
  <c r="BI1060" i="48"/>
  <c r="BG1060" i="48"/>
  <c r="BF1060" i="48"/>
  <c r="BE1060" i="48"/>
  <c r="BI1059" i="48"/>
  <c r="BG1059" i="48"/>
  <c r="BF1059" i="48"/>
  <c r="BE1059" i="48"/>
  <c r="BI1058" i="48"/>
  <c r="BG1058" i="48"/>
  <c r="BF1058" i="48"/>
  <c r="BE1058" i="48"/>
  <c r="BI1057" i="48"/>
  <c r="BG1057" i="48"/>
  <c r="BF1057" i="48"/>
  <c r="BE1057" i="48"/>
  <c r="BI1056" i="48"/>
  <c r="BG1056" i="48"/>
  <c r="BF1056" i="48"/>
  <c r="BE1056" i="48"/>
  <c r="BI1055" i="48"/>
  <c r="BG1055" i="48"/>
  <c r="BF1055" i="48"/>
  <c r="BE1055" i="48"/>
  <c r="BI1054" i="48"/>
  <c r="BG1054" i="48"/>
  <c r="BF1054" i="48"/>
  <c r="BE1054" i="48"/>
  <c r="BI1053" i="48"/>
  <c r="BG1053" i="48"/>
  <c r="BF1053" i="48"/>
  <c r="BE1053" i="48"/>
  <c r="BI1052" i="48"/>
  <c r="BG1052" i="48"/>
  <c r="BF1052" i="48"/>
  <c r="BE1052" i="48"/>
  <c r="BI1051" i="48"/>
  <c r="BG1051" i="48"/>
  <c r="BF1051" i="48"/>
  <c r="BE1051" i="48"/>
  <c r="BI1050" i="48"/>
  <c r="BG1050" i="48"/>
  <c r="BF1050" i="48"/>
  <c r="BE1050" i="48"/>
  <c r="BI1049" i="48"/>
  <c r="BG1049" i="48"/>
  <c r="BF1049" i="48"/>
  <c r="BE1049" i="48"/>
  <c r="BI1048" i="48"/>
  <c r="BG1048" i="48"/>
  <c r="BF1048" i="48"/>
  <c r="BE1048" i="48"/>
  <c r="BI1047" i="48"/>
  <c r="BG1047" i="48"/>
  <c r="BF1047" i="48"/>
  <c r="BE1047" i="48"/>
  <c r="BI1046" i="48"/>
  <c r="BG1046" i="48"/>
  <c r="BF1046" i="48"/>
  <c r="BE1046" i="48"/>
  <c r="BI1045" i="48"/>
  <c r="BG1045" i="48"/>
  <c r="BF1045" i="48"/>
  <c r="BE1045" i="48"/>
  <c r="BI1044" i="48"/>
  <c r="BG1044" i="48"/>
  <c r="BF1044" i="48"/>
  <c r="BE1044" i="48"/>
  <c r="BI1043" i="48"/>
  <c r="BG1043" i="48"/>
  <c r="BF1043" i="48"/>
  <c r="BE1043" i="48"/>
  <c r="BI1042" i="48"/>
  <c r="BG1042" i="48"/>
  <c r="BF1042" i="48"/>
  <c r="BE1042" i="48"/>
  <c r="BI1041" i="48"/>
  <c r="BG1041" i="48"/>
  <c r="BF1041" i="48"/>
  <c r="BE1041" i="48"/>
  <c r="BI1040" i="48"/>
  <c r="BG1040" i="48"/>
  <c r="BF1040" i="48"/>
  <c r="BE1040" i="48"/>
  <c r="BI1039" i="48"/>
  <c r="BG1039" i="48"/>
  <c r="BF1039" i="48"/>
  <c r="BE1039" i="48"/>
  <c r="BI1038" i="48"/>
  <c r="BG1038" i="48"/>
  <c r="BF1038" i="48"/>
  <c r="BE1038" i="48"/>
  <c r="BI1037" i="48"/>
  <c r="BG1037" i="48"/>
  <c r="BF1037" i="48"/>
  <c r="BE1037" i="48"/>
  <c r="BI1036" i="48"/>
  <c r="BG1036" i="48"/>
  <c r="BF1036" i="48"/>
  <c r="BE1036" i="48"/>
  <c r="BI1035" i="48"/>
  <c r="BG1035" i="48"/>
  <c r="BF1035" i="48"/>
  <c r="BE1035" i="48"/>
  <c r="BI1034" i="48"/>
  <c r="BG1034" i="48"/>
  <c r="BF1034" i="48"/>
  <c r="BE1034" i="48"/>
  <c r="BI1033" i="48"/>
  <c r="BG1033" i="48"/>
  <c r="BF1033" i="48"/>
  <c r="BE1033" i="48"/>
  <c r="BI1032" i="48"/>
  <c r="BG1032" i="48"/>
  <c r="BF1032" i="48"/>
  <c r="BE1032" i="48"/>
  <c r="BI1031" i="48"/>
  <c r="BG1031" i="48"/>
  <c r="BF1031" i="48"/>
  <c r="BE1031" i="48"/>
  <c r="BI1030" i="48"/>
  <c r="BG1030" i="48"/>
  <c r="BF1030" i="48"/>
  <c r="BE1030" i="48"/>
  <c r="BI1029" i="48"/>
  <c r="BG1029" i="48"/>
  <c r="BF1029" i="48"/>
  <c r="BE1029" i="48"/>
  <c r="BI1028" i="48"/>
  <c r="BG1028" i="48"/>
  <c r="BF1028" i="48"/>
  <c r="BE1028" i="48"/>
  <c r="BI1027" i="48"/>
  <c r="BG1027" i="48"/>
  <c r="BF1027" i="48"/>
  <c r="BE1027" i="48"/>
  <c r="BI1026" i="48"/>
  <c r="BG1026" i="48"/>
  <c r="BF1026" i="48"/>
  <c r="BE1026" i="48"/>
  <c r="BI1025" i="48"/>
  <c r="BG1025" i="48"/>
  <c r="BF1025" i="48"/>
  <c r="BE1025" i="48"/>
  <c r="BI1024" i="48"/>
  <c r="BG1024" i="48"/>
  <c r="BF1024" i="48"/>
  <c r="BE1024" i="48"/>
  <c r="BI1023" i="48"/>
  <c r="BG1023" i="48"/>
  <c r="BF1023" i="48"/>
  <c r="BE1023" i="48"/>
  <c r="BI1022" i="48"/>
  <c r="BG1022" i="48"/>
  <c r="BF1022" i="48"/>
  <c r="BE1022" i="48"/>
  <c r="BI1021" i="48"/>
  <c r="BG1021" i="48"/>
  <c r="BF1021" i="48"/>
  <c r="BE1021" i="48"/>
  <c r="BI1020" i="48"/>
  <c r="BG1020" i="48"/>
  <c r="BF1020" i="48"/>
  <c r="BE1020" i="48"/>
  <c r="BI1019" i="48"/>
  <c r="BG1019" i="48"/>
  <c r="BF1019" i="48"/>
  <c r="BE1019" i="48"/>
  <c r="BI1018" i="48"/>
  <c r="BG1018" i="48"/>
  <c r="BF1018" i="48"/>
  <c r="BE1018" i="48"/>
  <c r="BI1017" i="48"/>
  <c r="BG1017" i="48"/>
  <c r="BF1017" i="48"/>
  <c r="BE1017" i="48"/>
  <c r="BI1016" i="48"/>
  <c r="BG1016" i="48"/>
  <c r="BF1016" i="48"/>
  <c r="BE1016" i="48"/>
  <c r="BI1015" i="48"/>
  <c r="BG1015" i="48"/>
  <c r="BF1015" i="48"/>
  <c r="BE1015" i="48"/>
  <c r="BI1014" i="48"/>
  <c r="BG1014" i="48"/>
  <c r="BF1014" i="48"/>
  <c r="BE1014" i="48"/>
  <c r="BI1013" i="48"/>
  <c r="BG1013" i="48"/>
  <c r="BF1013" i="48"/>
  <c r="BE1013" i="48"/>
  <c r="BI1012" i="48"/>
  <c r="BG1012" i="48"/>
  <c r="BF1012" i="48"/>
  <c r="BE1012" i="48"/>
  <c r="BI1011" i="48"/>
  <c r="BG1011" i="48"/>
  <c r="BF1011" i="48"/>
  <c r="BE1011" i="48"/>
  <c r="BI1010" i="48"/>
  <c r="BG1010" i="48"/>
  <c r="BF1010" i="48"/>
  <c r="BE1010" i="48"/>
  <c r="BI1009" i="48"/>
  <c r="BG1009" i="48"/>
  <c r="BF1009" i="48"/>
  <c r="BE1009" i="48"/>
  <c r="BI1008" i="48"/>
  <c r="BG1008" i="48"/>
  <c r="BF1008" i="48"/>
  <c r="BE1008" i="48"/>
  <c r="BI1007" i="48"/>
  <c r="BG1007" i="48"/>
  <c r="BF1007" i="48"/>
  <c r="BE1007" i="48"/>
  <c r="BI1006" i="48"/>
  <c r="BG1006" i="48"/>
  <c r="BF1006" i="48"/>
  <c r="BE1006" i="48"/>
  <c r="BI1005" i="48"/>
  <c r="BG1005" i="48"/>
  <c r="BF1005" i="48"/>
  <c r="BE1005" i="48"/>
  <c r="BI1004" i="48"/>
  <c r="BG1004" i="48"/>
  <c r="BF1004" i="48"/>
  <c r="BE1004" i="48"/>
  <c r="BI1003" i="48"/>
  <c r="BG1003" i="48"/>
  <c r="BF1003" i="48"/>
  <c r="BE1003" i="48"/>
  <c r="BI1002" i="48"/>
  <c r="BG1002" i="48"/>
  <c r="BF1002" i="48"/>
  <c r="BE1002" i="48"/>
  <c r="BI1001" i="48"/>
  <c r="BG1001" i="48"/>
  <c r="BF1001" i="48"/>
  <c r="BE1001" i="48"/>
  <c r="BI1000" i="48"/>
  <c r="BG1000" i="48"/>
  <c r="BF1000" i="48"/>
  <c r="BE1000" i="48"/>
  <c r="BI999" i="48"/>
  <c r="BG999" i="48"/>
  <c r="BF999" i="48"/>
  <c r="BE999" i="48"/>
  <c r="BI998" i="48"/>
  <c r="BG998" i="48"/>
  <c r="BF998" i="48"/>
  <c r="BE998" i="48"/>
  <c r="BI997" i="48"/>
  <c r="BG997" i="48"/>
  <c r="BF997" i="48"/>
  <c r="BE997" i="48"/>
  <c r="BI996" i="48"/>
  <c r="BG996" i="48"/>
  <c r="BF996" i="48"/>
  <c r="BE996" i="48"/>
  <c r="BI995" i="48"/>
  <c r="BG995" i="48"/>
  <c r="BF995" i="48"/>
  <c r="BE995" i="48"/>
  <c r="BI994" i="48"/>
  <c r="BG994" i="48"/>
  <c r="BF994" i="48"/>
  <c r="BE994" i="48"/>
  <c r="BI993" i="48"/>
  <c r="BG993" i="48"/>
  <c r="BF993" i="48"/>
  <c r="BE993" i="48"/>
  <c r="BI992" i="48"/>
  <c r="BG992" i="48"/>
  <c r="BF992" i="48"/>
  <c r="BE992" i="48"/>
  <c r="BI991" i="48"/>
  <c r="BG991" i="48"/>
  <c r="BF991" i="48"/>
  <c r="BE991" i="48"/>
  <c r="BI990" i="48"/>
  <c r="BG990" i="48"/>
  <c r="BF990" i="48"/>
  <c r="BE990" i="48"/>
  <c r="BI989" i="48"/>
  <c r="BG989" i="48"/>
  <c r="BF989" i="48"/>
  <c r="BE989" i="48"/>
  <c r="BI988" i="48"/>
  <c r="BG988" i="48"/>
  <c r="BF988" i="48"/>
  <c r="BE988" i="48"/>
  <c r="BI987" i="48"/>
  <c r="BG987" i="48"/>
  <c r="BF987" i="48"/>
  <c r="BE987" i="48"/>
  <c r="BI986" i="48"/>
  <c r="BG986" i="48"/>
  <c r="BF986" i="48"/>
  <c r="BE986" i="48"/>
  <c r="BI985" i="48"/>
  <c r="BG985" i="48"/>
  <c r="BF985" i="48"/>
  <c r="BE985" i="48"/>
  <c r="BI984" i="48"/>
  <c r="BG984" i="48"/>
  <c r="BF984" i="48"/>
  <c r="BE984" i="48"/>
  <c r="BI983" i="48"/>
  <c r="BG983" i="48"/>
  <c r="BF983" i="48"/>
  <c r="BE983" i="48"/>
  <c r="BI982" i="48"/>
  <c r="BG982" i="48"/>
  <c r="BF982" i="48"/>
  <c r="BE982" i="48"/>
  <c r="BI981" i="48"/>
  <c r="BG981" i="48"/>
  <c r="BF981" i="48"/>
  <c r="BE981" i="48"/>
  <c r="BI980" i="48"/>
  <c r="BG980" i="48"/>
  <c r="BF980" i="48"/>
  <c r="BE980" i="48"/>
  <c r="BI979" i="48"/>
  <c r="BG979" i="48"/>
  <c r="BF979" i="48"/>
  <c r="BE979" i="48"/>
  <c r="BI978" i="48"/>
  <c r="BG978" i="48"/>
  <c r="BF978" i="48"/>
  <c r="BE978" i="48"/>
  <c r="BI977" i="48"/>
  <c r="BG977" i="48"/>
  <c r="BF977" i="48"/>
  <c r="BE977" i="48"/>
  <c r="BI976" i="48"/>
  <c r="BG976" i="48"/>
  <c r="BF976" i="48"/>
  <c r="BE976" i="48"/>
  <c r="BI975" i="48"/>
  <c r="BG975" i="48"/>
  <c r="BF975" i="48"/>
  <c r="BE975" i="48"/>
  <c r="BI974" i="48"/>
  <c r="BG974" i="48"/>
  <c r="BF974" i="48"/>
  <c r="BE974" i="48"/>
  <c r="BI973" i="48"/>
  <c r="BG973" i="48"/>
  <c r="BF973" i="48"/>
  <c r="BE973" i="48"/>
  <c r="BI972" i="48"/>
  <c r="BG972" i="48"/>
  <c r="BF972" i="48"/>
  <c r="BE972" i="48"/>
  <c r="BI971" i="48"/>
  <c r="BG971" i="48"/>
  <c r="BF971" i="48"/>
  <c r="BE971" i="48"/>
  <c r="BI970" i="48"/>
  <c r="BG970" i="48"/>
  <c r="BF970" i="48"/>
  <c r="BE970" i="48"/>
  <c r="BI969" i="48"/>
  <c r="BG969" i="48"/>
  <c r="BF969" i="48"/>
  <c r="BE969" i="48"/>
  <c r="BI968" i="48"/>
  <c r="BG968" i="48"/>
  <c r="BF968" i="48"/>
  <c r="BE968" i="48"/>
  <c r="BI967" i="48"/>
  <c r="BG967" i="48"/>
  <c r="BF967" i="48"/>
  <c r="BE967" i="48"/>
  <c r="BI966" i="48"/>
  <c r="BG966" i="48"/>
  <c r="BF966" i="48"/>
  <c r="BE966" i="48"/>
  <c r="BI965" i="48"/>
  <c r="BG965" i="48"/>
  <c r="BF965" i="48"/>
  <c r="BE965" i="48"/>
  <c r="BI964" i="48"/>
  <c r="BG964" i="48"/>
  <c r="BF964" i="48"/>
  <c r="BE964" i="48"/>
  <c r="BI963" i="48"/>
  <c r="BG963" i="48"/>
  <c r="BF963" i="48"/>
  <c r="BE963" i="48"/>
  <c r="BI962" i="48"/>
  <c r="BG962" i="48"/>
  <c r="BF962" i="48"/>
  <c r="BE962" i="48"/>
  <c r="BI961" i="48"/>
  <c r="BG961" i="48"/>
  <c r="BF961" i="48"/>
  <c r="BE961" i="48"/>
  <c r="BI960" i="48"/>
  <c r="BG960" i="48"/>
  <c r="BF960" i="48"/>
  <c r="BE960" i="48"/>
  <c r="BI959" i="48"/>
  <c r="BG959" i="48"/>
  <c r="BF959" i="48"/>
  <c r="BE959" i="48"/>
  <c r="BI958" i="48"/>
  <c r="BG958" i="48"/>
  <c r="BF958" i="48"/>
  <c r="BE958" i="48"/>
  <c r="BI957" i="48"/>
  <c r="BG957" i="48"/>
  <c r="BF957" i="48"/>
  <c r="BE957" i="48"/>
  <c r="BI956" i="48"/>
  <c r="BG956" i="48"/>
  <c r="BF956" i="48"/>
  <c r="BE956" i="48"/>
  <c r="BI955" i="48"/>
  <c r="BG955" i="48"/>
  <c r="BF955" i="48"/>
  <c r="BE955" i="48"/>
  <c r="BI954" i="48"/>
  <c r="BG954" i="48"/>
  <c r="BF954" i="48"/>
  <c r="BE954" i="48"/>
  <c r="BI953" i="48"/>
  <c r="BG953" i="48"/>
  <c r="BF953" i="48"/>
  <c r="BE953" i="48"/>
  <c r="BI952" i="48"/>
  <c r="BG952" i="48"/>
  <c r="BF952" i="48"/>
  <c r="BE952" i="48"/>
  <c r="BI951" i="48"/>
  <c r="BG951" i="48"/>
  <c r="BF951" i="48"/>
  <c r="BE951" i="48"/>
  <c r="BI950" i="48"/>
  <c r="BG950" i="48"/>
  <c r="BF950" i="48"/>
  <c r="BE950" i="48"/>
  <c r="BI949" i="48"/>
  <c r="BG949" i="48"/>
  <c r="BF949" i="48"/>
  <c r="BE949" i="48"/>
  <c r="BI948" i="48"/>
  <c r="BG948" i="48"/>
  <c r="BF948" i="48"/>
  <c r="BE948" i="48"/>
  <c r="BI947" i="48"/>
  <c r="BG947" i="48"/>
  <c r="BF947" i="48"/>
  <c r="BE947" i="48"/>
  <c r="BI946" i="48"/>
  <c r="BG946" i="48"/>
  <c r="BF946" i="48"/>
  <c r="BE946" i="48"/>
  <c r="BI945" i="48"/>
  <c r="BG945" i="48"/>
  <c r="BF945" i="48"/>
  <c r="BE945" i="48"/>
  <c r="BI944" i="48"/>
  <c r="BG944" i="48"/>
  <c r="BF944" i="48"/>
  <c r="BE944" i="48"/>
  <c r="BI943" i="48"/>
  <c r="BG943" i="48"/>
  <c r="BF943" i="48"/>
  <c r="BE943" i="48"/>
  <c r="BI942" i="48"/>
  <c r="BG942" i="48"/>
  <c r="BF942" i="48"/>
  <c r="BE942" i="48"/>
  <c r="BI941" i="48"/>
  <c r="BG941" i="48"/>
  <c r="BF941" i="48"/>
  <c r="BE941" i="48"/>
  <c r="BI940" i="48"/>
  <c r="BG940" i="48"/>
  <c r="BF940" i="48"/>
  <c r="BE940" i="48"/>
  <c r="BI939" i="48"/>
  <c r="BG939" i="48"/>
  <c r="BF939" i="48"/>
  <c r="BE939" i="48"/>
  <c r="BI938" i="48"/>
  <c r="BG938" i="48"/>
  <c r="BF938" i="48"/>
  <c r="BE938" i="48"/>
  <c r="BI937" i="48"/>
  <c r="BG937" i="48"/>
  <c r="BF937" i="48"/>
  <c r="BE937" i="48"/>
  <c r="BI936" i="48"/>
  <c r="BG936" i="48"/>
  <c r="BF936" i="48"/>
  <c r="BE936" i="48"/>
  <c r="BI935" i="48"/>
  <c r="BG935" i="48"/>
  <c r="BF935" i="48"/>
  <c r="BE935" i="48"/>
  <c r="BI934" i="48"/>
  <c r="BG934" i="48"/>
  <c r="BF934" i="48"/>
  <c r="BE934" i="48"/>
  <c r="BI933" i="48"/>
  <c r="BG933" i="48"/>
  <c r="BF933" i="48"/>
  <c r="BE933" i="48"/>
  <c r="BI932" i="48"/>
  <c r="BG932" i="48"/>
  <c r="BF932" i="48"/>
  <c r="BE932" i="48"/>
  <c r="BI931" i="48"/>
  <c r="BG931" i="48"/>
  <c r="BF931" i="48"/>
  <c r="BE931" i="48"/>
  <c r="BI930" i="48"/>
  <c r="BG930" i="48"/>
  <c r="BF930" i="48"/>
  <c r="BE930" i="48"/>
  <c r="BI929" i="48"/>
  <c r="BG929" i="48"/>
  <c r="BF929" i="48"/>
  <c r="BE929" i="48"/>
  <c r="BI928" i="48"/>
  <c r="BG928" i="48"/>
  <c r="BF928" i="48"/>
  <c r="BE928" i="48"/>
  <c r="BI927" i="48"/>
  <c r="BG927" i="48"/>
  <c r="BF927" i="48"/>
  <c r="BE927" i="48"/>
  <c r="BI926" i="48"/>
  <c r="BG926" i="48"/>
  <c r="BF926" i="48"/>
  <c r="BE926" i="48"/>
  <c r="BI925" i="48"/>
  <c r="BG925" i="48"/>
  <c r="BF925" i="48"/>
  <c r="BE925" i="48"/>
  <c r="BI924" i="48"/>
  <c r="BG924" i="48"/>
  <c r="BF924" i="48"/>
  <c r="BE924" i="48"/>
  <c r="BI923" i="48"/>
  <c r="BG923" i="48"/>
  <c r="BF923" i="48"/>
  <c r="BE923" i="48"/>
  <c r="BI922" i="48"/>
  <c r="BG922" i="48"/>
  <c r="BF922" i="48"/>
  <c r="BE922" i="48"/>
  <c r="BI921" i="48"/>
  <c r="BG921" i="48"/>
  <c r="BF921" i="48"/>
  <c r="BE921" i="48"/>
  <c r="BI920" i="48"/>
  <c r="BG920" i="48"/>
  <c r="BF920" i="48"/>
  <c r="BE920" i="48"/>
  <c r="BI919" i="48"/>
  <c r="BG919" i="48"/>
  <c r="BF919" i="48"/>
  <c r="BE919" i="48"/>
  <c r="BI918" i="48"/>
  <c r="BG918" i="48"/>
  <c r="BF918" i="48"/>
  <c r="BE918" i="48"/>
  <c r="BI917" i="48"/>
  <c r="BG917" i="48"/>
  <c r="BF917" i="48"/>
  <c r="BE917" i="48"/>
  <c r="BI916" i="48"/>
  <c r="BG916" i="48"/>
  <c r="BF916" i="48"/>
  <c r="BE916" i="48"/>
  <c r="BI915" i="48"/>
  <c r="BG915" i="48"/>
  <c r="BF915" i="48"/>
  <c r="BE915" i="48"/>
  <c r="BI914" i="48"/>
  <c r="BG914" i="48"/>
  <c r="BF914" i="48"/>
  <c r="BE914" i="48"/>
  <c r="BI913" i="48"/>
  <c r="BG913" i="48"/>
  <c r="BF913" i="48"/>
  <c r="BE913" i="48"/>
  <c r="BI912" i="48"/>
  <c r="BG912" i="48"/>
  <c r="BF912" i="48"/>
  <c r="BE912" i="48"/>
  <c r="BI911" i="48"/>
  <c r="BG911" i="48"/>
  <c r="BF911" i="48"/>
  <c r="BE911" i="48"/>
  <c r="BI910" i="48"/>
  <c r="BG910" i="48"/>
  <c r="BF910" i="48"/>
  <c r="BE910" i="48"/>
  <c r="BI909" i="48"/>
  <c r="BG909" i="48"/>
  <c r="BF909" i="48"/>
  <c r="BE909" i="48"/>
  <c r="BI908" i="48"/>
  <c r="BG908" i="48"/>
  <c r="BF908" i="48"/>
  <c r="BE908" i="48"/>
  <c r="BI907" i="48"/>
  <c r="BG907" i="48"/>
  <c r="BF907" i="48"/>
  <c r="BE907" i="48"/>
  <c r="BI906" i="48"/>
  <c r="BG906" i="48"/>
  <c r="BF906" i="48"/>
  <c r="BE906" i="48"/>
  <c r="BI905" i="48"/>
  <c r="BG905" i="48"/>
  <c r="BF905" i="48"/>
  <c r="BE905" i="48"/>
  <c r="BI904" i="48"/>
  <c r="BG904" i="48"/>
  <c r="BF904" i="48"/>
  <c r="BE904" i="48"/>
  <c r="BI903" i="48"/>
  <c r="BG903" i="48"/>
  <c r="BF903" i="48"/>
  <c r="BE903" i="48"/>
  <c r="BI902" i="48"/>
  <c r="BG902" i="48"/>
  <c r="BF902" i="48"/>
  <c r="BE902" i="48"/>
  <c r="BI901" i="48"/>
  <c r="BG901" i="48"/>
  <c r="BF901" i="48"/>
  <c r="BE901" i="48"/>
  <c r="BI900" i="48"/>
  <c r="BG900" i="48"/>
  <c r="BF900" i="48"/>
  <c r="BE900" i="48"/>
  <c r="BI899" i="48"/>
  <c r="BG899" i="48"/>
  <c r="BF899" i="48"/>
  <c r="BE899" i="48"/>
  <c r="BI898" i="48"/>
  <c r="BG898" i="48"/>
  <c r="BF898" i="48"/>
  <c r="BE898" i="48"/>
  <c r="BI897" i="48"/>
  <c r="BG897" i="48"/>
  <c r="BF897" i="48"/>
  <c r="BE897" i="48"/>
  <c r="BI896" i="48"/>
  <c r="BG896" i="48"/>
  <c r="BF896" i="48"/>
  <c r="BE896" i="48"/>
  <c r="BI895" i="48"/>
  <c r="BG895" i="48"/>
  <c r="BF895" i="48"/>
  <c r="BE895" i="48"/>
  <c r="BI894" i="48"/>
  <c r="BG894" i="48"/>
  <c r="BF894" i="48"/>
  <c r="BE894" i="48"/>
  <c r="BI893" i="48"/>
  <c r="BG893" i="48"/>
  <c r="BF893" i="48"/>
  <c r="BE893" i="48"/>
  <c r="BI892" i="48"/>
  <c r="BG892" i="48"/>
  <c r="BF892" i="48"/>
  <c r="BE892" i="48"/>
  <c r="BI891" i="48"/>
  <c r="BG891" i="48"/>
  <c r="BF891" i="48"/>
  <c r="BE891" i="48"/>
  <c r="BI890" i="48"/>
  <c r="BG890" i="48"/>
  <c r="BF890" i="48"/>
  <c r="BE890" i="48"/>
  <c r="BI889" i="48"/>
  <c r="BG889" i="48"/>
  <c r="BF889" i="48"/>
  <c r="BE889" i="48"/>
  <c r="BI888" i="48"/>
  <c r="BG888" i="48"/>
  <c r="BF888" i="48"/>
  <c r="BE888" i="48"/>
  <c r="BI887" i="48"/>
  <c r="BG887" i="48"/>
  <c r="BF887" i="48"/>
  <c r="BE887" i="48"/>
  <c r="BI886" i="48"/>
  <c r="BG886" i="48"/>
  <c r="BF886" i="48"/>
  <c r="BE886" i="48"/>
  <c r="BI885" i="48"/>
  <c r="BG885" i="48"/>
  <c r="BF885" i="48"/>
  <c r="BE885" i="48"/>
  <c r="BI884" i="48"/>
  <c r="BG884" i="48"/>
  <c r="BF884" i="48"/>
  <c r="BE884" i="48"/>
  <c r="BI883" i="48"/>
  <c r="BG883" i="48"/>
  <c r="BF883" i="48"/>
  <c r="BE883" i="48"/>
  <c r="BI882" i="48"/>
  <c r="BG882" i="48"/>
  <c r="BF882" i="48"/>
  <c r="BE882" i="48"/>
  <c r="BI881" i="48"/>
  <c r="BG881" i="48"/>
  <c r="BF881" i="48"/>
  <c r="BE881" i="48"/>
  <c r="BI880" i="48"/>
  <c r="BG880" i="48"/>
  <c r="BF880" i="48"/>
  <c r="BE880" i="48"/>
  <c r="BI879" i="48"/>
  <c r="BG879" i="48"/>
  <c r="BF879" i="48"/>
  <c r="BE879" i="48"/>
  <c r="BI878" i="48"/>
  <c r="BG878" i="48"/>
  <c r="BF878" i="48"/>
  <c r="BE878" i="48"/>
  <c r="BI877" i="48"/>
  <c r="BG877" i="48"/>
  <c r="BF877" i="48"/>
  <c r="BE877" i="48"/>
  <c r="BI876" i="48"/>
  <c r="BG876" i="48"/>
  <c r="BF876" i="48"/>
  <c r="BE876" i="48"/>
  <c r="BI875" i="48"/>
  <c r="BG875" i="48"/>
  <c r="BF875" i="48"/>
  <c r="BE875" i="48"/>
  <c r="BI874" i="48"/>
  <c r="BG874" i="48"/>
  <c r="BF874" i="48"/>
  <c r="BE874" i="48"/>
  <c r="BI873" i="48"/>
  <c r="BG873" i="48"/>
  <c r="BF873" i="48"/>
  <c r="BE873" i="48"/>
  <c r="BI872" i="48"/>
  <c r="BG872" i="48"/>
  <c r="BF872" i="48"/>
  <c r="BE872" i="48"/>
  <c r="BI871" i="48"/>
  <c r="BG871" i="48"/>
  <c r="BF871" i="48"/>
  <c r="BE871" i="48"/>
  <c r="BI870" i="48"/>
  <c r="BG870" i="48"/>
  <c r="BF870" i="48"/>
  <c r="BE870" i="48"/>
  <c r="BI869" i="48"/>
  <c r="BG869" i="48"/>
  <c r="BF869" i="48"/>
  <c r="BE869" i="48"/>
  <c r="BI868" i="48"/>
  <c r="BG868" i="48"/>
  <c r="BF868" i="48"/>
  <c r="BE868" i="48"/>
  <c r="BI867" i="48"/>
  <c r="BG867" i="48"/>
  <c r="BF867" i="48"/>
  <c r="BE867" i="48"/>
  <c r="BI866" i="48"/>
  <c r="BG866" i="48"/>
  <c r="BF866" i="48"/>
  <c r="BE866" i="48"/>
  <c r="BI865" i="48"/>
  <c r="BG865" i="48"/>
  <c r="BF865" i="48"/>
  <c r="BE865" i="48"/>
  <c r="BI864" i="48"/>
  <c r="BG864" i="48"/>
  <c r="BF864" i="48"/>
  <c r="BE864" i="48"/>
  <c r="BI863" i="48"/>
  <c r="BG863" i="48"/>
  <c r="BF863" i="48"/>
  <c r="BE863" i="48"/>
  <c r="BI862" i="48"/>
  <c r="BG862" i="48"/>
  <c r="BF862" i="48"/>
  <c r="BE862" i="48"/>
  <c r="BI861" i="48"/>
  <c r="BG861" i="48"/>
  <c r="BF861" i="48"/>
  <c r="BE861" i="48"/>
  <c r="BI860" i="48"/>
  <c r="BG860" i="48"/>
  <c r="BF860" i="48"/>
  <c r="BE860" i="48"/>
  <c r="BI859" i="48"/>
  <c r="BG859" i="48"/>
  <c r="BF859" i="48"/>
  <c r="BE859" i="48"/>
  <c r="BI858" i="48"/>
  <c r="BG858" i="48"/>
  <c r="BF858" i="48"/>
  <c r="BE858" i="48"/>
  <c r="BI857" i="48"/>
  <c r="BG857" i="48"/>
  <c r="BF857" i="48"/>
  <c r="BE857" i="48"/>
  <c r="BI856" i="48"/>
  <c r="BG856" i="48"/>
  <c r="BF856" i="48"/>
  <c r="BE856" i="48"/>
  <c r="BI855" i="48"/>
  <c r="BG855" i="48"/>
  <c r="BF855" i="48"/>
  <c r="BE855" i="48"/>
  <c r="BI854" i="48"/>
  <c r="BG854" i="48"/>
  <c r="BF854" i="48"/>
  <c r="BE854" i="48"/>
  <c r="BI853" i="48"/>
  <c r="BG853" i="48"/>
  <c r="BF853" i="48"/>
  <c r="BE853" i="48"/>
  <c r="BI852" i="48"/>
  <c r="BG852" i="48"/>
  <c r="BF852" i="48"/>
  <c r="BE852" i="48"/>
  <c r="BI851" i="48"/>
  <c r="BG851" i="48"/>
  <c r="BF851" i="48"/>
  <c r="BE851" i="48"/>
  <c r="BI850" i="48"/>
  <c r="BG850" i="48"/>
  <c r="BF850" i="48"/>
  <c r="BE850" i="48"/>
  <c r="BI849" i="48"/>
  <c r="BG849" i="48"/>
  <c r="BF849" i="48"/>
  <c r="BE849" i="48"/>
  <c r="BI848" i="48"/>
  <c r="BG848" i="48"/>
  <c r="BF848" i="48"/>
  <c r="BE848" i="48"/>
  <c r="BI847" i="48"/>
  <c r="BG847" i="48"/>
  <c r="BF847" i="48"/>
  <c r="BE847" i="48"/>
  <c r="BI846" i="48"/>
  <c r="BG846" i="48"/>
  <c r="BF846" i="48"/>
  <c r="BE846" i="48"/>
  <c r="BI845" i="48"/>
  <c r="BG845" i="48"/>
  <c r="BF845" i="48"/>
  <c r="BE845" i="48"/>
  <c r="BI844" i="48"/>
  <c r="BG844" i="48"/>
  <c r="BF844" i="48"/>
  <c r="BE844" i="48"/>
  <c r="BI843" i="48"/>
  <c r="BG843" i="48"/>
  <c r="BF843" i="48"/>
  <c r="BE843" i="48"/>
  <c r="BI842" i="48"/>
  <c r="BG842" i="48"/>
  <c r="BF842" i="48"/>
  <c r="BE842" i="48"/>
  <c r="BI841" i="48"/>
  <c r="BG841" i="48"/>
  <c r="BF841" i="48"/>
  <c r="BE841" i="48"/>
  <c r="BI840" i="48"/>
  <c r="BG840" i="48"/>
  <c r="BF840" i="48"/>
  <c r="BE840" i="48"/>
  <c r="BI839" i="48"/>
  <c r="BG839" i="48"/>
  <c r="BF839" i="48"/>
  <c r="BE839" i="48"/>
  <c r="BI838" i="48"/>
  <c r="BG838" i="48"/>
  <c r="BF838" i="48"/>
  <c r="BE838" i="48"/>
  <c r="BI837" i="48"/>
  <c r="BG837" i="48"/>
  <c r="BF837" i="48"/>
  <c r="BE837" i="48"/>
  <c r="BI836" i="48"/>
  <c r="BG836" i="48"/>
  <c r="BF836" i="48"/>
  <c r="BE836" i="48"/>
  <c r="BI835" i="48"/>
  <c r="BG835" i="48"/>
  <c r="BF835" i="48"/>
  <c r="BE835" i="48"/>
  <c r="BI834" i="48"/>
  <c r="BG834" i="48"/>
  <c r="BF834" i="48"/>
  <c r="BE834" i="48"/>
  <c r="BI833" i="48"/>
  <c r="BG833" i="48"/>
  <c r="BF833" i="48"/>
  <c r="BE833" i="48"/>
  <c r="BI832" i="48"/>
  <c r="BG832" i="48"/>
  <c r="BF832" i="48"/>
  <c r="BE832" i="48"/>
  <c r="BI831" i="48"/>
  <c r="BG831" i="48"/>
  <c r="BF831" i="48"/>
  <c r="BE831" i="48"/>
  <c r="BI830" i="48"/>
  <c r="BG830" i="48"/>
  <c r="BF830" i="48"/>
  <c r="BE830" i="48"/>
  <c r="BI829" i="48"/>
  <c r="BG829" i="48"/>
  <c r="BF829" i="48"/>
  <c r="BE829" i="48"/>
  <c r="BI828" i="48"/>
  <c r="BG828" i="48"/>
  <c r="BF828" i="48"/>
  <c r="BE828" i="48"/>
  <c r="BI827" i="48"/>
  <c r="BG827" i="48"/>
  <c r="BF827" i="48"/>
  <c r="BE827" i="48"/>
  <c r="BI826" i="48"/>
  <c r="BG826" i="48"/>
  <c r="BF826" i="48"/>
  <c r="BE826" i="48"/>
  <c r="BI825" i="48"/>
  <c r="BG825" i="48"/>
  <c r="BF825" i="48"/>
  <c r="BE825" i="48"/>
  <c r="BI824" i="48"/>
  <c r="BG824" i="48"/>
  <c r="BF824" i="48"/>
  <c r="BE824" i="48"/>
  <c r="BI823" i="48"/>
  <c r="BG823" i="48"/>
  <c r="BF823" i="48"/>
  <c r="BE823" i="48"/>
  <c r="BI822" i="48"/>
  <c r="BG822" i="48"/>
  <c r="BF822" i="48"/>
  <c r="BE822" i="48"/>
  <c r="BI821" i="48"/>
  <c r="BG821" i="48"/>
  <c r="BF821" i="48"/>
  <c r="BE821" i="48"/>
  <c r="BI820" i="48"/>
  <c r="BG820" i="48"/>
  <c r="BF820" i="48"/>
  <c r="BE820" i="48"/>
  <c r="BI819" i="48"/>
  <c r="BG819" i="48"/>
  <c r="BF819" i="48"/>
  <c r="BE819" i="48"/>
  <c r="BI818" i="48"/>
  <c r="BG818" i="48"/>
  <c r="BF818" i="48"/>
  <c r="BE818" i="48"/>
  <c r="BI817" i="48"/>
  <c r="BG817" i="48"/>
  <c r="BF817" i="48"/>
  <c r="BE817" i="48"/>
  <c r="BI816" i="48"/>
  <c r="BG816" i="48"/>
  <c r="BF816" i="48"/>
  <c r="BE816" i="48"/>
  <c r="BI815" i="48"/>
  <c r="BG815" i="48"/>
  <c r="BF815" i="48"/>
  <c r="BE815" i="48"/>
  <c r="BI814" i="48"/>
  <c r="BG814" i="48"/>
  <c r="BF814" i="48"/>
  <c r="BE814" i="48"/>
  <c r="BI813" i="48"/>
  <c r="BG813" i="48"/>
  <c r="BF813" i="48"/>
  <c r="BE813" i="48"/>
  <c r="BI812" i="48"/>
  <c r="BG812" i="48"/>
  <c r="BF812" i="48"/>
  <c r="BE812" i="48"/>
  <c r="BI811" i="48"/>
  <c r="BG811" i="48"/>
  <c r="BF811" i="48"/>
  <c r="BE811" i="48"/>
  <c r="BI810" i="48"/>
  <c r="BG810" i="48"/>
  <c r="BF810" i="48"/>
  <c r="BE810" i="48"/>
  <c r="BI809" i="48"/>
  <c r="BG809" i="48"/>
  <c r="BF809" i="48"/>
  <c r="BE809" i="48"/>
  <c r="BI808" i="48"/>
  <c r="BG808" i="48"/>
  <c r="BF808" i="48"/>
  <c r="BE808" i="48"/>
  <c r="BI807" i="48"/>
  <c r="BG807" i="48"/>
  <c r="BF807" i="48"/>
  <c r="BE807" i="48"/>
  <c r="BI806" i="48"/>
  <c r="BG806" i="48"/>
  <c r="BF806" i="48"/>
  <c r="BE806" i="48"/>
  <c r="BI805" i="48"/>
  <c r="BG805" i="48"/>
  <c r="BF805" i="48"/>
  <c r="BE805" i="48"/>
  <c r="BI804" i="48"/>
  <c r="BG804" i="48"/>
  <c r="BF804" i="48"/>
  <c r="BE804" i="48"/>
  <c r="BI803" i="48"/>
  <c r="BG803" i="48"/>
  <c r="BF803" i="48"/>
  <c r="BE803" i="48"/>
  <c r="BI802" i="48"/>
  <c r="BG802" i="48"/>
  <c r="BF802" i="48"/>
  <c r="BE802" i="48"/>
  <c r="BI801" i="48"/>
  <c r="BG801" i="48"/>
  <c r="BF801" i="48"/>
  <c r="BE801" i="48"/>
  <c r="BI800" i="48"/>
  <c r="BG800" i="48"/>
  <c r="BF800" i="48"/>
  <c r="BE800" i="48"/>
  <c r="BI799" i="48"/>
  <c r="BG799" i="48"/>
  <c r="BF799" i="48"/>
  <c r="BE799" i="48"/>
  <c r="BI798" i="48"/>
  <c r="BG798" i="48"/>
  <c r="BF798" i="48"/>
  <c r="BE798" i="48"/>
  <c r="BI797" i="48"/>
  <c r="BG797" i="48"/>
  <c r="BF797" i="48"/>
  <c r="BE797" i="48"/>
  <c r="BI796" i="48"/>
  <c r="BG796" i="48"/>
  <c r="BF796" i="48"/>
  <c r="BE796" i="48"/>
  <c r="BI795" i="48"/>
  <c r="BG795" i="48"/>
  <c r="BF795" i="48"/>
  <c r="BE795" i="48"/>
  <c r="BI794" i="48"/>
  <c r="BG794" i="48"/>
  <c r="BF794" i="48"/>
  <c r="BE794" i="48"/>
  <c r="BI793" i="48"/>
  <c r="BG793" i="48"/>
  <c r="BF793" i="48"/>
  <c r="BE793" i="48"/>
  <c r="BI792" i="48"/>
  <c r="BG792" i="48"/>
  <c r="BF792" i="48"/>
  <c r="BE792" i="48"/>
  <c r="BI791" i="48"/>
  <c r="BG791" i="48"/>
  <c r="BF791" i="48"/>
  <c r="BE791" i="48"/>
  <c r="BI790" i="48"/>
  <c r="BG790" i="48"/>
  <c r="BF790" i="48"/>
  <c r="BE790" i="48"/>
  <c r="BI789" i="48"/>
  <c r="BG789" i="48"/>
  <c r="BF789" i="48"/>
  <c r="BE789" i="48"/>
  <c r="BI788" i="48"/>
  <c r="BG788" i="48"/>
  <c r="BF788" i="48"/>
  <c r="BE788" i="48"/>
  <c r="BI787" i="48"/>
  <c r="BG787" i="48"/>
  <c r="BF787" i="48"/>
  <c r="BE787" i="48"/>
  <c r="BI786" i="48"/>
  <c r="BG786" i="48"/>
  <c r="BF786" i="48"/>
  <c r="BE786" i="48"/>
  <c r="BI785" i="48"/>
  <c r="BG785" i="48"/>
  <c r="BF785" i="48"/>
  <c r="BE785" i="48"/>
  <c r="BI784" i="48"/>
  <c r="BG784" i="48"/>
  <c r="BF784" i="48"/>
  <c r="BE784" i="48"/>
  <c r="BI783" i="48"/>
  <c r="BG783" i="48"/>
  <c r="BF783" i="48"/>
  <c r="BE783" i="48"/>
  <c r="BI782" i="48"/>
  <c r="BG782" i="48"/>
  <c r="BF782" i="48"/>
  <c r="BE782" i="48"/>
  <c r="BI781" i="48"/>
  <c r="BG781" i="48"/>
  <c r="BF781" i="48"/>
  <c r="BE781" i="48"/>
  <c r="BI780" i="48"/>
  <c r="BG780" i="48"/>
  <c r="BF780" i="48"/>
  <c r="BE780" i="48"/>
  <c r="BI779" i="48"/>
  <c r="BG779" i="48"/>
  <c r="BF779" i="48"/>
  <c r="BE779" i="48"/>
  <c r="BI778" i="48"/>
  <c r="BG778" i="48"/>
  <c r="BF778" i="48"/>
  <c r="BE778" i="48"/>
  <c r="BI777" i="48"/>
  <c r="BG777" i="48"/>
  <c r="BF777" i="48"/>
  <c r="BE777" i="48"/>
  <c r="BI776" i="48"/>
  <c r="BG776" i="48"/>
  <c r="BF776" i="48"/>
  <c r="BE776" i="48"/>
  <c r="BI775" i="48"/>
  <c r="BG775" i="48"/>
  <c r="BF775" i="48"/>
  <c r="BE775" i="48"/>
  <c r="BI774" i="48"/>
  <c r="BG774" i="48"/>
  <c r="BF774" i="48"/>
  <c r="BE774" i="48"/>
  <c r="BI773" i="48"/>
  <c r="BG773" i="48"/>
  <c r="BF773" i="48"/>
  <c r="BE773" i="48"/>
  <c r="BI772" i="48"/>
  <c r="BG772" i="48"/>
  <c r="BF772" i="48"/>
  <c r="BE772" i="48"/>
  <c r="BI771" i="48"/>
  <c r="BG771" i="48"/>
  <c r="BF771" i="48"/>
  <c r="BE771" i="48"/>
  <c r="BI770" i="48"/>
  <c r="BG770" i="48"/>
  <c r="BF770" i="48"/>
  <c r="BE770" i="48"/>
  <c r="BI769" i="48"/>
  <c r="BG769" i="48"/>
  <c r="BF769" i="48"/>
  <c r="BE769" i="48"/>
  <c r="BI768" i="48"/>
  <c r="BG768" i="48"/>
  <c r="BF768" i="48"/>
  <c r="BE768" i="48"/>
  <c r="BI767" i="48"/>
  <c r="BG767" i="48"/>
  <c r="BF767" i="48"/>
  <c r="BE767" i="48"/>
  <c r="BI766" i="48"/>
  <c r="BG766" i="48"/>
  <c r="BF766" i="48"/>
  <c r="BE766" i="48"/>
  <c r="BI765" i="48"/>
  <c r="BG765" i="48"/>
  <c r="BF765" i="48"/>
  <c r="BE765" i="48"/>
  <c r="BI764" i="48"/>
  <c r="BG764" i="48"/>
  <c r="BF764" i="48"/>
  <c r="BE764" i="48"/>
  <c r="BI763" i="48"/>
  <c r="BG763" i="48"/>
  <c r="BF763" i="48"/>
  <c r="BE763" i="48"/>
  <c r="BI762" i="48"/>
  <c r="BG762" i="48"/>
  <c r="BF762" i="48"/>
  <c r="BE762" i="48"/>
  <c r="BI761" i="48"/>
  <c r="BG761" i="48"/>
  <c r="BF761" i="48"/>
  <c r="BE761" i="48"/>
  <c r="BI760" i="48"/>
  <c r="BG760" i="48"/>
  <c r="BF760" i="48"/>
  <c r="BE760" i="48"/>
  <c r="BI759" i="48"/>
  <c r="BG759" i="48"/>
  <c r="BF759" i="48"/>
  <c r="BE759" i="48"/>
  <c r="BI758" i="48"/>
  <c r="BG758" i="48"/>
  <c r="BF758" i="48"/>
  <c r="BE758" i="48"/>
  <c r="BI757" i="48"/>
  <c r="BG757" i="48"/>
  <c r="BF757" i="48"/>
  <c r="BE757" i="48"/>
  <c r="BI756" i="48"/>
  <c r="BG756" i="48"/>
  <c r="BF756" i="48"/>
  <c r="BE756" i="48"/>
  <c r="BI755" i="48"/>
  <c r="BG755" i="48"/>
  <c r="BF755" i="48"/>
  <c r="BE755" i="48"/>
  <c r="BI754" i="48"/>
  <c r="BG754" i="48"/>
  <c r="BF754" i="48"/>
  <c r="BE754" i="48"/>
  <c r="BI753" i="48"/>
  <c r="BG753" i="48"/>
  <c r="BF753" i="48"/>
  <c r="BE753" i="48"/>
  <c r="BI752" i="48"/>
  <c r="BG752" i="48"/>
  <c r="BF752" i="48"/>
  <c r="BE752" i="48"/>
  <c r="BI751" i="48"/>
  <c r="BG751" i="48"/>
  <c r="BF751" i="48"/>
  <c r="BE751" i="48"/>
  <c r="BI750" i="48"/>
  <c r="BG750" i="48"/>
  <c r="BF750" i="48"/>
  <c r="BE750" i="48"/>
  <c r="BI749" i="48"/>
  <c r="BG749" i="48"/>
  <c r="BF749" i="48"/>
  <c r="BE749" i="48"/>
  <c r="BI748" i="48"/>
  <c r="BG748" i="48"/>
  <c r="BF748" i="48"/>
  <c r="BE748" i="48"/>
  <c r="BI747" i="48"/>
  <c r="BG747" i="48"/>
  <c r="BF747" i="48"/>
  <c r="BE747" i="48"/>
  <c r="BI746" i="48"/>
  <c r="BG746" i="48"/>
  <c r="BF746" i="48"/>
  <c r="BE746" i="48"/>
  <c r="BI745" i="48"/>
  <c r="BG745" i="48"/>
  <c r="BF745" i="48"/>
  <c r="BE745" i="48"/>
  <c r="BI744" i="48"/>
  <c r="BG744" i="48"/>
  <c r="BF744" i="48"/>
  <c r="BE744" i="48"/>
  <c r="BI743" i="48"/>
  <c r="BG743" i="48"/>
  <c r="BF743" i="48"/>
  <c r="BE743" i="48"/>
  <c r="BI742" i="48"/>
  <c r="BG742" i="48"/>
  <c r="BF742" i="48"/>
  <c r="BE742" i="48"/>
  <c r="BI741" i="48"/>
  <c r="BG741" i="48"/>
  <c r="BF741" i="48"/>
  <c r="BE741" i="48"/>
  <c r="BI740" i="48"/>
  <c r="BG740" i="48"/>
  <c r="BF740" i="48"/>
  <c r="BE740" i="48"/>
  <c r="BI739" i="48"/>
  <c r="BG739" i="48"/>
  <c r="BF739" i="48"/>
  <c r="BE739" i="48"/>
  <c r="BI738" i="48"/>
  <c r="BG738" i="48"/>
  <c r="BF738" i="48"/>
  <c r="BE738" i="48"/>
  <c r="BI737" i="48"/>
  <c r="BG737" i="48"/>
  <c r="BF737" i="48"/>
  <c r="BE737" i="48"/>
  <c r="BI736" i="48"/>
  <c r="BG736" i="48"/>
  <c r="BF736" i="48"/>
  <c r="BE736" i="48"/>
  <c r="BI735" i="48"/>
  <c r="BG735" i="48"/>
  <c r="BF735" i="48"/>
  <c r="BE735" i="48"/>
  <c r="BI734" i="48"/>
  <c r="BG734" i="48"/>
  <c r="BF734" i="48"/>
  <c r="BE734" i="48"/>
  <c r="BI733" i="48"/>
  <c r="BG733" i="48"/>
  <c r="BF733" i="48"/>
  <c r="BE733" i="48"/>
  <c r="BI732" i="48"/>
  <c r="BG732" i="48"/>
  <c r="BF732" i="48"/>
  <c r="BE732" i="48"/>
  <c r="BI731" i="48"/>
  <c r="BG731" i="48"/>
  <c r="BF731" i="48"/>
  <c r="BE731" i="48"/>
  <c r="BI730" i="48"/>
  <c r="BG730" i="48"/>
  <c r="BF730" i="48"/>
  <c r="BE730" i="48"/>
  <c r="BI729" i="48"/>
  <c r="BG729" i="48"/>
  <c r="BF729" i="48"/>
  <c r="BE729" i="48"/>
  <c r="BI728" i="48"/>
  <c r="BG728" i="48"/>
  <c r="BF728" i="48"/>
  <c r="BE728" i="48"/>
  <c r="BI727" i="48"/>
  <c r="BG727" i="48"/>
  <c r="BF727" i="48"/>
  <c r="BE727" i="48"/>
  <c r="BI726" i="48"/>
  <c r="BG726" i="48"/>
  <c r="BF726" i="48"/>
  <c r="BE726" i="48"/>
  <c r="BI725" i="48"/>
  <c r="BG725" i="48"/>
  <c r="BF725" i="48"/>
  <c r="BE725" i="48"/>
  <c r="BI724" i="48"/>
  <c r="BG724" i="48"/>
  <c r="BF724" i="48"/>
  <c r="BE724" i="48"/>
  <c r="BI723" i="48"/>
  <c r="BG723" i="48"/>
  <c r="BF723" i="48"/>
  <c r="BE723" i="48"/>
  <c r="BI722" i="48"/>
  <c r="BG722" i="48"/>
  <c r="BF722" i="48"/>
  <c r="BE722" i="48"/>
  <c r="BI721" i="48"/>
  <c r="BG721" i="48"/>
  <c r="BF721" i="48"/>
  <c r="BE721" i="48"/>
  <c r="BI720" i="48"/>
  <c r="BG720" i="48"/>
  <c r="BF720" i="48"/>
  <c r="BE720" i="48"/>
  <c r="BI719" i="48"/>
  <c r="BG719" i="48"/>
  <c r="BF719" i="48"/>
  <c r="BE719" i="48"/>
  <c r="BI718" i="48"/>
  <c r="BG718" i="48"/>
  <c r="BF718" i="48"/>
  <c r="BE718" i="48"/>
  <c r="BI717" i="48"/>
  <c r="BG717" i="48"/>
  <c r="BF717" i="48"/>
  <c r="BE717" i="48"/>
  <c r="BI716" i="48"/>
  <c r="BG716" i="48"/>
  <c r="BF716" i="48"/>
  <c r="BE716" i="48"/>
  <c r="BI715" i="48"/>
  <c r="BG715" i="48"/>
  <c r="BF715" i="48"/>
  <c r="BE715" i="48"/>
  <c r="BI714" i="48"/>
  <c r="BG714" i="48"/>
  <c r="BF714" i="48"/>
  <c r="BE714" i="48"/>
  <c r="BI713" i="48"/>
  <c r="BG713" i="48"/>
  <c r="BF713" i="48"/>
  <c r="BE713" i="48"/>
  <c r="BI712" i="48"/>
  <c r="BG712" i="48"/>
  <c r="BF712" i="48"/>
  <c r="BE712" i="48"/>
  <c r="BI711" i="48"/>
  <c r="BG711" i="48"/>
  <c r="BF711" i="48"/>
  <c r="BE711" i="48"/>
  <c r="BI710" i="48"/>
  <c r="BG710" i="48"/>
  <c r="BF710" i="48"/>
  <c r="BE710" i="48"/>
  <c r="BI709" i="48"/>
  <c r="BG709" i="48"/>
  <c r="BF709" i="48"/>
  <c r="BE709" i="48"/>
  <c r="BI708" i="48"/>
  <c r="BG708" i="48"/>
  <c r="BF708" i="48"/>
  <c r="BE708" i="48"/>
  <c r="BI707" i="48"/>
  <c r="BG707" i="48"/>
  <c r="BF707" i="48"/>
  <c r="BE707" i="48"/>
  <c r="BI706" i="48"/>
  <c r="BG706" i="48"/>
  <c r="BF706" i="48"/>
  <c r="BE706" i="48"/>
  <c r="BI705" i="48"/>
  <c r="BG705" i="48"/>
  <c r="BF705" i="48"/>
  <c r="BE705" i="48"/>
  <c r="BI704" i="48"/>
  <c r="BG704" i="48"/>
  <c r="BF704" i="48"/>
  <c r="BE704" i="48"/>
  <c r="BI703" i="48"/>
  <c r="BG703" i="48"/>
  <c r="BF703" i="48"/>
  <c r="BE703" i="48"/>
  <c r="BI702" i="48"/>
  <c r="BG702" i="48"/>
  <c r="BF702" i="48"/>
  <c r="BE702" i="48"/>
  <c r="BI701" i="48"/>
  <c r="BG701" i="48"/>
  <c r="BF701" i="48"/>
  <c r="BE701" i="48"/>
  <c r="BI700" i="48"/>
  <c r="BG700" i="48"/>
  <c r="BF700" i="48"/>
  <c r="BE700" i="48"/>
  <c r="BI699" i="48"/>
  <c r="BG699" i="48"/>
  <c r="BF699" i="48"/>
  <c r="BE699" i="48"/>
  <c r="BI698" i="48"/>
  <c r="BG698" i="48"/>
  <c r="BF698" i="48"/>
  <c r="BE698" i="48"/>
  <c r="BI697" i="48"/>
  <c r="BG697" i="48"/>
  <c r="BF697" i="48"/>
  <c r="BE697" i="48"/>
  <c r="BI696" i="48"/>
  <c r="BG696" i="48"/>
  <c r="BF696" i="48"/>
  <c r="BE696" i="48"/>
  <c r="BI695" i="48"/>
  <c r="BG695" i="48"/>
  <c r="BF695" i="48"/>
  <c r="BE695" i="48"/>
  <c r="BI694" i="48"/>
  <c r="BG694" i="48"/>
  <c r="BF694" i="48"/>
  <c r="BE694" i="48"/>
  <c r="BI693" i="48"/>
  <c r="BG693" i="48"/>
  <c r="BF693" i="48"/>
  <c r="BE693" i="48"/>
  <c r="BI692" i="48"/>
  <c r="BG692" i="48"/>
  <c r="BF692" i="48"/>
  <c r="BE692" i="48"/>
  <c r="BI691" i="48"/>
  <c r="BG691" i="48"/>
  <c r="BF691" i="48"/>
  <c r="BE691" i="48"/>
  <c r="BI690" i="48"/>
  <c r="BG690" i="48"/>
  <c r="BF690" i="48"/>
  <c r="BE690" i="48"/>
  <c r="BI689" i="48"/>
  <c r="BG689" i="48"/>
  <c r="BF689" i="48"/>
  <c r="BE689" i="48"/>
  <c r="BI688" i="48"/>
  <c r="BG688" i="48"/>
  <c r="BF688" i="48"/>
  <c r="BE688" i="48"/>
  <c r="BI687" i="48"/>
  <c r="BG687" i="48"/>
  <c r="BF687" i="48"/>
  <c r="BE687" i="48"/>
  <c r="BI686" i="48"/>
  <c r="BG686" i="48"/>
  <c r="BF686" i="48"/>
  <c r="BE686" i="48"/>
  <c r="BI685" i="48"/>
  <c r="BG685" i="48"/>
  <c r="BF685" i="48"/>
  <c r="BE685" i="48"/>
  <c r="BI684" i="48"/>
  <c r="BG684" i="48"/>
  <c r="BF684" i="48"/>
  <c r="BE684" i="48"/>
  <c r="BI683" i="48"/>
  <c r="BG683" i="48"/>
  <c r="BF683" i="48"/>
  <c r="BE683" i="48"/>
  <c r="BI682" i="48"/>
  <c r="BG682" i="48"/>
  <c r="BF682" i="48"/>
  <c r="BE682" i="48"/>
  <c r="BI681" i="48"/>
  <c r="BG681" i="48"/>
  <c r="BF681" i="48"/>
  <c r="BE681" i="48"/>
  <c r="BI680" i="48"/>
  <c r="BG680" i="48"/>
  <c r="BF680" i="48"/>
  <c r="BE680" i="48"/>
  <c r="BI679" i="48"/>
  <c r="BG679" i="48"/>
  <c r="BF679" i="48"/>
  <c r="BE679" i="48"/>
  <c r="BI678" i="48"/>
  <c r="BG678" i="48"/>
  <c r="BF678" i="48"/>
  <c r="BE678" i="48"/>
  <c r="BI677" i="48"/>
  <c r="BG677" i="48"/>
  <c r="BF677" i="48"/>
  <c r="BE677" i="48"/>
  <c r="BI676" i="48"/>
  <c r="BG676" i="48"/>
  <c r="BF676" i="48"/>
  <c r="BE676" i="48"/>
  <c r="BI675" i="48"/>
  <c r="BG675" i="48"/>
  <c r="BF675" i="48"/>
  <c r="BE675" i="48"/>
  <c r="BI674" i="48"/>
  <c r="BG674" i="48"/>
  <c r="BF674" i="48"/>
  <c r="BE674" i="48"/>
  <c r="BI673" i="48"/>
  <c r="BG673" i="48"/>
  <c r="BF673" i="48"/>
  <c r="BE673" i="48"/>
  <c r="BI672" i="48"/>
  <c r="BG672" i="48"/>
  <c r="BF672" i="48"/>
  <c r="BE672" i="48"/>
  <c r="BI671" i="48"/>
  <c r="BG671" i="48"/>
  <c r="BF671" i="48"/>
  <c r="BE671" i="48"/>
  <c r="BI670" i="48"/>
  <c r="BG670" i="48"/>
  <c r="BF670" i="48"/>
  <c r="BE670" i="48"/>
  <c r="BI669" i="48"/>
  <c r="BG669" i="48"/>
  <c r="BF669" i="48"/>
  <c r="BE669" i="48"/>
  <c r="BI668" i="48"/>
  <c r="BG668" i="48"/>
  <c r="BF668" i="48"/>
  <c r="BE668" i="48"/>
  <c r="BI667" i="48"/>
  <c r="BG667" i="48"/>
  <c r="BF667" i="48"/>
  <c r="BE667" i="48"/>
  <c r="BI666" i="48"/>
  <c r="BG666" i="48"/>
  <c r="BF666" i="48"/>
  <c r="BE666" i="48"/>
  <c r="BI665" i="48"/>
  <c r="BG665" i="48"/>
  <c r="BF665" i="48"/>
  <c r="BE665" i="48"/>
  <c r="BI664" i="48"/>
  <c r="BG664" i="48"/>
  <c r="BF664" i="48"/>
  <c r="BE664" i="48"/>
  <c r="BI663" i="48"/>
  <c r="BG663" i="48"/>
  <c r="BF663" i="48"/>
  <c r="BE663" i="48"/>
  <c r="BI662" i="48"/>
  <c r="BG662" i="48"/>
  <c r="BF662" i="48"/>
  <c r="BE662" i="48"/>
  <c r="BI661" i="48"/>
  <c r="BG661" i="48"/>
  <c r="BF661" i="48"/>
  <c r="BE661" i="48"/>
  <c r="BI660" i="48"/>
  <c r="BG660" i="48"/>
  <c r="BF660" i="48"/>
  <c r="BE660" i="48"/>
  <c r="BI659" i="48"/>
  <c r="BG659" i="48"/>
  <c r="BF659" i="48"/>
  <c r="BE659" i="48"/>
  <c r="BI658" i="48"/>
  <c r="BG658" i="48"/>
  <c r="BF658" i="48"/>
  <c r="BE658" i="48"/>
  <c r="BI657" i="48"/>
  <c r="BG657" i="48"/>
  <c r="BF657" i="48"/>
  <c r="BE657" i="48"/>
  <c r="BI656" i="48"/>
  <c r="BG656" i="48"/>
  <c r="BF656" i="48"/>
  <c r="BE656" i="48"/>
  <c r="BI655" i="48"/>
  <c r="BG655" i="48"/>
  <c r="BF655" i="48"/>
  <c r="BE655" i="48"/>
  <c r="BI654" i="48"/>
  <c r="BG654" i="48"/>
  <c r="BF654" i="48"/>
  <c r="BE654" i="48"/>
  <c r="BI653" i="48"/>
  <c r="BG653" i="48"/>
  <c r="BF653" i="48"/>
  <c r="BE653" i="48"/>
  <c r="BI652" i="48"/>
  <c r="BG652" i="48"/>
  <c r="BF652" i="48"/>
  <c r="BE652" i="48"/>
  <c r="BI651" i="48"/>
  <c r="BG651" i="48"/>
  <c r="BF651" i="48"/>
  <c r="BE651" i="48"/>
  <c r="BI650" i="48"/>
  <c r="BG650" i="48"/>
  <c r="BF650" i="48"/>
  <c r="BE650" i="48"/>
  <c r="BI649" i="48"/>
  <c r="BG649" i="48"/>
  <c r="BF649" i="48"/>
  <c r="BE649" i="48"/>
  <c r="BI648" i="48"/>
  <c r="BG648" i="48"/>
  <c r="BF648" i="48"/>
  <c r="BE648" i="48"/>
  <c r="BI647" i="48"/>
  <c r="BG647" i="48"/>
  <c r="BF647" i="48"/>
  <c r="BE647" i="48"/>
  <c r="BI646" i="48"/>
  <c r="BG646" i="48"/>
  <c r="BF646" i="48"/>
  <c r="BE646" i="48"/>
  <c r="BI645" i="48"/>
  <c r="BG645" i="48"/>
  <c r="BF645" i="48"/>
  <c r="BE645" i="48"/>
  <c r="BI644" i="48"/>
  <c r="BG644" i="48"/>
  <c r="BF644" i="48"/>
  <c r="BE644" i="48"/>
  <c r="BI643" i="48"/>
  <c r="BG643" i="48"/>
  <c r="BF643" i="48"/>
  <c r="BE643" i="48"/>
  <c r="BI642" i="48"/>
  <c r="BG642" i="48"/>
  <c r="BF642" i="48"/>
  <c r="BE642" i="48"/>
  <c r="BI641" i="48"/>
  <c r="BG641" i="48"/>
  <c r="BF641" i="48"/>
  <c r="BE641" i="48"/>
  <c r="BI640" i="48"/>
  <c r="BG640" i="48"/>
  <c r="BF640" i="48"/>
  <c r="BE640" i="48"/>
  <c r="BI639" i="48"/>
  <c r="BG639" i="48"/>
  <c r="BF639" i="48"/>
  <c r="BE639" i="48"/>
  <c r="BI638" i="48"/>
  <c r="BG638" i="48"/>
  <c r="BF638" i="48"/>
  <c r="BE638" i="48"/>
  <c r="BI637" i="48"/>
  <c r="BG637" i="48"/>
  <c r="BF637" i="48"/>
  <c r="BE637" i="48"/>
  <c r="BI636" i="48"/>
  <c r="BG636" i="48"/>
  <c r="BF636" i="48"/>
  <c r="BE636" i="48"/>
  <c r="BI635" i="48"/>
  <c r="BG635" i="48"/>
  <c r="BF635" i="48"/>
  <c r="BE635" i="48"/>
  <c r="BI634" i="48"/>
  <c r="BG634" i="48"/>
  <c r="BF634" i="48"/>
  <c r="BE634" i="48"/>
  <c r="BI633" i="48"/>
  <c r="BG633" i="48"/>
  <c r="BF633" i="48"/>
  <c r="BE633" i="48"/>
  <c r="BI632" i="48"/>
  <c r="BG632" i="48"/>
  <c r="BF632" i="48"/>
  <c r="BE632" i="48"/>
  <c r="BI631" i="48"/>
  <c r="BG631" i="48"/>
  <c r="BF631" i="48"/>
  <c r="BE631" i="48"/>
  <c r="BI630" i="48"/>
  <c r="BG630" i="48"/>
  <c r="BF630" i="48"/>
  <c r="BE630" i="48"/>
  <c r="BI629" i="48"/>
  <c r="BG629" i="48"/>
  <c r="BF629" i="48"/>
  <c r="BE629" i="48"/>
  <c r="BI628" i="48"/>
  <c r="BG628" i="48"/>
  <c r="BF628" i="48"/>
  <c r="BE628" i="48"/>
  <c r="BI627" i="48"/>
  <c r="BG627" i="48"/>
  <c r="BF627" i="48"/>
  <c r="BE627" i="48"/>
  <c r="BI626" i="48"/>
  <c r="BG626" i="48"/>
  <c r="BF626" i="48"/>
  <c r="BE626" i="48"/>
  <c r="BI625" i="48"/>
  <c r="BG625" i="48"/>
  <c r="BF625" i="48"/>
  <c r="BE625" i="48"/>
  <c r="BI624" i="48"/>
  <c r="BG624" i="48"/>
  <c r="BF624" i="48"/>
  <c r="BE624" i="48"/>
  <c r="BI623" i="48"/>
  <c r="BG623" i="48"/>
  <c r="BF623" i="48"/>
  <c r="BE623" i="48"/>
  <c r="BI622" i="48"/>
  <c r="BG622" i="48"/>
  <c r="BF622" i="48"/>
  <c r="BE622" i="48"/>
  <c r="BI621" i="48"/>
  <c r="BG621" i="48"/>
  <c r="BF621" i="48"/>
  <c r="BE621" i="48"/>
  <c r="BI620" i="48"/>
  <c r="BG620" i="48"/>
  <c r="BF620" i="48"/>
  <c r="BE620" i="48"/>
  <c r="BI619" i="48"/>
  <c r="BG619" i="48"/>
  <c r="BF619" i="48"/>
  <c r="BE619" i="48"/>
  <c r="BI618" i="48"/>
  <c r="BG618" i="48"/>
  <c r="BF618" i="48"/>
  <c r="BE618" i="48"/>
  <c r="BI617" i="48"/>
  <c r="BG617" i="48"/>
  <c r="BF617" i="48"/>
  <c r="BE617" i="48"/>
  <c r="BI616" i="48"/>
  <c r="BG616" i="48"/>
  <c r="BF616" i="48"/>
  <c r="BE616" i="48"/>
  <c r="BI615" i="48"/>
  <c r="BG615" i="48"/>
  <c r="BF615" i="48"/>
  <c r="BE615" i="48"/>
  <c r="BI614" i="48"/>
  <c r="BG614" i="48"/>
  <c r="BF614" i="48"/>
  <c r="BE614" i="48"/>
  <c r="BI613" i="48"/>
  <c r="BG613" i="48"/>
  <c r="BF613" i="48"/>
  <c r="BE613" i="48"/>
  <c r="BI612" i="48"/>
  <c r="BG612" i="48"/>
  <c r="BF612" i="48"/>
  <c r="BE612" i="48"/>
  <c r="BI611" i="48"/>
  <c r="BG611" i="48"/>
  <c r="BF611" i="48"/>
  <c r="BE611" i="48"/>
  <c r="BI610" i="48"/>
  <c r="BG610" i="48"/>
  <c r="BF610" i="48"/>
  <c r="BE610" i="48"/>
  <c r="BI609" i="48"/>
  <c r="BG609" i="48"/>
  <c r="BF609" i="48"/>
  <c r="BE609" i="48"/>
  <c r="BI608" i="48"/>
  <c r="BG608" i="48"/>
  <c r="BF608" i="48"/>
  <c r="BE608" i="48"/>
  <c r="BI607" i="48"/>
  <c r="BG607" i="48"/>
  <c r="BF607" i="48"/>
  <c r="BE607" i="48"/>
  <c r="BI606" i="48"/>
  <c r="BG606" i="48"/>
  <c r="BF606" i="48"/>
  <c r="BE606" i="48"/>
  <c r="BI605" i="48"/>
  <c r="BG605" i="48"/>
  <c r="BF605" i="48"/>
  <c r="BE605" i="48"/>
  <c r="BI604" i="48"/>
  <c r="BG604" i="48"/>
  <c r="BF604" i="48"/>
  <c r="BE604" i="48"/>
  <c r="BI603" i="48"/>
  <c r="BG603" i="48"/>
  <c r="BF603" i="48"/>
  <c r="BE603" i="48"/>
  <c r="BI602" i="48"/>
  <c r="BG602" i="48"/>
  <c r="BF602" i="48"/>
  <c r="BE602" i="48"/>
  <c r="BI601" i="48"/>
  <c r="BG601" i="48"/>
  <c r="BF601" i="48"/>
  <c r="BE601" i="48"/>
  <c r="BI600" i="48"/>
  <c r="BG600" i="48"/>
  <c r="BF600" i="48"/>
  <c r="BE600" i="48"/>
  <c r="BI599" i="48"/>
  <c r="BG599" i="48"/>
  <c r="BF599" i="48"/>
  <c r="BE599" i="48"/>
  <c r="BI598" i="48"/>
  <c r="BG598" i="48"/>
  <c r="BF598" i="48"/>
  <c r="BE598" i="48"/>
  <c r="BI597" i="48"/>
  <c r="BG597" i="48"/>
  <c r="BF597" i="48"/>
  <c r="BE597" i="48"/>
  <c r="BI596" i="48"/>
  <c r="BG596" i="48"/>
  <c r="BF596" i="48"/>
  <c r="BE596" i="48"/>
  <c r="BI595" i="48"/>
  <c r="BG595" i="48"/>
  <c r="BF595" i="48"/>
  <c r="BE595" i="48"/>
  <c r="BI594" i="48"/>
  <c r="BG594" i="48"/>
  <c r="BF594" i="48"/>
  <c r="BE594" i="48"/>
  <c r="BI593" i="48"/>
  <c r="BG593" i="48"/>
  <c r="BF593" i="48"/>
  <c r="BE593" i="48"/>
  <c r="BI592" i="48"/>
  <c r="BG592" i="48"/>
  <c r="BF592" i="48"/>
  <c r="BE592" i="48"/>
  <c r="BI591" i="48"/>
  <c r="BG591" i="48"/>
  <c r="BF591" i="48"/>
  <c r="BE591" i="48"/>
  <c r="BI590" i="48"/>
  <c r="BG590" i="48"/>
  <c r="BF590" i="48"/>
  <c r="BE590" i="48"/>
  <c r="BI589" i="48"/>
  <c r="BG589" i="48"/>
  <c r="BF589" i="48"/>
  <c r="BE589" i="48"/>
  <c r="BI588" i="48"/>
  <c r="BG588" i="48"/>
  <c r="BF588" i="48"/>
  <c r="BE588" i="48"/>
  <c r="BI587" i="48"/>
  <c r="BG587" i="48"/>
  <c r="BF587" i="48"/>
  <c r="BE587" i="48"/>
  <c r="BI586" i="48"/>
  <c r="BG586" i="48"/>
  <c r="BF586" i="48"/>
  <c r="BE586" i="48"/>
  <c r="BI585" i="48"/>
  <c r="BG585" i="48"/>
  <c r="BF585" i="48"/>
  <c r="BE585" i="48"/>
  <c r="BI584" i="48"/>
  <c r="BG584" i="48"/>
  <c r="BF584" i="48"/>
  <c r="BE584" i="48"/>
  <c r="BI583" i="48"/>
  <c r="BG583" i="48"/>
  <c r="BF583" i="48"/>
  <c r="BE583" i="48"/>
  <c r="BI582" i="48"/>
  <c r="BG582" i="48"/>
  <c r="BF582" i="48"/>
  <c r="BE582" i="48"/>
  <c r="BI581" i="48"/>
  <c r="BG581" i="48"/>
  <c r="BF581" i="48"/>
  <c r="BE581" i="48"/>
  <c r="BI580" i="48"/>
  <c r="BG580" i="48"/>
  <c r="BF580" i="48"/>
  <c r="BE580" i="48"/>
  <c r="BI579" i="48"/>
  <c r="BG579" i="48"/>
  <c r="BF579" i="48"/>
  <c r="BE579" i="48"/>
  <c r="BI578" i="48"/>
  <c r="BG578" i="48"/>
  <c r="BF578" i="48"/>
  <c r="BE578" i="48"/>
  <c r="BI577" i="48"/>
  <c r="BG577" i="48"/>
  <c r="BF577" i="48"/>
  <c r="BE577" i="48"/>
  <c r="BI576" i="48"/>
  <c r="BG576" i="48"/>
  <c r="BF576" i="48"/>
  <c r="BE576" i="48"/>
  <c r="BI575" i="48"/>
  <c r="BG575" i="48"/>
  <c r="BF575" i="48"/>
  <c r="BE575" i="48"/>
  <c r="BI574" i="48"/>
  <c r="BG574" i="48"/>
  <c r="BF574" i="48"/>
  <c r="BE574" i="48"/>
  <c r="BI573" i="48"/>
  <c r="BG573" i="48"/>
  <c r="BF573" i="48"/>
  <c r="BE573" i="48"/>
  <c r="BI572" i="48"/>
  <c r="BG572" i="48"/>
  <c r="BF572" i="48"/>
  <c r="BE572" i="48"/>
  <c r="BI571" i="48"/>
  <c r="BG571" i="48"/>
  <c r="BF571" i="48"/>
  <c r="BE571" i="48"/>
  <c r="BI570" i="48"/>
  <c r="BG570" i="48"/>
  <c r="BF570" i="48"/>
  <c r="BE570" i="48"/>
  <c r="BI569" i="48"/>
  <c r="BG569" i="48"/>
  <c r="BF569" i="48"/>
  <c r="BE569" i="48"/>
  <c r="BI568" i="48"/>
  <c r="BG568" i="48"/>
  <c r="BF568" i="48"/>
  <c r="BE568" i="48"/>
  <c r="BI567" i="48"/>
  <c r="BG567" i="48"/>
  <c r="BF567" i="48"/>
  <c r="BE567" i="48"/>
  <c r="BI566" i="48"/>
  <c r="BG566" i="48"/>
  <c r="BF566" i="48"/>
  <c r="BE566" i="48"/>
  <c r="BI565" i="48"/>
  <c r="BG565" i="48"/>
  <c r="BF565" i="48"/>
  <c r="BE565" i="48"/>
  <c r="BI564" i="48"/>
  <c r="BG564" i="48"/>
  <c r="BF564" i="48"/>
  <c r="BE564" i="48"/>
  <c r="BI563" i="48"/>
  <c r="BG563" i="48"/>
  <c r="BF563" i="48"/>
  <c r="BE563" i="48"/>
  <c r="BI562" i="48"/>
  <c r="BG562" i="48"/>
  <c r="BF562" i="48"/>
  <c r="BE562" i="48"/>
  <c r="BI561" i="48"/>
  <c r="BG561" i="48"/>
  <c r="BF561" i="48"/>
  <c r="BE561" i="48"/>
  <c r="BI560" i="48"/>
  <c r="BG560" i="48"/>
  <c r="BF560" i="48"/>
  <c r="BE560" i="48"/>
  <c r="BI559" i="48"/>
  <c r="BG559" i="48"/>
  <c r="BF559" i="48"/>
  <c r="BE559" i="48"/>
  <c r="BI558" i="48"/>
  <c r="BG558" i="48"/>
  <c r="BF558" i="48"/>
  <c r="BE558" i="48"/>
  <c r="BI557" i="48"/>
  <c r="BG557" i="48"/>
  <c r="BF557" i="48"/>
  <c r="BE557" i="48"/>
  <c r="BI556" i="48"/>
  <c r="BG556" i="48"/>
  <c r="BF556" i="48"/>
  <c r="BE556" i="48"/>
  <c r="BI555" i="48"/>
  <c r="BG555" i="48"/>
  <c r="BF555" i="48"/>
  <c r="BE555" i="48"/>
  <c r="BI554" i="48"/>
  <c r="BG554" i="48"/>
  <c r="BF554" i="48"/>
  <c r="BE554" i="48"/>
  <c r="BI553" i="48"/>
  <c r="BG553" i="48"/>
  <c r="BF553" i="48"/>
  <c r="BE553" i="48"/>
  <c r="BI552" i="48"/>
  <c r="BG552" i="48"/>
  <c r="BF552" i="48"/>
  <c r="BE552" i="48"/>
  <c r="BI551" i="48"/>
  <c r="BG551" i="48"/>
  <c r="BF551" i="48"/>
  <c r="BE551" i="48"/>
  <c r="BI550" i="48"/>
  <c r="BG550" i="48"/>
  <c r="BF550" i="48"/>
  <c r="BE550" i="48"/>
  <c r="BI549" i="48"/>
  <c r="BG549" i="48"/>
  <c r="BF549" i="48"/>
  <c r="BE549" i="48"/>
  <c r="BI548" i="48"/>
  <c r="BG548" i="48"/>
  <c r="BF548" i="48"/>
  <c r="BE548" i="48"/>
  <c r="BI547" i="48"/>
  <c r="BG547" i="48"/>
  <c r="BF547" i="48"/>
  <c r="BE547" i="48"/>
  <c r="BI546" i="48"/>
  <c r="BG546" i="48"/>
  <c r="BF546" i="48"/>
  <c r="BE546" i="48"/>
  <c r="BI545" i="48"/>
  <c r="BG545" i="48"/>
  <c r="BF545" i="48"/>
  <c r="BE545" i="48"/>
  <c r="BI544" i="48"/>
  <c r="BG544" i="48"/>
  <c r="BF544" i="48"/>
  <c r="BE544" i="48"/>
  <c r="BI543" i="48"/>
  <c r="BG543" i="48"/>
  <c r="BF543" i="48"/>
  <c r="BE543" i="48"/>
  <c r="BI542" i="48"/>
  <c r="BG542" i="48"/>
  <c r="BF542" i="48"/>
  <c r="BE542" i="48"/>
  <c r="BI541" i="48"/>
  <c r="BG541" i="48"/>
  <c r="BF541" i="48"/>
  <c r="BE541" i="48"/>
  <c r="BI540" i="48"/>
  <c r="BG540" i="48"/>
  <c r="BF540" i="48"/>
  <c r="BE540" i="48"/>
  <c r="BI539" i="48"/>
  <c r="BG539" i="48"/>
  <c r="BF539" i="48"/>
  <c r="BE539" i="48"/>
  <c r="BI538" i="48"/>
  <c r="BG538" i="48"/>
  <c r="BF538" i="48"/>
  <c r="BE538" i="48"/>
  <c r="BI537" i="48"/>
  <c r="BG537" i="48"/>
  <c r="BF537" i="48"/>
  <c r="BE537" i="48"/>
  <c r="BI536" i="48"/>
  <c r="BG536" i="48"/>
  <c r="BF536" i="48"/>
  <c r="BE536" i="48"/>
  <c r="BI535" i="48"/>
  <c r="BG535" i="48"/>
  <c r="BF535" i="48"/>
  <c r="BE535" i="48"/>
  <c r="BI534" i="48"/>
  <c r="BG534" i="48"/>
  <c r="BF534" i="48"/>
  <c r="BE534" i="48"/>
  <c r="BI533" i="48"/>
  <c r="BG533" i="48"/>
  <c r="BF533" i="48"/>
  <c r="BE533" i="48"/>
  <c r="BI532" i="48"/>
  <c r="BG532" i="48"/>
  <c r="BF532" i="48"/>
  <c r="BE532" i="48"/>
  <c r="BI531" i="48"/>
  <c r="BG531" i="48"/>
  <c r="BF531" i="48"/>
  <c r="BE531" i="48"/>
  <c r="BI530" i="48"/>
  <c r="BG530" i="48"/>
  <c r="BF530" i="48"/>
  <c r="BE530" i="48"/>
  <c r="BI529" i="48"/>
  <c r="BG529" i="48"/>
  <c r="BF529" i="48"/>
  <c r="BE529" i="48"/>
  <c r="BI528" i="48"/>
  <c r="BG528" i="48"/>
  <c r="BF528" i="48"/>
  <c r="BE528" i="48"/>
  <c r="BI527" i="48"/>
  <c r="BG527" i="48"/>
  <c r="BF527" i="48"/>
  <c r="BE527" i="48"/>
  <c r="BI526" i="48"/>
  <c r="BG526" i="48"/>
  <c r="BF526" i="48"/>
  <c r="BE526" i="48"/>
  <c r="BI525" i="48"/>
  <c r="BG525" i="48"/>
  <c r="BF525" i="48"/>
  <c r="BE525" i="48"/>
  <c r="BI524" i="48"/>
  <c r="BG524" i="48"/>
  <c r="BF524" i="48"/>
  <c r="BE524" i="48"/>
  <c r="BI523" i="48"/>
  <c r="BG523" i="48"/>
  <c r="BF523" i="48"/>
  <c r="BE523" i="48"/>
  <c r="BI522" i="48"/>
  <c r="BG522" i="48"/>
  <c r="BF522" i="48"/>
  <c r="BE522" i="48"/>
  <c r="BI521" i="48"/>
  <c r="BG521" i="48"/>
  <c r="BF521" i="48"/>
  <c r="BE521" i="48"/>
  <c r="BI520" i="48"/>
  <c r="BG520" i="48"/>
  <c r="BF520" i="48"/>
  <c r="BE520" i="48"/>
  <c r="BI519" i="48"/>
  <c r="BG519" i="48"/>
  <c r="BF519" i="48"/>
  <c r="BE519" i="48"/>
  <c r="BI518" i="48"/>
  <c r="BG518" i="48"/>
  <c r="BF518" i="48"/>
  <c r="BE518" i="48"/>
  <c r="BI517" i="48"/>
  <c r="BG517" i="48"/>
  <c r="BF517" i="48"/>
  <c r="BE517" i="48"/>
  <c r="BI516" i="48"/>
  <c r="BG516" i="48"/>
  <c r="BF516" i="48"/>
  <c r="BE516" i="48"/>
  <c r="BI515" i="48"/>
  <c r="BG515" i="48"/>
  <c r="BF515" i="48"/>
  <c r="BE515" i="48"/>
  <c r="BI514" i="48"/>
  <c r="BG514" i="48"/>
  <c r="BF514" i="48"/>
  <c r="BE514" i="48"/>
  <c r="BI513" i="48"/>
  <c r="BG513" i="48"/>
  <c r="BF513" i="48"/>
  <c r="BE513" i="48"/>
  <c r="BI512" i="48"/>
  <c r="BG512" i="48"/>
  <c r="BF512" i="48"/>
  <c r="BE512" i="48"/>
  <c r="BI511" i="48"/>
  <c r="BG511" i="48"/>
  <c r="BF511" i="48"/>
  <c r="BE511" i="48"/>
  <c r="BI510" i="48"/>
  <c r="BG510" i="48"/>
  <c r="BF510" i="48"/>
  <c r="BE510" i="48"/>
  <c r="BI509" i="48"/>
  <c r="BG509" i="48"/>
  <c r="BF509" i="48"/>
  <c r="BE509" i="48"/>
  <c r="BI508" i="48"/>
  <c r="BG508" i="48"/>
  <c r="BF508" i="48"/>
  <c r="BE508" i="48"/>
  <c r="BI507" i="48"/>
  <c r="BG507" i="48"/>
  <c r="BF507" i="48"/>
  <c r="BE507" i="48"/>
  <c r="BI506" i="48"/>
  <c r="BG506" i="48"/>
  <c r="BF506" i="48"/>
  <c r="BE506" i="48"/>
  <c r="BI505" i="48"/>
  <c r="BG505" i="48"/>
  <c r="BF505" i="48"/>
  <c r="BE505" i="48"/>
  <c r="BI504" i="48"/>
  <c r="BG504" i="48"/>
  <c r="BF504" i="48"/>
  <c r="BE504" i="48"/>
  <c r="BI503" i="48"/>
  <c r="BG503" i="48"/>
  <c r="BF503" i="48"/>
  <c r="BE503" i="48"/>
  <c r="BI502" i="48"/>
  <c r="BG502" i="48"/>
  <c r="BF502" i="48"/>
  <c r="BE502" i="48"/>
  <c r="BI501" i="48"/>
  <c r="BG501" i="48"/>
  <c r="BF501" i="48"/>
  <c r="BE501" i="48"/>
  <c r="BI500" i="48"/>
  <c r="BG500" i="48"/>
  <c r="BF500" i="48"/>
  <c r="BE500" i="48"/>
  <c r="BI499" i="48"/>
  <c r="BG499" i="48"/>
  <c r="BF499" i="48"/>
  <c r="BE499" i="48"/>
  <c r="BI498" i="48"/>
  <c r="BG498" i="48"/>
  <c r="BF498" i="48"/>
  <c r="BE498" i="48"/>
  <c r="BI497" i="48"/>
  <c r="BG497" i="48"/>
  <c r="BF497" i="48"/>
  <c r="BE497" i="48"/>
  <c r="BI496" i="48"/>
  <c r="BG496" i="48"/>
  <c r="BF496" i="48"/>
  <c r="BE496" i="48"/>
  <c r="BI495" i="48"/>
  <c r="BG495" i="48"/>
  <c r="BF495" i="48"/>
  <c r="BE495" i="48"/>
  <c r="BI494" i="48"/>
  <c r="BG494" i="48"/>
  <c r="BF494" i="48"/>
  <c r="BE494" i="48"/>
  <c r="BI493" i="48"/>
  <c r="BG493" i="48"/>
  <c r="BF493" i="48"/>
  <c r="BE493" i="48"/>
  <c r="BI492" i="48"/>
  <c r="BG492" i="48"/>
  <c r="BF492" i="48"/>
  <c r="BE492" i="48"/>
  <c r="BI491" i="48"/>
  <c r="BG491" i="48"/>
  <c r="BF491" i="48"/>
  <c r="BE491" i="48"/>
  <c r="BI490" i="48"/>
  <c r="BG490" i="48"/>
  <c r="BF490" i="48"/>
  <c r="BE490" i="48"/>
  <c r="BI489" i="48"/>
  <c r="BG489" i="48"/>
  <c r="BF489" i="48"/>
  <c r="BE489" i="48"/>
  <c r="BI488" i="48"/>
  <c r="BG488" i="48"/>
  <c r="BF488" i="48"/>
  <c r="BE488" i="48"/>
  <c r="BI487" i="48"/>
  <c r="BG487" i="48"/>
  <c r="BF487" i="48"/>
  <c r="BE487" i="48"/>
  <c r="BI486" i="48"/>
  <c r="BG486" i="48"/>
  <c r="BF486" i="48"/>
  <c r="BE486" i="48"/>
  <c r="BI485" i="48"/>
  <c r="BG485" i="48"/>
  <c r="BF485" i="48"/>
  <c r="BE485" i="48"/>
  <c r="BI484" i="48"/>
  <c r="BG484" i="48"/>
  <c r="BF484" i="48"/>
  <c r="BE484" i="48"/>
  <c r="BI483" i="48"/>
  <c r="BG483" i="48"/>
  <c r="BF483" i="48"/>
  <c r="BE483" i="48"/>
  <c r="BI482" i="48"/>
  <c r="BG482" i="48"/>
  <c r="BF482" i="48"/>
  <c r="BE482" i="48"/>
  <c r="BI481" i="48"/>
  <c r="BG481" i="48"/>
  <c r="BF481" i="48"/>
  <c r="BE481" i="48"/>
  <c r="BI480" i="48"/>
  <c r="BG480" i="48"/>
  <c r="BF480" i="48"/>
  <c r="BE480" i="48"/>
  <c r="BI479" i="48"/>
  <c r="BG479" i="48"/>
  <c r="BF479" i="48"/>
  <c r="BE479" i="48"/>
  <c r="BI478" i="48"/>
  <c r="BG478" i="48"/>
  <c r="BF478" i="48"/>
  <c r="BE478" i="48"/>
  <c r="BI477" i="48"/>
  <c r="BG477" i="48"/>
  <c r="BF477" i="48"/>
  <c r="BE477" i="48"/>
  <c r="BI476" i="48"/>
  <c r="BG476" i="48"/>
  <c r="BF476" i="48"/>
  <c r="BE476" i="48"/>
  <c r="BI475" i="48"/>
  <c r="BG475" i="48"/>
  <c r="BF475" i="48"/>
  <c r="BE475" i="48"/>
  <c r="BI474" i="48"/>
  <c r="BG474" i="48"/>
  <c r="BF474" i="48"/>
  <c r="BE474" i="48"/>
  <c r="BI473" i="48"/>
  <c r="BG473" i="48"/>
  <c r="BF473" i="48"/>
  <c r="BE473" i="48"/>
  <c r="BI472" i="48"/>
  <c r="BG472" i="48"/>
  <c r="BF472" i="48"/>
  <c r="BE472" i="48"/>
  <c r="BI471" i="48"/>
  <c r="BG471" i="48"/>
  <c r="BF471" i="48"/>
  <c r="BE471" i="48"/>
  <c r="BI470" i="48"/>
  <c r="BG470" i="48"/>
  <c r="BF470" i="48"/>
  <c r="BE470" i="48"/>
  <c r="BI469" i="48"/>
  <c r="BG469" i="48"/>
  <c r="BF469" i="48"/>
  <c r="BE469" i="48"/>
  <c r="BI468" i="48"/>
  <c r="BG468" i="48"/>
  <c r="BF468" i="48"/>
  <c r="BE468" i="48"/>
  <c r="BI467" i="48"/>
  <c r="BG467" i="48"/>
  <c r="BF467" i="48"/>
  <c r="BE467" i="48"/>
  <c r="BI466" i="48"/>
  <c r="BG466" i="48"/>
  <c r="BF466" i="48"/>
  <c r="BE466" i="48"/>
  <c r="BI465" i="48"/>
  <c r="BG465" i="48"/>
  <c r="BF465" i="48"/>
  <c r="BE465" i="48"/>
  <c r="BI464" i="48"/>
  <c r="BG464" i="48"/>
  <c r="BF464" i="48"/>
  <c r="BE464" i="48"/>
  <c r="BI463" i="48"/>
  <c r="BG463" i="48"/>
  <c r="BF463" i="48"/>
  <c r="BE463" i="48"/>
  <c r="BI462" i="48"/>
  <c r="BG462" i="48"/>
  <c r="BF462" i="48"/>
  <c r="BE462" i="48"/>
  <c r="BI461" i="48"/>
  <c r="BG461" i="48"/>
  <c r="BF461" i="48"/>
  <c r="BE461" i="48"/>
  <c r="BI460" i="48"/>
  <c r="BG460" i="48"/>
  <c r="BF460" i="48"/>
  <c r="BE460" i="48"/>
  <c r="BI459" i="48"/>
  <c r="BG459" i="48"/>
  <c r="BF459" i="48"/>
  <c r="BE459" i="48"/>
  <c r="BI458" i="48"/>
  <c r="BG458" i="48"/>
  <c r="BF458" i="48"/>
  <c r="BE458" i="48"/>
  <c r="BI457" i="48"/>
  <c r="BG457" i="48"/>
  <c r="BF457" i="48"/>
  <c r="BE457" i="48"/>
  <c r="BI456" i="48"/>
  <c r="BG456" i="48"/>
  <c r="BF456" i="48"/>
  <c r="BE456" i="48"/>
  <c r="BI455" i="48"/>
  <c r="BG455" i="48"/>
  <c r="BF455" i="48"/>
  <c r="BE455" i="48"/>
  <c r="BI454" i="48"/>
  <c r="BG454" i="48"/>
  <c r="BF454" i="48"/>
  <c r="BE454" i="48"/>
  <c r="BI453" i="48"/>
  <c r="BG453" i="48"/>
  <c r="BF453" i="48"/>
  <c r="BE453" i="48"/>
  <c r="BI452" i="48"/>
  <c r="BG452" i="48"/>
  <c r="BF452" i="48"/>
  <c r="BE452" i="48"/>
  <c r="BI451" i="48"/>
  <c r="BG451" i="48"/>
  <c r="BF451" i="48"/>
  <c r="BE451" i="48"/>
  <c r="BI450" i="48"/>
  <c r="BG450" i="48"/>
  <c r="BF450" i="48"/>
  <c r="BE450" i="48"/>
  <c r="BI449" i="48"/>
  <c r="BG449" i="48"/>
  <c r="BF449" i="48"/>
  <c r="BE449" i="48"/>
  <c r="BI448" i="48"/>
  <c r="BG448" i="48"/>
  <c r="BF448" i="48"/>
  <c r="BE448" i="48"/>
  <c r="BI447" i="48"/>
  <c r="BG447" i="48"/>
  <c r="BF447" i="48"/>
  <c r="BE447" i="48"/>
  <c r="BI446" i="48"/>
  <c r="BG446" i="48"/>
  <c r="BF446" i="48"/>
  <c r="BE446" i="48"/>
  <c r="BI445" i="48"/>
  <c r="BG445" i="48"/>
  <c r="BF445" i="48"/>
  <c r="BE445" i="48"/>
  <c r="BI444" i="48"/>
  <c r="BG444" i="48"/>
  <c r="BF444" i="48"/>
  <c r="BE444" i="48"/>
  <c r="BI443" i="48"/>
  <c r="BG443" i="48"/>
  <c r="BF443" i="48"/>
  <c r="BE443" i="48"/>
  <c r="BI442" i="48"/>
  <c r="BG442" i="48"/>
  <c r="BF442" i="48"/>
  <c r="BE442" i="48"/>
  <c r="BI441" i="48"/>
  <c r="BG441" i="48"/>
  <c r="BF441" i="48"/>
  <c r="BE441" i="48"/>
  <c r="BI440" i="48"/>
  <c r="BG440" i="48"/>
  <c r="BF440" i="48"/>
  <c r="BE440" i="48"/>
  <c r="BI439" i="48"/>
  <c r="BG439" i="48"/>
  <c r="BF439" i="48"/>
  <c r="BE439" i="48"/>
  <c r="BI438" i="48"/>
  <c r="BG438" i="48"/>
  <c r="BF438" i="48"/>
  <c r="BE438" i="48"/>
  <c r="BI437" i="48"/>
  <c r="BG437" i="48"/>
  <c r="BF437" i="48"/>
  <c r="BE437" i="48"/>
  <c r="BI436" i="48"/>
  <c r="BG436" i="48"/>
  <c r="BF436" i="48"/>
  <c r="BE436" i="48"/>
  <c r="BI435" i="48"/>
  <c r="BG435" i="48"/>
  <c r="BF435" i="48"/>
  <c r="BE435" i="48"/>
  <c r="BI434" i="48"/>
  <c r="BG434" i="48"/>
  <c r="BF434" i="48"/>
  <c r="BE434" i="48"/>
  <c r="BI433" i="48"/>
  <c r="BG433" i="48"/>
  <c r="BF433" i="48"/>
  <c r="BE433" i="48"/>
  <c r="BI432" i="48"/>
  <c r="BG432" i="48"/>
  <c r="BF432" i="48"/>
  <c r="BE432" i="48"/>
  <c r="BI431" i="48"/>
  <c r="BG431" i="48"/>
  <c r="BF431" i="48"/>
  <c r="BE431" i="48"/>
  <c r="BI430" i="48"/>
  <c r="BG430" i="48"/>
  <c r="BF430" i="48"/>
  <c r="BE430" i="48"/>
  <c r="BI429" i="48"/>
  <c r="BG429" i="48"/>
  <c r="BF429" i="48"/>
  <c r="BE429" i="48"/>
  <c r="BI428" i="48"/>
  <c r="BG428" i="48"/>
  <c r="BF428" i="48"/>
  <c r="BE428" i="48"/>
  <c r="BI427" i="48"/>
  <c r="BG427" i="48"/>
  <c r="BF427" i="48"/>
  <c r="BE427" i="48"/>
  <c r="BI426" i="48"/>
  <c r="BG426" i="48"/>
  <c r="BF426" i="48"/>
  <c r="BE426" i="48"/>
  <c r="BI425" i="48"/>
  <c r="BG425" i="48"/>
  <c r="BF425" i="48"/>
  <c r="BE425" i="48"/>
  <c r="BI424" i="48"/>
  <c r="BG424" i="48"/>
  <c r="BF424" i="48"/>
  <c r="BE424" i="48"/>
  <c r="BI423" i="48"/>
  <c r="BG423" i="48"/>
  <c r="BF423" i="48"/>
  <c r="BE423" i="48"/>
  <c r="BI422" i="48"/>
  <c r="BG422" i="48"/>
  <c r="BF422" i="48"/>
  <c r="BE422" i="48"/>
  <c r="BI421" i="48"/>
  <c r="BG421" i="48"/>
  <c r="BF421" i="48"/>
  <c r="BE421" i="48"/>
  <c r="BI420" i="48"/>
  <c r="BG420" i="48"/>
  <c r="BF420" i="48"/>
  <c r="BE420" i="48"/>
  <c r="BI419" i="48"/>
  <c r="BG419" i="48"/>
  <c r="BF419" i="48"/>
  <c r="BE419" i="48"/>
  <c r="BI418" i="48"/>
  <c r="BG418" i="48"/>
  <c r="BF418" i="48"/>
  <c r="BE418" i="48"/>
  <c r="BI417" i="48"/>
  <c r="BG417" i="48"/>
  <c r="BF417" i="48"/>
  <c r="BE417" i="48"/>
  <c r="BI416" i="48"/>
  <c r="BG416" i="48"/>
  <c r="BF416" i="48"/>
  <c r="BE416" i="48"/>
  <c r="BI415" i="48"/>
  <c r="BG415" i="48"/>
  <c r="BF415" i="48"/>
  <c r="BE415" i="48"/>
  <c r="BI414" i="48"/>
  <c r="BG414" i="48"/>
  <c r="BF414" i="48"/>
  <c r="BE414" i="48"/>
  <c r="BI413" i="48"/>
  <c r="BG413" i="48"/>
  <c r="BF413" i="48"/>
  <c r="BE413" i="48"/>
  <c r="BI412" i="48"/>
  <c r="BG412" i="48"/>
  <c r="BF412" i="48"/>
  <c r="BE412" i="48"/>
  <c r="BI411" i="48"/>
  <c r="BG411" i="48"/>
  <c r="BF411" i="48"/>
  <c r="BE411" i="48"/>
  <c r="BI410" i="48"/>
  <c r="BG410" i="48"/>
  <c r="BF410" i="48"/>
  <c r="BE410" i="48"/>
  <c r="BI409" i="48"/>
  <c r="BG409" i="48"/>
  <c r="BF409" i="48"/>
  <c r="BE409" i="48"/>
  <c r="BI408" i="48"/>
  <c r="BG408" i="48"/>
  <c r="BF408" i="48"/>
  <c r="BE408" i="48"/>
  <c r="BI407" i="48"/>
  <c r="BG407" i="48"/>
  <c r="BF407" i="48"/>
  <c r="BE407" i="48"/>
  <c r="BI406" i="48"/>
  <c r="BG406" i="48"/>
  <c r="BF406" i="48"/>
  <c r="BE406" i="48"/>
  <c r="BI405" i="48"/>
  <c r="BG405" i="48"/>
  <c r="BF405" i="48"/>
  <c r="BE405" i="48"/>
  <c r="BI404" i="48"/>
  <c r="BG404" i="48"/>
  <c r="BF404" i="48"/>
  <c r="BE404" i="48"/>
  <c r="BI403" i="48"/>
  <c r="BG403" i="48"/>
  <c r="BF403" i="48"/>
  <c r="BE403" i="48"/>
  <c r="BI402" i="48"/>
  <c r="BG402" i="48"/>
  <c r="BF402" i="48"/>
  <c r="BE402" i="48"/>
  <c r="BI401" i="48"/>
  <c r="BG401" i="48"/>
  <c r="BF401" i="48"/>
  <c r="BE401" i="48"/>
  <c r="BI400" i="48"/>
  <c r="BG400" i="48"/>
  <c r="BF400" i="48"/>
  <c r="BE400" i="48"/>
  <c r="BI399" i="48"/>
  <c r="BG399" i="48"/>
  <c r="BF399" i="48"/>
  <c r="BE399" i="48"/>
  <c r="BI398" i="48"/>
  <c r="BG398" i="48"/>
  <c r="BF398" i="48"/>
  <c r="BE398" i="48"/>
  <c r="BI397" i="48"/>
  <c r="BG397" i="48"/>
  <c r="BF397" i="48"/>
  <c r="BE397" i="48"/>
  <c r="BI396" i="48"/>
  <c r="BG396" i="48"/>
  <c r="BF396" i="48"/>
  <c r="BE396" i="48"/>
  <c r="BI395" i="48"/>
  <c r="BG395" i="48"/>
  <c r="BF395" i="48"/>
  <c r="BE395" i="48"/>
  <c r="BI394" i="48"/>
  <c r="BG394" i="48"/>
  <c r="BF394" i="48"/>
  <c r="BE394" i="48"/>
  <c r="BI393" i="48"/>
  <c r="BG393" i="48"/>
  <c r="BF393" i="48"/>
  <c r="BE393" i="48"/>
  <c r="BI392" i="48"/>
  <c r="BG392" i="48"/>
  <c r="BF392" i="48"/>
  <c r="BE392" i="48"/>
  <c r="BI391" i="48"/>
  <c r="BG391" i="48"/>
  <c r="BF391" i="48"/>
  <c r="BE391" i="48"/>
  <c r="BI390" i="48"/>
  <c r="BG390" i="48"/>
  <c r="BF390" i="48"/>
  <c r="BE390" i="48"/>
  <c r="BI389" i="48"/>
  <c r="BG389" i="48"/>
  <c r="BF389" i="48"/>
  <c r="BE389" i="48"/>
  <c r="BI388" i="48"/>
  <c r="BG388" i="48"/>
  <c r="BF388" i="48"/>
  <c r="BE388" i="48"/>
  <c r="BI387" i="48"/>
  <c r="BG387" i="48"/>
  <c r="BF387" i="48"/>
  <c r="BE387" i="48"/>
  <c r="BI386" i="48"/>
  <c r="BG386" i="48"/>
  <c r="BF386" i="48"/>
  <c r="BE386" i="48"/>
  <c r="BI385" i="48"/>
  <c r="BG385" i="48"/>
  <c r="BF385" i="48"/>
  <c r="BE385" i="48"/>
  <c r="BI384" i="48"/>
  <c r="BG384" i="48"/>
  <c r="BF384" i="48"/>
  <c r="BE384" i="48"/>
  <c r="BI383" i="48"/>
  <c r="BG383" i="48"/>
  <c r="BF383" i="48"/>
  <c r="BE383" i="48"/>
  <c r="BI382" i="48"/>
  <c r="BG382" i="48"/>
  <c r="BF382" i="48"/>
  <c r="BE382" i="48"/>
  <c r="BI381" i="48"/>
  <c r="BG381" i="48"/>
  <c r="BF381" i="48"/>
  <c r="BE381" i="48"/>
  <c r="BI380" i="48"/>
  <c r="BG380" i="48"/>
  <c r="BF380" i="48"/>
  <c r="BE380" i="48"/>
  <c r="BI379" i="48"/>
  <c r="BG379" i="48"/>
  <c r="BF379" i="48"/>
  <c r="BE379" i="48"/>
  <c r="BI378" i="48"/>
  <c r="BG378" i="48"/>
  <c r="BF378" i="48"/>
  <c r="BE378" i="48"/>
  <c r="BI377" i="48"/>
  <c r="BG377" i="48"/>
  <c r="BF377" i="48"/>
  <c r="BE377" i="48"/>
  <c r="BI376" i="48"/>
  <c r="BG376" i="48"/>
  <c r="BF376" i="48"/>
  <c r="BE376" i="48"/>
  <c r="BI375" i="48"/>
  <c r="BG375" i="48"/>
  <c r="BF375" i="48"/>
  <c r="BE375" i="48"/>
  <c r="BI374" i="48"/>
  <c r="BG374" i="48"/>
  <c r="BF374" i="48"/>
  <c r="BE374" i="48"/>
  <c r="BI373" i="48"/>
  <c r="BG373" i="48"/>
  <c r="BF373" i="48"/>
  <c r="BE373" i="48"/>
  <c r="BI372" i="48"/>
  <c r="BG372" i="48"/>
  <c r="BF372" i="48"/>
  <c r="BE372" i="48"/>
  <c r="BI371" i="48"/>
  <c r="BG371" i="48"/>
  <c r="BF371" i="48"/>
  <c r="BE371" i="48"/>
  <c r="BI370" i="48"/>
  <c r="BG370" i="48"/>
  <c r="BF370" i="48"/>
  <c r="BE370" i="48"/>
  <c r="BI369" i="48"/>
  <c r="BG369" i="48"/>
  <c r="BF369" i="48"/>
  <c r="BE369" i="48"/>
  <c r="BI368" i="48"/>
  <c r="BG368" i="48"/>
  <c r="BF368" i="48"/>
  <c r="BE368" i="48"/>
  <c r="BI367" i="48"/>
  <c r="BG367" i="48"/>
  <c r="BF367" i="48"/>
  <c r="BE367" i="48"/>
  <c r="BI366" i="48"/>
  <c r="BG366" i="48"/>
  <c r="BF366" i="48"/>
  <c r="BE366" i="48"/>
  <c r="BI365" i="48"/>
  <c r="BG365" i="48"/>
  <c r="BF365" i="48"/>
  <c r="BE365" i="48"/>
  <c r="BI364" i="48"/>
  <c r="BG364" i="48"/>
  <c r="BF364" i="48"/>
  <c r="BE364" i="48"/>
  <c r="BI363" i="48"/>
  <c r="BG363" i="48"/>
  <c r="BF363" i="48"/>
  <c r="BE363" i="48"/>
  <c r="BI362" i="48"/>
  <c r="BG362" i="48"/>
  <c r="BF362" i="48"/>
  <c r="BE362" i="48"/>
  <c r="BI361" i="48"/>
  <c r="BG361" i="48"/>
  <c r="BF361" i="48"/>
  <c r="BE361" i="48"/>
  <c r="BI360" i="48"/>
  <c r="BG360" i="48"/>
  <c r="BF360" i="48"/>
  <c r="BE360" i="48"/>
  <c r="BI359" i="48"/>
  <c r="BG359" i="48"/>
  <c r="BF359" i="48"/>
  <c r="BE359" i="48"/>
  <c r="BI358" i="48"/>
  <c r="BG358" i="48"/>
  <c r="BF358" i="48"/>
  <c r="BE358" i="48"/>
  <c r="BI357" i="48"/>
  <c r="BG357" i="48"/>
  <c r="BF357" i="48"/>
  <c r="BE357" i="48"/>
  <c r="BI356" i="48"/>
  <c r="BG356" i="48"/>
  <c r="BF356" i="48"/>
  <c r="BE356" i="48"/>
  <c r="BI355" i="48"/>
  <c r="BG355" i="48"/>
  <c r="BF355" i="48"/>
  <c r="BE355" i="48"/>
  <c r="BI354" i="48"/>
  <c r="BG354" i="48"/>
  <c r="BF354" i="48"/>
  <c r="BE354" i="48"/>
  <c r="BI353" i="48"/>
  <c r="BG353" i="48"/>
  <c r="BF353" i="48"/>
  <c r="BE353" i="48"/>
  <c r="BI352" i="48"/>
  <c r="BG352" i="48"/>
  <c r="BF352" i="48"/>
  <c r="BE352" i="48"/>
  <c r="BI351" i="48"/>
  <c r="BG351" i="48"/>
  <c r="BF351" i="48"/>
  <c r="BE351" i="48"/>
  <c r="BI350" i="48"/>
  <c r="BG350" i="48"/>
  <c r="BF350" i="48"/>
  <c r="BE350" i="48"/>
  <c r="BI349" i="48"/>
  <c r="BG349" i="48"/>
  <c r="BF349" i="48"/>
  <c r="BE349" i="48"/>
  <c r="BI348" i="48"/>
  <c r="BG348" i="48"/>
  <c r="BF348" i="48"/>
  <c r="BE348" i="48"/>
  <c r="BI347" i="48"/>
  <c r="BG347" i="48"/>
  <c r="BF347" i="48"/>
  <c r="BE347" i="48"/>
  <c r="BI346" i="48"/>
  <c r="BG346" i="48"/>
  <c r="BF346" i="48"/>
  <c r="BE346" i="48"/>
  <c r="BI345" i="48"/>
  <c r="BG345" i="48"/>
  <c r="BF345" i="48"/>
  <c r="BE345" i="48"/>
  <c r="BI344" i="48"/>
  <c r="BG344" i="48"/>
  <c r="BF344" i="48"/>
  <c r="BE344" i="48"/>
  <c r="BI343" i="48"/>
  <c r="BG343" i="48"/>
  <c r="BF343" i="48"/>
  <c r="BE343" i="48"/>
  <c r="BI342" i="48"/>
  <c r="BG342" i="48"/>
  <c r="BF342" i="48"/>
  <c r="BE342" i="48"/>
  <c r="BI341" i="48"/>
  <c r="BG341" i="48"/>
  <c r="BF341" i="48"/>
  <c r="BE341" i="48"/>
  <c r="BI340" i="48"/>
  <c r="BG340" i="48"/>
  <c r="BF340" i="48"/>
  <c r="BE340" i="48"/>
  <c r="BI339" i="48"/>
  <c r="BG339" i="48"/>
  <c r="BF339" i="48"/>
  <c r="BE339" i="48"/>
  <c r="BI338" i="48"/>
  <c r="BG338" i="48"/>
  <c r="BF338" i="48"/>
  <c r="BE338" i="48"/>
  <c r="BI337" i="48"/>
  <c r="BG337" i="48"/>
  <c r="BF337" i="48"/>
  <c r="BE337" i="48"/>
  <c r="BI336" i="48"/>
  <c r="BG336" i="48"/>
  <c r="BF336" i="48"/>
  <c r="BE336" i="48"/>
  <c r="BI335" i="48"/>
  <c r="BG335" i="48"/>
  <c r="BF335" i="48"/>
  <c r="BE335" i="48"/>
  <c r="BI334" i="48"/>
  <c r="BG334" i="48"/>
  <c r="BF334" i="48"/>
  <c r="BE334" i="48"/>
  <c r="BI333" i="48"/>
  <c r="BG333" i="48"/>
  <c r="BF333" i="48"/>
  <c r="BE333" i="48"/>
  <c r="BI332" i="48"/>
  <c r="BG332" i="48"/>
  <c r="BF332" i="48"/>
  <c r="BE332" i="48"/>
  <c r="BI331" i="48"/>
  <c r="BG331" i="48"/>
  <c r="BF331" i="48"/>
  <c r="BE331" i="48"/>
  <c r="BI330" i="48"/>
  <c r="BG330" i="48"/>
  <c r="BF330" i="48"/>
  <c r="BE330" i="48"/>
  <c r="BI329" i="48"/>
  <c r="BG329" i="48"/>
  <c r="BF329" i="48"/>
  <c r="BE329" i="48"/>
  <c r="BI328" i="48"/>
  <c r="BG328" i="48"/>
  <c r="BF328" i="48"/>
  <c r="BE328" i="48"/>
  <c r="BI327" i="48"/>
  <c r="BG327" i="48"/>
  <c r="BF327" i="48"/>
  <c r="BE327" i="48"/>
  <c r="BI326" i="48"/>
  <c r="BG326" i="48"/>
  <c r="BF326" i="48"/>
  <c r="BE326" i="48"/>
  <c r="BI325" i="48"/>
  <c r="BG325" i="48"/>
  <c r="BF325" i="48"/>
  <c r="BE325" i="48"/>
  <c r="BI324" i="48"/>
  <c r="BG324" i="48"/>
  <c r="BF324" i="48"/>
  <c r="BE324" i="48"/>
  <c r="BI323" i="48"/>
  <c r="BG323" i="48"/>
  <c r="BF323" i="48"/>
  <c r="BE323" i="48"/>
  <c r="BI322" i="48"/>
  <c r="BG322" i="48"/>
  <c r="BF322" i="48"/>
  <c r="BE322" i="48"/>
  <c r="BI321" i="48"/>
  <c r="BG321" i="48"/>
  <c r="BF321" i="48"/>
  <c r="BE321" i="48"/>
  <c r="BI320" i="48"/>
  <c r="BG320" i="48"/>
  <c r="BF320" i="48"/>
  <c r="BE320" i="48"/>
  <c r="BI319" i="48"/>
  <c r="BG319" i="48"/>
  <c r="BF319" i="48"/>
  <c r="BE319" i="48"/>
  <c r="BI318" i="48"/>
  <c r="BG318" i="48"/>
  <c r="BF318" i="48"/>
  <c r="BE318" i="48"/>
  <c r="BI317" i="48"/>
  <c r="BG317" i="48"/>
  <c r="BF317" i="48"/>
  <c r="BE317" i="48"/>
  <c r="BI316" i="48"/>
  <c r="BG316" i="48"/>
  <c r="BF316" i="48"/>
  <c r="BE316" i="48"/>
  <c r="BI315" i="48"/>
  <c r="BG315" i="48"/>
  <c r="BF315" i="48"/>
  <c r="BE315" i="48"/>
  <c r="BI314" i="48"/>
  <c r="BG314" i="48"/>
  <c r="BF314" i="48"/>
  <c r="BE314" i="48"/>
  <c r="BI313" i="48"/>
  <c r="BG313" i="48"/>
  <c r="BF313" i="48"/>
  <c r="BE313" i="48"/>
  <c r="BI312" i="48"/>
  <c r="BG312" i="48"/>
  <c r="BF312" i="48"/>
  <c r="BE312" i="48"/>
  <c r="BI311" i="48"/>
  <c r="BG311" i="48"/>
  <c r="BF311" i="48"/>
  <c r="BE311" i="48"/>
  <c r="BI310" i="48"/>
  <c r="BG310" i="48"/>
  <c r="BF310" i="48"/>
  <c r="BE310" i="48"/>
  <c r="BI309" i="48"/>
  <c r="BG309" i="48"/>
  <c r="BF309" i="48"/>
  <c r="BE309" i="48"/>
  <c r="BI308" i="48"/>
  <c r="BG308" i="48"/>
  <c r="BF308" i="48"/>
  <c r="BE308" i="48"/>
  <c r="BI307" i="48"/>
  <c r="BG307" i="48"/>
  <c r="BF307" i="48"/>
  <c r="BE307" i="48"/>
  <c r="BI306" i="48"/>
  <c r="BG306" i="48"/>
  <c r="BF306" i="48"/>
  <c r="BE306" i="48"/>
  <c r="BI305" i="48"/>
  <c r="BG305" i="48"/>
  <c r="BF305" i="48"/>
  <c r="BE305" i="48"/>
  <c r="BI304" i="48"/>
  <c r="BG304" i="48"/>
  <c r="BF304" i="48"/>
  <c r="BE304" i="48"/>
  <c r="BI303" i="48"/>
  <c r="BG303" i="48"/>
  <c r="BF303" i="48"/>
  <c r="BE303" i="48"/>
  <c r="BI302" i="48"/>
  <c r="BG302" i="48"/>
  <c r="BF302" i="48"/>
  <c r="BE302" i="48"/>
  <c r="BI301" i="48"/>
  <c r="BG301" i="48"/>
  <c r="BF301" i="48"/>
  <c r="BE301" i="48"/>
  <c r="BI300" i="48"/>
  <c r="BG300" i="48"/>
  <c r="BF300" i="48"/>
  <c r="BE300" i="48"/>
  <c r="BI299" i="48"/>
  <c r="BG299" i="48"/>
  <c r="BF299" i="48"/>
  <c r="BE299" i="48"/>
  <c r="BI298" i="48"/>
  <c r="BG298" i="48"/>
  <c r="BF298" i="48"/>
  <c r="BE298" i="48"/>
  <c r="BI297" i="48"/>
  <c r="BG297" i="48"/>
  <c r="BF297" i="48"/>
  <c r="BE297" i="48"/>
  <c r="BI296" i="48"/>
  <c r="BG296" i="48"/>
  <c r="BF296" i="48"/>
  <c r="BE296" i="48"/>
  <c r="BI295" i="48"/>
  <c r="BG295" i="48"/>
  <c r="BF295" i="48"/>
  <c r="BE295" i="48"/>
  <c r="BI294" i="48"/>
  <c r="BG294" i="48"/>
  <c r="BF294" i="48"/>
  <c r="BE294" i="48"/>
  <c r="BI293" i="48"/>
  <c r="BG293" i="48"/>
  <c r="BF293" i="48"/>
  <c r="BE293" i="48"/>
  <c r="BI292" i="48"/>
  <c r="BG292" i="48"/>
  <c r="BF292" i="48"/>
  <c r="BE292" i="48"/>
  <c r="BI291" i="48"/>
  <c r="BG291" i="48"/>
  <c r="BF291" i="48"/>
  <c r="BE291" i="48"/>
  <c r="BI290" i="48"/>
  <c r="BG290" i="48"/>
  <c r="BF290" i="48"/>
  <c r="BE290" i="48"/>
  <c r="BI289" i="48"/>
  <c r="BG289" i="48"/>
  <c r="BF289" i="48"/>
  <c r="BE289" i="48"/>
  <c r="BI288" i="48"/>
  <c r="BG288" i="48"/>
  <c r="BF288" i="48"/>
  <c r="BE288" i="48"/>
  <c r="BI287" i="48"/>
  <c r="BG287" i="48"/>
  <c r="BF287" i="48"/>
  <c r="BE287" i="48"/>
  <c r="BI286" i="48"/>
  <c r="BG286" i="48"/>
  <c r="BF286" i="48"/>
  <c r="BE286" i="48"/>
  <c r="BI285" i="48"/>
  <c r="BG285" i="48"/>
  <c r="BF285" i="48"/>
  <c r="BE285" i="48"/>
  <c r="BI284" i="48"/>
  <c r="BG284" i="48"/>
  <c r="BF284" i="48"/>
  <c r="BE284" i="48"/>
  <c r="BI283" i="48"/>
  <c r="BG283" i="48"/>
  <c r="BF283" i="48"/>
  <c r="BE283" i="48"/>
  <c r="BI282" i="48"/>
  <c r="BG282" i="48"/>
  <c r="BF282" i="48"/>
  <c r="BE282" i="48"/>
  <c r="BI281" i="48"/>
  <c r="BG281" i="48"/>
  <c r="BF281" i="48"/>
  <c r="BE281" i="48"/>
  <c r="BI280" i="48"/>
  <c r="BG280" i="48"/>
  <c r="BF280" i="48"/>
  <c r="BE280" i="48"/>
  <c r="BI279" i="48"/>
  <c r="BG279" i="48"/>
  <c r="BF279" i="48"/>
  <c r="BE279" i="48"/>
  <c r="BI278" i="48"/>
  <c r="BG278" i="48"/>
  <c r="BF278" i="48"/>
  <c r="BE278" i="48"/>
  <c r="BI277" i="48"/>
  <c r="BG277" i="48"/>
  <c r="BF277" i="48"/>
  <c r="BE277" i="48"/>
  <c r="BI276" i="48"/>
  <c r="BG276" i="48"/>
  <c r="BF276" i="48"/>
  <c r="BE276" i="48"/>
  <c r="BI275" i="48"/>
  <c r="BG275" i="48"/>
  <c r="BF275" i="48"/>
  <c r="BE275" i="48"/>
  <c r="BI274" i="48"/>
  <c r="BG274" i="48"/>
  <c r="BF274" i="48"/>
  <c r="BE274" i="48"/>
  <c r="BI273" i="48"/>
  <c r="BG273" i="48"/>
  <c r="BF273" i="48"/>
  <c r="BE273" i="48"/>
  <c r="BI272" i="48"/>
  <c r="BG272" i="48"/>
  <c r="BF272" i="48"/>
  <c r="BE272" i="48"/>
  <c r="BI271" i="48"/>
  <c r="BG271" i="48"/>
  <c r="BF271" i="48"/>
  <c r="BE271" i="48"/>
  <c r="BI270" i="48"/>
  <c r="BG270" i="48"/>
  <c r="BF270" i="48"/>
  <c r="BE270" i="48"/>
  <c r="BI269" i="48"/>
  <c r="BG269" i="48"/>
  <c r="BF269" i="48"/>
  <c r="BE269" i="48"/>
  <c r="BI268" i="48"/>
  <c r="BG268" i="48"/>
  <c r="BF268" i="48"/>
  <c r="BE268" i="48"/>
  <c r="BI267" i="48"/>
  <c r="BG267" i="48"/>
  <c r="BF267" i="48"/>
  <c r="BE267" i="48"/>
  <c r="BI266" i="48"/>
  <c r="BG266" i="48"/>
  <c r="BF266" i="48"/>
  <c r="BE266" i="48"/>
  <c r="BI265" i="48"/>
  <c r="BG265" i="48"/>
  <c r="BF265" i="48"/>
  <c r="BE265" i="48"/>
  <c r="BI264" i="48"/>
  <c r="BG264" i="48"/>
  <c r="BF264" i="48"/>
  <c r="BE264" i="48"/>
  <c r="BI263" i="48"/>
  <c r="BG263" i="48"/>
  <c r="BF263" i="48"/>
  <c r="BE263" i="48"/>
  <c r="BI262" i="48"/>
  <c r="BG262" i="48"/>
  <c r="BF262" i="48"/>
  <c r="BE262" i="48"/>
  <c r="BI261" i="48"/>
  <c r="BG261" i="48"/>
  <c r="BF261" i="48"/>
  <c r="BE261" i="48"/>
  <c r="BI260" i="48"/>
  <c r="BG260" i="48"/>
  <c r="BF260" i="48"/>
  <c r="BE260" i="48"/>
  <c r="BI259" i="48"/>
  <c r="BG259" i="48"/>
  <c r="BF259" i="48"/>
  <c r="BE259" i="48"/>
  <c r="BI258" i="48"/>
  <c r="BG258" i="48"/>
  <c r="BF258" i="48"/>
  <c r="BE258" i="48"/>
  <c r="BI257" i="48"/>
  <c r="BG257" i="48"/>
  <c r="BF257" i="48"/>
  <c r="BE257" i="48"/>
  <c r="BI256" i="48"/>
  <c r="BG256" i="48"/>
  <c r="BF256" i="48"/>
  <c r="BE256" i="48"/>
  <c r="BI255" i="48"/>
  <c r="BG255" i="48"/>
  <c r="BF255" i="48"/>
  <c r="BE255" i="48"/>
  <c r="BI254" i="48"/>
  <c r="BG254" i="48"/>
  <c r="BF254" i="48"/>
  <c r="BE254" i="48"/>
  <c r="BI253" i="48"/>
  <c r="BG253" i="48"/>
  <c r="BF253" i="48"/>
  <c r="BE253" i="48"/>
  <c r="BI252" i="48"/>
  <c r="BG252" i="48"/>
  <c r="BF252" i="48"/>
  <c r="BE252" i="48"/>
  <c r="BI251" i="48"/>
  <c r="BG251" i="48"/>
  <c r="BF251" i="48"/>
  <c r="BE251" i="48"/>
  <c r="BI250" i="48"/>
  <c r="BG250" i="48"/>
  <c r="BF250" i="48"/>
  <c r="BE250" i="48"/>
  <c r="BI249" i="48"/>
  <c r="BG249" i="48"/>
  <c r="BF249" i="48"/>
  <c r="BE249" i="48"/>
  <c r="BI248" i="48"/>
  <c r="BG248" i="48"/>
  <c r="BF248" i="48"/>
  <c r="BE248" i="48"/>
  <c r="BI247" i="48"/>
  <c r="BG247" i="48"/>
  <c r="BF247" i="48"/>
  <c r="BE247" i="48"/>
  <c r="BI246" i="48"/>
  <c r="BG246" i="48"/>
  <c r="BF246" i="48"/>
  <c r="BE246" i="48"/>
  <c r="BI245" i="48"/>
  <c r="BG245" i="48"/>
  <c r="BF245" i="48"/>
  <c r="BE245" i="48"/>
  <c r="BI244" i="48"/>
  <c r="BG244" i="48"/>
  <c r="BF244" i="48"/>
  <c r="BE244" i="48"/>
  <c r="BI243" i="48"/>
  <c r="BG243" i="48"/>
  <c r="BF243" i="48"/>
  <c r="BE243" i="48"/>
  <c r="BI242" i="48"/>
  <c r="BG242" i="48"/>
  <c r="BF242" i="48"/>
  <c r="BE242" i="48"/>
  <c r="BI241" i="48"/>
  <c r="BG241" i="48"/>
  <c r="BF241" i="48"/>
  <c r="BE241" i="48"/>
  <c r="BI240" i="48"/>
  <c r="BG240" i="48"/>
  <c r="BF240" i="48"/>
  <c r="BE240" i="48"/>
  <c r="BI239" i="48"/>
  <c r="BG239" i="48"/>
  <c r="BF239" i="48"/>
  <c r="BE239" i="48"/>
  <c r="BI238" i="48"/>
  <c r="BG238" i="48"/>
  <c r="BF238" i="48"/>
  <c r="BE238" i="48"/>
  <c r="BI237" i="48"/>
  <c r="BG237" i="48"/>
  <c r="BF237" i="48"/>
  <c r="BE237" i="48"/>
  <c r="BI236" i="48"/>
  <c r="BG236" i="48"/>
  <c r="BF236" i="48"/>
  <c r="BE236" i="48"/>
  <c r="BI235" i="48"/>
  <c r="BG235" i="48"/>
  <c r="BF235" i="48"/>
  <c r="BE235" i="48"/>
  <c r="BI234" i="48"/>
  <c r="BG234" i="48"/>
  <c r="BF234" i="48"/>
  <c r="BE234" i="48"/>
  <c r="BI233" i="48"/>
  <c r="BG233" i="48"/>
  <c r="BF233" i="48"/>
  <c r="BE233" i="48"/>
  <c r="BI232" i="48"/>
  <c r="BG232" i="48"/>
  <c r="BF232" i="48"/>
  <c r="BE232" i="48"/>
  <c r="BI231" i="48"/>
  <c r="BG231" i="48"/>
  <c r="BF231" i="48"/>
  <c r="BE231" i="48"/>
  <c r="BI230" i="48"/>
  <c r="BG230" i="48"/>
  <c r="BF230" i="48"/>
  <c r="BE230" i="48"/>
  <c r="BI229" i="48"/>
  <c r="BG229" i="48"/>
  <c r="BF229" i="48"/>
  <c r="BE229" i="48"/>
  <c r="BI228" i="48"/>
  <c r="BG228" i="48"/>
  <c r="BF228" i="48"/>
  <c r="BE228" i="48"/>
  <c r="BI227" i="48"/>
  <c r="BG227" i="48"/>
  <c r="BF227" i="48"/>
  <c r="BE227" i="48"/>
  <c r="BI226" i="48"/>
  <c r="BG226" i="48"/>
  <c r="BF226" i="48"/>
  <c r="BE226" i="48"/>
  <c r="BI225" i="48"/>
  <c r="BG225" i="48"/>
  <c r="BF225" i="48"/>
  <c r="BE225" i="48"/>
  <c r="BI224" i="48"/>
  <c r="BG224" i="48"/>
  <c r="BF224" i="48"/>
  <c r="BE224" i="48"/>
  <c r="BI223" i="48"/>
  <c r="BG223" i="48"/>
  <c r="BF223" i="48"/>
  <c r="BE223" i="48"/>
  <c r="BI222" i="48"/>
  <c r="BG222" i="48"/>
  <c r="BF222" i="48"/>
  <c r="BE222" i="48"/>
  <c r="BI221" i="48"/>
  <c r="BG221" i="48"/>
  <c r="BF221" i="48"/>
  <c r="BE221" i="48"/>
  <c r="BI220" i="48"/>
  <c r="BG220" i="48"/>
  <c r="BF220" i="48"/>
  <c r="BE220" i="48"/>
  <c r="BI219" i="48"/>
  <c r="BG219" i="48"/>
  <c r="BF219" i="48"/>
  <c r="BE219" i="48"/>
  <c r="BI218" i="48"/>
  <c r="BG218" i="48"/>
  <c r="BF218" i="48"/>
  <c r="BE218" i="48"/>
  <c r="BI217" i="48"/>
  <c r="BG217" i="48"/>
  <c r="BF217" i="48"/>
  <c r="BE217" i="48"/>
  <c r="BI216" i="48"/>
  <c r="BG216" i="48"/>
  <c r="BF216" i="48"/>
  <c r="BE216" i="48"/>
  <c r="BI215" i="48"/>
  <c r="BG215" i="48"/>
  <c r="BF215" i="48"/>
  <c r="BE215" i="48"/>
  <c r="BI214" i="48"/>
  <c r="BG214" i="48"/>
  <c r="BF214" i="48"/>
  <c r="BE214" i="48"/>
  <c r="BI213" i="48"/>
  <c r="BG213" i="48"/>
  <c r="BF213" i="48"/>
  <c r="BE213" i="48"/>
  <c r="BI212" i="48"/>
  <c r="BG212" i="48"/>
  <c r="BF212" i="48"/>
  <c r="BE212" i="48"/>
  <c r="BI211" i="48"/>
  <c r="BG211" i="48"/>
  <c r="BF211" i="48"/>
  <c r="BE211" i="48"/>
  <c r="BI210" i="48"/>
  <c r="BG210" i="48"/>
  <c r="BF210" i="48"/>
  <c r="BE210" i="48"/>
  <c r="BI209" i="48"/>
  <c r="BG209" i="48"/>
  <c r="BF209" i="48"/>
  <c r="BE209" i="48"/>
  <c r="BI208" i="48"/>
  <c r="BG208" i="48"/>
  <c r="BF208" i="48"/>
  <c r="BE208" i="48"/>
  <c r="BI207" i="48"/>
  <c r="BG207" i="48"/>
  <c r="BF207" i="48"/>
  <c r="BE207" i="48"/>
  <c r="BI206" i="48"/>
  <c r="BG206" i="48"/>
  <c r="BF206" i="48"/>
  <c r="BE206" i="48"/>
  <c r="BI205" i="48"/>
  <c r="BG205" i="48"/>
  <c r="BF205" i="48"/>
  <c r="BE205" i="48"/>
  <c r="BI204" i="48"/>
  <c r="BG204" i="48"/>
  <c r="BF204" i="48"/>
  <c r="BE204" i="48"/>
  <c r="BI203" i="48"/>
  <c r="BG203" i="48"/>
  <c r="BF203" i="48"/>
  <c r="BE203" i="48"/>
  <c r="BI202" i="48"/>
  <c r="BG202" i="48"/>
  <c r="BF202" i="48"/>
  <c r="BE202" i="48"/>
  <c r="BI201" i="48"/>
  <c r="BG201" i="48"/>
  <c r="BF201" i="48"/>
  <c r="BE201" i="48"/>
  <c r="BI200" i="48"/>
  <c r="BG200" i="48"/>
  <c r="BF200" i="48"/>
  <c r="BE200" i="48"/>
  <c r="BI199" i="48"/>
  <c r="BG199" i="48"/>
  <c r="BF199" i="48"/>
  <c r="BE199" i="48"/>
  <c r="BI198" i="48"/>
  <c r="BG198" i="48"/>
  <c r="BF198" i="48"/>
  <c r="BE198" i="48"/>
  <c r="BI197" i="48"/>
  <c r="BG197" i="48"/>
  <c r="BF197" i="48"/>
  <c r="BE197" i="48"/>
  <c r="BI196" i="48"/>
  <c r="BG196" i="48"/>
  <c r="BF196" i="48"/>
  <c r="BE196" i="48"/>
  <c r="BI195" i="48"/>
  <c r="BG195" i="48"/>
  <c r="BF195" i="48"/>
  <c r="BE195" i="48"/>
  <c r="BI194" i="48"/>
  <c r="BG194" i="48"/>
  <c r="BF194" i="48"/>
  <c r="BE194" i="48"/>
  <c r="BI193" i="48"/>
  <c r="BG193" i="48"/>
  <c r="BF193" i="48"/>
  <c r="BE193" i="48"/>
  <c r="BI192" i="48"/>
  <c r="BG192" i="48"/>
  <c r="BF192" i="48"/>
  <c r="BE192" i="48"/>
  <c r="BI191" i="48"/>
  <c r="BG191" i="48"/>
  <c r="BF191" i="48"/>
  <c r="BE191" i="48"/>
  <c r="BI190" i="48"/>
  <c r="BG190" i="48"/>
  <c r="BF190" i="48"/>
  <c r="BE190" i="48"/>
  <c r="BI189" i="48"/>
  <c r="BG189" i="48"/>
  <c r="BF189" i="48"/>
  <c r="BE189" i="48"/>
  <c r="BI188" i="48"/>
  <c r="BG188" i="48"/>
  <c r="BF188" i="48"/>
  <c r="BE188" i="48"/>
  <c r="BI187" i="48"/>
  <c r="BG187" i="48"/>
  <c r="BF187" i="48"/>
  <c r="BE187" i="48"/>
  <c r="BI186" i="48"/>
  <c r="BG186" i="48"/>
  <c r="BF186" i="48"/>
  <c r="BE186" i="48"/>
  <c r="BI185" i="48"/>
  <c r="BG185" i="48"/>
  <c r="BF185" i="48"/>
  <c r="BE185" i="48"/>
  <c r="BI184" i="48"/>
  <c r="BG184" i="48"/>
  <c r="BF184" i="48"/>
  <c r="BE184" i="48"/>
  <c r="BI183" i="48"/>
  <c r="BG183" i="48"/>
  <c r="BF183" i="48"/>
  <c r="BE183" i="48"/>
  <c r="BI182" i="48"/>
  <c r="BG182" i="48"/>
  <c r="BF182" i="48"/>
  <c r="BE182" i="48"/>
  <c r="BI181" i="48"/>
  <c r="BG181" i="48"/>
  <c r="BF181" i="48"/>
  <c r="BE181" i="48"/>
  <c r="BI180" i="48"/>
  <c r="BG180" i="48"/>
  <c r="BF180" i="48"/>
  <c r="BE180" i="48"/>
  <c r="BI179" i="48"/>
  <c r="BG179" i="48"/>
  <c r="BF179" i="48"/>
  <c r="BE179" i="48"/>
  <c r="BI178" i="48"/>
  <c r="BG178" i="48"/>
  <c r="BF178" i="48"/>
  <c r="BE178" i="48"/>
  <c r="BI177" i="48"/>
  <c r="BG177" i="48"/>
  <c r="BF177" i="48"/>
  <c r="BE177" i="48"/>
  <c r="BI176" i="48"/>
  <c r="BG176" i="48"/>
  <c r="BF176" i="48"/>
  <c r="BE176" i="48"/>
  <c r="BI175" i="48"/>
  <c r="BG175" i="48"/>
  <c r="BF175" i="48"/>
  <c r="BE175" i="48"/>
  <c r="BI174" i="48"/>
  <c r="BG174" i="48"/>
  <c r="BF174" i="48"/>
  <c r="BE174" i="48"/>
  <c r="BI173" i="48"/>
  <c r="BG173" i="48"/>
  <c r="BF173" i="48"/>
  <c r="BE173" i="48"/>
  <c r="BI172" i="48"/>
  <c r="BG172" i="48"/>
  <c r="BF172" i="48"/>
  <c r="BE172" i="48"/>
  <c r="BI171" i="48"/>
  <c r="BG171" i="48"/>
  <c r="BF171" i="48"/>
  <c r="BE171" i="48"/>
  <c r="BI170" i="48"/>
  <c r="BG170" i="48"/>
  <c r="BF170" i="48"/>
  <c r="BE170" i="48"/>
  <c r="BI169" i="48"/>
  <c r="BG169" i="48"/>
  <c r="BF169" i="48"/>
  <c r="BE169" i="48"/>
  <c r="BI168" i="48"/>
  <c r="BG168" i="48"/>
  <c r="BF168" i="48"/>
  <c r="BE168" i="48"/>
  <c r="BI167" i="48"/>
  <c r="BG167" i="48"/>
  <c r="BF167" i="48"/>
  <c r="BE167" i="48"/>
  <c r="BI166" i="48"/>
  <c r="BG166" i="48"/>
  <c r="BF166" i="48"/>
  <c r="BE166" i="48"/>
  <c r="BI165" i="48"/>
  <c r="BG165" i="48"/>
  <c r="BF165" i="48"/>
  <c r="BE165" i="48"/>
  <c r="BI164" i="48"/>
  <c r="BG164" i="48"/>
  <c r="BF164" i="48"/>
  <c r="BE164" i="48"/>
  <c r="BI163" i="48"/>
  <c r="BG163" i="48"/>
  <c r="BF163" i="48"/>
  <c r="BE163" i="48"/>
  <c r="BI162" i="48"/>
  <c r="BG162" i="48"/>
  <c r="BF162" i="48"/>
  <c r="BE162" i="48"/>
  <c r="BI161" i="48"/>
  <c r="BG161" i="48"/>
  <c r="BF161" i="48"/>
  <c r="BE161" i="48"/>
  <c r="BI160" i="48"/>
  <c r="BG160" i="48"/>
  <c r="BF160" i="48"/>
  <c r="BE160" i="48"/>
  <c r="BI159" i="48"/>
  <c r="BG159" i="48"/>
  <c r="BF159" i="48"/>
  <c r="BE159" i="48"/>
  <c r="BI158" i="48"/>
  <c r="BG158" i="48"/>
  <c r="BF158" i="48"/>
  <c r="BE158" i="48"/>
  <c r="BI157" i="48"/>
  <c r="BG157" i="48"/>
  <c r="BF157" i="48"/>
  <c r="BE157" i="48"/>
  <c r="BI156" i="48"/>
  <c r="BG156" i="48"/>
  <c r="BF156" i="48"/>
  <c r="BE156" i="48"/>
  <c r="BI155" i="48"/>
  <c r="BG155" i="48"/>
  <c r="BF155" i="48"/>
  <c r="BE155" i="48"/>
  <c r="BI154" i="48"/>
  <c r="BG154" i="48"/>
  <c r="BF154" i="48"/>
  <c r="BE154" i="48"/>
  <c r="BI153" i="48"/>
  <c r="BG153" i="48"/>
  <c r="BF153" i="48"/>
  <c r="BE153" i="48"/>
  <c r="BI152" i="48"/>
  <c r="BG152" i="48"/>
  <c r="BF152" i="48"/>
  <c r="BE152" i="48"/>
  <c r="BI151" i="48"/>
  <c r="BG151" i="48"/>
  <c r="BF151" i="48"/>
  <c r="BE151" i="48"/>
  <c r="BI150" i="48"/>
  <c r="BG150" i="48"/>
  <c r="BF150" i="48"/>
  <c r="BE150" i="48"/>
  <c r="BI149" i="48"/>
  <c r="BG149" i="48"/>
  <c r="BF149" i="48"/>
  <c r="BE149" i="48"/>
  <c r="BI148" i="48"/>
  <c r="BG148" i="48"/>
  <c r="BF148" i="48"/>
  <c r="BE148" i="48"/>
  <c r="BI147" i="48"/>
  <c r="BG147" i="48"/>
  <c r="BF147" i="48"/>
  <c r="BE147" i="48"/>
  <c r="BI146" i="48"/>
  <c r="BG146" i="48"/>
  <c r="BF146" i="48"/>
  <c r="BE146" i="48"/>
  <c r="BI145" i="48"/>
  <c r="BG145" i="48"/>
  <c r="BF145" i="48"/>
  <c r="BE145" i="48"/>
  <c r="BI144" i="48"/>
  <c r="BG144" i="48"/>
  <c r="BF144" i="48"/>
  <c r="BE144" i="48"/>
  <c r="BI143" i="48"/>
  <c r="BG143" i="48"/>
  <c r="BF143" i="48"/>
  <c r="BE143" i="48"/>
  <c r="BI142" i="48"/>
  <c r="BG142" i="48"/>
  <c r="BF142" i="48"/>
  <c r="BE142" i="48"/>
  <c r="BI141" i="48"/>
  <c r="BG141" i="48"/>
  <c r="BF141" i="48"/>
  <c r="BE141" i="48"/>
  <c r="BI140" i="48"/>
  <c r="BG140" i="48"/>
  <c r="BF140" i="48"/>
  <c r="BE140" i="48"/>
  <c r="BI139" i="48"/>
  <c r="BG139" i="48"/>
  <c r="BF139" i="48"/>
  <c r="BE139" i="48"/>
  <c r="BI138" i="48"/>
  <c r="BG138" i="48"/>
  <c r="BF138" i="48"/>
  <c r="BE138" i="48"/>
  <c r="BI137" i="48"/>
  <c r="BG137" i="48"/>
  <c r="BF137" i="48"/>
  <c r="BE137" i="48"/>
  <c r="BI136" i="48"/>
  <c r="BG136" i="48"/>
  <c r="BF136" i="48"/>
  <c r="BE136" i="48"/>
  <c r="BI135" i="48"/>
  <c r="BG135" i="48"/>
  <c r="BF135" i="48"/>
  <c r="BE135" i="48"/>
  <c r="BI134" i="48"/>
  <c r="BG134" i="48"/>
  <c r="BF134" i="48"/>
  <c r="BE134" i="48"/>
  <c r="BI133" i="48"/>
  <c r="BG133" i="48"/>
  <c r="BF133" i="48"/>
  <c r="BE133" i="48"/>
  <c r="BI132" i="48"/>
  <c r="BG132" i="48"/>
  <c r="BF132" i="48"/>
  <c r="BE132" i="48"/>
  <c r="BI131" i="48"/>
  <c r="BG131" i="48"/>
  <c r="BF131" i="48"/>
  <c r="BE131" i="48"/>
  <c r="BI130" i="48"/>
  <c r="BG130" i="48"/>
  <c r="BF130" i="48"/>
  <c r="BE130" i="48"/>
  <c r="BI129" i="48"/>
  <c r="BG129" i="48"/>
  <c r="BF129" i="48"/>
  <c r="BE129" i="48"/>
  <c r="BI128" i="48"/>
  <c r="BG128" i="48"/>
  <c r="BF128" i="48"/>
  <c r="BE128" i="48"/>
  <c r="BI127" i="48"/>
  <c r="BG127" i="48"/>
  <c r="BF127" i="48"/>
  <c r="BE127" i="48"/>
  <c r="BI126" i="48"/>
  <c r="BG126" i="48"/>
  <c r="BF126" i="48"/>
  <c r="BE126" i="48"/>
  <c r="BI125" i="48"/>
  <c r="BG125" i="48"/>
  <c r="BF125" i="48"/>
  <c r="BE125" i="48"/>
  <c r="BI124" i="48"/>
  <c r="BG124" i="48"/>
  <c r="BF124" i="48"/>
  <c r="BE124" i="48"/>
  <c r="BI123" i="48"/>
  <c r="BG123" i="48"/>
  <c r="BF123" i="48"/>
  <c r="BE123" i="48"/>
  <c r="BI122" i="48"/>
  <c r="BG122" i="48"/>
  <c r="BF122" i="48"/>
  <c r="BE122" i="48"/>
  <c r="BI121" i="48"/>
  <c r="BG121" i="48"/>
  <c r="BF121" i="48"/>
  <c r="BE121" i="48"/>
  <c r="BI120" i="48"/>
  <c r="BG120" i="48"/>
  <c r="BF120" i="48"/>
  <c r="BE120" i="48"/>
  <c r="BI119" i="48"/>
  <c r="BG119" i="48"/>
  <c r="BF119" i="48"/>
  <c r="BE119" i="48"/>
  <c r="BI118" i="48"/>
  <c r="BG118" i="48"/>
  <c r="BF118" i="48"/>
  <c r="BE118" i="48"/>
  <c r="BI117" i="48"/>
  <c r="BG117" i="48"/>
  <c r="BF117" i="48"/>
  <c r="BE117" i="48"/>
  <c r="BI116" i="48"/>
  <c r="BG116" i="48"/>
  <c r="BF116" i="48"/>
  <c r="BE116" i="48"/>
  <c r="BI115" i="48"/>
  <c r="BG115" i="48"/>
  <c r="BF115" i="48"/>
  <c r="BE115" i="48"/>
  <c r="BI114" i="48"/>
  <c r="BG114" i="48"/>
  <c r="BF114" i="48"/>
  <c r="BE114" i="48"/>
  <c r="BI113" i="48"/>
  <c r="BG113" i="48"/>
  <c r="BF113" i="48"/>
  <c r="BE113" i="48"/>
  <c r="BI112" i="48"/>
  <c r="BG112" i="48"/>
  <c r="BF112" i="48"/>
  <c r="BE112" i="48"/>
  <c r="BI111" i="48"/>
  <c r="BG111" i="48"/>
  <c r="BF111" i="48"/>
  <c r="BE111" i="48"/>
  <c r="BI110" i="48"/>
  <c r="BG110" i="48"/>
  <c r="BF110" i="48"/>
  <c r="BE110" i="48"/>
  <c r="BI109" i="48"/>
  <c r="BG109" i="48"/>
  <c r="BF109" i="48"/>
  <c r="BE109" i="48"/>
  <c r="BI108" i="48"/>
  <c r="BG108" i="48"/>
  <c r="BF108" i="48"/>
  <c r="BE108" i="48"/>
  <c r="BI107" i="48"/>
  <c r="BG107" i="48"/>
  <c r="BF107" i="48"/>
  <c r="BE107" i="48"/>
  <c r="BI106" i="48"/>
  <c r="BG106" i="48"/>
  <c r="BF106" i="48"/>
  <c r="BE106" i="48"/>
  <c r="BI105" i="48"/>
  <c r="BG105" i="48"/>
  <c r="BF105" i="48"/>
  <c r="BE105" i="48"/>
  <c r="BI104" i="48"/>
  <c r="BG104" i="48"/>
  <c r="BF104" i="48"/>
  <c r="BE104" i="48"/>
  <c r="BI103" i="48"/>
  <c r="BG103" i="48"/>
  <c r="BF103" i="48"/>
  <c r="BE103" i="48"/>
  <c r="BI102" i="48"/>
  <c r="BG102" i="48"/>
  <c r="BF102" i="48"/>
  <c r="BE102" i="48"/>
  <c r="BI101" i="48"/>
  <c r="BG101" i="48"/>
  <c r="BF101" i="48"/>
  <c r="BE101" i="48"/>
  <c r="BI100" i="48"/>
  <c r="BG100" i="48"/>
  <c r="BF100" i="48"/>
  <c r="BE100" i="48"/>
  <c r="BI99" i="48"/>
  <c r="BG99" i="48"/>
  <c r="BF99" i="48"/>
  <c r="BE99" i="48"/>
  <c r="BI98" i="48"/>
  <c r="BG98" i="48"/>
  <c r="BF98" i="48"/>
  <c r="BE98" i="48"/>
  <c r="BI97" i="48"/>
  <c r="BG97" i="48"/>
  <c r="BF97" i="48"/>
  <c r="BE97" i="48"/>
  <c r="BI96" i="48"/>
  <c r="BG96" i="48"/>
  <c r="BF96" i="48"/>
  <c r="BE96" i="48"/>
  <c r="BI95" i="48"/>
  <c r="BG95" i="48"/>
  <c r="BF95" i="48"/>
  <c r="BE95" i="48"/>
  <c r="BI94" i="48"/>
  <c r="BG94" i="48"/>
  <c r="BF94" i="48"/>
  <c r="BE94" i="48"/>
  <c r="BI93" i="48"/>
  <c r="BG93" i="48"/>
  <c r="BF93" i="48"/>
  <c r="BE93" i="48"/>
  <c r="BI92" i="48"/>
  <c r="BG92" i="48"/>
  <c r="BF92" i="48"/>
  <c r="BE92" i="48"/>
  <c r="BI91" i="48"/>
  <c r="BG91" i="48"/>
  <c r="BF91" i="48"/>
  <c r="BE91" i="48"/>
  <c r="BI90" i="48"/>
  <c r="BG90" i="48"/>
  <c r="BF90" i="48"/>
  <c r="BE90" i="48"/>
  <c r="BI89" i="48"/>
  <c r="BG89" i="48"/>
  <c r="BF89" i="48"/>
  <c r="BE89" i="48"/>
  <c r="BI88" i="48"/>
  <c r="BG88" i="48"/>
  <c r="BF88" i="48"/>
  <c r="BE88" i="48"/>
  <c r="BI87" i="48"/>
  <c r="BG87" i="48"/>
  <c r="BF87" i="48"/>
  <c r="BE87" i="48"/>
  <c r="BI86" i="48"/>
  <c r="BG86" i="48"/>
  <c r="BF86" i="48"/>
  <c r="BE86" i="48"/>
  <c r="BI85" i="48"/>
  <c r="BG85" i="48"/>
  <c r="BF85" i="48"/>
  <c r="BE85" i="48"/>
  <c r="BI84" i="48"/>
  <c r="BG84" i="48"/>
  <c r="BF84" i="48"/>
  <c r="BE84" i="48"/>
  <c r="BI83" i="48"/>
  <c r="BG83" i="48"/>
  <c r="BF83" i="48"/>
  <c r="BE83" i="48"/>
  <c r="BI82" i="48"/>
  <c r="BG82" i="48"/>
  <c r="BF82" i="48"/>
  <c r="BE82" i="48"/>
  <c r="BI81" i="48"/>
  <c r="BG81" i="48"/>
  <c r="BF81" i="48"/>
  <c r="BE81" i="48"/>
  <c r="BI80" i="48"/>
  <c r="BG80" i="48"/>
  <c r="BF80" i="48"/>
  <c r="BE80" i="48"/>
  <c r="BI79" i="48"/>
  <c r="BG79" i="48"/>
  <c r="BF79" i="48"/>
  <c r="BE79" i="48"/>
  <c r="BI78" i="48"/>
  <c r="BG78" i="48"/>
  <c r="BF78" i="48"/>
  <c r="BE78" i="48"/>
  <c r="BI77" i="48"/>
  <c r="BG77" i="48"/>
  <c r="BF77" i="48"/>
  <c r="BE77" i="48"/>
  <c r="BI76" i="48"/>
  <c r="BG76" i="48"/>
  <c r="BF76" i="48"/>
  <c r="BE76" i="48"/>
  <c r="BI75" i="48"/>
  <c r="BG75" i="48"/>
  <c r="BF75" i="48"/>
  <c r="BE75" i="48"/>
  <c r="BI74" i="48"/>
  <c r="BG74" i="48"/>
  <c r="BF74" i="48"/>
  <c r="BE74" i="48"/>
  <c r="BI73" i="48"/>
  <c r="BG73" i="48"/>
  <c r="BF73" i="48"/>
  <c r="BE73" i="48"/>
  <c r="BI72" i="48"/>
  <c r="BG72" i="48"/>
  <c r="BF72" i="48"/>
  <c r="BE72" i="48"/>
  <c r="BI71" i="48"/>
  <c r="BG71" i="48"/>
  <c r="BF71" i="48"/>
  <c r="BE71" i="48"/>
  <c r="BI70" i="48"/>
  <c r="BG70" i="48"/>
  <c r="BF70" i="48"/>
  <c r="BE70" i="48"/>
  <c r="BI69" i="48"/>
  <c r="BG69" i="48"/>
  <c r="BF69" i="48"/>
  <c r="BE69" i="48"/>
  <c r="BI68" i="48"/>
  <c r="BG68" i="48"/>
  <c r="BF68" i="48"/>
  <c r="BE68" i="48"/>
  <c r="BI67" i="48"/>
  <c r="BG67" i="48"/>
  <c r="BF67" i="48"/>
  <c r="BE67" i="48"/>
  <c r="BI66" i="48"/>
  <c r="BG66" i="48"/>
  <c r="BF66" i="48"/>
  <c r="BE66" i="48"/>
  <c r="BI65" i="48"/>
  <c r="BG65" i="48"/>
  <c r="BF65" i="48"/>
  <c r="BE65" i="48"/>
  <c r="BI64" i="48"/>
  <c r="BG64" i="48"/>
  <c r="BF64" i="48"/>
  <c r="BE64" i="48"/>
  <c r="BI63" i="48"/>
  <c r="BG63" i="48"/>
  <c r="BF63" i="48"/>
  <c r="BE63" i="48"/>
  <c r="BI62" i="48"/>
  <c r="BG62" i="48"/>
  <c r="BF62" i="48"/>
  <c r="BE62" i="48"/>
  <c r="BI61" i="48"/>
  <c r="BG61" i="48"/>
  <c r="BF61" i="48"/>
  <c r="BE61" i="48"/>
  <c r="BI60" i="48"/>
  <c r="BG60" i="48"/>
  <c r="BF60" i="48"/>
  <c r="BE60" i="48"/>
  <c r="BI59" i="48"/>
  <c r="BG59" i="48"/>
  <c r="BF59" i="48"/>
  <c r="BE59" i="48"/>
  <c r="BI58" i="48"/>
  <c r="BG58" i="48"/>
  <c r="BF58" i="48"/>
  <c r="BE58" i="48"/>
  <c r="BI57" i="48"/>
  <c r="BG57" i="48"/>
  <c r="BF57" i="48"/>
  <c r="BE57" i="48"/>
  <c r="BI56" i="48"/>
  <c r="BG56" i="48"/>
  <c r="BF56" i="48"/>
  <c r="BE56" i="48"/>
  <c r="BI55" i="48"/>
  <c r="BG55" i="48"/>
  <c r="BF55" i="48"/>
  <c r="BE55" i="48"/>
  <c r="BI54" i="48"/>
  <c r="BG54" i="48"/>
  <c r="BF54" i="48"/>
  <c r="BE54" i="48"/>
  <c r="BI53" i="48"/>
  <c r="BG53" i="48"/>
  <c r="BF53" i="48"/>
  <c r="BE53" i="48"/>
  <c r="BI52" i="48"/>
  <c r="BG52" i="48"/>
  <c r="BF52" i="48"/>
  <c r="BE52" i="48"/>
  <c r="BI51" i="48"/>
  <c r="BG51" i="48"/>
  <c r="BF51" i="48"/>
  <c r="BE51" i="48"/>
  <c r="BI50" i="48"/>
  <c r="BG50" i="48"/>
  <c r="BF50" i="48"/>
  <c r="BE50" i="48"/>
  <c r="BI49" i="48"/>
  <c r="BG49" i="48"/>
  <c r="BF49" i="48"/>
  <c r="BE49" i="48"/>
  <c r="BI48" i="48"/>
  <c r="BG48" i="48"/>
  <c r="BF48" i="48"/>
  <c r="BE48" i="48"/>
  <c r="BI47" i="48"/>
  <c r="BG47" i="48"/>
  <c r="BF47" i="48"/>
  <c r="BE47" i="48"/>
  <c r="BI46" i="48"/>
  <c r="BG46" i="48"/>
  <c r="BF46" i="48"/>
  <c r="BE46" i="48"/>
  <c r="BI45" i="48"/>
  <c r="BG45" i="48"/>
  <c r="BF45" i="48"/>
  <c r="BE45" i="48"/>
  <c r="BI44" i="48"/>
  <c r="BG44" i="48"/>
  <c r="BF44" i="48"/>
  <c r="BE44" i="48"/>
  <c r="BI43" i="48"/>
  <c r="BG43" i="48"/>
  <c r="BF43" i="48"/>
  <c r="BE43" i="48"/>
  <c r="BI42" i="48"/>
  <c r="BG42" i="48"/>
  <c r="BF42" i="48"/>
  <c r="BE42" i="48"/>
  <c r="BI41" i="48"/>
  <c r="BG41" i="48"/>
  <c r="BF41" i="48"/>
  <c r="BE41" i="48"/>
  <c r="BI40" i="48"/>
  <c r="BG40" i="48"/>
  <c r="BF40" i="48"/>
  <c r="BE40" i="48"/>
  <c r="BI39" i="48"/>
  <c r="BG39" i="48"/>
  <c r="BF39" i="48"/>
  <c r="BE39" i="48"/>
  <c r="BI38" i="48"/>
  <c r="BG38" i="48"/>
  <c r="BF38" i="48"/>
  <c r="BE38" i="48"/>
  <c r="BI37" i="48"/>
  <c r="BG37" i="48"/>
  <c r="BF37" i="48"/>
  <c r="BE37" i="48"/>
  <c r="BI36" i="48"/>
  <c r="BG36" i="48"/>
  <c r="BF36" i="48"/>
  <c r="BE36" i="48"/>
  <c r="BI35" i="48"/>
  <c r="BG35" i="48"/>
  <c r="BF35" i="48"/>
  <c r="BE35" i="48"/>
  <c r="BI34" i="48"/>
  <c r="BG34" i="48"/>
  <c r="BF34" i="48"/>
  <c r="BE34" i="48"/>
  <c r="BI33" i="48"/>
  <c r="BG33" i="48"/>
  <c r="BF33" i="48"/>
  <c r="BE33" i="48"/>
  <c r="BI32" i="48"/>
  <c r="BG32" i="48"/>
  <c r="BF32" i="48"/>
  <c r="BE32" i="48"/>
  <c r="BI31" i="48"/>
  <c r="BG31" i="48"/>
  <c r="BF31" i="48"/>
  <c r="BE31" i="48"/>
  <c r="BI30" i="48"/>
  <c r="BG30" i="48"/>
  <c r="BF30" i="48"/>
  <c r="BE30" i="48"/>
  <c r="BI29" i="48"/>
  <c r="BG29" i="48"/>
  <c r="BF29" i="48"/>
  <c r="BE29" i="48"/>
  <c r="BI28" i="48"/>
  <c r="BG28" i="48"/>
  <c r="BF28" i="48"/>
  <c r="BE28" i="48"/>
  <c r="BI27" i="48"/>
  <c r="BG27" i="48"/>
  <c r="BF27" i="48"/>
  <c r="BE27" i="48"/>
  <c r="BI26" i="48"/>
  <c r="BG26" i="48"/>
  <c r="BF26" i="48"/>
  <c r="BE26" i="48"/>
  <c r="BI25" i="48"/>
  <c r="BG25" i="48"/>
  <c r="BF25" i="48"/>
  <c r="BE25" i="48"/>
  <c r="BI24" i="48"/>
  <c r="BG24" i="48"/>
  <c r="BF24" i="48"/>
  <c r="BE24" i="48"/>
  <c r="BI23" i="48"/>
  <c r="BG23" i="48"/>
  <c r="BF23" i="48"/>
  <c r="BE23" i="48"/>
  <c r="BI22" i="48"/>
  <c r="BG22" i="48"/>
  <c r="BF22" i="48"/>
  <c r="BE22" i="48"/>
  <c r="BI21" i="48"/>
  <c r="BG21" i="48"/>
  <c r="BF21" i="48"/>
  <c r="BE21" i="48"/>
  <c r="BI20" i="48"/>
  <c r="BG20" i="48"/>
  <c r="BF20" i="48"/>
  <c r="BE20" i="48"/>
  <c r="BI19" i="48"/>
  <c r="BG19" i="48"/>
  <c r="BF19" i="48"/>
  <c r="BE19" i="48"/>
  <c r="BI18" i="48"/>
  <c r="BG18" i="48"/>
  <c r="BF18" i="48"/>
  <c r="BE18" i="48"/>
  <c r="BI17" i="48"/>
  <c r="BG17" i="48"/>
  <c r="BF17" i="48"/>
  <c r="BE17" i="48"/>
  <c r="BI16" i="48"/>
  <c r="BG16" i="48"/>
  <c r="BF16" i="48"/>
  <c r="BE16" i="48"/>
  <c r="BI15" i="48"/>
  <c r="BG15" i="48"/>
  <c r="BF15" i="48"/>
  <c r="BE15" i="48"/>
  <c r="BI14" i="48"/>
  <c r="BG14" i="48"/>
  <c r="BF14" i="48"/>
  <c r="BE14" i="48"/>
  <c r="BI13" i="48"/>
  <c r="BG13" i="48"/>
  <c r="BF13" i="48"/>
  <c r="BE13" i="48"/>
  <c r="BI12" i="48"/>
  <c r="BG12" i="48"/>
  <c r="BF12" i="48"/>
  <c r="BE12" i="48"/>
  <c r="BI11" i="48"/>
  <c r="BG11" i="48"/>
  <c r="BF11" i="48"/>
  <c r="BE11" i="48"/>
  <c r="BI10" i="48"/>
  <c r="BG10" i="48"/>
  <c r="BF10" i="48"/>
  <c r="BE10" i="48"/>
  <c r="BI9" i="48"/>
  <c r="BG9" i="48"/>
  <c r="BF9" i="48"/>
  <c r="BE9" i="48"/>
  <c r="BI8" i="48"/>
  <c r="BG8" i="48"/>
  <c r="BF8" i="48"/>
  <c r="BE8" i="48"/>
  <c r="BI7" i="48"/>
  <c r="BG7" i="48"/>
  <c r="BF7" i="48"/>
  <c r="BE7" i="48"/>
  <c r="BI6" i="48"/>
  <c r="BG6" i="48"/>
  <c r="BF6" i="48"/>
  <c r="BE6" i="48"/>
  <c r="BI5" i="48"/>
  <c r="BG5" i="48"/>
  <c r="BF5" i="48"/>
  <c r="BE5" i="48"/>
  <c r="BI4" i="48"/>
  <c r="BG4" i="48"/>
  <c r="BF4" i="48"/>
  <c r="BE4" i="48"/>
  <c r="BG3" i="48"/>
  <c r="BI3" i="48"/>
  <c r="BF3" i="48"/>
  <c r="BE3" i="48"/>
  <c r="E30" i="58"/>
  <c r="DI17" i="48" l="1"/>
  <c r="DI25" i="48"/>
  <c r="DI10" i="48"/>
  <c r="DI18" i="48"/>
  <c r="DI26" i="48"/>
  <c r="DI11" i="48"/>
  <c r="DI19" i="48"/>
  <c r="DI27" i="48"/>
  <c r="DI12" i="48"/>
  <c r="DI20" i="48"/>
  <c r="DI13" i="48"/>
  <c r="DI21" i="48"/>
  <c r="DI14" i="48"/>
  <c r="DI22" i="48"/>
  <c r="DI15" i="48"/>
  <c r="DI23" i="48"/>
  <c r="O21" i="28"/>
  <c r="O18" i="28"/>
  <c r="O33" i="28"/>
  <c r="O26" i="28"/>
  <c r="O29" i="28"/>
  <c r="O19" i="28"/>
  <c r="O27" i="28"/>
  <c r="O28" i="28"/>
  <c r="O20" i="28"/>
  <c r="O22" i="28"/>
  <c r="O30" i="28"/>
  <c r="O23" i="28"/>
  <c r="O31" i="28"/>
  <c r="O16" i="28"/>
  <c r="O24" i="28"/>
  <c r="O32" i="28"/>
  <c r="O17" i="28"/>
  <c r="O25" i="28"/>
  <c r="DG24" i="48"/>
  <c r="DG16" i="48"/>
  <c r="N14" i="28"/>
  <c r="O15" i="28" s="1"/>
  <c r="DG1339" i="48"/>
  <c r="DG1340" i="48"/>
  <c r="DG1347" i="48"/>
  <c r="DG1348" i="48"/>
  <c r="DG1312" i="48"/>
  <c r="DG1337" i="48"/>
  <c r="DG1345" i="48"/>
  <c r="DG1320" i="48"/>
  <c r="DG1338" i="48"/>
  <c r="DG1346" i="48"/>
  <c r="DG1333" i="48"/>
  <c r="DG1341" i="48"/>
  <c r="DG1349" i="48"/>
  <c r="DG1342" i="48"/>
  <c r="DG1350" i="48"/>
  <c r="DG1335" i="48"/>
  <c r="DG1343" i="48"/>
  <c r="DG1351" i="48"/>
  <c r="DG1336" i="48"/>
  <c r="DG1344" i="48"/>
  <c r="DG1352" i="48"/>
  <c r="DG1289" i="48"/>
  <c r="DG1220" i="48"/>
  <c r="DG1297" i="48"/>
  <c r="DG1313" i="48"/>
  <c r="DG1321" i="48"/>
  <c r="DG1322" i="48"/>
  <c r="DG1315" i="48"/>
  <c r="DG1323" i="48"/>
  <c r="DG1314" i="48"/>
  <c r="DG1308" i="48"/>
  <c r="DG1316" i="48"/>
  <c r="DG1324" i="48"/>
  <c r="DG1317" i="48"/>
  <c r="DG1325" i="48"/>
  <c r="DG1310" i="48"/>
  <c r="DG1318" i="48"/>
  <c r="DG1326" i="48"/>
  <c r="DG1311" i="48"/>
  <c r="DG1319" i="48"/>
  <c r="DG1327" i="48"/>
  <c r="DG1262" i="48"/>
  <c r="DG1287" i="48"/>
  <c r="DG1295" i="48"/>
  <c r="DG1270" i="48"/>
  <c r="DG1288" i="48"/>
  <c r="DG1296" i="48"/>
  <c r="DG1298" i="48"/>
  <c r="DG1283" i="48"/>
  <c r="DG1291" i="48"/>
  <c r="DG1299" i="48"/>
  <c r="DG1290" i="48"/>
  <c r="DG1245" i="48"/>
  <c r="DG1292" i="48"/>
  <c r="DG1300" i="48"/>
  <c r="DG1285" i="48"/>
  <c r="DG1293" i="48"/>
  <c r="DG1301" i="48"/>
  <c r="DG1286" i="48"/>
  <c r="DG1294" i="48"/>
  <c r="DG1302" i="48"/>
  <c r="DG1212" i="48"/>
  <c r="DG1251" i="48"/>
  <c r="DG1263" i="48"/>
  <c r="DG1271" i="48"/>
  <c r="DG1272" i="48"/>
  <c r="DG1265" i="48"/>
  <c r="DG1273" i="48"/>
  <c r="DG1264" i="48"/>
  <c r="DG1258" i="48"/>
  <c r="DG1266" i="48"/>
  <c r="DG1274" i="48"/>
  <c r="DG1235" i="48"/>
  <c r="DG1267" i="48"/>
  <c r="DG1275" i="48"/>
  <c r="DG1237" i="48"/>
  <c r="DG1260" i="48"/>
  <c r="DG1268" i="48"/>
  <c r="DG1276" i="48"/>
  <c r="DG1243" i="48"/>
  <c r="DG1261" i="48"/>
  <c r="DG1269" i="48"/>
  <c r="DG1277" i="48"/>
  <c r="DG1221" i="48"/>
  <c r="DG1238" i="48"/>
  <c r="DG1246" i="48"/>
  <c r="DG1239" i="48"/>
  <c r="DG1247" i="48"/>
  <c r="DG1240" i="48"/>
  <c r="DG1248" i="48"/>
  <c r="DG1233" i="48"/>
  <c r="DG1241" i="48"/>
  <c r="DG1249" i="48"/>
  <c r="DG1242" i="48"/>
  <c r="DG1250" i="48"/>
  <c r="DG1213" i="48"/>
  <c r="DG1236" i="48"/>
  <c r="DG1244" i="48"/>
  <c r="DG1252" i="48"/>
  <c r="DG1214" i="48"/>
  <c r="DG1222" i="48"/>
  <c r="DG1215" i="48"/>
  <c r="DG1223" i="48"/>
  <c r="DG1208" i="48"/>
  <c r="DG1216" i="48"/>
  <c r="DG1224" i="48"/>
  <c r="DG1217" i="48"/>
  <c r="DG1225" i="48"/>
  <c r="DG1210" i="48"/>
  <c r="DG1218" i="48"/>
  <c r="DG1226" i="48"/>
  <c r="DG1211" i="48"/>
  <c r="DG1219" i="48"/>
  <c r="DG1227" i="48"/>
  <c r="DG1162" i="48"/>
  <c r="DG1196" i="48"/>
  <c r="DG1189" i="48"/>
  <c r="DG1197" i="48"/>
  <c r="DG1187" i="48"/>
  <c r="DG1188" i="48"/>
  <c r="DG1190" i="48"/>
  <c r="DG1198" i="48"/>
  <c r="DG1170" i="48"/>
  <c r="DG1183" i="48"/>
  <c r="DG1191" i="48"/>
  <c r="DG1199" i="48"/>
  <c r="DG1145" i="48"/>
  <c r="DG1192" i="48"/>
  <c r="DG1200" i="48"/>
  <c r="DG1185" i="48"/>
  <c r="DG1193" i="48"/>
  <c r="DG1201" i="48"/>
  <c r="DG1195" i="48"/>
  <c r="DG1186" i="48"/>
  <c r="DG1194" i="48"/>
  <c r="DG1202" i="48"/>
  <c r="DG1146" i="48"/>
  <c r="DG1163" i="48"/>
  <c r="DG1171" i="48"/>
  <c r="DG1112" i="48"/>
  <c r="DG1164" i="48"/>
  <c r="DG1172" i="48"/>
  <c r="DG1120" i="48"/>
  <c r="DG1165" i="48"/>
  <c r="DG1173" i="48"/>
  <c r="DG1158" i="48"/>
  <c r="DG1166" i="48"/>
  <c r="DG1174" i="48"/>
  <c r="DG1167" i="48"/>
  <c r="DG1175" i="48"/>
  <c r="DG1137" i="48"/>
  <c r="DG1160" i="48"/>
  <c r="DG1168" i="48"/>
  <c r="DG1176" i="48"/>
  <c r="DG1138" i="48"/>
  <c r="DG1161" i="48"/>
  <c r="DG1169" i="48"/>
  <c r="DG1177" i="48"/>
  <c r="DG1139" i="48"/>
  <c r="DG1147" i="48"/>
  <c r="DG1140" i="48"/>
  <c r="DG1148" i="48"/>
  <c r="DG1133" i="48"/>
  <c r="DG1141" i="48"/>
  <c r="DG1149" i="48"/>
  <c r="DG1095" i="48"/>
  <c r="DG1142" i="48"/>
  <c r="DG1150" i="48"/>
  <c r="DG1135" i="48"/>
  <c r="DG1143" i="48"/>
  <c r="DG1151" i="48"/>
  <c r="DG1136" i="48"/>
  <c r="DG1144" i="48"/>
  <c r="DG1152" i="48"/>
  <c r="DG1097" i="48"/>
  <c r="DG1113" i="48"/>
  <c r="DG1121" i="48"/>
  <c r="DG1114" i="48"/>
  <c r="DG1122" i="48"/>
  <c r="DG1115" i="48"/>
  <c r="DG1123" i="48"/>
  <c r="DG1108" i="48"/>
  <c r="DG1116" i="48"/>
  <c r="DG1124" i="48"/>
  <c r="DG1117" i="48"/>
  <c r="DG1125" i="48"/>
  <c r="DG1087" i="48"/>
  <c r="DG1110" i="48"/>
  <c r="DG1118" i="48"/>
  <c r="DG1126" i="48"/>
  <c r="DG1089" i="48"/>
  <c r="DG1111" i="48"/>
  <c r="DG1119" i="48"/>
  <c r="DG1127" i="48"/>
  <c r="DG1088" i="48"/>
  <c r="DG1096" i="48"/>
  <c r="DG1090" i="48"/>
  <c r="DG1098" i="48"/>
  <c r="DG1083" i="48"/>
  <c r="DG1091" i="48"/>
  <c r="DG1099" i="48"/>
  <c r="DG1092" i="48"/>
  <c r="DG1100" i="48"/>
  <c r="DG1039" i="48"/>
  <c r="DG1085" i="48"/>
  <c r="DG1093" i="48"/>
  <c r="DG1101" i="48"/>
  <c r="DG1047" i="48"/>
  <c r="DG1086" i="48"/>
  <c r="DG1094" i="48"/>
  <c r="DG1102" i="48"/>
  <c r="DG1069" i="48"/>
  <c r="DG1070" i="48"/>
  <c r="DG1063" i="48"/>
  <c r="DG1071" i="48"/>
  <c r="DG1061" i="48"/>
  <c r="DG1062" i="48"/>
  <c r="DG1064" i="48"/>
  <c r="DG1072" i="48"/>
  <c r="DG1077" i="48"/>
  <c r="DG1045" i="48"/>
  <c r="DG1012" i="48"/>
  <c r="DG1065" i="48"/>
  <c r="DG1073" i="48"/>
  <c r="DG1058" i="48"/>
  <c r="DG1066" i="48"/>
  <c r="DG1074" i="48"/>
  <c r="DG1067" i="48"/>
  <c r="DG1075" i="48"/>
  <c r="DG1037" i="48"/>
  <c r="DG1060" i="48"/>
  <c r="DG1068" i="48"/>
  <c r="DG1076" i="48"/>
  <c r="DG1020" i="48"/>
  <c r="DG1038" i="48"/>
  <c r="DG1046" i="48"/>
  <c r="DG1040" i="48"/>
  <c r="DG1048" i="48"/>
  <c r="DG1033" i="48"/>
  <c r="DG1041" i="48"/>
  <c r="DG1049" i="48"/>
  <c r="DG995" i="48"/>
  <c r="DG1042" i="48"/>
  <c r="DG1050" i="48"/>
  <c r="DG1035" i="48"/>
  <c r="DG1043" i="48"/>
  <c r="DG1051" i="48"/>
  <c r="DG1036" i="48"/>
  <c r="DG1044" i="48"/>
  <c r="DG1052" i="48"/>
  <c r="DG996" i="48"/>
  <c r="DG1013" i="48"/>
  <c r="DG1021" i="48"/>
  <c r="DG964" i="48"/>
  <c r="DG1014" i="48"/>
  <c r="DG1022" i="48"/>
  <c r="DG972" i="48"/>
  <c r="DG1015" i="48"/>
  <c r="DG1023" i="48"/>
  <c r="DG1008" i="48"/>
  <c r="DG1016" i="48"/>
  <c r="DG1024" i="48"/>
  <c r="DG1017" i="48"/>
  <c r="DG1025" i="48"/>
  <c r="DG987" i="48"/>
  <c r="DG1010" i="48"/>
  <c r="DG1018" i="48"/>
  <c r="DG1026" i="48"/>
  <c r="DG988" i="48"/>
  <c r="DG1011" i="48"/>
  <c r="DG1019" i="48"/>
  <c r="DG1027" i="48"/>
  <c r="DG989" i="48"/>
  <c r="DG997" i="48"/>
  <c r="DG990" i="48"/>
  <c r="DG998" i="48"/>
  <c r="DG983" i="48"/>
  <c r="DG991" i="48"/>
  <c r="DG999" i="48"/>
  <c r="DG992" i="48"/>
  <c r="DG1000" i="48"/>
  <c r="DG985" i="48"/>
  <c r="DG993" i="48"/>
  <c r="DG1001" i="48"/>
  <c r="DG986" i="48"/>
  <c r="DG994" i="48"/>
  <c r="DG1002" i="48"/>
  <c r="DG937" i="48"/>
  <c r="DG962" i="48"/>
  <c r="DG970" i="48"/>
  <c r="DG945" i="48"/>
  <c r="DG963" i="48"/>
  <c r="DG971" i="48"/>
  <c r="DG965" i="48"/>
  <c r="DG973" i="48"/>
  <c r="DG958" i="48"/>
  <c r="DG966" i="48"/>
  <c r="DG974" i="48"/>
  <c r="DG912" i="48"/>
  <c r="DG967" i="48"/>
  <c r="DG975" i="48"/>
  <c r="DG960" i="48"/>
  <c r="DG968" i="48"/>
  <c r="DG976" i="48"/>
  <c r="DG961" i="48"/>
  <c r="DG969" i="48"/>
  <c r="DG977" i="48"/>
  <c r="DG920" i="48"/>
  <c r="DG938" i="48"/>
  <c r="DG946" i="48"/>
  <c r="DG939" i="48"/>
  <c r="DG947" i="48"/>
  <c r="DG940" i="48"/>
  <c r="DG948" i="48"/>
  <c r="DG933" i="48"/>
  <c r="DG941" i="48"/>
  <c r="DG949" i="48"/>
  <c r="DG942" i="48"/>
  <c r="DG950" i="48"/>
  <c r="DG935" i="48"/>
  <c r="DG943" i="48"/>
  <c r="DG951" i="48"/>
  <c r="DG936" i="48"/>
  <c r="DG944" i="48"/>
  <c r="DG952" i="48"/>
  <c r="DG913" i="48"/>
  <c r="DG921" i="48"/>
  <c r="DG914" i="48"/>
  <c r="DG922" i="48"/>
  <c r="DG915" i="48"/>
  <c r="DG923" i="48"/>
  <c r="DG908" i="48"/>
  <c r="DG916" i="48"/>
  <c r="DG924" i="48"/>
  <c r="DG917" i="48"/>
  <c r="DG925" i="48"/>
  <c r="DG910" i="48"/>
  <c r="DG918" i="48"/>
  <c r="DG926" i="48"/>
  <c r="DG911" i="48"/>
  <c r="DG919" i="48"/>
  <c r="DG927" i="48"/>
  <c r="DG862" i="48"/>
  <c r="DG887" i="48"/>
  <c r="DG895" i="48"/>
  <c r="DG870" i="48"/>
  <c r="DG888" i="48"/>
  <c r="DG896" i="48"/>
  <c r="DG897" i="48"/>
  <c r="DG890" i="48"/>
  <c r="DG898" i="48"/>
  <c r="DG883" i="48"/>
  <c r="DG891" i="48"/>
  <c r="DG899" i="48"/>
  <c r="DG889" i="48"/>
  <c r="DG837" i="48"/>
  <c r="DG892" i="48"/>
  <c r="DG900" i="48"/>
  <c r="DG885" i="48"/>
  <c r="DG893" i="48"/>
  <c r="DG901" i="48"/>
  <c r="DG886" i="48"/>
  <c r="DG894" i="48"/>
  <c r="DG902" i="48"/>
  <c r="DG845" i="48"/>
  <c r="DG863" i="48"/>
  <c r="DG871" i="48"/>
  <c r="DG864" i="48"/>
  <c r="DG872" i="48"/>
  <c r="DG865" i="48"/>
  <c r="DG873" i="48"/>
  <c r="DG858" i="48"/>
  <c r="DG866" i="48"/>
  <c r="DG874" i="48"/>
  <c r="DG812" i="48"/>
  <c r="DG867" i="48"/>
  <c r="DG875" i="48"/>
  <c r="DG860" i="48"/>
  <c r="DG868" i="48"/>
  <c r="DG876" i="48"/>
  <c r="DG861" i="48"/>
  <c r="DG869" i="48"/>
  <c r="DG877" i="48"/>
  <c r="DG820" i="48"/>
  <c r="DG838" i="48"/>
  <c r="DG846" i="48"/>
  <c r="DG839" i="48"/>
  <c r="DG847" i="48"/>
  <c r="DG840" i="48"/>
  <c r="DG848" i="48"/>
  <c r="DG833" i="48"/>
  <c r="DG841" i="48"/>
  <c r="DG849" i="48"/>
  <c r="DG842" i="48"/>
  <c r="DG850" i="48"/>
  <c r="DG835" i="48"/>
  <c r="DG843" i="48"/>
  <c r="DG851" i="48"/>
  <c r="DG836" i="48"/>
  <c r="DG844" i="48"/>
  <c r="DG852" i="48"/>
  <c r="DG813" i="48"/>
  <c r="DG821" i="48"/>
  <c r="DG814" i="48"/>
  <c r="DG822" i="48"/>
  <c r="DG815" i="48"/>
  <c r="DG823" i="48"/>
  <c r="DG808" i="48"/>
  <c r="DG816" i="48"/>
  <c r="DG824" i="48"/>
  <c r="DG817" i="48"/>
  <c r="DG825" i="48"/>
  <c r="DG810" i="48"/>
  <c r="DG818" i="48"/>
  <c r="DG826" i="48"/>
  <c r="DG811" i="48"/>
  <c r="DG819" i="48"/>
  <c r="DG827" i="48"/>
  <c r="DG762" i="48"/>
  <c r="DG787" i="48"/>
  <c r="DG795" i="48"/>
  <c r="DG770" i="48"/>
  <c r="DG788" i="48"/>
  <c r="DG796" i="48"/>
  <c r="DG797" i="48"/>
  <c r="DG790" i="48"/>
  <c r="DG798" i="48"/>
  <c r="DG789" i="48"/>
  <c r="DG783" i="48"/>
  <c r="DG791" i="48"/>
  <c r="DG799" i="48"/>
  <c r="DG745" i="48"/>
  <c r="DG792" i="48"/>
  <c r="DG800" i="48"/>
  <c r="DG785" i="48"/>
  <c r="DG793" i="48"/>
  <c r="DG801" i="48"/>
  <c r="DG786" i="48"/>
  <c r="DG794" i="48"/>
  <c r="DG802" i="48"/>
  <c r="DG746" i="48"/>
  <c r="DG763" i="48"/>
  <c r="DG771" i="48"/>
  <c r="DG720" i="48"/>
  <c r="DG764" i="48"/>
  <c r="DG772" i="48"/>
  <c r="DG721" i="48"/>
  <c r="DG765" i="48"/>
  <c r="DG773" i="48"/>
  <c r="DG758" i="48"/>
  <c r="DG766" i="48"/>
  <c r="DG774" i="48"/>
  <c r="DG767" i="48"/>
  <c r="DG775" i="48"/>
  <c r="DG737" i="48"/>
  <c r="DG760" i="48"/>
  <c r="DG768" i="48"/>
  <c r="DG776" i="48"/>
  <c r="DG738" i="48"/>
  <c r="DG761" i="48"/>
  <c r="DG769" i="48"/>
  <c r="DG777" i="48"/>
  <c r="DG687" i="48"/>
  <c r="DG739" i="48"/>
  <c r="DG747" i="48"/>
  <c r="DG695" i="48"/>
  <c r="DG740" i="48"/>
  <c r="DG748" i="48"/>
  <c r="DG733" i="48"/>
  <c r="DG741" i="48"/>
  <c r="DG749" i="48"/>
  <c r="DG742" i="48"/>
  <c r="DG750" i="48"/>
  <c r="DG712" i="48"/>
  <c r="DG735" i="48"/>
  <c r="DG743" i="48"/>
  <c r="DG751" i="48"/>
  <c r="DG713" i="48"/>
  <c r="DG736" i="48"/>
  <c r="DG744" i="48"/>
  <c r="DG752" i="48"/>
  <c r="DG714" i="48"/>
  <c r="DG722" i="48"/>
  <c r="DG715" i="48"/>
  <c r="DG723" i="48"/>
  <c r="DG708" i="48"/>
  <c r="DG716" i="48"/>
  <c r="DG724" i="48"/>
  <c r="DG670" i="48"/>
  <c r="DG717" i="48"/>
  <c r="DG725" i="48"/>
  <c r="DG710" i="48"/>
  <c r="DG718" i="48"/>
  <c r="DG726" i="48"/>
  <c r="DG711" i="48"/>
  <c r="DG719" i="48"/>
  <c r="DG727" i="48"/>
  <c r="DG672" i="48"/>
  <c r="DG688" i="48"/>
  <c r="DG696" i="48"/>
  <c r="DG689" i="48"/>
  <c r="DG697" i="48"/>
  <c r="DG645" i="48"/>
  <c r="DG690" i="48"/>
  <c r="DG698" i="48"/>
  <c r="DG683" i="48"/>
  <c r="DG691" i="48"/>
  <c r="DG699" i="48"/>
  <c r="DG692" i="48"/>
  <c r="DG700" i="48"/>
  <c r="DG662" i="48"/>
  <c r="DG685" i="48"/>
  <c r="DG693" i="48"/>
  <c r="DG701" i="48"/>
  <c r="DG664" i="48"/>
  <c r="DG686" i="48"/>
  <c r="DG694" i="48"/>
  <c r="DG702" i="48"/>
  <c r="DG651" i="48"/>
  <c r="DG663" i="48"/>
  <c r="DG671" i="48"/>
  <c r="DG665" i="48"/>
  <c r="DG673" i="48"/>
  <c r="DG658" i="48"/>
  <c r="DG666" i="48"/>
  <c r="DG674" i="48"/>
  <c r="DG667" i="48"/>
  <c r="DG675" i="48"/>
  <c r="DG635" i="48"/>
  <c r="DG660" i="48"/>
  <c r="DG668" i="48"/>
  <c r="DG676" i="48"/>
  <c r="DG643" i="48"/>
  <c r="DG661" i="48"/>
  <c r="DG669" i="48"/>
  <c r="DG677" i="48"/>
  <c r="DG612" i="48"/>
  <c r="DG637" i="48"/>
  <c r="DG620" i="48"/>
  <c r="DG638" i="48"/>
  <c r="DG646" i="48"/>
  <c r="DG639" i="48"/>
  <c r="DG647" i="48"/>
  <c r="DG640" i="48"/>
  <c r="DG648" i="48"/>
  <c r="DG633" i="48"/>
  <c r="DG641" i="48"/>
  <c r="DG649" i="48"/>
  <c r="DG595" i="48"/>
  <c r="DG642" i="48"/>
  <c r="DG650" i="48"/>
  <c r="DG636" i="48"/>
  <c r="DG644" i="48"/>
  <c r="DG652" i="48"/>
  <c r="DG596" i="48"/>
  <c r="DG613" i="48"/>
  <c r="DG621" i="48"/>
  <c r="DG614" i="48"/>
  <c r="DG622" i="48"/>
  <c r="DG615" i="48"/>
  <c r="DG623" i="48"/>
  <c r="DG608" i="48"/>
  <c r="DG616" i="48"/>
  <c r="DG624" i="48"/>
  <c r="DG617" i="48"/>
  <c r="DG625" i="48"/>
  <c r="DG587" i="48"/>
  <c r="DG610" i="48"/>
  <c r="DG618" i="48"/>
  <c r="DG626" i="48"/>
  <c r="DG588" i="48"/>
  <c r="DG611" i="48"/>
  <c r="DG619" i="48"/>
  <c r="DG627" i="48"/>
  <c r="DG589" i="48"/>
  <c r="DG597" i="48"/>
  <c r="DG590" i="48"/>
  <c r="DG598" i="48"/>
  <c r="DG583" i="48"/>
  <c r="DG591" i="48"/>
  <c r="DG599" i="48"/>
  <c r="DG592" i="48"/>
  <c r="DG600" i="48"/>
  <c r="DG585" i="48"/>
  <c r="DG593" i="48"/>
  <c r="DG601" i="48"/>
  <c r="DG586" i="48"/>
  <c r="DG594" i="48"/>
  <c r="DG602" i="48"/>
  <c r="DG545" i="48"/>
  <c r="DG562" i="48"/>
  <c r="DG570" i="48"/>
  <c r="DG547" i="48"/>
  <c r="DG563" i="48"/>
  <c r="DG571" i="48"/>
  <c r="DG572" i="48"/>
  <c r="DG512" i="48"/>
  <c r="DG565" i="48"/>
  <c r="DG573" i="48"/>
  <c r="DG558" i="48"/>
  <c r="DG566" i="48"/>
  <c r="DG574" i="48"/>
  <c r="DG564" i="48"/>
  <c r="DG567" i="48"/>
  <c r="DG575" i="48"/>
  <c r="DG537" i="48"/>
  <c r="DG560" i="48"/>
  <c r="DG568" i="48"/>
  <c r="DG576" i="48"/>
  <c r="DG539" i="48"/>
  <c r="DG561" i="48"/>
  <c r="DG569" i="48"/>
  <c r="DG577" i="48"/>
  <c r="DG520" i="48"/>
  <c r="DG538" i="48"/>
  <c r="DG546" i="48"/>
  <c r="DG540" i="48"/>
  <c r="DG548" i="48"/>
  <c r="DG533" i="48"/>
  <c r="DG541" i="48"/>
  <c r="DG549" i="48"/>
  <c r="DG495" i="48"/>
  <c r="DG542" i="48"/>
  <c r="DG550" i="48"/>
  <c r="DG535" i="48"/>
  <c r="DG543" i="48"/>
  <c r="DG551" i="48"/>
  <c r="DG536" i="48"/>
  <c r="DG544" i="48"/>
  <c r="DG552" i="48"/>
  <c r="DG497" i="48"/>
  <c r="DG513" i="48"/>
  <c r="DG521" i="48"/>
  <c r="DG514" i="48"/>
  <c r="DG522" i="48"/>
  <c r="DG470" i="48"/>
  <c r="DG515" i="48"/>
  <c r="DG523" i="48"/>
  <c r="DG508" i="48"/>
  <c r="DG516" i="48"/>
  <c r="DG524" i="48"/>
  <c r="DG517" i="48"/>
  <c r="DG525" i="48"/>
  <c r="DG487" i="48"/>
  <c r="DG510" i="48"/>
  <c r="DG518" i="48"/>
  <c r="DG526" i="48"/>
  <c r="DG489" i="48"/>
  <c r="DG511" i="48"/>
  <c r="DG519" i="48"/>
  <c r="DG527" i="48"/>
  <c r="DG472" i="48"/>
  <c r="DG488" i="48"/>
  <c r="DG496" i="48"/>
  <c r="DG490" i="48"/>
  <c r="DG498" i="48"/>
  <c r="DG483" i="48"/>
  <c r="DG491" i="48"/>
  <c r="DG499" i="48"/>
  <c r="DG492" i="48"/>
  <c r="DG500" i="48"/>
  <c r="DG462" i="48"/>
  <c r="DG485" i="48"/>
  <c r="DG493" i="48"/>
  <c r="DG501" i="48"/>
  <c r="DG464" i="48"/>
  <c r="DG486" i="48"/>
  <c r="DG494" i="48"/>
  <c r="DG502" i="48"/>
  <c r="DG463" i="48"/>
  <c r="DG471" i="48"/>
  <c r="DG465" i="48"/>
  <c r="DG473" i="48"/>
  <c r="DG458" i="48"/>
  <c r="DG466" i="48"/>
  <c r="DG474" i="48"/>
  <c r="DG467" i="48"/>
  <c r="DG475" i="48"/>
  <c r="DG460" i="48"/>
  <c r="DG468" i="48"/>
  <c r="DG476" i="48"/>
  <c r="DG461" i="48"/>
  <c r="DG469" i="48"/>
  <c r="DG477" i="48"/>
  <c r="DG420" i="48"/>
  <c r="DG437" i="48"/>
  <c r="DG445" i="48"/>
  <c r="DG421" i="48"/>
  <c r="DG438" i="48"/>
  <c r="DG446" i="48"/>
  <c r="DG439" i="48"/>
  <c r="DG447" i="48"/>
  <c r="DG440" i="48"/>
  <c r="DG448" i="48"/>
  <c r="DG433" i="48"/>
  <c r="DG441" i="48"/>
  <c r="DG449" i="48"/>
  <c r="DG442" i="48"/>
  <c r="DG450" i="48"/>
  <c r="DG412" i="48"/>
  <c r="DG435" i="48"/>
  <c r="DG443" i="48"/>
  <c r="DG451" i="48"/>
  <c r="DG413" i="48"/>
  <c r="DG436" i="48"/>
  <c r="DG444" i="48"/>
  <c r="DG452" i="48"/>
  <c r="DG414" i="48"/>
  <c r="DG422" i="48"/>
  <c r="DG415" i="48"/>
  <c r="DG423" i="48"/>
  <c r="DG408" i="48"/>
  <c r="DG416" i="48"/>
  <c r="DG424" i="48"/>
  <c r="DG417" i="48"/>
  <c r="DG425" i="48"/>
  <c r="DG410" i="48"/>
  <c r="DG418" i="48"/>
  <c r="DG426" i="48"/>
  <c r="DG411" i="48"/>
  <c r="DG419" i="48"/>
  <c r="DG427" i="48"/>
  <c r="DG387" i="48"/>
  <c r="DG388" i="48"/>
  <c r="DG389" i="48"/>
  <c r="DG397" i="48"/>
  <c r="DG362" i="48"/>
  <c r="DG396" i="48"/>
  <c r="DG390" i="48"/>
  <c r="DG398" i="48"/>
  <c r="DG370" i="48"/>
  <c r="DG383" i="48"/>
  <c r="DG391" i="48"/>
  <c r="DG399" i="48"/>
  <c r="DG395" i="48"/>
  <c r="DG337" i="48"/>
  <c r="DG392" i="48"/>
  <c r="DG400" i="48"/>
  <c r="DG385" i="48"/>
  <c r="DG393" i="48"/>
  <c r="DG401" i="48"/>
  <c r="DG386" i="48"/>
  <c r="DG394" i="48"/>
  <c r="DG402" i="48"/>
  <c r="DG345" i="48"/>
  <c r="DG363" i="48"/>
  <c r="DG371" i="48"/>
  <c r="DG364" i="48"/>
  <c r="DG372" i="48"/>
  <c r="DG365" i="48"/>
  <c r="DG373" i="48"/>
  <c r="DG358" i="48"/>
  <c r="DG366" i="48"/>
  <c r="DG374" i="48"/>
  <c r="DG312" i="48"/>
  <c r="DG367" i="48"/>
  <c r="DG375" i="48"/>
  <c r="DG360" i="48"/>
  <c r="DG368" i="48"/>
  <c r="DG376" i="48"/>
  <c r="DG361" i="48"/>
  <c r="DG369" i="48"/>
  <c r="DG377" i="48"/>
  <c r="DG320" i="48"/>
  <c r="DG338" i="48"/>
  <c r="DG346" i="48"/>
  <c r="DG339" i="48"/>
  <c r="DG347" i="48"/>
  <c r="DG340" i="48"/>
  <c r="DG348" i="48"/>
  <c r="DG333" i="48"/>
  <c r="DG341" i="48"/>
  <c r="DG349" i="48"/>
  <c r="DG287" i="48"/>
  <c r="DG342" i="48"/>
  <c r="DG350" i="48"/>
  <c r="DG335" i="48"/>
  <c r="DG343" i="48"/>
  <c r="DG351" i="48"/>
  <c r="DG336" i="48"/>
  <c r="DG344" i="48"/>
  <c r="DG352" i="48"/>
  <c r="DG295" i="48"/>
  <c r="DG313" i="48"/>
  <c r="DG321" i="48"/>
  <c r="DG314" i="48"/>
  <c r="DG322" i="48"/>
  <c r="DG315" i="48"/>
  <c r="DG323" i="48"/>
  <c r="DG308" i="48"/>
  <c r="DG316" i="48"/>
  <c r="DG324" i="48"/>
  <c r="DG317" i="48"/>
  <c r="DG325" i="48"/>
  <c r="DG310" i="48"/>
  <c r="DG318" i="48"/>
  <c r="DG326" i="48"/>
  <c r="DG311" i="48"/>
  <c r="DG319" i="48"/>
  <c r="DG327" i="48"/>
  <c r="DG288" i="48"/>
  <c r="DG296" i="48"/>
  <c r="DG289" i="48"/>
  <c r="DG297" i="48"/>
  <c r="DG290" i="48"/>
  <c r="DG298" i="48"/>
  <c r="DG283" i="48"/>
  <c r="DG291" i="48"/>
  <c r="DG299" i="48"/>
  <c r="DG292" i="48"/>
  <c r="DG300" i="48"/>
  <c r="DG285" i="48"/>
  <c r="DG293" i="48"/>
  <c r="DG301" i="48"/>
  <c r="DG247" i="48"/>
  <c r="DG286" i="48"/>
  <c r="DG294" i="48"/>
  <c r="DG302" i="48"/>
  <c r="DG263" i="48"/>
  <c r="DG264" i="48"/>
  <c r="DG272" i="48"/>
  <c r="DG262" i="48"/>
  <c r="DG271" i="48"/>
  <c r="DG220" i="48"/>
  <c r="DG265" i="48"/>
  <c r="DG273" i="48"/>
  <c r="DG270" i="48"/>
  <c r="DG258" i="48"/>
  <c r="DG266" i="48"/>
  <c r="DG274" i="48"/>
  <c r="DG267" i="48"/>
  <c r="DG275" i="48"/>
  <c r="DG237" i="48"/>
  <c r="DG260" i="48"/>
  <c r="DG268" i="48"/>
  <c r="DG276" i="48"/>
  <c r="DG245" i="48"/>
  <c r="DG239" i="48"/>
  <c r="DG261" i="48"/>
  <c r="DG269" i="48"/>
  <c r="DG277" i="48"/>
  <c r="DG226" i="48"/>
  <c r="DG238" i="48"/>
  <c r="DG246" i="48"/>
  <c r="DG240" i="48"/>
  <c r="DG248" i="48"/>
  <c r="DG233" i="48"/>
  <c r="DG241" i="48"/>
  <c r="DG249" i="48"/>
  <c r="DG242" i="48"/>
  <c r="DG250" i="48"/>
  <c r="DG235" i="48"/>
  <c r="DG243" i="48"/>
  <c r="DG251" i="48"/>
  <c r="DG212" i="48"/>
  <c r="DG236" i="48"/>
  <c r="DG244" i="48"/>
  <c r="DG252" i="48"/>
  <c r="DG213" i="48"/>
  <c r="DG221" i="48"/>
  <c r="DG214" i="48"/>
  <c r="DG222" i="48"/>
  <c r="DG215" i="48"/>
  <c r="DG223" i="48"/>
  <c r="DG208" i="48"/>
  <c r="DG216" i="48"/>
  <c r="DG224" i="48"/>
  <c r="DG217" i="48"/>
  <c r="DG225" i="48"/>
  <c r="DG210" i="48"/>
  <c r="DG218" i="48"/>
  <c r="DG211" i="48"/>
  <c r="DG219" i="48"/>
  <c r="DG227" i="48"/>
  <c r="DG162" i="48"/>
  <c r="DG187" i="48"/>
  <c r="DG195" i="48"/>
  <c r="DG170" i="48"/>
  <c r="DG188" i="48"/>
  <c r="DG196" i="48"/>
  <c r="DG197" i="48"/>
  <c r="DG190" i="48"/>
  <c r="DG198" i="48"/>
  <c r="DG183" i="48"/>
  <c r="DG191" i="48"/>
  <c r="DG199" i="48"/>
  <c r="DG189" i="48"/>
  <c r="DG147" i="48"/>
  <c r="DG192" i="48"/>
  <c r="DG200" i="48"/>
  <c r="DG185" i="48"/>
  <c r="DG193" i="48"/>
  <c r="DG201" i="48"/>
  <c r="DG186" i="48"/>
  <c r="DG194" i="48"/>
  <c r="DG202" i="48"/>
  <c r="DG148" i="48"/>
  <c r="DG163" i="48"/>
  <c r="DG171" i="48"/>
  <c r="DG164" i="48"/>
  <c r="DG172" i="48"/>
  <c r="DG165" i="48"/>
  <c r="DG173" i="48"/>
  <c r="DG158" i="48"/>
  <c r="DG166" i="48"/>
  <c r="DG174" i="48"/>
  <c r="DG167" i="48"/>
  <c r="DG175" i="48"/>
  <c r="DG139" i="48"/>
  <c r="DG160" i="48"/>
  <c r="DG168" i="48"/>
  <c r="DG176" i="48"/>
  <c r="DG140" i="48"/>
  <c r="DG161" i="48"/>
  <c r="DG169" i="48"/>
  <c r="DG177" i="48"/>
  <c r="DG120" i="48"/>
  <c r="DG137" i="48"/>
  <c r="DG145" i="48"/>
  <c r="DG122" i="48"/>
  <c r="DG138" i="48"/>
  <c r="DG146" i="48"/>
  <c r="DG133" i="48"/>
  <c r="DG141" i="48"/>
  <c r="DG149" i="48"/>
  <c r="DG142" i="48"/>
  <c r="DG150" i="48"/>
  <c r="DG112" i="48"/>
  <c r="DG135" i="48"/>
  <c r="DG143" i="48"/>
  <c r="DG151" i="48"/>
  <c r="DG114" i="48"/>
  <c r="DG136" i="48"/>
  <c r="DG144" i="48"/>
  <c r="DG152" i="48"/>
  <c r="DG113" i="48"/>
  <c r="DG121" i="48"/>
  <c r="DG115" i="48"/>
  <c r="DG123" i="48"/>
  <c r="DG108" i="48"/>
  <c r="DG116" i="48"/>
  <c r="DG124" i="48"/>
  <c r="DG117" i="48"/>
  <c r="DG125" i="48"/>
  <c r="DG110" i="48"/>
  <c r="DG118" i="48"/>
  <c r="DG126" i="48"/>
  <c r="DG111" i="48"/>
  <c r="DG119" i="48"/>
  <c r="DG127" i="48"/>
  <c r="DG70" i="48"/>
  <c r="DG88" i="48"/>
  <c r="DG96" i="48"/>
  <c r="DG62" i="48"/>
  <c r="DG89" i="48"/>
  <c r="DG97" i="48"/>
  <c r="DG90" i="48"/>
  <c r="DG98" i="48"/>
  <c r="DG95" i="48"/>
  <c r="DG83" i="48"/>
  <c r="DG91" i="48"/>
  <c r="DG99" i="48"/>
  <c r="DG37" i="48"/>
  <c r="DG92" i="48"/>
  <c r="DG100" i="48"/>
  <c r="DG85" i="48"/>
  <c r="DG93" i="48"/>
  <c r="DG101" i="48"/>
  <c r="DG87" i="48"/>
  <c r="DG86" i="48"/>
  <c r="DG94" i="48"/>
  <c r="DG102" i="48"/>
  <c r="DG45" i="48"/>
  <c r="DG63" i="48"/>
  <c r="DG71" i="48"/>
  <c r="DG64" i="48"/>
  <c r="DG72" i="48"/>
  <c r="DG65" i="48"/>
  <c r="DG73" i="48"/>
  <c r="DG58" i="48"/>
  <c r="DG66" i="48"/>
  <c r="DG74" i="48"/>
  <c r="DG67" i="48"/>
  <c r="DG75" i="48"/>
  <c r="DG60" i="48"/>
  <c r="DG68" i="48"/>
  <c r="DG76" i="48"/>
  <c r="DG61" i="48"/>
  <c r="DG69" i="48"/>
  <c r="DG77" i="48"/>
  <c r="DG38" i="48"/>
  <c r="DG46" i="48"/>
  <c r="DG39" i="48"/>
  <c r="DG47" i="48"/>
  <c r="DG40" i="48"/>
  <c r="DG48" i="48"/>
  <c r="DG33" i="48"/>
  <c r="DG41" i="48"/>
  <c r="DG49" i="48"/>
  <c r="DG42" i="48"/>
  <c r="DG50" i="48"/>
  <c r="DG35" i="48"/>
  <c r="DG43" i="48"/>
  <c r="DG51" i="48"/>
  <c r="DG36" i="48"/>
  <c r="DG44" i="48"/>
  <c r="DG52" i="48"/>
  <c r="H117" i="59"/>
  <c r="I117" i="59"/>
  <c r="Q50" i="59"/>
  <c r="H115" i="59" s="1"/>
  <c r="J115" i="59"/>
  <c r="H109" i="59"/>
  <c r="I111" i="59"/>
  <c r="I118" i="59"/>
  <c r="L38" i="59"/>
  <c r="L46" i="59"/>
  <c r="J111" i="59"/>
  <c r="K111" i="59" s="1"/>
  <c r="O112" i="59" s="1"/>
  <c r="Q46" i="59"/>
  <c r="H110" i="59"/>
  <c r="I119" i="59"/>
  <c r="L54" i="59"/>
  <c r="Q54" i="59"/>
  <c r="H118" i="59"/>
  <c r="I109" i="59"/>
  <c r="K112" i="59"/>
  <c r="O113" i="59" s="1"/>
  <c r="R48" i="59"/>
  <c r="L47" i="59"/>
  <c r="L55" i="59"/>
  <c r="J113" i="59"/>
  <c r="K113" i="59" s="1"/>
  <c r="J121" i="59"/>
  <c r="K121" i="59" s="1"/>
  <c r="R22" i="59"/>
  <c r="L45" i="59"/>
  <c r="R56" i="59"/>
  <c r="R9" i="59"/>
  <c r="R17" i="59"/>
  <c r="R25" i="59"/>
  <c r="K43" i="59"/>
  <c r="L44" i="59"/>
  <c r="R47" i="59"/>
  <c r="K51" i="59"/>
  <c r="L52" i="59" s="1"/>
  <c r="R55" i="59"/>
  <c r="R63" i="59"/>
  <c r="R71" i="59"/>
  <c r="R88" i="59"/>
  <c r="R96" i="59"/>
  <c r="K42" i="59"/>
  <c r="Q45" i="59"/>
  <c r="I110" i="59" s="1"/>
  <c r="Q53" i="59"/>
  <c r="K57" i="59"/>
  <c r="J109" i="59"/>
  <c r="J117" i="59"/>
  <c r="K117" i="59" s="1"/>
  <c r="K49" i="59"/>
  <c r="J118" i="59"/>
  <c r="R10" i="59"/>
  <c r="K41" i="59"/>
  <c r="BO1353" i="48"/>
  <c r="BP1353" i="48" s="1"/>
  <c r="BO1352" i="48"/>
  <c r="BP1352" i="48" s="1"/>
  <c r="CI1352" i="48" s="1"/>
  <c r="CJ1352" i="48" s="1"/>
  <c r="BO1327" i="48"/>
  <c r="BP1327" i="48" s="1"/>
  <c r="CI1327" i="48" s="1"/>
  <c r="CJ1327" i="48" s="1"/>
  <c r="BO1302" i="48"/>
  <c r="BP1302" i="48" s="1"/>
  <c r="CI1302" i="48" s="1"/>
  <c r="CJ1302" i="48" s="1"/>
  <c r="CI276" i="48"/>
  <c r="CI252" i="48"/>
  <c r="CJ252" i="48" s="1"/>
  <c r="CI250" i="48"/>
  <c r="CI202" i="48"/>
  <c r="CJ202" i="48" s="1"/>
  <c r="BO1277" i="48"/>
  <c r="BP1277" i="48" s="1"/>
  <c r="CI1277" i="48" s="1"/>
  <c r="CJ1277" i="48" s="1"/>
  <c r="BO1252" i="48"/>
  <c r="BP1252" i="48" s="1"/>
  <c r="CI1252" i="48" s="1"/>
  <c r="CJ1252" i="48" s="1"/>
  <c r="BO1227" i="48"/>
  <c r="BP1227" i="48" s="1"/>
  <c r="CI1227" i="48" s="1"/>
  <c r="CJ1227" i="48" s="1"/>
  <c r="BO1202" i="48"/>
  <c r="BP1202" i="48" s="1"/>
  <c r="CI1202" i="48" s="1"/>
  <c r="CJ1202" i="48" s="1"/>
  <c r="BO1177" i="48"/>
  <c r="BP1177" i="48" s="1"/>
  <c r="CI1177" i="48" s="1"/>
  <c r="CJ1177" i="48" s="1"/>
  <c r="BO1152" i="48"/>
  <c r="BP1152" i="48" s="1"/>
  <c r="CI1152" i="48" s="1"/>
  <c r="CJ1152" i="48" s="1"/>
  <c r="BO1127" i="48"/>
  <c r="BP1127" i="48" s="1"/>
  <c r="CI1127" i="48" s="1"/>
  <c r="BO1102" i="48"/>
  <c r="BP1102" i="48" s="1"/>
  <c r="CI1102" i="48" s="1"/>
  <c r="CJ1102" i="48" s="1"/>
  <c r="BO1079" i="48"/>
  <c r="BP1079" i="48" s="1"/>
  <c r="CI1079" i="48" s="1"/>
  <c r="BO1077" i="48"/>
  <c r="BP1077" i="48" s="1"/>
  <c r="CI1077" i="48" s="1"/>
  <c r="CJ1077" i="48" s="1"/>
  <c r="BO1075" i="48"/>
  <c r="BP1075" i="48" s="1"/>
  <c r="CI1075" i="48" s="1"/>
  <c r="BO1052" i="48"/>
  <c r="BP1052" i="48" s="1"/>
  <c r="CI1052" i="48" s="1"/>
  <c r="CJ1052" i="48" s="1"/>
  <c r="BO1050" i="48"/>
  <c r="BP1050" i="48" s="1"/>
  <c r="CI1050" i="48" s="1"/>
  <c r="BO1027" i="48"/>
  <c r="BP1027" i="48" s="1"/>
  <c r="CI1027" i="48" s="1"/>
  <c r="CJ1027" i="48" s="1"/>
  <c r="BO1008" i="48"/>
  <c r="BP1008" i="48" s="1"/>
  <c r="CI1008" i="48" s="1"/>
  <c r="BO1007" i="48"/>
  <c r="BP1007" i="48" s="1"/>
  <c r="CI1007" i="48" s="1"/>
  <c r="BO1002" i="48"/>
  <c r="BP1002" i="48" s="1"/>
  <c r="CI1002" i="48" s="1"/>
  <c r="CJ1002" i="48" s="1"/>
  <c r="BO977" i="48"/>
  <c r="BP977" i="48" s="1"/>
  <c r="CI977" i="48" s="1"/>
  <c r="CJ977" i="48" s="1"/>
  <c r="BO952" i="48"/>
  <c r="BP952" i="48" s="1"/>
  <c r="CI952" i="48" s="1"/>
  <c r="CJ952" i="48" s="1"/>
  <c r="BO950" i="48"/>
  <c r="BP950" i="48" s="1"/>
  <c r="CI950" i="48" s="1"/>
  <c r="BO927" i="48"/>
  <c r="BP927" i="48" s="1"/>
  <c r="CI927" i="48" s="1"/>
  <c r="CJ927" i="48" s="1"/>
  <c r="BO902" i="48"/>
  <c r="BP902" i="48" s="1"/>
  <c r="CI902" i="48" s="1"/>
  <c r="CJ902" i="48" s="1"/>
  <c r="BO877" i="48"/>
  <c r="BP877" i="48" s="1"/>
  <c r="CI877" i="48" s="1"/>
  <c r="CJ877" i="48" s="1"/>
  <c r="BO852" i="48"/>
  <c r="BP852" i="48" s="1"/>
  <c r="CI852" i="48" s="1"/>
  <c r="CJ852" i="48" s="1"/>
  <c r="BO827" i="48"/>
  <c r="BP827" i="48" s="1"/>
  <c r="CI827" i="48" s="1"/>
  <c r="CJ827" i="48" s="1"/>
  <c r="BO802" i="48"/>
  <c r="BP802" i="48" s="1"/>
  <c r="CI802" i="48" s="1"/>
  <c r="CJ802" i="48" s="1"/>
  <c r="BO777" i="48"/>
  <c r="BP777" i="48" s="1"/>
  <c r="CI777" i="48" s="1"/>
  <c r="CJ777" i="48" s="1"/>
  <c r="BO752" i="48"/>
  <c r="BP752" i="48" s="1"/>
  <c r="CI752" i="48" s="1"/>
  <c r="CJ752" i="48" s="1"/>
  <c r="BO727" i="48"/>
  <c r="BP727" i="48" s="1"/>
  <c r="CI727" i="48" s="1"/>
  <c r="CJ727" i="48" s="1"/>
  <c r="BO702" i="48"/>
  <c r="BP702" i="48" s="1"/>
  <c r="CI702" i="48" s="1"/>
  <c r="CJ702" i="48" s="1"/>
  <c r="BO677" i="48"/>
  <c r="BP677" i="48" s="1"/>
  <c r="CI677" i="48" s="1"/>
  <c r="CJ677" i="48" s="1"/>
  <c r="BO652" i="48"/>
  <c r="BP652" i="48" s="1"/>
  <c r="CI652" i="48" s="1"/>
  <c r="CJ652" i="48" s="1"/>
  <c r="BO627" i="48"/>
  <c r="BP627" i="48" s="1"/>
  <c r="CI627" i="48" s="1"/>
  <c r="CJ627" i="48" s="1"/>
  <c r="BO602" i="48"/>
  <c r="BP602" i="48" s="1"/>
  <c r="CI602" i="48" s="1"/>
  <c r="CJ602" i="48" s="1"/>
  <c r="BO577" i="48"/>
  <c r="BP577" i="48" s="1"/>
  <c r="CI577" i="48" s="1"/>
  <c r="CJ577" i="48" s="1"/>
  <c r="BO552" i="48"/>
  <c r="BP552" i="48" s="1"/>
  <c r="CI552" i="48" s="1"/>
  <c r="CJ552" i="48" s="1"/>
  <c r="BO527" i="48"/>
  <c r="BP527" i="48" s="1"/>
  <c r="CI527" i="48" s="1"/>
  <c r="CJ527" i="48" s="1"/>
  <c r="BO502" i="48"/>
  <c r="BP502" i="48" s="1"/>
  <c r="CI502" i="48" s="1"/>
  <c r="CJ502" i="48" s="1"/>
  <c r="BO477" i="48"/>
  <c r="BP477" i="48" s="1"/>
  <c r="CI477" i="48" s="1"/>
  <c r="CJ477" i="48" s="1"/>
  <c r="BO452" i="48"/>
  <c r="BP452" i="48" s="1"/>
  <c r="CI452" i="48" s="1"/>
  <c r="CJ452" i="48" s="1"/>
  <c r="BO427" i="48"/>
  <c r="BP427" i="48" s="1"/>
  <c r="CI427" i="48" s="1"/>
  <c r="CJ427" i="48" s="1"/>
  <c r="BO402" i="48"/>
  <c r="BP402" i="48" s="1"/>
  <c r="CI402" i="48" s="1"/>
  <c r="CJ402" i="48" s="1"/>
  <c r="BO377" i="48"/>
  <c r="BP377" i="48" s="1"/>
  <c r="CI377" i="48" s="1"/>
  <c r="CJ377" i="48" s="1"/>
  <c r="BO352" i="48"/>
  <c r="BP352" i="48" s="1"/>
  <c r="CI352" i="48" s="1"/>
  <c r="CJ352" i="48" s="1"/>
  <c r="BO327" i="48"/>
  <c r="BP327" i="48" s="1"/>
  <c r="CI327" i="48" s="1"/>
  <c r="CJ327" i="48" s="1"/>
  <c r="BO302" i="48"/>
  <c r="BP302" i="48" s="1"/>
  <c r="CI302" i="48" s="1"/>
  <c r="CJ302" i="48" s="1"/>
  <c r="BO277" i="48"/>
  <c r="BP277" i="48" s="1"/>
  <c r="CI277" i="48" s="1"/>
  <c r="CJ277" i="48" s="1"/>
  <c r="BO227" i="48"/>
  <c r="BP227" i="48" s="1"/>
  <c r="CI227" i="48" s="1"/>
  <c r="CJ227" i="48" s="1"/>
  <c r="BO177" i="48"/>
  <c r="BP177" i="48" s="1"/>
  <c r="CI177" i="48" s="1"/>
  <c r="CJ177" i="48" s="1"/>
  <c r="BO152" i="48"/>
  <c r="BP152" i="48" s="1"/>
  <c r="CI152" i="48" s="1"/>
  <c r="CJ152" i="48" s="1"/>
  <c r="BO127" i="48"/>
  <c r="BP127" i="48" s="1"/>
  <c r="CI127" i="48" s="1"/>
  <c r="CJ127" i="48" s="1"/>
  <c r="BO102" i="48"/>
  <c r="BP102" i="48" s="1"/>
  <c r="CI102" i="48" s="1"/>
  <c r="CJ102" i="48" s="1"/>
  <c r="BO77" i="48"/>
  <c r="BP77" i="48" s="1"/>
  <c r="CI77" i="48" s="1"/>
  <c r="CJ77" i="48" s="1"/>
  <c r="DI16" i="48" l="1"/>
  <c r="DI24" i="48"/>
  <c r="P32" i="28"/>
  <c r="DG9" i="48"/>
  <c r="O14" i="28"/>
  <c r="DG134" i="48"/>
  <c r="DG484" i="48"/>
  <c r="DG859" i="48"/>
  <c r="DG1259" i="48"/>
  <c r="DG359" i="48"/>
  <c r="DG509" i="48"/>
  <c r="DG559" i="48"/>
  <c r="DG709" i="48"/>
  <c r="DG1309" i="48"/>
  <c r="DG84" i="48"/>
  <c r="DG284" i="48"/>
  <c r="DG59" i="48"/>
  <c r="DG159" i="48"/>
  <c r="DG259" i="48"/>
  <c r="DG309" i="48"/>
  <c r="DG609" i="48"/>
  <c r="DG634" i="48"/>
  <c r="DG659" i="48"/>
  <c r="DG234" i="48"/>
  <c r="DG434" i="48"/>
  <c r="DG34" i="48"/>
  <c r="DG584" i="48"/>
  <c r="DG759" i="48"/>
  <c r="DG209" i="48"/>
  <c r="DG109" i="48"/>
  <c r="DG409" i="48"/>
  <c r="DG459" i="48"/>
  <c r="DG734" i="48"/>
  <c r="DG809" i="48"/>
  <c r="DG184" i="48"/>
  <c r="DG334" i="48"/>
  <c r="DG384" i="48"/>
  <c r="DG534" i="48"/>
  <c r="DG684" i="48"/>
  <c r="DG784" i="48"/>
  <c r="DG959" i="48"/>
  <c r="DG1109" i="48"/>
  <c r="DG1234" i="48"/>
  <c r="DG909" i="48"/>
  <c r="DG1209" i="48"/>
  <c r="DG1284" i="48"/>
  <c r="DG884" i="48"/>
  <c r="DG1034" i="48"/>
  <c r="DG1059" i="48"/>
  <c r="DG1134" i="48"/>
  <c r="DG834" i="48"/>
  <c r="DG934" i="48"/>
  <c r="DG984" i="48"/>
  <c r="DG1184" i="48"/>
  <c r="DG1334" i="48"/>
  <c r="DG1009" i="48"/>
  <c r="DG1084" i="48"/>
  <c r="DG1159" i="48"/>
  <c r="Q57" i="59"/>
  <c r="L57" i="59"/>
  <c r="J110" i="59"/>
  <c r="K110" i="59" s="1"/>
  <c r="O111" i="59" s="1"/>
  <c r="R53" i="59"/>
  <c r="R46" i="59"/>
  <c r="R54" i="59"/>
  <c r="Q42" i="59"/>
  <c r="J107" i="59"/>
  <c r="L42" i="59"/>
  <c r="H111" i="59"/>
  <c r="K115" i="59"/>
  <c r="K109" i="59"/>
  <c r="O110" i="59" s="1"/>
  <c r="I115" i="59"/>
  <c r="R50" i="59"/>
  <c r="L41" i="59"/>
  <c r="Q41" i="59"/>
  <c r="J106" i="59" s="1"/>
  <c r="R45" i="59"/>
  <c r="Q51" i="59"/>
  <c r="L51" i="59"/>
  <c r="K118" i="59"/>
  <c r="O119" i="59" s="1"/>
  <c r="J119" i="59"/>
  <c r="K119" i="59" s="1"/>
  <c r="O120" i="59" s="1"/>
  <c r="L49" i="59"/>
  <c r="J114" i="59"/>
  <c r="Q49" i="59"/>
  <c r="Q43" i="59"/>
  <c r="L43" i="59"/>
  <c r="H119" i="59"/>
  <c r="O121" i="59"/>
  <c r="L50" i="59"/>
  <c r="BC777" i="48"/>
  <c r="BC776" i="48"/>
  <c r="BC775" i="48"/>
  <c r="BC774" i="48"/>
  <c r="BC773" i="48"/>
  <c r="BC772" i="48"/>
  <c r="BC771" i="48"/>
  <c r="BC770" i="48"/>
  <c r="BC769" i="48"/>
  <c r="BC768" i="48"/>
  <c r="BC767" i="48"/>
  <c r="BC766" i="48"/>
  <c r="BC765" i="48"/>
  <c r="BC764" i="48"/>
  <c r="BC763" i="48"/>
  <c r="BC762" i="48"/>
  <c r="BC761" i="48"/>
  <c r="BC760" i="48"/>
  <c r="BC759" i="48"/>
  <c r="BC758" i="48"/>
  <c r="BC757" i="48"/>
  <c r="BC756" i="48"/>
  <c r="BC755" i="48"/>
  <c r="BC754" i="48"/>
  <c r="BC627" i="48"/>
  <c r="BL755" i="48"/>
  <c r="BB1078" i="48"/>
  <c r="V151" i="48"/>
  <c r="AG1335" i="48"/>
  <c r="AG1334" i="48"/>
  <c r="AG1310" i="48"/>
  <c r="AG1309" i="48"/>
  <c r="AG1285" i="48"/>
  <c r="AG1284" i="48"/>
  <c r="AG1260" i="48"/>
  <c r="AG1259" i="48"/>
  <c r="AG1236" i="48"/>
  <c r="AG1235" i="48"/>
  <c r="AG1234" i="48"/>
  <c r="AG1210" i="48"/>
  <c r="AG1209" i="48"/>
  <c r="AG1185" i="48"/>
  <c r="AG1184" i="48"/>
  <c r="AG1160" i="48"/>
  <c r="AG1159" i="48"/>
  <c r="AG1110" i="48"/>
  <c r="AG1109" i="48"/>
  <c r="AG1085" i="48"/>
  <c r="AG1084" i="48"/>
  <c r="AG1060" i="48"/>
  <c r="AG1059" i="48"/>
  <c r="AG1035" i="48"/>
  <c r="AG1034" i="48"/>
  <c r="AG1010" i="48"/>
  <c r="AG1009" i="48"/>
  <c r="AG985" i="48"/>
  <c r="AG984" i="48"/>
  <c r="AG960" i="48"/>
  <c r="AG959" i="48"/>
  <c r="AG935" i="48"/>
  <c r="AG934" i="48"/>
  <c r="AG910" i="48"/>
  <c r="AG909" i="48"/>
  <c r="AG885" i="48"/>
  <c r="AG884" i="48"/>
  <c r="AG860" i="48"/>
  <c r="AG859" i="48"/>
  <c r="AG835" i="48"/>
  <c r="AG834" i="48"/>
  <c r="AG810" i="48"/>
  <c r="AG809" i="48"/>
  <c r="AG785" i="48"/>
  <c r="AG784" i="48"/>
  <c r="AG760" i="48"/>
  <c r="AG759" i="48"/>
  <c r="AG752" i="48"/>
  <c r="AG735" i="48"/>
  <c r="AG734" i="48"/>
  <c r="AG710" i="48"/>
  <c r="AG709" i="48"/>
  <c r="AG685" i="48"/>
  <c r="AG684" i="48"/>
  <c r="AG660" i="48"/>
  <c r="AG659" i="48"/>
  <c r="AG635" i="48"/>
  <c r="AG634" i="48"/>
  <c r="AG610" i="48"/>
  <c r="AG609" i="48"/>
  <c r="AG585" i="48"/>
  <c r="AG584" i="48"/>
  <c r="AG560" i="48"/>
  <c r="AG559" i="48"/>
  <c r="AG535" i="48"/>
  <c r="AG534" i="48"/>
  <c r="AG510" i="48"/>
  <c r="AG509" i="48"/>
  <c r="AG485" i="48"/>
  <c r="AG484" i="48"/>
  <c r="AG460" i="48"/>
  <c r="AG459" i="48"/>
  <c r="AG435" i="48"/>
  <c r="AG434" i="48"/>
  <c r="AG410" i="48"/>
  <c r="AG409" i="48"/>
  <c r="AG385" i="48"/>
  <c r="AG384" i="48"/>
  <c r="AG360" i="48"/>
  <c r="AG359" i="48"/>
  <c r="AG335" i="48"/>
  <c r="AG334" i="48"/>
  <c r="AG310" i="48"/>
  <c r="AG309" i="48"/>
  <c r="AG285" i="48"/>
  <c r="AG284" i="48"/>
  <c r="AG260" i="48"/>
  <c r="AG259" i="48"/>
  <c r="AG235" i="48"/>
  <c r="AG234" i="48"/>
  <c r="AG210" i="48"/>
  <c r="AG209" i="48"/>
  <c r="AG185" i="48"/>
  <c r="AG184" i="48"/>
  <c r="AG160" i="48"/>
  <c r="AG135" i="48"/>
  <c r="AG134" i="48"/>
  <c r="AG110" i="48"/>
  <c r="AG109" i="48"/>
  <c r="AG85" i="48"/>
  <c r="AG84" i="48"/>
  <c r="AG60" i="48"/>
  <c r="AG59" i="48"/>
  <c r="AG35" i="48"/>
  <c r="AG34" i="48"/>
  <c r="AJ277" i="48"/>
  <c r="DC850" i="48"/>
  <c r="DC849" i="48"/>
  <c r="DC848" i="48"/>
  <c r="DC847" i="48"/>
  <c r="DC846" i="48"/>
  <c r="DC845" i="48"/>
  <c r="DC844" i="48"/>
  <c r="DC843" i="48"/>
  <c r="DC842" i="48"/>
  <c r="DC841" i="48"/>
  <c r="DC840" i="48"/>
  <c r="DC839" i="48"/>
  <c r="DC838" i="48"/>
  <c r="DC837" i="48"/>
  <c r="DC836" i="48"/>
  <c r="DC835" i="48"/>
  <c r="DC834" i="48"/>
  <c r="DC833" i="48"/>
  <c r="DC832" i="48"/>
  <c r="CU777" i="48"/>
  <c r="DI9" i="48" l="1"/>
  <c r="O118" i="59"/>
  <c r="H122" i="59"/>
  <c r="R57" i="59"/>
  <c r="I122" i="59"/>
  <c r="I106" i="59"/>
  <c r="K106" i="59" s="1"/>
  <c r="O107" i="59" s="1"/>
  <c r="I127" i="59" s="1"/>
  <c r="R43" i="59"/>
  <c r="I108" i="59"/>
  <c r="H108" i="59"/>
  <c r="R44" i="59"/>
  <c r="J108" i="59"/>
  <c r="K108" i="59" s="1"/>
  <c r="O109" i="59" s="1"/>
  <c r="R51" i="59"/>
  <c r="I116" i="59"/>
  <c r="R52" i="59"/>
  <c r="H116" i="59"/>
  <c r="I107" i="59"/>
  <c r="K107" i="59" s="1"/>
  <c r="O108" i="59" s="1"/>
  <c r="R42" i="59"/>
  <c r="H107" i="59"/>
  <c r="R49" i="59"/>
  <c r="I114" i="59"/>
  <c r="K114" i="59" s="1"/>
  <c r="H114" i="59"/>
  <c r="J116" i="59"/>
  <c r="K116" i="59" s="1"/>
  <c r="O117" i="59" s="1"/>
  <c r="J122" i="59"/>
  <c r="K122" i="59" s="1"/>
  <c r="O122" i="59" s="1"/>
  <c r="DK1351" i="48"/>
  <c r="DL1352" i="48" s="1"/>
  <c r="DF1351" i="48"/>
  <c r="DK1350" i="48"/>
  <c r="DF1350" i="48"/>
  <c r="DK1349" i="48"/>
  <c r="DF1349" i="48"/>
  <c r="DK1348" i="48"/>
  <c r="DF1348" i="48"/>
  <c r="DK1347" i="48"/>
  <c r="DF1347" i="48"/>
  <c r="DK1346" i="48"/>
  <c r="DF1346" i="48"/>
  <c r="DK1345" i="48"/>
  <c r="DF1345" i="48"/>
  <c r="DK1344" i="48"/>
  <c r="DF1344" i="48"/>
  <c r="DK1343" i="48"/>
  <c r="DF1343" i="48"/>
  <c r="DK1342" i="48"/>
  <c r="DF1342" i="48"/>
  <c r="DK1341" i="48"/>
  <c r="DF1341" i="48"/>
  <c r="DK1340" i="48"/>
  <c r="DF1340" i="48"/>
  <c r="DK1339" i="48"/>
  <c r="DF1339" i="48"/>
  <c r="DK1338" i="48"/>
  <c r="DF1338" i="48"/>
  <c r="DK1337" i="48"/>
  <c r="DF1337" i="48"/>
  <c r="DK1336" i="48"/>
  <c r="DF1336" i="48"/>
  <c r="DK1335" i="48"/>
  <c r="DF1335" i="48"/>
  <c r="DK1334" i="48"/>
  <c r="DF1334" i="48"/>
  <c r="DK1333" i="48"/>
  <c r="DF1333" i="48"/>
  <c r="DK1332" i="48"/>
  <c r="DF1332" i="48"/>
  <c r="DK1331" i="48"/>
  <c r="DF1331" i="48"/>
  <c r="DK1330" i="48"/>
  <c r="DF1330" i="48"/>
  <c r="DK1329" i="48"/>
  <c r="DF1329" i="48"/>
  <c r="DK1328" i="48"/>
  <c r="DF1328" i="48"/>
  <c r="DK1326" i="48"/>
  <c r="DL1327" i="48" s="1"/>
  <c r="DF1326" i="48"/>
  <c r="DK1325" i="48"/>
  <c r="DF1325" i="48"/>
  <c r="DK1324" i="48"/>
  <c r="DF1324" i="48"/>
  <c r="DK1323" i="48"/>
  <c r="DF1323" i="48"/>
  <c r="DK1322" i="48"/>
  <c r="DF1322" i="48"/>
  <c r="DK1321" i="48"/>
  <c r="DF1321" i="48"/>
  <c r="DK1320" i="48"/>
  <c r="DF1320" i="48"/>
  <c r="DK1319" i="48"/>
  <c r="DF1319" i="48"/>
  <c r="DK1318" i="48"/>
  <c r="DF1318" i="48"/>
  <c r="DK1317" i="48"/>
  <c r="DF1317" i="48"/>
  <c r="DK1316" i="48"/>
  <c r="DF1316" i="48"/>
  <c r="DK1315" i="48"/>
  <c r="DF1315" i="48"/>
  <c r="DK1314" i="48"/>
  <c r="DF1314" i="48"/>
  <c r="DK1313" i="48"/>
  <c r="DF1313" i="48"/>
  <c r="DK1312" i="48"/>
  <c r="DF1312" i="48"/>
  <c r="DK1311" i="48"/>
  <c r="DF1311" i="48"/>
  <c r="DK1310" i="48"/>
  <c r="DF1310" i="48"/>
  <c r="DK1309" i="48"/>
  <c r="DF1309" i="48"/>
  <c r="DK1308" i="48"/>
  <c r="DF1308" i="48"/>
  <c r="DK1307" i="48"/>
  <c r="DF1307" i="48"/>
  <c r="DK1306" i="48"/>
  <c r="DF1306" i="48"/>
  <c r="DK1305" i="48"/>
  <c r="DF1305" i="48"/>
  <c r="DK1304" i="48"/>
  <c r="DF1304" i="48"/>
  <c r="DK1303" i="48"/>
  <c r="DF1303" i="48"/>
  <c r="DK1301" i="48"/>
  <c r="DL1302" i="48" s="1"/>
  <c r="DF1301" i="48"/>
  <c r="DK1300" i="48"/>
  <c r="DF1300" i="48"/>
  <c r="DK1299" i="48"/>
  <c r="DF1299" i="48"/>
  <c r="DK1298" i="48"/>
  <c r="DF1298" i="48"/>
  <c r="DK1297" i="48"/>
  <c r="DF1297" i="48"/>
  <c r="DK1296" i="48"/>
  <c r="DF1296" i="48"/>
  <c r="DK1295" i="48"/>
  <c r="DF1295" i="48"/>
  <c r="DK1294" i="48"/>
  <c r="DF1294" i="48"/>
  <c r="DK1293" i="48"/>
  <c r="DF1293" i="48"/>
  <c r="DK1292" i="48"/>
  <c r="DF1292" i="48"/>
  <c r="DK1291" i="48"/>
  <c r="DF1291" i="48"/>
  <c r="DK1290" i="48"/>
  <c r="DF1290" i="48"/>
  <c r="DK1289" i="48"/>
  <c r="DF1289" i="48"/>
  <c r="DK1288" i="48"/>
  <c r="DF1288" i="48"/>
  <c r="DK1287" i="48"/>
  <c r="DF1287" i="48"/>
  <c r="DK1286" i="48"/>
  <c r="DF1286" i="48"/>
  <c r="DK1285" i="48"/>
  <c r="DF1285" i="48"/>
  <c r="DK1284" i="48"/>
  <c r="DF1284" i="48"/>
  <c r="DK1283" i="48"/>
  <c r="DF1283" i="48"/>
  <c r="DK1282" i="48"/>
  <c r="DF1282" i="48"/>
  <c r="DK1281" i="48"/>
  <c r="DF1281" i="48"/>
  <c r="DK1280" i="48"/>
  <c r="DF1280" i="48"/>
  <c r="DK1279" i="48"/>
  <c r="DF1279" i="48"/>
  <c r="DK1278" i="48"/>
  <c r="DF1278" i="48"/>
  <c r="DK1276" i="48"/>
  <c r="DL1277" i="48" s="1"/>
  <c r="DF1276" i="48"/>
  <c r="DK1275" i="48"/>
  <c r="DF1275" i="48"/>
  <c r="DK1274" i="48"/>
  <c r="DF1274" i="48"/>
  <c r="DK1273" i="48"/>
  <c r="DF1273" i="48"/>
  <c r="DK1272" i="48"/>
  <c r="DF1272" i="48"/>
  <c r="DK1271" i="48"/>
  <c r="DF1271" i="48"/>
  <c r="DK1270" i="48"/>
  <c r="DF1270" i="48"/>
  <c r="DK1269" i="48"/>
  <c r="DF1269" i="48"/>
  <c r="DK1268" i="48"/>
  <c r="DF1268" i="48"/>
  <c r="DK1267" i="48"/>
  <c r="DF1267" i="48"/>
  <c r="DK1266" i="48"/>
  <c r="DF1266" i="48"/>
  <c r="DK1265" i="48"/>
  <c r="DF1265" i="48"/>
  <c r="DK1264" i="48"/>
  <c r="DF1264" i="48"/>
  <c r="DK1263" i="48"/>
  <c r="DF1263" i="48"/>
  <c r="DK1262" i="48"/>
  <c r="DF1262" i="48"/>
  <c r="DK1261" i="48"/>
  <c r="DF1261" i="48"/>
  <c r="DK1260" i="48"/>
  <c r="DF1260" i="48"/>
  <c r="DK1259" i="48"/>
  <c r="DF1259" i="48"/>
  <c r="DK1258" i="48"/>
  <c r="DF1258" i="48"/>
  <c r="DK1257" i="48"/>
  <c r="DF1257" i="48"/>
  <c r="DK1256" i="48"/>
  <c r="DF1256" i="48"/>
  <c r="DK1255" i="48"/>
  <c r="DF1255" i="48"/>
  <c r="DK1254" i="48"/>
  <c r="DF1254" i="48"/>
  <c r="DK1253" i="48"/>
  <c r="DF1253" i="48"/>
  <c r="DK1251" i="48"/>
  <c r="DL1252" i="48" s="1"/>
  <c r="DF1251" i="48"/>
  <c r="DK1250" i="48"/>
  <c r="DF1250" i="48"/>
  <c r="DK1249" i="48"/>
  <c r="DF1249" i="48"/>
  <c r="DK1248" i="48"/>
  <c r="DF1248" i="48"/>
  <c r="DK1247" i="48"/>
  <c r="DF1247" i="48"/>
  <c r="DK1246" i="48"/>
  <c r="DF1246" i="48"/>
  <c r="DK1245" i="48"/>
  <c r="DF1245" i="48"/>
  <c r="DK1244" i="48"/>
  <c r="DF1244" i="48"/>
  <c r="DK1243" i="48"/>
  <c r="DF1243" i="48"/>
  <c r="DK1242" i="48"/>
  <c r="DF1242" i="48"/>
  <c r="DK1241" i="48"/>
  <c r="DF1241" i="48"/>
  <c r="DK1240" i="48"/>
  <c r="DF1240" i="48"/>
  <c r="DK1239" i="48"/>
  <c r="DF1239" i="48"/>
  <c r="DK1238" i="48"/>
  <c r="DF1238" i="48"/>
  <c r="DK1237" i="48"/>
  <c r="DF1237" i="48"/>
  <c r="DK1236" i="48"/>
  <c r="DF1236" i="48"/>
  <c r="DK1235" i="48"/>
  <c r="DF1235" i="48"/>
  <c r="DK1234" i="48"/>
  <c r="DF1234" i="48"/>
  <c r="DK1233" i="48"/>
  <c r="DF1233" i="48"/>
  <c r="DK1232" i="48"/>
  <c r="DF1232" i="48"/>
  <c r="DK1231" i="48"/>
  <c r="DF1231" i="48"/>
  <c r="DK1230" i="48"/>
  <c r="DF1230" i="48"/>
  <c r="DK1229" i="48"/>
  <c r="DF1229" i="48"/>
  <c r="DK1228" i="48"/>
  <c r="DF1228" i="48"/>
  <c r="DK1226" i="48"/>
  <c r="DL1227" i="48" s="1"/>
  <c r="DF1226" i="48"/>
  <c r="DK1225" i="48"/>
  <c r="DF1225" i="48"/>
  <c r="DK1224" i="48"/>
  <c r="DF1224" i="48"/>
  <c r="DK1223" i="48"/>
  <c r="DF1223" i="48"/>
  <c r="DK1222" i="48"/>
  <c r="DF1222" i="48"/>
  <c r="DK1221" i="48"/>
  <c r="DF1221" i="48"/>
  <c r="DK1220" i="48"/>
  <c r="DF1220" i="48"/>
  <c r="DK1219" i="48"/>
  <c r="DF1219" i="48"/>
  <c r="DK1218" i="48"/>
  <c r="DF1218" i="48"/>
  <c r="DK1217" i="48"/>
  <c r="DF1217" i="48"/>
  <c r="DK1216" i="48"/>
  <c r="DF1216" i="48"/>
  <c r="DK1215" i="48"/>
  <c r="DF1215" i="48"/>
  <c r="DK1214" i="48"/>
  <c r="DF1214" i="48"/>
  <c r="DK1213" i="48"/>
  <c r="DF1213" i="48"/>
  <c r="DK1212" i="48"/>
  <c r="DF1212" i="48"/>
  <c r="DK1211" i="48"/>
  <c r="DF1211" i="48"/>
  <c r="DK1210" i="48"/>
  <c r="DF1210" i="48"/>
  <c r="DK1209" i="48"/>
  <c r="DF1209" i="48"/>
  <c r="DK1208" i="48"/>
  <c r="DF1208" i="48"/>
  <c r="DK1207" i="48"/>
  <c r="DF1207" i="48"/>
  <c r="DK1206" i="48"/>
  <c r="DF1206" i="48"/>
  <c r="DK1205" i="48"/>
  <c r="DF1205" i="48"/>
  <c r="DK1204" i="48"/>
  <c r="DF1204" i="48"/>
  <c r="DK1203" i="48"/>
  <c r="DF1203" i="48"/>
  <c r="CJ1203" i="48" s="1"/>
  <c r="DK1201" i="48"/>
  <c r="DL1202" i="48" s="1"/>
  <c r="DF1201" i="48"/>
  <c r="DK1200" i="48"/>
  <c r="DF1200" i="48"/>
  <c r="DK1199" i="48"/>
  <c r="DF1199" i="48"/>
  <c r="DK1198" i="48"/>
  <c r="DF1198" i="48"/>
  <c r="DK1197" i="48"/>
  <c r="DF1197" i="48"/>
  <c r="DK1196" i="48"/>
  <c r="DF1196" i="48"/>
  <c r="DK1195" i="48"/>
  <c r="DF1195" i="48"/>
  <c r="DK1194" i="48"/>
  <c r="DF1194" i="48"/>
  <c r="DK1193" i="48"/>
  <c r="DF1193" i="48"/>
  <c r="DK1192" i="48"/>
  <c r="DF1192" i="48"/>
  <c r="DK1191" i="48"/>
  <c r="DF1191" i="48"/>
  <c r="DK1190" i="48"/>
  <c r="DF1190" i="48"/>
  <c r="DK1189" i="48"/>
  <c r="DF1189" i="48"/>
  <c r="DK1188" i="48"/>
  <c r="DF1188" i="48"/>
  <c r="DK1187" i="48"/>
  <c r="DF1187" i="48"/>
  <c r="DK1186" i="48"/>
  <c r="DF1186" i="48"/>
  <c r="DK1185" i="48"/>
  <c r="DF1185" i="48"/>
  <c r="DK1184" i="48"/>
  <c r="DF1184" i="48"/>
  <c r="DK1183" i="48"/>
  <c r="DF1183" i="48"/>
  <c r="DK1182" i="48"/>
  <c r="DF1182" i="48"/>
  <c r="DK1181" i="48"/>
  <c r="DF1181" i="48"/>
  <c r="DK1180" i="48"/>
  <c r="DF1180" i="48"/>
  <c r="DK1179" i="48"/>
  <c r="DF1179" i="48"/>
  <c r="DK1178" i="48"/>
  <c r="DF1178" i="48"/>
  <c r="DK1176" i="48"/>
  <c r="DL1177" i="48" s="1"/>
  <c r="DF1176" i="48"/>
  <c r="DK1175" i="48"/>
  <c r="DF1175" i="48"/>
  <c r="DK1174" i="48"/>
  <c r="DF1174" i="48"/>
  <c r="DK1173" i="48"/>
  <c r="DF1173" i="48"/>
  <c r="DK1172" i="48"/>
  <c r="DF1172" i="48"/>
  <c r="DK1171" i="48"/>
  <c r="DF1171" i="48"/>
  <c r="DK1170" i="48"/>
  <c r="DF1170" i="48"/>
  <c r="DK1169" i="48"/>
  <c r="DF1169" i="48"/>
  <c r="DK1168" i="48"/>
  <c r="DF1168" i="48"/>
  <c r="DK1167" i="48"/>
  <c r="DF1167" i="48"/>
  <c r="DK1166" i="48"/>
  <c r="DF1166" i="48"/>
  <c r="DK1165" i="48"/>
  <c r="DF1165" i="48"/>
  <c r="DK1164" i="48"/>
  <c r="DF1164" i="48"/>
  <c r="DK1163" i="48"/>
  <c r="DF1163" i="48"/>
  <c r="DK1162" i="48"/>
  <c r="DF1162" i="48"/>
  <c r="DK1161" i="48"/>
  <c r="DF1161" i="48"/>
  <c r="DK1160" i="48"/>
  <c r="DF1160" i="48"/>
  <c r="DK1159" i="48"/>
  <c r="DF1159" i="48"/>
  <c r="DK1158" i="48"/>
  <c r="DF1158" i="48"/>
  <c r="DK1157" i="48"/>
  <c r="DF1157" i="48"/>
  <c r="DK1156" i="48"/>
  <c r="DF1156" i="48"/>
  <c r="DK1155" i="48"/>
  <c r="DF1155" i="48"/>
  <c r="DK1154" i="48"/>
  <c r="DF1154" i="48"/>
  <c r="DK1153" i="48"/>
  <c r="DF1153" i="48"/>
  <c r="DK1151" i="48"/>
  <c r="DL1152" i="48" s="1"/>
  <c r="DF1151" i="48"/>
  <c r="DK1150" i="48"/>
  <c r="DF1150" i="48"/>
  <c r="DK1149" i="48"/>
  <c r="DF1149" i="48"/>
  <c r="DK1148" i="48"/>
  <c r="DF1148" i="48"/>
  <c r="DK1147" i="48"/>
  <c r="DF1147" i="48"/>
  <c r="DK1146" i="48"/>
  <c r="DF1146" i="48"/>
  <c r="DK1145" i="48"/>
  <c r="DF1145" i="48"/>
  <c r="DK1144" i="48"/>
  <c r="DF1144" i="48"/>
  <c r="DK1143" i="48"/>
  <c r="DF1143" i="48"/>
  <c r="DK1142" i="48"/>
  <c r="DF1142" i="48"/>
  <c r="DK1141" i="48"/>
  <c r="DF1141" i="48"/>
  <c r="DK1140" i="48"/>
  <c r="DF1140" i="48"/>
  <c r="DK1139" i="48"/>
  <c r="DF1139" i="48"/>
  <c r="DK1138" i="48"/>
  <c r="DF1138" i="48"/>
  <c r="DK1137" i="48"/>
  <c r="DF1137" i="48"/>
  <c r="DK1136" i="48"/>
  <c r="DF1136" i="48"/>
  <c r="DK1135" i="48"/>
  <c r="DF1135" i="48"/>
  <c r="DK1134" i="48"/>
  <c r="DF1134" i="48"/>
  <c r="DK1133" i="48"/>
  <c r="DF1133" i="48"/>
  <c r="DK1132" i="48"/>
  <c r="DF1132" i="48"/>
  <c r="DK1131" i="48"/>
  <c r="DF1131" i="48"/>
  <c r="DK1130" i="48"/>
  <c r="DF1130" i="48"/>
  <c r="DK1129" i="48"/>
  <c r="DF1129" i="48"/>
  <c r="DK1128" i="48"/>
  <c r="DF1128" i="48"/>
  <c r="DK1126" i="48"/>
  <c r="DL1127" i="48" s="1"/>
  <c r="DF1126" i="48"/>
  <c r="DK1125" i="48"/>
  <c r="DF1125" i="48"/>
  <c r="DK1124" i="48"/>
  <c r="DF1124" i="48"/>
  <c r="DK1123" i="48"/>
  <c r="DF1123" i="48"/>
  <c r="DK1122" i="48"/>
  <c r="DF1122" i="48"/>
  <c r="DK1121" i="48"/>
  <c r="DF1121" i="48"/>
  <c r="DK1120" i="48"/>
  <c r="DF1120" i="48"/>
  <c r="DK1119" i="48"/>
  <c r="DF1119" i="48"/>
  <c r="DK1118" i="48"/>
  <c r="DF1118" i="48"/>
  <c r="DK1117" i="48"/>
  <c r="DF1117" i="48"/>
  <c r="DK1116" i="48"/>
  <c r="DF1116" i="48"/>
  <c r="DK1115" i="48"/>
  <c r="DF1115" i="48"/>
  <c r="DK1114" i="48"/>
  <c r="DF1114" i="48"/>
  <c r="DK1113" i="48"/>
  <c r="DF1113" i="48"/>
  <c r="DK1112" i="48"/>
  <c r="DF1112" i="48"/>
  <c r="DK1111" i="48"/>
  <c r="DF1111" i="48"/>
  <c r="DK1110" i="48"/>
  <c r="DF1110" i="48"/>
  <c r="DK1109" i="48"/>
  <c r="DF1109" i="48"/>
  <c r="DK1108" i="48"/>
  <c r="DF1108" i="48"/>
  <c r="DK1107" i="48"/>
  <c r="DF1107" i="48"/>
  <c r="DK1106" i="48"/>
  <c r="DF1106" i="48"/>
  <c r="DK1105" i="48"/>
  <c r="DF1105" i="48"/>
  <c r="DK1104" i="48"/>
  <c r="DF1104" i="48"/>
  <c r="DK1103" i="48"/>
  <c r="DF1103" i="48"/>
  <c r="DK1101" i="48"/>
  <c r="DL1102" i="48" s="1"/>
  <c r="DF1101" i="48"/>
  <c r="DK1100" i="48"/>
  <c r="DF1100" i="48"/>
  <c r="DK1099" i="48"/>
  <c r="DF1099" i="48"/>
  <c r="DK1098" i="48"/>
  <c r="DF1098" i="48"/>
  <c r="DK1097" i="48"/>
  <c r="DF1097" i="48"/>
  <c r="DK1096" i="48"/>
  <c r="DF1096" i="48"/>
  <c r="DK1095" i="48"/>
  <c r="DF1095" i="48"/>
  <c r="DK1094" i="48"/>
  <c r="DF1094" i="48"/>
  <c r="DK1093" i="48"/>
  <c r="DF1093" i="48"/>
  <c r="DK1092" i="48"/>
  <c r="DF1092" i="48"/>
  <c r="DK1091" i="48"/>
  <c r="DF1091" i="48"/>
  <c r="DK1090" i="48"/>
  <c r="DF1090" i="48"/>
  <c r="DK1089" i="48"/>
  <c r="DF1089" i="48"/>
  <c r="DK1088" i="48"/>
  <c r="DF1088" i="48"/>
  <c r="DK1087" i="48"/>
  <c r="DF1087" i="48"/>
  <c r="DK1086" i="48"/>
  <c r="DF1086" i="48"/>
  <c r="DK1085" i="48"/>
  <c r="DF1085" i="48"/>
  <c r="DK1084" i="48"/>
  <c r="DF1084" i="48"/>
  <c r="DK1083" i="48"/>
  <c r="DF1083" i="48"/>
  <c r="DK1082" i="48"/>
  <c r="DF1082" i="48"/>
  <c r="DK1081" i="48"/>
  <c r="DF1081" i="48"/>
  <c r="DK1080" i="48"/>
  <c r="DF1080" i="48"/>
  <c r="DK1079" i="48"/>
  <c r="DF1079" i="48"/>
  <c r="CJ1079" i="48" s="1"/>
  <c r="DK1078" i="48"/>
  <c r="DF1078" i="48"/>
  <c r="DK1076" i="48"/>
  <c r="DL1077" i="48" s="1"/>
  <c r="DF1076" i="48"/>
  <c r="DK1075" i="48"/>
  <c r="DF1075" i="48"/>
  <c r="CJ1075" i="48" s="1"/>
  <c r="DK1074" i="48"/>
  <c r="DF1074" i="48"/>
  <c r="DK1073" i="48"/>
  <c r="DF1073" i="48"/>
  <c r="DK1072" i="48"/>
  <c r="DF1072" i="48"/>
  <c r="DK1071" i="48"/>
  <c r="DF1071" i="48"/>
  <c r="DK1070" i="48"/>
  <c r="DF1070" i="48"/>
  <c r="DK1069" i="48"/>
  <c r="DF1069" i="48"/>
  <c r="DK1068" i="48"/>
  <c r="DF1068" i="48"/>
  <c r="DK1067" i="48"/>
  <c r="DF1067" i="48"/>
  <c r="DK1066" i="48"/>
  <c r="DF1066" i="48"/>
  <c r="DK1065" i="48"/>
  <c r="DF1065" i="48"/>
  <c r="DK1064" i="48"/>
  <c r="DF1064" i="48"/>
  <c r="DK1063" i="48"/>
  <c r="DF1063" i="48"/>
  <c r="DK1062" i="48"/>
  <c r="DF1062" i="48"/>
  <c r="DK1061" i="48"/>
  <c r="DF1061" i="48"/>
  <c r="DK1060" i="48"/>
  <c r="DF1060" i="48"/>
  <c r="DK1059" i="48"/>
  <c r="DF1059" i="48"/>
  <c r="DK1058" i="48"/>
  <c r="DF1058" i="48"/>
  <c r="DK1057" i="48"/>
  <c r="DF1057" i="48"/>
  <c r="DK1056" i="48"/>
  <c r="DF1056" i="48"/>
  <c r="DK1055" i="48"/>
  <c r="DF1055" i="48"/>
  <c r="DK1054" i="48"/>
  <c r="DF1054" i="48"/>
  <c r="DK1053" i="48"/>
  <c r="DF1053" i="48"/>
  <c r="DK1051" i="48"/>
  <c r="DL1052" i="48" s="1"/>
  <c r="DF1051" i="48"/>
  <c r="DK1050" i="48"/>
  <c r="DF1050" i="48"/>
  <c r="CJ1050" i="48" s="1"/>
  <c r="DK1049" i="48"/>
  <c r="DF1049" i="48"/>
  <c r="DK1048" i="48"/>
  <c r="DF1048" i="48"/>
  <c r="DK1047" i="48"/>
  <c r="DF1047" i="48"/>
  <c r="DK1046" i="48"/>
  <c r="DF1046" i="48"/>
  <c r="DK1045" i="48"/>
  <c r="DF1045" i="48"/>
  <c r="DK1044" i="48"/>
  <c r="DF1044" i="48"/>
  <c r="DK1043" i="48"/>
  <c r="DF1043" i="48"/>
  <c r="DK1042" i="48"/>
  <c r="DF1042" i="48"/>
  <c r="DK1041" i="48"/>
  <c r="DF1041" i="48"/>
  <c r="DK1040" i="48"/>
  <c r="DF1040" i="48"/>
  <c r="DK1039" i="48"/>
  <c r="DF1039" i="48"/>
  <c r="DK1038" i="48"/>
  <c r="DF1038" i="48"/>
  <c r="DK1037" i="48"/>
  <c r="DF1037" i="48"/>
  <c r="DK1036" i="48"/>
  <c r="DF1036" i="48"/>
  <c r="DK1035" i="48"/>
  <c r="DF1035" i="48"/>
  <c r="DK1034" i="48"/>
  <c r="DF1034" i="48"/>
  <c r="DK1033" i="48"/>
  <c r="DF1033" i="48"/>
  <c r="DK1032" i="48"/>
  <c r="DF1032" i="48"/>
  <c r="DK1031" i="48"/>
  <c r="DF1031" i="48"/>
  <c r="DK1030" i="48"/>
  <c r="DF1030" i="48"/>
  <c r="DK1029" i="48"/>
  <c r="DF1029" i="48"/>
  <c r="DK1028" i="48"/>
  <c r="DF1028" i="48"/>
  <c r="DK1026" i="48"/>
  <c r="DL1027" i="48" s="1"/>
  <c r="DF1026" i="48"/>
  <c r="DK1025" i="48"/>
  <c r="DF1025" i="48"/>
  <c r="DK1024" i="48"/>
  <c r="DF1024" i="48"/>
  <c r="DK1023" i="48"/>
  <c r="DF1023" i="48"/>
  <c r="DK1022" i="48"/>
  <c r="DF1022" i="48"/>
  <c r="DK1021" i="48"/>
  <c r="DF1021" i="48"/>
  <c r="DK1020" i="48"/>
  <c r="DF1020" i="48"/>
  <c r="DK1019" i="48"/>
  <c r="DF1019" i="48"/>
  <c r="DK1018" i="48"/>
  <c r="DF1018" i="48"/>
  <c r="DK1017" i="48"/>
  <c r="DF1017" i="48"/>
  <c r="DK1016" i="48"/>
  <c r="DF1016" i="48"/>
  <c r="DK1015" i="48"/>
  <c r="DF1015" i="48"/>
  <c r="DK1014" i="48"/>
  <c r="DF1014" i="48"/>
  <c r="DK1013" i="48"/>
  <c r="DF1013" i="48"/>
  <c r="DK1012" i="48"/>
  <c r="DF1012" i="48"/>
  <c r="DK1011" i="48"/>
  <c r="DF1011" i="48"/>
  <c r="DK1010" i="48"/>
  <c r="DF1010" i="48"/>
  <c r="DK1009" i="48"/>
  <c r="DF1009" i="48"/>
  <c r="DK1008" i="48"/>
  <c r="DF1008" i="48"/>
  <c r="CJ1008" i="48" s="1"/>
  <c r="DK1007" i="48"/>
  <c r="DF1007" i="48"/>
  <c r="CJ1007" i="48" s="1"/>
  <c r="DK1006" i="48"/>
  <c r="DF1006" i="48"/>
  <c r="DK1005" i="48"/>
  <c r="DF1005" i="48"/>
  <c r="DK1004" i="48"/>
  <c r="DF1004" i="48"/>
  <c r="DK1003" i="48"/>
  <c r="DF1003" i="48"/>
  <c r="DK1001" i="48"/>
  <c r="DL1002" i="48" s="1"/>
  <c r="DF1001" i="48"/>
  <c r="DK1000" i="48"/>
  <c r="DF1000" i="48"/>
  <c r="DK999" i="48"/>
  <c r="DF999" i="48"/>
  <c r="DK998" i="48"/>
  <c r="DF998" i="48"/>
  <c r="DK997" i="48"/>
  <c r="DF997" i="48"/>
  <c r="DK996" i="48"/>
  <c r="DF996" i="48"/>
  <c r="DK995" i="48"/>
  <c r="DF995" i="48"/>
  <c r="DK994" i="48"/>
  <c r="DF994" i="48"/>
  <c r="DK993" i="48"/>
  <c r="DF993" i="48"/>
  <c r="DK992" i="48"/>
  <c r="DF992" i="48"/>
  <c r="DK991" i="48"/>
  <c r="DF991" i="48"/>
  <c r="DK990" i="48"/>
  <c r="DF990" i="48"/>
  <c r="DK989" i="48"/>
  <c r="DF989" i="48"/>
  <c r="DK988" i="48"/>
  <c r="DF988" i="48"/>
  <c r="DK987" i="48"/>
  <c r="DF987" i="48"/>
  <c r="DK986" i="48"/>
  <c r="DF986" i="48"/>
  <c r="DK985" i="48"/>
  <c r="DF985" i="48"/>
  <c r="DK984" i="48"/>
  <c r="DF984" i="48"/>
  <c r="DK983" i="48"/>
  <c r="DF983" i="48"/>
  <c r="DK982" i="48"/>
  <c r="DF982" i="48"/>
  <c r="DK981" i="48"/>
  <c r="DF981" i="48"/>
  <c r="DK980" i="48"/>
  <c r="DF980" i="48"/>
  <c r="DK979" i="48"/>
  <c r="DF979" i="48"/>
  <c r="DK978" i="48"/>
  <c r="DF978" i="48"/>
  <c r="DK976" i="48"/>
  <c r="DL977" i="48" s="1"/>
  <c r="DF976" i="48"/>
  <c r="DK975" i="48"/>
  <c r="DF975" i="48"/>
  <c r="DK974" i="48"/>
  <c r="DF974" i="48"/>
  <c r="DK973" i="48"/>
  <c r="DF973" i="48"/>
  <c r="DK972" i="48"/>
  <c r="DF972" i="48"/>
  <c r="DK971" i="48"/>
  <c r="DF971" i="48"/>
  <c r="DK970" i="48"/>
  <c r="DF970" i="48"/>
  <c r="DK969" i="48"/>
  <c r="DF969" i="48"/>
  <c r="DK968" i="48"/>
  <c r="DF968" i="48"/>
  <c r="DK967" i="48"/>
  <c r="DF967" i="48"/>
  <c r="DK966" i="48"/>
  <c r="DF966" i="48"/>
  <c r="DK965" i="48"/>
  <c r="DF965" i="48"/>
  <c r="DK964" i="48"/>
  <c r="DF964" i="48"/>
  <c r="DK963" i="48"/>
  <c r="DF963" i="48"/>
  <c r="DK962" i="48"/>
  <c r="DF962" i="48"/>
  <c r="DK961" i="48"/>
  <c r="DF961" i="48"/>
  <c r="DK960" i="48"/>
  <c r="DF960" i="48"/>
  <c r="DK959" i="48"/>
  <c r="DF959" i="48"/>
  <c r="DK958" i="48"/>
  <c r="DF958" i="48"/>
  <c r="DK957" i="48"/>
  <c r="DF957" i="48"/>
  <c r="DK956" i="48"/>
  <c r="DF956" i="48"/>
  <c r="DK955" i="48"/>
  <c r="DF955" i="48"/>
  <c r="DK954" i="48"/>
  <c r="DF954" i="48"/>
  <c r="DK953" i="48"/>
  <c r="DF953" i="48"/>
  <c r="DK951" i="48"/>
  <c r="DL952" i="48" s="1"/>
  <c r="DF951" i="48"/>
  <c r="DK950" i="48"/>
  <c r="DF950" i="48"/>
  <c r="CJ950" i="48" s="1"/>
  <c r="DK949" i="48"/>
  <c r="DF949" i="48"/>
  <c r="DK948" i="48"/>
  <c r="DF948" i="48"/>
  <c r="DK947" i="48"/>
  <c r="DF947" i="48"/>
  <c r="DK946" i="48"/>
  <c r="DF946" i="48"/>
  <c r="DK945" i="48"/>
  <c r="DF945" i="48"/>
  <c r="DK944" i="48"/>
  <c r="DF944" i="48"/>
  <c r="DK943" i="48"/>
  <c r="DF943" i="48"/>
  <c r="DK942" i="48"/>
  <c r="DF942" i="48"/>
  <c r="DK941" i="48"/>
  <c r="DF941" i="48"/>
  <c r="DK940" i="48"/>
  <c r="DF940" i="48"/>
  <c r="DK939" i="48"/>
  <c r="DF939" i="48"/>
  <c r="DK938" i="48"/>
  <c r="DF938" i="48"/>
  <c r="DK937" i="48"/>
  <c r="DF937" i="48"/>
  <c r="DK936" i="48"/>
  <c r="DF936" i="48"/>
  <c r="DK935" i="48"/>
  <c r="DF935" i="48"/>
  <c r="DK934" i="48"/>
  <c r="DF934" i="48"/>
  <c r="DK933" i="48"/>
  <c r="DF933" i="48"/>
  <c r="DK932" i="48"/>
  <c r="DF932" i="48"/>
  <c r="DK931" i="48"/>
  <c r="DF931" i="48"/>
  <c r="DK930" i="48"/>
  <c r="DF930" i="48"/>
  <c r="DK929" i="48"/>
  <c r="DF929" i="48"/>
  <c r="DK928" i="48"/>
  <c r="DF928" i="48"/>
  <c r="DK926" i="48"/>
  <c r="DL927" i="48" s="1"/>
  <c r="DF926" i="48"/>
  <c r="DK925" i="48"/>
  <c r="DF925" i="48"/>
  <c r="DK924" i="48"/>
  <c r="DF924" i="48"/>
  <c r="DK923" i="48"/>
  <c r="DF923" i="48"/>
  <c r="DK922" i="48"/>
  <c r="DF922" i="48"/>
  <c r="DK921" i="48"/>
  <c r="DF921" i="48"/>
  <c r="DK920" i="48"/>
  <c r="DF920" i="48"/>
  <c r="DK919" i="48"/>
  <c r="DF919" i="48"/>
  <c r="DK918" i="48"/>
  <c r="DF918" i="48"/>
  <c r="DK917" i="48"/>
  <c r="DF917" i="48"/>
  <c r="DK916" i="48"/>
  <c r="DF916" i="48"/>
  <c r="DK915" i="48"/>
  <c r="DF915" i="48"/>
  <c r="DK914" i="48"/>
  <c r="DF914" i="48"/>
  <c r="DK913" i="48"/>
  <c r="DF913" i="48"/>
  <c r="DK912" i="48"/>
  <c r="DF912" i="48"/>
  <c r="DK911" i="48"/>
  <c r="DF911" i="48"/>
  <c r="DK910" i="48"/>
  <c r="DF910" i="48"/>
  <c r="DK909" i="48"/>
  <c r="DF909" i="48"/>
  <c r="DK908" i="48"/>
  <c r="DF908" i="48"/>
  <c r="DK907" i="48"/>
  <c r="DF907" i="48"/>
  <c r="DK906" i="48"/>
  <c r="DF906" i="48"/>
  <c r="DK905" i="48"/>
  <c r="DF905" i="48"/>
  <c r="DK904" i="48"/>
  <c r="DF904" i="48"/>
  <c r="DK903" i="48"/>
  <c r="DF903" i="48"/>
  <c r="DK901" i="48"/>
  <c r="DL902" i="48" s="1"/>
  <c r="DF901" i="48"/>
  <c r="DK900" i="48"/>
  <c r="DF900" i="48"/>
  <c r="DK899" i="48"/>
  <c r="DF899" i="48"/>
  <c r="DK898" i="48"/>
  <c r="DF898" i="48"/>
  <c r="DK897" i="48"/>
  <c r="DF897" i="48"/>
  <c r="DK896" i="48"/>
  <c r="DF896" i="48"/>
  <c r="DK895" i="48"/>
  <c r="DF895" i="48"/>
  <c r="DK894" i="48"/>
  <c r="DF894" i="48"/>
  <c r="DK893" i="48"/>
  <c r="DF893" i="48"/>
  <c r="DK892" i="48"/>
  <c r="DF892" i="48"/>
  <c r="DK891" i="48"/>
  <c r="DF891" i="48"/>
  <c r="DK890" i="48"/>
  <c r="DF890" i="48"/>
  <c r="DK889" i="48"/>
  <c r="DF889" i="48"/>
  <c r="DK888" i="48"/>
  <c r="DF888" i="48"/>
  <c r="DK887" i="48"/>
  <c r="DF887" i="48"/>
  <c r="DK886" i="48"/>
  <c r="DF886" i="48"/>
  <c r="DK885" i="48"/>
  <c r="DF885" i="48"/>
  <c r="DK884" i="48"/>
  <c r="DF884" i="48"/>
  <c r="DK883" i="48"/>
  <c r="DF883" i="48"/>
  <c r="DK882" i="48"/>
  <c r="DF882" i="48"/>
  <c r="DK881" i="48"/>
  <c r="DF881" i="48"/>
  <c r="DK880" i="48"/>
  <c r="DF880" i="48"/>
  <c r="DK879" i="48"/>
  <c r="DF879" i="48"/>
  <c r="DK878" i="48"/>
  <c r="DF878" i="48"/>
  <c r="DK876" i="48"/>
  <c r="DL877" i="48" s="1"/>
  <c r="DF876" i="48"/>
  <c r="DK875" i="48"/>
  <c r="DF875" i="48"/>
  <c r="DK874" i="48"/>
  <c r="DF874" i="48"/>
  <c r="DK873" i="48"/>
  <c r="DF873" i="48"/>
  <c r="DK872" i="48"/>
  <c r="DF872" i="48"/>
  <c r="DK871" i="48"/>
  <c r="DF871" i="48"/>
  <c r="DK870" i="48"/>
  <c r="DF870" i="48"/>
  <c r="DK869" i="48"/>
  <c r="DF869" i="48"/>
  <c r="DK868" i="48"/>
  <c r="DF868" i="48"/>
  <c r="DK867" i="48"/>
  <c r="DF867" i="48"/>
  <c r="DK866" i="48"/>
  <c r="DF866" i="48"/>
  <c r="DK865" i="48"/>
  <c r="DF865" i="48"/>
  <c r="DK864" i="48"/>
  <c r="DF864" i="48"/>
  <c r="DK863" i="48"/>
  <c r="DF863" i="48"/>
  <c r="DK862" i="48"/>
  <c r="DF862" i="48"/>
  <c r="DK861" i="48"/>
  <c r="DF861" i="48"/>
  <c r="DK860" i="48"/>
  <c r="DF860" i="48"/>
  <c r="DK859" i="48"/>
  <c r="DF859" i="48"/>
  <c r="DK858" i="48"/>
  <c r="DF858" i="48"/>
  <c r="DK857" i="48"/>
  <c r="DF857" i="48"/>
  <c r="DK856" i="48"/>
  <c r="DF856" i="48"/>
  <c r="DK855" i="48"/>
  <c r="DF855" i="48"/>
  <c r="DK854" i="48"/>
  <c r="DF854" i="48"/>
  <c r="DK853" i="48"/>
  <c r="DF853" i="48"/>
  <c r="DK851" i="48"/>
  <c r="DL852" i="48" s="1"/>
  <c r="DF851" i="48"/>
  <c r="DK850" i="48"/>
  <c r="DF850" i="48"/>
  <c r="DK849" i="48"/>
  <c r="DF849" i="48"/>
  <c r="DK848" i="48"/>
  <c r="DF848" i="48"/>
  <c r="DK847" i="48"/>
  <c r="DF847" i="48"/>
  <c r="DK846" i="48"/>
  <c r="DF846" i="48"/>
  <c r="DK845" i="48"/>
  <c r="DF845" i="48"/>
  <c r="DK844" i="48"/>
  <c r="DF844" i="48"/>
  <c r="DK843" i="48"/>
  <c r="DF843" i="48"/>
  <c r="DK842" i="48"/>
  <c r="DF842" i="48"/>
  <c r="DK841" i="48"/>
  <c r="DF841" i="48"/>
  <c r="DK840" i="48"/>
  <c r="DF840" i="48"/>
  <c r="DK839" i="48"/>
  <c r="DF839" i="48"/>
  <c r="DK838" i="48"/>
  <c r="DF838" i="48"/>
  <c r="DK837" i="48"/>
  <c r="DF837" i="48"/>
  <c r="DK836" i="48"/>
  <c r="DF836" i="48"/>
  <c r="DK835" i="48"/>
  <c r="DF835" i="48"/>
  <c r="DK834" i="48"/>
  <c r="DF834" i="48"/>
  <c r="DK833" i="48"/>
  <c r="DF833" i="48"/>
  <c r="DK832" i="48"/>
  <c r="DF832" i="48"/>
  <c r="DK831" i="48"/>
  <c r="DF831" i="48"/>
  <c r="DK830" i="48"/>
  <c r="DF830" i="48"/>
  <c r="DK829" i="48"/>
  <c r="DF829" i="48"/>
  <c r="DK828" i="48"/>
  <c r="DF828" i="48"/>
  <c r="DK826" i="48"/>
  <c r="DL827" i="48" s="1"/>
  <c r="DF826" i="48"/>
  <c r="DK825" i="48"/>
  <c r="DF825" i="48"/>
  <c r="DK824" i="48"/>
  <c r="DF824" i="48"/>
  <c r="DK823" i="48"/>
  <c r="DF823" i="48"/>
  <c r="DK822" i="48"/>
  <c r="DF822" i="48"/>
  <c r="DK821" i="48"/>
  <c r="DF821" i="48"/>
  <c r="DK820" i="48"/>
  <c r="DF820" i="48"/>
  <c r="DK819" i="48"/>
  <c r="DF819" i="48"/>
  <c r="DK818" i="48"/>
  <c r="DF818" i="48"/>
  <c r="DK817" i="48"/>
  <c r="DF817" i="48"/>
  <c r="DK816" i="48"/>
  <c r="DF816" i="48"/>
  <c r="DK815" i="48"/>
  <c r="DF815" i="48"/>
  <c r="DK814" i="48"/>
  <c r="DF814" i="48"/>
  <c r="DK813" i="48"/>
  <c r="DF813" i="48"/>
  <c r="DK812" i="48"/>
  <c r="DF812" i="48"/>
  <c r="DK811" i="48"/>
  <c r="DF811" i="48"/>
  <c r="DK810" i="48"/>
  <c r="DF810" i="48"/>
  <c r="DK809" i="48"/>
  <c r="DF809" i="48"/>
  <c r="DK808" i="48"/>
  <c r="DF808" i="48"/>
  <c r="DK807" i="48"/>
  <c r="DF807" i="48"/>
  <c r="DK806" i="48"/>
  <c r="DF806" i="48"/>
  <c r="DK805" i="48"/>
  <c r="DF805" i="48"/>
  <c r="DK804" i="48"/>
  <c r="DF804" i="48"/>
  <c r="DK803" i="48"/>
  <c r="DF803" i="48"/>
  <c r="DK801" i="48"/>
  <c r="DL802" i="48" s="1"/>
  <c r="DF801" i="48"/>
  <c r="DK800" i="48"/>
  <c r="DF800" i="48"/>
  <c r="DK799" i="48"/>
  <c r="DF799" i="48"/>
  <c r="DK798" i="48"/>
  <c r="DF798" i="48"/>
  <c r="DK797" i="48"/>
  <c r="DF797" i="48"/>
  <c r="DK796" i="48"/>
  <c r="DF796" i="48"/>
  <c r="DK795" i="48"/>
  <c r="DF795" i="48"/>
  <c r="DK794" i="48"/>
  <c r="DF794" i="48"/>
  <c r="DK793" i="48"/>
  <c r="DF793" i="48"/>
  <c r="DK792" i="48"/>
  <c r="DF792" i="48"/>
  <c r="DK791" i="48"/>
  <c r="DF791" i="48"/>
  <c r="DK790" i="48"/>
  <c r="DF790" i="48"/>
  <c r="DK789" i="48"/>
  <c r="DF789" i="48"/>
  <c r="DK788" i="48"/>
  <c r="DF788" i="48"/>
  <c r="DK787" i="48"/>
  <c r="DF787" i="48"/>
  <c r="DK786" i="48"/>
  <c r="DF786" i="48"/>
  <c r="DK785" i="48"/>
  <c r="DF785" i="48"/>
  <c r="DK784" i="48"/>
  <c r="DF784" i="48"/>
  <c r="DK783" i="48"/>
  <c r="DF783" i="48"/>
  <c r="DK782" i="48"/>
  <c r="DF782" i="48"/>
  <c r="DK781" i="48"/>
  <c r="DF781" i="48"/>
  <c r="DK780" i="48"/>
  <c r="DF780" i="48"/>
  <c r="DK779" i="48"/>
  <c r="DF779" i="48"/>
  <c r="DK778" i="48"/>
  <c r="DF778" i="48"/>
  <c r="DK776" i="48"/>
  <c r="DL777" i="48" s="1"/>
  <c r="DF776" i="48"/>
  <c r="DK775" i="48"/>
  <c r="DF775" i="48"/>
  <c r="DK774" i="48"/>
  <c r="DF774" i="48"/>
  <c r="DK773" i="48"/>
  <c r="DF773" i="48"/>
  <c r="DK772" i="48"/>
  <c r="DF772" i="48"/>
  <c r="DK771" i="48"/>
  <c r="DF771" i="48"/>
  <c r="DK770" i="48"/>
  <c r="DF770" i="48"/>
  <c r="DK769" i="48"/>
  <c r="DF769" i="48"/>
  <c r="DK768" i="48"/>
  <c r="DF768" i="48"/>
  <c r="DK767" i="48"/>
  <c r="DF767" i="48"/>
  <c r="DK766" i="48"/>
  <c r="DF766" i="48"/>
  <c r="DK765" i="48"/>
  <c r="DF765" i="48"/>
  <c r="DK764" i="48"/>
  <c r="DF764" i="48"/>
  <c r="DK763" i="48"/>
  <c r="DF763" i="48"/>
  <c r="DK762" i="48"/>
  <c r="DF762" i="48"/>
  <c r="DK761" i="48"/>
  <c r="DF761" i="48"/>
  <c r="DK760" i="48"/>
  <c r="DF760" i="48"/>
  <c r="DK759" i="48"/>
  <c r="DF759" i="48"/>
  <c r="DK758" i="48"/>
  <c r="DF758" i="48"/>
  <c r="DK757" i="48"/>
  <c r="DF757" i="48"/>
  <c r="DK756" i="48"/>
  <c r="DF756" i="48"/>
  <c r="DK755" i="48"/>
  <c r="DF755" i="48"/>
  <c r="DK754" i="48"/>
  <c r="DF754" i="48"/>
  <c r="DK753" i="48"/>
  <c r="DF753" i="48"/>
  <c r="DK751" i="48"/>
  <c r="DL752" i="48" s="1"/>
  <c r="DF751" i="48"/>
  <c r="DK750" i="48"/>
  <c r="DF750" i="48"/>
  <c r="DK749" i="48"/>
  <c r="DF749" i="48"/>
  <c r="DK748" i="48"/>
  <c r="DF748" i="48"/>
  <c r="DK747" i="48"/>
  <c r="DF747" i="48"/>
  <c r="DK746" i="48"/>
  <c r="DF746" i="48"/>
  <c r="DK745" i="48"/>
  <c r="DF745" i="48"/>
  <c r="DK744" i="48"/>
  <c r="DF744" i="48"/>
  <c r="DK743" i="48"/>
  <c r="DF743" i="48"/>
  <c r="DK742" i="48"/>
  <c r="DF742" i="48"/>
  <c r="DK741" i="48"/>
  <c r="DF741" i="48"/>
  <c r="DK740" i="48"/>
  <c r="DF740" i="48"/>
  <c r="DK739" i="48"/>
  <c r="DF739" i="48"/>
  <c r="DK738" i="48"/>
  <c r="DF738" i="48"/>
  <c r="DK737" i="48"/>
  <c r="DF737" i="48"/>
  <c r="DK736" i="48"/>
  <c r="DF736" i="48"/>
  <c r="DK735" i="48"/>
  <c r="DF735" i="48"/>
  <c r="DK734" i="48"/>
  <c r="DF734" i="48"/>
  <c r="DK733" i="48"/>
  <c r="DF733" i="48"/>
  <c r="DK732" i="48"/>
  <c r="DF732" i="48"/>
  <c r="DK731" i="48"/>
  <c r="DF731" i="48"/>
  <c r="DK730" i="48"/>
  <c r="DF730" i="48"/>
  <c r="DK729" i="48"/>
  <c r="DF729" i="48"/>
  <c r="DK728" i="48"/>
  <c r="DF728" i="48"/>
  <c r="DK726" i="48"/>
  <c r="DL727" i="48" s="1"/>
  <c r="DF726" i="48"/>
  <c r="DK725" i="48"/>
  <c r="DF725" i="48"/>
  <c r="DK724" i="48"/>
  <c r="DF724" i="48"/>
  <c r="DK723" i="48"/>
  <c r="DF723" i="48"/>
  <c r="DK722" i="48"/>
  <c r="DF722" i="48"/>
  <c r="DK721" i="48"/>
  <c r="DF721" i="48"/>
  <c r="DK720" i="48"/>
  <c r="DF720" i="48"/>
  <c r="DK719" i="48"/>
  <c r="DF719" i="48"/>
  <c r="DK718" i="48"/>
  <c r="DF718" i="48"/>
  <c r="DK717" i="48"/>
  <c r="DF717" i="48"/>
  <c r="DK716" i="48"/>
  <c r="DF716" i="48"/>
  <c r="DK715" i="48"/>
  <c r="DF715" i="48"/>
  <c r="DK714" i="48"/>
  <c r="DF714" i="48"/>
  <c r="DK713" i="48"/>
  <c r="DF713" i="48"/>
  <c r="DK712" i="48"/>
  <c r="DF712" i="48"/>
  <c r="DK711" i="48"/>
  <c r="DF711" i="48"/>
  <c r="DK710" i="48"/>
  <c r="DF710" i="48"/>
  <c r="DK709" i="48"/>
  <c r="DF709" i="48"/>
  <c r="DK708" i="48"/>
  <c r="DF708" i="48"/>
  <c r="DK707" i="48"/>
  <c r="DF707" i="48"/>
  <c r="DK706" i="48"/>
  <c r="DF706" i="48"/>
  <c r="DK705" i="48"/>
  <c r="DF705" i="48"/>
  <c r="DK704" i="48"/>
  <c r="DF704" i="48"/>
  <c r="DK703" i="48"/>
  <c r="DF703" i="48"/>
  <c r="DK701" i="48"/>
  <c r="DL702" i="48" s="1"/>
  <c r="DF701" i="48"/>
  <c r="DK700" i="48"/>
  <c r="DF700" i="48"/>
  <c r="DK699" i="48"/>
  <c r="DF699" i="48"/>
  <c r="DK698" i="48"/>
  <c r="DF698" i="48"/>
  <c r="DK697" i="48"/>
  <c r="DF697" i="48"/>
  <c r="DK696" i="48"/>
  <c r="DF696" i="48"/>
  <c r="DK695" i="48"/>
  <c r="DF695" i="48"/>
  <c r="DK694" i="48"/>
  <c r="DF694" i="48"/>
  <c r="DK693" i="48"/>
  <c r="DF693" i="48"/>
  <c r="DK692" i="48"/>
  <c r="DF692" i="48"/>
  <c r="DK691" i="48"/>
  <c r="DF691" i="48"/>
  <c r="DK690" i="48"/>
  <c r="DF690" i="48"/>
  <c r="DK689" i="48"/>
  <c r="DF689" i="48"/>
  <c r="DK688" i="48"/>
  <c r="DF688" i="48"/>
  <c r="DK687" i="48"/>
  <c r="DF687" i="48"/>
  <c r="DK686" i="48"/>
  <c r="DF686" i="48"/>
  <c r="DK685" i="48"/>
  <c r="DF685" i="48"/>
  <c r="DK684" i="48"/>
  <c r="DF684" i="48"/>
  <c r="DK683" i="48"/>
  <c r="DF683" i="48"/>
  <c r="DK682" i="48"/>
  <c r="DF682" i="48"/>
  <c r="DK681" i="48"/>
  <c r="DF681" i="48"/>
  <c r="DK680" i="48"/>
  <c r="DF680" i="48"/>
  <c r="DK679" i="48"/>
  <c r="DF679" i="48"/>
  <c r="DK678" i="48"/>
  <c r="DF678" i="48"/>
  <c r="DK676" i="48"/>
  <c r="DL677" i="48" s="1"/>
  <c r="DF676" i="48"/>
  <c r="DK675" i="48"/>
  <c r="DF675" i="48"/>
  <c r="DK674" i="48"/>
  <c r="DF674" i="48"/>
  <c r="DK673" i="48"/>
  <c r="DF673" i="48"/>
  <c r="DK672" i="48"/>
  <c r="DF672" i="48"/>
  <c r="DK671" i="48"/>
  <c r="DF671" i="48"/>
  <c r="DK670" i="48"/>
  <c r="DF670" i="48"/>
  <c r="DK669" i="48"/>
  <c r="DF669" i="48"/>
  <c r="DK668" i="48"/>
  <c r="DF668" i="48"/>
  <c r="DK667" i="48"/>
  <c r="DF667" i="48"/>
  <c r="DK666" i="48"/>
  <c r="DF666" i="48"/>
  <c r="DK665" i="48"/>
  <c r="DF665" i="48"/>
  <c r="DK664" i="48"/>
  <c r="DF664" i="48"/>
  <c r="DK663" i="48"/>
  <c r="DF663" i="48"/>
  <c r="DK662" i="48"/>
  <c r="DF662" i="48"/>
  <c r="DK661" i="48"/>
  <c r="DF661" i="48"/>
  <c r="DK660" i="48"/>
  <c r="DF660" i="48"/>
  <c r="DK659" i="48"/>
  <c r="DF659" i="48"/>
  <c r="DK658" i="48"/>
  <c r="DF658" i="48"/>
  <c r="DK657" i="48"/>
  <c r="DF657" i="48"/>
  <c r="DK656" i="48"/>
  <c r="DF656" i="48"/>
  <c r="DK655" i="48"/>
  <c r="DF655" i="48"/>
  <c r="DK654" i="48"/>
  <c r="DF654" i="48"/>
  <c r="DK653" i="48"/>
  <c r="DF653" i="48"/>
  <c r="DK651" i="48"/>
  <c r="DL652" i="48" s="1"/>
  <c r="DF651" i="48"/>
  <c r="DK650" i="48"/>
  <c r="DF650" i="48"/>
  <c r="DK649" i="48"/>
  <c r="DF649" i="48"/>
  <c r="DK648" i="48"/>
  <c r="DF648" i="48"/>
  <c r="DK647" i="48"/>
  <c r="DF647" i="48"/>
  <c r="DK646" i="48"/>
  <c r="DF646" i="48"/>
  <c r="DK645" i="48"/>
  <c r="DF645" i="48"/>
  <c r="DK644" i="48"/>
  <c r="DF644" i="48"/>
  <c r="DK643" i="48"/>
  <c r="DF643" i="48"/>
  <c r="DK642" i="48"/>
  <c r="DF642" i="48"/>
  <c r="DK641" i="48"/>
  <c r="DF641" i="48"/>
  <c r="DK640" i="48"/>
  <c r="DF640" i="48"/>
  <c r="DK639" i="48"/>
  <c r="DF639" i="48"/>
  <c r="DK638" i="48"/>
  <c r="DF638" i="48"/>
  <c r="DK637" i="48"/>
  <c r="DF637" i="48"/>
  <c r="DK636" i="48"/>
  <c r="DF636" i="48"/>
  <c r="DK635" i="48"/>
  <c r="DF635" i="48"/>
  <c r="DK634" i="48"/>
  <c r="DF634" i="48"/>
  <c r="DK633" i="48"/>
  <c r="DF633" i="48"/>
  <c r="DK632" i="48"/>
  <c r="DF632" i="48"/>
  <c r="DK631" i="48"/>
  <c r="DF631" i="48"/>
  <c r="DK630" i="48"/>
  <c r="DF630" i="48"/>
  <c r="DK629" i="48"/>
  <c r="DF629" i="48"/>
  <c r="DK628" i="48"/>
  <c r="DF628" i="48"/>
  <c r="DK626" i="48"/>
  <c r="DL627" i="48" s="1"/>
  <c r="DF626" i="48"/>
  <c r="DK625" i="48"/>
  <c r="DF625" i="48"/>
  <c r="DK624" i="48"/>
  <c r="DF624" i="48"/>
  <c r="DK623" i="48"/>
  <c r="DF623" i="48"/>
  <c r="DK622" i="48"/>
  <c r="DF622" i="48"/>
  <c r="DK621" i="48"/>
  <c r="DF621" i="48"/>
  <c r="DK620" i="48"/>
  <c r="DF620" i="48"/>
  <c r="DK619" i="48"/>
  <c r="DF619" i="48"/>
  <c r="DK618" i="48"/>
  <c r="DF618" i="48"/>
  <c r="DK617" i="48"/>
  <c r="DF617" i="48"/>
  <c r="DK616" i="48"/>
  <c r="DF616" i="48"/>
  <c r="DK615" i="48"/>
  <c r="DF615" i="48"/>
  <c r="DK614" i="48"/>
  <c r="DF614" i="48"/>
  <c r="DK613" i="48"/>
  <c r="DF613" i="48"/>
  <c r="DK612" i="48"/>
  <c r="DF612" i="48"/>
  <c r="DK611" i="48"/>
  <c r="DF611" i="48"/>
  <c r="DK610" i="48"/>
  <c r="DF610" i="48"/>
  <c r="DK609" i="48"/>
  <c r="DF609" i="48"/>
  <c r="DK608" i="48"/>
  <c r="DF608" i="48"/>
  <c r="DK607" i="48"/>
  <c r="DF607" i="48"/>
  <c r="DK606" i="48"/>
  <c r="DF606" i="48"/>
  <c r="DK605" i="48"/>
  <c r="DF605" i="48"/>
  <c r="DK604" i="48"/>
  <c r="DF604" i="48"/>
  <c r="DK603" i="48"/>
  <c r="DF603" i="48"/>
  <c r="DK601" i="48"/>
  <c r="DL602" i="48" s="1"/>
  <c r="DF601" i="48"/>
  <c r="DK600" i="48"/>
  <c r="DF600" i="48"/>
  <c r="DK599" i="48"/>
  <c r="DF599" i="48"/>
  <c r="DK598" i="48"/>
  <c r="DF598" i="48"/>
  <c r="DK597" i="48"/>
  <c r="DF597" i="48"/>
  <c r="DK596" i="48"/>
  <c r="DF596" i="48"/>
  <c r="DK595" i="48"/>
  <c r="DF595" i="48"/>
  <c r="DK594" i="48"/>
  <c r="DF594" i="48"/>
  <c r="DK593" i="48"/>
  <c r="DF593" i="48"/>
  <c r="DK592" i="48"/>
  <c r="DF592" i="48"/>
  <c r="DK591" i="48"/>
  <c r="DF591" i="48"/>
  <c r="DK590" i="48"/>
  <c r="DF590" i="48"/>
  <c r="DK589" i="48"/>
  <c r="DF589" i="48"/>
  <c r="DK588" i="48"/>
  <c r="DF588" i="48"/>
  <c r="DK587" i="48"/>
  <c r="DF587" i="48"/>
  <c r="DK586" i="48"/>
  <c r="DF586" i="48"/>
  <c r="DK585" i="48"/>
  <c r="DF585" i="48"/>
  <c r="DK584" i="48"/>
  <c r="DF584" i="48"/>
  <c r="DK583" i="48"/>
  <c r="DF583" i="48"/>
  <c r="DK582" i="48"/>
  <c r="DF582" i="48"/>
  <c r="DK581" i="48"/>
  <c r="DF581" i="48"/>
  <c r="DK580" i="48"/>
  <c r="DF580" i="48"/>
  <c r="DK579" i="48"/>
  <c r="DF579" i="48"/>
  <c r="DK578" i="48"/>
  <c r="DF578" i="48"/>
  <c r="DK576" i="48"/>
  <c r="DL577" i="48" s="1"/>
  <c r="DF576" i="48"/>
  <c r="DK575" i="48"/>
  <c r="DF575" i="48"/>
  <c r="DK574" i="48"/>
  <c r="DF574" i="48"/>
  <c r="DK573" i="48"/>
  <c r="DF573" i="48"/>
  <c r="DK572" i="48"/>
  <c r="DF572" i="48"/>
  <c r="DK571" i="48"/>
  <c r="DF571" i="48"/>
  <c r="DK570" i="48"/>
  <c r="DF570" i="48"/>
  <c r="DK569" i="48"/>
  <c r="DF569" i="48"/>
  <c r="DK568" i="48"/>
  <c r="DF568" i="48"/>
  <c r="DK567" i="48"/>
  <c r="DF567" i="48"/>
  <c r="DK566" i="48"/>
  <c r="DF566" i="48"/>
  <c r="DK565" i="48"/>
  <c r="DF565" i="48"/>
  <c r="DK564" i="48"/>
  <c r="DF564" i="48"/>
  <c r="DK563" i="48"/>
  <c r="DF563" i="48"/>
  <c r="DK562" i="48"/>
  <c r="DF562" i="48"/>
  <c r="DK561" i="48"/>
  <c r="DF561" i="48"/>
  <c r="DK560" i="48"/>
  <c r="DF560" i="48"/>
  <c r="DK559" i="48"/>
  <c r="DF559" i="48"/>
  <c r="DK558" i="48"/>
  <c r="DF558" i="48"/>
  <c r="DK557" i="48"/>
  <c r="DF557" i="48"/>
  <c r="DK556" i="48"/>
  <c r="DF556" i="48"/>
  <c r="DK555" i="48"/>
  <c r="DF555" i="48"/>
  <c r="DK554" i="48"/>
  <c r="DF554" i="48"/>
  <c r="DK553" i="48"/>
  <c r="DF553" i="48"/>
  <c r="DK551" i="48"/>
  <c r="DL552" i="48" s="1"/>
  <c r="DF551" i="48"/>
  <c r="DK550" i="48"/>
  <c r="DF550" i="48"/>
  <c r="DK549" i="48"/>
  <c r="DF549" i="48"/>
  <c r="DK548" i="48"/>
  <c r="DF548" i="48"/>
  <c r="DK547" i="48"/>
  <c r="DF547" i="48"/>
  <c r="DK546" i="48"/>
  <c r="DF546" i="48"/>
  <c r="DK545" i="48"/>
  <c r="DF545" i="48"/>
  <c r="DK544" i="48"/>
  <c r="DF544" i="48"/>
  <c r="DK543" i="48"/>
  <c r="DF543" i="48"/>
  <c r="DK542" i="48"/>
  <c r="DF542" i="48"/>
  <c r="DK541" i="48"/>
  <c r="DF541" i="48"/>
  <c r="DK540" i="48"/>
  <c r="DF540" i="48"/>
  <c r="DK539" i="48"/>
  <c r="DF539" i="48"/>
  <c r="DK538" i="48"/>
  <c r="DF538" i="48"/>
  <c r="DK537" i="48"/>
  <c r="DF537" i="48"/>
  <c r="DK536" i="48"/>
  <c r="DF536" i="48"/>
  <c r="DK535" i="48"/>
  <c r="DF535" i="48"/>
  <c r="DK534" i="48"/>
  <c r="DF534" i="48"/>
  <c r="DK533" i="48"/>
  <c r="DF533" i="48"/>
  <c r="DK532" i="48"/>
  <c r="DF532" i="48"/>
  <c r="DK531" i="48"/>
  <c r="DF531" i="48"/>
  <c r="DK530" i="48"/>
  <c r="DF530" i="48"/>
  <c r="DK529" i="48"/>
  <c r="DF529" i="48"/>
  <c r="DK528" i="48"/>
  <c r="DF528" i="48"/>
  <c r="DK526" i="48"/>
  <c r="DL527" i="48" s="1"/>
  <c r="DF526" i="48"/>
  <c r="DK525" i="48"/>
  <c r="DF525" i="48"/>
  <c r="DK524" i="48"/>
  <c r="DF524" i="48"/>
  <c r="DK523" i="48"/>
  <c r="DF523" i="48"/>
  <c r="DK522" i="48"/>
  <c r="DF522" i="48"/>
  <c r="DK521" i="48"/>
  <c r="DF521" i="48"/>
  <c r="DK520" i="48"/>
  <c r="DF520" i="48"/>
  <c r="DK519" i="48"/>
  <c r="DF519" i="48"/>
  <c r="DK518" i="48"/>
  <c r="DF518" i="48"/>
  <c r="DK517" i="48"/>
  <c r="DF517" i="48"/>
  <c r="DK516" i="48"/>
  <c r="DF516" i="48"/>
  <c r="DK515" i="48"/>
  <c r="DF515" i="48"/>
  <c r="DK514" i="48"/>
  <c r="DF514" i="48"/>
  <c r="DK513" i="48"/>
  <c r="DF513" i="48"/>
  <c r="DK512" i="48"/>
  <c r="DF512" i="48"/>
  <c r="DK511" i="48"/>
  <c r="DF511" i="48"/>
  <c r="DK510" i="48"/>
  <c r="DF510" i="48"/>
  <c r="DK509" i="48"/>
  <c r="DF509" i="48"/>
  <c r="DK508" i="48"/>
  <c r="DF508" i="48"/>
  <c r="DK507" i="48"/>
  <c r="DF507" i="48"/>
  <c r="DK506" i="48"/>
  <c r="DF506" i="48"/>
  <c r="DK505" i="48"/>
  <c r="DF505" i="48"/>
  <c r="DK504" i="48"/>
  <c r="DF504" i="48"/>
  <c r="DK503" i="48"/>
  <c r="DF503" i="48"/>
  <c r="DK501" i="48"/>
  <c r="DL502" i="48" s="1"/>
  <c r="DF501" i="48"/>
  <c r="DK500" i="48"/>
  <c r="DF500" i="48"/>
  <c r="DK499" i="48"/>
  <c r="DF499" i="48"/>
  <c r="DK498" i="48"/>
  <c r="DF498" i="48"/>
  <c r="DK497" i="48"/>
  <c r="DF497" i="48"/>
  <c r="DK496" i="48"/>
  <c r="DF496" i="48"/>
  <c r="DK495" i="48"/>
  <c r="DF495" i="48"/>
  <c r="DK494" i="48"/>
  <c r="DF494" i="48"/>
  <c r="DK493" i="48"/>
  <c r="DF493" i="48"/>
  <c r="DK492" i="48"/>
  <c r="DF492" i="48"/>
  <c r="DK491" i="48"/>
  <c r="DF491" i="48"/>
  <c r="DK490" i="48"/>
  <c r="DF490" i="48"/>
  <c r="DK489" i="48"/>
  <c r="DF489" i="48"/>
  <c r="DK488" i="48"/>
  <c r="DF488" i="48"/>
  <c r="DK487" i="48"/>
  <c r="DF487" i="48"/>
  <c r="DK486" i="48"/>
  <c r="DF486" i="48"/>
  <c r="DK485" i="48"/>
  <c r="DF485" i="48"/>
  <c r="DK484" i="48"/>
  <c r="DF484" i="48"/>
  <c r="DK483" i="48"/>
  <c r="DF483" i="48"/>
  <c r="DK482" i="48"/>
  <c r="DF482" i="48"/>
  <c r="DK481" i="48"/>
  <c r="DF481" i="48"/>
  <c r="DK480" i="48"/>
  <c r="DF480" i="48"/>
  <c r="DK479" i="48"/>
  <c r="DF479" i="48"/>
  <c r="DK478" i="48"/>
  <c r="DF478" i="48"/>
  <c r="DK476" i="48"/>
  <c r="DL477" i="48" s="1"/>
  <c r="DF476" i="48"/>
  <c r="DK475" i="48"/>
  <c r="DF475" i="48"/>
  <c r="DK474" i="48"/>
  <c r="DF474" i="48"/>
  <c r="DK473" i="48"/>
  <c r="DF473" i="48"/>
  <c r="DK472" i="48"/>
  <c r="DF472" i="48"/>
  <c r="DK471" i="48"/>
  <c r="DF471" i="48"/>
  <c r="DK470" i="48"/>
  <c r="DF470" i="48"/>
  <c r="DK469" i="48"/>
  <c r="DF469" i="48"/>
  <c r="DK468" i="48"/>
  <c r="DF468" i="48"/>
  <c r="DK467" i="48"/>
  <c r="DF467" i="48"/>
  <c r="DK466" i="48"/>
  <c r="DF466" i="48"/>
  <c r="DK465" i="48"/>
  <c r="DF465" i="48"/>
  <c r="DK464" i="48"/>
  <c r="DF464" i="48"/>
  <c r="DK463" i="48"/>
  <c r="DF463" i="48"/>
  <c r="DK462" i="48"/>
  <c r="DF462" i="48"/>
  <c r="DK461" i="48"/>
  <c r="DF461" i="48"/>
  <c r="DK460" i="48"/>
  <c r="DF460" i="48"/>
  <c r="DK459" i="48"/>
  <c r="DF459" i="48"/>
  <c r="DK458" i="48"/>
  <c r="DF458" i="48"/>
  <c r="DK457" i="48"/>
  <c r="DF457" i="48"/>
  <c r="DK456" i="48"/>
  <c r="DF456" i="48"/>
  <c r="DK455" i="48"/>
  <c r="DF455" i="48"/>
  <c r="DK454" i="48"/>
  <c r="DF454" i="48"/>
  <c r="DK453" i="48"/>
  <c r="DF453" i="48"/>
  <c r="DK451" i="48"/>
  <c r="DL452" i="48" s="1"/>
  <c r="DF451" i="48"/>
  <c r="DK450" i="48"/>
  <c r="DF450" i="48"/>
  <c r="DK449" i="48"/>
  <c r="DF449" i="48"/>
  <c r="DK448" i="48"/>
  <c r="DF448" i="48"/>
  <c r="DK447" i="48"/>
  <c r="DF447" i="48"/>
  <c r="DK446" i="48"/>
  <c r="DF446" i="48"/>
  <c r="DK445" i="48"/>
  <c r="DF445" i="48"/>
  <c r="DK444" i="48"/>
  <c r="DF444" i="48"/>
  <c r="DK443" i="48"/>
  <c r="DF443" i="48"/>
  <c r="DK442" i="48"/>
  <c r="DF442" i="48"/>
  <c r="DK441" i="48"/>
  <c r="DF441" i="48"/>
  <c r="DK440" i="48"/>
  <c r="DF440" i="48"/>
  <c r="DK439" i="48"/>
  <c r="DF439" i="48"/>
  <c r="DK438" i="48"/>
  <c r="DF438" i="48"/>
  <c r="DK437" i="48"/>
  <c r="DF437" i="48"/>
  <c r="DK436" i="48"/>
  <c r="DF436" i="48"/>
  <c r="DK435" i="48"/>
  <c r="DF435" i="48"/>
  <c r="DK434" i="48"/>
  <c r="DF434" i="48"/>
  <c r="DK433" i="48"/>
  <c r="DF433" i="48"/>
  <c r="DK432" i="48"/>
  <c r="DF432" i="48"/>
  <c r="DK431" i="48"/>
  <c r="DF431" i="48"/>
  <c r="DK430" i="48"/>
  <c r="DF430" i="48"/>
  <c r="DK429" i="48"/>
  <c r="DF429" i="48"/>
  <c r="DK428" i="48"/>
  <c r="DF428" i="48"/>
  <c r="DK426" i="48"/>
  <c r="DL427" i="48" s="1"/>
  <c r="DF426" i="48"/>
  <c r="DK425" i="48"/>
  <c r="DF425" i="48"/>
  <c r="DK424" i="48"/>
  <c r="DF424" i="48"/>
  <c r="DK423" i="48"/>
  <c r="DF423" i="48"/>
  <c r="DK422" i="48"/>
  <c r="DF422" i="48"/>
  <c r="DK421" i="48"/>
  <c r="DF421" i="48"/>
  <c r="DK420" i="48"/>
  <c r="DF420" i="48"/>
  <c r="DK419" i="48"/>
  <c r="DF419" i="48"/>
  <c r="DK418" i="48"/>
  <c r="DF418" i="48"/>
  <c r="DK417" i="48"/>
  <c r="DF417" i="48"/>
  <c r="DK416" i="48"/>
  <c r="DF416" i="48"/>
  <c r="DK415" i="48"/>
  <c r="DF415" i="48"/>
  <c r="DK414" i="48"/>
  <c r="DF414" i="48"/>
  <c r="DK413" i="48"/>
  <c r="DF413" i="48"/>
  <c r="DK412" i="48"/>
  <c r="DF412" i="48"/>
  <c r="DK411" i="48"/>
  <c r="DF411" i="48"/>
  <c r="DK410" i="48"/>
  <c r="DF410" i="48"/>
  <c r="DK409" i="48"/>
  <c r="DF409" i="48"/>
  <c r="DK408" i="48"/>
  <c r="DF408" i="48"/>
  <c r="DK407" i="48"/>
  <c r="DF407" i="48"/>
  <c r="DK406" i="48"/>
  <c r="DF406" i="48"/>
  <c r="DK405" i="48"/>
  <c r="DF405" i="48"/>
  <c r="DK404" i="48"/>
  <c r="DF404" i="48"/>
  <c r="DK403" i="48"/>
  <c r="DF403" i="48"/>
  <c r="DK401" i="48"/>
  <c r="DL402" i="48" s="1"/>
  <c r="DF401" i="48"/>
  <c r="DK400" i="48"/>
  <c r="DF400" i="48"/>
  <c r="DK399" i="48"/>
  <c r="DF399" i="48"/>
  <c r="DK398" i="48"/>
  <c r="DF398" i="48"/>
  <c r="DK397" i="48"/>
  <c r="DF397" i="48"/>
  <c r="DK396" i="48"/>
  <c r="DF396" i="48"/>
  <c r="DK395" i="48"/>
  <c r="DF395" i="48"/>
  <c r="DK394" i="48"/>
  <c r="DF394" i="48"/>
  <c r="DK393" i="48"/>
  <c r="DF393" i="48"/>
  <c r="DK392" i="48"/>
  <c r="DF392" i="48"/>
  <c r="DK391" i="48"/>
  <c r="DF391" i="48"/>
  <c r="DK390" i="48"/>
  <c r="DF390" i="48"/>
  <c r="DK389" i="48"/>
  <c r="DF389" i="48"/>
  <c r="DK388" i="48"/>
  <c r="DF388" i="48"/>
  <c r="DK387" i="48"/>
  <c r="DF387" i="48"/>
  <c r="DK386" i="48"/>
  <c r="DF386" i="48"/>
  <c r="DK385" i="48"/>
  <c r="DF385" i="48"/>
  <c r="DK384" i="48"/>
  <c r="DF384" i="48"/>
  <c r="DK383" i="48"/>
  <c r="DF383" i="48"/>
  <c r="DK382" i="48"/>
  <c r="DF382" i="48"/>
  <c r="DK381" i="48"/>
  <c r="DF381" i="48"/>
  <c r="DK380" i="48"/>
  <c r="DF380" i="48"/>
  <c r="DK379" i="48"/>
  <c r="DF379" i="48"/>
  <c r="DK378" i="48"/>
  <c r="DF378" i="48"/>
  <c r="DK376" i="48"/>
  <c r="DL377" i="48" s="1"/>
  <c r="DF376" i="48"/>
  <c r="DK375" i="48"/>
  <c r="DF375" i="48"/>
  <c r="DK374" i="48"/>
  <c r="DF374" i="48"/>
  <c r="DK373" i="48"/>
  <c r="DF373" i="48"/>
  <c r="DK372" i="48"/>
  <c r="DF372" i="48"/>
  <c r="DK371" i="48"/>
  <c r="DF371" i="48"/>
  <c r="DK370" i="48"/>
  <c r="DF370" i="48"/>
  <c r="DK369" i="48"/>
  <c r="DF369" i="48"/>
  <c r="DK368" i="48"/>
  <c r="DF368" i="48"/>
  <c r="DK367" i="48"/>
  <c r="DF367" i="48"/>
  <c r="DK366" i="48"/>
  <c r="DF366" i="48"/>
  <c r="DK365" i="48"/>
  <c r="DF365" i="48"/>
  <c r="DK364" i="48"/>
  <c r="DF364" i="48"/>
  <c r="DK363" i="48"/>
  <c r="DF363" i="48"/>
  <c r="DK362" i="48"/>
  <c r="DF362" i="48"/>
  <c r="DK361" i="48"/>
  <c r="DF361" i="48"/>
  <c r="DK360" i="48"/>
  <c r="DF360" i="48"/>
  <c r="DK359" i="48"/>
  <c r="DF359" i="48"/>
  <c r="DK358" i="48"/>
  <c r="DF358" i="48"/>
  <c r="DK357" i="48"/>
  <c r="DF357" i="48"/>
  <c r="DK356" i="48"/>
  <c r="DF356" i="48"/>
  <c r="DK355" i="48"/>
  <c r="DF355" i="48"/>
  <c r="DK354" i="48"/>
  <c r="DF354" i="48"/>
  <c r="DK353" i="48"/>
  <c r="DF353" i="48"/>
  <c r="DK351" i="48"/>
  <c r="DL352" i="48" s="1"/>
  <c r="DF351" i="48"/>
  <c r="DK350" i="48"/>
  <c r="DF350" i="48"/>
  <c r="DK349" i="48"/>
  <c r="DF349" i="48"/>
  <c r="DK348" i="48"/>
  <c r="DF348" i="48"/>
  <c r="DK347" i="48"/>
  <c r="DF347" i="48"/>
  <c r="DK346" i="48"/>
  <c r="DF346" i="48"/>
  <c r="DK345" i="48"/>
  <c r="DF345" i="48"/>
  <c r="DK344" i="48"/>
  <c r="DF344" i="48"/>
  <c r="DK343" i="48"/>
  <c r="DF343" i="48"/>
  <c r="DK342" i="48"/>
  <c r="DF342" i="48"/>
  <c r="DK341" i="48"/>
  <c r="DF341" i="48"/>
  <c r="DK340" i="48"/>
  <c r="DF340" i="48"/>
  <c r="DK339" i="48"/>
  <c r="DF339" i="48"/>
  <c r="DK338" i="48"/>
  <c r="DF338" i="48"/>
  <c r="DK337" i="48"/>
  <c r="DF337" i="48"/>
  <c r="DK336" i="48"/>
  <c r="DF336" i="48"/>
  <c r="DK335" i="48"/>
  <c r="DF335" i="48"/>
  <c r="DK334" i="48"/>
  <c r="DF334" i="48"/>
  <c r="DK333" i="48"/>
  <c r="DF333" i="48"/>
  <c r="DK332" i="48"/>
  <c r="DF332" i="48"/>
  <c r="DK331" i="48"/>
  <c r="DF331" i="48"/>
  <c r="DK330" i="48"/>
  <c r="DF330" i="48"/>
  <c r="DK329" i="48"/>
  <c r="DF329" i="48"/>
  <c r="DK328" i="48"/>
  <c r="DF328" i="48"/>
  <c r="DK326" i="48"/>
  <c r="DL327" i="48" s="1"/>
  <c r="DF326" i="48"/>
  <c r="DK325" i="48"/>
  <c r="DF325" i="48"/>
  <c r="DK324" i="48"/>
  <c r="DF324" i="48"/>
  <c r="DK323" i="48"/>
  <c r="DF323" i="48"/>
  <c r="DK322" i="48"/>
  <c r="DF322" i="48"/>
  <c r="DK321" i="48"/>
  <c r="DF321" i="48"/>
  <c r="DK320" i="48"/>
  <c r="DF320" i="48"/>
  <c r="DK319" i="48"/>
  <c r="DF319" i="48"/>
  <c r="DK318" i="48"/>
  <c r="DF318" i="48"/>
  <c r="DK317" i="48"/>
  <c r="DF317" i="48"/>
  <c r="DK316" i="48"/>
  <c r="DF316" i="48"/>
  <c r="DK315" i="48"/>
  <c r="DF315" i="48"/>
  <c r="DK314" i="48"/>
  <c r="DF314" i="48"/>
  <c r="DK313" i="48"/>
  <c r="DF313" i="48"/>
  <c r="DK312" i="48"/>
  <c r="DF312" i="48"/>
  <c r="DK311" i="48"/>
  <c r="DF311" i="48"/>
  <c r="DK310" i="48"/>
  <c r="DF310" i="48"/>
  <c r="DK309" i="48"/>
  <c r="DF309" i="48"/>
  <c r="DK308" i="48"/>
  <c r="DF308" i="48"/>
  <c r="DK307" i="48"/>
  <c r="DF307" i="48"/>
  <c r="DK306" i="48"/>
  <c r="DF306" i="48"/>
  <c r="DK305" i="48"/>
  <c r="DF305" i="48"/>
  <c r="DK304" i="48"/>
  <c r="DF304" i="48"/>
  <c r="DK303" i="48"/>
  <c r="DF303" i="48"/>
  <c r="DK301" i="48"/>
  <c r="DL302" i="48" s="1"/>
  <c r="DF301" i="48"/>
  <c r="DK300" i="48"/>
  <c r="DF300" i="48"/>
  <c r="DK299" i="48"/>
  <c r="DF299" i="48"/>
  <c r="DK298" i="48"/>
  <c r="DF298" i="48"/>
  <c r="DK297" i="48"/>
  <c r="DF297" i="48"/>
  <c r="DK296" i="48"/>
  <c r="DF296" i="48"/>
  <c r="DK295" i="48"/>
  <c r="DF295" i="48"/>
  <c r="DK294" i="48"/>
  <c r="DF294" i="48"/>
  <c r="DK293" i="48"/>
  <c r="DF293" i="48"/>
  <c r="DK292" i="48"/>
  <c r="DF292" i="48"/>
  <c r="DK291" i="48"/>
  <c r="DF291" i="48"/>
  <c r="DK290" i="48"/>
  <c r="DF290" i="48"/>
  <c r="DK289" i="48"/>
  <c r="DF289" i="48"/>
  <c r="DK288" i="48"/>
  <c r="DF288" i="48"/>
  <c r="DK287" i="48"/>
  <c r="DF287" i="48"/>
  <c r="DK286" i="48"/>
  <c r="DF286" i="48"/>
  <c r="DK285" i="48"/>
  <c r="DF285" i="48"/>
  <c r="DK284" i="48"/>
  <c r="DF284" i="48"/>
  <c r="DK283" i="48"/>
  <c r="DF283" i="48"/>
  <c r="DK282" i="48"/>
  <c r="DF282" i="48"/>
  <c r="DK281" i="48"/>
  <c r="DF281" i="48"/>
  <c r="DK280" i="48"/>
  <c r="DF280" i="48"/>
  <c r="DK279" i="48"/>
  <c r="DF279" i="48"/>
  <c r="DK278" i="48"/>
  <c r="DF278" i="48"/>
  <c r="DK276" i="48"/>
  <c r="DL277" i="48" s="1"/>
  <c r="DF276" i="48"/>
  <c r="CJ276" i="48" s="1"/>
  <c r="DK275" i="48"/>
  <c r="DF275" i="48"/>
  <c r="DK274" i="48"/>
  <c r="DF274" i="48"/>
  <c r="DK273" i="48"/>
  <c r="DF273" i="48"/>
  <c r="DK272" i="48"/>
  <c r="DF272" i="48"/>
  <c r="DK271" i="48"/>
  <c r="DF271" i="48"/>
  <c r="DK270" i="48"/>
  <c r="DF270" i="48"/>
  <c r="DK269" i="48"/>
  <c r="DF269" i="48"/>
  <c r="DK268" i="48"/>
  <c r="DF268" i="48"/>
  <c r="DK267" i="48"/>
  <c r="DF267" i="48"/>
  <c r="DK266" i="48"/>
  <c r="DF266" i="48"/>
  <c r="DK265" i="48"/>
  <c r="DF265" i="48"/>
  <c r="DK264" i="48"/>
  <c r="DF264" i="48"/>
  <c r="DK263" i="48"/>
  <c r="DF263" i="48"/>
  <c r="DK262" i="48"/>
  <c r="DF262" i="48"/>
  <c r="DK261" i="48"/>
  <c r="DF261" i="48"/>
  <c r="DK260" i="48"/>
  <c r="DF260" i="48"/>
  <c r="DK259" i="48"/>
  <c r="DF259" i="48"/>
  <c r="DK258" i="48"/>
  <c r="DF258" i="48"/>
  <c r="DK257" i="48"/>
  <c r="DF257" i="48"/>
  <c r="DK256" i="48"/>
  <c r="DF256" i="48"/>
  <c r="DK255" i="48"/>
  <c r="DF255" i="48"/>
  <c r="DK254" i="48"/>
  <c r="DF254" i="48"/>
  <c r="DK253" i="48"/>
  <c r="DF253" i="48"/>
  <c r="DK251" i="48"/>
  <c r="DL252" i="48" s="1"/>
  <c r="DF251" i="48"/>
  <c r="DK250" i="48"/>
  <c r="DF250" i="48"/>
  <c r="CJ250" i="48" s="1"/>
  <c r="DK249" i="48"/>
  <c r="DF249" i="48"/>
  <c r="DK248" i="48"/>
  <c r="DF248" i="48"/>
  <c r="DK247" i="48"/>
  <c r="DF247" i="48"/>
  <c r="DK246" i="48"/>
  <c r="DF246" i="48"/>
  <c r="DK245" i="48"/>
  <c r="DF245" i="48"/>
  <c r="DK244" i="48"/>
  <c r="DF244" i="48"/>
  <c r="DK243" i="48"/>
  <c r="DF243" i="48"/>
  <c r="DK242" i="48"/>
  <c r="DF242" i="48"/>
  <c r="DK241" i="48"/>
  <c r="DF241" i="48"/>
  <c r="DK240" i="48"/>
  <c r="DF240" i="48"/>
  <c r="DK239" i="48"/>
  <c r="DF239" i="48"/>
  <c r="DK238" i="48"/>
  <c r="DF238" i="48"/>
  <c r="DK237" i="48"/>
  <c r="DF237" i="48"/>
  <c r="DK236" i="48"/>
  <c r="DF236" i="48"/>
  <c r="DK235" i="48"/>
  <c r="DF235" i="48"/>
  <c r="DK234" i="48"/>
  <c r="DF234" i="48"/>
  <c r="DK233" i="48"/>
  <c r="DF233" i="48"/>
  <c r="DK232" i="48"/>
  <c r="DF232" i="48"/>
  <c r="DK231" i="48"/>
  <c r="DF231" i="48"/>
  <c r="DK230" i="48"/>
  <c r="DF230" i="48"/>
  <c r="DK229" i="48"/>
  <c r="DF229" i="48"/>
  <c r="DK228" i="48"/>
  <c r="DF228" i="48"/>
  <c r="DK226" i="48"/>
  <c r="DL227" i="48" s="1"/>
  <c r="DF226" i="48"/>
  <c r="DK225" i="48"/>
  <c r="DF225" i="48"/>
  <c r="DK224" i="48"/>
  <c r="DF224" i="48"/>
  <c r="DK223" i="48"/>
  <c r="DF223" i="48"/>
  <c r="DK222" i="48"/>
  <c r="DF222" i="48"/>
  <c r="DK221" i="48"/>
  <c r="DF221" i="48"/>
  <c r="DK220" i="48"/>
  <c r="DF220" i="48"/>
  <c r="DK219" i="48"/>
  <c r="DF219" i="48"/>
  <c r="DK218" i="48"/>
  <c r="DF218" i="48"/>
  <c r="DK217" i="48"/>
  <c r="DF217" i="48"/>
  <c r="DK216" i="48"/>
  <c r="DF216" i="48"/>
  <c r="DK215" i="48"/>
  <c r="DF215" i="48"/>
  <c r="DK214" i="48"/>
  <c r="DF214" i="48"/>
  <c r="DK213" i="48"/>
  <c r="DF213" i="48"/>
  <c r="DK212" i="48"/>
  <c r="DF212" i="48"/>
  <c r="DK211" i="48"/>
  <c r="DF211" i="48"/>
  <c r="DK210" i="48"/>
  <c r="DF210" i="48"/>
  <c r="DK209" i="48"/>
  <c r="DF209" i="48"/>
  <c r="DK208" i="48"/>
  <c r="DF208" i="48"/>
  <c r="DK207" i="48"/>
  <c r="DF207" i="48"/>
  <c r="DK206" i="48"/>
  <c r="DF206" i="48"/>
  <c r="DK205" i="48"/>
  <c r="DF205" i="48"/>
  <c r="DK204" i="48"/>
  <c r="DF204" i="48"/>
  <c r="DK203" i="48"/>
  <c r="DF203" i="48"/>
  <c r="DK201" i="48"/>
  <c r="DL202" i="48" s="1"/>
  <c r="DF201" i="48"/>
  <c r="DK200" i="48"/>
  <c r="DF200" i="48"/>
  <c r="DK199" i="48"/>
  <c r="DF199" i="48"/>
  <c r="DK198" i="48"/>
  <c r="DF198" i="48"/>
  <c r="DK197" i="48"/>
  <c r="DF197" i="48"/>
  <c r="DK196" i="48"/>
  <c r="DF196" i="48"/>
  <c r="DK195" i="48"/>
  <c r="DF195" i="48"/>
  <c r="DK194" i="48"/>
  <c r="DF194" i="48"/>
  <c r="DK193" i="48"/>
  <c r="DF193" i="48"/>
  <c r="DK192" i="48"/>
  <c r="DF192" i="48"/>
  <c r="DK191" i="48"/>
  <c r="DF191" i="48"/>
  <c r="DK190" i="48"/>
  <c r="DF190" i="48"/>
  <c r="DK189" i="48"/>
  <c r="DF189" i="48"/>
  <c r="DK188" i="48"/>
  <c r="DF188" i="48"/>
  <c r="DK187" i="48"/>
  <c r="DF187" i="48"/>
  <c r="DK186" i="48"/>
  <c r="DF186" i="48"/>
  <c r="DK185" i="48"/>
  <c r="DF185" i="48"/>
  <c r="DK184" i="48"/>
  <c r="DF184" i="48"/>
  <c r="DK183" i="48"/>
  <c r="DF183" i="48"/>
  <c r="DK182" i="48"/>
  <c r="DF182" i="48"/>
  <c r="DK181" i="48"/>
  <c r="DF181" i="48"/>
  <c r="DK180" i="48"/>
  <c r="DF180" i="48"/>
  <c r="DK179" i="48"/>
  <c r="DF179" i="48"/>
  <c r="DK178" i="48"/>
  <c r="DF178" i="48"/>
  <c r="DK176" i="48"/>
  <c r="DL177" i="48" s="1"/>
  <c r="DF176" i="48"/>
  <c r="DK175" i="48"/>
  <c r="DF175" i="48"/>
  <c r="DK174" i="48"/>
  <c r="DF174" i="48"/>
  <c r="DK173" i="48"/>
  <c r="DF173" i="48"/>
  <c r="DK172" i="48"/>
  <c r="DF172" i="48"/>
  <c r="DK171" i="48"/>
  <c r="DF171" i="48"/>
  <c r="DK170" i="48"/>
  <c r="DF170" i="48"/>
  <c r="DK169" i="48"/>
  <c r="DF169" i="48"/>
  <c r="DK168" i="48"/>
  <c r="DF168" i="48"/>
  <c r="DK167" i="48"/>
  <c r="DF167" i="48"/>
  <c r="DK166" i="48"/>
  <c r="DF166" i="48"/>
  <c r="DK165" i="48"/>
  <c r="DF165" i="48"/>
  <c r="DK164" i="48"/>
  <c r="DF164" i="48"/>
  <c r="DK163" i="48"/>
  <c r="DF163" i="48"/>
  <c r="DK162" i="48"/>
  <c r="DF162" i="48"/>
  <c r="DK161" i="48"/>
  <c r="DF161" i="48"/>
  <c r="DK160" i="48"/>
  <c r="DF160" i="48"/>
  <c r="DK159" i="48"/>
  <c r="DF159" i="48"/>
  <c r="DK158" i="48"/>
  <c r="DF158" i="48"/>
  <c r="DK157" i="48"/>
  <c r="DF157" i="48"/>
  <c r="DK156" i="48"/>
  <c r="DF156" i="48"/>
  <c r="DK155" i="48"/>
  <c r="DF155" i="48"/>
  <c r="DK154" i="48"/>
  <c r="DF154" i="48"/>
  <c r="DK153" i="48"/>
  <c r="DF153" i="48"/>
  <c r="DK151" i="48"/>
  <c r="DL152" i="48" s="1"/>
  <c r="DF151" i="48"/>
  <c r="DK150" i="48"/>
  <c r="DF150" i="48"/>
  <c r="DK149" i="48"/>
  <c r="DF149" i="48"/>
  <c r="DK148" i="48"/>
  <c r="DF148" i="48"/>
  <c r="DK147" i="48"/>
  <c r="DF147" i="48"/>
  <c r="DK146" i="48"/>
  <c r="DF146" i="48"/>
  <c r="DK145" i="48"/>
  <c r="DF145" i="48"/>
  <c r="DK144" i="48"/>
  <c r="DF144" i="48"/>
  <c r="DK143" i="48"/>
  <c r="DF143" i="48"/>
  <c r="DK142" i="48"/>
  <c r="DF142" i="48"/>
  <c r="DK141" i="48"/>
  <c r="DF141" i="48"/>
  <c r="DK140" i="48"/>
  <c r="DF140" i="48"/>
  <c r="DK139" i="48"/>
  <c r="DF139" i="48"/>
  <c r="DK138" i="48"/>
  <c r="DF138" i="48"/>
  <c r="DK137" i="48"/>
  <c r="DF137" i="48"/>
  <c r="DK136" i="48"/>
  <c r="DF136" i="48"/>
  <c r="DK135" i="48"/>
  <c r="DF135" i="48"/>
  <c r="DK134" i="48"/>
  <c r="DF134" i="48"/>
  <c r="DK133" i="48"/>
  <c r="DF133" i="48"/>
  <c r="DK132" i="48"/>
  <c r="DF132" i="48"/>
  <c r="DK131" i="48"/>
  <c r="DF131" i="48"/>
  <c r="DK130" i="48"/>
  <c r="DF130" i="48"/>
  <c r="DK129" i="48"/>
  <c r="DF129" i="48"/>
  <c r="DK128" i="48"/>
  <c r="DF128" i="48"/>
  <c r="DK126" i="48"/>
  <c r="DL127" i="48" s="1"/>
  <c r="DF126" i="48"/>
  <c r="DK125" i="48"/>
  <c r="DF125" i="48"/>
  <c r="DK124" i="48"/>
  <c r="DF124" i="48"/>
  <c r="DK123" i="48"/>
  <c r="DF123" i="48"/>
  <c r="DK122" i="48"/>
  <c r="DF122" i="48"/>
  <c r="DK121" i="48"/>
  <c r="DF121" i="48"/>
  <c r="DK120" i="48"/>
  <c r="DF120" i="48"/>
  <c r="DK119" i="48"/>
  <c r="DF119" i="48"/>
  <c r="DK118" i="48"/>
  <c r="DF118" i="48"/>
  <c r="DK117" i="48"/>
  <c r="DF117" i="48"/>
  <c r="DK116" i="48"/>
  <c r="DF116" i="48"/>
  <c r="DK115" i="48"/>
  <c r="DF115" i="48"/>
  <c r="DK114" i="48"/>
  <c r="DF114" i="48"/>
  <c r="DK113" i="48"/>
  <c r="DF113" i="48"/>
  <c r="DK112" i="48"/>
  <c r="DF112" i="48"/>
  <c r="DK111" i="48"/>
  <c r="DF111" i="48"/>
  <c r="DK110" i="48"/>
  <c r="DF110" i="48"/>
  <c r="DK109" i="48"/>
  <c r="DF109" i="48"/>
  <c r="DK108" i="48"/>
  <c r="DF108" i="48"/>
  <c r="DK107" i="48"/>
  <c r="DF107" i="48"/>
  <c r="DK106" i="48"/>
  <c r="DF106" i="48"/>
  <c r="DK105" i="48"/>
  <c r="DF105" i="48"/>
  <c r="DK104" i="48"/>
  <c r="DF104" i="48"/>
  <c r="DK103" i="48"/>
  <c r="DF103" i="48"/>
  <c r="DK101" i="48"/>
  <c r="DL102" i="48" s="1"/>
  <c r="DF101" i="48"/>
  <c r="DK100" i="48"/>
  <c r="DF100" i="48"/>
  <c r="DK99" i="48"/>
  <c r="DF99" i="48"/>
  <c r="DK98" i="48"/>
  <c r="DF98" i="48"/>
  <c r="DK97" i="48"/>
  <c r="DF97" i="48"/>
  <c r="DK96" i="48"/>
  <c r="DF96" i="48"/>
  <c r="DK95" i="48"/>
  <c r="DF95" i="48"/>
  <c r="DK94" i="48"/>
  <c r="DF94" i="48"/>
  <c r="DK93" i="48"/>
  <c r="DF93" i="48"/>
  <c r="DK92" i="48"/>
  <c r="DF92" i="48"/>
  <c r="DK91" i="48"/>
  <c r="DF91" i="48"/>
  <c r="DK90" i="48"/>
  <c r="DF90" i="48"/>
  <c r="DK89" i="48"/>
  <c r="DF89" i="48"/>
  <c r="DK88" i="48"/>
  <c r="DF88" i="48"/>
  <c r="DK87" i="48"/>
  <c r="DF87" i="48"/>
  <c r="DK86" i="48"/>
  <c r="DF86" i="48"/>
  <c r="DK85" i="48"/>
  <c r="DF85" i="48"/>
  <c r="DK84" i="48"/>
  <c r="DF84" i="48"/>
  <c r="DK83" i="48"/>
  <c r="DF83" i="48"/>
  <c r="DK82" i="48"/>
  <c r="DF82" i="48"/>
  <c r="DK81" i="48"/>
  <c r="DF81" i="48"/>
  <c r="DK80" i="48"/>
  <c r="DF80" i="48"/>
  <c r="DK79" i="48"/>
  <c r="DF79" i="48"/>
  <c r="DK78" i="48"/>
  <c r="DF78" i="48"/>
  <c r="DK76" i="48"/>
  <c r="DL77" i="48" s="1"/>
  <c r="DF76" i="48"/>
  <c r="DK75" i="48"/>
  <c r="DF75" i="48"/>
  <c r="DK74" i="48"/>
  <c r="DF74" i="48"/>
  <c r="DK73" i="48"/>
  <c r="DF73" i="48"/>
  <c r="DK72" i="48"/>
  <c r="DF72" i="48"/>
  <c r="DK71" i="48"/>
  <c r="DF71" i="48"/>
  <c r="DK70" i="48"/>
  <c r="DF70" i="48"/>
  <c r="DK69" i="48"/>
  <c r="DF69" i="48"/>
  <c r="DK68" i="48"/>
  <c r="DF68" i="48"/>
  <c r="DK67" i="48"/>
  <c r="DF67" i="48"/>
  <c r="DK66" i="48"/>
  <c r="DF66" i="48"/>
  <c r="DK65" i="48"/>
  <c r="DF65" i="48"/>
  <c r="DK64" i="48"/>
  <c r="DF64" i="48"/>
  <c r="DK63" i="48"/>
  <c r="DF63" i="48"/>
  <c r="DK62" i="48"/>
  <c r="DF62" i="48"/>
  <c r="DK61" i="48"/>
  <c r="DF61" i="48"/>
  <c r="DK60" i="48"/>
  <c r="DF60" i="48"/>
  <c r="DK59" i="48"/>
  <c r="DF59" i="48"/>
  <c r="DK58" i="48"/>
  <c r="DF58" i="48"/>
  <c r="DK57" i="48"/>
  <c r="DF57" i="48"/>
  <c r="DK56" i="48"/>
  <c r="DF56" i="48"/>
  <c r="DK55" i="48"/>
  <c r="DF55" i="48"/>
  <c r="DK54" i="48"/>
  <c r="DF54" i="48"/>
  <c r="DK53" i="48"/>
  <c r="DF53" i="48"/>
  <c r="DK51" i="48"/>
  <c r="DL52" i="48" s="1"/>
  <c r="DF51" i="48"/>
  <c r="DK50" i="48"/>
  <c r="DF50" i="48"/>
  <c r="DK49" i="48"/>
  <c r="DF49" i="48"/>
  <c r="DK48" i="48"/>
  <c r="DF48" i="48"/>
  <c r="DK47" i="48"/>
  <c r="DF47" i="48"/>
  <c r="DK46" i="48"/>
  <c r="DF46" i="48"/>
  <c r="DK45" i="48"/>
  <c r="DF45" i="48"/>
  <c r="DK44" i="48"/>
  <c r="DF44" i="48"/>
  <c r="DK43" i="48"/>
  <c r="DF43" i="48"/>
  <c r="DK42" i="48"/>
  <c r="DF42" i="48"/>
  <c r="DK41" i="48"/>
  <c r="DF41" i="48"/>
  <c r="DK40" i="48"/>
  <c r="DF40" i="48"/>
  <c r="DK39" i="48"/>
  <c r="DF39" i="48"/>
  <c r="DK38" i="48"/>
  <c r="DF38" i="48"/>
  <c r="DK37" i="48"/>
  <c r="DF37" i="48"/>
  <c r="DK36" i="48"/>
  <c r="DF36" i="48"/>
  <c r="DK35" i="48"/>
  <c r="DF35" i="48"/>
  <c r="DK34" i="48"/>
  <c r="DF34" i="48"/>
  <c r="DK33" i="48"/>
  <c r="DF33" i="48"/>
  <c r="DK32" i="48"/>
  <c r="DF32" i="48"/>
  <c r="DK31" i="48"/>
  <c r="DF31" i="48"/>
  <c r="DK30" i="48"/>
  <c r="DF30" i="48"/>
  <c r="DK29" i="48"/>
  <c r="DF29" i="48"/>
  <c r="DK28" i="48"/>
  <c r="DF28" i="48"/>
  <c r="W1227" i="48"/>
  <c r="W1352" i="48"/>
  <c r="K1352" i="48"/>
  <c r="W1327" i="48"/>
  <c r="K1327" i="48"/>
  <c r="W1302" i="48"/>
  <c r="K1302" i="48"/>
  <c r="W1277" i="48"/>
  <c r="K1277" i="48"/>
  <c r="W1252" i="48"/>
  <c r="K1252" i="48"/>
  <c r="K1227" i="48"/>
  <c r="W1202" i="48"/>
  <c r="K1202" i="48"/>
  <c r="W1177" i="48"/>
  <c r="K1177" i="48"/>
  <c r="W1152" i="48"/>
  <c r="K1152" i="48"/>
  <c r="W1127" i="48"/>
  <c r="K1127" i="48"/>
  <c r="W1102" i="48"/>
  <c r="K1102" i="48"/>
  <c r="W1077" i="48"/>
  <c r="K1077" i="48"/>
  <c r="W1052" i="48"/>
  <c r="K1052" i="48"/>
  <c r="W1027" i="48"/>
  <c r="K1027" i="48"/>
  <c r="W1002" i="48"/>
  <c r="K1002" i="48"/>
  <c r="W977" i="48"/>
  <c r="K977" i="48"/>
  <c r="W952" i="48"/>
  <c r="K952" i="48"/>
  <c r="W927" i="48"/>
  <c r="K927" i="48"/>
  <c r="W902" i="48"/>
  <c r="K902" i="48"/>
  <c r="W877" i="48"/>
  <c r="K877" i="48"/>
  <c r="W852" i="48"/>
  <c r="K852" i="48"/>
  <c r="W827" i="48"/>
  <c r="K827" i="48"/>
  <c r="W802" i="48"/>
  <c r="K802" i="48"/>
  <c r="W777" i="48"/>
  <c r="K777" i="48"/>
  <c r="W752" i="48"/>
  <c r="K752" i="48"/>
  <c r="W727" i="48"/>
  <c r="K727" i="48"/>
  <c r="W702" i="48"/>
  <c r="K702" i="48"/>
  <c r="W677" i="48"/>
  <c r="K677" i="48"/>
  <c r="W652" i="48"/>
  <c r="K652" i="48"/>
  <c r="W627" i="48"/>
  <c r="K627" i="48"/>
  <c r="W602" i="48"/>
  <c r="K602" i="48"/>
  <c r="W577" i="48"/>
  <c r="K577" i="48"/>
  <c r="W552" i="48"/>
  <c r="K552" i="48"/>
  <c r="W527" i="48"/>
  <c r="K527" i="48"/>
  <c r="W502" i="48"/>
  <c r="K502" i="48"/>
  <c r="W477" i="48"/>
  <c r="K477" i="48"/>
  <c r="W452" i="48"/>
  <c r="K452" i="48"/>
  <c r="W427" i="48"/>
  <c r="K427" i="48"/>
  <c r="W402" i="48"/>
  <c r="K402" i="48"/>
  <c r="W377" i="48"/>
  <c r="K377" i="48"/>
  <c r="W352" i="48"/>
  <c r="K352" i="48"/>
  <c r="W327" i="48"/>
  <c r="K327" i="48"/>
  <c r="W302" i="48"/>
  <c r="K302" i="48"/>
  <c r="W252" i="48"/>
  <c r="K252" i="48"/>
  <c r="W227" i="48"/>
  <c r="K227" i="48"/>
  <c r="W202" i="48"/>
  <c r="K202" i="48"/>
  <c r="W177" i="48"/>
  <c r="K177" i="48"/>
  <c r="W152" i="48"/>
  <c r="K152" i="48"/>
  <c r="W127" i="48"/>
  <c r="K127" i="48"/>
  <c r="W102" i="48"/>
  <c r="K102" i="48"/>
  <c r="W77" i="48"/>
  <c r="K77" i="48"/>
  <c r="W52" i="48"/>
  <c r="K52" i="48"/>
  <c r="W27" i="48"/>
  <c r="K27" i="48"/>
  <c r="J127" i="59" l="1"/>
  <c r="I128" i="59"/>
  <c r="O115" i="59"/>
  <c r="O114" i="59"/>
  <c r="O116" i="59"/>
  <c r="DL661" i="48"/>
  <c r="DL665" i="48"/>
  <c r="DL669" i="48"/>
  <c r="DL757" i="48"/>
  <c r="DL1087" i="48"/>
  <c r="DL1091" i="48"/>
  <c r="DL907" i="48"/>
  <c r="DL874" i="48"/>
  <c r="DL884" i="48"/>
  <c r="DL892" i="48"/>
  <c r="DL900" i="48"/>
  <c r="DL974" i="48"/>
  <c r="DL996" i="48"/>
  <c r="DL1032" i="48"/>
  <c r="DL761" i="48"/>
  <c r="DL765" i="48"/>
  <c r="DL769" i="48"/>
  <c r="DL773" i="48"/>
  <c r="DL917" i="48"/>
  <c r="DL32" i="48"/>
  <c r="DL74" i="48"/>
  <c r="DL184" i="48"/>
  <c r="DL188" i="48"/>
  <c r="DL192" i="48"/>
  <c r="DL196" i="48"/>
  <c r="DL200" i="48"/>
  <c r="DL222" i="48"/>
  <c r="DL232" i="48"/>
  <c r="DL274" i="48"/>
  <c r="DL284" i="48"/>
  <c r="DL288" i="48"/>
  <c r="DL292" i="48"/>
  <c r="DL296" i="48"/>
  <c r="DL300" i="48"/>
  <c r="DL332" i="48"/>
  <c r="DL362" i="48"/>
  <c r="DL366" i="48"/>
  <c r="DL370" i="48"/>
  <c r="DL374" i="48"/>
  <c r="DL462" i="48"/>
  <c r="DL466" i="48"/>
  <c r="DL470" i="48"/>
  <c r="DL474" i="48"/>
  <c r="DL484" i="48"/>
  <c r="DL488" i="48"/>
  <c r="DL492" i="48"/>
  <c r="DL496" i="48"/>
  <c r="DL500" i="48"/>
  <c r="DL532" i="48"/>
  <c r="DL584" i="48"/>
  <c r="DL588" i="48"/>
  <c r="DL592" i="48"/>
  <c r="DL596" i="48"/>
  <c r="DL600" i="48"/>
  <c r="DL632" i="48"/>
  <c r="DL662" i="48"/>
  <c r="DL666" i="48"/>
  <c r="DL670" i="48"/>
  <c r="DL674" i="48"/>
  <c r="DL762" i="48"/>
  <c r="DL770" i="48"/>
  <c r="DL784" i="48"/>
  <c r="DL792" i="48"/>
  <c r="DL800" i="48"/>
  <c r="DL858" i="48"/>
  <c r="DL862" i="48"/>
  <c r="DL1040" i="48"/>
  <c r="DL361" i="48"/>
  <c r="DL365" i="48"/>
  <c r="DL369" i="48"/>
  <c r="DL373" i="48"/>
  <c r="DL425" i="48"/>
  <c r="DL461" i="48"/>
  <c r="DL465" i="48"/>
  <c r="DL469" i="48"/>
  <c r="DL473" i="48"/>
  <c r="DL595" i="48"/>
  <c r="DL959" i="48"/>
  <c r="DL967" i="48"/>
  <c r="DL1007" i="48"/>
  <c r="DL1011" i="48"/>
  <c r="DL1015" i="48"/>
  <c r="DL1019" i="48"/>
  <c r="DL1023" i="48"/>
  <c r="DL1048" i="48"/>
  <c r="DL1088" i="48"/>
  <c r="DL1092" i="48"/>
  <c r="DL1096" i="48"/>
  <c r="DL1107" i="48"/>
  <c r="DL1111" i="48"/>
  <c r="DL1119" i="48"/>
  <c r="DL1132" i="48"/>
  <c r="DL1158" i="48"/>
  <c r="DL1345" i="48"/>
  <c r="DL43" i="48"/>
  <c r="DL46" i="48"/>
  <c r="DL108" i="48"/>
  <c r="DL112" i="48"/>
  <c r="DL124" i="48"/>
  <c r="DL134" i="48"/>
  <c r="DL138" i="48"/>
  <c r="DL142" i="48"/>
  <c r="DL146" i="48"/>
  <c r="DL150" i="48"/>
  <c r="DL182" i="48"/>
  <c r="DL334" i="48"/>
  <c r="DL338" i="48"/>
  <c r="DL342" i="48"/>
  <c r="DL346" i="48"/>
  <c r="DL350" i="48"/>
  <c r="DL408" i="48"/>
  <c r="DL412" i="48"/>
  <c r="DL416" i="48"/>
  <c r="DL924" i="48"/>
  <c r="DL934" i="48"/>
  <c r="DL942" i="48"/>
  <c r="DL950" i="48"/>
  <c r="DL1034" i="48"/>
  <c r="DL1042" i="48"/>
  <c r="DL1050" i="48"/>
  <c r="DL1064" i="48"/>
  <c r="DL1068" i="48"/>
  <c r="DL1072" i="48"/>
  <c r="DL1094" i="48"/>
  <c r="DL1098" i="48"/>
  <c r="DL1346" i="48"/>
  <c r="DL511" i="48"/>
  <c r="DL515" i="48"/>
  <c r="DL519" i="48"/>
  <c r="DL523" i="48"/>
  <c r="DL63" i="48"/>
  <c r="DL71" i="48"/>
  <c r="DL259" i="48"/>
  <c r="DL263" i="48"/>
  <c r="DL267" i="48"/>
  <c r="DL271" i="48"/>
  <c r="DL59" i="48"/>
  <c r="DL67" i="48"/>
  <c r="DL434" i="48"/>
  <c r="DL438" i="48"/>
  <c r="DL442" i="48"/>
  <c r="DL446" i="48"/>
  <c r="DL450" i="48"/>
  <c r="DL512" i="48"/>
  <c r="DL534" i="48"/>
  <c r="DL538" i="48"/>
  <c r="DL542" i="48"/>
  <c r="DL546" i="48"/>
  <c r="DL550" i="48"/>
  <c r="DL582" i="48"/>
  <c r="DL634" i="48"/>
  <c r="DL963" i="48"/>
  <c r="DL971" i="48"/>
  <c r="DL1038" i="48"/>
  <c r="DL1046" i="48"/>
  <c r="DL1059" i="48"/>
  <c r="DL1063" i="48"/>
  <c r="DL1067" i="48"/>
  <c r="DL1071" i="48"/>
  <c r="DL1075" i="48"/>
  <c r="DL1137" i="48"/>
  <c r="DL1182" i="48"/>
  <c r="DL1207" i="48"/>
  <c r="DL1212" i="48"/>
  <c r="DL1220" i="48"/>
  <c r="DL1237" i="48"/>
  <c r="DL1241" i="48"/>
  <c r="DL1245" i="48"/>
  <c r="DL1249" i="48"/>
  <c r="DL1259" i="48"/>
  <c r="DL1267" i="48"/>
  <c r="DL1275" i="48"/>
  <c r="DL1286" i="48"/>
  <c r="DL1290" i="48"/>
  <c r="DL1294" i="48"/>
  <c r="DL1298" i="48"/>
  <c r="DL1333" i="48"/>
  <c r="DL1341" i="48"/>
  <c r="DL1349" i="48"/>
  <c r="DL641" i="48"/>
  <c r="DL645" i="48"/>
  <c r="DL867" i="48"/>
  <c r="DL34" i="48"/>
  <c r="DL38" i="48"/>
  <c r="DL42" i="48"/>
  <c r="DL83" i="48"/>
  <c r="DL99" i="48"/>
  <c r="DL157" i="48"/>
  <c r="DL209" i="48"/>
  <c r="DL213" i="48"/>
  <c r="DL217" i="48"/>
  <c r="DL221" i="48"/>
  <c r="DL225" i="48"/>
  <c r="DL283" i="48"/>
  <c r="DL291" i="48"/>
  <c r="DL299" i="48"/>
  <c r="DL309" i="48"/>
  <c r="DL313" i="48"/>
  <c r="DL317" i="48"/>
  <c r="DL321" i="48"/>
  <c r="DL325" i="48"/>
  <c r="DL420" i="48"/>
  <c r="DL932" i="48"/>
  <c r="DL936" i="48"/>
  <c r="DL940" i="48"/>
  <c r="DL944" i="48"/>
  <c r="DL962" i="48"/>
  <c r="DL966" i="48"/>
  <c r="DL970" i="48"/>
  <c r="DL1035" i="48"/>
  <c r="DL1057" i="48"/>
  <c r="DL1066" i="48"/>
  <c r="DL1070" i="48"/>
  <c r="DL1084" i="48"/>
  <c r="DL1100" i="48"/>
  <c r="DL1113" i="48"/>
  <c r="DL1117" i="48"/>
  <c r="DL1125" i="48"/>
  <c r="DL1136" i="48"/>
  <c r="DL1140" i="48"/>
  <c r="DL1157" i="48"/>
  <c r="DL1209" i="48"/>
  <c r="DL1213" i="48"/>
  <c r="DL1217" i="48"/>
  <c r="DL1221" i="48"/>
  <c r="DL1225" i="48"/>
  <c r="DL1262" i="48"/>
  <c r="DL1291" i="48"/>
  <c r="DL1299" i="48"/>
  <c r="DL1309" i="48"/>
  <c r="DL1317" i="48"/>
  <c r="DL1325" i="48"/>
  <c r="DL638" i="48"/>
  <c r="DL642" i="48"/>
  <c r="DL646" i="48"/>
  <c r="DL650" i="48"/>
  <c r="DL708" i="48"/>
  <c r="DL712" i="48"/>
  <c r="DL716" i="48"/>
  <c r="DL720" i="48"/>
  <c r="DL724" i="48"/>
  <c r="DL734" i="48"/>
  <c r="DL738" i="48"/>
  <c r="DL742" i="48"/>
  <c r="DL746" i="48"/>
  <c r="DL782" i="48"/>
  <c r="DL808" i="48"/>
  <c r="DL812" i="48"/>
  <c r="DL816" i="48"/>
  <c r="DL820" i="48"/>
  <c r="DL824" i="48"/>
  <c r="DL834" i="48"/>
  <c r="DL842" i="48"/>
  <c r="DL850" i="48"/>
  <c r="DL908" i="48"/>
  <c r="DL347" i="48"/>
  <c r="DL357" i="48"/>
  <c r="DL383" i="48"/>
  <c r="DL387" i="48"/>
  <c r="DL392" i="48"/>
  <c r="DL396" i="48"/>
  <c r="DL399" i="48"/>
  <c r="DL409" i="48"/>
  <c r="DL417" i="48"/>
  <c r="DL432" i="48"/>
  <c r="DL436" i="48"/>
  <c r="DL440" i="48"/>
  <c r="DL444" i="48"/>
  <c r="DL448" i="48"/>
  <c r="DL457" i="48"/>
  <c r="DL517" i="48"/>
  <c r="DL521" i="48"/>
  <c r="DL525" i="48"/>
  <c r="DL539" i="48"/>
  <c r="DL543" i="48"/>
  <c r="DL547" i="48"/>
  <c r="DL558" i="48"/>
  <c r="DL562" i="48"/>
  <c r="DL566" i="48"/>
  <c r="DL570" i="48"/>
  <c r="DL609" i="48"/>
  <c r="DL613" i="48"/>
  <c r="DL617" i="48"/>
  <c r="DL621" i="48"/>
  <c r="DL625" i="48"/>
  <c r="DL639" i="48"/>
  <c r="DL647" i="48"/>
  <c r="DL657" i="48"/>
  <c r="DL683" i="48"/>
  <c r="DL687" i="48"/>
  <c r="DL691" i="48"/>
  <c r="DL695" i="48"/>
  <c r="DL699" i="48"/>
  <c r="DL737" i="48"/>
  <c r="DL745" i="48"/>
  <c r="DL787" i="48"/>
  <c r="DL791" i="48"/>
  <c r="DL795" i="48"/>
  <c r="DL799" i="48"/>
  <c r="DL813" i="48"/>
  <c r="DL821" i="48"/>
  <c r="DL92" i="48"/>
  <c r="DL132" i="48"/>
  <c r="DL140" i="48"/>
  <c r="DL148" i="48"/>
  <c r="DL117" i="48"/>
  <c r="DL121" i="48"/>
  <c r="DL195" i="48"/>
  <c r="DL88" i="48"/>
  <c r="DL96" i="48"/>
  <c r="DL136" i="48"/>
  <c r="DL144" i="48"/>
  <c r="DL236" i="48"/>
  <c r="DL47" i="48"/>
  <c r="DL159" i="48"/>
  <c r="DL163" i="48"/>
  <c r="DL167" i="48"/>
  <c r="DL171" i="48"/>
  <c r="DL175" i="48"/>
  <c r="DL185" i="48"/>
  <c r="DL207" i="48"/>
  <c r="DL212" i="48"/>
  <c r="DL216" i="48"/>
  <c r="DL220" i="48"/>
  <c r="DL224" i="48"/>
  <c r="DL237" i="48"/>
  <c r="DL242" i="48"/>
  <c r="DL246" i="48"/>
  <c r="DL249" i="48"/>
  <c r="DL287" i="48"/>
  <c r="DL295" i="48"/>
  <c r="DL307" i="48"/>
  <c r="DL320" i="48"/>
  <c r="DL413" i="48"/>
  <c r="DL421" i="48"/>
  <c r="DL482" i="48"/>
  <c r="DL486" i="48"/>
  <c r="DL490" i="48"/>
  <c r="DL494" i="48"/>
  <c r="DL498" i="48"/>
  <c r="DL507" i="48"/>
  <c r="DL559" i="48"/>
  <c r="DL563" i="48"/>
  <c r="DL567" i="48"/>
  <c r="DL571" i="48"/>
  <c r="DL575" i="48"/>
  <c r="DL589" i="48"/>
  <c r="DL597" i="48"/>
  <c r="DL608" i="48"/>
  <c r="DL612" i="48"/>
  <c r="DL619" i="48"/>
  <c r="DL733" i="48"/>
  <c r="DL741" i="48"/>
  <c r="DL750" i="48"/>
  <c r="DL759" i="48"/>
  <c r="DL763" i="48"/>
  <c r="DL767" i="48"/>
  <c r="DL771" i="48"/>
  <c r="DL775" i="48"/>
  <c r="DL786" i="48"/>
  <c r="DL790" i="48"/>
  <c r="DL794" i="48"/>
  <c r="DL798" i="48"/>
  <c r="DL807" i="48"/>
  <c r="DL833" i="48"/>
  <c r="DL838" i="48"/>
  <c r="DL846" i="48"/>
  <c r="DL849" i="48"/>
  <c r="DL863" i="48"/>
  <c r="DL871" i="48"/>
  <c r="DL882" i="48"/>
  <c r="DL886" i="48"/>
  <c r="DL890" i="48"/>
  <c r="DL937" i="48"/>
  <c r="DL982" i="48"/>
  <c r="DL986" i="48"/>
  <c r="DL994" i="48"/>
  <c r="DL1039" i="48"/>
  <c r="DL1083" i="48"/>
  <c r="DL1093" i="48"/>
  <c r="DL1109" i="48"/>
  <c r="DL1208" i="48"/>
  <c r="DL1238" i="48"/>
  <c r="DL1242" i="48"/>
  <c r="DL1246" i="48"/>
  <c r="DL1250" i="48"/>
  <c r="DL1282" i="48"/>
  <c r="DL1312" i="48"/>
  <c r="DL1320" i="48"/>
  <c r="DL1338" i="48"/>
  <c r="DL948" i="48"/>
  <c r="DL988" i="48"/>
  <c r="DL1043" i="48"/>
  <c r="DL1097" i="48"/>
  <c r="DL1112" i="48"/>
  <c r="DL1120" i="48"/>
  <c r="DL857" i="48"/>
  <c r="DL883" i="48"/>
  <c r="DL887" i="48"/>
  <c r="DL891" i="48"/>
  <c r="DL895" i="48"/>
  <c r="DL899" i="48"/>
  <c r="DL913" i="48"/>
  <c r="DL921" i="48"/>
  <c r="DL987" i="48"/>
  <c r="DL995" i="48"/>
  <c r="DL1009" i="48"/>
  <c r="DL1013" i="48"/>
  <c r="DL1017" i="48"/>
  <c r="DL1021" i="48"/>
  <c r="DL1025" i="48"/>
  <c r="DL1047" i="48"/>
  <c r="DL1134" i="48"/>
  <c r="DL1138" i="48"/>
  <c r="DL1142" i="48"/>
  <c r="DL1146" i="48"/>
  <c r="DL1150" i="48"/>
  <c r="DL1163" i="48"/>
  <c r="DL1167" i="48"/>
  <c r="DL1170" i="48"/>
  <c r="DL1174" i="48"/>
  <c r="DL1184" i="48"/>
  <c r="DL1188" i="48"/>
  <c r="DL1192" i="48"/>
  <c r="DL1196" i="48"/>
  <c r="DL1200" i="48"/>
  <c r="DL1210" i="48"/>
  <c r="DL1218" i="48"/>
  <c r="DL1232" i="48"/>
  <c r="DL1263" i="48"/>
  <c r="DL1274" i="48"/>
  <c r="DL1288" i="48"/>
  <c r="DL1296" i="48"/>
  <c r="DL1332" i="48"/>
  <c r="DL36" i="48"/>
  <c r="DL84" i="48"/>
  <c r="DL371" i="48"/>
  <c r="DL400" i="48"/>
  <c r="DL458" i="48"/>
  <c r="DL459" i="48"/>
  <c r="DL1049" i="48"/>
  <c r="DL33" i="48"/>
  <c r="DL41" i="48"/>
  <c r="DL44" i="48"/>
  <c r="DL45" i="48"/>
  <c r="DL48" i="48"/>
  <c r="DL49" i="48"/>
  <c r="DL60" i="48"/>
  <c r="DL62" i="48"/>
  <c r="DL68" i="48"/>
  <c r="DL70" i="48"/>
  <c r="DL82" i="48"/>
  <c r="DL89" i="48"/>
  <c r="DL91" i="48"/>
  <c r="DL97" i="48"/>
  <c r="DL98" i="48"/>
  <c r="DL110" i="48"/>
  <c r="DL111" i="48"/>
  <c r="DL118" i="48"/>
  <c r="DL120" i="48"/>
  <c r="DL133" i="48"/>
  <c r="DL141" i="48"/>
  <c r="DL149" i="48"/>
  <c r="DL162" i="48"/>
  <c r="DL170" i="48"/>
  <c r="DL183" i="48"/>
  <c r="DL191" i="48"/>
  <c r="DL199" i="48"/>
  <c r="DL243" i="48"/>
  <c r="DL245" i="48"/>
  <c r="DL258" i="48"/>
  <c r="DL264" i="48"/>
  <c r="DL266" i="48"/>
  <c r="DL272" i="48"/>
  <c r="DL273" i="48"/>
  <c r="DL308" i="48"/>
  <c r="DL316" i="48"/>
  <c r="DL324" i="48"/>
  <c r="DL337" i="48"/>
  <c r="DL345" i="48"/>
  <c r="DL382" i="48"/>
  <c r="DL389" i="48"/>
  <c r="DL391" i="48"/>
  <c r="DL397" i="48"/>
  <c r="DL398" i="48"/>
  <c r="DL433" i="48"/>
  <c r="DL441" i="48"/>
  <c r="DL449" i="48"/>
  <c r="DL487" i="48"/>
  <c r="DL495" i="48"/>
  <c r="DL533" i="48"/>
  <c r="DL560" i="48"/>
  <c r="DL564" i="48"/>
  <c r="DL568" i="48"/>
  <c r="DL590" i="48"/>
  <c r="DL598" i="48"/>
  <c r="DL721" i="48"/>
  <c r="DL1144" i="48"/>
  <c r="DL1175" i="48"/>
  <c r="DL35" i="48"/>
  <c r="DL113" i="48"/>
  <c r="DL164" i="48"/>
  <c r="DL172" i="48"/>
  <c r="DL186" i="48"/>
  <c r="DL193" i="48"/>
  <c r="DL214" i="48"/>
  <c r="DL238" i="48"/>
  <c r="DL275" i="48"/>
  <c r="DL310" i="48"/>
  <c r="DL339" i="48"/>
  <c r="DL348" i="48"/>
  <c r="DL467" i="48"/>
  <c r="DL513" i="48"/>
  <c r="DL535" i="48"/>
  <c r="DL684" i="48"/>
  <c r="DL896" i="48"/>
  <c r="DL1033" i="48"/>
  <c r="DL1095" i="48"/>
  <c r="DL39" i="48"/>
  <c r="DL40" i="48"/>
  <c r="DL75" i="48"/>
  <c r="DL109" i="48"/>
  <c r="DL125" i="48"/>
  <c r="DL160" i="48"/>
  <c r="DL161" i="48"/>
  <c r="DL168" i="48"/>
  <c r="DL169" i="48"/>
  <c r="DL189" i="48"/>
  <c r="DL190" i="48"/>
  <c r="DL197" i="48"/>
  <c r="DL198" i="48"/>
  <c r="DL210" i="48"/>
  <c r="DL218" i="48"/>
  <c r="DL233" i="48"/>
  <c r="DL234" i="48"/>
  <c r="DL250" i="48"/>
  <c r="DL314" i="48"/>
  <c r="DL315" i="48"/>
  <c r="DL322" i="48"/>
  <c r="DL323" i="48"/>
  <c r="DL335" i="48"/>
  <c r="DL336" i="48"/>
  <c r="DL343" i="48"/>
  <c r="DL344" i="48"/>
  <c r="DL358" i="48"/>
  <c r="DL359" i="48"/>
  <c r="DL367" i="48"/>
  <c r="DL375" i="48"/>
  <c r="DL388" i="48"/>
  <c r="DL463" i="48"/>
  <c r="DL471" i="48"/>
  <c r="DL508" i="48"/>
  <c r="DL509" i="48"/>
  <c r="DL671" i="48"/>
  <c r="DL692" i="48"/>
  <c r="DL796" i="48"/>
  <c r="DL817" i="48"/>
  <c r="DL888" i="48"/>
  <c r="DL909" i="48"/>
  <c r="DL925" i="48"/>
  <c r="DL938" i="48"/>
  <c r="DL975" i="48"/>
  <c r="DL1036" i="48"/>
  <c r="DL1037" i="48"/>
  <c r="DL1044" i="48"/>
  <c r="DL1045" i="48"/>
  <c r="DL100" i="48"/>
  <c r="DL165" i="48"/>
  <c r="DL173" i="48"/>
  <c r="DL311" i="48"/>
  <c r="DL318" i="48"/>
  <c r="DL340" i="48"/>
  <c r="DL363" i="48"/>
  <c r="DL384" i="48"/>
  <c r="DL475" i="48"/>
  <c r="DL663" i="48"/>
  <c r="DL700" i="48"/>
  <c r="DL788" i="48"/>
  <c r="DL809" i="48"/>
  <c r="DL825" i="48"/>
  <c r="DL1041" i="48"/>
  <c r="DL1121" i="48"/>
  <c r="DL37" i="48"/>
  <c r="DL58" i="48"/>
  <c r="DL64" i="48"/>
  <c r="DL66" i="48"/>
  <c r="DL72" i="48"/>
  <c r="DL73" i="48"/>
  <c r="DL85" i="48"/>
  <c r="DL87" i="48"/>
  <c r="DL93" i="48"/>
  <c r="DL95" i="48"/>
  <c r="DL107" i="48"/>
  <c r="DL114" i="48"/>
  <c r="DL116" i="48"/>
  <c r="DL122" i="48"/>
  <c r="DL123" i="48"/>
  <c r="DL137" i="48"/>
  <c r="DL145" i="48"/>
  <c r="DL158" i="48"/>
  <c r="DL166" i="48"/>
  <c r="DL174" i="48"/>
  <c r="DL187" i="48"/>
  <c r="DL208" i="48"/>
  <c r="DL239" i="48"/>
  <c r="DL241" i="48"/>
  <c r="DL247" i="48"/>
  <c r="DL248" i="48"/>
  <c r="DL260" i="48"/>
  <c r="DL262" i="48"/>
  <c r="DL268" i="48"/>
  <c r="DL270" i="48"/>
  <c r="DL282" i="48"/>
  <c r="DL285" i="48"/>
  <c r="DL286" i="48"/>
  <c r="DL289" i="48"/>
  <c r="DL290" i="48"/>
  <c r="DL293" i="48"/>
  <c r="DL294" i="48"/>
  <c r="DL297" i="48"/>
  <c r="DL298" i="48"/>
  <c r="DL312" i="48"/>
  <c r="DL333" i="48"/>
  <c r="DL341" i="48"/>
  <c r="DL349" i="48"/>
  <c r="DL385" i="48"/>
  <c r="DL386" i="48"/>
  <c r="DL393" i="48"/>
  <c r="DL395" i="48"/>
  <c r="DL407" i="48"/>
  <c r="DL410" i="48"/>
  <c r="DL411" i="48"/>
  <c r="DL414" i="48"/>
  <c r="DL415" i="48"/>
  <c r="DL418" i="48"/>
  <c r="DL419" i="48"/>
  <c r="DL422" i="48"/>
  <c r="DL424" i="48"/>
  <c r="DL437" i="48"/>
  <c r="DL445" i="48"/>
  <c r="DL483" i="48"/>
  <c r="DL491" i="48"/>
  <c r="DL499" i="48"/>
  <c r="DL520" i="48"/>
  <c r="DL536" i="48"/>
  <c r="DL540" i="48"/>
  <c r="DL544" i="48"/>
  <c r="DL548" i="48"/>
  <c r="DL610" i="48"/>
  <c r="DL618" i="48"/>
  <c r="DL648" i="48"/>
  <c r="DL713" i="48"/>
  <c r="DL859" i="48"/>
  <c r="DL875" i="48"/>
  <c r="DL990" i="48"/>
  <c r="DL998" i="48"/>
  <c r="DL1073" i="48"/>
  <c r="DL516" i="48"/>
  <c r="DL524" i="48"/>
  <c r="DL537" i="48"/>
  <c r="DL545" i="48"/>
  <c r="DL574" i="48"/>
  <c r="DL587" i="48"/>
  <c r="DL616" i="48"/>
  <c r="DL624" i="48"/>
  <c r="DL637" i="48"/>
  <c r="DL682" i="48"/>
  <c r="DL689" i="48"/>
  <c r="DL690" i="48"/>
  <c r="DL697" i="48"/>
  <c r="DL698" i="48"/>
  <c r="DL710" i="48"/>
  <c r="DL711" i="48"/>
  <c r="DL718" i="48"/>
  <c r="DL719" i="48"/>
  <c r="DL732" i="48"/>
  <c r="DL735" i="48"/>
  <c r="DL736" i="48"/>
  <c r="DL739" i="48"/>
  <c r="DL740" i="48"/>
  <c r="DL743" i="48"/>
  <c r="DL744" i="48"/>
  <c r="DL747" i="48"/>
  <c r="DL749" i="48"/>
  <c r="DL814" i="48"/>
  <c r="DL815" i="48"/>
  <c r="DL822" i="48"/>
  <c r="DL823" i="48"/>
  <c r="DL835" i="48"/>
  <c r="DL837" i="48"/>
  <c r="DL843" i="48"/>
  <c r="DL845" i="48"/>
  <c r="DL864" i="48"/>
  <c r="DL866" i="48"/>
  <c r="DL872" i="48"/>
  <c r="DL873" i="48"/>
  <c r="DL893" i="48"/>
  <c r="DL894" i="48"/>
  <c r="DL914" i="48"/>
  <c r="DL916" i="48"/>
  <c r="DL922" i="48"/>
  <c r="DL923" i="48"/>
  <c r="DL947" i="48"/>
  <c r="DL958" i="48"/>
  <c r="DL968" i="48"/>
  <c r="DL972" i="48"/>
  <c r="DL973" i="48"/>
  <c r="DL1020" i="48"/>
  <c r="DL1061" i="48"/>
  <c r="DL1086" i="48"/>
  <c r="DL1115" i="48"/>
  <c r="DL1148" i="48"/>
  <c r="DL1186" i="48"/>
  <c r="DL1190" i="48"/>
  <c r="DL1194" i="48"/>
  <c r="DL1198" i="48"/>
  <c r="DL572" i="48"/>
  <c r="DL573" i="48"/>
  <c r="DL585" i="48"/>
  <c r="DL586" i="48"/>
  <c r="DL593" i="48"/>
  <c r="DL614" i="48"/>
  <c r="DL615" i="48"/>
  <c r="DL622" i="48"/>
  <c r="DL623" i="48"/>
  <c r="DL635" i="48"/>
  <c r="DL636" i="48"/>
  <c r="DL643" i="48"/>
  <c r="DL658" i="48"/>
  <c r="DL659" i="48"/>
  <c r="DL667" i="48"/>
  <c r="DL675" i="48"/>
  <c r="DL688" i="48"/>
  <c r="DL696" i="48"/>
  <c r="DL709" i="48"/>
  <c r="DL717" i="48"/>
  <c r="DL725" i="48"/>
  <c r="DL783" i="48"/>
  <c r="DL945" i="48"/>
  <c r="DL946" i="48"/>
  <c r="DL1060" i="48"/>
  <c r="DL1099" i="48"/>
  <c r="DL1171" i="48"/>
  <c r="DL1233" i="48"/>
  <c r="DL541" i="48"/>
  <c r="DL549" i="48"/>
  <c r="DL583" i="48"/>
  <c r="DL591" i="48"/>
  <c r="DL599" i="48"/>
  <c r="DL620" i="48"/>
  <c r="DL633" i="48"/>
  <c r="DL649" i="48"/>
  <c r="DL672" i="48"/>
  <c r="DL673" i="48"/>
  <c r="DL685" i="48"/>
  <c r="DL686" i="48"/>
  <c r="DL693" i="48"/>
  <c r="DL694" i="48"/>
  <c r="DL707" i="48"/>
  <c r="DL714" i="48"/>
  <c r="DL715" i="48"/>
  <c r="DL722" i="48"/>
  <c r="DL723" i="48"/>
  <c r="DL758" i="48"/>
  <c r="DL766" i="48"/>
  <c r="DL774" i="48"/>
  <c r="DL810" i="48"/>
  <c r="DL811" i="48"/>
  <c r="DL818" i="48"/>
  <c r="DL819" i="48"/>
  <c r="DL832" i="48"/>
  <c r="DL839" i="48"/>
  <c r="DL841" i="48"/>
  <c r="DL847" i="48"/>
  <c r="DL848" i="48"/>
  <c r="DL960" i="48"/>
  <c r="DL964" i="48"/>
  <c r="DL983" i="48"/>
  <c r="DL984" i="48"/>
  <c r="DL991" i="48"/>
  <c r="DL992" i="48"/>
  <c r="DL999" i="48"/>
  <c r="DL1000" i="48"/>
  <c r="DL1012" i="48"/>
  <c r="DL1058" i="48"/>
  <c r="DL1074" i="48"/>
  <c r="DL1082" i="48"/>
  <c r="DL1090" i="48"/>
  <c r="DL1123" i="48"/>
  <c r="DL1159" i="48"/>
  <c r="DL1145" i="48"/>
  <c r="DL1164" i="48"/>
  <c r="DL1166" i="48"/>
  <c r="DL1172" i="48"/>
  <c r="DL1173" i="48"/>
  <c r="DL1187" i="48"/>
  <c r="DL1195" i="48"/>
  <c r="DL1260" i="48"/>
  <c r="DL1268" i="48"/>
  <c r="DL1269" i="48"/>
  <c r="DL1283" i="48"/>
  <c r="DL1284" i="48"/>
  <c r="DL1292" i="48"/>
  <c r="DL1300" i="48"/>
  <c r="DL1313" i="48"/>
  <c r="DL1321" i="48"/>
  <c r="DL1334" i="48"/>
  <c r="DL1342" i="48"/>
  <c r="DL1350" i="48"/>
  <c r="DL1214" i="48"/>
  <c r="DL1216" i="48"/>
  <c r="DL1222" i="48"/>
  <c r="DL1224" i="48"/>
  <c r="DL1310" i="48"/>
  <c r="DL1311" i="48"/>
  <c r="DL1318" i="48"/>
  <c r="DL1319" i="48"/>
  <c r="DL1339" i="48"/>
  <c r="DL1340" i="48"/>
  <c r="DL1347" i="48"/>
  <c r="DL1348" i="48"/>
  <c r="DL860" i="48"/>
  <c r="DL861" i="48"/>
  <c r="DL868" i="48"/>
  <c r="DL870" i="48"/>
  <c r="DL897" i="48"/>
  <c r="DL898" i="48"/>
  <c r="DL910" i="48"/>
  <c r="DL912" i="48"/>
  <c r="DL918" i="48"/>
  <c r="DL920" i="48"/>
  <c r="DL933" i="48"/>
  <c r="DL941" i="48"/>
  <c r="DL949" i="48"/>
  <c r="DL1008" i="48"/>
  <c r="DL1016" i="48"/>
  <c r="DL1024" i="48"/>
  <c r="DL1062" i="48"/>
  <c r="DL1108" i="48"/>
  <c r="DL1116" i="48"/>
  <c r="DL1124" i="48"/>
  <c r="DL1133" i="48"/>
  <c r="DL1141" i="48"/>
  <c r="DL1149" i="48"/>
  <c r="DL1160" i="48"/>
  <c r="DL1162" i="48"/>
  <c r="DL1168" i="48"/>
  <c r="DL1169" i="48"/>
  <c r="DL1183" i="48"/>
  <c r="DL1191" i="48"/>
  <c r="DL1199" i="48"/>
  <c r="DL1234" i="48"/>
  <c r="DL1235" i="48"/>
  <c r="DL1236" i="48"/>
  <c r="DL1239" i="48"/>
  <c r="DL1240" i="48"/>
  <c r="DL1243" i="48"/>
  <c r="DL1244" i="48"/>
  <c r="DL1247" i="48"/>
  <c r="DL1248" i="48"/>
  <c r="DL1258" i="48"/>
  <c r="DL1264" i="48"/>
  <c r="DL1266" i="48"/>
  <c r="DL1272" i="48"/>
  <c r="DL1273" i="48"/>
  <c r="DL1287" i="48"/>
  <c r="DL1295" i="48"/>
  <c r="DL1308" i="48"/>
  <c r="DL1316" i="48"/>
  <c r="DL1324" i="48"/>
  <c r="DL1337" i="48"/>
  <c r="DL1270" i="48"/>
  <c r="DL1271" i="48"/>
  <c r="DL1307" i="48"/>
  <c r="DL1314" i="48"/>
  <c r="DL1315" i="48"/>
  <c r="DL1322" i="48"/>
  <c r="DL1323" i="48"/>
  <c r="DL1335" i="48"/>
  <c r="DL1336" i="48"/>
  <c r="DL1343" i="48"/>
  <c r="DL1351" i="48"/>
  <c r="DL1344" i="48"/>
  <c r="DL1326" i="48"/>
  <c r="DL1285" i="48"/>
  <c r="DL1289" i="48"/>
  <c r="DL1293" i="48"/>
  <c r="DL1297" i="48"/>
  <c r="DL1301" i="48"/>
  <c r="DL1276" i="48"/>
  <c r="DL1257" i="48"/>
  <c r="DL1261" i="48"/>
  <c r="DL1265" i="48"/>
  <c r="DL1251" i="48"/>
  <c r="DL1226" i="48"/>
  <c r="DL1211" i="48"/>
  <c r="DL1215" i="48"/>
  <c r="DL1219" i="48"/>
  <c r="DL1223" i="48"/>
  <c r="DL1185" i="48"/>
  <c r="DL1189" i="48"/>
  <c r="DL1193" i="48"/>
  <c r="DL1197" i="48"/>
  <c r="DL1201" i="48"/>
  <c r="DL1176" i="48"/>
  <c r="DL1161" i="48"/>
  <c r="DL1165" i="48"/>
  <c r="DL1135" i="48"/>
  <c r="DL1139" i="48"/>
  <c r="DL1143" i="48"/>
  <c r="DL1147" i="48"/>
  <c r="DL1151" i="48"/>
  <c r="DL1110" i="48"/>
  <c r="DL1114" i="48"/>
  <c r="DL1118" i="48"/>
  <c r="DL1122" i="48"/>
  <c r="DL1126" i="48"/>
  <c r="DL1085" i="48"/>
  <c r="DL1089" i="48"/>
  <c r="DL1101" i="48"/>
  <c r="DL1076" i="48"/>
  <c r="DL1065" i="48"/>
  <c r="DL1069" i="48"/>
  <c r="DL1051" i="48"/>
  <c r="DL1010" i="48"/>
  <c r="DL1014" i="48"/>
  <c r="DL1018" i="48"/>
  <c r="DL1022" i="48"/>
  <c r="DL1026" i="48"/>
  <c r="DL985" i="48"/>
  <c r="DL989" i="48"/>
  <c r="DL993" i="48"/>
  <c r="DL997" i="48"/>
  <c r="DL1001" i="48"/>
  <c r="DL976" i="48"/>
  <c r="DL957" i="48"/>
  <c r="DL961" i="48"/>
  <c r="DL965" i="48"/>
  <c r="DL969" i="48"/>
  <c r="DL935" i="48"/>
  <c r="DL939" i="48"/>
  <c r="DL943" i="48"/>
  <c r="DL951" i="48"/>
  <c r="DL926" i="48"/>
  <c r="DL911" i="48"/>
  <c r="DL915" i="48"/>
  <c r="DL919" i="48"/>
  <c r="DL885" i="48"/>
  <c r="DL889" i="48"/>
  <c r="DL901" i="48"/>
  <c r="DL876" i="48"/>
  <c r="DL865" i="48"/>
  <c r="DL869" i="48"/>
  <c r="DL851" i="48"/>
  <c r="DL836" i="48"/>
  <c r="DL840" i="48"/>
  <c r="DL844" i="48"/>
  <c r="DL826" i="48"/>
  <c r="DL785" i="48"/>
  <c r="DL789" i="48"/>
  <c r="DL793" i="48"/>
  <c r="DL797" i="48"/>
  <c r="DL801" i="48"/>
  <c r="DL760" i="48"/>
  <c r="DL764" i="48"/>
  <c r="DL768" i="48"/>
  <c r="DL772" i="48"/>
  <c r="DL776" i="48"/>
  <c r="DL751" i="48"/>
  <c r="DL748" i="48"/>
  <c r="DL726" i="48"/>
  <c r="DL701" i="48"/>
  <c r="DL660" i="48"/>
  <c r="DL664" i="48"/>
  <c r="DL668" i="48"/>
  <c r="DL676" i="48"/>
  <c r="DL651" i="48"/>
  <c r="DL640" i="48"/>
  <c r="DL644" i="48"/>
  <c r="DL626" i="48"/>
  <c r="DL607" i="48"/>
  <c r="DL611" i="48"/>
  <c r="DL601" i="48"/>
  <c r="DL594" i="48"/>
  <c r="DL576" i="48"/>
  <c r="DL557" i="48"/>
  <c r="DL561" i="48"/>
  <c r="DL565" i="48"/>
  <c r="DL569" i="48"/>
  <c r="DL551" i="48"/>
  <c r="DL510" i="48"/>
  <c r="DL514" i="48"/>
  <c r="DL518" i="48"/>
  <c r="DL522" i="48"/>
  <c r="DL526" i="48"/>
  <c r="DL485" i="48"/>
  <c r="DL489" i="48"/>
  <c r="DL493" i="48"/>
  <c r="DL497" i="48"/>
  <c r="DL501" i="48"/>
  <c r="DL460" i="48"/>
  <c r="DL464" i="48"/>
  <c r="DL468" i="48"/>
  <c r="DL472" i="48"/>
  <c r="DL476" i="48"/>
  <c r="DL435" i="48"/>
  <c r="DL439" i="48"/>
  <c r="DL443" i="48"/>
  <c r="DL447" i="48"/>
  <c r="DL451" i="48"/>
  <c r="DL426" i="48"/>
  <c r="DL423" i="48"/>
  <c r="DL401" i="48"/>
  <c r="DL390" i="48"/>
  <c r="DL394" i="48"/>
  <c r="DL360" i="48"/>
  <c r="DL364" i="48"/>
  <c r="DL368" i="48"/>
  <c r="DL372" i="48"/>
  <c r="DL376" i="48"/>
  <c r="DL351" i="48"/>
  <c r="DL326" i="48"/>
  <c r="DL319" i="48"/>
  <c r="DL301" i="48"/>
  <c r="DL276" i="48"/>
  <c r="DL257" i="48"/>
  <c r="DL261" i="48"/>
  <c r="DL265" i="48"/>
  <c r="DL269" i="48"/>
  <c r="DL235" i="48"/>
  <c r="DL251" i="48"/>
  <c r="DL240" i="48"/>
  <c r="DL244" i="48"/>
  <c r="DL226" i="48"/>
  <c r="DL211" i="48"/>
  <c r="DL215" i="48"/>
  <c r="DL219" i="48"/>
  <c r="DL223" i="48"/>
  <c r="DL201" i="48"/>
  <c r="DL194" i="48"/>
  <c r="DL176" i="48"/>
  <c r="DL135" i="48"/>
  <c r="DL139" i="48"/>
  <c r="DL143" i="48"/>
  <c r="DL147" i="48"/>
  <c r="DL151" i="48"/>
  <c r="DL115" i="48"/>
  <c r="DL119" i="48"/>
  <c r="DL126" i="48"/>
  <c r="DL101" i="48"/>
  <c r="DL86" i="48"/>
  <c r="DL90" i="48"/>
  <c r="DL94" i="48"/>
  <c r="DL76" i="48"/>
  <c r="DL57" i="48"/>
  <c r="DL61" i="48"/>
  <c r="DL65" i="48"/>
  <c r="DL69" i="48"/>
  <c r="DL50" i="48"/>
  <c r="DL51" i="48"/>
  <c r="BC1002" i="48"/>
  <c r="BC1001" i="48"/>
  <c r="BC952" i="48"/>
  <c r="BC951" i="48"/>
  <c r="BC302" i="48"/>
  <c r="BC301" i="48"/>
  <c r="CT1127" i="48"/>
  <c r="CP1125" i="48"/>
  <c r="CR1125" i="48" s="1"/>
  <c r="CT1125" i="48"/>
  <c r="CT1102" i="48"/>
  <c r="CT1077" i="48"/>
  <c r="CT1052" i="48"/>
  <c r="CT1027" i="48"/>
  <c r="CT1002" i="48"/>
  <c r="CT977" i="48"/>
  <c r="CT952" i="48"/>
  <c r="CT927" i="48"/>
  <c r="CT902" i="48"/>
  <c r="CT877" i="48"/>
  <c r="CT852" i="48"/>
  <c r="CT827" i="48"/>
  <c r="CT802" i="48"/>
  <c r="I129" i="59" l="1"/>
  <c r="J128" i="59"/>
  <c r="CT777" i="48"/>
  <c r="CT131" i="48"/>
  <c r="CT132" i="48"/>
  <c r="CT133" i="48"/>
  <c r="CT134" i="48"/>
  <c r="CT135" i="48"/>
  <c r="CT136" i="48"/>
  <c r="CT137" i="48"/>
  <c r="CT138" i="48"/>
  <c r="CT139" i="48"/>
  <c r="CT140" i="48"/>
  <c r="CT141" i="48"/>
  <c r="CT142" i="48"/>
  <c r="CT143" i="48"/>
  <c r="CT144" i="48"/>
  <c r="CT145" i="48"/>
  <c r="CT146" i="48"/>
  <c r="CT147" i="48"/>
  <c r="CT148" i="48"/>
  <c r="CT149" i="48"/>
  <c r="CT150" i="48"/>
  <c r="CT151" i="48"/>
  <c r="CT152" i="48"/>
  <c r="CT52" i="48"/>
  <c r="CT51" i="48"/>
  <c r="CT50" i="48"/>
  <c r="CT49" i="48"/>
  <c r="CT48" i="48"/>
  <c r="CT47" i="48"/>
  <c r="CT46" i="48"/>
  <c r="CT45" i="48"/>
  <c r="CT44" i="48"/>
  <c r="CT43" i="48"/>
  <c r="CT42" i="48"/>
  <c r="CT41" i="48"/>
  <c r="CT40" i="48"/>
  <c r="CT39" i="48"/>
  <c r="CT38" i="48"/>
  <c r="CT37" i="48"/>
  <c r="CT36" i="48"/>
  <c r="CT35" i="48"/>
  <c r="CT34" i="48"/>
  <c r="CT33" i="48"/>
  <c r="CT32" i="48"/>
  <c r="CT31" i="48"/>
  <c r="CT727" i="48"/>
  <c r="CT652" i="48"/>
  <c r="CX627" i="48"/>
  <c r="CW627" i="48"/>
  <c r="CV627" i="48"/>
  <c r="CX1352" i="48"/>
  <c r="CW1352" i="48"/>
  <c r="CV1352" i="48"/>
  <c r="CX1327" i="48"/>
  <c r="CW1327" i="48"/>
  <c r="CV1327" i="48"/>
  <c r="CX1302" i="48"/>
  <c r="CW1302" i="48"/>
  <c r="CV1302" i="48"/>
  <c r="CX1277" i="48"/>
  <c r="CW1277" i="48"/>
  <c r="CV1277" i="48"/>
  <c r="CX1252" i="48"/>
  <c r="CW1252" i="48"/>
  <c r="CV1252" i="48"/>
  <c r="CT1252" i="48"/>
  <c r="CX1202" i="48"/>
  <c r="CW1202" i="48"/>
  <c r="CV1202" i="48"/>
  <c r="CT1202" i="48"/>
  <c r="CX1177" i="48"/>
  <c r="CW1177" i="48"/>
  <c r="CV1177" i="48"/>
  <c r="CT1177" i="48"/>
  <c r="CX1152" i="48"/>
  <c r="CW1152" i="48"/>
  <c r="CV1152" i="48"/>
  <c r="CT1152" i="48"/>
  <c r="CX1127" i="48"/>
  <c r="CW1127" i="48"/>
  <c r="CV1127" i="48"/>
  <c r="CX1102" i="48"/>
  <c r="CW1102" i="48"/>
  <c r="CV1102" i="48"/>
  <c r="CX1077" i="48"/>
  <c r="CW1077" i="48"/>
  <c r="CV1077" i="48"/>
  <c r="CX1052" i="48"/>
  <c r="CW1052" i="48"/>
  <c r="CV1052" i="48"/>
  <c r="CX1027" i="48"/>
  <c r="CW1027" i="48"/>
  <c r="CV1027" i="48"/>
  <c r="CX1002" i="48"/>
  <c r="CW1002" i="48"/>
  <c r="CV1002" i="48"/>
  <c r="CX977" i="48"/>
  <c r="CW977" i="48"/>
  <c r="CV977" i="48"/>
  <c r="CX952" i="48"/>
  <c r="CW952" i="48"/>
  <c r="CV952" i="48"/>
  <c r="CX927" i="48"/>
  <c r="CW927" i="48"/>
  <c r="CV927" i="48"/>
  <c r="CX902" i="48"/>
  <c r="CW902" i="48"/>
  <c r="CV902" i="48"/>
  <c r="CX877" i="48"/>
  <c r="CW877" i="48"/>
  <c r="CV877" i="48"/>
  <c r="CX852" i="48"/>
  <c r="CW852" i="48"/>
  <c r="CV852" i="48"/>
  <c r="CX827" i="48"/>
  <c r="CW827" i="48"/>
  <c r="CV827" i="48"/>
  <c r="CT826" i="48"/>
  <c r="CX802" i="48"/>
  <c r="CW802" i="48"/>
  <c r="CV802" i="48"/>
  <c r="CZ778" i="48"/>
  <c r="CU778" i="48" s="1"/>
  <c r="CT752" i="48"/>
  <c r="CT677" i="48"/>
  <c r="CT602" i="48"/>
  <c r="CT577" i="48"/>
  <c r="CT552" i="48"/>
  <c r="CT527" i="48"/>
  <c r="CT502" i="48"/>
  <c r="CT477" i="48"/>
  <c r="CT452" i="48"/>
  <c r="CT427" i="48"/>
  <c r="CT402" i="48"/>
  <c r="CT377" i="48"/>
  <c r="CT352" i="48"/>
  <c r="CT327" i="48"/>
  <c r="CT302" i="48"/>
  <c r="CT277" i="48"/>
  <c r="CT252" i="48"/>
  <c r="CT227" i="48"/>
  <c r="CT202" i="48"/>
  <c r="CT177" i="48"/>
  <c r="CR27" i="48"/>
  <c r="DE1251" i="48"/>
  <c r="DD1251" i="48"/>
  <c r="DE1250" i="48"/>
  <c r="DD1250" i="48"/>
  <c r="DE1249" i="48"/>
  <c r="DD1249" i="48"/>
  <c r="DE1248" i="48"/>
  <c r="DD1248" i="48"/>
  <c r="DE1247" i="48"/>
  <c r="DD1247" i="48"/>
  <c r="DE1246" i="48"/>
  <c r="DD1246" i="48"/>
  <c r="DE1245" i="48"/>
  <c r="DD1245" i="48"/>
  <c r="DE1244" i="48"/>
  <c r="DD1244" i="48"/>
  <c r="DE1243" i="48"/>
  <c r="DD1243" i="48"/>
  <c r="DE1242" i="48"/>
  <c r="DD1242" i="48"/>
  <c r="DE1241" i="48"/>
  <c r="DD1241" i="48"/>
  <c r="DE1240" i="48"/>
  <c r="DD1240" i="48"/>
  <c r="DE1239" i="48"/>
  <c r="DD1239" i="48"/>
  <c r="DE1238" i="48"/>
  <c r="DD1238" i="48"/>
  <c r="DE1237" i="48"/>
  <c r="DD1237" i="48"/>
  <c r="DE1236" i="48"/>
  <c r="DD1236" i="48"/>
  <c r="DE1235" i="48"/>
  <c r="DD1235" i="48"/>
  <c r="DE1234" i="48"/>
  <c r="DD1234" i="48"/>
  <c r="DE1233" i="48"/>
  <c r="DD1233" i="48"/>
  <c r="DE1232" i="48"/>
  <c r="DD1232" i="48"/>
  <c r="DE1231" i="48"/>
  <c r="DD1231" i="48"/>
  <c r="DE1230" i="48"/>
  <c r="DD1230" i="48"/>
  <c r="DE1229" i="48"/>
  <c r="DD1229" i="48"/>
  <c r="DE1228" i="48"/>
  <c r="DD1228" i="48"/>
  <c r="DE1351" i="48"/>
  <c r="DD1351" i="48"/>
  <c r="DE1350" i="48"/>
  <c r="DD1350" i="48"/>
  <c r="DE1349" i="48"/>
  <c r="DD1349" i="48"/>
  <c r="DE1348" i="48"/>
  <c r="DD1348" i="48"/>
  <c r="DE1347" i="48"/>
  <c r="DD1347" i="48"/>
  <c r="DE1346" i="48"/>
  <c r="DD1346" i="48"/>
  <c r="DE1345" i="48"/>
  <c r="DD1345" i="48"/>
  <c r="DE1344" i="48"/>
  <c r="DD1344" i="48"/>
  <c r="DE1343" i="48"/>
  <c r="DD1343" i="48"/>
  <c r="DE1342" i="48"/>
  <c r="DD1342" i="48"/>
  <c r="DE1341" i="48"/>
  <c r="DD1341" i="48"/>
  <c r="DE1340" i="48"/>
  <c r="DD1340" i="48"/>
  <c r="DE1339" i="48"/>
  <c r="DD1339" i="48"/>
  <c r="DE1338" i="48"/>
  <c r="DD1338" i="48"/>
  <c r="DE1337" i="48"/>
  <c r="DD1337" i="48"/>
  <c r="DE1336" i="48"/>
  <c r="DD1336" i="48"/>
  <c r="DE1335" i="48"/>
  <c r="DD1335" i="48"/>
  <c r="DE1334" i="48"/>
  <c r="DD1334" i="48"/>
  <c r="DE1333" i="48"/>
  <c r="DD1333" i="48"/>
  <c r="DE1332" i="48"/>
  <c r="DD1332" i="48"/>
  <c r="DE1331" i="48"/>
  <c r="DD1331" i="48"/>
  <c r="DE1330" i="48"/>
  <c r="DD1330" i="48"/>
  <c r="DE1329" i="48"/>
  <c r="DD1329" i="48"/>
  <c r="DE1328" i="48"/>
  <c r="DD1328" i="48"/>
  <c r="DE1326" i="48"/>
  <c r="DD1326" i="48"/>
  <c r="DE1325" i="48"/>
  <c r="DD1325" i="48"/>
  <c r="DE1324" i="48"/>
  <c r="DD1324" i="48"/>
  <c r="DE1323" i="48"/>
  <c r="DD1323" i="48"/>
  <c r="DE1322" i="48"/>
  <c r="DD1322" i="48"/>
  <c r="DE1321" i="48"/>
  <c r="DD1321" i="48"/>
  <c r="DE1320" i="48"/>
  <c r="DD1320" i="48"/>
  <c r="DE1319" i="48"/>
  <c r="DD1319" i="48"/>
  <c r="DE1318" i="48"/>
  <c r="DD1318" i="48"/>
  <c r="DE1317" i="48"/>
  <c r="DD1317" i="48"/>
  <c r="DE1316" i="48"/>
  <c r="DD1316" i="48"/>
  <c r="DE1315" i="48"/>
  <c r="DD1315" i="48"/>
  <c r="DE1314" i="48"/>
  <c r="DD1314" i="48"/>
  <c r="DE1313" i="48"/>
  <c r="DD1313" i="48"/>
  <c r="DE1312" i="48"/>
  <c r="DD1312" i="48"/>
  <c r="DE1311" i="48"/>
  <c r="DD1311" i="48"/>
  <c r="DE1310" i="48"/>
  <c r="DD1310" i="48"/>
  <c r="DE1309" i="48"/>
  <c r="DD1309" i="48"/>
  <c r="DE1308" i="48"/>
  <c r="DD1308" i="48"/>
  <c r="DE1307" i="48"/>
  <c r="DD1307" i="48"/>
  <c r="DE1306" i="48"/>
  <c r="DD1306" i="48"/>
  <c r="DE1305" i="48"/>
  <c r="DD1305" i="48"/>
  <c r="DE1304" i="48"/>
  <c r="DD1304" i="48"/>
  <c r="DE1303" i="48"/>
  <c r="DD1303" i="48"/>
  <c r="DE1301" i="48"/>
  <c r="DD1301" i="48"/>
  <c r="DE1300" i="48"/>
  <c r="DD1300" i="48"/>
  <c r="DE1299" i="48"/>
  <c r="DD1299" i="48"/>
  <c r="DE1298" i="48"/>
  <c r="DD1298" i="48"/>
  <c r="DE1297" i="48"/>
  <c r="DD1297" i="48"/>
  <c r="DE1296" i="48"/>
  <c r="DD1296" i="48"/>
  <c r="DE1295" i="48"/>
  <c r="DD1295" i="48"/>
  <c r="DE1294" i="48"/>
  <c r="DD1294" i="48"/>
  <c r="DE1293" i="48"/>
  <c r="DD1293" i="48"/>
  <c r="DE1292" i="48"/>
  <c r="DD1292" i="48"/>
  <c r="DE1291" i="48"/>
  <c r="DD1291" i="48"/>
  <c r="DE1290" i="48"/>
  <c r="DD1290" i="48"/>
  <c r="DE1289" i="48"/>
  <c r="DD1289" i="48"/>
  <c r="DE1288" i="48"/>
  <c r="DD1288" i="48"/>
  <c r="DE1287" i="48"/>
  <c r="DD1287" i="48"/>
  <c r="DE1286" i="48"/>
  <c r="DD1286" i="48"/>
  <c r="DE1285" i="48"/>
  <c r="DD1285" i="48"/>
  <c r="DE1284" i="48"/>
  <c r="DD1284" i="48"/>
  <c r="DE1283" i="48"/>
  <c r="DD1283" i="48"/>
  <c r="DE1282" i="48"/>
  <c r="DD1282" i="48"/>
  <c r="DE1281" i="48"/>
  <c r="DD1281" i="48"/>
  <c r="DE1280" i="48"/>
  <c r="DD1280" i="48"/>
  <c r="DE1279" i="48"/>
  <c r="DD1279" i="48"/>
  <c r="DE1278" i="48"/>
  <c r="DD1278" i="48"/>
  <c r="DE1275" i="48"/>
  <c r="DD1275" i="48"/>
  <c r="DE1274" i="48"/>
  <c r="DD1274" i="48"/>
  <c r="DE1273" i="48"/>
  <c r="DD1273" i="48"/>
  <c r="DE1272" i="48"/>
  <c r="DD1272" i="48"/>
  <c r="DE1271" i="48"/>
  <c r="DD1271" i="48"/>
  <c r="DE1270" i="48"/>
  <c r="DD1270" i="48"/>
  <c r="DE1269" i="48"/>
  <c r="DD1269" i="48"/>
  <c r="DE1268" i="48"/>
  <c r="DD1268" i="48"/>
  <c r="DE1267" i="48"/>
  <c r="DD1267" i="48"/>
  <c r="DE1266" i="48"/>
  <c r="DD1266" i="48"/>
  <c r="DE1265" i="48"/>
  <c r="DD1265" i="48"/>
  <c r="DE1264" i="48"/>
  <c r="DD1264" i="48"/>
  <c r="DE1263" i="48"/>
  <c r="DD1263" i="48"/>
  <c r="DE1262" i="48"/>
  <c r="DD1262" i="48"/>
  <c r="DE1261" i="48"/>
  <c r="DD1261" i="48"/>
  <c r="DE1260" i="48"/>
  <c r="DD1260" i="48"/>
  <c r="DE1259" i="48"/>
  <c r="DD1259" i="48"/>
  <c r="DE1258" i="48"/>
  <c r="DD1258" i="48"/>
  <c r="DE1257" i="48"/>
  <c r="DD1257" i="48"/>
  <c r="DE1256" i="48"/>
  <c r="DD1256" i="48"/>
  <c r="DE1255" i="48"/>
  <c r="DD1255" i="48"/>
  <c r="DE1254" i="48"/>
  <c r="DD1254" i="48"/>
  <c r="DE1227" i="48"/>
  <c r="DD1227" i="48"/>
  <c r="CX1227" i="48" s="1"/>
  <c r="DE1226" i="48"/>
  <c r="DD1226" i="48"/>
  <c r="DE1225" i="48"/>
  <c r="DD1225" i="48"/>
  <c r="DE1224" i="48"/>
  <c r="DD1224" i="48"/>
  <c r="DE1223" i="48"/>
  <c r="DD1223" i="48"/>
  <c r="DE1222" i="48"/>
  <c r="DD1222" i="48"/>
  <c r="DE1221" i="48"/>
  <c r="DD1221" i="48"/>
  <c r="DE1220" i="48"/>
  <c r="DD1220" i="48"/>
  <c r="DE1219" i="48"/>
  <c r="DD1219" i="48"/>
  <c r="DE1218" i="48"/>
  <c r="DD1218" i="48"/>
  <c r="DE1217" i="48"/>
  <c r="DD1217" i="48"/>
  <c r="DE1216" i="48"/>
  <c r="DD1216" i="48"/>
  <c r="DE1215" i="48"/>
  <c r="DD1215" i="48"/>
  <c r="DE1214" i="48"/>
  <c r="DD1214" i="48"/>
  <c r="DE1213" i="48"/>
  <c r="DD1213" i="48"/>
  <c r="DE1212" i="48"/>
  <c r="DD1212" i="48"/>
  <c r="DE1211" i="48"/>
  <c r="DD1211" i="48"/>
  <c r="DE1210" i="48"/>
  <c r="DD1210" i="48"/>
  <c r="DE1209" i="48"/>
  <c r="DD1209" i="48"/>
  <c r="DE1208" i="48"/>
  <c r="DD1208" i="48"/>
  <c r="DE1207" i="48"/>
  <c r="DD1207" i="48"/>
  <c r="DE1206" i="48"/>
  <c r="DD1206" i="48"/>
  <c r="DE1205" i="48"/>
  <c r="DD1205" i="48"/>
  <c r="DE1204" i="48"/>
  <c r="DD1204" i="48"/>
  <c r="DE1203" i="48"/>
  <c r="DD1203" i="48"/>
  <c r="DE1201" i="48"/>
  <c r="DD1201" i="48"/>
  <c r="DE1200" i="48"/>
  <c r="DD1200" i="48"/>
  <c r="DE1199" i="48"/>
  <c r="DD1199" i="48"/>
  <c r="DE1198" i="48"/>
  <c r="DD1198" i="48"/>
  <c r="DE1197" i="48"/>
  <c r="DD1197" i="48"/>
  <c r="DE1196" i="48"/>
  <c r="DD1196" i="48"/>
  <c r="DE1195" i="48"/>
  <c r="DD1195" i="48"/>
  <c r="DE1194" i="48"/>
  <c r="DD1194" i="48"/>
  <c r="DE1193" i="48"/>
  <c r="DD1193" i="48"/>
  <c r="DE1192" i="48"/>
  <c r="DD1192" i="48"/>
  <c r="DE1191" i="48"/>
  <c r="DD1191" i="48"/>
  <c r="DE1190" i="48"/>
  <c r="DD1190" i="48"/>
  <c r="DE1189" i="48"/>
  <c r="DD1189" i="48"/>
  <c r="DE1188" i="48"/>
  <c r="DD1188" i="48"/>
  <c r="DE1187" i="48"/>
  <c r="DD1187" i="48"/>
  <c r="DE1186" i="48"/>
  <c r="DD1186" i="48"/>
  <c r="DE1185" i="48"/>
  <c r="DD1185" i="48"/>
  <c r="DE1184" i="48"/>
  <c r="DD1184" i="48"/>
  <c r="DE1183" i="48"/>
  <c r="DD1183" i="48"/>
  <c r="DE1182" i="48"/>
  <c r="DD1182" i="48"/>
  <c r="DE1181" i="48"/>
  <c r="DD1181" i="48"/>
  <c r="DE1180" i="48"/>
  <c r="DD1180" i="48"/>
  <c r="DE1179" i="48"/>
  <c r="DD1179" i="48"/>
  <c r="DE1178" i="48"/>
  <c r="DD1178" i="48"/>
  <c r="DE1176" i="48"/>
  <c r="DD1176" i="48"/>
  <c r="DE1175" i="48"/>
  <c r="DD1175" i="48"/>
  <c r="DE1174" i="48"/>
  <c r="DD1174" i="48"/>
  <c r="DE1173" i="48"/>
  <c r="DD1173" i="48"/>
  <c r="DE1172" i="48"/>
  <c r="DD1172" i="48"/>
  <c r="DE1171" i="48"/>
  <c r="DD1171" i="48"/>
  <c r="DE1170" i="48"/>
  <c r="DD1170" i="48"/>
  <c r="DE1169" i="48"/>
  <c r="DD1169" i="48"/>
  <c r="DE1168" i="48"/>
  <c r="DD1168" i="48"/>
  <c r="DE1167" i="48"/>
  <c r="DD1167" i="48"/>
  <c r="DE1166" i="48"/>
  <c r="DD1166" i="48"/>
  <c r="DE1165" i="48"/>
  <c r="DD1165" i="48"/>
  <c r="DE1164" i="48"/>
  <c r="DD1164" i="48"/>
  <c r="DE1163" i="48"/>
  <c r="DD1163" i="48"/>
  <c r="DE1162" i="48"/>
  <c r="DD1162" i="48"/>
  <c r="DE1161" i="48"/>
  <c r="DD1161" i="48"/>
  <c r="DE1160" i="48"/>
  <c r="DD1160" i="48"/>
  <c r="DE1159" i="48"/>
  <c r="DD1159" i="48"/>
  <c r="DE1158" i="48"/>
  <c r="DD1158" i="48"/>
  <c r="DE1157" i="48"/>
  <c r="DD1157" i="48"/>
  <c r="DE1156" i="48"/>
  <c r="DD1156" i="48"/>
  <c r="DE1155" i="48"/>
  <c r="DD1155" i="48"/>
  <c r="DE1154" i="48"/>
  <c r="DD1154" i="48"/>
  <c r="DE1153" i="48"/>
  <c r="DD1153" i="48"/>
  <c r="DE1151" i="48"/>
  <c r="DD1151" i="48"/>
  <c r="DE1150" i="48"/>
  <c r="DD1150" i="48"/>
  <c r="DE1149" i="48"/>
  <c r="DD1149" i="48"/>
  <c r="DE1148" i="48"/>
  <c r="DD1148" i="48"/>
  <c r="DE1147" i="48"/>
  <c r="DD1147" i="48"/>
  <c r="DE1146" i="48"/>
  <c r="DD1146" i="48"/>
  <c r="DE1145" i="48"/>
  <c r="DD1145" i="48"/>
  <c r="DE1144" i="48"/>
  <c r="DD1144" i="48"/>
  <c r="DE1143" i="48"/>
  <c r="DD1143" i="48"/>
  <c r="DE1142" i="48"/>
  <c r="DD1142" i="48"/>
  <c r="DE1141" i="48"/>
  <c r="DD1141" i="48"/>
  <c r="DE1140" i="48"/>
  <c r="DD1140" i="48"/>
  <c r="DE1139" i="48"/>
  <c r="DD1139" i="48"/>
  <c r="DE1138" i="48"/>
  <c r="DD1138" i="48"/>
  <c r="DE1137" i="48"/>
  <c r="DD1137" i="48"/>
  <c r="DE1136" i="48"/>
  <c r="DD1136" i="48"/>
  <c r="DE1135" i="48"/>
  <c r="DD1135" i="48"/>
  <c r="DE1134" i="48"/>
  <c r="DD1134" i="48"/>
  <c r="DE1133" i="48"/>
  <c r="DD1133" i="48"/>
  <c r="DE1132" i="48"/>
  <c r="DD1132" i="48"/>
  <c r="DE1131" i="48"/>
  <c r="DD1131" i="48"/>
  <c r="DE1130" i="48"/>
  <c r="DD1130" i="48"/>
  <c r="DE1129" i="48"/>
  <c r="DD1129" i="48"/>
  <c r="DE1128" i="48"/>
  <c r="DD1128" i="48"/>
  <c r="DE1126" i="48"/>
  <c r="DD1126" i="48"/>
  <c r="DE1125" i="48"/>
  <c r="DD1125" i="48"/>
  <c r="DE1124" i="48"/>
  <c r="DD1124" i="48"/>
  <c r="DE1123" i="48"/>
  <c r="DD1123" i="48"/>
  <c r="DE1122" i="48"/>
  <c r="DD1122" i="48"/>
  <c r="DE1121" i="48"/>
  <c r="DD1121" i="48"/>
  <c r="DE1120" i="48"/>
  <c r="DD1120" i="48"/>
  <c r="DE1119" i="48"/>
  <c r="DD1119" i="48"/>
  <c r="DE1118" i="48"/>
  <c r="DD1118" i="48"/>
  <c r="DE1117" i="48"/>
  <c r="DD1117" i="48"/>
  <c r="DE1116" i="48"/>
  <c r="DD1116" i="48"/>
  <c r="DE1115" i="48"/>
  <c r="DD1115" i="48"/>
  <c r="DE1114" i="48"/>
  <c r="DD1114" i="48"/>
  <c r="DE1113" i="48"/>
  <c r="DD1113" i="48"/>
  <c r="DE1112" i="48"/>
  <c r="DD1112" i="48"/>
  <c r="DE1111" i="48"/>
  <c r="DD1111" i="48"/>
  <c r="DE1110" i="48"/>
  <c r="DD1110" i="48"/>
  <c r="DE1109" i="48"/>
  <c r="DD1109" i="48"/>
  <c r="DE1108" i="48"/>
  <c r="DD1108" i="48"/>
  <c r="DE1107" i="48"/>
  <c r="DD1107" i="48"/>
  <c r="DE1106" i="48"/>
  <c r="DD1106" i="48"/>
  <c r="DE1105" i="48"/>
  <c r="DD1105" i="48"/>
  <c r="DE1104" i="48"/>
  <c r="DD1104" i="48"/>
  <c r="DE1103" i="48"/>
  <c r="DD1103" i="48"/>
  <c r="DE1101" i="48"/>
  <c r="DD1101" i="48"/>
  <c r="DE1100" i="48"/>
  <c r="DD1100" i="48"/>
  <c r="DE1099" i="48"/>
  <c r="DD1099" i="48"/>
  <c r="DE1098" i="48"/>
  <c r="DD1098" i="48"/>
  <c r="DE1097" i="48"/>
  <c r="DD1097" i="48"/>
  <c r="DE1096" i="48"/>
  <c r="DD1096" i="48"/>
  <c r="DE1095" i="48"/>
  <c r="DD1095" i="48"/>
  <c r="DE1094" i="48"/>
  <c r="DD1094" i="48"/>
  <c r="DE1093" i="48"/>
  <c r="DD1093" i="48"/>
  <c r="DE1092" i="48"/>
  <c r="DD1092" i="48"/>
  <c r="DE1091" i="48"/>
  <c r="DD1091" i="48"/>
  <c r="DE1090" i="48"/>
  <c r="DD1090" i="48"/>
  <c r="DE1089" i="48"/>
  <c r="DD1089" i="48"/>
  <c r="DE1088" i="48"/>
  <c r="DD1088" i="48"/>
  <c r="DE1087" i="48"/>
  <c r="DD1087" i="48"/>
  <c r="DE1086" i="48"/>
  <c r="DD1086" i="48"/>
  <c r="DE1085" i="48"/>
  <c r="DD1085" i="48"/>
  <c r="DE1084" i="48"/>
  <c r="DD1084" i="48"/>
  <c r="DE1083" i="48"/>
  <c r="DD1083" i="48"/>
  <c r="DE1082" i="48"/>
  <c r="DD1082" i="48"/>
  <c r="DE1081" i="48"/>
  <c r="DD1081" i="48"/>
  <c r="DE1080" i="48"/>
  <c r="DD1080" i="48"/>
  <c r="DE1079" i="48"/>
  <c r="DD1079" i="48"/>
  <c r="DE1078" i="48"/>
  <c r="DD1078" i="48"/>
  <c r="DE1076" i="48"/>
  <c r="DD1076" i="48"/>
  <c r="DE1075" i="48"/>
  <c r="DD1075" i="48"/>
  <c r="DE1074" i="48"/>
  <c r="DD1074" i="48"/>
  <c r="DE1073" i="48"/>
  <c r="DD1073" i="48"/>
  <c r="DE1072" i="48"/>
  <c r="DD1072" i="48"/>
  <c r="DE1071" i="48"/>
  <c r="DD1071" i="48"/>
  <c r="DE1070" i="48"/>
  <c r="DD1070" i="48"/>
  <c r="DE1069" i="48"/>
  <c r="DD1069" i="48"/>
  <c r="DE1068" i="48"/>
  <c r="DD1068" i="48"/>
  <c r="DE1067" i="48"/>
  <c r="DD1067" i="48"/>
  <c r="DE1066" i="48"/>
  <c r="DD1066" i="48"/>
  <c r="DE1065" i="48"/>
  <c r="DD1065" i="48"/>
  <c r="DE1064" i="48"/>
  <c r="DD1064" i="48"/>
  <c r="DE1063" i="48"/>
  <c r="DD1063" i="48"/>
  <c r="DE1062" i="48"/>
  <c r="DD1062" i="48"/>
  <c r="DE1061" i="48"/>
  <c r="DD1061" i="48"/>
  <c r="DE1060" i="48"/>
  <c r="DD1060" i="48"/>
  <c r="DE1059" i="48"/>
  <c r="DD1059" i="48"/>
  <c r="DE1058" i="48"/>
  <c r="DD1058" i="48"/>
  <c r="DE1057" i="48"/>
  <c r="DD1057" i="48"/>
  <c r="DE1056" i="48"/>
  <c r="DD1056" i="48"/>
  <c r="DE1055" i="48"/>
  <c r="DD1055" i="48"/>
  <c r="DE1054" i="48"/>
  <c r="DD1054" i="48"/>
  <c r="DE1053" i="48"/>
  <c r="DD1053" i="48"/>
  <c r="DE1051" i="48"/>
  <c r="DD1051" i="48"/>
  <c r="DE1050" i="48"/>
  <c r="DD1050" i="48"/>
  <c r="DE1049" i="48"/>
  <c r="DD1049" i="48"/>
  <c r="DE1048" i="48"/>
  <c r="DD1048" i="48"/>
  <c r="DE1047" i="48"/>
  <c r="DD1047" i="48"/>
  <c r="DE1046" i="48"/>
  <c r="DD1046" i="48"/>
  <c r="DE1045" i="48"/>
  <c r="DD1045" i="48"/>
  <c r="DE1044" i="48"/>
  <c r="DD1044" i="48"/>
  <c r="DE1043" i="48"/>
  <c r="DD1043" i="48"/>
  <c r="DE1042" i="48"/>
  <c r="DD1042" i="48"/>
  <c r="DE1041" i="48"/>
  <c r="DD1041" i="48"/>
  <c r="DE1040" i="48"/>
  <c r="DD1040" i="48"/>
  <c r="DE1039" i="48"/>
  <c r="DD1039" i="48"/>
  <c r="DE1038" i="48"/>
  <c r="DD1038" i="48"/>
  <c r="DE1037" i="48"/>
  <c r="DD1037" i="48"/>
  <c r="DE1036" i="48"/>
  <c r="DD1036" i="48"/>
  <c r="DE1035" i="48"/>
  <c r="DD1035" i="48"/>
  <c r="DE1034" i="48"/>
  <c r="DD1034" i="48"/>
  <c r="DE1033" i="48"/>
  <c r="DD1033" i="48"/>
  <c r="DE1032" i="48"/>
  <c r="DD1032" i="48"/>
  <c r="DE1031" i="48"/>
  <c r="DD1031" i="48"/>
  <c r="DE1030" i="48"/>
  <c r="DD1030" i="48"/>
  <c r="DE1029" i="48"/>
  <c r="DD1029" i="48"/>
  <c r="DE1028" i="48"/>
  <c r="DD1028" i="48"/>
  <c r="DE1026" i="48"/>
  <c r="DD1026" i="48"/>
  <c r="DE1025" i="48"/>
  <c r="DD1025" i="48"/>
  <c r="DE1024" i="48"/>
  <c r="DD1024" i="48"/>
  <c r="DE1023" i="48"/>
  <c r="DD1023" i="48"/>
  <c r="DE1022" i="48"/>
  <c r="DD1022" i="48"/>
  <c r="DE1021" i="48"/>
  <c r="DD1021" i="48"/>
  <c r="DE1020" i="48"/>
  <c r="DD1020" i="48"/>
  <c r="DE1019" i="48"/>
  <c r="DD1019" i="48"/>
  <c r="DE1018" i="48"/>
  <c r="DD1018" i="48"/>
  <c r="DE1017" i="48"/>
  <c r="DD1017" i="48"/>
  <c r="DE1016" i="48"/>
  <c r="DD1016" i="48"/>
  <c r="DE1015" i="48"/>
  <c r="DD1015" i="48"/>
  <c r="DE1014" i="48"/>
  <c r="DD1014" i="48"/>
  <c r="DE1013" i="48"/>
  <c r="DD1013" i="48"/>
  <c r="DE1012" i="48"/>
  <c r="DD1012" i="48"/>
  <c r="DE1011" i="48"/>
  <c r="DD1011" i="48"/>
  <c r="DE1010" i="48"/>
  <c r="DD1010" i="48"/>
  <c r="DE1009" i="48"/>
  <c r="DD1009" i="48"/>
  <c r="DE1008" i="48"/>
  <c r="DD1008" i="48"/>
  <c r="DE1007" i="48"/>
  <c r="DD1007" i="48"/>
  <c r="DE1006" i="48"/>
  <c r="DD1006" i="48"/>
  <c r="DE1005" i="48"/>
  <c r="DD1005" i="48"/>
  <c r="DE1004" i="48"/>
  <c r="DD1004" i="48"/>
  <c r="DE1003" i="48"/>
  <c r="DD1003" i="48"/>
  <c r="DE1001" i="48"/>
  <c r="DD1001" i="48"/>
  <c r="DE1000" i="48"/>
  <c r="DD1000" i="48"/>
  <c r="DE999" i="48"/>
  <c r="DD999" i="48"/>
  <c r="DE998" i="48"/>
  <c r="DD998" i="48"/>
  <c r="DE997" i="48"/>
  <c r="DD997" i="48"/>
  <c r="DE996" i="48"/>
  <c r="DD996" i="48"/>
  <c r="DE995" i="48"/>
  <c r="DD995" i="48"/>
  <c r="DE994" i="48"/>
  <c r="DD994" i="48"/>
  <c r="DE993" i="48"/>
  <c r="DD993" i="48"/>
  <c r="DE992" i="48"/>
  <c r="DD992" i="48"/>
  <c r="DE991" i="48"/>
  <c r="DD991" i="48"/>
  <c r="DE990" i="48"/>
  <c r="DD990" i="48"/>
  <c r="DE989" i="48"/>
  <c r="DD989" i="48"/>
  <c r="DE988" i="48"/>
  <c r="DD988" i="48"/>
  <c r="DE987" i="48"/>
  <c r="DD987" i="48"/>
  <c r="DE986" i="48"/>
  <c r="DD986" i="48"/>
  <c r="DE985" i="48"/>
  <c r="DD985" i="48"/>
  <c r="DE984" i="48"/>
  <c r="DD984" i="48"/>
  <c r="DE983" i="48"/>
  <c r="DD983" i="48"/>
  <c r="DE982" i="48"/>
  <c r="DD982" i="48"/>
  <c r="DE981" i="48"/>
  <c r="DD981" i="48"/>
  <c r="DE980" i="48"/>
  <c r="DD980" i="48"/>
  <c r="DE979" i="48"/>
  <c r="DD979" i="48"/>
  <c r="DE978" i="48"/>
  <c r="DD978" i="48"/>
  <c r="DE976" i="48"/>
  <c r="DD976" i="48"/>
  <c r="DE975" i="48"/>
  <c r="DD975" i="48"/>
  <c r="DE974" i="48"/>
  <c r="DD974" i="48"/>
  <c r="DE973" i="48"/>
  <c r="DD973" i="48"/>
  <c r="DE972" i="48"/>
  <c r="DD972" i="48"/>
  <c r="DE971" i="48"/>
  <c r="DD971" i="48"/>
  <c r="DE970" i="48"/>
  <c r="DD970" i="48"/>
  <c r="DE969" i="48"/>
  <c r="DD969" i="48"/>
  <c r="DE968" i="48"/>
  <c r="DD968" i="48"/>
  <c r="DE967" i="48"/>
  <c r="DD967" i="48"/>
  <c r="DE966" i="48"/>
  <c r="DD966" i="48"/>
  <c r="DE965" i="48"/>
  <c r="DD965" i="48"/>
  <c r="DE964" i="48"/>
  <c r="DD964" i="48"/>
  <c r="DE963" i="48"/>
  <c r="DD963" i="48"/>
  <c r="DE962" i="48"/>
  <c r="DD962" i="48"/>
  <c r="DE961" i="48"/>
  <c r="DD961" i="48"/>
  <c r="DE960" i="48"/>
  <c r="DD960" i="48"/>
  <c r="DE959" i="48"/>
  <c r="DD959" i="48"/>
  <c r="DE958" i="48"/>
  <c r="DD958" i="48"/>
  <c r="DE957" i="48"/>
  <c r="DD957" i="48"/>
  <c r="DE956" i="48"/>
  <c r="DD956" i="48"/>
  <c r="DE955" i="48"/>
  <c r="DD955" i="48"/>
  <c r="DE954" i="48"/>
  <c r="DD954" i="48"/>
  <c r="DE953" i="48"/>
  <c r="DD953" i="48"/>
  <c r="DE951" i="48"/>
  <c r="DD951" i="48"/>
  <c r="DE950" i="48"/>
  <c r="DD950" i="48"/>
  <c r="DE949" i="48"/>
  <c r="DD949" i="48"/>
  <c r="DE948" i="48"/>
  <c r="DD948" i="48"/>
  <c r="DE947" i="48"/>
  <c r="DD947" i="48"/>
  <c r="DE946" i="48"/>
  <c r="DD946" i="48"/>
  <c r="DE945" i="48"/>
  <c r="DD945" i="48"/>
  <c r="DE944" i="48"/>
  <c r="DD944" i="48"/>
  <c r="DE943" i="48"/>
  <c r="DD943" i="48"/>
  <c r="DE942" i="48"/>
  <c r="DD942" i="48"/>
  <c r="DE941" i="48"/>
  <c r="DD941" i="48"/>
  <c r="DE940" i="48"/>
  <c r="DD940" i="48"/>
  <c r="DE939" i="48"/>
  <c r="DD939" i="48"/>
  <c r="DE938" i="48"/>
  <c r="DD938" i="48"/>
  <c r="DE937" i="48"/>
  <c r="DD937" i="48"/>
  <c r="DE936" i="48"/>
  <c r="DD936" i="48"/>
  <c r="DE935" i="48"/>
  <c r="DD935" i="48"/>
  <c r="DE934" i="48"/>
  <c r="DD934" i="48"/>
  <c r="DE933" i="48"/>
  <c r="DD933" i="48"/>
  <c r="DE932" i="48"/>
  <c r="DD932" i="48"/>
  <c r="DE931" i="48"/>
  <c r="DD931" i="48"/>
  <c r="DE930" i="48"/>
  <c r="DD930" i="48"/>
  <c r="DE929" i="48"/>
  <c r="DD929" i="48"/>
  <c r="DE928" i="48"/>
  <c r="DD928" i="48"/>
  <c r="DE926" i="48"/>
  <c r="DD926" i="48"/>
  <c r="DE925" i="48"/>
  <c r="DD925" i="48"/>
  <c r="DE924" i="48"/>
  <c r="DD924" i="48"/>
  <c r="DE923" i="48"/>
  <c r="DD923" i="48"/>
  <c r="DE922" i="48"/>
  <c r="DD922" i="48"/>
  <c r="DE921" i="48"/>
  <c r="DD921" i="48"/>
  <c r="DE920" i="48"/>
  <c r="DD920" i="48"/>
  <c r="DE919" i="48"/>
  <c r="DD919" i="48"/>
  <c r="DE918" i="48"/>
  <c r="DD918" i="48"/>
  <c r="DE917" i="48"/>
  <c r="DD917" i="48"/>
  <c r="DE916" i="48"/>
  <c r="DD916" i="48"/>
  <c r="DE915" i="48"/>
  <c r="DD915" i="48"/>
  <c r="DE914" i="48"/>
  <c r="DD914" i="48"/>
  <c r="DE913" i="48"/>
  <c r="DD913" i="48"/>
  <c r="DE912" i="48"/>
  <c r="DD912" i="48"/>
  <c r="DE911" i="48"/>
  <c r="DD911" i="48"/>
  <c r="DE910" i="48"/>
  <c r="DD910" i="48"/>
  <c r="DE909" i="48"/>
  <c r="DD909" i="48"/>
  <c r="DE908" i="48"/>
  <c r="DD908" i="48"/>
  <c r="DE907" i="48"/>
  <c r="DD907" i="48"/>
  <c r="DE906" i="48"/>
  <c r="DD906" i="48"/>
  <c r="DE905" i="48"/>
  <c r="DD905" i="48"/>
  <c r="DE904" i="48"/>
  <c r="DD904" i="48"/>
  <c r="DE903" i="48"/>
  <c r="DD903" i="48"/>
  <c r="DE901" i="48"/>
  <c r="DD901" i="48"/>
  <c r="DE900" i="48"/>
  <c r="DD900" i="48"/>
  <c r="DE899" i="48"/>
  <c r="DD899" i="48"/>
  <c r="DE898" i="48"/>
  <c r="DD898" i="48"/>
  <c r="DE897" i="48"/>
  <c r="DD897" i="48"/>
  <c r="DE896" i="48"/>
  <c r="DD896" i="48"/>
  <c r="DE895" i="48"/>
  <c r="DD895" i="48"/>
  <c r="DE894" i="48"/>
  <c r="DD894" i="48"/>
  <c r="DE893" i="48"/>
  <c r="DD893" i="48"/>
  <c r="DE892" i="48"/>
  <c r="DD892" i="48"/>
  <c r="DE891" i="48"/>
  <c r="DD891" i="48"/>
  <c r="DE890" i="48"/>
  <c r="DD890" i="48"/>
  <c r="DE889" i="48"/>
  <c r="DD889" i="48"/>
  <c r="DE888" i="48"/>
  <c r="DD888" i="48"/>
  <c r="DE887" i="48"/>
  <c r="DD887" i="48"/>
  <c r="DE886" i="48"/>
  <c r="DD886" i="48"/>
  <c r="DE885" i="48"/>
  <c r="DD885" i="48"/>
  <c r="DE884" i="48"/>
  <c r="DD884" i="48"/>
  <c r="DE883" i="48"/>
  <c r="DD883" i="48"/>
  <c r="DE882" i="48"/>
  <c r="DD882" i="48"/>
  <c r="DE881" i="48"/>
  <c r="DD881" i="48"/>
  <c r="DE880" i="48"/>
  <c r="DD880" i="48"/>
  <c r="DE879" i="48"/>
  <c r="DD879" i="48"/>
  <c r="DE878" i="48"/>
  <c r="DD878" i="48"/>
  <c r="DE876" i="48"/>
  <c r="DD876" i="48"/>
  <c r="DE875" i="48"/>
  <c r="DD875" i="48"/>
  <c r="DE874" i="48"/>
  <c r="DD874" i="48"/>
  <c r="DE873" i="48"/>
  <c r="DD873" i="48"/>
  <c r="DE872" i="48"/>
  <c r="DD872" i="48"/>
  <c r="DE871" i="48"/>
  <c r="DD871" i="48"/>
  <c r="DE870" i="48"/>
  <c r="DD870" i="48"/>
  <c r="DE869" i="48"/>
  <c r="DD869" i="48"/>
  <c r="DE868" i="48"/>
  <c r="DD868" i="48"/>
  <c r="DE867" i="48"/>
  <c r="DD867" i="48"/>
  <c r="DE866" i="48"/>
  <c r="DD866" i="48"/>
  <c r="DE865" i="48"/>
  <c r="DD865" i="48"/>
  <c r="DE864" i="48"/>
  <c r="DD864" i="48"/>
  <c r="DE863" i="48"/>
  <c r="DD863" i="48"/>
  <c r="DE862" i="48"/>
  <c r="DD862" i="48"/>
  <c r="DE861" i="48"/>
  <c r="DD861" i="48"/>
  <c r="DE860" i="48"/>
  <c r="DD860" i="48"/>
  <c r="DE859" i="48"/>
  <c r="DD859" i="48"/>
  <c r="DE858" i="48"/>
  <c r="DD858" i="48"/>
  <c r="DE857" i="48"/>
  <c r="DD857" i="48"/>
  <c r="DE856" i="48"/>
  <c r="DD856" i="48"/>
  <c r="DE855" i="48"/>
  <c r="DD855" i="48"/>
  <c r="DE854" i="48"/>
  <c r="DD854" i="48"/>
  <c r="DE853" i="48"/>
  <c r="DD853" i="48"/>
  <c r="DE826" i="48"/>
  <c r="DD826" i="48"/>
  <c r="CW826" i="48" s="1"/>
  <c r="DE825" i="48"/>
  <c r="DD825" i="48"/>
  <c r="DE824" i="48"/>
  <c r="DD824" i="48"/>
  <c r="DE823" i="48"/>
  <c r="DD823" i="48"/>
  <c r="DE822" i="48"/>
  <c r="DD822" i="48"/>
  <c r="DE821" i="48"/>
  <c r="DD821" i="48"/>
  <c r="DE820" i="48"/>
  <c r="DD820" i="48"/>
  <c r="DE819" i="48"/>
  <c r="DD819" i="48"/>
  <c r="DE818" i="48"/>
  <c r="DD818" i="48"/>
  <c r="DE817" i="48"/>
  <c r="DD817" i="48"/>
  <c r="DE816" i="48"/>
  <c r="DD816" i="48"/>
  <c r="DE815" i="48"/>
  <c r="DD815" i="48"/>
  <c r="DE814" i="48"/>
  <c r="DD814" i="48"/>
  <c r="DE813" i="48"/>
  <c r="DD813" i="48"/>
  <c r="DE812" i="48"/>
  <c r="DD812" i="48"/>
  <c r="DE811" i="48"/>
  <c r="DD811" i="48"/>
  <c r="DE810" i="48"/>
  <c r="DD810" i="48"/>
  <c r="DE809" i="48"/>
  <c r="DD809" i="48"/>
  <c r="DE808" i="48"/>
  <c r="DD808" i="48"/>
  <c r="DE807" i="48"/>
  <c r="DD807" i="48"/>
  <c r="DE806" i="48"/>
  <c r="DD806" i="48"/>
  <c r="DE805" i="48"/>
  <c r="DD805" i="48"/>
  <c r="DE804" i="48"/>
  <c r="DD804" i="48"/>
  <c r="DE803" i="48"/>
  <c r="DD803" i="48"/>
  <c r="DE801" i="48"/>
  <c r="DD801" i="48"/>
  <c r="DE800" i="48"/>
  <c r="DD800" i="48"/>
  <c r="DE799" i="48"/>
  <c r="DD799" i="48"/>
  <c r="DE798" i="48"/>
  <c r="DD798" i="48"/>
  <c r="DE797" i="48"/>
  <c r="DD797" i="48"/>
  <c r="DE796" i="48"/>
  <c r="DD796" i="48"/>
  <c r="DE795" i="48"/>
  <c r="DD795" i="48"/>
  <c r="DE794" i="48"/>
  <c r="DD794" i="48"/>
  <c r="DE793" i="48"/>
  <c r="DD793" i="48"/>
  <c r="DE792" i="48"/>
  <c r="DD792" i="48"/>
  <c r="DE791" i="48"/>
  <c r="DD791" i="48"/>
  <c r="DE790" i="48"/>
  <c r="DD790" i="48"/>
  <c r="DE789" i="48"/>
  <c r="DD789" i="48"/>
  <c r="DE788" i="48"/>
  <c r="DD788" i="48"/>
  <c r="DE787" i="48"/>
  <c r="DD787" i="48"/>
  <c r="DE786" i="48"/>
  <c r="DD786" i="48"/>
  <c r="DE785" i="48"/>
  <c r="DD785" i="48"/>
  <c r="DE784" i="48"/>
  <c r="DD784" i="48"/>
  <c r="DE783" i="48"/>
  <c r="DD783" i="48"/>
  <c r="DE782" i="48"/>
  <c r="DD782" i="48"/>
  <c r="DE781" i="48"/>
  <c r="DD781" i="48"/>
  <c r="DE780" i="48"/>
  <c r="DD780" i="48"/>
  <c r="DE779" i="48"/>
  <c r="DD779" i="48"/>
  <c r="DE778" i="48"/>
  <c r="DD778" i="48"/>
  <c r="DE776" i="48"/>
  <c r="DD776" i="48"/>
  <c r="DE775" i="48"/>
  <c r="DD775" i="48"/>
  <c r="DE774" i="48"/>
  <c r="DD774" i="48"/>
  <c r="DE773" i="48"/>
  <c r="DD773" i="48"/>
  <c r="DE772" i="48"/>
  <c r="DD772" i="48"/>
  <c r="DE771" i="48"/>
  <c r="DD771" i="48"/>
  <c r="DE770" i="48"/>
  <c r="DD770" i="48"/>
  <c r="DE769" i="48"/>
  <c r="DD769" i="48"/>
  <c r="DE768" i="48"/>
  <c r="DD768" i="48"/>
  <c r="DE767" i="48"/>
  <c r="DD767" i="48"/>
  <c r="DE766" i="48"/>
  <c r="DD766" i="48"/>
  <c r="DE765" i="48"/>
  <c r="DD765" i="48"/>
  <c r="DE764" i="48"/>
  <c r="DD764" i="48"/>
  <c r="DE763" i="48"/>
  <c r="DD763" i="48"/>
  <c r="DE762" i="48"/>
  <c r="DD762" i="48"/>
  <c r="DE761" i="48"/>
  <c r="DD761" i="48"/>
  <c r="DE760" i="48"/>
  <c r="DD760" i="48"/>
  <c r="DE759" i="48"/>
  <c r="DD759" i="48"/>
  <c r="DE758" i="48"/>
  <c r="DD758" i="48"/>
  <c r="DE757" i="48"/>
  <c r="DD757" i="48"/>
  <c r="DE756" i="48"/>
  <c r="DD756" i="48"/>
  <c r="DE755" i="48"/>
  <c r="DD755" i="48"/>
  <c r="DE754" i="48"/>
  <c r="DD754" i="48"/>
  <c r="DE753" i="48"/>
  <c r="DD753" i="48"/>
  <c r="DE751" i="48"/>
  <c r="DD751" i="48"/>
  <c r="DE750" i="48"/>
  <c r="DD750" i="48"/>
  <c r="DE749" i="48"/>
  <c r="DD749" i="48"/>
  <c r="DE748" i="48"/>
  <c r="DD748" i="48"/>
  <c r="DE747" i="48"/>
  <c r="DD747" i="48"/>
  <c r="DE746" i="48"/>
  <c r="DD746" i="48"/>
  <c r="DE745" i="48"/>
  <c r="DD745" i="48"/>
  <c r="DE744" i="48"/>
  <c r="DD744" i="48"/>
  <c r="DE743" i="48"/>
  <c r="DD743" i="48"/>
  <c r="DE742" i="48"/>
  <c r="DD742" i="48"/>
  <c r="DE741" i="48"/>
  <c r="DD741" i="48"/>
  <c r="DE740" i="48"/>
  <c r="DD740" i="48"/>
  <c r="DE739" i="48"/>
  <c r="DD739" i="48"/>
  <c r="DE738" i="48"/>
  <c r="DD738" i="48"/>
  <c r="DE737" i="48"/>
  <c r="DD737" i="48"/>
  <c r="DE736" i="48"/>
  <c r="DD736" i="48"/>
  <c r="DE735" i="48"/>
  <c r="DD735" i="48"/>
  <c r="DE734" i="48"/>
  <c r="DD734" i="48"/>
  <c r="DE733" i="48"/>
  <c r="DD733" i="48"/>
  <c r="DE732" i="48"/>
  <c r="DD732" i="48"/>
  <c r="DE731" i="48"/>
  <c r="DD731" i="48"/>
  <c r="DE730" i="48"/>
  <c r="DD730" i="48"/>
  <c r="DE729" i="48"/>
  <c r="DD729" i="48"/>
  <c r="DE728" i="48"/>
  <c r="DD728" i="48"/>
  <c r="DE726" i="48"/>
  <c r="DD726" i="48"/>
  <c r="DE725" i="48"/>
  <c r="DD725" i="48"/>
  <c r="DE724" i="48"/>
  <c r="DD724" i="48"/>
  <c r="DE723" i="48"/>
  <c r="DD723" i="48"/>
  <c r="DE722" i="48"/>
  <c r="DD722" i="48"/>
  <c r="DE721" i="48"/>
  <c r="DD721" i="48"/>
  <c r="DE720" i="48"/>
  <c r="DD720" i="48"/>
  <c r="DE719" i="48"/>
  <c r="DD719" i="48"/>
  <c r="DE718" i="48"/>
  <c r="DD718" i="48"/>
  <c r="DE717" i="48"/>
  <c r="DD717" i="48"/>
  <c r="DE716" i="48"/>
  <c r="DD716" i="48"/>
  <c r="DE715" i="48"/>
  <c r="DD715" i="48"/>
  <c r="DE714" i="48"/>
  <c r="DD714" i="48"/>
  <c r="DE713" i="48"/>
  <c r="DD713" i="48"/>
  <c r="DE712" i="48"/>
  <c r="DD712" i="48"/>
  <c r="DE711" i="48"/>
  <c r="DD711" i="48"/>
  <c r="DE710" i="48"/>
  <c r="DD710" i="48"/>
  <c r="DE709" i="48"/>
  <c r="DD709" i="48"/>
  <c r="DE708" i="48"/>
  <c r="DD708" i="48"/>
  <c r="DE707" i="48"/>
  <c r="DD707" i="48"/>
  <c r="DE706" i="48"/>
  <c r="DD706" i="48"/>
  <c r="DE705" i="48"/>
  <c r="DD705" i="48"/>
  <c r="DE704" i="48"/>
  <c r="DD704" i="48"/>
  <c r="DE703" i="48"/>
  <c r="DD703" i="48"/>
  <c r="DE701" i="48"/>
  <c r="DD701" i="48"/>
  <c r="DE700" i="48"/>
  <c r="DD700" i="48"/>
  <c r="DE699" i="48"/>
  <c r="DD699" i="48"/>
  <c r="DE698" i="48"/>
  <c r="DD698" i="48"/>
  <c r="DE697" i="48"/>
  <c r="DD697" i="48"/>
  <c r="DE696" i="48"/>
  <c r="DD696" i="48"/>
  <c r="DE695" i="48"/>
  <c r="DD695" i="48"/>
  <c r="DE694" i="48"/>
  <c r="DD694" i="48"/>
  <c r="DE693" i="48"/>
  <c r="DD693" i="48"/>
  <c r="DE692" i="48"/>
  <c r="DD692" i="48"/>
  <c r="DE691" i="48"/>
  <c r="DD691" i="48"/>
  <c r="DE690" i="48"/>
  <c r="DD690" i="48"/>
  <c r="DE689" i="48"/>
  <c r="DD689" i="48"/>
  <c r="DE688" i="48"/>
  <c r="DD688" i="48"/>
  <c r="DE687" i="48"/>
  <c r="DD687" i="48"/>
  <c r="DE686" i="48"/>
  <c r="DD686" i="48"/>
  <c r="DE685" i="48"/>
  <c r="DD685" i="48"/>
  <c r="DE684" i="48"/>
  <c r="DD684" i="48"/>
  <c r="DE683" i="48"/>
  <c r="DD683" i="48"/>
  <c r="DE682" i="48"/>
  <c r="DD682" i="48"/>
  <c r="DE681" i="48"/>
  <c r="DD681" i="48"/>
  <c r="DE680" i="48"/>
  <c r="DD680" i="48"/>
  <c r="DE679" i="48"/>
  <c r="DD679" i="48"/>
  <c r="DE678" i="48"/>
  <c r="DD678" i="48"/>
  <c r="DE676" i="48"/>
  <c r="DD676" i="48"/>
  <c r="DE675" i="48"/>
  <c r="DD675" i="48"/>
  <c r="DE674" i="48"/>
  <c r="DD674" i="48"/>
  <c r="DE673" i="48"/>
  <c r="DD673" i="48"/>
  <c r="DE672" i="48"/>
  <c r="DD672" i="48"/>
  <c r="DE671" i="48"/>
  <c r="DD671" i="48"/>
  <c r="DE670" i="48"/>
  <c r="DD670" i="48"/>
  <c r="DE669" i="48"/>
  <c r="DD669" i="48"/>
  <c r="DE668" i="48"/>
  <c r="DD668" i="48"/>
  <c r="DE667" i="48"/>
  <c r="DD667" i="48"/>
  <c r="DE666" i="48"/>
  <c r="DD666" i="48"/>
  <c r="DE665" i="48"/>
  <c r="DD665" i="48"/>
  <c r="DE664" i="48"/>
  <c r="DD664" i="48"/>
  <c r="DE663" i="48"/>
  <c r="DD663" i="48"/>
  <c r="DE662" i="48"/>
  <c r="DD662" i="48"/>
  <c r="DE661" i="48"/>
  <c r="DD661" i="48"/>
  <c r="DE660" i="48"/>
  <c r="DD660" i="48"/>
  <c r="DE659" i="48"/>
  <c r="DD659" i="48"/>
  <c r="DE658" i="48"/>
  <c r="DD658" i="48"/>
  <c r="DE657" i="48"/>
  <c r="DD657" i="48"/>
  <c r="DE656" i="48"/>
  <c r="DD656" i="48"/>
  <c r="DE655" i="48"/>
  <c r="DD655" i="48"/>
  <c r="DE654" i="48"/>
  <c r="DD654" i="48"/>
  <c r="DE653" i="48"/>
  <c r="DD653" i="48"/>
  <c r="DE651" i="48"/>
  <c r="DD651" i="48"/>
  <c r="DE650" i="48"/>
  <c r="DD650" i="48"/>
  <c r="DE649" i="48"/>
  <c r="DD649" i="48"/>
  <c r="DE648" i="48"/>
  <c r="DD648" i="48"/>
  <c r="DE647" i="48"/>
  <c r="DD647" i="48"/>
  <c r="DE646" i="48"/>
  <c r="DD646" i="48"/>
  <c r="DE645" i="48"/>
  <c r="DD645" i="48"/>
  <c r="DE644" i="48"/>
  <c r="DD644" i="48"/>
  <c r="DE643" i="48"/>
  <c r="DD643" i="48"/>
  <c r="DE642" i="48"/>
  <c r="DD642" i="48"/>
  <c r="DE641" i="48"/>
  <c r="DD641" i="48"/>
  <c r="DE640" i="48"/>
  <c r="DD640" i="48"/>
  <c r="DE639" i="48"/>
  <c r="DD639" i="48"/>
  <c r="DE638" i="48"/>
  <c r="DD638" i="48"/>
  <c r="DE637" i="48"/>
  <c r="DD637" i="48"/>
  <c r="DE636" i="48"/>
  <c r="DD636" i="48"/>
  <c r="DE635" i="48"/>
  <c r="DD635" i="48"/>
  <c r="DE634" i="48"/>
  <c r="DD634" i="48"/>
  <c r="DE633" i="48"/>
  <c r="DD633" i="48"/>
  <c r="DE632" i="48"/>
  <c r="DD632" i="48"/>
  <c r="DE631" i="48"/>
  <c r="DD631" i="48"/>
  <c r="DE630" i="48"/>
  <c r="DD630" i="48"/>
  <c r="DE629" i="48"/>
  <c r="DD629" i="48"/>
  <c r="DE628" i="48"/>
  <c r="DD628" i="48"/>
  <c r="DE626" i="48"/>
  <c r="DD626" i="48"/>
  <c r="DE625" i="48"/>
  <c r="DD625" i="48"/>
  <c r="DE624" i="48"/>
  <c r="DD624" i="48"/>
  <c r="DE623" i="48"/>
  <c r="DD623" i="48"/>
  <c r="DE622" i="48"/>
  <c r="DD622" i="48"/>
  <c r="DE621" i="48"/>
  <c r="DD621" i="48"/>
  <c r="DE620" i="48"/>
  <c r="DD620" i="48"/>
  <c r="DE619" i="48"/>
  <c r="DD619" i="48"/>
  <c r="DE618" i="48"/>
  <c r="DD618" i="48"/>
  <c r="DE617" i="48"/>
  <c r="DD617" i="48"/>
  <c r="DE616" i="48"/>
  <c r="DD616" i="48"/>
  <c r="DE615" i="48"/>
  <c r="DD615" i="48"/>
  <c r="DE614" i="48"/>
  <c r="DD614" i="48"/>
  <c r="DE613" i="48"/>
  <c r="DD613" i="48"/>
  <c r="DE612" i="48"/>
  <c r="DD612" i="48"/>
  <c r="DE611" i="48"/>
  <c r="DD611" i="48"/>
  <c r="DE610" i="48"/>
  <c r="DD610" i="48"/>
  <c r="DE609" i="48"/>
  <c r="DD609" i="48"/>
  <c r="DE608" i="48"/>
  <c r="DD608" i="48"/>
  <c r="DE607" i="48"/>
  <c r="DD607" i="48"/>
  <c r="DE606" i="48"/>
  <c r="DD606" i="48"/>
  <c r="DE605" i="48"/>
  <c r="DD605" i="48"/>
  <c r="DE604" i="48"/>
  <c r="DD604" i="48"/>
  <c r="DE603" i="48"/>
  <c r="DD603" i="48"/>
  <c r="DE601" i="48"/>
  <c r="DD601" i="48"/>
  <c r="DE600" i="48"/>
  <c r="DD600" i="48"/>
  <c r="DE599" i="48"/>
  <c r="DD599" i="48"/>
  <c r="DE598" i="48"/>
  <c r="DD598" i="48"/>
  <c r="DE597" i="48"/>
  <c r="DD597" i="48"/>
  <c r="DE596" i="48"/>
  <c r="DD596" i="48"/>
  <c r="DE595" i="48"/>
  <c r="DD595" i="48"/>
  <c r="DE594" i="48"/>
  <c r="DD594" i="48"/>
  <c r="DE593" i="48"/>
  <c r="DD593" i="48"/>
  <c r="DE592" i="48"/>
  <c r="DD592" i="48"/>
  <c r="DE591" i="48"/>
  <c r="DD591" i="48"/>
  <c r="DE590" i="48"/>
  <c r="DD590" i="48"/>
  <c r="DE589" i="48"/>
  <c r="DD589" i="48"/>
  <c r="DE588" i="48"/>
  <c r="DD588" i="48"/>
  <c r="DE587" i="48"/>
  <c r="DD587" i="48"/>
  <c r="DE586" i="48"/>
  <c r="DD586" i="48"/>
  <c r="DE585" i="48"/>
  <c r="DD585" i="48"/>
  <c r="DE584" i="48"/>
  <c r="DD584" i="48"/>
  <c r="DE583" i="48"/>
  <c r="DD583" i="48"/>
  <c r="DE582" i="48"/>
  <c r="DD582" i="48"/>
  <c r="DE581" i="48"/>
  <c r="DD581" i="48"/>
  <c r="DE580" i="48"/>
  <c r="DD580" i="48"/>
  <c r="DE579" i="48"/>
  <c r="DD579" i="48"/>
  <c r="DE578" i="48"/>
  <c r="DD578" i="48"/>
  <c r="DE576" i="48"/>
  <c r="DD576" i="48"/>
  <c r="DE575" i="48"/>
  <c r="DD575" i="48"/>
  <c r="DE574" i="48"/>
  <c r="DD574" i="48"/>
  <c r="DE573" i="48"/>
  <c r="DD573" i="48"/>
  <c r="DE572" i="48"/>
  <c r="DD572" i="48"/>
  <c r="DE571" i="48"/>
  <c r="DD571" i="48"/>
  <c r="DE570" i="48"/>
  <c r="DD570" i="48"/>
  <c r="DE569" i="48"/>
  <c r="DD569" i="48"/>
  <c r="DE568" i="48"/>
  <c r="DD568" i="48"/>
  <c r="DE567" i="48"/>
  <c r="DD567" i="48"/>
  <c r="DE566" i="48"/>
  <c r="DD566" i="48"/>
  <c r="DE565" i="48"/>
  <c r="DD565" i="48"/>
  <c r="DE564" i="48"/>
  <c r="DD564" i="48"/>
  <c r="DE563" i="48"/>
  <c r="DD563" i="48"/>
  <c r="DE562" i="48"/>
  <c r="DD562" i="48"/>
  <c r="DE561" i="48"/>
  <c r="DD561" i="48"/>
  <c r="DE560" i="48"/>
  <c r="DD560" i="48"/>
  <c r="DE559" i="48"/>
  <c r="DD559" i="48"/>
  <c r="DE558" i="48"/>
  <c r="DD558" i="48"/>
  <c r="DE557" i="48"/>
  <c r="DD557" i="48"/>
  <c r="DE556" i="48"/>
  <c r="DD556" i="48"/>
  <c r="DE555" i="48"/>
  <c r="DD555" i="48"/>
  <c r="DE554" i="48"/>
  <c r="DD554" i="48"/>
  <c r="DE553" i="48"/>
  <c r="DD553" i="48"/>
  <c r="DE551" i="48"/>
  <c r="DD551" i="48"/>
  <c r="DE550" i="48"/>
  <c r="DD550" i="48"/>
  <c r="DE549" i="48"/>
  <c r="DD549" i="48"/>
  <c r="DE548" i="48"/>
  <c r="DD548" i="48"/>
  <c r="DE547" i="48"/>
  <c r="DD547" i="48"/>
  <c r="DE546" i="48"/>
  <c r="DD546" i="48"/>
  <c r="DE545" i="48"/>
  <c r="DD545" i="48"/>
  <c r="DE544" i="48"/>
  <c r="DD544" i="48"/>
  <c r="DE543" i="48"/>
  <c r="DD543" i="48"/>
  <c r="DE542" i="48"/>
  <c r="DD542" i="48"/>
  <c r="DE541" i="48"/>
  <c r="DD541" i="48"/>
  <c r="DE540" i="48"/>
  <c r="DD540" i="48"/>
  <c r="DE539" i="48"/>
  <c r="DD539" i="48"/>
  <c r="DE538" i="48"/>
  <c r="DD538" i="48"/>
  <c r="DE537" i="48"/>
  <c r="DD537" i="48"/>
  <c r="DE536" i="48"/>
  <c r="DD536" i="48"/>
  <c r="DE535" i="48"/>
  <c r="DD535" i="48"/>
  <c r="DE534" i="48"/>
  <c r="DD534" i="48"/>
  <c r="DE533" i="48"/>
  <c r="DD533" i="48"/>
  <c r="DE532" i="48"/>
  <c r="DD532" i="48"/>
  <c r="DE531" i="48"/>
  <c r="DD531" i="48"/>
  <c r="DE530" i="48"/>
  <c r="DD530" i="48"/>
  <c r="DE529" i="48"/>
  <c r="DD529" i="48"/>
  <c r="DE528" i="48"/>
  <c r="DD528" i="48"/>
  <c r="DE526" i="48"/>
  <c r="DD526" i="48"/>
  <c r="DE525" i="48"/>
  <c r="DD525" i="48"/>
  <c r="DE524" i="48"/>
  <c r="DD524" i="48"/>
  <c r="DE523" i="48"/>
  <c r="DD523" i="48"/>
  <c r="DE522" i="48"/>
  <c r="DD522" i="48"/>
  <c r="DE521" i="48"/>
  <c r="DD521" i="48"/>
  <c r="DE520" i="48"/>
  <c r="DD520" i="48"/>
  <c r="DE519" i="48"/>
  <c r="DD519" i="48"/>
  <c r="DE518" i="48"/>
  <c r="DD518" i="48"/>
  <c r="DE517" i="48"/>
  <c r="DD517" i="48"/>
  <c r="DE516" i="48"/>
  <c r="DD516" i="48"/>
  <c r="DE515" i="48"/>
  <c r="DD515" i="48"/>
  <c r="DE514" i="48"/>
  <c r="DD514" i="48"/>
  <c r="DE513" i="48"/>
  <c r="DD513" i="48"/>
  <c r="DE512" i="48"/>
  <c r="DD512" i="48"/>
  <c r="DE511" i="48"/>
  <c r="DD511" i="48"/>
  <c r="DE510" i="48"/>
  <c r="DD510" i="48"/>
  <c r="DE509" i="48"/>
  <c r="DD509" i="48"/>
  <c r="DE508" i="48"/>
  <c r="DD508" i="48"/>
  <c r="DE507" i="48"/>
  <c r="DD507" i="48"/>
  <c r="DE506" i="48"/>
  <c r="DD506" i="48"/>
  <c r="DE505" i="48"/>
  <c r="DD505" i="48"/>
  <c r="DE504" i="48"/>
  <c r="DD504" i="48"/>
  <c r="DE503" i="48"/>
  <c r="DD503" i="48"/>
  <c r="DE501" i="48"/>
  <c r="DD501" i="48"/>
  <c r="DE500" i="48"/>
  <c r="DD500" i="48"/>
  <c r="DE499" i="48"/>
  <c r="DD499" i="48"/>
  <c r="DE498" i="48"/>
  <c r="DD498" i="48"/>
  <c r="DE497" i="48"/>
  <c r="DD497" i="48"/>
  <c r="DE496" i="48"/>
  <c r="DD496" i="48"/>
  <c r="DE495" i="48"/>
  <c r="DD495" i="48"/>
  <c r="DE494" i="48"/>
  <c r="DD494" i="48"/>
  <c r="DE493" i="48"/>
  <c r="DD493" i="48"/>
  <c r="DE492" i="48"/>
  <c r="DD492" i="48"/>
  <c r="DE491" i="48"/>
  <c r="DD491" i="48"/>
  <c r="DE490" i="48"/>
  <c r="DD490" i="48"/>
  <c r="DE489" i="48"/>
  <c r="DD489" i="48"/>
  <c r="DE488" i="48"/>
  <c r="DD488" i="48"/>
  <c r="DE487" i="48"/>
  <c r="DD487" i="48"/>
  <c r="DE486" i="48"/>
  <c r="DD486" i="48"/>
  <c r="DE485" i="48"/>
  <c r="DD485" i="48"/>
  <c r="DE484" i="48"/>
  <c r="DD484" i="48"/>
  <c r="DE483" i="48"/>
  <c r="DD483" i="48"/>
  <c r="DE482" i="48"/>
  <c r="DD482" i="48"/>
  <c r="DE481" i="48"/>
  <c r="DD481" i="48"/>
  <c r="DE480" i="48"/>
  <c r="DD480" i="48"/>
  <c r="DE479" i="48"/>
  <c r="DD479" i="48"/>
  <c r="DE478" i="48"/>
  <c r="DD478" i="48"/>
  <c r="DE476" i="48"/>
  <c r="DD476" i="48"/>
  <c r="DE475" i="48"/>
  <c r="DD475" i="48"/>
  <c r="DE474" i="48"/>
  <c r="DD474" i="48"/>
  <c r="DE473" i="48"/>
  <c r="DD473" i="48"/>
  <c r="DE472" i="48"/>
  <c r="DD472" i="48"/>
  <c r="DE471" i="48"/>
  <c r="DD471" i="48"/>
  <c r="DE470" i="48"/>
  <c r="DD470" i="48"/>
  <c r="DE469" i="48"/>
  <c r="DD469" i="48"/>
  <c r="DE468" i="48"/>
  <c r="DD468" i="48"/>
  <c r="DE467" i="48"/>
  <c r="DD467" i="48"/>
  <c r="DE466" i="48"/>
  <c r="DD466" i="48"/>
  <c r="DE465" i="48"/>
  <c r="DD465" i="48"/>
  <c r="DE464" i="48"/>
  <c r="DD464" i="48"/>
  <c r="DE463" i="48"/>
  <c r="DD463" i="48"/>
  <c r="DE462" i="48"/>
  <c r="DD462" i="48"/>
  <c r="DE461" i="48"/>
  <c r="DD461" i="48"/>
  <c r="DE460" i="48"/>
  <c r="DD460" i="48"/>
  <c r="DE459" i="48"/>
  <c r="DD459" i="48"/>
  <c r="DE458" i="48"/>
  <c r="DD458" i="48"/>
  <c r="DE457" i="48"/>
  <c r="DD457" i="48"/>
  <c r="DE456" i="48"/>
  <c r="DD456" i="48"/>
  <c r="DE455" i="48"/>
  <c r="DD455" i="48"/>
  <c r="DE454" i="48"/>
  <c r="DD454" i="48"/>
  <c r="DE453" i="48"/>
  <c r="DD453" i="48"/>
  <c r="DE451" i="48"/>
  <c r="DD451" i="48"/>
  <c r="DE450" i="48"/>
  <c r="DD450" i="48"/>
  <c r="DE449" i="48"/>
  <c r="DD449" i="48"/>
  <c r="DE448" i="48"/>
  <c r="DD448" i="48"/>
  <c r="DE447" i="48"/>
  <c r="DD447" i="48"/>
  <c r="DE446" i="48"/>
  <c r="DD446" i="48"/>
  <c r="DE445" i="48"/>
  <c r="DD445" i="48"/>
  <c r="DE444" i="48"/>
  <c r="DD444" i="48"/>
  <c r="DE443" i="48"/>
  <c r="DD443" i="48"/>
  <c r="DE442" i="48"/>
  <c r="DD442" i="48"/>
  <c r="DE441" i="48"/>
  <c r="DD441" i="48"/>
  <c r="DE440" i="48"/>
  <c r="DD440" i="48"/>
  <c r="DE439" i="48"/>
  <c r="DD439" i="48"/>
  <c r="DE438" i="48"/>
  <c r="DD438" i="48"/>
  <c r="DE437" i="48"/>
  <c r="DD437" i="48"/>
  <c r="DE436" i="48"/>
  <c r="DD436" i="48"/>
  <c r="DE435" i="48"/>
  <c r="DD435" i="48"/>
  <c r="DE434" i="48"/>
  <c r="DD434" i="48"/>
  <c r="DE433" i="48"/>
  <c r="DD433" i="48"/>
  <c r="DE432" i="48"/>
  <c r="DD432" i="48"/>
  <c r="DE431" i="48"/>
  <c r="DD431" i="48"/>
  <c r="DE430" i="48"/>
  <c r="DD430" i="48"/>
  <c r="DE429" i="48"/>
  <c r="DD429" i="48"/>
  <c r="DE428" i="48"/>
  <c r="DD428" i="48"/>
  <c r="DE426" i="48"/>
  <c r="DD426" i="48"/>
  <c r="DE425" i="48"/>
  <c r="DD425" i="48"/>
  <c r="DE424" i="48"/>
  <c r="DD424" i="48"/>
  <c r="DE423" i="48"/>
  <c r="DD423" i="48"/>
  <c r="DE422" i="48"/>
  <c r="DD422" i="48"/>
  <c r="DE421" i="48"/>
  <c r="DD421" i="48"/>
  <c r="DE420" i="48"/>
  <c r="DD420" i="48"/>
  <c r="DE419" i="48"/>
  <c r="DD419" i="48"/>
  <c r="DE418" i="48"/>
  <c r="DD418" i="48"/>
  <c r="DE417" i="48"/>
  <c r="DD417" i="48"/>
  <c r="DE416" i="48"/>
  <c r="DD416" i="48"/>
  <c r="DE415" i="48"/>
  <c r="DD415" i="48"/>
  <c r="DE414" i="48"/>
  <c r="DD414" i="48"/>
  <c r="DE413" i="48"/>
  <c r="DD413" i="48"/>
  <c r="DE412" i="48"/>
  <c r="DD412" i="48"/>
  <c r="DE411" i="48"/>
  <c r="DD411" i="48"/>
  <c r="DE410" i="48"/>
  <c r="DD410" i="48"/>
  <c r="DE409" i="48"/>
  <c r="DD409" i="48"/>
  <c r="DE408" i="48"/>
  <c r="DD408" i="48"/>
  <c r="DE407" i="48"/>
  <c r="DD407" i="48"/>
  <c r="DE406" i="48"/>
  <c r="DD406" i="48"/>
  <c r="DE405" i="48"/>
  <c r="DD405" i="48"/>
  <c r="DE404" i="48"/>
  <c r="DD404" i="48"/>
  <c r="DE403" i="48"/>
  <c r="DD403" i="48"/>
  <c r="DE401" i="48"/>
  <c r="DD401" i="48"/>
  <c r="DE400" i="48"/>
  <c r="DD400" i="48"/>
  <c r="DE399" i="48"/>
  <c r="DD399" i="48"/>
  <c r="DE398" i="48"/>
  <c r="DD398" i="48"/>
  <c r="DE397" i="48"/>
  <c r="DD397" i="48"/>
  <c r="DE396" i="48"/>
  <c r="DD396" i="48"/>
  <c r="DE395" i="48"/>
  <c r="DD395" i="48"/>
  <c r="DE394" i="48"/>
  <c r="DD394" i="48"/>
  <c r="DE393" i="48"/>
  <c r="DD393" i="48"/>
  <c r="DE392" i="48"/>
  <c r="DD392" i="48"/>
  <c r="DE391" i="48"/>
  <c r="DD391" i="48"/>
  <c r="DE390" i="48"/>
  <c r="DD390" i="48"/>
  <c r="DE389" i="48"/>
  <c r="DD389" i="48"/>
  <c r="DE388" i="48"/>
  <c r="DD388" i="48"/>
  <c r="DE387" i="48"/>
  <c r="DD387" i="48"/>
  <c r="DE386" i="48"/>
  <c r="DD386" i="48"/>
  <c r="DE385" i="48"/>
  <c r="DD385" i="48"/>
  <c r="DE384" i="48"/>
  <c r="DD384" i="48"/>
  <c r="DE383" i="48"/>
  <c r="DD383" i="48"/>
  <c r="DE382" i="48"/>
  <c r="DD382" i="48"/>
  <c r="DE381" i="48"/>
  <c r="DD381" i="48"/>
  <c r="DE380" i="48"/>
  <c r="DD380" i="48"/>
  <c r="DE379" i="48"/>
  <c r="DD379" i="48"/>
  <c r="DE378" i="48"/>
  <c r="DD378" i="48"/>
  <c r="DE376" i="48"/>
  <c r="DD376" i="48"/>
  <c r="DE375" i="48"/>
  <c r="DD375" i="48"/>
  <c r="DE374" i="48"/>
  <c r="DD374" i="48"/>
  <c r="DE373" i="48"/>
  <c r="DD373" i="48"/>
  <c r="DE372" i="48"/>
  <c r="DD372" i="48"/>
  <c r="DE371" i="48"/>
  <c r="DD371" i="48"/>
  <c r="DE370" i="48"/>
  <c r="DD370" i="48"/>
  <c r="DE369" i="48"/>
  <c r="DD369" i="48"/>
  <c r="DE368" i="48"/>
  <c r="DD368" i="48"/>
  <c r="DE367" i="48"/>
  <c r="DD367" i="48"/>
  <c r="DE366" i="48"/>
  <c r="DD366" i="48"/>
  <c r="DE365" i="48"/>
  <c r="DD365" i="48"/>
  <c r="DE364" i="48"/>
  <c r="DD364" i="48"/>
  <c r="DE363" i="48"/>
  <c r="DD363" i="48"/>
  <c r="DE362" i="48"/>
  <c r="DD362" i="48"/>
  <c r="DE361" i="48"/>
  <c r="DD361" i="48"/>
  <c r="DE360" i="48"/>
  <c r="DD360" i="48"/>
  <c r="DE359" i="48"/>
  <c r="DD359" i="48"/>
  <c r="DE358" i="48"/>
  <c r="DD358" i="48"/>
  <c r="DE357" i="48"/>
  <c r="DD357" i="48"/>
  <c r="DE356" i="48"/>
  <c r="DD356" i="48"/>
  <c r="DE355" i="48"/>
  <c r="DD355" i="48"/>
  <c r="DE354" i="48"/>
  <c r="DD354" i="48"/>
  <c r="DE353" i="48"/>
  <c r="DD353" i="48"/>
  <c r="DE351" i="48"/>
  <c r="DD351" i="48"/>
  <c r="DE350" i="48"/>
  <c r="DD350" i="48"/>
  <c r="DE349" i="48"/>
  <c r="DD349" i="48"/>
  <c r="DE348" i="48"/>
  <c r="DD348" i="48"/>
  <c r="DE347" i="48"/>
  <c r="DD347" i="48"/>
  <c r="DE346" i="48"/>
  <c r="DD346" i="48"/>
  <c r="DE345" i="48"/>
  <c r="DD345" i="48"/>
  <c r="DE344" i="48"/>
  <c r="DD344" i="48"/>
  <c r="DE343" i="48"/>
  <c r="DD343" i="48"/>
  <c r="DE342" i="48"/>
  <c r="DD342" i="48"/>
  <c r="DE341" i="48"/>
  <c r="DD341" i="48"/>
  <c r="DE340" i="48"/>
  <c r="DD340" i="48"/>
  <c r="DE339" i="48"/>
  <c r="DD339" i="48"/>
  <c r="DE338" i="48"/>
  <c r="DD338" i="48"/>
  <c r="DE337" i="48"/>
  <c r="DD337" i="48"/>
  <c r="DE336" i="48"/>
  <c r="DD336" i="48"/>
  <c r="DE335" i="48"/>
  <c r="DD335" i="48"/>
  <c r="DE334" i="48"/>
  <c r="DD334" i="48"/>
  <c r="DE333" i="48"/>
  <c r="DD333" i="48"/>
  <c r="DE332" i="48"/>
  <c r="DD332" i="48"/>
  <c r="DE331" i="48"/>
  <c r="DD331" i="48"/>
  <c r="DE330" i="48"/>
  <c r="DD330" i="48"/>
  <c r="DE329" i="48"/>
  <c r="DD329" i="48"/>
  <c r="DE328" i="48"/>
  <c r="DD328" i="48"/>
  <c r="DE326" i="48"/>
  <c r="DD326" i="48"/>
  <c r="DE325" i="48"/>
  <c r="DD325" i="48"/>
  <c r="DE324" i="48"/>
  <c r="DD324" i="48"/>
  <c r="DE323" i="48"/>
  <c r="DD323" i="48"/>
  <c r="DE322" i="48"/>
  <c r="DD322" i="48"/>
  <c r="DE321" i="48"/>
  <c r="DD321" i="48"/>
  <c r="DE320" i="48"/>
  <c r="DD320" i="48"/>
  <c r="DE319" i="48"/>
  <c r="DD319" i="48"/>
  <c r="DE318" i="48"/>
  <c r="DD318" i="48"/>
  <c r="DE317" i="48"/>
  <c r="DD317" i="48"/>
  <c r="DE316" i="48"/>
  <c r="DD316" i="48"/>
  <c r="DE315" i="48"/>
  <c r="DD315" i="48"/>
  <c r="DE314" i="48"/>
  <c r="DD314" i="48"/>
  <c r="DE313" i="48"/>
  <c r="DD313" i="48"/>
  <c r="DE312" i="48"/>
  <c r="DD312" i="48"/>
  <c r="DE311" i="48"/>
  <c r="DD311" i="48"/>
  <c r="DE310" i="48"/>
  <c r="DD310" i="48"/>
  <c r="DE309" i="48"/>
  <c r="DD309" i="48"/>
  <c r="DE308" i="48"/>
  <c r="DD308" i="48"/>
  <c r="DE307" i="48"/>
  <c r="DD307" i="48"/>
  <c r="DE306" i="48"/>
  <c r="DD306" i="48"/>
  <c r="DE305" i="48"/>
  <c r="DD305" i="48"/>
  <c r="DE304" i="48"/>
  <c r="DD304" i="48"/>
  <c r="DE303" i="48"/>
  <c r="DD303" i="48"/>
  <c r="DE301" i="48"/>
  <c r="DD301" i="48"/>
  <c r="DE300" i="48"/>
  <c r="DD300" i="48"/>
  <c r="DE299" i="48"/>
  <c r="DD299" i="48"/>
  <c r="DE298" i="48"/>
  <c r="DD298" i="48"/>
  <c r="DE297" i="48"/>
  <c r="DD297" i="48"/>
  <c r="DE296" i="48"/>
  <c r="DD296" i="48"/>
  <c r="DE295" i="48"/>
  <c r="DD295" i="48"/>
  <c r="DE294" i="48"/>
  <c r="DD294" i="48"/>
  <c r="DE293" i="48"/>
  <c r="DD293" i="48"/>
  <c r="DE292" i="48"/>
  <c r="DD292" i="48"/>
  <c r="DE291" i="48"/>
  <c r="DD291" i="48"/>
  <c r="DE290" i="48"/>
  <c r="DD290" i="48"/>
  <c r="DE289" i="48"/>
  <c r="DD289" i="48"/>
  <c r="DE288" i="48"/>
  <c r="DD288" i="48"/>
  <c r="DE287" i="48"/>
  <c r="DD287" i="48"/>
  <c r="DE286" i="48"/>
  <c r="DD286" i="48"/>
  <c r="DE285" i="48"/>
  <c r="DD285" i="48"/>
  <c r="DE284" i="48"/>
  <c r="DD284" i="48"/>
  <c r="DE283" i="48"/>
  <c r="DD283" i="48"/>
  <c r="DE282" i="48"/>
  <c r="DD282" i="48"/>
  <c r="DE281" i="48"/>
  <c r="DD281" i="48"/>
  <c r="DE280" i="48"/>
  <c r="DD280" i="48"/>
  <c r="DE279" i="48"/>
  <c r="DD279" i="48"/>
  <c r="DE278" i="48"/>
  <c r="DD278" i="48"/>
  <c r="DE276" i="48"/>
  <c r="DD276" i="48"/>
  <c r="DE275" i="48"/>
  <c r="DD275" i="48"/>
  <c r="DE274" i="48"/>
  <c r="DD274" i="48"/>
  <c r="DE273" i="48"/>
  <c r="DD273" i="48"/>
  <c r="DE272" i="48"/>
  <c r="DD272" i="48"/>
  <c r="DE271" i="48"/>
  <c r="DD271" i="48"/>
  <c r="DE270" i="48"/>
  <c r="DD270" i="48"/>
  <c r="DE269" i="48"/>
  <c r="DD269" i="48"/>
  <c r="DE268" i="48"/>
  <c r="DD268" i="48"/>
  <c r="DE267" i="48"/>
  <c r="DD267" i="48"/>
  <c r="DE266" i="48"/>
  <c r="DD266" i="48"/>
  <c r="DE265" i="48"/>
  <c r="DD265" i="48"/>
  <c r="DE264" i="48"/>
  <c r="DD264" i="48"/>
  <c r="DE263" i="48"/>
  <c r="DD263" i="48"/>
  <c r="DE262" i="48"/>
  <c r="DD262" i="48"/>
  <c r="DE261" i="48"/>
  <c r="DD261" i="48"/>
  <c r="DE260" i="48"/>
  <c r="DD260" i="48"/>
  <c r="DE259" i="48"/>
  <c r="DD259" i="48"/>
  <c r="DE258" i="48"/>
  <c r="DD258" i="48"/>
  <c r="DE257" i="48"/>
  <c r="DD257" i="48"/>
  <c r="DE256" i="48"/>
  <c r="DD256" i="48"/>
  <c r="DE255" i="48"/>
  <c r="DD255" i="48"/>
  <c r="DE254" i="48"/>
  <c r="DD254" i="48"/>
  <c r="DE253" i="48"/>
  <c r="DD253" i="48"/>
  <c r="DE251" i="48"/>
  <c r="DD251" i="48"/>
  <c r="DE250" i="48"/>
  <c r="DD250" i="48"/>
  <c r="DE249" i="48"/>
  <c r="DD249" i="48"/>
  <c r="DE248" i="48"/>
  <c r="DD248" i="48"/>
  <c r="DE247" i="48"/>
  <c r="DD247" i="48"/>
  <c r="DE246" i="48"/>
  <c r="DD246" i="48"/>
  <c r="DE245" i="48"/>
  <c r="DD245" i="48"/>
  <c r="DE244" i="48"/>
  <c r="DD244" i="48"/>
  <c r="DE243" i="48"/>
  <c r="DD243" i="48"/>
  <c r="DE242" i="48"/>
  <c r="DD242" i="48"/>
  <c r="DE241" i="48"/>
  <c r="DD241" i="48"/>
  <c r="DE240" i="48"/>
  <c r="DD240" i="48"/>
  <c r="DE239" i="48"/>
  <c r="DD239" i="48"/>
  <c r="DE238" i="48"/>
  <c r="DD238" i="48"/>
  <c r="DE237" i="48"/>
  <c r="DD237" i="48"/>
  <c r="DE236" i="48"/>
  <c r="DD236" i="48"/>
  <c r="DE235" i="48"/>
  <c r="DD235" i="48"/>
  <c r="DE234" i="48"/>
  <c r="DD234" i="48"/>
  <c r="DE233" i="48"/>
  <c r="DD233" i="48"/>
  <c r="DE232" i="48"/>
  <c r="DD232" i="48"/>
  <c r="DE231" i="48"/>
  <c r="DD231" i="48"/>
  <c r="DE230" i="48"/>
  <c r="DD230" i="48"/>
  <c r="DE229" i="48"/>
  <c r="DD229" i="48"/>
  <c r="DE228" i="48"/>
  <c r="DD228" i="48"/>
  <c r="DE226" i="48"/>
  <c r="DD226" i="48"/>
  <c r="DE225" i="48"/>
  <c r="DD225" i="48"/>
  <c r="DE224" i="48"/>
  <c r="DD224" i="48"/>
  <c r="DE223" i="48"/>
  <c r="DD223" i="48"/>
  <c r="DE222" i="48"/>
  <c r="DD222" i="48"/>
  <c r="DE221" i="48"/>
  <c r="DD221" i="48"/>
  <c r="DE220" i="48"/>
  <c r="DD220" i="48"/>
  <c r="DE219" i="48"/>
  <c r="DD219" i="48"/>
  <c r="DE218" i="48"/>
  <c r="DD218" i="48"/>
  <c r="DE217" i="48"/>
  <c r="DD217" i="48"/>
  <c r="DE216" i="48"/>
  <c r="DD216" i="48"/>
  <c r="DE215" i="48"/>
  <c r="DD215" i="48"/>
  <c r="DE214" i="48"/>
  <c r="DD214" i="48"/>
  <c r="DE213" i="48"/>
  <c r="DD213" i="48"/>
  <c r="DE212" i="48"/>
  <c r="DD212" i="48"/>
  <c r="DE211" i="48"/>
  <c r="DD211" i="48"/>
  <c r="DE210" i="48"/>
  <c r="DD210" i="48"/>
  <c r="DE209" i="48"/>
  <c r="DD209" i="48"/>
  <c r="DE208" i="48"/>
  <c r="DD208" i="48"/>
  <c r="DE207" i="48"/>
  <c r="DD207" i="48"/>
  <c r="DE206" i="48"/>
  <c r="DD206" i="48"/>
  <c r="DE205" i="48"/>
  <c r="DD205" i="48"/>
  <c r="DE204" i="48"/>
  <c r="DD204" i="48"/>
  <c r="DE203" i="48"/>
  <c r="DD203" i="48"/>
  <c r="DE201" i="48"/>
  <c r="DD201" i="48"/>
  <c r="DE200" i="48"/>
  <c r="DD200" i="48"/>
  <c r="DE199" i="48"/>
  <c r="DD199" i="48"/>
  <c r="DE198" i="48"/>
  <c r="DD198" i="48"/>
  <c r="DE197" i="48"/>
  <c r="DD197" i="48"/>
  <c r="DE196" i="48"/>
  <c r="DD196" i="48"/>
  <c r="DE195" i="48"/>
  <c r="DD195" i="48"/>
  <c r="DE194" i="48"/>
  <c r="DD194" i="48"/>
  <c r="DE193" i="48"/>
  <c r="DD193" i="48"/>
  <c r="DE192" i="48"/>
  <c r="DD192" i="48"/>
  <c r="DE191" i="48"/>
  <c r="DD191" i="48"/>
  <c r="DE190" i="48"/>
  <c r="DD190" i="48"/>
  <c r="DE189" i="48"/>
  <c r="DD189" i="48"/>
  <c r="DE188" i="48"/>
  <c r="DD188" i="48"/>
  <c r="DE187" i="48"/>
  <c r="DD187" i="48"/>
  <c r="DE186" i="48"/>
  <c r="DD186" i="48"/>
  <c r="DE185" i="48"/>
  <c r="DD185" i="48"/>
  <c r="DE184" i="48"/>
  <c r="DD184" i="48"/>
  <c r="DE183" i="48"/>
  <c r="DD183" i="48"/>
  <c r="DE182" i="48"/>
  <c r="DD182" i="48"/>
  <c r="DE181" i="48"/>
  <c r="DD181" i="48"/>
  <c r="DE180" i="48"/>
  <c r="DD180" i="48"/>
  <c r="DE179" i="48"/>
  <c r="DD179" i="48"/>
  <c r="DE178" i="48"/>
  <c r="DD178" i="48"/>
  <c r="DE176" i="48"/>
  <c r="DD176" i="48"/>
  <c r="DE175" i="48"/>
  <c r="DD175" i="48"/>
  <c r="DE174" i="48"/>
  <c r="DD174" i="48"/>
  <c r="DE173" i="48"/>
  <c r="DD173" i="48"/>
  <c r="DE172" i="48"/>
  <c r="DD172" i="48"/>
  <c r="DE171" i="48"/>
  <c r="DD171" i="48"/>
  <c r="DE170" i="48"/>
  <c r="DD170" i="48"/>
  <c r="DE169" i="48"/>
  <c r="DD169" i="48"/>
  <c r="DE168" i="48"/>
  <c r="DD168" i="48"/>
  <c r="DE167" i="48"/>
  <c r="DD167" i="48"/>
  <c r="DE166" i="48"/>
  <c r="DD166" i="48"/>
  <c r="DE165" i="48"/>
  <c r="DD165" i="48"/>
  <c r="DE164" i="48"/>
  <c r="DD164" i="48"/>
  <c r="DE163" i="48"/>
  <c r="DD163" i="48"/>
  <c r="DE162" i="48"/>
  <c r="DD162" i="48"/>
  <c r="DE161" i="48"/>
  <c r="DD161" i="48"/>
  <c r="DE160" i="48"/>
  <c r="DD160" i="48"/>
  <c r="DE159" i="48"/>
  <c r="DD159" i="48"/>
  <c r="DE158" i="48"/>
  <c r="DD158" i="48"/>
  <c r="DE157" i="48"/>
  <c r="DD157" i="48"/>
  <c r="DE156" i="48"/>
  <c r="DD156" i="48"/>
  <c r="DE155" i="48"/>
  <c r="DD155" i="48"/>
  <c r="DE154" i="48"/>
  <c r="DD154" i="48"/>
  <c r="DE153" i="48"/>
  <c r="DD153" i="48"/>
  <c r="DE151" i="48"/>
  <c r="DD151" i="48"/>
  <c r="DE150" i="48"/>
  <c r="DD150" i="48"/>
  <c r="DE149" i="48"/>
  <c r="DD149" i="48"/>
  <c r="DE148" i="48"/>
  <c r="DD148" i="48"/>
  <c r="DE147" i="48"/>
  <c r="DD147" i="48"/>
  <c r="DE146" i="48"/>
  <c r="DD146" i="48"/>
  <c r="DE145" i="48"/>
  <c r="DD145" i="48"/>
  <c r="DE144" i="48"/>
  <c r="DD144" i="48"/>
  <c r="DE143" i="48"/>
  <c r="DD143" i="48"/>
  <c r="DE142" i="48"/>
  <c r="DD142" i="48"/>
  <c r="DE141" i="48"/>
  <c r="DD141" i="48"/>
  <c r="DE140" i="48"/>
  <c r="DD140" i="48"/>
  <c r="DE139" i="48"/>
  <c r="DD139" i="48"/>
  <c r="DE138" i="48"/>
  <c r="DD138" i="48"/>
  <c r="DE137" i="48"/>
  <c r="DD137" i="48"/>
  <c r="DE136" i="48"/>
  <c r="DD136" i="48"/>
  <c r="DE135" i="48"/>
  <c r="DD135" i="48"/>
  <c r="DE134" i="48"/>
  <c r="DD134" i="48"/>
  <c r="DE133" i="48"/>
  <c r="DD133" i="48"/>
  <c r="DE132" i="48"/>
  <c r="DD132" i="48"/>
  <c r="DE131" i="48"/>
  <c r="DD131" i="48"/>
  <c r="DE130" i="48"/>
  <c r="DD130" i="48"/>
  <c r="DE129" i="48"/>
  <c r="DD129" i="48"/>
  <c r="DE128" i="48"/>
  <c r="DD128" i="48"/>
  <c r="J129" i="59" l="1"/>
  <c r="I130" i="59"/>
  <c r="CY1102" i="48"/>
  <c r="CY1077" i="48"/>
  <c r="CY627" i="48"/>
  <c r="CY927" i="48"/>
  <c r="CY1252" i="48"/>
  <c r="CY1352" i="48"/>
  <c r="CX826" i="48"/>
  <c r="CY827" i="48"/>
  <c r="CY852" i="48"/>
  <c r="CY952" i="48"/>
  <c r="CY977" i="48"/>
  <c r="CY1127" i="48"/>
  <c r="CY1177" i="48"/>
  <c r="CV1227" i="48"/>
  <c r="CY1277" i="48"/>
  <c r="CY877" i="48"/>
  <c r="CY1002" i="48"/>
  <c r="CY1027" i="48"/>
  <c r="CY1202" i="48"/>
  <c r="CW1227" i="48"/>
  <c r="CY1302" i="48"/>
  <c r="CY802" i="48"/>
  <c r="CV826" i="48"/>
  <c r="CY902" i="48"/>
  <c r="CY1052" i="48"/>
  <c r="CY1152" i="48"/>
  <c r="CY1327" i="48"/>
  <c r="DB778" i="48"/>
  <c r="DE126" i="48"/>
  <c r="DD126" i="48"/>
  <c r="DE125" i="48"/>
  <c r="DD125" i="48"/>
  <c r="DE124" i="48"/>
  <c r="DD124" i="48"/>
  <c r="DE123" i="48"/>
  <c r="DD123" i="48"/>
  <c r="DE122" i="48"/>
  <c r="DD122" i="48"/>
  <c r="DE121" i="48"/>
  <c r="DD121" i="48"/>
  <c r="DE120" i="48"/>
  <c r="DD120" i="48"/>
  <c r="DE119" i="48"/>
  <c r="DD119" i="48"/>
  <c r="DE118" i="48"/>
  <c r="DD118" i="48"/>
  <c r="DE117" i="48"/>
  <c r="DD117" i="48"/>
  <c r="DE116" i="48"/>
  <c r="DD116" i="48"/>
  <c r="DE115" i="48"/>
  <c r="DD115" i="48"/>
  <c r="DE114" i="48"/>
  <c r="DD114" i="48"/>
  <c r="DE113" i="48"/>
  <c r="DD113" i="48"/>
  <c r="DE112" i="48"/>
  <c r="DD112" i="48"/>
  <c r="DE111" i="48"/>
  <c r="DD111" i="48"/>
  <c r="DE110" i="48"/>
  <c r="DD110" i="48"/>
  <c r="DE109" i="48"/>
  <c r="DD109" i="48"/>
  <c r="DE108" i="48"/>
  <c r="DD108" i="48"/>
  <c r="DE107" i="48"/>
  <c r="DD107" i="48"/>
  <c r="DE106" i="48"/>
  <c r="DD106" i="48"/>
  <c r="DE105" i="48"/>
  <c r="DD105" i="48"/>
  <c r="DE104" i="48"/>
  <c r="DD104" i="48"/>
  <c r="DE103" i="48"/>
  <c r="DD103" i="48"/>
  <c r="DE101" i="48"/>
  <c r="DD101" i="48"/>
  <c r="DE100" i="48"/>
  <c r="DD100" i="48"/>
  <c r="DE99" i="48"/>
  <c r="DD99" i="48"/>
  <c r="DE98" i="48"/>
  <c r="DD98" i="48"/>
  <c r="DE97" i="48"/>
  <c r="DD97" i="48"/>
  <c r="DE96" i="48"/>
  <c r="DD96" i="48"/>
  <c r="DE95" i="48"/>
  <c r="DD95" i="48"/>
  <c r="DE94" i="48"/>
  <c r="DD94" i="48"/>
  <c r="DE93" i="48"/>
  <c r="DD93" i="48"/>
  <c r="DE92" i="48"/>
  <c r="DD92" i="48"/>
  <c r="DE91" i="48"/>
  <c r="DD91" i="48"/>
  <c r="DE90" i="48"/>
  <c r="DD90" i="48"/>
  <c r="DE89" i="48"/>
  <c r="DD89" i="48"/>
  <c r="DE88" i="48"/>
  <c r="DD88" i="48"/>
  <c r="DE87" i="48"/>
  <c r="DD87" i="48"/>
  <c r="DE86" i="48"/>
  <c r="DD86" i="48"/>
  <c r="DE85" i="48"/>
  <c r="DD85" i="48"/>
  <c r="DE84" i="48"/>
  <c r="DD84" i="48"/>
  <c r="DE83" i="48"/>
  <c r="DD83" i="48"/>
  <c r="DE82" i="48"/>
  <c r="DD82" i="48"/>
  <c r="DE81" i="48"/>
  <c r="DD81" i="48"/>
  <c r="DE80" i="48"/>
  <c r="DD80" i="48"/>
  <c r="DE79" i="48"/>
  <c r="DD79" i="48"/>
  <c r="DE78" i="48"/>
  <c r="DD78" i="48"/>
  <c r="DE76" i="48"/>
  <c r="DD76" i="48"/>
  <c r="DE75" i="48"/>
  <c r="DD75" i="48"/>
  <c r="DE74" i="48"/>
  <c r="DD74" i="48"/>
  <c r="DE73" i="48"/>
  <c r="DD73" i="48"/>
  <c r="DE72" i="48"/>
  <c r="DD72" i="48"/>
  <c r="DE71" i="48"/>
  <c r="DD71" i="48"/>
  <c r="DE70" i="48"/>
  <c r="DD70" i="48"/>
  <c r="DE69" i="48"/>
  <c r="DD69" i="48"/>
  <c r="DE68" i="48"/>
  <c r="DD68" i="48"/>
  <c r="DE67" i="48"/>
  <c r="DD67" i="48"/>
  <c r="DE66" i="48"/>
  <c r="DD66" i="48"/>
  <c r="DE65" i="48"/>
  <c r="DD65" i="48"/>
  <c r="DE64" i="48"/>
  <c r="DD64" i="48"/>
  <c r="DE63" i="48"/>
  <c r="DD63" i="48"/>
  <c r="DE62" i="48"/>
  <c r="DD62" i="48"/>
  <c r="DE61" i="48"/>
  <c r="DD61" i="48"/>
  <c r="DE60" i="48"/>
  <c r="DD60" i="48"/>
  <c r="DE59" i="48"/>
  <c r="DD59" i="48"/>
  <c r="DE58" i="48"/>
  <c r="DD58" i="48"/>
  <c r="DE57" i="48"/>
  <c r="DD57" i="48"/>
  <c r="DE56" i="48"/>
  <c r="DD56" i="48"/>
  <c r="DE55" i="48"/>
  <c r="DD55" i="48"/>
  <c r="DE54" i="48"/>
  <c r="DD54" i="48"/>
  <c r="DE53" i="48"/>
  <c r="DD53" i="48"/>
  <c r="DE51" i="48"/>
  <c r="DD51" i="48"/>
  <c r="DE50" i="48"/>
  <c r="DD50" i="48"/>
  <c r="DE49" i="48"/>
  <c r="DD49" i="48"/>
  <c r="DE48" i="48"/>
  <c r="DD48" i="48"/>
  <c r="DE47" i="48"/>
  <c r="DD47" i="48"/>
  <c r="DE46" i="48"/>
  <c r="DD46" i="48"/>
  <c r="DE45" i="48"/>
  <c r="DD45" i="48"/>
  <c r="DE44" i="48"/>
  <c r="DD44" i="48"/>
  <c r="DE43" i="48"/>
  <c r="DD43" i="48"/>
  <c r="DE42" i="48"/>
  <c r="DD42" i="48"/>
  <c r="DE41" i="48"/>
  <c r="DD41" i="48"/>
  <c r="DE40" i="48"/>
  <c r="DD40" i="48"/>
  <c r="DE39" i="48"/>
  <c r="DD39" i="48"/>
  <c r="DE38" i="48"/>
  <c r="DD38" i="48"/>
  <c r="DE37" i="48"/>
  <c r="DD37" i="48"/>
  <c r="DE36" i="48"/>
  <c r="DD36" i="48"/>
  <c r="DE35" i="48"/>
  <c r="DD35" i="48"/>
  <c r="DE34" i="48"/>
  <c r="DD34" i="48"/>
  <c r="DE33" i="48"/>
  <c r="DD33" i="48"/>
  <c r="DE32" i="48"/>
  <c r="DD32" i="48"/>
  <c r="DE31" i="48"/>
  <c r="DD31" i="48"/>
  <c r="DE30" i="48"/>
  <c r="DD30" i="48"/>
  <c r="DE29" i="48"/>
  <c r="DD29" i="48"/>
  <c r="DE28" i="48"/>
  <c r="DD28" i="48"/>
  <c r="EC104" i="48"/>
  <c r="EC105" i="48" s="1"/>
  <c r="EC106" i="48" s="1"/>
  <c r="EC79" i="48"/>
  <c r="EC80" i="48" s="1"/>
  <c r="EC81" i="48" s="1"/>
  <c r="EC82" i="48" s="1"/>
  <c r="EC83" i="48" s="1"/>
  <c r="EC84" i="48" s="1"/>
  <c r="EC85" i="48" s="1"/>
  <c r="EC86" i="48" s="1"/>
  <c r="EC87" i="48" s="1"/>
  <c r="EC88" i="48" s="1"/>
  <c r="EC89" i="48" s="1"/>
  <c r="EC90" i="48" s="1"/>
  <c r="EC91" i="48" s="1"/>
  <c r="EC92" i="48" s="1"/>
  <c r="EC93" i="48" s="1"/>
  <c r="EC94" i="48" s="1"/>
  <c r="EC95" i="48" s="1"/>
  <c r="EC96" i="48" s="1"/>
  <c r="EC97" i="48" s="1"/>
  <c r="EC98" i="48" s="1"/>
  <c r="EC99" i="48" s="1"/>
  <c r="EC100" i="48" s="1"/>
  <c r="EC101" i="48" s="1"/>
  <c r="EC102" i="48" s="1"/>
  <c r="EC54" i="48"/>
  <c r="EC55" i="48" s="1"/>
  <c r="EC56" i="48" s="1"/>
  <c r="EC57" i="48" s="1"/>
  <c r="EC58" i="48" s="1"/>
  <c r="EC59" i="48" s="1"/>
  <c r="EC60" i="48" s="1"/>
  <c r="EC61" i="48" s="1"/>
  <c r="EC62" i="48" s="1"/>
  <c r="EC63" i="48" s="1"/>
  <c r="EC64" i="48" s="1"/>
  <c r="EC65" i="48" s="1"/>
  <c r="EC66" i="48" s="1"/>
  <c r="EC67" i="48" s="1"/>
  <c r="EC68" i="48" s="1"/>
  <c r="EC69" i="48" s="1"/>
  <c r="EC70" i="48" s="1"/>
  <c r="EC71" i="48" s="1"/>
  <c r="EC72" i="48" s="1"/>
  <c r="EC73" i="48" s="1"/>
  <c r="EC74" i="48" s="1"/>
  <c r="EC75" i="48" s="1"/>
  <c r="EC76" i="48" s="1"/>
  <c r="EC77" i="48" s="1"/>
  <c r="EC29" i="48"/>
  <c r="EC30" i="48" s="1"/>
  <c r="EC31" i="48" s="1"/>
  <c r="EC32" i="48" s="1"/>
  <c r="EC33" i="48" s="1"/>
  <c r="EC34" i="48" s="1"/>
  <c r="EC35" i="48" s="1"/>
  <c r="EC36" i="48" s="1"/>
  <c r="EC37" i="48" s="1"/>
  <c r="EC38" i="48" s="1"/>
  <c r="EC39" i="48" s="1"/>
  <c r="EC40" i="48" s="1"/>
  <c r="EC41" i="48" s="1"/>
  <c r="EC42" i="48" s="1"/>
  <c r="EC43" i="48" s="1"/>
  <c r="EC44" i="48" s="1"/>
  <c r="EC45" i="48" s="1"/>
  <c r="EC46" i="48" s="1"/>
  <c r="EC47" i="48" s="1"/>
  <c r="EC48" i="48" s="1"/>
  <c r="EC49" i="48" s="1"/>
  <c r="EC50" i="48" s="1"/>
  <c r="EC51" i="48" s="1"/>
  <c r="EC52" i="48" s="1"/>
  <c r="EC4" i="48"/>
  <c r="EC5" i="48" s="1"/>
  <c r="EC6" i="48" s="1"/>
  <c r="EC7" i="48" s="1"/>
  <c r="EC8" i="48" s="1"/>
  <c r="EC9" i="48" s="1"/>
  <c r="EC10" i="48" s="1"/>
  <c r="EC11" i="48" s="1"/>
  <c r="EC12" i="48" s="1"/>
  <c r="EC13" i="48" s="1"/>
  <c r="EC14" i="48" s="1"/>
  <c r="EC15" i="48" s="1"/>
  <c r="EC16" i="48" s="1"/>
  <c r="EC17" i="48" s="1"/>
  <c r="EC18" i="48" s="1"/>
  <c r="EC19" i="48" s="1"/>
  <c r="EC20" i="48" s="1"/>
  <c r="EC21" i="48" s="1"/>
  <c r="EC22" i="48" s="1"/>
  <c r="EC23" i="48" s="1"/>
  <c r="EC24" i="48" s="1"/>
  <c r="EC25" i="48" s="1"/>
  <c r="EC26" i="48" s="1"/>
  <c r="EC27" i="48" s="1"/>
  <c r="I131" i="59" l="1"/>
  <c r="J130" i="59"/>
  <c r="CY1227" i="48"/>
  <c r="CY826" i="48"/>
  <c r="AI10" i="48"/>
  <c r="AA10" i="48"/>
  <c r="I132" i="59" l="1"/>
  <c r="J131" i="59"/>
  <c r="CU16" i="56"/>
  <c r="CT16" i="56"/>
  <c r="CS16" i="56"/>
  <c r="CR16" i="56"/>
  <c r="CQ16" i="56"/>
  <c r="CP16" i="56"/>
  <c r="CO16" i="56"/>
  <c r="CN16" i="56"/>
  <c r="CM16" i="56"/>
  <c r="CL16" i="56"/>
  <c r="CK16" i="56"/>
  <c r="CJ16" i="56"/>
  <c r="CI16" i="56"/>
  <c r="CH16" i="56"/>
  <c r="CG16" i="56"/>
  <c r="CF16" i="56"/>
  <c r="CE16" i="56"/>
  <c r="CD16" i="56"/>
  <c r="CC16" i="56"/>
  <c r="CB16" i="56"/>
  <c r="CA16" i="56"/>
  <c r="BZ16" i="56"/>
  <c r="BY16" i="56"/>
  <c r="BX16" i="56"/>
  <c r="BW16" i="56"/>
  <c r="BV16" i="56"/>
  <c r="BU16" i="56"/>
  <c r="BT16" i="56"/>
  <c r="BS16" i="56"/>
  <c r="BR16" i="56"/>
  <c r="BQ16" i="56"/>
  <c r="BP16" i="56"/>
  <c r="BO16" i="56"/>
  <c r="BN16" i="56"/>
  <c r="BM16" i="56"/>
  <c r="BL16" i="56"/>
  <c r="BK16" i="56"/>
  <c r="BJ16" i="56"/>
  <c r="BI16" i="56"/>
  <c r="BH16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I133" i="59" l="1"/>
  <c r="J132" i="59"/>
  <c r="D87" i="17"/>
  <c r="I134" i="59" l="1"/>
  <c r="J133" i="59"/>
  <c r="CZ1301" i="48"/>
  <c r="CZ1076" i="48"/>
  <c r="BM1351" i="48"/>
  <c r="BO1351" i="48" s="1"/>
  <c r="BP1351" i="48" s="1"/>
  <c r="BM1226" i="48"/>
  <c r="BO1226" i="48" s="1"/>
  <c r="BP1226" i="48" s="1"/>
  <c r="BM1126" i="48"/>
  <c r="BO1126" i="48" s="1"/>
  <c r="BP1126" i="48" s="1"/>
  <c r="BM1101" i="48"/>
  <c r="BO1101" i="48" s="1"/>
  <c r="BP1101" i="48" s="1"/>
  <c r="BM1076" i="48"/>
  <c r="BO1076" i="48" s="1"/>
  <c r="BP1076" i="48" s="1"/>
  <c r="BM976" i="48"/>
  <c r="BO976" i="48" s="1"/>
  <c r="BP976" i="48" s="1"/>
  <c r="BM951" i="48"/>
  <c r="BO951" i="48" s="1"/>
  <c r="BP951" i="48" s="1"/>
  <c r="BM926" i="48"/>
  <c r="BO926" i="48" s="1"/>
  <c r="BP926" i="48" s="1"/>
  <c r="BM851" i="48"/>
  <c r="BO851" i="48" s="1"/>
  <c r="BP851" i="48" s="1"/>
  <c r="BM826" i="48"/>
  <c r="BO826" i="48" s="1"/>
  <c r="BP826" i="48" s="1"/>
  <c r="BM776" i="48"/>
  <c r="BO776" i="48" s="1"/>
  <c r="BP776" i="48" s="1"/>
  <c r="BM751" i="48"/>
  <c r="BO751" i="48" s="1"/>
  <c r="BP751" i="48" s="1"/>
  <c r="BM726" i="48"/>
  <c r="BO726" i="48" s="1"/>
  <c r="BP726" i="48" s="1"/>
  <c r="BM676" i="48"/>
  <c r="BO676" i="48" s="1"/>
  <c r="BP676" i="48" s="1"/>
  <c r="BM576" i="48"/>
  <c r="BO576" i="48" s="1"/>
  <c r="BP576" i="48" s="1"/>
  <c r="BM551" i="48"/>
  <c r="BO551" i="48" s="1"/>
  <c r="BP551" i="48" s="1"/>
  <c r="BM501" i="48"/>
  <c r="BO501" i="48" s="1"/>
  <c r="BP501" i="48" s="1"/>
  <c r="BM476" i="48"/>
  <c r="BO476" i="48" s="1"/>
  <c r="BP476" i="48" s="1"/>
  <c r="BM451" i="48"/>
  <c r="BO451" i="48" s="1"/>
  <c r="BP451" i="48" s="1"/>
  <c r="BM401" i="48"/>
  <c r="BO401" i="48" s="1"/>
  <c r="BP401" i="48" s="1"/>
  <c r="BM376" i="48"/>
  <c r="BO376" i="48" s="1"/>
  <c r="BP376" i="48" s="1"/>
  <c r="BM351" i="48"/>
  <c r="BO351" i="48" s="1"/>
  <c r="BP351" i="48" s="1"/>
  <c r="BM251" i="48"/>
  <c r="BM226" i="48"/>
  <c r="BO226" i="48" s="1"/>
  <c r="BP226" i="48" s="1"/>
  <c r="BM201" i="48"/>
  <c r="BO201" i="48" s="1"/>
  <c r="BP201" i="48" s="1"/>
  <c r="BM176" i="48"/>
  <c r="BO176" i="48" s="1"/>
  <c r="BP176" i="48" s="1"/>
  <c r="BM126" i="48"/>
  <c r="BO126" i="48" s="1"/>
  <c r="BP126" i="48" s="1"/>
  <c r="BM101" i="48"/>
  <c r="BO101" i="48" s="1"/>
  <c r="BP101" i="48" s="1"/>
  <c r="BM76" i="48"/>
  <c r="BO76" i="48" s="1"/>
  <c r="BP76" i="48" s="1"/>
  <c r="BM51" i="48"/>
  <c r="BM26" i="48"/>
  <c r="CP1351" i="48"/>
  <c r="CP1326" i="48"/>
  <c r="CP1301" i="48"/>
  <c r="CP1276" i="48"/>
  <c r="CP1251" i="48"/>
  <c r="CP1226" i="48"/>
  <c r="CP1201" i="48"/>
  <c r="CP1176" i="48"/>
  <c r="CP1151" i="48"/>
  <c r="CP1126" i="48"/>
  <c r="CP1101" i="48"/>
  <c r="CP1076" i="48"/>
  <c r="CP1051" i="48"/>
  <c r="CP1026" i="48"/>
  <c r="CP1001" i="48"/>
  <c r="CP976" i="48"/>
  <c r="CP951" i="48"/>
  <c r="CP926" i="48"/>
  <c r="CP901" i="48"/>
  <c r="CP876" i="48"/>
  <c r="CP851" i="48"/>
  <c r="CP826" i="48"/>
  <c r="CP801" i="48"/>
  <c r="CP751" i="48"/>
  <c r="CP726" i="48"/>
  <c r="CP701" i="48"/>
  <c r="CP676" i="48"/>
  <c r="CP651" i="48"/>
  <c r="CP626" i="48"/>
  <c r="CP601" i="48"/>
  <c r="CP576" i="48"/>
  <c r="CP551" i="48"/>
  <c r="CP526" i="48"/>
  <c r="CP501" i="48"/>
  <c r="CP476" i="48"/>
  <c r="CP451" i="48"/>
  <c r="CP426" i="48"/>
  <c r="CP401" i="48"/>
  <c r="CP376" i="48"/>
  <c r="CP351" i="48"/>
  <c r="CP326" i="48"/>
  <c r="CP301" i="48"/>
  <c r="CP276" i="48"/>
  <c r="CP251" i="48"/>
  <c r="CP226" i="48"/>
  <c r="CP201" i="48"/>
  <c r="CP176" i="48"/>
  <c r="CP151" i="48"/>
  <c r="CP126" i="48"/>
  <c r="CP101" i="48"/>
  <c r="CP76" i="48"/>
  <c r="CP51" i="48"/>
  <c r="BM1326" i="48"/>
  <c r="BO1326" i="48" s="1"/>
  <c r="BP1326" i="48" s="1"/>
  <c r="BM1301" i="48"/>
  <c r="BO1301" i="48" s="1"/>
  <c r="BP1301" i="48" s="1"/>
  <c r="BM1276" i="48"/>
  <c r="BO1276" i="48" s="1"/>
  <c r="BP1276" i="48" s="1"/>
  <c r="BM1251" i="48"/>
  <c r="BO1251" i="48" s="1"/>
  <c r="BP1251" i="48" s="1"/>
  <c r="BM1201" i="48"/>
  <c r="BO1201" i="48" s="1"/>
  <c r="BP1201" i="48" s="1"/>
  <c r="BM1176" i="48"/>
  <c r="BO1176" i="48" s="1"/>
  <c r="BP1176" i="48" s="1"/>
  <c r="BM1151" i="48"/>
  <c r="BO1151" i="48" s="1"/>
  <c r="BP1151" i="48" s="1"/>
  <c r="BM1051" i="48"/>
  <c r="BO1051" i="48" s="1"/>
  <c r="BP1051" i="48" s="1"/>
  <c r="BM1026" i="48"/>
  <c r="BO1026" i="48" s="1"/>
  <c r="BP1026" i="48" s="1"/>
  <c r="BM1001" i="48"/>
  <c r="BO1001" i="48" s="1"/>
  <c r="BP1001" i="48" s="1"/>
  <c r="BM901" i="48"/>
  <c r="BO901" i="48" s="1"/>
  <c r="BP901" i="48" s="1"/>
  <c r="BM876" i="48"/>
  <c r="BO876" i="48" s="1"/>
  <c r="BP876" i="48" s="1"/>
  <c r="BM801" i="48"/>
  <c r="BO801" i="48" s="1"/>
  <c r="BP801" i="48" s="1"/>
  <c r="BM701" i="48"/>
  <c r="BO701" i="48" s="1"/>
  <c r="BP701" i="48" s="1"/>
  <c r="BM651" i="48"/>
  <c r="BO651" i="48" s="1"/>
  <c r="BP651" i="48" s="1"/>
  <c r="BM626" i="48"/>
  <c r="BO626" i="48" s="1"/>
  <c r="BP626" i="48" s="1"/>
  <c r="BM601" i="48"/>
  <c r="BO601" i="48" s="1"/>
  <c r="BP601" i="48" s="1"/>
  <c r="BM526" i="48"/>
  <c r="BO526" i="48" s="1"/>
  <c r="BP526" i="48" s="1"/>
  <c r="BM426" i="48"/>
  <c r="BO426" i="48" s="1"/>
  <c r="BP426" i="48" s="1"/>
  <c r="BM326" i="48"/>
  <c r="BO326" i="48" s="1"/>
  <c r="BP326" i="48" s="1"/>
  <c r="BM301" i="48"/>
  <c r="BO301" i="48" s="1"/>
  <c r="BP301" i="48" s="1"/>
  <c r="BM151" i="48"/>
  <c r="BO151" i="48" s="1"/>
  <c r="BP151" i="48" s="1"/>
  <c r="CX1351" i="48"/>
  <c r="CX1326" i="48"/>
  <c r="CV1301" i="48"/>
  <c r="CX1276" i="48"/>
  <c r="CX1251" i="48"/>
  <c r="CW1226" i="48"/>
  <c r="CX1201" i="48"/>
  <c r="CX1176" i="48"/>
  <c r="CX1151" i="48"/>
  <c r="CX1126" i="48"/>
  <c r="CV1101" i="48"/>
  <c r="CX1076" i="48"/>
  <c r="CX1051" i="48"/>
  <c r="CW1026" i="48"/>
  <c r="CX1001" i="48"/>
  <c r="CX976" i="48"/>
  <c r="CX951" i="48"/>
  <c r="CX926" i="48"/>
  <c r="CV901" i="48"/>
  <c r="CX876" i="48"/>
  <c r="CX851" i="48"/>
  <c r="CX801" i="48"/>
  <c r="CX776" i="48"/>
  <c r="CX751" i="48"/>
  <c r="CX726" i="48"/>
  <c r="CV701" i="48"/>
  <c r="CX676" i="48"/>
  <c r="CX651" i="48"/>
  <c r="CW626" i="48"/>
  <c r="CX601" i="48"/>
  <c r="CX576" i="48"/>
  <c r="CX551" i="48"/>
  <c r="CX526" i="48"/>
  <c r="CV501" i="48"/>
  <c r="CX476" i="48"/>
  <c r="CX451" i="48"/>
  <c r="CW426" i="48"/>
  <c r="CX401" i="48"/>
  <c r="CX376" i="48"/>
  <c r="CX351" i="48"/>
  <c r="CX326" i="48"/>
  <c r="CV301" i="48"/>
  <c r="CX276" i="48"/>
  <c r="CX251" i="48"/>
  <c r="CW226" i="48"/>
  <c r="CX201" i="48"/>
  <c r="CX176" i="48"/>
  <c r="CX151" i="48"/>
  <c r="CX126" i="48"/>
  <c r="CV101" i="48"/>
  <c r="CX76" i="48"/>
  <c r="CX51" i="48"/>
  <c r="J134" i="59" l="1"/>
  <c r="I135" i="59"/>
  <c r="BO26" i="48"/>
  <c r="BP26" i="48" s="1"/>
  <c r="CU1076" i="48"/>
  <c r="CZ1077" i="48"/>
  <c r="CU1077" i="48" s="1"/>
  <c r="CU1301" i="48"/>
  <c r="CZ1302" i="48"/>
  <c r="CU1302" i="48" s="1"/>
  <c r="CX101" i="48"/>
  <c r="CV651" i="48"/>
  <c r="CV51" i="48"/>
  <c r="CW576" i="48"/>
  <c r="CX1101" i="48"/>
  <c r="CW176" i="48"/>
  <c r="CX701" i="48"/>
  <c r="CV1251" i="48"/>
  <c r="CV251" i="48"/>
  <c r="CW776" i="48"/>
  <c r="CX1301" i="48"/>
  <c r="CX301" i="48"/>
  <c r="CV851" i="48"/>
  <c r="CW376" i="48"/>
  <c r="CX901" i="48"/>
  <c r="CV451" i="48"/>
  <c r="CW976" i="48"/>
  <c r="CW1176" i="48"/>
  <c r="CX501" i="48"/>
  <c r="CV1051" i="48"/>
  <c r="CW101" i="48"/>
  <c r="CV176" i="48"/>
  <c r="CX226" i="48"/>
  <c r="CW301" i="48"/>
  <c r="CV376" i="48"/>
  <c r="CX426" i="48"/>
  <c r="CW501" i="48"/>
  <c r="CV576" i="48"/>
  <c r="CX626" i="48"/>
  <c r="CW701" i="48"/>
  <c r="CV776" i="48"/>
  <c r="CW901" i="48"/>
  <c r="CV976" i="48"/>
  <c r="CX1026" i="48"/>
  <c r="CW1101" i="48"/>
  <c r="CV1176" i="48"/>
  <c r="CX1226" i="48"/>
  <c r="CW1301" i="48"/>
  <c r="CW51" i="48"/>
  <c r="CV126" i="48"/>
  <c r="CW251" i="48"/>
  <c r="CV326" i="48"/>
  <c r="CW451" i="48"/>
  <c r="CV526" i="48"/>
  <c r="CW651" i="48"/>
  <c r="CV726" i="48"/>
  <c r="CW851" i="48"/>
  <c r="CV926" i="48"/>
  <c r="CW1051" i="48"/>
  <c r="CV1126" i="48"/>
  <c r="CW1251" i="48"/>
  <c r="CV1326" i="48"/>
  <c r="CW126" i="48"/>
  <c r="CV201" i="48"/>
  <c r="CW326" i="48"/>
  <c r="CV401" i="48"/>
  <c r="CW526" i="48"/>
  <c r="CV601" i="48"/>
  <c r="CW726" i="48"/>
  <c r="CV801" i="48"/>
  <c r="CW926" i="48"/>
  <c r="CV1001" i="48"/>
  <c r="CW1126" i="48"/>
  <c r="CV1201" i="48"/>
  <c r="CW1326" i="48"/>
  <c r="CV76" i="48"/>
  <c r="CW201" i="48"/>
  <c r="CV276" i="48"/>
  <c r="CW401" i="48"/>
  <c r="CV476" i="48"/>
  <c r="CW601" i="48"/>
  <c r="CV676" i="48"/>
  <c r="CW801" i="48"/>
  <c r="CV876" i="48"/>
  <c r="CW1001" i="48"/>
  <c r="CV1076" i="48"/>
  <c r="CW1201" i="48"/>
  <c r="CV1276" i="48"/>
  <c r="CW76" i="48"/>
  <c r="CV151" i="48"/>
  <c r="CW276" i="48"/>
  <c r="CV351" i="48"/>
  <c r="CW476" i="48"/>
  <c r="CV551" i="48"/>
  <c r="CW676" i="48"/>
  <c r="CV751" i="48"/>
  <c r="CW876" i="48"/>
  <c r="CV951" i="48"/>
  <c r="CW1076" i="48"/>
  <c r="CV1151" i="48"/>
  <c r="CW1276" i="48"/>
  <c r="CV1351" i="48"/>
  <c r="CW151" i="48"/>
  <c r="CV226" i="48"/>
  <c r="CW351" i="48"/>
  <c r="CV426" i="48"/>
  <c r="CW551" i="48"/>
  <c r="CV626" i="48"/>
  <c r="CW751" i="48"/>
  <c r="CW951" i="48"/>
  <c r="CV1026" i="48"/>
  <c r="CW1151" i="48"/>
  <c r="CV1226" i="48"/>
  <c r="CW1351" i="48"/>
  <c r="I136" i="59" l="1"/>
  <c r="J135" i="59"/>
  <c r="CY101" i="48"/>
  <c r="CY1051" i="48"/>
  <c r="CY526" i="48"/>
  <c r="CY1326" i="48"/>
  <c r="CY651" i="48"/>
  <c r="CY701" i="48"/>
  <c r="CY1201" i="48"/>
  <c r="CY401" i="48"/>
  <c r="CY176" i="48"/>
  <c r="CY751" i="48"/>
  <c r="CY1276" i="48"/>
  <c r="CY476" i="48"/>
  <c r="CY301" i="48"/>
  <c r="CY601" i="48"/>
  <c r="CY901" i="48"/>
  <c r="CY376" i="48"/>
  <c r="CY851" i="48"/>
  <c r="CY51" i="48"/>
  <c r="CY1301" i="48"/>
  <c r="CY351" i="48"/>
  <c r="CY1101" i="48"/>
  <c r="CY576" i="48"/>
  <c r="CY1001" i="48"/>
  <c r="CY776" i="48"/>
  <c r="CY551" i="48"/>
  <c r="CY1076" i="48"/>
  <c r="CY276" i="48"/>
  <c r="CY801" i="48"/>
  <c r="CY726" i="48"/>
  <c r="CY1176" i="48"/>
  <c r="CY201" i="48"/>
  <c r="CY126" i="48"/>
  <c r="CY1251" i="48"/>
  <c r="CY451" i="48"/>
  <c r="CY501" i="48"/>
  <c r="CY926" i="48"/>
  <c r="CY976" i="48"/>
  <c r="CY251" i="48"/>
  <c r="CY1151" i="48"/>
  <c r="CY876" i="48"/>
  <c r="CY76" i="48"/>
  <c r="CY1026" i="48"/>
  <c r="CY951" i="48"/>
  <c r="CY151" i="48"/>
  <c r="CY676" i="48"/>
  <c r="CY426" i="48"/>
  <c r="CY1351" i="48"/>
  <c r="CY1126" i="48"/>
  <c r="CY326" i="48"/>
  <c r="CY226" i="48"/>
  <c r="CY1226" i="48"/>
  <c r="CY626" i="48"/>
  <c r="BL1351" i="48"/>
  <c r="CH1351" i="48" s="1"/>
  <c r="CI1351" i="48" s="1"/>
  <c r="CJ1351" i="48" s="1"/>
  <c r="BL1326" i="48"/>
  <c r="CH1326" i="48" s="1"/>
  <c r="CI1326" i="48" s="1"/>
  <c r="CJ1326" i="48" s="1"/>
  <c r="BL1301" i="48"/>
  <c r="CH1301" i="48" s="1"/>
  <c r="CI1301" i="48" s="1"/>
  <c r="CJ1301" i="48" s="1"/>
  <c r="BL1276" i="48"/>
  <c r="CH1276" i="48" s="1"/>
  <c r="CI1276" i="48" s="1"/>
  <c r="CJ1276" i="48" s="1"/>
  <c r="BL1251" i="48"/>
  <c r="CH1251" i="48" s="1"/>
  <c r="CI1251" i="48" s="1"/>
  <c r="CJ1251" i="48" s="1"/>
  <c r="BL1226" i="48"/>
  <c r="CH1226" i="48" s="1"/>
  <c r="CI1226" i="48" s="1"/>
  <c r="CJ1226" i="48" s="1"/>
  <c r="BL1201" i="48"/>
  <c r="CH1201" i="48" s="1"/>
  <c r="CI1201" i="48" s="1"/>
  <c r="CJ1201" i="48" s="1"/>
  <c r="BL1176" i="48"/>
  <c r="CH1176" i="48" s="1"/>
  <c r="CI1176" i="48" s="1"/>
  <c r="CJ1176" i="48" s="1"/>
  <c r="BL1151" i="48"/>
  <c r="CH1151" i="48" s="1"/>
  <c r="CI1151" i="48" s="1"/>
  <c r="CJ1151" i="48" s="1"/>
  <c r="BL1126" i="48"/>
  <c r="CH1126" i="48" s="1"/>
  <c r="CI1126" i="48" s="1"/>
  <c r="CJ1126" i="48" s="1"/>
  <c r="BL1101" i="48"/>
  <c r="CH1101" i="48" s="1"/>
  <c r="CI1101" i="48" s="1"/>
  <c r="CJ1101" i="48" s="1"/>
  <c r="BL1076" i="48"/>
  <c r="CH1076" i="48" s="1"/>
  <c r="CI1076" i="48" s="1"/>
  <c r="CJ1076" i="48" s="1"/>
  <c r="BL1051" i="48"/>
  <c r="CH1051" i="48" s="1"/>
  <c r="CI1051" i="48" s="1"/>
  <c r="CJ1051" i="48" s="1"/>
  <c r="BL1026" i="48"/>
  <c r="CH1026" i="48" s="1"/>
  <c r="CI1026" i="48" s="1"/>
  <c r="CJ1026" i="48" s="1"/>
  <c r="BL1001" i="48"/>
  <c r="CH1001" i="48" s="1"/>
  <c r="CI1001" i="48" s="1"/>
  <c r="CJ1001" i="48" s="1"/>
  <c r="BL976" i="48"/>
  <c r="CH976" i="48" s="1"/>
  <c r="CI976" i="48" s="1"/>
  <c r="CJ976" i="48" s="1"/>
  <c r="BL951" i="48"/>
  <c r="CH951" i="48" s="1"/>
  <c r="CI951" i="48" s="1"/>
  <c r="CJ951" i="48" s="1"/>
  <c r="BL926" i="48"/>
  <c r="CH926" i="48" s="1"/>
  <c r="CI926" i="48" s="1"/>
  <c r="CJ926" i="48" s="1"/>
  <c r="BL901" i="48"/>
  <c r="CH901" i="48" s="1"/>
  <c r="CI901" i="48" s="1"/>
  <c r="CJ901" i="48" s="1"/>
  <c r="BL876" i="48"/>
  <c r="CH876" i="48" s="1"/>
  <c r="CI876" i="48" s="1"/>
  <c r="CJ876" i="48" s="1"/>
  <c r="BL851" i="48"/>
  <c r="CH851" i="48" s="1"/>
  <c r="CI851" i="48" s="1"/>
  <c r="CJ851" i="48" s="1"/>
  <c r="BL826" i="48"/>
  <c r="CH826" i="48" s="1"/>
  <c r="CI826" i="48" s="1"/>
  <c r="CJ826" i="48" s="1"/>
  <c r="BL801" i="48"/>
  <c r="CH801" i="48" s="1"/>
  <c r="CI801" i="48" s="1"/>
  <c r="CJ801" i="48" s="1"/>
  <c r="BL776" i="48"/>
  <c r="CH776" i="48" s="1"/>
  <c r="CI776" i="48" s="1"/>
  <c r="CJ776" i="48" s="1"/>
  <c r="BL751" i="48"/>
  <c r="CH751" i="48" s="1"/>
  <c r="CI751" i="48" s="1"/>
  <c r="CJ751" i="48" s="1"/>
  <c r="BL726" i="48"/>
  <c r="CH726" i="48" s="1"/>
  <c r="CI726" i="48" s="1"/>
  <c r="CJ726" i="48" s="1"/>
  <c r="BL701" i="48"/>
  <c r="CH701" i="48" s="1"/>
  <c r="CI701" i="48" s="1"/>
  <c r="CJ701" i="48" s="1"/>
  <c r="BL676" i="48"/>
  <c r="CH676" i="48" s="1"/>
  <c r="CI676" i="48" s="1"/>
  <c r="CJ676" i="48" s="1"/>
  <c r="BL651" i="48"/>
  <c r="CH651" i="48" s="1"/>
  <c r="CI651" i="48" s="1"/>
  <c r="CJ651" i="48" s="1"/>
  <c r="BL626" i="48"/>
  <c r="CH626" i="48" s="1"/>
  <c r="CI626" i="48" s="1"/>
  <c r="CJ626" i="48" s="1"/>
  <c r="BL601" i="48"/>
  <c r="CH601" i="48" s="1"/>
  <c r="CI601" i="48" s="1"/>
  <c r="CJ601" i="48" s="1"/>
  <c r="BL576" i="48"/>
  <c r="CH576" i="48" s="1"/>
  <c r="CI576" i="48" s="1"/>
  <c r="CJ576" i="48" s="1"/>
  <c r="BL551" i="48"/>
  <c r="CH551" i="48" s="1"/>
  <c r="CI551" i="48" s="1"/>
  <c r="CJ551" i="48" s="1"/>
  <c r="BL526" i="48"/>
  <c r="CH526" i="48" s="1"/>
  <c r="CI526" i="48" s="1"/>
  <c r="CJ526" i="48" s="1"/>
  <c r="BL501" i="48"/>
  <c r="CH501" i="48" s="1"/>
  <c r="CI501" i="48" s="1"/>
  <c r="CJ501" i="48" s="1"/>
  <c r="BL476" i="48"/>
  <c r="CH476" i="48" s="1"/>
  <c r="CI476" i="48" s="1"/>
  <c r="CJ476" i="48" s="1"/>
  <c r="BL451" i="48"/>
  <c r="CH451" i="48" s="1"/>
  <c r="CI451" i="48" s="1"/>
  <c r="CJ451" i="48" s="1"/>
  <c r="BL426" i="48"/>
  <c r="CH426" i="48" s="1"/>
  <c r="CI426" i="48" s="1"/>
  <c r="CJ426" i="48" s="1"/>
  <c r="BL401" i="48"/>
  <c r="CH401" i="48" s="1"/>
  <c r="CI401" i="48" s="1"/>
  <c r="CJ401" i="48" s="1"/>
  <c r="BL376" i="48"/>
  <c r="CH376" i="48" s="1"/>
  <c r="CI376" i="48" s="1"/>
  <c r="CJ376" i="48" s="1"/>
  <c r="BL351" i="48"/>
  <c r="CH351" i="48" s="1"/>
  <c r="CI351" i="48" s="1"/>
  <c r="CJ351" i="48" s="1"/>
  <c r="BL326" i="48"/>
  <c r="CH326" i="48" s="1"/>
  <c r="CI326" i="48" s="1"/>
  <c r="CJ326" i="48" s="1"/>
  <c r="BL301" i="48"/>
  <c r="CH301" i="48" s="1"/>
  <c r="CI301" i="48" s="1"/>
  <c r="CJ301" i="48" s="1"/>
  <c r="BL251" i="48"/>
  <c r="CH251" i="48" s="1"/>
  <c r="CI251" i="48" s="1"/>
  <c r="CJ251" i="48" s="1"/>
  <c r="BL226" i="48"/>
  <c r="CH226" i="48" s="1"/>
  <c r="CI226" i="48" s="1"/>
  <c r="CJ226" i="48" s="1"/>
  <c r="BL201" i="48"/>
  <c r="CH201" i="48" s="1"/>
  <c r="CI201" i="48" s="1"/>
  <c r="CJ201" i="48" s="1"/>
  <c r="BL176" i="48"/>
  <c r="CH176" i="48" s="1"/>
  <c r="CI176" i="48" s="1"/>
  <c r="CJ176" i="48" s="1"/>
  <c r="BL151" i="48"/>
  <c r="CH151" i="48" s="1"/>
  <c r="CI151" i="48" s="1"/>
  <c r="CJ151" i="48" s="1"/>
  <c r="BL126" i="48"/>
  <c r="CH126" i="48" s="1"/>
  <c r="CI126" i="48" s="1"/>
  <c r="CJ126" i="48" s="1"/>
  <c r="BL101" i="48"/>
  <c r="CH101" i="48" s="1"/>
  <c r="CI101" i="48" s="1"/>
  <c r="CJ101" i="48" s="1"/>
  <c r="BL76" i="48"/>
  <c r="CH76" i="48" s="1"/>
  <c r="CI76" i="48" s="1"/>
  <c r="CJ76" i="48" s="1"/>
  <c r="BL51" i="48"/>
  <c r="CH51" i="48" s="1"/>
  <c r="BL26" i="48"/>
  <c r="CH26" i="48" s="1"/>
  <c r="CI26" i="48" s="1"/>
  <c r="I137" i="59" l="1"/>
  <c r="J136" i="59"/>
  <c r="DF26" i="48"/>
  <c r="CJ26" i="48" s="1"/>
  <c r="DF25" i="48"/>
  <c r="DF24" i="48"/>
  <c r="DF23" i="48"/>
  <c r="DF22" i="48"/>
  <c r="DF21" i="48"/>
  <c r="DF20" i="48"/>
  <c r="DF19" i="48"/>
  <c r="DF18" i="48"/>
  <c r="DF17" i="48"/>
  <c r="DF16" i="48"/>
  <c r="DF15" i="48"/>
  <c r="DF14" i="48"/>
  <c r="DF13" i="48"/>
  <c r="DF12" i="48"/>
  <c r="DF11" i="48"/>
  <c r="DF10" i="48"/>
  <c r="DF9" i="48"/>
  <c r="DF8" i="48"/>
  <c r="DF7" i="48"/>
  <c r="DF6" i="48"/>
  <c r="DF5" i="48"/>
  <c r="DF4" i="48"/>
  <c r="DF3" i="48"/>
  <c r="J137" i="59" l="1"/>
  <c r="I138" i="59"/>
  <c r="CT27" i="48"/>
  <c r="CT176" i="48"/>
  <c r="CT201" i="48"/>
  <c r="CT226" i="48"/>
  <c r="CT251" i="48"/>
  <c r="CT276" i="48"/>
  <c r="CT301" i="48"/>
  <c r="CT326" i="48"/>
  <c r="CT351" i="48"/>
  <c r="CT376" i="48"/>
  <c r="CT401" i="48"/>
  <c r="CT426" i="48"/>
  <c r="CT451" i="48"/>
  <c r="CT476" i="48"/>
  <c r="CT501" i="48"/>
  <c r="CT526" i="48"/>
  <c r="CT551" i="48"/>
  <c r="CT576" i="48"/>
  <c r="CT601" i="48"/>
  <c r="CT651" i="48"/>
  <c r="CT676" i="48"/>
  <c r="CT726" i="48"/>
  <c r="CT751" i="48"/>
  <c r="CT776" i="48"/>
  <c r="CT801" i="48"/>
  <c r="CT851" i="48"/>
  <c r="CT876" i="48"/>
  <c r="CT901" i="48"/>
  <c r="CT926" i="48"/>
  <c r="CT951" i="48"/>
  <c r="CT976" i="48"/>
  <c r="CT1001" i="48"/>
  <c r="CT1026" i="48"/>
  <c r="CT1051" i="48"/>
  <c r="CT1076" i="48"/>
  <c r="CT1101" i="48"/>
  <c r="CT1126" i="48"/>
  <c r="CT1151" i="48"/>
  <c r="CT1176" i="48"/>
  <c r="CT1201" i="48"/>
  <c r="CT1226" i="48"/>
  <c r="CT1251" i="48"/>
  <c r="CT26" i="48"/>
  <c r="BB1326" i="48"/>
  <c r="BB1201" i="48"/>
  <c r="BB1126" i="48"/>
  <c r="BB1051" i="48"/>
  <c r="BB1026" i="48"/>
  <c r="BB676" i="48"/>
  <c r="BB576" i="48"/>
  <c r="BB526" i="48"/>
  <c r="BB501" i="48"/>
  <c r="BB451" i="48"/>
  <c r="BB401" i="48"/>
  <c r="BB326" i="48"/>
  <c r="BB251" i="48"/>
  <c r="BC251" i="48" s="1"/>
  <c r="BB226" i="48"/>
  <c r="BB126" i="48"/>
  <c r="BB51" i="48"/>
  <c r="BB101" i="48"/>
  <c r="BB151" i="48"/>
  <c r="BB176" i="48"/>
  <c r="BB201" i="48"/>
  <c r="BB351" i="48"/>
  <c r="BB376" i="48"/>
  <c r="BB426" i="48"/>
  <c r="BB476" i="48"/>
  <c r="BB551" i="48"/>
  <c r="BC552" i="48" s="1"/>
  <c r="BB601" i="48"/>
  <c r="BB651" i="48"/>
  <c r="BB701" i="48"/>
  <c r="BB726" i="48"/>
  <c r="BB751" i="48"/>
  <c r="BC751" i="48" s="1"/>
  <c r="BB801" i="48"/>
  <c r="BB826" i="48"/>
  <c r="BB851" i="48"/>
  <c r="BB876" i="48"/>
  <c r="BB901" i="48"/>
  <c r="BB1101" i="48"/>
  <c r="BB1176" i="48"/>
  <c r="BB1251" i="48"/>
  <c r="BB1301" i="48"/>
  <c r="J138" i="59" l="1"/>
  <c r="I139" i="59"/>
  <c r="E29" i="58"/>
  <c r="BC526" i="48"/>
  <c r="BC527" i="48"/>
  <c r="BC1102" i="48"/>
  <c r="BC602" i="48"/>
  <c r="BC227" i="48"/>
  <c r="BC1051" i="48"/>
  <c r="BC1052" i="48"/>
  <c r="BC1351" i="48"/>
  <c r="BC1352" i="48"/>
  <c r="BC1227" i="48"/>
  <c r="BC1076" i="48"/>
  <c r="BC1077" i="48"/>
  <c r="BC851" i="48"/>
  <c r="BC852" i="48"/>
  <c r="BC727" i="48"/>
  <c r="BC352" i="48"/>
  <c r="BC102" i="48"/>
  <c r="BC101" i="48"/>
  <c r="BC502" i="48"/>
  <c r="BC677" i="48"/>
  <c r="BC1127" i="48"/>
  <c r="BC1251" i="48"/>
  <c r="BC1252" i="48"/>
  <c r="BC752" i="48"/>
  <c r="BC152" i="48"/>
  <c r="BC452" i="48"/>
  <c r="BC451" i="48"/>
  <c r="BC1177" i="48"/>
  <c r="BC926" i="48"/>
  <c r="BC927" i="48"/>
  <c r="BC827" i="48"/>
  <c r="BC477" i="48"/>
  <c r="BC202" i="48"/>
  <c r="BC52" i="48"/>
  <c r="BC51" i="48"/>
  <c r="BC327" i="48"/>
  <c r="BC977" i="48"/>
  <c r="BC1202" i="48"/>
  <c r="BC877" i="48"/>
  <c r="BC377" i="48"/>
  <c r="BC27" i="48"/>
  <c r="BC26" i="48"/>
  <c r="BC1302" i="48"/>
  <c r="BC1276" i="48"/>
  <c r="BC1277" i="48"/>
  <c r="BC1152" i="48"/>
  <c r="BC902" i="48"/>
  <c r="BC802" i="48"/>
  <c r="BC652" i="48"/>
  <c r="BC427" i="48"/>
  <c r="BC177" i="48"/>
  <c r="BC127" i="48"/>
  <c r="BC126" i="48"/>
  <c r="BC402" i="48"/>
  <c r="BC577" i="48"/>
  <c r="BC576" i="48"/>
  <c r="BC1027" i="48"/>
  <c r="BC1327" i="48"/>
  <c r="I140" i="59" l="1"/>
  <c r="J139" i="59"/>
  <c r="DK26" i="48"/>
  <c r="DL27" i="48" s="1"/>
  <c r="DE26" i="48"/>
  <c r="CR10" i="22"/>
  <c r="CP26" i="48"/>
  <c r="CR26" i="48" s="1"/>
  <c r="DD26" i="48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9" i="53"/>
  <c r="F18" i="53"/>
  <c r="F17" i="53"/>
  <c r="F16" i="53"/>
  <c r="F15" i="53"/>
  <c r="F14" i="53"/>
  <c r="F13" i="53"/>
  <c r="E35" i="53"/>
  <c r="E34" i="53"/>
  <c r="E17" i="53"/>
  <c r="E18" i="53" s="1"/>
  <c r="E15" i="53"/>
  <c r="E14" i="53"/>
  <c r="C288" i="53"/>
  <c r="C287" i="53"/>
  <c r="C286" i="53"/>
  <c r="C285" i="53"/>
  <c r="C284" i="53"/>
  <c r="C283" i="53"/>
  <c r="C282" i="53"/>
  <c r="C281" i="53"/>
  <c r="C280" i="53"/>
  <c r="C279" i="53"/>
  <c r="C278" i="53"/>
  <c r="C277" i="53"/>
  <c r="C276" i="53"/>
  <c r="C275" i="53"/>
  <c r="C274" i="53"/>
  <c r="C273" i="53"/>
  <c r="C272" i="53"/>
  <c r="C271" i="53"/>
  <c r="C270" i="53"/>
  <c r="C269" i="53"/>
  <c r="C268" i="53"/>
  <c r="C267" i="53"/>
  <c r="C266" i="53"/>
  <c r="C265" i="53"/>
  <c r="C264" i="53"/>
  <c r="C263" i="53"/>
  <c r="C262" i="53"/>
  <c r="C261" i="53"/>
  <c r="C260" i="53"/>
  <c r="C259" i="53"/>
  <c r="C258" i="53"/>
  <c r="C257" i="53"/>
  <c r="C256" i="53"/>
  <c r="C255" i="53"/>
  <c r="C254" i="53"/>
  <c r="C253" i="53"/>
  <c r="C252" i="53"/>
  <c r="C251" i="53"/>
  <c r="C250" i="53"/>
  <c r="C249" i="53"/>
  <c r="C248" i="53"/>
  <c r="C247" i="53"/>
  <c r="C246" i="53"/>
  <c r="C245" i="53"/>
  <c r="C244" i="53"/>
  <c r="C243" i="53"/>
  <c r="C242" i="53"/>
  <c r="C241" i="53"/>
  <c r="C240" i="53"/>
  <c r="C239" i="53"/>
  <c r="C238" i="53"/>
  <c r="C237" i="53"/>
  <c r="C236" i="53"/>
  <c r="C235" i="53"/>
  <c r="C234" i="53"/>
  <c r="C233" i="53"/>
  <c r="C232" i="53"/>
  <c r="C231" i="53"/>
  <c r="C230" i="53"/>
  <c r="C229" i="53"/>
  <c r="C228" i="53"/>
  <c r="C227" i="53"/>
  <c r="C226" i="53"/>
  <c r="C225" i="53"/>
  <c r="C224" i="53"/>
  <c r="C223" i="53"/>
  <c r="C222" i="53"/>
  <c r="C221" i="53"/>
  <c r="C220" i="53"/>
  <c r="C219" i="53"/>
  <c r="C218" i="53"/>
  <c r="C217" i="53"/>
  <c r="C216" i="53"/>
  <c r="C215" i="53"/>
  <c r="C214" i="53"/>
  <c r="C213" i="53"/>
  <c r="C212" i="53"/>
  <c r="C211" i="53"/>
  <c r="C210" i="53"/>
  <c r="C209" i="53"/>
  <c r="C208" i="53"/>
  <c r="C207" i="53"/>
  <c r="C206" i="53"/>
  <c r="C205" i="53"/>
  <c r="C204" i="53"/>
  <c r="C203" i="53"/>
  <c r="C202" i="53"/>
  <c r="C201" i="53"/>
  <c r="C200" i="53"/>
  <c r="C199" i="53"/>
  <c r="C198" i="53"/>
  <c r="C197" i="53"/>
  <c r="C196" i="53"/>
  <c r="C195" i="53"/>
  <c r="C194" i="53"/>
  <c r="C193" i="53"/>
  <c r="C192" i="53"/>
  <c r="C191" i="53"/>
  <c r="C190" i="53"/>
  <c r="C189" i="53"/>
  <c r="C188" i="53"/>
  <c r="C187" i="53"/>
  <c r="C186" i="53"/>
  <c r="C185" i="53"/>
  <c r="C184" i="53"/>
  <c r="C183" i="53"/>
  <c r="C182" i="53"/>
  <c r="C181" i="53"/>
  <c r="C180" i="53"/>
  <c r="C179" i="53"/>
  <c r="C178" i="53"/>
  <c r="C177" i="53"/>
  <c r="C176" i="53"/>
  <c r="C175" i="53"/>
  <c r="C174" i="53"/>
  <c r="C173" i="53"/>
  <c r="C172" i="53"/>
  <c r="C171" i="53"/>
  <c r="C170" i="53"/>
  <c r="C169" i="53"/>
  <c r="C168" i="53"/>
  <c r="C167" i="53"/>
  <c r="C166" i="53"/>
  <c r="C165" i="53"/>
  <c r="C164" i="53"/>
  <c r="C163" i="53"/>
  <c r="C162" i="53"/>
  <c r="C161" i="53"/>
  <c r="C160" i="53"/>
  <c r="C159" i="53"/>
  <c r="C158" i="53"/>
  <c r="C157" i="53"/>
  <c r="C156" i="53"/>
  <c r="C155" i="53"/>
  <c r="C154" i="53"/>
  <c r="C153" i="53"/>
  <c r="C152" i="53"/>
  <c r="C151" i="53"/>
  <c r="C150" i="53"/>
  <c r="C149" i="53"/>
  <c r="C148" i="53"/>
  <c r="C147" i="53"/>
  <c r="C146" i="53"/>
  <c r="C145" i="53"/>
  <c r="C144" i="53"/>
  <c r="C143" i="53"/>
  <c r="C142" i="53"/>
  <c r="C141" i="53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DJ892" i="48" l="1"/>
  <c r="DJ642" i="48"/>
  <c r="DJ42" i="48"/>
  <c r="DJ492" i="48"/>
  <c r="DJ1141" i="48"/>
  <c r="DJ591" i="48"/>
  <c r="DJ316" i="48"/>
  <c r="DJ166" i="48"/>
  <c r="DJ116" i="48"/>
  <c r="DJ815" i="48"/>
  <c r="DJ1040" i="48"/>
  <c r="DJ415" i="48"/>
  <c r="DJ90" i="48"/>
  <c r="DJ1290" i="48"/>
  <c r="DJ390" i="48"/>
  <c r="DJ961" i="48"/>
  <c r="DJ911" i="48"/>
  <c r="DJ1261" i="48"/>
  <c r="DJ811" i="48"/>
  <c r="DJ1061" i="48"/>
  <c r="DJ211" i="48"/>
  <c r="DJ411" i="48"/>
  <c r="DJ1160" i="48"/>
  <c r="DJ1285" i="48"/>
  <c r="DJ1185" i="48"/>
  <c r="DJ335" i="48"/>
  <c r="DJ510" i="48"/>
  <c r="DJ260" i="48"/>
  <c r="DJ1268" i="48"/>
  <c r="DJ1093" i="48"/>
  <c r="DJ1343" i="48"/>
  <c r="DJ968" i="48"/>
  <c r="DJ768" i="48"/>
  <c r="DJ1218" i="48"/>
  <c r="DJ1043" i="48"/>
  <c r="DJ843" i="48"/>
  <c r="DJ1293" i="48"/>
  <c r="DJ1118" i="48"/>
  <c r="DJ918" i="48"/>
  <c r="DJ718" i="48"/>
  <c r="DJ1243" i="48"/>
  <c r="DJ1068" i="48"/>
  <c r="DJ868" i="48"/>
  <c r="DJ668" i="48"/>
  <c r="DJ1193" i="48"/>
  <c r="DJ1168" i="48"/>
  <c r="DJ1018" i="48"/>
  <c r="DJ818" i="48"/>
  <c r="DJ618" i="48"/>
  <c r="DJ593" i="48"/>
  <c r="DJ1143" i="48"/>
  <c r="DJ943" i="48"/>
  <c r="DJ743" i="48"/>
  <c r="DJ468" i="48"/>
  <c r="DJ368" i="48"/>
  <c r="DJ343" i="48"/>
  <c r="DJ168" i="48"/>
  <c r="DJ543" i="48"/>
  <c r="DJ68" i="48"/>
  <c r="DJ118" i="48"/>
  <c r="DJ993" i="48"/>
  <c r="DJ793" i="48"/>
  <c r="DJ568" i="48"/>
  <c r="DJ1318" i="48"/>
  <c r="DJ443" i="48"/>
  <c r="DJ518" i="48"/>
  <c r="DJ193" i="48"/>
  <c r="DJ293" i="48"/>
  <c r="DJ268" i="48"/>
  <c r="DJ243" i="48"/>
  <c r="DJ143" i="48"/>
  <c r="DJ218" i="48"/>
  <c r="DJ1344" i="48"/>
  <c r="DJ969" i="48"/>
  <c r="DJ769" i="48"/>
  <c r="DJ1044" i="48"/>
  <c r="DJ844" i="48"/>
  <c r="DJ644" i="48"/>
  <c r="DJ1294" i="48"/>
  <c r="DJ1119" i="48"/>
  <c r="DJ919" i="48"/>
  <c r="DJ719" i="48"/>
  <c r="DJ1169" i="48"/>
  <c r="DJ944" i="48"/>
  <c r="DJ744" i="48"/>
  <c r="DJ594" i="48"/>
  <c r="DJ1269" i="48"/>
  <c r="DJ1094" i="48"/>
  <c r="DJ894" i="48"/>
  <c r="DJ694" i="48"/>
  <c r="DJ544" i="48"/>
  <c r="DJ1069" i="48"/>
  <c r="DJ669" i="48"/>
  <c r="DJ494" i="48"/>
  <c r="DJ1194" i="48"/>
  <c r="DJ569" i="48"/>
  <c r="DJ444" i="48"/>
  <c r="DJ419" i="48"/>
  <c r="DJ519" i="48"/>
  <c r="DJ294" i="48"/>
  <c r="DJ269" i="48"/>
  <c r="DJ244" i="48"/>
  <c r="DJ194" i="48"/>
  <c r="DJ94" i="48"/>
  <c r="DJ1019" i="48"/>
  <c r="DJ819" i="48"/>
  <c r="DJ319" i="48"/>
  <c r="DJ169" i="48"/>
  <c r="DJ394" i="48"/>
  <c r="DJ144" i="48"/>
  <c r="DJ469" i="48"/>
  <c r="DJ369" i="48"/>
  <c r="DJ69" i="48"/>
  <c r="DJ1184" i="48"/>
  <c r="DJ1009" i="48"/>
  <c r="DJ809" i="48"/>
  <c r="DJ1259" i="48"/>
  <c r="DJ1084" i="48"/>
  <c r="DJ884" i="48"/>
  <c r="DJ684" i="48"/>
  <c r="DJ1334" i="48"/>
  <c r="DJ1159" i="48"/>
  <c r="DJ959" i="48"/>
  <c r="DJ759" i="48"/>
  <c r="DJ584" i="48"/>
  <c r="DJ1209" i="48"/>
  <c r="DJ1034" i="48"/>
  <c r="DJ834" i="48"/>
  <c r="DJ634" i="48"/>
  <c r="DJ984" i="48"/>
  <c r="DJ784" i="48"/>
  <c r="DJ1309" i="48"/>
  <c r="DJ1134" i="48"/>
  <c r="DJ934" i="48"/>
  <c r="DJ734" i="48"/>
  <c r="DJ1109" i="48"/>
  <c r="DJ909" i="48"/>
  <c r="DJ709" i="48"/>
  <c r="DJ309" i="48"/>
  <c r="DJ134" i="48"/>
  <c r="DJ1234" i="48"/>
  <c r="DJ609" i="48"/>
  <c r="DJ459" i="48"/>
  <c r="DJ359" i="48"/>
  <c r="DJ234" i="48"/>
  <c r="DJ184" i="48"/>
  <c r="DJ534" i="48"/>
  <c r="DJ284" i="48"/>
  <c r="DJ334" i="48"/>
  <c r="DJ159" i="48"/>
  <c r="DJ1059" i="48"/>
  <c r="DJ859" i="48"/>
  <c r="DJ659" i="48"/>
  <c r="DJ484" i="48"/>
  <c r="DJ1284" i="48"/>
  <c r="DJ559" i="48"/>
  <c r="DJ9" i="48"/>
  <c r="DJ59" i="48"/>
  <c r="DJ259" i="48"/>
  <c r="DJ209" i="48"/>
  <c r="DJ34" i="48"/>
  <c r="DJ434" i="48"/>
  <c r="DJ109" i="48"/>
  <c r="DJ509" i="48"/>
  <c r="I141" i="59"/>
  <c r="J140" i="59"/>
  <c r="CW26" i="48"/>
  <c r="CV26" i="48"/>
  <c r="CX26" i="48"/>
  <c r="E19" i="53"/>
  <c r="DJ1144" i="48" l="1"/>
  <c r="DJ44" i="48"/>
  <c r="DJ869" i="48"/>
  <c r="DJ119" i="48"/>
  <c r="DJ219" i="48"/>
  <c r="DJ994" i="48"/>
  <c r="DJ317" i="48"/>
  <c r="DJ665" i="48"/>
  <c r="DJ1212" i="48"/>
  <c r="DJ1037" i="48"/>
  <c r="DJ837" i="48"/>
  <c r="DJ637" i="48"/>
  <c r="DJ1287" i="48"/>
  <c r="DJ1112" i="48"/>
  <c r="DJ912" i="48"/>
  <c r="DJ712" i="48"/>
  <c r="DJ987" i="48"/>
  <c r="DJ787" i="48"/>
  <c r="DJ1237" i="48"/>
  <c r="DJ1062" i="48"/>
  <c r="DJ862" i="48"/>
  <c r="DJ662" i="48"/>
  <c r="DJ1187" i="48"/>
  <c r="DJ1012" i="48"/>
  <c r="DJ812" i="48"/>
  <c r="DJ612" i="48"/>
  <c r="DJ1337" i="48"/>
  <c r="DJ962" i="48"/>
  <c r="DJ762" i="48"/>
  <c r="DJ62" i="48"/>
  <c r="DJ1137" i="48"/>
  <c r="DJ937" i="48"/>
  <c r="DJ737" i="48"/>
  <c r="DJ487" i="48"/>
  <c r="DJ1262" i="48"/>
  <c r="DJ587" i="48"/>
  <c r="DJ562" i="48"/>
  <c r="DJ112" i="48"/>
  <c r="DJ437" i="48"/>
  <c r="DJ1162" i="48"/>
  <c r="DJ512" i="48"/>
  <c r="DJ412" i="48"/>
  <c r="DJ1087" i="48"/>
  <c r="DJ887" i="48"/>
  <c r="DJ687" i="48"/>
  <c r="DJ312" i="48"/>
  <c r="DJ237" i="48"/>
  <c r="DJ187" i="48"/>
  <c r="DJ137" i="48"/>
  <c r="DJ1312" i="48"/>
  <c r="DJ212" i="48"/>
  <c r="DJ387" i="48"/>
  <c r="DJ37" i="48"/>
  <c r="DJ537" i="48"/>
  <c r="DJ337" i="48"/>
  <c r="DJ362" i="48"/>
  <c r="DJ287" i="48"/>
  <c r="DJ262" i="48"/>
  <c r="DJ462" i="48"/>
  <c r="DJ162" i="48"/>
  <c r="DJ87" i="48"/>
  <c r="DJ85" i="48"/>
  <c r="DJ84" i="48"/>
  <c r="DJ1244" i="48"/>
  <c r="DJ318" i="48"/>
  <c r="DJ11" i="48"/>
  <c r="DJ10" i="48"/>
  <c r="DJ785" i="48"/>
  <c r="DJ185" i="48"/>
  <c r="DJ660" i="48"/>
  <c r="DJ635" i="48"/>
  <c r="DJ1335" i="48"/>
  <c r="DJ111" i="48"/>
  <c r="DJ261" i="48"/>
  <c r="DJ486" i="48"/>
  <c r="DJ1011" i="48"/>
  <c r="DJ736" i="48"/>
  <c r="DJ1111" i="48"/>
  <c r="DJ1336" i="48"/>
  <c r="DJ915" i="48"/>
  <c r="DJ40" i="48"/>
  <c r="DJ140" i="48"/>
  <c r="DJ515" i="48"/>
  <c r="DJ1215" i="48"/>
  <c r="DJ1015" i="48"/>
  <c r="DJ865" i="48"/>
  <c r="DJ566" i="48"/>
  <c r="DJ341" i="48"/>
  <c r="DJ191" i="48"/>
  <c r="DJ666" i="48"/>
  <c r="DJ766" i="48"/>
  <c r="DJ616" i="48"/>
  <c r="DJ1316" i="48"/>
  <c r="DJ192" i="48"/>
  <c r="DJ117" i="48"/>
  <c r="DJ167" i="48"/>
  <c r="DJ592" i="48"/>
  <c r="DJ842" i="48"/>
  <c r="DJ1092" i="48"/>
  <c r="DJ418" i="48"/>
  <c r="DJ417" i="48"/>
  <c r="DJ1248" i="48"/>
  <c r="DJ1173" i="48"/>
  <c r="DJ1073" i="48"/>
  <c r="DJ873" i="48"/>
  <c r="DJ673" i="48"/>
  <c r="DJ1323" i="48"/>
  <c r="DJ1148" i="48"/>
  <c r="DJ948" i="48"/>
  <c r="DJ748" i="48"/>
  <c r="DJ1198" i="48"/>
  <c r="DJ1023" i="48"/>
  <c r="DJ823" i="48"/>
  <c r="DJ623" i="48"/>
  <c r="DJ1273" i="48"/>
  <c r="DJ1098" i="48"/>
  <c r="DJ898" i="48"/>
  <c r="DJ698" i="48"/>
  <c r="DJ1348" i="48"/>
  <c r="DJ1223" i="48"/>
  <c r="DJ1048" i="48"/>
  <c r="DJ848" i="48"/>
  <c r="DJ648" i="48"/>
  <c r="DJ998" i="48"/>
  <c r="DJ798" i="48"/>
  <c r="DJ448" i="48"/>
  <c r="DJ298" i="48"/>
  <c r="DJ248" i="48"/>
  <c r="DJ198" i="48"/>
  <c r="DJ98" i="48"/>
  <c r="DJ973" i="48"/>
  <c r="DJ773" i="48"/>
  <c r="DJ523" i="48"/>
  <c r="DJ348" i="48"/>
  <c r="DJ273" i="48"/>
  <c r="DJ223" i="48"/>
  <c r="DJ173" i="48"/>
  <c r="DJ1298" i="48"/>
  <c r="DJ398" i="48"/>
  <c r="DJ323" i="48"/>
  <c r="DJ148" i="48"/>
  <c r="DJ123" i="48"/>
  <c r="DJ73" i="48"/>
  <c r="DJ473" i="48"/>
  <c r="DJ373" i="48"/>
  <c r="DJ48" i="48"/>
  <c r="DJ548" i="48"/>
  <c r="DJ1123" i="48"/>
  <c r="DJ923" i="48"/>
  <c r="DJ723" i="48"/>
  <c r="DJ598" i="48"/>
  <c r="DJ498" i="48"/>
  <c r="DJ423" i="48"/>
  <c r="DJ23" i="48"/>
  <c r="DJ573" i="48"/>
  <c r="DJ1220" i="48"/>
  <c r="DJ1045" i="48"/>
  <c r="DJ845" i="48"/>
  <c r="DJ645" i="48"/>
  <c r="DJ1295" i="48"/>
  <c r="DJ1120" i="48"/>
  <c r="DJ920" i="48"/>
  <c r="DJ720" i="48"/>
  <c r="DJ995" i="48"/>
  <c r="DJ795" i="48"/>
  <c r="DJ1245" i="48"/>
  <c r="DJ1070" i="48"/>
  <c r="DJ870" i="48"/>
  <c r="DJ670" i="48"/>
  <c r="DJ1195" i="48"/>
  <c r="DJ1020" i="48"/>
  <c r="DJ820" i="48"/>
  <c r="DJ620" i="48"/>
  <c r="DJ1345" i="48"/>
  <c r="DJ970" i="48"/>
  <c r="DJ770" i="48"/>
  <c r="DJ1270" i="48"/>
  <c r="DJ1170" i="48"/>
  <c r="DJ495" i="48"/>
  <c r="DJ570" i="48"/>
  <c r="DJ420" i="48"/>
  <c r="DJ1095" i="48"/>
  <c r="DJ895" i="48"/>
  <c r="DJ695" i="48"/>
  <c r="DJ445" i="48"/>
  <c r="DJ245" i="48"/>
  <c r="DJ195" i="48"/>
  <c r="DJ1320" i="48"/>
  <c r="DJ520" i="48"/>
  <c r="DJ395" i="48"/>
  <c r="DJ345" i="48"/>
  <c r="DJ320" i="48"/>
  <c r="DJ170" i="48"/>
  <c r="DJ145" i="48"/>
  <c r="DJ595" i="48"/>
  <c r="DJ745" i="48"/>
  <c r="DJ545" i="48"/>
  <c r="DJ295" i="48"/>
  <c r="DJ270" i="48"/>
  <c r="DJ95" i="48"/>
  <c r="DJ945" i="48"/>
  <c r="DJ470" i="48"/>
  <c r="DJ370" i="48"/>
  <c r="DJ70" i="48"/>
  <c r="DJ1145" i="48"/>
  <c r="DJ220" i="48"/>
  <c r="DJ45" i="48"/>
  <c r="DJ120" i="48"/>
  <c r="DJ410" i="48"/>
  <c r="DJ409" i="48"/>
  <c r="DJ493" i="48"/>
  <c r="DJ985" i="48"/>
  <c r="DJ735" i="48"/>
  <c r="DJ235" i="48"/>
  <c r="DJ860" i="48"/>
  <c r="DJ835" i="48"/>
  <c r="DJ685" i="48"/>
  <c r="DJ549" i="48"/>
  <c r="DJ149" i="48"/>
  <c r="DJ1099" i="48"/>
  <c r="DJ1149" i="48"/>
  <c r="DJ311" i="48"/>
  <c r="DJ511" i="48"/>
  <c r="DJ61" i="48"/>
  <c r="DJ1236" i="48"/>
  <c r="DJ936" i="48"/>
  <c r="DJ1286" i="48"/>
  <c r="DJ715" i="48"/>
  <c r="DJ165" i="48"/>
  <c r="DJ190" i="48"/>
  <c r="DJ440" i="48"/>
  <c r="DJ690" i="48"/>
  <c r="DJ1165" i="48"/>
  <c r="DJ1065" i="48"/>
  <c r="DJ491" i="48"/>
  <c r="DJ366" i="48"/>
  <c r="DJ216" i="48"/>
  <c r="DJ866" i="48"/>
  <c r="DJ966" i="48"/>
  <c r="DJ816" i="48"/>
  <c r="DJ242" i="48"/>
  <c r="DJ217" i="48"/>
  <c r="DJ1292" i="48"/>
  <c r="DJ342" i="48"/>
  <c r="DJ742" i="48"/>
  <c r="DJ1042" i="48"/>
  <c r="DJ1267" i="48"/>
  <c r="DJ449" i="48"/>
  <c r="DJ749" i="48"/>
  <c r="DJ1200" i="48"/>
  <c r="DJ1025" i="48"/>
  <c r="DJ825" i="48"/>
  <c r="DJ625" i="48"/>
  <c r="DJ1275" i="48"/>
  <c r="DJ1100" i="48"/>
  <c r="DJ900" i="48"/>
  <c r="DJ1350" i="48"/>
  <c r="DJ975" i="48"/>
  <c r="DJ775" i="48"/>
  <c r="DJ1225" i="48"/>
  <c r="DJ1050" i="48"/>
  <c r="DJ850" i="48"/>
  <c r="DJ650" i="48"/>
  <c r="DJ1000" i="48"/>
  <c r="DJ800" i="48"/>
  <c r="DJ1325" i="48"/>
  <c r="DJ1150" i="48"/>
  <c r="DJ950" i="48"/>
  <c r="DJ750" i="48"/>
  <c r="DJ575" i="48"/>
  <c r="DJ1175" i="48"/>
  <c r="DJ1075" i="48"/>
  <c r="DJ875" i="48"/>
  <c r="DJ675" i="48"/>
  <c r="DJ325" i="48"/>
  <c r="DJ150" i="48"/>
  <c r="DJ75" i="48"/>
  <c r="DJ1300" i="48"/>
  <c r="DJ475" i="48"/>
  <c r="DJ375" i="48"/>
  <c r="DJ50" i="48"/>
  <c r="DJ550" i="48"/>
  <c r="DJ1125" i="48"/>
  <c r="DJ925" i="48"/>
  <c r="DJ725" i="48"/>
  <c r="DJ600" i="48"/>
  <c r="DJ500" i="48"/>
  <c r="DJ1250" i="48"/>
  <c r="DJ250" i="48"/>
  <c r="DJ200" i="48"/>
  <c r="DJ175" i="48"/>
  <c r="DJ25" i="48"/>
  <c r="DJ450" i="48"/>
  <c r="DJ275" i="48"/>
  <c r="DJ300" i="48"/>
  <c r="DJ525" i="48"/>
  <c r="DJ350" i="48"/>
  <c r="DJ225" i="48"/>
  <c r="DJ125" i="48"/>
  <c r="DJ110" i="48"/>
  <c r="DJ435" i="48"/>
  <c r="DJ935" i="48"/>
  <c r="DJ360" i="48"/>
  <c r="DJ1060" i="48"/>
  <c r="DJ1035" i="48"/>
  <c r="DJ885" i="48"/>
  <c r="DJ324" i="48"/>
  <c r="DJ1124" i="48"/>
  <c r="DJ1274" i="48"/>
  <c r="DJ1324" i="48"/>
  <c r="DJ461" i="48"/>
  <c r="DJ1186" i="48"/>
  <c r="DJ386" i="48"/>
  <c r="DJ586" i="48"/>
  <c r="DJ1136" i="48"/>
  <c r="DJ636" i="48"/>
  <c r="DJ15" i="48"/>
  <c r="DJ340" i="48"/>
  <c r="DJ240" i="48"/>
  <c r="DJ1340" i="48"/>
  <c r="DJ890" i="48"/>
  <c r="DJ1190" i="48"/>
  <c r="DJ1240" i="48"/>
  <c r="DJ791" i="48"/>
  <c r="DJ391" i="48"/>
  <c r="DJ241" i="48"/>
  <c r="DJ1066" i="48"/>
  <c r="DJ1341" i="48"/>
  <c r="DJ1016" i="48"/>
  <c r="DJ1242" i="48"/>
  <c r="DJ17" i="48"/>
  <c r="DJ67" i="48"/>
  <c r="DJ367" i="48"/>
  <c r="DJ942" i="48"/>
  <c r="DJ1217" i="48"/>
  <c r="DJ617" i="48"/>
  <c r="DJ349" i="48"/>
  <c r="DJ1289" i="48"/>
  <c r="DJ1113" i="48"/>
  <c r="DJ913" i="48"/>
  <c r="DJ988" i="48"/>
  <c r="DJ788" i="48"/>
  <c r="DJ1239" i="48"/>
  <c r="DJ1063" i="48"/>
  <c r="DJ864" i="48"/>
  <c r="DJ663" i="48"/>
  <c r="DJ1313" i="48"/>
  <c r="DJ1138" i="48"/>
  <c r="DJ738" i="48"/>
  <c r="DJ1264" i="48"/>
  <c r="DJ1089" i="48"/>
  <c r="DJ888" i="48"/>
  <c r="DJ588" i="48"/>
  <c r="DJ1213" i="48"/>
  <c r="DJ1038" i="48"/>
  <c r="DJ839" i="48"/>
  <c r="DJ638" i="48"/>
  <c r="DJ488" i="48"/>
  <c r="DJ113" i="48"/>
  <c r="DJ438" i="48"/>
  <c r="DJ513" i="48"/>
  <c r="DJ263" i="48"/>
  <c r="DJ214" i="48"/>
  <c r="DJ1188" i="48"/>
  <c r="DJ963" i="48"/>
  <c r="DJ763" i="48"/>
  <c r="DJ463" i="48"/>
  <c r="DJ288" i="48"/>
  <c r="DJ538" i="48"/>
  <c r="DJ63" i="48"/>
  <c r="DJ338" i="48"/>
  <c r="DJ613" i="48"/>
  <c r="DJ313" i="48"/>
  <c r="DJ813" i="48"/>
  <c r="DJ14" i="48"/>
  <c r="DJ164" i="48"/>
  <c r="DJ238" i="48"/>
  <c r="DJ138" i="48"/>
  <c r="DJ1319" i="48"/>
  <c r="DJ310" i="48"/>
  <c r="DJ560" i="48"/>
  <c r="DJ1135" i="48"/>
  <c r="DJ460" i="48"/>
  <c r="DJ1235" i="48"/>
  <c r="DJ1210" i="48"/>
  <c r="DJ1085" i="48"/>
  <c r="DJ574" i="48"/>
  <c r="DJ999" i="48"/>
  <c r="DJ124" i="48"/>
  <c r="DJ36" i="48"/>
  <c r="DJ436" i="48"/>
  <c r="DJ161" i="48"/>
  <c r="DJ686" i="48"/>
  <c r="DJ1311" i="48"/>
  <c r="DJ836" i="48"/>
  <c r="DJ1164" i="48"/>
  <c r="DJ739" i="48"/>
  <c r="DJ789" i="48"/>
  <c r="DJ565" i="48"/>
  <c r="DJ365" i="48"/>
  <c r="DJ290" i="48"/>
  <c r="DJ790" i="48"/>
  <c r="DJ1090" i="48"/>
  <c r="DJ740" i="48"/>
  <c r="DJ41" i="48"/>
  <c r="DJ991" i="48"/>
  <c r="DJ466" i="48"/>
  <c r="DJ266" i="48"/>
  <c r="DJ1241" i="48"/>
  <c r="DJ691" i="48"/>
  <c r="DJ1166" i="48"/>
  <c r="DJ517" i="48"/>
  <c r="DJ717" i="48"/>
  <c r="DJ542" i="48"/>
  <c r="DJ393" i="48"/>
  <c r="DJ392" i="48"/>
  <c r="DJ1142" i="48"/>
  <c r="DJ767" i="48"/>
  <c r="DJ817" i="48"/>
  <c r="DJ19" i="48"/>
  <c r="DJ18" i="48"/>
  <c r="DJ564" i="48"/>
  <c r="DJ794" i="48"/>
  <c r="DJ643" i="48"/>
  <c r="DJ893" i="48"/>
  <c r="DJ210" i="48"/>
  <c r="DJ60" i="48"/>
  <c r="DJ285" i="48"/>
  <c r="DJ610" i="48"/>
  <c r="DJ710" i="48"/>
  <c r="DJ585" i="48"/>
  <c r="DJ1260" i="48"/>
  <c r="DJ649" i="48"/>
  <c r="DJ1224" i="48"/>
  <c r="DJ774" i="48"/>
  <c r="DJ286" i="48"/>
  <c r="DJ136" i="48"/>
  <c r="DJ561" i="48"/>
  <c r="DJ336" i="48"/>
  <c r="DJ886" i="48"/>
  <c r="DJ786" i="48"/>
  <c r="DJ1036" i="48"/>
  <c r="DJ39" i="48"/>
  <c r="DJ889" i="48"/>
  <c r="DJ1039" i="48"/>
  <c r="DJ939" i="48"/>
  <c r="DJ115" i="48"/>
  <c r="DJ465" i="48"/>
  <c r="DJ315" i="48"/>
  <c r="DJ990" i="48"/>
  <c r="DJ1265" i="48"/>
  <c r="DJ940" i="48"/>
  <c r="DJ441" i="48"/>
  <c r="DJ1216" i="48"/>
  <c r="DJ91" i="48"/>
  <c r="DJ516" i="48"/>
  <c r="DJ716" i="48"/>
  <c r="DJ891" i="48"/>
  <c r="DJ1191" i="48"/>
  <c r="DJ93" i="48"/>
  <c r="DJ92" i="48"/>
  <c r="DJ917" i="48"/>
  <c r="DJ667" i="48"/>
  <c r="DJ467" i="48"/>
  <c r="DJ1317" i="48"/>
  <c r="DJ967" i="48"/>
  <c r="DJ1017" i="48"/>
  <c r="DJ139" i="48"/>
  <c r="DJ1041" i="48"/>
  <c r="DJ1296" i="48"/>
  <c r="DJ721" i="48"/>
  <c r="DJ996" i="48"/>
  <c r="DJ797" i="48"/>
  <c r="DJ1246" i="48"/>
  <c r="DJ871" i="48"/>
  <c r="DJ1321" i="48"/>
  <c r="DJ946" i="48"/>
  <c r="DJ746" i="48"/>
  <c r="DJ596" i="48"/>
  <c r="DJ1096" i="48"/>
  <c r="DJ1346" i="48"/>
  <c r="DJ1221" i="48"/>
  <c r="DJ1046" i="48"/>
  <c r="DJ846" i="48"/>
  <c r="DJ496" i="48"/>
  <c r="DJ571" i="48"/>
  <c r="DJ771" i="48"/>
  <c r="DJ447" i="48"/>
  <c r="DJ246" i="48"/>
  <c r="DJ196" i="48"/>
  <c r="DJ522" i="48"/>
  <c r="DJ296" i="48"/>
  <c r="DJ221" i="48"/>
  <c r="DJ1021" i="48"/>
  <c r="DJ821" i="48"/>
  <c r="DJ622" i="48"/>
  <c r="DJ371" i="48"/>
  <c r="DJ71" i="48"/>
  <c r="DJ547" i="48"/>
  <c r="DJ321" i="48"/>
  <c r="DJ22" i="48"/>
  <c r="DJ385" i="48"/>
  <c r="DJ384" i="48"/>
  <c r="DJ344" i="48"/>
  <c r="DJ619" i="48"/>
  <c r="DJ1219" i="48"/>
  <c r="DJ43" i="48"/>
  <c r="DJ1310" i="48"/>
  <c r="DJ485" i="48"/>
  <c r="DJ535" i="48"/>
  <c r="DJ810" i="48"/>
  <c r="DJ910" i="48"/>
  <c r="DJ760" i="48"/>
  <c r="DJ224" i="48"/>
  <c r="DJ1074" i="48"/>
  <c r="DJ974" i="48"/>
  <c r="DJ1024" i="48"/>
  <c r="DJ86" i="48"/>
  <c r="DJ236" i="48"/>
  <c r="DJ661" i="48"/>
  <c r="DJ536" i="48"/>
  <c r="DJ1086" i="48"/>
  <c r="DJ986" i="48"/>
  <c r="DJ1211" i="48"/>
  <c r="DJ297" i="48"/>
  <c r="DJ947" i="48"/>
  <c r="DJ264" i="48"/>
  <c r="DJ964" i="48"/>
  <c r="DJ65" i="48"/>
  <c r="DJ490" i="48"/>
  <c r="DJ765" i="48"/>
  <c r="DJ215" i="48"/>
  <c r="DJ640" i="48"/>
  <c r="DJ590" i="48"/>
  <c r="DJ1140" i="48"/>
  <c r="DJ416" i="48"/>
  <c r="DJ66" i="48"/>
  <c r="DJ141" i="48"/>
  <c r="DJ641" i="48"/>
  <c r="DJ916" i="48"/>
  <c r="DJ1091" i="48"/>
  <c r="DJ741" i="48"/>
  <c r="DJ267" i="48"/>
  <c r="DJ1117" i="48"/>
  <c r="DJ867" i="48"/>
  <c r="DJ142" i="48"/>
  <c r="DJ792" i="48"/>
  <c r="DJ1342" i="48"/>
  <c r="DJ1167" i="48"/>
  <c r="DJ699" i="48"/>
  <c r="DJ1291" i="48"/>
  <c r="DJ135" i="48"/>
  <c r="DJ160" i="48"/>
  <c r="DJ35" i="48"/>
  <c r="DJ1010" i="48"/>
  <c r="DJ1110" i="48"/>
  <c r="DJ960" i="48"/>
  <c r="DJ249" i="48"/>
  <c r="DJ1199" i="48"/>
  <c r="DJ186" i="48"/>
  <c r="DJ361" i="48"/>
  <c r="DJ861" i="48"/>
  <c r="DJ611" i="48"/>
  <c r="DJ1161" i="48"/>
  <c r="DJ711" i="48"/>
  <c r="DJ761" i="48"/>
  <c r="DJ147" i="48"/>
  <c r="DJ1347" i="48"/>
  <c r="DJ1147" i="48"/>
  <c r="DJ997" i="48"/>
  <c r="DJ1339" i="48"/>
  <c r="DJ1314" i="48"/>
  <c r="DJ1115" i="48"/>
  <c r="DJ540" i="48"/>
  <c r="DJ965" i="48"/>
  <c r="DJ265" i="48"/>
  <c r="DJ840" i="48"/>
  <c r="DJ615" i="48"/>
  <c r="DJ1315" i="48"/>
  <c r="DJ16" i="48"/>
  <c r="DJ541" i="48"/>
  <c r="DJ291" i="48"/>
  <c r="DJ841" i="48"/>
  <c r="DJ1116" i="48"/>
  <c r="DJ1266" i="48"/>
  <c r="DJ941" i="48"/>
  <c r="DJ442" i="48"/>
  <c r="DJ567" i="48"/>
  <c r="DJ1067" i="48"/>
  <c r="DJ292" i="48"/>
  <c r="DJ992" i="48"/>
  <c r="DJ693" i="48"/>
  <c r="DJ692" i="48"/>
  <c r="DJ1192" i="48"/>
  <c r="I142" i="59"/>
  <c r="J142" i="59" s="1"/>
  <c r="J141" i="59"/>
  <c r="CY26" i="48"/>
  <c r="E20" i="53"/>
  <c r="DJ1349" i="48" l="1"/>
  <c r="DJ896" i="48"/>
  <c r="DJ188" i="48"/>
  <c r="DJ363" i="48"/>
  <c r="DJ1174" i="48"/>
  <c r="DJ938" i="48"/>
  <c r="DJ274" i="48"/>
  <c r="DJ646" i="48"/>
  <c r="DJ1013" i="48"/>
  <c r="DJ713" i="48"/>
  <c r="DJ1071" i="48"/>
  <c r="DJ46" i="48"/>
  <c r="DJ599" i="48"/>
  <c r="DJ346" i="48"/>
  <c r="DJ271" i="48"/>
  <c r="DJ971" i="48"/>
  <c r="DJ64" i="48"/>
  <c r="DJ1163" i="48"/>
  <c r="DJ299" i="48"/>
  <c r="DJ1196" i="48"/>
  <c r="DJ49" i="48"/>
  <c r="DJ146" i="48"/>
  <c r="DJ1171" i="48"/>
  <c r="DJ624" i="48"/>
  <c r="DJ849" i="48"/>
  <c r="DJ471" i="48"/>
  <c r="DJ921" i="48"/>
  <c r="DJ1299" i="48"/>
  <c r="DJ674" i="48"/>
  <c r="DJ99" i="48"/>
  <c r="DJ374" i="48"/>
  <c r="DJ972" i="48"/>
  <c r="DJ121" i="48"/>
  <c r="DJ597" i="48"/>
  <c r="DJ563" i="48"/>
  <c r="DJ1049" i="48"/>
  <c r="DJ1139" i="48"/>
  <c r="DJ824" i="48"/>
  <c r="DJ1114" i="48"/>
  <c r="DJ1064" i="48"/>
  <c r="DJ614" i="48"/>
  <c r="DJ199" i="48"/>
  <c r="DJ424" i="48"/>
  <c r="DJ163" i="48"/>
  <c r="DJ863" i="48"/>
  <c r="DJ1288" i="48"/>
  <c r="DJ1022" i="48"/>
  <c r="DJ722" i="48"/>
  <c r="DJ499" i="48"/>
  <c r="DJ1222" i="48"/>
  <c r="DJ671" i="48"/>
  <c r="DJ1121" i="48"/>
  <c r="DJ874" i="48"/>
  <c r="DJ38" i="48"/>
  <c r="DJ514" i="48"/>
  <c r="DJ72" i="48"/>
  <c r="DJ171" i="48"/>
  <c r="DJ1271" i="48"/>
  <c r="DJ174" i="48"/>
  <c r="DJ114" i="48"/>
  <c r="DJ446" i="48"/>
  <c r="DJ764" i="48"/>
  <c r="DJ13" i="48"/>
  <c r="DJ12" i="48"/>
  <c r="DJ796" i="48"/>
  <c r="DJ372" i="48"/>
  <c r="DJ247" i="48"/>
  <c r="DJ489" i="48"/>
  <c r="DJ400" i="48"/>
  <c r="DJ425" i="48"/>
  <c r="DJ700" i="48"/>
  <c r="DJ339" i="48"/>
  <c r="DJ1014" i="48"/>
  <c r="DJ922" i="48"/>
  <c r="DJ814" i="48"/>
  <c r="DJ897" i="48"/>
  <c r="DJ24" i="48"/>
  <c r="DJ1146" i="48"/>
  <c r="DJ272" i="48"/>
  <c r="DJ1047" i="48"/>
  <c r="DJ689" i="48"/>
  <c r="DJ688" i="48"/>
  <c r="DJ872" i="48"/>
  <c r="DJ799" i="48"/>
  <c r="DJ914" i="48"/>
  <c r="DJ1097" i="48"/>
  <c r="DJ1172" i="48"/>
  <c r="DJ714" i="48"/>
  <c r="DJ322" i="48"/>
  <c r="DJ772" i="48"/>
  <c r="DJ222" i="48"/>
  <c r="DJ521" i="48"/>
  <c r="DJ422" i="48"/>
  <c r="DJ421" i="48"/>
  <c r="DJ697" i="48"/>
  <c r="DJ696" i="48"/>
  <c r="DJ472" i="48"/>
  <c r="DJ89" i="48"/>
  <c r="DJ88" i="48"/>
  <c r="DJ1338" i="48"/>
  <c r="DJ1197" i="48"/>
  <c r="DJ589" i="48"/>
  <c r="DJ347" i="48"/>
  <c r="DJ1249" i="48"/>
  <c r="DJ439" i="48"/>
  <c r="DJ847" i="48"/>
  <c r="DJ949" i="48"/>
  <c r="DJ464" i="48"/>
  <c r="DJ397" i="48"/>
  <c r="DJ396" i="48"/>
  <c r="DJ97" i="48"/>
  <c r="DJ96" i="48"/>
  <c r="DJ1272" i="48"/>
  <c r="DJ1072" i="48"/>
  <c r="DJ213" i="48"/>
  <c r="DJ1088" i="48"/>
  <c r="DJ1189" i="48"/>
  <c r="DJ1122" i="48"/>
  <c r="DJ239" i="48"/>
  <c r="DJ497" i="48"/>
  <c r="DJ189" i="48"/>
  <c r="DJ899" i="48"/>
  <c r="DJ664" i="48"/>
  <c r="DJ389" i="48"/>
  <c r="DJ388" i="48"/>
  <c r="DJ621" i="48"/>
  <c r="DJ172" i="48"/>
  <c r="DJ647" i="48"/>
  <c r="DJ100" i="48"/>
  <c r="DJ539" i="48"/>
  <c r="DJ122" i="48"/>
  <c r="DJ21" i="48"/>
  <c r="DJ20" i="48"/>
  <c r="DJ289" i="48"/>
  <c r="DJ724" i="48"/>
  <c r="DJ364" i="48"/>
  <c r="DJ1247" i="48"/>
  <c r="DJ1297" i="48"/>
  <c r="DJ414" i="48"/>
  <c r="DJ413" i="48"/>
  <c r="DJ838" i="48"/>
  <c r="DJ1263" i="48"/>
  <c r="DJ1238" i="48"/>
  <c r="DJ639" i="48"/>
  <c r="DJ47" i="48"/>
  <c r="DJ924" i="48"/>
  <c r="DJ1322" i="48"/>
  <c r="DJ399" i="48"/>
  <c r="DJ572" i="48"/>
  <c r="DJ1214" i="48"/>
  <c r="DJ546" i="48"/>
  <c r="DJ989" i="48"/>
  <c r="DJ747" i="48"/>
  <c r="DJ197" i="48"/>
  <c r="DJ314" i="48"/>
  <c r="DJ672" i="48"/>
  <c r="DJ524" i="48"/>
  <c r="DJ822" i="48"/>
  <c r="DJ74" i="48"/>
  <c r="DJ474" i="48"/>
  <c r="E21" i="53"/>
  <c r="E22" i="53" l="1"/>
  <c r="E23" i="53" l="1"/>
  <c r="E24" i="53" l="1"/>
  <c r="E25" i="53" l="1"/>
  <c r="E26" i="53" l="1"/>
  <c r="E27" i="53" l="1"/>
  <c r="E28" i="53" l="1"/>
  <c r="CT6" i="48"/>
  <c r="BT73" i="48"/>
  <c r="E29" i="53" l="1"/>
  <c r="BT72" i="48"/>
  <c r="E30" i="53" l="1"/>
  <c r="BT71" i="48"/>
  <c r="BT70" i="48" l="1"/>
  <c r="BT69" i="48" l="1"/>
  <c r="BT68" i="48" l="1"/>
  <c r="BT67" i="48" l="1"/>
  <c r="BT66" i="48" l="1"/>
  <c r="BT65" i="48" l="1"/>
  <c r="BT64" i="48" l="1"/>
  <c r="BT63" i="48" l="1"/>
  <c r="BT62" i="48" l="1"/>
  <c r="BT61" i="48" l="1"/>
  <c r="BT60" i="48" l="1"/>
  <c r="BT59" i="48" l="1"/>
  <c r="BT58" i="48" l="1"/>
  <c r="BT57" i="48" l="1"/>
  <c r="BT56" i="48" l="1"/>
  <c r="BT55" i="48" l="1"/>
  <c r="BT54" i="48" l="1"/>
  <c r="BT53" i="48" l="1"/>
  <c r="BT51" i="48" l="1"/>
  <c r="BT50" i="48" l="1"/>
  <c r="BT49" i="48" l="1"/>
  <c r="BT48" i="48" l="1"/>
  <c r="BT47" i="48" l="1"/>
  <c r="BT46" i="48" l="1"/>
  <c r="BT45" i="48" l="1"/>
  <c r="BT44" i="48" l="1"/>
  <c r="BT43" i="48" l="1"/>
  <c r="BT42" i="48" l="1"/>
  <c r="BT41" i="48" l="1"/>
  <c r="BT40" i="48" l="1"/>
  <c r="BT39" i="48" l="1"/>
  <c r="BT38" i="48" l="1"/>
  <c r="BT37" i="48" l="1"/>
  <c r="BT36" i="48" l="1"/>
  <c r="BT35" i="48" l="1"/>
  <c r="BT34" i="48" l="1"/>
  <c r="BT33" i="48" l="1"/>
  <c r="BT32" i="48" l="1"/>
  <c r="BT31" i="48" l="1"/>
  <c r="BT30" i="48" l="1"/>
  <c r="BT29" i="48" l="1"/>
  <c r="BT28" i="48" l="1"/>
  <c r="BT26" i="48" l="1"/>
  <c r="BT25" i="48" l="1"/>
  <c r="BT24" i="48" l="1"/>
  <c r="BT23" i="48" l="1"/>
  <c r="BT22" i="48" l="1"/>
  <c r="BV74" i="48" l="1"/>
  <c r="BW74" i="48" s="1"/>
  <c r="BV73" i="48"/>
  <c r="BW73" i="48" s="1"/>
  <c r="BV72" i="48"/>
  <c r="BW72" i="48" s="1"/>
  <c r="BV71" i="48"/>
  <c r="BW71" i="48" s="1"/>
  <c r="BV70" i="48"/>
  <c r="BW70" i="48" s="1"/>
  <c r="BV69" i="48"/>
  <c r="BW69" i="48" s="1"/>
  <c r="BV68" i="48"/>
  <c r="BW68" i="48" s="1"/>
  <c r="BV67" i="48"/>
  <c r="BW67" i="48" s="1"/>
  <c r="BV66" i="48"/>
  <c r="BW66" i="48" s="1"/>
  <c r="BV65" i="48"/>
  <c r="BW65" i="48" s="1"/>
  <c r="BV64" i="48"/>
  <c r="BW64" i="48" s="1"/>
  <c r="BV63" i="48"/>
  <c r="BW63" i="48" s="1"/>
  <c r="BV62" i="48"/>
  <c r="BW62" i="48" s="1"/>
  <c r="BV61" i="48"/>
  <c r="BW61" i="48" s="1"/>
  <c r="BV60" i="48"/>
  <c r="BW60" i="48" s="1"/>
  <c r="BV59" i="48"/>
  <c r="BW59" i="48" s="1"/>
  <c r="BV58" i="48"/>
  <c r="BW58" i="48" s="1"/>
  <c r="BV57" i="48"/>
  <c r="BW57" i="48" s="1"/>
  <c r="BV56" i="48"/>
  <c r="BW56" i="48" s="1"/>
  <c r="BV55" i="48"/>
  <c r="BW55" i="48" s="1"/>
  <c r="BV54" i="48"/>
  <c r="BW54" i="48" s="1"/>
  <c r="BV53" i="48"/>
  <c r="BW53" i="48" s="1"/>
  <c r="BV51" i="48"/>
  <c r="BW51" i="48" s="1"/>
  <c r="BV50" i="48"/>
  <c r="BW50" i="48" s="1"/>
  <c r="BV49" i="48"/>
  <c r="BW49" i="48" s="1"/>
  <c r="BV48" i="48"/>
  <c r="BW48" i="48" s="1"/>
  <c r="BV47" i="48"/>
  <c r="BW47" i="48" s="1"/>
  <c r="BV46" i="48"/>
  <c r="BW46" i="48" s="1"/>
  <c r="BV45" i="48"/>
  <c r="BW45" i="48" s="1"/>
  <c r="BV44" i="48"/>
  <c r="BW44" i="48" s="1"/>
  <c r="BV43" i="48"/>
  <c r="BW43" i="48" s="1"/>
  <c r="BV42" i="48"/>
  <c r="BW42" i="48" s="1"/>
  <c r="BV41" i="48"/>
  <c r="BW41" i="48" s="1"/>
  <c r="BV40" i="48"/>
  <c r="BW40" i="48" s="1"/>
  <c r="BV39" i="48"/>
  <c r="BW39" i="48" s="1"/>
  <c r="BV38" i="48"/>
  <c r="BW38" i="48" s="1"/>
  <c r="BV37" i="48"/>
  <c r="BW37" i="48" s="1"/>
  <c r="BV36" i="48"/>
  <c r="BW36" i="48" s="1"/>
  <c r="BV35" i="48"/>
  <c r="BW35" i="48" s="1"/>
  <c r="BV34" i="48"/>
  <c r="BW34" i="48" s="1"/>
  <c r="BV33" i="48"/>
  <c r="BW33" i="48" s="1"/>
  <c r="BV32" i="48"/>
  <c r="BW32" i="48" s="1"/>
  <c r="BV31" i="48"/>
  <c r="BW31" i="48" s="1"/>
  <c r="BV30" i="48"/>
  <c r="BW30" i="48" s="1"/>
  <c r="BV29" i="48"/>
  <c r="BW29" i="48" s="1"/>
  <c r="BV28" i="48"/>
  <c r="BW28" i="48" s="1"/>
  <c r="BV26" i="48"/>
  <c r="BW26" i="48" s="1"/>
  <c r="BV25" i="48"/>
  <c r="BW25" i="48" s="1"/>
  <c r="BV24" i="48"/>
  <c r="BW24" i="48" s="1"/>
  <c r="BV23" i="48"/>
  <c r="BW23" i="48" s="1"/>
  <c r="BX3" i="48" l="1"/>
  <c r="W50" i="48" l="1"/>
  <c r="CU1300" i="48"/>
  <c r="CT1250" i="48"/>
  <c r="CT1249" i="48"/>
  <c r="CT1248" i="48"/>
  <c r="CT1247" i="48"/>
  <c r="CT1246" i="48"/>
  <c r="CT1245" i="48"/>
  <c r="CT1244" i="48"/>
  <c r="CT1243" i="48"/>
  <c r="CT1242" i="48"/>
  <c r="CT1241" i="48"/>
  <c r="CT1240" i="48"/>
  <c r="CT1239" i="48"/>
  <c r="CT1238" i="48"/>
  <c r="CT1237" i="48"/>
  <c r="CT1236" i="48"/>
  <c r="CT1235" i="48"/>
  <c r="CT1234" i="48"/>
  <c r="CT1233" i="48"/>
  <c r="CT1232" i="48"/>
  <c r="CT1231" i="48"/>
  <c r="CT1225" i="48"/>
  <c r="CT1224" i="48"/>
  <c r="CT1223" i="48"/>
  <c r="CT1222" i="48"/>
  <c r="CT1221" i="48"/>
  <c r="CT1220" i="48"/>
  <c r="CT1219" i="48"/>
  <c r="CT1218" i="48"/>
  <c r="CT1217" i="48"/>
  <c r="CT1216" i="48"/>
  <c r="CT1215" i="48"/>
  <c r="CT1214" i="48"/>
  <c r="CT1213" i="48"/>
  <c r="CT1212" i="48"/>
  <c r="CT1211" i="48"/>
  <c r="CT1210" i="48"/>
  <c r="CT1209" i="48"/>
  <c r="CT1208" i="48"/>
  <c r="CT1207" i="48"/>
  <c r="CT1206" i="48"/>
  <c r="CT1200" i="48"/>
  <c r="CT1199" i="48"/>
  <c r="CT1198" i="48"/>
  <c r="CT1197" i="48"/>
  <c r="CT1196" i="48"/>
  <c r="CT1195" i="48"/>
  <c r="CT1194" i="48"/>
  <c r="CT1193" i="48"/>
  <c r="CT1192" i="48"/>
  <c r="CT1191" i="48"/>
  <c r="CT1190" i="48"/>
  <c r="CT1189" i="48"/>
  <c r="CT1188" i="48"/>
  <c r="CT1187" i="48"/>
  <c r="CT1186" i="48"/>
  <c r="CT1185" i="48"/>
  <c r="CT1184" i="48"/>
  <c r="CT1183" i="48"/>
  <c r="CT1182" i="48"/>
  <c r="CT1181" i="48"/>
  <c r="CT1175" i="48"/>
  <c r="CT1174" i="48"/>
  <c r="CT1173" i="48"/>
  <c r="CT1172" i="48"/>
  <c r="CT1171" i="48"/>
  <c r="CT1170" i="48"/>
  <c r="CT1169" i="48"/>
  <c r="CT1168" i="48"/>
  <c r="CT1167" i="48"/>
  <c r="CT1166" i="48"/>
  <c r="CT1165" i="48"/>
  <c r="CT1164" i="48"/>
  <c r="CT1163" i="48"/>
  <c r="CT1162" i="48"/>
  <c r="CT1161" i="48"/>
  <c r="CT1160" i="48"/>
  <c r="CT1159" i="48"/>
  <c r="CT1158" i="48"/>
  <c r="CT1157" i="48"/>
  <c r="CT1156" i="48"/>
  <c r="CT1150" i="48"/>
  <c r="CT1149" i="48"/>
  <c r="CT1148" i="48"/>
  <c r="CT1147" i="48"/>
  <c r="CT1146" i="48"/>
  <c r="CT1145" i="48"/>
  <c r="CT1144" i="48"/>
  <c r="CT1143" i="48"/>
  <c r="CT1142" i="48"/>
  <c r="CT1141" i="48"/>
  <c r="CT1140" i="48"/>
  <c r="CT1139" i="48"/>
  <c r="CT1138" i="48"/>
  <c r="CT1137" i="48"/>
  <c r="CT1136" i="48"/>
  <c r="CT1135" i="48"/>
  <c r="CT1134" i="48"/>
  <c r="CT1133" i="48"/>
  <c r="CT1132" i="48"/>
  <c r="CT1131" i="48"/>
  <c r="CT1124" i="48"/>
  <c r="CT1123" i="48"/>
  <c r="CT1122" i="48"/>
  <c r="CT1121" i="48"/>
  <c r="CT1120" i="48"/>
  <c r="CT1119" i="48"/>
  <c r="CT1118" i="48"/>
  <c r="CT1117" i="48"/>
  <c r="CT1116" i="48"/>
  <c r="CT1115" i="48"/>
  <c r="CT1114" i="48"/>
  <c r="CT1113" i="48"/>
  <c r="CT1112" i="48"/>
  <c r="CT1111" i="48"/>
  <c r="CT1110" i="48"/>
  <c r="CT1109" i="48"/>
  <c r="CT1108" i="48"/>
  <c r="CT1107" i="48"/>
  <c r="CT1106" i="48"/>
  <c r="CT1100" i="48"/>
  <c r="CT1099" i="48"/>
  <c r="CT1098" i="48"/>
  <c r="CT1097" i="48"/>
  <c r="CT1096" i="48"/>
  <c r="CT1095" i="48"/>
  <c r="CT1094" i="48"/>
  <c r="CT1093" i="48"/>
  <c r="CT1092" i="48"/>
  <c r="CT1091" i="48"/>
  <c r="CT1090" i="48"/>
  <c r="CT1089" i="48"/>
  <c r="CT1088" i="48"/>
  <c r="CT1087" i="48"/>
  <c r="CT1086" i="48"/>
  <c r="CT1085" i="48"/>
  <c r="CT1084" i="48"/>
  <c r="CT1083" i="48"/>
  <c r="CT1082" i="48"/>
  <c r="CT1081" i="48"/>
  <c r="CU1075" i="48"/>
  <c r="CT1075" i="48"/>
  <c r="CT1074" i="48"/>
  <c r="CT1073" i="48"/>
  <c r="CT1072" i="48"/>
  <c r="CT1071" i="48"/>
  <c r="CT1070" i="48"/>
  <c r="CT1069" i="48"/>
  <c r="CT1068" i="48"/>
  <c r="CT1067" i="48"/>
  <c r="CT1066" i="48"/>
  <c r="CT1065" i="48"/>
  <c r="CT1064" i="48"/>
  <c r="CT1063" i="48"/>
  <c r="CT1062" i="48"/>
  <c r="CT1061" i="48"/>
  <c r="CT1060" i="48"/>
  <c r="CT1059" i="48"/>
  <c r="CT1058" i="48"/>
  <c r="CT1057" i="48"/>
  <c r="CT1056" i="48"/>
  <c r="CT1050" i="48"/>
  <c r="CT1049" i="48"/>
  <c r="CT1048" i="48"/>
  <c r="CT1047" i="48"/>
  <c r="CT1046" i="48"/>
  <c r="CT1045" i="48"/>
  <c r="CT1044" i="48"/>
  <c r="CT1043" i="48"/>
  <c r="CT1042" i="48"/>
  <c r="CT1041" i="48"/>
  <c r="CT1040" i="48"/>
  <c r="CT1039" i="48"/>
  <c r="CT1038" i="48"/>
  <c r="CT1037" i="48"/>
  <c r="CT1036" i="48"/>
  <c r="CT1035" i="48"/>
  <c r="CT1034" i="48"/>
  <c r="CT1033" i="48"/>
  <c r="CT1032" i="48"/>
  <c r="CT1031" i="48"/>
  <c r="CT1025" i="48"/>
  <c r="CT1024" i="48"/>
  <c r="CT1023" i="48"/>
  <c r="CT1022" i="48"/>
  <c r="CT1021" i="48"/>
  <c r="CT1020" i="48"/>
  <c r="CT1019" i="48"/>
  <c r="CT1018" i="48"/>
  <c r="CT1017" i="48"/>
  <c r="CT1016" i="48"/>
  <c r="CT1015" i="48"/>
  <c r="CT1014" i="48"/>
  <c r="CT1013" i="48"/>
  <c r="CT1012" i="48"/>
  <c r="CT1011" i="48"/>
  <c r="CT1010" i="48"/>
  <c r="CT1009" i="48"/>
  <c r="CT1008" i="48"/>
  <c r="CT1007" i="48"/>
  <c r="CT1006" i="48"/>
  <c r="CT1000" i="48"/>
  <c r="CT999" i="48"/>
  <c r="CT998" i="48"/>
  <c r="CT997" i="48"/>
  <c r="CT996" i="48"/>
  <c r="CT995" i="48"/>
  <c r="CT994" i="48"/>
  <c r="CT993" i="48"/>
  <c r="CT992" i="48"/>
  <c r="CT991" i="48"/>
  <c r="CT990" i="48"/>
  <c r="CT989" i="48"/>
  <c r="CT988" i="48"/>
  <c r="CT987" i="48"/>
  <c r="CT986" i="48"/>
  <c r="CT985" i="48"/>
  <c r="CT984" i="48"/>
  <c r="CT983" i="48"/>
  <c r="CT982" i="48"/>
  <c r="CT981" i="48"/>
  <c r="CT975" i="48"/>
  <c r="CT974" i="48"/>
  <c r="CT973" i="48"/>
  <c r="CT972" i="48"/>
  <c r="CT971" i="48"/>
  <c r="CT970" i="48"/>
  <c r="CT969" i="48"/>
  <c r="CT968" i="48"/>
  <c r="CT967" i="48"/>
  <c r="CT966" i="48"/>
  <c r="CT965" i="48"/>
  <c r="CT964" i="48"/>
  <c r="CT963" i="48"/>
  <c r="CT962" i="48"/>
  <c r="CT961" i="48"/>
  <c r="CT960" i="48"/>
  <c r="CT959" i="48"/>
  <c r="CT958" i="48"/>
  <c r="CT957" i="48"/>
  <c r="CT956" i="48"/>
  <c r="CT950" i="48"/>
  <c r="CT949" i="48"/>
  <c r="CT948" i="48"/>
  <c r="CT947" i="48"/>
  <c r="CT946" i="48"/>
  <c r="CT945" i="48"/>
  <c r="CT944" i="48"/>
  <c r="CT943" i="48"/>
  <c r="CT942" i="48"/>
  <c r="CT941" i="48"/>
  <c r="CT940" i="48"/>
  <c r="CT939" i="48"/>
  <c r="CT938" i="48"/>
  <c r="CT937" i="48"/>
  <c r="CT936" i="48"/>
  <c r="CT935" i="48"/>
  <c r="CT934" i="48"/>
  <c r="CT933" i="48"/>
  <c r="CT932" i="48"/>
  <c r="CT931" i="48"/>
  <c r="CT925" i="48"/>
  <c r="CT924" i="48"/>
  <c r="CT923" i="48"/>
  <c r="CT922" i="48"/>
  <c r="CT921" i="48"/>
  <c r="CT920" i="48"/>
  <c r="CT919" i="48"/>
  <c r="CT918" i="48"/>
  <c r="CT917" i="48"/>
  <c r="CT916" i="48"/>
  <c r="CT915" i="48"/>
  <c r="CT914" i="48"/>
  <c r="CT913" i="48"/>
  <c r="CT912" i="48"/>
  <c r="CT911" i="48"/>
  <c r="CT910" i="48"/>
  <c r="CT909" i="48"/>
  <c r="CT908" i="48"/>
  <c r="CT907" i="48"/>
  <c r="CT906" i="48"/>
  <c r="CT900" i="48"/>
  <c r="CT899" i="48"/>
  <c r="CT898" i="48"/>
  <c r="CT897" i="48"/>
  <c r="CT896" i="48"/>
  <c r="CT895" i="48"/>
  <c r="CT894" i="48"/>
  <c r="CT893" i="48"/>
  <c r="CT892" i="48"/>
  <c r="CT891" i="48"/>
  <c r="CT890" i="48"/>
  <c r="CT889" i="48"/>
  <c r="CT888" i="48"/>
  <c r="CT887" i="48"/>
  <c r="CT886" i="48"/>
  <c r="CT885" i="48"/>
  <c r="CT884" i="48"/>
  <c r="CT883" i="48"/>
  <c r="CT882" i="48"/>
  <c r="CT881" i="48"/>
  <c r="CT875" i="48"/>
  <c r="CT874" i="48"/>
  <c r="CT873" i="48"/>
  <c r="CT872" i="48"/>
  <c r="CT871" i="48"/>
  <c r="CT870" i="48"/>
  <c r="CT869" i="48"/>
  <c r="CT868" i="48"/>
  <c r="CT867" i="48"/>
  <c r="CT866" i="48"/>
  <c r="CT865" i="48"/>
  <c r="CT864" i="48"/>
  <c r="CT863" i="48"/>
  <c r="CT862" i="48"/>
  <c r="CT861" i="48"/>
  <c r="CT860" i="48"/>
  <c r="CT859" i="48"/>
  <c r="CT858" i="48"/>
  <c r="CT857" i="48"/>
  <c r="CT856" i="48"/>
  <c r="CT850" i="48"/>
  <c r="CT849" i="48"/>
  <c r="CT848" i="48"/>
  <c r="CT847" i="48"/>
  <c r="CT846" i="48"/>
  <c r="CT845" i="48"/>
  <c r="CT844" i="48"/>
  <c r="CT843" i="48"/>
  <c r="CT842" i="48"/>
  <c r="CT841" i="48"/>
  <c r="CT840" i="48"/>
  <c r="CT839" i="48"/>
  <c r="CT838" i="48"/>
  <c r="CT837" i="48"/>
  <c r="CT836" i="48"/>
  <c r="CT835" i="48"/>
  <c r="CT834" i="48"/>
  <c r="CT833" i="48"/>
  <c r="CT832" i="48"/>
  <c r="CT831" i="48"/>
  <c r="CT825" i="48"/>
  <c r="CT824" i="48"/>
  <c r="CT823" i="48"/>
  <c r="CT822" i="48"/>
  <c r="CT821" i="48"/>
  <c r="CT820" i="48"/>
  <c r="CT819" i="48"/>
  <c r="CT818" i="48"/>
  <c r="CT817" i="48"/>
  <c r="CT816" i="48"/>
  <c r="CT815" i="48"/>
  <c r="CT814" i="48"/>
  <c r="CT813" i="48"/>
  <c r="CT812" i="48"/>
  <c r="CT811" i="48"/>
  <c r="CT810" i="48"/>
  <c r="CT809" i="48"/>
  <c r="CT808" i="48"/>
  <c r="CT807" i="48"/>
  <c r="CT806" i="48"/>
  <c r="CT800" i="48"/>
  <c r="CT799" i="48"/>
  <c r="CT798" i="48"/>
  <c r="CT797" i="48"/>
  <c r="CT796" i="48"/>
  <c r="CT795" i="48"/>
  <c r="CT794" i="48"/>
  <c r="CT793" i="48"/>
  <c r="CT792" i="48"/>
  <c r="CT791" i="48"/>
  <c r="CT790" i="48"/>
  <c r="CT789" i="48"/>
  <c r="CT788" i="48"/>
  <c r="CT787" i="48"/>
  <c r="CT786" i="48"/>
  <c r="CT785" i="48"/>
  <c r="CT784" i="48"/>
  <c r="CT783" i="48"/>
  <c r="CT782" i="48"/>
  <c r="CT781" i="48"/>
  <c r="CT775" i="48"/>
  <c r="CT774" i="48"/>
  <c r="CT773" i="48"/>
  <c r="CT772" i="48"/>
  <c r="CT771" i="48"/>
  <c r="CT770" i="48"/>
  <c r="CT769" i="48"/>
  <c r="CT768" i="48"/>
  <c r="CT767" i="48"/>
  <c r="CT766" i="48"/>
  <c r="CT765" i="48"/>
  <c r="CT764" i="48"/>
  <c r="CT763" i="48"/>
  <c r="CT762" i="48"/>
  <c r="CT761" i="48"/>
  <c r="CT760" i="48"/>
  <c r="CT759" i="48"/>
  <c r="CT758" i="48"/>
  <c r="CT757" i="48"/>
  <c r="CT756" i="48"/>
  <c r="CT750" i="48"/>
  <c r="CT749" i="48"/>
  <c r="CT748" i="48"/>
  <c r="CT747" i="48"/>
  <c r="CT746" i="48"/>
  <c r="CT745" i="48"/>
  <c r="CT744" i="48"/>
  <c r="CT743" i="48"/>
  <c r="CT742" i="48"/>
  <c r="CT741" i="48"/>
  <c r="CT740" i="48"/>
  <c r="CT739" i="48"/>
  <c r="CT738" i="48"/>
  <c r="CT737" i="48"/>
  <c r="CT736" i="48"/>
  <c r="CT735" i="48"/>
  <c r="CT734" i="48"/>
  <c r="CT733" i="48"/>
  <c r="CT732" i="48"/>
  <c r="CT731" i="48"/>
  <c r="CT725" i="48"/>
  <c r="CT724" i="48"/>
  <c r="CT723" i="48"/>
  <c r="CT722" i="48"/>
  <c r="CT721" i="48"/>
  <c r="CT720" i="48"/>
  <c r="CT719" i="48"/>
  <c r="CT718" i="48"/>
  <c r="CT717" i="48"/>
  <c r="CT716" i="48"/>
  <c r="CT715" i="48"/>
  <c r="CT714" i="48"/>
  <c r="CT713" i="48"/>
  <c r="CT712" i="48"/>
  <c r="CT711" i="48"/>
  <c r="CT710" i="48"/>
  <c r="CT709" i="48"/>
  <c r="CT708" i="48"/>
  <c r="CT707" i="48"/>
  <c r="CT706" i="48"/>
  <c r="CT675" i="48"/>
  <c r="CT674" i="48"/>
  <c r="CT673" i="48"/>
  <c r="CT672" i="48"/>
  <c r="CT671" i="48"/>
  <c r="CT670" i="48"/>
  <c r="CT669" i="48"/>
  <c r="CT668" i="48"/>
  <c r="CT667" i="48"/>
  <c r="CT666" i="48"/>
  <c r="CT665" i="48"/>
  <c r="CT664" i="48"/>
  <c r="CT663" i="48"/>
  <c r="CT662" i="48"/>
  <c r="CT661" i="48"/>
  <c r="CT660" i="48"/>
  <c r="CT659" i="48"/>
  <c r="CT658" i="48"/>
  <c r="CT657" i="48"/>
  <c r="CT656" i="48"/>
  <c r="CT650" i="48"/>
  <c r="CT649" i="48"/>
  <c r="CT648" i="48"/>
  <c r="CT647" i="48"/>
  <c r="CT646" i="48"/>
  <c r="CT645" i="48"/>
  <c r="CT644" i="48"/>
  <c r="CT643" i="48"/>
  <c r="CT642" i="48"/>
  <c r="CT641" i="48"/>
  <c r="CT640" i="48"/>
  <c r="CT639" i="48"/>
  <c r="CT638" i="48"/>
  <c r="CT637" i="48"/>
  <c r="CT636" i="48"/>
  <c r="CT635" i="48"/>
  <c r="CT634" i="48"/>
  <c r="CT633" i="48"/>
  <c r="CT632" i="48"/>
  <c r="CT631" i="48"/>
  <c r="CT600" i="48"/>
  <c r="CT599" i="48"/>
  <c r="CT598" i="48"/>
  <c r="CT597" i="48"/>
  <c r="CT596" i="48"/>
  <c r="CT595" i="48"/>
  <c r="CT594" i="48"/>
  <c r="CT593" i="48"/>
  <c r="CT592" i="48"/>
  <c r="CT591" i="48"/>
  <c r="CT590" i="48"/>
  <c r="CT589" i="48"/>
  <c r="CT588" i="48"/>
  <c r="CT587" i="48"/>
  <c r="CT586" i="48"/>
  <c r="CT585" i="48"/>
  <c r="CT584" i="48"/>
  <c r="CT583" i="48"/>
  <c r="CT582" i="48"/>
  <c r="CT581" i="48"/>
  <c r="CT575" i="48"/>
  <c r="CT574" i="48"/>
  <c r="CT573" i="48"/>
  <c r="CT572" i="48"/>
  <c r="CT571" i="48"/>
  <c r="CT570" i="48"/>
  <c r="CT569" i="48"/>
  <c r="CT568" i="48"/>
  <c r="CT567" i="48"/>
  <c r="CT566" i="48"/>
  <c r="CT565" i="48"/>
  <c r="CT564" i="48"/>
  <c r="CT563" i="48"/>
  <c r="CT562" i="48"/>
  <c r="CT561" i="48"/>
  <c r="CT560" i="48"/>
  <c r="CT559" i="48"/>
  <c r="CT558" i="48"/>
  <c r="CT557" i="48"/>
  <c r="CT556" i="48"/>
  <c r="CT550" i="48"/>
  <c r="CT549" i="48"/>
  <c r="CT548" i="48"/>
  <c r="CT547" i="48"/>
  <c r="CT546" i="48"/>
  <c r="CT545" i="48"/>
  <c r="CT544" i="48"/>
  <c r="CT543" i="48"/>
  <c r="CT542" i="48"/>
  <c r="CT541" i="48"/>
  <c r="CT540" i="48"/>
  <c r="CT539" i="48"/>
  <c r="CT538" i="48"/>
  <c r="CT537" i="48"/>
  <c r="CT536" i="48"/>
  <c r="CT535" i="48"/>
  <c r="CT534" i="48"/>
  <c r="CT533" i="48"/>
  <c r="CT532" i="48"/>
  <c r="CT531" i="48"/>
  <c r="CT525" i="48"/>
  <c r="CT524" i="48"/>
  <c r="CT523" i="48"/>
  <c r="CT522" i="48"/>
  <c r="CT521" i="48"/>
  <c r="CT520" i="48"/>
  <c r="CT519" i="48"/>
  <c r="CT518" i="48"/>
  <c r="CT517" i="48"/>
  <c r="CT516" i="48"/>
  <c r="CT515" i="48"/>
  <c r="CT514" i="48"/>
  <c r="CT513" i="48"/>
  <c r="CT512" i="48"/>
  <c r="CT511" i="48"/>
  <c r="CT510" i="48"/>
  <c r="CT509" i="48"/>
  <c r="CT508" i="48"/>
  <c r="CT507" i="48"/>
  <c r="CT506" i="48"/>
  <c r="CT500" i="48"/>
  <c r="CT499" i="48"/>
  <c r="CT498" i="48"/>
  <c r="CT497" i="48"/>
  <c r="CT496" i="48"/>
  <c r="CT495" i="48"/>
  <c r="CT494" i="48"/>
  <c r="CT493" i="48"/>
  <c r="CT492" i="48"/>
  <c r="CT491" i="48"/>
  <c r="CT490" i="48"/>
  <c r="CT489" i="48"/>
  <c r="CT488" i="48"/>
  <c r="CT487" i="48"/>
  <c r="CT486" i="48"/>
  <c r="CT485" i="48"/>
  <c r="CT484" i="48"/>
  <c r="CT483" i="48"/>
  <c r="CT482" i="48"/>
  <c r="CT481" i="48"/>
  <c r="CT475" i="48"/>
  <c r="CT474" i="48"/>
  <c r="CT473" i="48"/>
  <c r="CT472" i="48"/>
  <c r="CT471" i="48"/>
  <c r="CT470" i="48"/>
  <c r="CT469" i="48"/>
  <c r="CT468" i="48"/>
  <c r="CT467" i="48"/>
  <c r="CT466" i="48"/>
  <c r="CT465" i="48"/>
  <c r="CT464" i="48"/>
  <c r="CT463" i="48"/>
  <c r="CT462" i="48"/>
  <c r="CT461" i="48"/>
  <c r="CT460" i="48"/>
  <c r="CT459" i="48"/>
  <c r="CT458" i="48"/>
  <c r="CT457" i="48"/>
  <c r="CT456" i="48"/>
  <c r="CT450" i="48"/>
  <c r="CT449" i="48"/>
  <c r="CT448" i="48"/>
  <c r="CT447" i="48"/>
  <c r="CT446" i="48"/>
  <c r="CT445" i="48"/>
  <c r="CT444" i="48"/>
  <c r="CT443" i="48"/>
  <c r="CT442" i="48"/>
  <c r="CT441" i="48"/>
  <c r="CT440" i="48"/>
  <c r="CT439" i="48"/>
  <c r="CT438" i="48"/>
  <c r="CT437" i="48"/>
  <c r="CT436" i="48"/>
  <c r="CT435" i="48"/>
  <c r="CT434" i="48"/>
  <c r="CT433" i="48"/>
  <c r="CT432" i="48"/>
  <c r="CT431" i="48"/>
  <c r="CT425" i="48"/>
  <c r="CT424" i="48"/>
  <c r="CT423" i="48"/>
  <c r="CT422" i="48"/>
  <c r="CT421" i="48"/>
  <c r="CT420" i="48"/>
  <c r="CT419" i="48"/>
  <c r="CT418" i="48"/>
  <c r="CT417" i="48"/>
  <c r="CT416" i="48"/>
  <c r="CT415" i="48"/>
  <c r="CT414" i="48"/>
  <c r="CT413" i="48"/>
  <c r="CT412" i="48"/>
  <c r="CT411" i="48"/>
  <c r="CT410" i="48"/>
  <c r="CT409" i="48"/>
  <c r="CT408" i="48"/>
  <c r="CT407" i="48"/>
  <c r="CT406" i="48"/>
  <c r="CT400" i="48"/>
  <c r="CT399" i="48"/>
  <c r="CT398" i="48"/>
  <c r="CT397" i="48"/>
  <c r="CT396" i="48"/>
  <c r="CT395" i="48"/>
  <c r="CT394" i="48"/>
  <c r="CT393" i="48"/>
  <c r="CT392" i="48"/>
  <c r="CT391" i="48"/>
  <c r="CT390" i="48"/>
  <c r="CT389" i="48"/>
  <c r="CT388" i="48"/>
  <c r="CT387" i="48"/>
  <c r="CT386" i="48"/>
  <c r="CT385" i="48"/>
  <c r="CT384" i="48"/>
  <c r="CT383" i="48"/>
  <c r="CT382" i="48"/>
  <c r="CT381" i="48"/>
  <c r="CT375" i="48"/>
  <c r="CT374" i="48"/>
  <c r="CT373" i="48"/>
  <c r="CT372" i="48"/>
  <c r="CT371" i="48"/>
  <c r="CT370" i="48"/>
  <c r="CT369" i="48"/>
  <c r="CT368" i="48"/>
  <c r="CT367" i="48"/>
  <c r="CT366" i="48"/>
  <c r="CT365" i="48"/>
  <c r="CT364" i="48"/>
  <c r="CT363" i="48"/>
  <c r="CT362" i="48"/>
  <c r="CT361" i="48"/>
  <c r="CT360" i="48"/>
  <c r="CT359" i="48"/>
  <c r="CT358" i="48"/>
  <c r="CT357" i="48"/>
  <c r="CT356" i="48"/>
  <c r="CT350" i="48"/>
  <c r="CT349" i="48"/>
  <c r="CT348" i="48"/>
  <c r="CT347" i="48"/>
  <c r="CT346" i="48"/>
  <c r="CT345" i="48"/>
  <c r="CT344" i="48"/>
  <c r="CT343" i="48"/>
  <c r="CT342" i="48"/>
  <c r="CT341" i="48"/>
  <c r="CT340" i="48"/>
  <c r="CT339" i="48"/>
  <c r="CT338" i="48"/>
  <c r="CT337" i="48"/>
  <c r="CT336" i="48"/>
  <c r="CT335" i="48"/>
  <c r="CT334" i="48"/>
  <c r="CT333" i="48"/>
  <c r="CT332" i="48"/>
  <c r="CT331" i="48"/>
  <c r="CT325" i="48"/>
  <c r="CT324" i="48"/>
  <c r="CT323" i="48"/>
  <c r="CT322" i="48"/>
  <c r="CT321" i="48"/>
  <c r="CT320" i="48"/>
  <c r="CT319" i="48"/>
  <c r="CT318" i="48"/>
  <c r="CT317" i="48"/>
  <c r="CT316" i="48"/>
  <c r="CT315" i="48"/>
  <c r="CT314" i="48"/>
  <c r="CT313" i="48"/>
  <c r="CT312" i="48"/>
  <c r="CT311" i="48"/>
  <c r="CT310" i="48"/>
  <c r="CT309" i="48"/>
  <c r="CT308" i="48"/>
  <c r="CT307" i="48"/>
  <c r="CT306" i="48"/>
  <c r="CT300" i="48"/>
  <c r="CT299" i="48"/>
  <c r="CT298" i="48"/>
  <c r="CT297" i="48"/>
  <c r="CT296" i="48"/>
  <c r="CT295" i="48"/>
  <c r="CT294" i="48"/>
  <c r="CT293" i="48"/>
  <c r="CT292" i="48"/>
  <c r="CT291" i="48"/>
  <c r="CT290" i="48"/>
  <c r="CT289" i="48"/>
  <c r="CT288" i="48"/>
  <c r="CT287" i="48"/>
  <c r="CT286" i="48"/>
  <c r="CT285" i="48"/>
  <c r="CT284" i="48"/>
  <c r="CT283" i="48"/>
  <c r="CT282" i="48"/>
  <c r="CT281" i="48"/>
  <c r="CE653" i="48"/>
  <c r="Z51" i="16"/>
  <c r="CE1328" i="48"/>
  <c r="CE1303" i="48"/>
  <c r="CE1278" i="48"/>
  <c r="CE1253" i="48"/>
  <c r="CE1228" i="48"/>
  <c r="CE1203" i="48"/>
  <c r="CE1178" i="48"/>
  <c r="CE1153" i="48"/>
  <c r="CE1128" i="48"/>
  <c r="CE1103" i="48"/>
  <c r="CE1078" i="48"/>
  <c r="CE1053" i="48"/>
  <c r="CE1028" i="48"/>
  <c r="CE1003" i="48"/>
  <c r="CE978" i="48"/>
  <c r="CE953" i="48"/>
  <c r="CE928" i="48"/>
  <c r="CE903" i="48"/>
  <c r="CE878" i="48"/>
  <c r="CE853" i="48"/>
  <c r="CE828" i="48"/>
  <c r="CE803" i="48"/>
  <c r="CE778" i="48"/>
  <c r="CE753" i="48"/>
  <c r="CE728" i="48"/>
  <c r="CE703" i="48"/>
  <c r="CE678" i="48"/>
  <c r="CE628" i="48"/>
  <c r="CE603" i="48"/>
  <c r="CE578" i="48"/>
  <c r="CE553" i="48"/>
  <c r="CE528" i="48"/>
  <c r="CE503" i="48"/>
  <c r="CE478" i="48"/>
  <c r="CE428" i="48"/>
  <c r="CE403" i="48"/>
  <c r="CE378" i="48"/>
  <c r="CE328" i="48"/>
  <c r="CE303" i="48"/>
  <c r="CE278" i="48"/>
  <c r="CE228" i="48"/>
  <c r="CE203" i="48"/>
  <c r="CE178" i="48"/>
  <c r="CE128" i="48"/>
  <c r="CE103" i="48"/>
  <c r="CE53" i="48"/>
  <c r="CE28" i="4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Z71" i="18" s="1"/>
  <c r="Z70" i="18" s="1"/>
  <c r="I71" i="18"/>
  <c r="H71" i="18"/>
  <c r="G71" i="18"/>
  <c r="F71" i="18"/>
  <c r="Y71" i="18"/>
  <c r="X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Y71" i="16"/>
  <c r="Z70" i="16" s="1"/>
  <c r="CE3" i="4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T8" i="16"/>
  <c r="U8" i="16" s="1"/>
  <c r="V8" i="16" s="1"/>
  <c r="W8" i="16" s="1"/>
  <c r="X8" i="16" s="1"/>
  <c r="Y8" i="16" s="1"/>
  <c r="Z8" i="16" s="1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10" i="16" s="1"/>
  <c r="E10" i="18" l="1"/>
  <c r="CT275" i="48" l="1"/>
  <c r="CT274" i="48"/>
  <c r="CT273" i="48"/>
  <c r="CT272" i="48"/>
  <c r="CT271" i="48"/>
  <c r="CT270" i="48"/>
  <c r="CT269" i="48"/>
  <c r="CT268" i="48"/>
  <c r="CT267" i="48"/>
  <c r="CT266" i="48"/>
  <c r="CT265" i="48"/>
  <c r="CT264" i="48"/>
  <c r="CT263" i="48"/>
  <c r="CT262" i="48"/>
  <c r="CT261" i="48"/>
  <c r="CT260" i="48"/>
  <c r="CT259" i="48"/>
  <c r="CT258" i="48"/>
  <c r="CT257" i="48"/>
  <c r="CT256" i="48"/>
  <c r="CT250" i="48"/>
  <c r="CT249" i="48"/>
  <c r="CT248" i="48"/>
  <c r="CT247" i="48"/>
  <c r="CT246" i="48"/>
  <c r="CT245" i="48"/>
  <c r="CT244" i="48"/>
  <c r="CT243" i="48"/>
  <c r="CT242" i="48"/>
  <c r="CT241" i="48"/>
  <c r="CT240" i="48"/>
  <c r="CT239" i="48"/>
  <c r="CT238" i="48"/>
  <c r="CT237" i="48"/>
  <c r="CT236" i="48"/>
  <c r="CT235" i="48"/>
  <c r="CT234" i="48"/>
  <c r="CT233" i="48"/>
  <c r="CT232" i="48"/>
  <c r="CT231" i="48"/>
  <c r="CT225" i="48"/>
  <c r="CT224" i="48"/>
  <c r="CT223" i="48"/>
  <c r="CT222" i="48"/>
  <c r="CT221" i="48"/>
  <c r="CT220" i="48"/>
  <c r="CT219" i="48"/>
  <c r="CT218" i="48"/>
  <c r="CT217" i="48"/>
  <c r="CT216" i="48"/>
  <c r="CT215" i="48"/>
  <c r="CT214" i="48"/>
  <c r="CT213" i="48"/>
  <c r="CT212" i="48"/>
  <c r="CT211" i="48"/>
  <c r="CT210" i="48"/>
  <c r="CT209" i="48"/>
  <c r="CT208" i="48"/>
  <c r="CT207" i="48"/>
  <c r="CT206" i="48"/>
  <c r="CT200" i="48"/>
  <c r="CT199" i="48"/>
  <c r="CT198" i="48"/>
  <c r="CT197" i="48"/>
  <c r="CT196" i="48"/>
  <c r="CT195" i="48"/>
  <c r="CT194" i="48"/>
  <c r="CT193" i="48"/>
  <c r="CT192" i="48"/>
  <c r="CT191" i="48"/>
  <c r="CT190" i="48"/>
  <c r="CT189" i="48"/>
  <c r="CT188" i="48"/>
  <c r="CT187" i="48"/>
  <c r="CT186" i="48"/>
  <c r="CT185" i="48"/>
  <c r="CT184" i="48"/>
  <c r="CT183" i="48"/>
  <c r="CT182" i="48"/>
  <c r="CT181" i="48"/>
  <c r="CT175" i="48"/>
  <c r="CT174" i="48"/>
  <c r="CT173" i="48"/>
  <c r="CT172" i="48"/>
  <c r="CT171" i="48"/>
  <c r="CT170" i="48"/>
  <c r="CT169" i="48"/>
  <c r="CT168" i="48"/>
  <c r="CT167" i="48"/>
  <c r="CT166" i="48"/>
  <c r="CT165" i="48"/>
  <c r="CT164" i="48"/>
  <c r="CT163" i="48"/>
  <c r="CT162" i="48"/>
  <c r="CT161" i="48"/>
  <c r="CT160" i="48"/>
  <c r="CT159" i="48"/>
  <c r="CT158" i="48"/>
  <c r="CT157" i="48"/>
  <c r="CT156" i="48"/>
  <c r="CZ175" i="48" l="1"/>
  <c r="CZ174" i="48"/>
  <c r="CU174" i="48" s="1"/>
  <c r="CZ173" i="48"/>
  <c r="CU173" i="48" s="1"/>
  <c r="CZ172" i="48"/>
  <c r="CU172" i="48" s="1"/>
  <c r="CZ171" i="48"/>
  <c r="CU171" i="48" s="1"/>
  <c r="CZ170" i="48"/>
  <c r="CU170" i="48" s="1"/>
  <c r="CZ169" i="48"/>
  <c r="CU169" i="48" s="1"/>
  <c r="CZ168" i="48"/>
  <c r="CU168" i="48" s="1"/>
  <c r="CZ167" i="48"/>
  <c r="CU167" i="48" s="1"/>
  <c r="CZ166" i="48"/>
  <c r="CU166" i="48" s="1"/>
  <c r="CZ165" i="48"/>
  <c r="CU165" i="48" s="1"/>
  <c r="CZ164" i="48"/>
  <c r="CU164" i="48" s="1"/>
  <c r="CZ163" i="48"/>
  <c r="CU163" i="48" s="1"/>
  <c r="CZ162" i="48"/>
  <c r="CU162" i="48" s="1"/>
  <c r="CZ161" i="48"/>
  <c r="CU161" i="48" s="1"/>
  <c r="CZ160" i="48"/>
  <c r="CU160" i="48" s="1"/>
  <c r="CZ159" i="48"/>
  <c r="CU159" i="48" s="1"/>
  <c r="CZ158" i="48"/>
  <c r="CU158" i="48" s="1"/>
  <c r="CZ157" i="48"/>
  <c r="CU157" i="48" s="1"/>
  <c r="CZ156" i="48"/>
  <c r="CU156" i="48" s="1"/>
  <c r="CZ155" i="48"/>
  <c r="CU155" i="48" s="1"/>
  <c r="CZ154" i="48"/>
  <c r="CU154" i="48" s="1"/>
  <c r="CZ153" i="48"/>
  <c r="CU175" i="48" l="1"/>
  <c r="CZ176" i="48"/>
  <c r="CZ177" i="48" s="1"/>
  <c r="CU177" i="48" s="1"/>
  <c r="CZ273" i="48"/>
  <c r="CU273" i="48" s="1"/>
  <c r="CZ272" i="48"/>
  <c r="CU272" i="48" s="1"/>
  <c r="CZ271" i="48"/>
  <c r="CU271" i="48" s="1"/>
  <c r="CZ270" i="48"/>
  <c r="CU270" i="48" s="1"/>
  <c r="CZ269" i="48"/>
  <c r="CU269" i="48" s="1"/>
  <c r="CZ268" i="48"/>
  <c r="CU268" i="48" s="1"/>
  <c r="CZ267" i="48"/>
  <c r="CU267" i="48" s="1"/>
  <c r="CZ266" i="48"/>
  <c r="CU266" i="48" s="1"/>
  <c r="CZ265" i="48"/>
  <c r="CU265" i="48" s="1"/>
  <c r="CZ264" i="48"/>
  <c r="CU264" i="48" s="1"/>
  <c r="CZ263" i="48"/>
  <c r="CU263" i="48" s="1"/>
  <c r="CZ262" i="48"/>
  <c r="CU262" i="48" s="1"/>
  <c r="CZ261" i="48"/>
  <c r="CU261" i="48" s="1"/>
  <c r="CZ260" i="48"/>
  <c r="CU260" i="48" s="1"/>
  <c r="CZ259" i="48"/>
  <c r="CU259" i="48" s="1"/>
  <c r="CZ258" i="48"/>
  <c r="CU258" i="48" s="1"/>
  <c r="CZ257" i="48"/>
  <c r="CU257" i="48" s="1"/>
  <c r="CZ256" i="48"/>
  <c r="CU256" i="48" s="1"/>
  <c r="CZ255" i="48"/>
  <c r="CU255" i="48" s="1"/>
  <c r="CZ254" i="48"/>
  <c r="CU254" i="48" s="1"/>
  <c r="CZ253" i="48"/>
  <c r="CR251" i="48"/>
  <c r="CZ249" i="48"/>
  <c r="CU249" i="48" s="1"/>
  <c r="CZ248" i="48"/>
  <c r="CU248" i="48" s="1"/>
  <c r="CZ247" i="48"/>
  <c r="CU247" i="48" s="1"/>
  <c r="CZ246" i="48"/>
  <c r="CU246" i="48" s="1"/>
  <c r="CZ245" i="48"/>
  <c r="CU245" i="48" s="1"/>
  <c r="CZ244" i="48"/>
  <c r="CU244" i="48" s="1"/>
  <c r="CZ243" i="48"/>
  <c r="CU243" i="48" s="1"/>
  <c r="CZ242" i="48"/>
  <c r="CU242" i="48" s="1"/>
  <c r="CZ241" i="48"/>
  <c r="CU241" i="48" s="1"/>
  <c r="CZ240" i="48"/>
  <c r="CU240" i="48" s="1"/>
  <c r="CZ239" i="48"/>
  <c r="CU239" i="48" s="1"/>
  <c r="CZ238" i="48"/>
  <c r="CU238" i="48" s="1"/>
  <c r="CZ237" i="48"/>
  <c r="CU237" i="48" s="1"/>
  <c r="CZ236" i="48"/>
  <c r="CU236" i="48" s="1"/>
  <c r="CZ235" i="48"/>
  <c r="CU235" i="48" s="1"/>
  <c r="CZ234" i="48"/>
  <c r="CU234" i="48" s="1"/>
  <c r="CZ233" i="48"/>
  <c r="CU233" i="48" s="1"/>
  <c r="CZ232" i="48"/>
  <c r="CU232" i="48" s="1"/>
  <c r="CZ231" i="48"/>
  <c r="CU231" i="48" s="1"/>
  <c r="CZ230" i="48"/>
  <c r="CU230" i="48" s="1"/>
  <c r="CZ229" i="48"/>
  <c r="CU229" i="48" s="1"/>
  <c r="CZ228" i="48"/>
  <c r="CZ224" i="48"/>
  <c r="CU224" i="48" s="1"/>
  <c r="CZ223" i="48"/>
  <c r="CU223" i="48" s="1"/>
  <c r="CZ222" i="48"/>
  <c r="CU222" i="48" s="1"/>
  <c r="CZ221" i="48"/>
  <c r="CU221" i="48" s="1"/>
  <c r="CZ220" i="48"/>
  <c r="CU220" i="48" s="1"/>
  <c r="CZ219" i="48"/>
  <c r="CU219" i="48" s="1"/>
  <c r="CZ218" i="48"/>
  <c r="CU218" i="48" s="1"/>
  <c r="CZ217" i="48"/>
  <c r="CU217" i="48" s="1"/>
  <c r="CZ216" i="48"/>
  <c r="CU216" i="48" s="1"/>
  <c r="CZ215" i="48"/>
  <c r="CU215" i="48" s="1"/>
  <c r="CZ214" i="48"/>
  <c r="CU214" i="48" s="1"/>
  <c r="CZ213" i="48"/>
  <c r="CU213" i="48" s="1"/>
  <c r="CZ212" i="48"/>
  <c r="CU212" i="48" s="1"/>
  <c r="CZ211" i="48"/>
  <c r="CU211" i="48" s="1"/>
  <c r="CZ210" i="48"/>
  <c r="CU210" i="48" s="1"/>
  <c r="CZ209" i="48"/>
  <c r="CU209" i="48" s="1"/>
  <c r="CZ208" i="48"/>
  <c r="CU208" i="48" s="1"/>
  <c r="CZ207" i="48"/>
  <c r="CU207" i="48" s="1"/>
  <c r="CZ206" i="48"/>
  <c r="CU206" i="48" s="1"/>
  <c r="CZ205" i="48"/>
  <c r="CU205" i="48" s="1"/>
  <c r="CZ204" i="48"/>
  <c r="CU204" i="48" s="1"/>
  <c r="CZ203" i="48"/>
  <c r="CT25" i="48"/>
  <c r="CU176" i="48" l="1"/>
  <c r="CT24" i="48"/>
  <c r="CT23" i="48"/>
  <c r="CT22" i="48"/>
  <c r="CT21" i="48"/>
  <c r="CT20" i="48"/>
  <c r="CT19" i="48"/>
  <c r="CT18" i="48"/>
  <c r="CT17" i="48"/>
  <c r="CT16" i="48"/>
  <c r="CT15" i="48"/>
  <c r="CT14" i="48"/>
  <c r="CT13" i="48"/>
  <c r="CT12" i="48"/>
  <c r="CT11" i="48"/>
  <c r="CT10" i="48"/>
  <c r="CT9" i="48"/>
  <c r="CT8" i="48"/>
  <c r="CT7" i="48"/>
  <c r="BB3" i="48" l="1"/>
  <c r="W1350" i="48"/>
  <c r="BB1034" i="48"/>
  <c r="BB1033" i="48"/>
  <c r="BB1032" i="48"/>
  <c r="BC1033" i="48" l="1"/>
  <c r="BC1034" i="48"/>
  <c r="V284" i="48"/>
  <c r="V285" i="48"/>
  <c r="V286" i="48"/>
  <c r="V287" i="48"/>
  <c r="V288" i="48"/>
  <c r="V289" i="48"/>
  <c r="V290" i="48"/>
  <c r="V291" i="48"/>
  <c r="V292" i="48"/>
  <c r="V293" i="48"/>
  <c r="V294" i="48"/>
  <c r="V295" i="48"/>
  <c r="V296" i="48"/>
  <c r="V297" i="48"/>
  <c r="V298" i="48"/>
  <c r="V299" i="48"/>
  <c r="V300" i="48"/>
  <c r="V259" i="48"/>
  <c r="V260" i="48"/>
  <c r="V261" i="48"/>
  <c r="V262" i="48"/>
  <c r="V263" i="48"/>
  <c r="V264" i="48"/>
  <c r="V265" i="48"/>
  <c r="V266" i="48"/>
  <c r="V267" i="48"/>
  <c r="V268" i="48"/>
  <c r="V269" i="48"/>
  <c r="V270" i="48"/>
  <c r="V271" i="48"/>
  <c r="V272" i="48"/>
  <c r="V273" i="48"/>
  <c r="V274" i="48"/>
  <c r="V275" i="48"/>
  <c r="V175" i="48"/>
  <c r="V59" i="48"/>
  <c r="W59" i="48" s="1"/>
  <c r="V60" i="48"/>
  <c r="W60" i="48" s="1"/>
  <c r="V61" i="48"/>
  <c r="W61" i="48" s="1"/>
  <c r="V62" i="48"/>
  <c r="W62" i="48" s="1"/>
  <c r="V63" i="48"/>
  <c r="W63" i="48" s="1"/>
  <c r="V64" i="48"/>
  <c r="W64" i="48" s="1"/>
  <c r="V65" i="48"/>
  <c r="W65" i="48" s="1"/>
  <c r="V66" i="48"/>
  <c r="W66" i="48" s="1"/>
  <c r="V67" i="48"/>
  <c r="W67" i="48" s="1"/>
  <c r="V68" i="48"/>
  <c r="W68" i="48" s="1"/>
  <c r="V69" i="48"/>
  <c r="W69" i="48" s="1"/>
  <c r="V70" i="48"/>
  <c r="W70" i="48" s="1"/>
  <c r="V71" i="48"/>
  <c r="W71" i="48" s="1"/>
  <c r="V72" i="48"/>
  <c r="W72" i="48" s="1"/>
  <c r="V73" i="48"/>
  <c r="W73" i="48" s="1"/>
  <c r="V74" i="48"/>
  <c r="W74" i="48" s="1"/>
  <c r="V75" i="48"/>
  <c r="W75" i="48" s="1"/>
  <c r="V34" i="48"/>
  <c r="W34" i="48" s="1"/>
  <c r="V35" i="48"/>
  <c r="W35" i="48" s="1"/>
  <c r="V36" i="48"/>
  <c r="W36" i="48" s="1"/>
  <c r="V37" i="48"/>
  <c r="W37" i="48" s="1"/>
  <c r="V38" i="48"/>
  <c r="W38" i="48" s="1"/>
  <c r="V39" i="48"/>
  <c r="W39" i="48" s="1"/>
  <c r="V40" i="48"/>
  <c r="W40" i="48" s="1"/>
  <c r="V41" i="48"/>
  <c r="W41" i="48" s="1"/>
  <c r="V42" i="48"/>
  <c r="W42" i="48" s="1"/>
  <c r="V43" i="48"/>
  <c r="W43" i="48" s="1"/>
  <c r="V44" i="48"/>
  <c r="W44" i="48" s="1"/>
  <c r="V45" i="48"/>
  <c r="W45" i="48" s="1"/>
  <c r="V46" i="48"/>
  <c r="W46" i="48" s="1"/>
  <c r="V47" i="48"/>
  <c r="W47" i="48" s="1"/>
  <c r="V48" i="48"/>
  <c r="W48" i="48" s="1"/>
  <c r="V49" i="48"/>
  <c r="W49" i="48" s="1"/>
  <c r="J1074" i="48"/>
  <c r="J284" i="48"/>
  <c r="J285" i="48"/>
  <c r="J286" i="48"/>
  <c r="J287" i="48"/>
  <c r="J288" i="48"/>
  <c r="J289" i="48"/>
  <c r="J290" i="48"/>
  <c r="J291" i="48"/>
  <c r="J292" i="48"/>
  <c r="J293" i="48"/>
  <c r="J294" i="48"/>
  <c r="J295" i="48"/>
  <c r="J296" i="48"/>
  <c r="J297" i="48"/>
  <c r="J298" i="48"/>
  <c r="J299" i="48"/>
  <c r="J300" i="48"/>
  <c r="J259" i="48"/>
  <c r="J260" i="48"/>
  <c r="J261" i="48"/>
  <c r="J262" i="48"/>
  <c r="J263" i="48"/>
  <c r="J264" i="48"/>
  <c r="J265" i="48"/>
  <c r="J266" i="48"/>
  <c r="J267" i="48"/>
  <c r="J268" i="48"/>
  <c r="J269" i="48"/>
  <c r="J270" i="48"/>
  <c r="J271" i="48"/>
  <c r="J272" i="48"/>
  <c r="J273" i="48"/>
  <c r="J274" i="48"/>
  <c r="J275" i="48"/>
  <c r="J160" i="48"/>
  <c r="J161" i="48"/>
  <c r="J162" i="48"/>
  <c r="J163" i="48"/>
  <c r="J164" i="48"/>
  <c r="J165" i="48"/>
  <c r="J166" i="48"/>
  <c r="J167" i="48"/>
  <c r="J168" i="48"/>
  <c r="J169" i="48"/>
  <c r="J170" i="48"/>
  <c r="J171" i="48"/>
  <c r="J172" i="48"/>
  <c r="J173" i="48"/>
  <c r="J174" i="48"/>
  <c r="J175" i="48"/>
  <c r="J109" i="48"/>
  <c r="X45" i="48" l="1"/>
  <c r="X37" i="48"/>
  <c r="X71" i="48"/>
  <c r="X63" i="48"/>
  <c r="X69" i="48"/>
  <c r="X41" i="48"/>
  <c r="X67" i="48"/>
  <c r="X61" i="48"/>
  <c r="X75" i="48"/>
  <c r="X47" i="48"/>
  <c r="X43" i="48"/>
  <c r="X35" i="48"/>
  <c r="X39" i="48"/>
  <c r="X73" i="48"/>
  <c r="X65" i="48"/>
  <c r="X44" i="48"/>
  <c r="X36" i="48"/>
  <c r="X70" i="48"/>
  <c r="X62" i="48"/>
  <c r="X42" i="48"/>
  <c r="X68" i="48"/>
  <c r="X60" i="48"/>
  <c r="X48" i="48"/>
  <c r="X40" i="48"/>
  <c r="X74" i="48"/>
  <c r="X66" i="48"/>
  <c r="X49" i="48"/>
  <c r="X50" i="48"/>
  <c r="X46" i="48"/>
  <c r="X38" i="48"/>
  <c r="X72" i="48"/>
  <c r="X64" i="48"/>
  <c r="BZ1350" i="48"/>
  <c r="BY1350" i="48"/>
  <c r="BZ1349" i="48"/>
  <c r="BY1349" i="48"/>
  <c r="BZ1348" i="48"/>
  <c r="BY1348" i="48"/>
  <c r="BZ1347" i="48"/>
  <c r="BY1347" i="48"/>
  <c r="BZ1346" i="48"/>
  <c r="BY1346" i="48"/>
  <c r="BZ1345" i="48"/>
  <c r="BY1345" i="48"/>
  <c r="BZ1344" i="48"/>
  <c r="BY1344" i="48"/>
  <c r="BZ1343" i="48"/>
  <c r="BY1343" i="48"/>
  <c r="BZ1342" i="48"/>
  <c r="BY1342" i="48"/>
  <c r="BZ1341" i="48"/>
  <c r="BY1341" i="48"/>
  <c r="BZ1340" i="48"/>
  <c r="BY1340" i="48"/>
  <c r="BZ1339" i="48"/>
  <c r="BY1339" i="48"/>
  <c r="BZ1338" i="48"/>
  <c r="BY1338" i="48"/>
  <c r="BZ1337" i="48"/>
  <c r="BY1337" i="48"/>
  <c r="BZ1336" i="48"/>
  <c r="BY1336" i="48"/>
  <c r="BZ1335" i="48"/>
  <c r="BY1335" i="48"/>
  <c r="BZ1334" i="48"/>
  <c r="BY1334" i="48"/>
  <c r="BZ1333" i="48"/>
  <c r="BY1333" i="48"/>
  <c r="BZ1332" i="48"/>
  <c r="BY1332" i="48"/>
  <c r="BZ1331" i="48"/>
  <c r="BY1331" i="48"/>
  <c r="BZ1330" i="48"/>
  <c r="BY1330" i="48"/>
  <c r="BZ1329" i="48"/>
  <c r="BY1329" i="48"/>
  <c r="BZ1328" i="48"/>
  <c r="BY1328" i="48"/>
  <c r="BZ1325" i="48"/>
  <c r="BY1325" i="48"/>
  <c r="BZ1324" i="48"/>
  <c r="BY1324" i="48"/>
  <c r="BZ1323" i="48"/>
  <c r="BY1323" i="48"/>
  <c r="BZ1322" i="48"/>
  <c r="BY1322" i="48"/>
  <c r="BZ1321" i="48"/>
  <c r="BY1321" i="48"/>
  <c r="BZ1320" i="48"/>
  <c r="BY1320" i="48"/>
  <c r="BZ1319" i="48"/>
  <c r="BY1319" i="48"/>
  <c r="BZ1318" i="48"/>
  <c r="BY1318" i="48"/>
  <c r="BZ1317" i="48"/>
  <c r="BY1317" i="48"/>
  <c r="BZ1316" i="48"/>
  <c r="BY1316" i="48"/>
  <c r="BZ1315" i="48"/>
  <c r="BY1315" i="48"/>
  <c r="BZ1314" i="48"/>
  <c r="BY1314" i="48"/>
  <c r="BZ1313" i="48"/>
  <c r="BY1313" i="48"/>
  <c r="BZ1312" i="48"/>
  <c r="BY1312" i="48"/>
  <c r="BZ1311" i="48"/>
  <c r="BY1311" i="48"/>
  <c r="BZ1310" i="48"/>
  <c r="BY1310" i="48"/>
  <c r="BZ1309" i="48"/>
  <c r="BY1309" i="48"/>
  <c r="BZ1308" i="48"/>
  <c r="BY1308" i="48"/>
  <c r="BZ1307" i="48"/>
  <c r="BY1307" i="48"/>
  <c r="BZ1306" i="48"/>
  <c r="BY1306" i="48"/>
  <c r="BZ1305" i="48"/>
  <c r="BY1305" i="48"/>
  <c r="BZ1304" i="48"/>
  <c r="BY1304" i="48"/>
  <c r="BZ1303" i="48"/>
  <c r="BY1303" i="48"/>
  <c r="BZ1300" i="48"/>
  <c r="BY1300" i="48"/>
  <c r="BZ1299" i="48"/>
  <c r="BY1299" i="48"/>
  <c r="BZ1298" i="48"/>
  <c r="BY1298" i="48"/>
  <c r="BZ1297" i="48"/>
  <c r="BY1297" i="48"/>
  <c r="BZ1296" i="48"/>
  <c r="BY1296" i="48"/>
  <c r="BZ1295" i="48"/>
  <c r="BY1295" i="48"/>
  <c r="BZ1294" i="48"/>
  <c r="BY1294" i="48"/>
  <c r="BZ1293" i="48"/>
  <c r="BY1293" i="48"/>
  <c r="BZ1292" i="48"/>
  <c r="BY1292" i="48"/>
  <c r="BZ1291" i="48"/>
  <c r="BY1291" i="48"/>
  <c r="BZ1290" i="48"/>
  <c r="BY1290" i="48"/>
  <c r="BZ1289" i="48"/>
  <c r="BY1289" i="48"/>
  <c r="BZ1288" i="48"/>
  <c r="BY1288" i="48"/>
  <c r="BZ1287" i="48"/>
  <c r="BY1287" i="48"/>
  <c r="BZ1286" i="48"/>
  <c r="BY1286" i="48"/>
  <c r="BZ1285" i="48"/>
  <c r="BY1285" i="48"/>
  <c r="BZ1284" i="48"/>
  <c r="BY1284" i="48"/>
  <c r="BZ1283" i="48"/>
  <c r="BY1283" i="48"/>
  <c r="BZ1282" i="48"/>
  <c r="BY1282" i="48"/>
  <c r="BZ1281" i="48"/>
  <c r="BY1281" i="48"/>
  <c r="BZ1280" i="48"/>
  <c r="BY1280" i="48"/>
  <c r="BZ1279" i="48"/>
  <c r="BY1279" i="48"/>
  <c r="BZ1278" i="48"/>
  <c r="BY1278" i="48"/>
  <c r="BZ1275" i="48"/>
  <c r="BY1275" i="48"/>
  <c r="BZ1274" i="48"/>
  <c r="BY1274" i="48"/>
  <c r="BZ1273" i="48"/>
  <c r="BY1273" i="48"/>
  <c r="BZ1272" i="48"/>
  <c r="BY1272" i="48"/>
  <c r="BZ1271" i="48"/>
  <c r="BY1271" i="48"/>
  <c r="BZ1270" i="48"/>
  <c r="BY1270" i="48"/>
  <c r="BZ1269" i="48"/>
  <c r="BY1269" i="48"/>
  <c r="BZ1268" i="48"/>
  <c r="BY1268" i="48"/>
  <c r="BZ1267" i="48"/>
  <c r="BY1267" i="48"/>
  <c r="BZ1266" i="48"/>
  <c r="BY1266" i="48"/>
  <c r="BZ1265" i="48"/>
  <c r="BY1265" i="48"/>
  <c r="BZ1264" i="48"/>
  <c r="BY1264" i="48"/>
  <c r="BZ1263" i="48"/>
  <c r="BY1263" i="48"/>
  <c r="BZ1262" i="48"/>
  <c r="BY1262" i="48"/>
  <c r="BZ1261" i="48"/>
  <c r="BY1261" i="48"/>
  <c r="BZ1260" i="48"/>
  <c r="BY1260" i="48"/>
  <c r="BZ1259" i="48"/>
  <c r="BY1259" i="48"/>
  <c r="BZ1258" i="48"/>
  <c r="BY1258" i="48"/>
  <c r="BZ1257" i="48"/>
  <c r="BY1257" i="48"/>
  <c r="BZ1256" i="48"/>
  <c r="BY1256" i="48"/>
  <c r="BZ1255" i="48"/>
  <c r="BY1255" i="48"/>
  <c r="BZ1254" i="48"/>
  <c r="BY1254" i="48"/>
  <c r="BZ1253" i="48"/>
  <c r="BY1253" i="48"/>
  <c r="BZ1250" i="48"/>
  <c r="BY1250" i="48"/>
  <c r="BZ1249" i="48"/>
  <c r="BY1249" i="48"/>
  <c r="BZ1248" i="48"/>
  <c r="BY1248" i="48"/>
  <c r="BZ1247" i="48"/>
  <c r="BY1247" i="48"/>
  <c r="BZ1246" i="48"/>
  <c r="BY1246" i="48"/>
  <c r="BZ1245" i="48"/>
  <c r="BY1245" i="48"/>
  <c r="BZ1244" i="48"/>
  <c r="BY1244" i="48"/>
  <c r="BZ1243" i="48"/>
  <c r="BY1243" i="48"/>
  <c r="BZ1242" i="48"/>
  <c r="BY1242" i="48"/>
  <c r="BZ1241" i="48"/>
  <c r="BY1241" i="48"/>
  <c r="BZ1240" i="48"/>
  <c r="BY1240" i="48"/>
  <c r="BZ1239" i="48"/>
  <c r="BY1239" i="48"/>
  <c r="BZ1238" i="48"/>
  <c r="BY1238" i="48"/>
  <c r="BZ1237" i="48"/>
  <c r="BY1237" i="48"/>
  <c r="BZ1236" i="48"/>
  <c r="BY1236" i="48"/>
  <c r="BZ1235" i="48"/>
  <c r="BY1235" i="48"/>
  <c r="BZ1234" i="48"/>
  <c r="BY1234" i="48"/>
  <c r="BZ1233" i="48"/>
  <c r="BY1233" i="48"/>
  <c r="BZ1232" i="48"/>
  <c r="BY1232" i="48"/>
  <c r="BZ1231" i="48"/>
  <c r="BY1231" i="48"/>
  <c r="BZ1230" i="48"/>
  <c r="BY1230" i="48"/>
  <c r="BZ1229" i="48"/>
  <c r="BY1229" i="48"/>
  <c r="BZ1228" i="48"/>
  <c r="BY1228" i="48"/>
  <c r="BZ1225" i="48"/>
  <c r="BY1225" i="48"/>
  <c r="BZ1224" i="48"/>
  <c r="BY1224" i="48"/>
  <c r="BZ1223" i="48"/>
  <c r="BY1223" i="48"/>
  <c r="BZ1222" i="48"/>
  <c r="BY1222" i="48"/>
  <c r="BZ1221" i="48"/>
  <c r="BY1221" i="48"/>
  <c r="BZ1220" i="48"/>
  <c r="BY1220" i="48"/>
  <c r="BZ1219" i="48"/>
  <c r="BY1219" i="48"/>
  <c r="BZ1218" i="48"/>
  <c r="BY1218" i="48"/>
  <c r="BZ1217" i="48"/>
  <c r="BY1217" i="48"/>
  <c r="BZ1216" i="48"/>
  <c r="BY1216" i="48"/>
  <c r="BZ1215" i="48"/>
  <c r="BY1215" i="48"/>
  <c r="BZ1214" i="48"/>
  <c r="BY1214" i="48"/>
  <c r="BZ1213" i="48"/>
  <c r="BY1213" i="48"/>
  <c r="BZ1212" i="48"/>
  <c r="BY1212" i="48"/>
  <c r="BZ1211" i="48"/>
  <c r="BY1211" i="48"/>
  <c r="BZ1210" i="48"/>
  <c r="BY1210" i="48"/>
  <c r="BZ1209" i="48"/>
  <c r="BY1209" i="48"/>
  <c r="BZ1208" i="48"/>
  <c r="BY1208" i="48"/>
  <c r="BZ1207" i="48"/>
  <c r="BY1207" i="48"/>
  <c r="BZ1206" i="48"/>
  <c r="BY1206" i="48"/>
  <c r="BZ1205" i="48"/>
  <c r="BY1205" i="48"/>
  <c r="BZ1204" i="48"/>
  <c r="BY1204" i="48"/>
  <c r="BZ1203" i="48"/>
  <c r="BY1203" i="48"/>
  <c r="BZ1200" i="48"/>
  <c r="BY1200" i="48"/>
  <c r="BZ1199" i="48"/>
  <c r="BY1199" i="48"/>
  <c r="BZ1198" i="48"/>
  <c r="BY1198" i="48"/>
  <c r="BZ1197" i="48"/>
  <c r="BY1197" i="48"/>
  <c r="BZ1196" i="48"/>
  <c r="BY1196" i="48"/>
  <c r="BZ1195" i="48"/>
  <c r="BY1195" i="48"/>
  <c r="BZ1194" i="48"/>
  <c r="BY1194" i="48"/>
  <c r="BZ1193" i="48"/>
  <c r="BY1193" i="48"/>
  <c r="BZ1192" i="48"/>
  <c r="BY1192" i="48"/>
  <c r="BZ1191" i="48"/>
  <c r="BY1191" i="48"/>
  <c r="BZ1190" i="48"/>
  <c r="BY1190" i="48"/>
  <c r="BZ1189" i="48"/>
  <c r="BY1189" i="48"/>
  <c r="BZ1188" i="48"/>
  <c r="BY1188" i="48"/>
  <c r="BZ1187" i="48"/>
  <c r="BY1187" i="48"/>
  <c r="BZ1186" i="48"/>
  <c r="BY1186" i="48"/>
  <c r="BZ1185" i="48"/>
  <c r="BY1185" i="48"/>
  <c r="BZ1184" i="48"/>
  <c r="BY1184" i="48"/>
  <c r="BZ1183" i="48"/>
  <c r="BY1183" i="48"/>
  <c r="BZ1182" i="48"/>
  <c r="BY1182" i="48"/>
  <c r="BZ1181" i="48"/>
  <c r="BY1181" i="48"/>
  <c r="BZ1180" i="48"/>
  <c r="BY1180" i="48"/>
  <c r="BZ1179" i="48"/>
  <c r="BY1179" i="48"/>
  <c r="BZ1178" i="48"/>
  <c r="BY1178" i="48"/>
  <c r="BZ1175" i="48"/>
  <c r="BY1175" i="48"/>
  <c r="BZ1174" i="48"/>
  <c r="BY1174" i="48"/>
  <c r="BZ1173" i="48"/>
  <c r="BY1173" i="48"/>
  <c r="BZ1172" i="48"/>
  <c r="BY1172" i="48"/>
  <c r="BZ1171" i="48"/>
  <c r="BY1171" i="48"/>
  <c r="BZ1170" i="48"/>
  <c r="BY1170" i="48"/>
  <c r="BZ1169" i="48"/>
  <c r="BY1169" i="48"/>
  <c r="BZ1168" i="48"/>
  <c r="BY1168" i="48"/>
  <c r="BZ1167" i="48"/>
  <c r="BY1167" i="48"/>
  <c r="BZ1166" i="48"/>
  <c r="BY1166" i="48"/>
  <c r="BZ1165" i="48"/>
  <c r="BY1165" i="48"/>
  <c r="BZ1164" i="48"/>
  <c r="BY1164" i="48"/>
  <c r="BZ1163" i="48"/>
  <c r="BY1163" i="48"/>
  <c r="BZ1162" i="48"/>
  <c r="BY1162" i="48"/>
  <c r="BZ1161" i="48"/>
  <c r="BY1161" i="48"/>
  <c r="BZ1160" i="48"/>
  <c r="BY1160" i="48"/>
  <c r="BZ1159" i="48"/>
  <c r="BY1159" i="48"/>
  <c r="BZ1158" i="48"/>
  <c r="BY1158" i="48"/>
  <c r="BZ1157" i="48"/>
  <c r="BY1157" i="48"/>
  <c r="BZ1156" i="48"/>
  <c r="BY1156" i="48"/>
  <c r="BZ1155" i="48"/>
  <c r="BY1155" i="48"/>
  <c r="BZ1154" i="48"/>
  <c r="BY1154" i="48"/>
  <c r="BZ1153" i="48"/>
  <c r="BY1153" i="48"/>
  <c r="BZ1150" i="48"/>
  <c r="BY1150" i="48"/>
  <c r="BZ1149" i="48"/>
  <c r="BY1149" i="48"/>
  <c r="BZ1148" i="48"/>
  <c r="BY1148" i="48"/>
  <c r="BZ1147" i="48"/>
  <c r="BY1147" i="48"/>
  <c r="BZ1146" i="48"/>
  <c r="BY1146" i="48"/>
  <c r="BZ1145" i="48"/>
  <c r="BY1145" i="48"/>
  <c r="BZ1144" i="48"/>
  <c r="BY1144" i="48"/>
  <c r="BZ1143" i="48"/>
  <c r="BY1143" i="48"/>
  <c r="BZ1142" i="48"/>
  <c r="BY1142" i="48"/>
  <c r="BZ1141" i="48"/>
  <c r="BY1141" i="48"/>
  <c r="BZ1140" i="48"/>
  <c r="BY1140" i="48"/>
  <c r="BZ1139" i="48"/>
  <c r="BY1139" i="48"/>
  <c r="BZ1138" i="48"/>
  <c r="BY1138" i="48"/>
  <c r="BZ1137" i="48"/>
  <c r="BY1137" i="48"/>
  <c r="BZ1136" i="48"/>
  <c r="BY1136" i="48"/>
  <c r="BZ1135" i="48"/>
  <c r="BY1135" i="48"/>
  <c r="BZ1134" i="48"/>
  <c r="BY1134" i="48"/>
  <c r="BZ1133" i="48"/>
  <c r="BY1133" i="48"/>
  <c r="BZ1132" i="48"/>
  <c r="BY1132" i="48"/>
  <c r="BZ1131" i="48"/>
  <c r="BY1131" i="48"/>
  <c r="BZ1130" i="48"/>
  <c r="BY1130" i="48"/>
  <c r="BZ1129" i="48"/>
  <c r="BY1129" i="48"/>
  <c r="BZ1128" i="48"/>
  <c r="BY1128" i="48"/>
  <c r="BZ1125" i="48"/>
  <c r="BY1125" i="48"/>
  <c r="BZ1124" i="48"/>
  <c r="BY1124" i="48"/>
  <c r="BZ1123" i="48"/>
  <c r="BY1123" i="48"/>
  <c r="BZ1122" i="48"/>
  <c r="BY1122" i="48"/>
  <c r="BZ1121" i="48"/>
  <c r="BY1121" i="48"/>
  <c r="BZ1120" i="48"/>
  <c r="BY1120" i="48"/>
  <c r="BZ1119" i="48"/>
  <c r="BY1119" i="48"/>
  <c r="BZ1118" i="48"/>
  <c r="BY1118" i="48"/>
  <c r="BZ1117" i="48"/>
  <c r="BY1117" i="48"/>
  <c r="BZ1116" i="48"/>
  <c r="BY1116" i="48"/>
  <c r="BZ1115" i="48"/>
  <c r="BY1115" i="48"/>
  <c r="BZ1114" i="48"/>
  <c r="BY1114" i="48"/>
  <c r="BZ1113" i="48"/>
  <c r="BY1113" i="48"/>
  <c r="BZ1112" i="48"/>
  <c r="BY1112" i="48"/>
  <c r="BZ1111" i="48"/>
  <c r="BY1111" i="48"/>
  <c r="BZ1110" i="48"/>
  <c r="BY1110" i="48"/>
  <c r="BZ1109" i="48"/>
  <c r="BY1109" i="48"/>
  <c r="BZ1108" i="48"/>
  <c r="BY1108" i="48"/>
  <c r="BZ1107" i="48"/>
  <c r="BY1107" i="48"/>
  <c r="BZ1106" i="48"/>
  <c r="BY1106" i="48"/>
  <c r="BZ1105" i="48"/>
  <c r="BY1105" i="48"/>
  <c r="BZ1104" i="48"/>
  <c r="BY1104" i="48"/>
  <c r="BZ1103" i="48"/>
  <c r="BY1103" i="48"/>
  <c r="BZ1100" i="48"/>
  <c r="BY1100" i="48"/>
  <c r="BZ1099" i="48"/>
  <c r="BY1099" i="48"/>
  <c r="BZ1098" i="48"/>
  <c r="BY1098" i="48"/>
  <c r="BZ1097" i="48"/>
  <c r="BY1097" i="48"/>
  <c r="BZ1096" i="48"/>
  <c r="BY1096" i="48"/>
  <c r="BZ1095" i="48"/>
  <c r="BY1095" i="48"/>
  <c r="BZ1094" i="48"/>
  <c r="BY1094" i="48"/>
  <c r="BZ1093" i="48"/>
  <c r="BY1093" i="48"/>
  <c r="BZ1092" i="48"/>
  <c r="BY1092" i="48"/>
  <c r="BZ1091" i="48"/>
  <c r="BY1091" i="48"/>
  <c r="BZ1090" i="48"/>
  <c r="BY1090" i="48"/>
  <c r="BZ1089" i="48"/>
  <c r="BY1089" i="48"/>
  <c r="BZ1088" i="48"/>
  <c r="BY1088" i="48"/>
  <c r="BZ1087" i="48"/>
  <c r="BY1087" i="48"/>
  <c r="BZ1086" i="48"/>
  <c r="BY1086" i="48"/>
  <c r="BZ1085" i="48"/>
  <c r="BY1085" i="48"/>
  <c r="BZ1084" i="48"/>
  <c r="BY1084" i="48"/>
  <c r="BZ1083" i="48"/>
  <c r="BY1083" i="48"/>
  <c r="BZ1082" i="48"/>
  <c r="BY1082" i="48"/>
  <c r="BZ1081" i="48"/>
  <c r="BY1081" i="48"/>
  <c r="BZ1080" i="48"/>
  <c r="BY1080" i="48"/>
  <c r="BZ1078" i="48"/>
  <c r="BY1078" i="48"/>
  <c r="BZ1074" i="48"/>
  <c r="BY1074" i="48"/>
  <c r="BZ1073" i="48"/>
  <c r="BY1073" i="48"/>
  <c r="BZ1072" i="48"/>
  <c r="BY1072" i="48"/>
  <c r="BZ1071" i="48"/>
  <c r="BY1071" i="48"/>
  <c r="BZ1070" i="48"/>
  <c r="BY1070" i="48"/>
  <c r="BZ1069" i="48"/>
  <c r="BY1069" i="48"/>
  <c r="BZ1068" i="48"/>
  <c r="BY1068" i="48"/>
  <c r="BZ1067" i="48"/>
  <c r="BY1067" i="48"/>
  <c r="BZ1066" i="48"/>
  <c r="BY1066" i="48"/>
  <c r="BZ1065" i="48"/>
  <c r="BY1065" i="48"/>
  <c r="BZ1064" i="48"/>
  <c r="BY1064" i="48"/>
  <c r="BZ1063" i="48"/>
  <c r="BY1063" i="48"/>
  <c r="BZ1062" i="48"/>
  <c r="BY1062" i="48"/>
  <c r="BZ1061" i="48"/>
  <c r="BY1061" i="48"/>
  <c r="BZ1060" i="48"/>
  <c r="BY1060" i="48"/>
  <c r="BZ1059" i="48"/>
  <c r="BY1059" i="48"/>
  <c r="BZ1058" i="48"/>
  <c r="BY1058" i="48"/>
  <c r="BZ1057" i="48"/>
  <c r="BY1057" i="48"/>
  <c r="BZ1056" i="48"/>
  <c r="BY1056" i="48"/>
  <c r="BZ1055" i="48"/>
  <c r="BY1055" i="48"/>
  <c r="BZ1054" i="48"/>
  <c r="BY1054" i="48"/>
  <c r="BZ1053" i="48"/>
  <c r="BY1053" i="48"/>
  <c r="BZ1049" i="48"/>
  <c r="BY1049" i="48"/>
  <c r="BZ1048" i="48"/>
  <c r="BY1048" i="48"/>
  <c r="BZ1047" i="48"/>
  <c r="BY1047" i="48"/>
  <c r="BZ1046" i="48"/>
  <c r="BY1046" i="48"/>
  <c r="BZ1045" i="48"/>
  <c r="BY1045" i="48"/>
  <c r="BZ1044" i="48"/>
  <c r="BY1044" i="48"/>
  <c r="BZ1043" i="48"/>
  <c r="BY1043" i="48"/>
  <c r="BZ1042" i="48"/>
  <c r="BY1042" i="48"/>
  <c r="BZ1041" i="48"/>
  <c r="BY1041" i="48"/>
  <c r="BZ1040" i="48"/>
  <c r="BY1040" i="48"/>
  <c r="BZ1039" i="48"/>
  <c r="BY1039" i="48"/>
  <c r="BZ1038" i="48"/>
  <c r="BY1038" i="48"/>
  <c r="BZ1037" i="48"/>
  <c r="BY1037" i="48"/>
  <c r="BZ1036" i="48"/>
  <c r="BY1036" i="48"/>
  <c r="BZ1035" i="48"/>
  <c r="BY1035" i="48"/>
  <c r="BZ1034" i="48"/>
  <c r="BY1034" i="48"/>
  <c r="BZ1033" i="48"/>
  <c r="BY1033" i="48"/>
  <c r="BZ1032" i="48"/>
  <c r="BY1032" i="48"/>
  <c r="BZ1031" i="48"/>
  <c r="BY1031" i="48"/>
  <c r="BZ1030" i="48"/>
  <c r="BY1030" i="48"/>
  <c r="BZ1029" i="48"/>
  <c r="BY1029" i="48"/>
  <c r="BZ1028" i="48"/>
  <c r="BY1028" i="48"/>
  <c r="BZ1025" i="48"/>
  <c r="BY1025" i="48"/>
  <c r="BZ1024" i="48"/>
  <c r="BY1024" i="48"/>
  <c r="BZ1023" i="48"/>
  <c r="BY1023" i="48"/>
  <c r="BZ1022" i="48"/>
  <c r="BY1022" i="48"/>
  <c r="BZ1021" i="48"/>
  <c r="BY1021" i="48"/>
  <c r="BZ1020" i="48"/>
  <c r="BY1020" i="48"/>
  <c r="BZ1019" i="48"/>
  <c r="BY1019" i="48"/>
  <c r="BZ1018" i="48"/>
  <c r="BY1018" i="48"/>
  <c r="BZ1017" i="48"/>
  <c r="BY1017" i="48"/>
  <c r="BZ1016" i="48"/>
  <c r="BY1016" i="48"/>
  <c r="BZ1015" i="48"/>
  <c r="BY1015" i="48"/>
  <c r="BZ1014" i="48"/>
  <c r="BY1014" i="48"/>
  <c r="BZ1013" i="48"/>
  <c r="BY1013" i="48"/>
  <c r="BZ1012" i="48"/>
  <c r="BY1012" i="48"/>
  <c r="BZ1011" i="48"/>
  <c r="BY1011" i="48"/>
  <c r="BZ1010" i="48"/>
  <c r="BY1010" i="48"/>
  <c r="BZ1009" i="48"/>
  <c r="BY1009" i="48"/>
  <c r="BZ1006" i="48"/>
  <c r="BY1006" i="48"/>
  <c r="BZ1005" i="48"/>
  <c r="BY1005" i="48"/>
  <c r="BZ1004" i="48"/>
  <c r="BY1004" i="48"/>
  <c r="BZ1003" i="48"/>
  <c r="BY1003" i="48"/>
  <c r="BZ1000" i="48"/>
  <c r="BY1000" i="48"/>
  <c r="BZ999" i="48"/>
  <c r="BY999" i="48"/>
  <c r="BZ998" i="48"/>
  <c r="BY998" i="48"/>
  <c r="BZ997" i="48"/>
  <c r="BY997" i="48"/>
  <c r="BZ996" i="48"/>
  <c r="BY996" i="48"/>
  <c r="BZ995" i="48"/>
  <c r="BY995" i="48"/>
  <c r="BZ994" i="48"/>
  <c r="BY994" i="48"/>
  <c r="BZ993" i="48"/>
  <c r="BY993" i="48"/>
  <c r="BZ992" i="48"/>
  <c r="BY992" i="48"/>
  <c r="BZ991" i="48"/>
  <c r="BY991" i="48"/>
  <c r="BZ990" i="48"/>
  <c r="BY990" i="48"/>
  <c r="BZ989" i="48"/>
  <c r="BY989" i="48"/>
  <c r="BZ988" i="48"/>
  <c r="BY988" i="48"/>
  <c r="BZ987" i="48"/>
  <c r="BY987" i="48"/>
  <c r="BZ986" i="48"/>
  <c r="BY986" i="48"/>
  <c r="BZ985" i="48"/>
  <c r="BY985" i="48"/>
  <c r="BZ984" i="48"/>
  <c r="BY984" i="48"/>
  <c r="BZ983" i="48"/>
  <c r="BY983" i="48"/>
  <c r="BZ982" i="48"/>
  <c r="BY982" i="48"/>
  <c r="BZ981" i="48"/>
  <c r="BY981" i="48"/>
  <c r="BZ980" i="48"/>
  <c r="BY980" i="48"/>
  <c r="BZ979" i="48"/>
  <c r="BY979" i="48"/>
  <c r="BZ978" i="48"/>
  <c r="BY978" i="48"/>
  <c r="BZ975" i="48"/>
  <c r="BY975" i="48"/>
  <c r="BZ974" i="48"/>
  <c r="BY974" i="48"/>
  <c r="BZ973" i="48"/>
  <c r="BY973" i="48"/>
  <c r="BZ972" i="48"/>
  <c r="BY972" i="48"/>
  <c r="BZ971" i="48"/>
  <c r="BY971" i="48"/>
  <c r="BZ970" i="48"/>
  <c r="BY970" i="48"/>
  <c r="BZ969" i="48"/>
  <c r="BY969" i="48"/>
  <c r="BZ968" i="48"/>
  <c r="BY968" i="48"/>
  <c r="BZ967" i="48"/>
  <c r="BY967" i="48"/>
  <c r="BZ966" i="48"/>
  <c r="BY966" i="48"/>
  <c r="BZ965" i="48"/>
  <c r="BY965" i="48"/>
  <c r="BZ964" i="48"/>
  <c r="BY964" i="48"/>
  <c r="BZ963" i="48"/>
  <c r="BY963" i="48"/>
  <c r="BZ962" i="48"/>
  <c r="BY962" i="48"/>
  <c r="BZ961" i="48"/>
  <c r="BY961" i="48"/>
  <c r="BZ960" i="48"/>
  <c r="BY960" i="48"/>
  <c r="BZ959" i="48"/>
  <c r="BY959" i="48"/>
  <c r="BZ958" i="48"/>
  <c r="BY958" i="48"/>
  <c r="BZ957" i="48"/>
  <c r="BY957" i="48"/>
  <c r="BZ956" i="48"/>
  <c r="BY956" i="48"/>
  <c r="BZ955" i="48"/>
  <c r="BY955" i="48"/>
  <c r="BZ954" i="48"/>
  <c r="BY954" i="48"/>
  <c r="BZ953" i="48"/>
  <c r="BY953" i="48"/>
  <c r="BZ949" i="48"/>
  <c r="BY949" i="48"/>
  <c r="BZ948" i="48"/>
  <c r="BY948" i="48"/>
  <c r="BZ947" i="48"/>
  <c r="BY947" i="48"/>
  <c r="BZ946" i="48"/>
  <c r="BY946" i="48"/>
  <c r="BZ945" i="48"/>
  <c r="BY945" i="48"/>
  <c r="BZ944" i="48"/>
  <c r="BY944" i="48"/>
  <c r="BZ943" i="48"/>
  <c r="BY943" i="48"/>
  <c r="BZ942" i="48"/>
  <c r="BY942" i="48"/>
  <c r="BZ941" i="48"/>
  <c r="BY941" i="48"/>
  <c r="BZ940" i="48"/>
  <c r="BY940" i="48"/>
  <c r="BZ939" i="48"/>
  <c r="BY939" i="48"/>
  <c r="BZ938" i="48"/>
  <c r="BY938" i="48"/>
  <c r="BZ937" i="48"/>
  <c r="BY937" i="48"/>
  <c r="BZ936" i="48"/>
  <c r="BY936" i="48"/>
  <c r="BZ935" i="48"/>
  <c r="BY935" i="48"/>
  <c r="BZ934" i="48"/>
  <c r="BY934" i="48"/>
  <c r="BZ933" i="48"/>
  <c r="BY933" i="48"/>
  <c r="BZ932" i="48"/>
  <c r="BY932" i="48"/>
  <c r="BZ931" i="48"/>
  <c r="BY931" i="48"/>
  <c r="BZ930" i="48"/>
  <c r="BY930" i="48"/>
  <c r="BZ929" i="48"/>
  <c r="BY929" i="48"/>
  <c r="BZ928" i="48"/>
  <c r="BY928" i="48"/>
  <c r="BZ925" i="48"/>
  <c r="BY925" i="48"/>
  <c r="BZ924" i="48"/>
  <c r="BY924" i="48"/>
  <c r="BZ923" i="48"/>
  <c r="BY923" i="48"/>
  <c r="BZ922" i="48"/>
  <c r="BY922" i="48"/>
  <c r="BZ921" i="48"/>
  <c r="BY921" i="48"/>
  <c r="BZ920" i="48"/>
  <c r="BY920" i="48"/>
  <c r="BZ919" i="48"/>
  <c r="BY919" i="48"/>
  <c r="BZ918" i="48"/>
  <c r="BY918" i="48"/>
  <c r="BZ917" i="48"/>
  <c r="BY917" i="48"/>
  <c r="BZ916" i="48"/>
  <c r="BY916" i="48"/>
  <c r="BZ915" i="48"/>
  <c r="BY915" i="48"/>
  <c r="BZ914" i="48"/>
  <c r="BY914" i="48"/>
  <c r="BZ913" i="48"/>
  <c r="BY913" i="48"/>
  <c r="BZ912" i="48"/>
  <c r="BY912" i="48"/>
  <c r="BZ911" i="48"/>
  <c r="BY911" i="48"/>
  <c r="BZ910" i="48"/>
  <c r="BY910" i="48"/>
  <c r="BZ909" i="48"/>
  <c r="BY909" i="48"/>
  <c r="BZ908" i="48"/>
  <c r="BY908" i="48"/>
  <c r="BZ907" i="48"/>
  <c r="BY907" i="48"/>
  <c r="BZ906" i="48"/>
  <c r="BY906" i="48"/>
  <c r="BZ905" i="48"/>
  <c r="BY905" i="48"/>
  <c r="BZ904" i="48"/>
  <c r="BY904" i="48"/>
  <c r="BZ903" i="48"/>
  <c r="BY903" i="48"/>
  <c r="BZ900" i="48"/>
  <c r="BY900" i="48"/>
  <c r="BZ899" i="48"/>
  <c r="BY899" i="48"/>
  <c r="BZ898" i="48"/>
  <c r="BY898" i="48"/>
  <c r="BZ897" i="48"/>
  <c r="BY897" i="48"/>
  <c r="BZ896" i="48"/>
  <c r="BY896" i="48"/>
  <c r="BZ895" i="48"/>
  <c r="BY895" i="48"/>
  <c r="BZ894" i="48"/>
  <c r="BY894" i="48"/>
  <c r="BZ893" i="48"/>
  <c r="BY893" i="48"/>
  <c r="BZ892" i="48"/>
  <c r="BY892" i="48"/>
  <c r="BZ891" i="48"/>
  <c r="BY891" i="48"/>
  <c r="BZ890" i="48"/>
  <c r="BY890" i="48"/>
  <c r="BZ889" i="48"/>
  <c r="BY889" i="48"/>
  <c r="BZ888" i="48"/>
  <c r="BY888" i="48"/>
  <c r="BZ887" i="48"/>
  <c r="BY887" i="48"/>
  <c r="BZ886" i="48"/>
  <c r="BY886" i="48"/>
  <c r="BZ885" i="48"/>
  <c r="BY885" i="48"/>
  <c r="BZ884" i="48"/>
  <c r="BY884" i="48"/>
  <c r="BZ883" i="48"/>
  <c r="BY883" i="48"/>
  <c r="BZ882" i="48"/>
  <c r="BY882" i="48"/>
  <c r="BZ881" i="48"/>
  <c r="BY881" i="48"/>
  <c r="BZ880" i="48"/>
  <c r="BY880" i="48"/>
  <c r="BZ879" i="48"/>
  <c r="BY879" i="48"/>
  <c r="BZ878" i="48"/>
  <c r="BY878" i="48"/>
  <c r="BZ875" i="48"/>
  <c r="BY875" i="48"/>
  <c r="BZ874" i="48"/>
  <c r="BY874" i="48"/>
  <c r="BZ873" i="48"/>
  <c r="BY873" i="48"/>
  <c r="BZ872" i="48"/>
  <c r="BY872" i="48"/>
  <c r="BZ871" i="48"/>
  <c r="BY871" i="48"/>
  <c r="BZ870" i="48"/>
  <c r="BY870" i="48"/>
  <c r="BZ869" i="48"/>
  <c r="BY869" i="48"/>
  <c r="BZ868" i="48"/>
  <c r="BY868" i="48"/>
  <c r="BZ867" i="48"/>
  <c r="BY867" i="48"/>
  <c r="BZ866" i="48"/>
  <c r="BY866" i="48"/>
  <c r="BZ865" i="48"/>
  <c r="BY865" i="48"/>
  <c r="BZ864" i="48"/>
  <c r="BY864" i="48"/>
  <c r="BZ863" i="48"/>
  <c r="BY863" i="48"/>
  <c r="BZ862" i="48"/>
  <c r="BY862" i="48"/>
  <c r="BZ861" i="48"/>
  <c r="BY861" i="48"/>
  <c r="BZ860" i="48"/>
  <c r="BY860" i="48"/>
  <c r="BZ859" i="48"/>
  <c r="BY859" i="48"/>
  <c r="BZ858" i="48"/>
  <c r="BY858" i="48"/>
  <c r="BZ857" i="48"/>
  <c r="BY857" i="48"/>
  <c r="BZ856" i="48"/>
  <c r="BY856" i="48"/>
  <c r="BZ855" i="48"/>
  <c r="BY855" i="48"/>
  <c r="BZ854" i="48"/>
  <c r="BY854" i="48"/>
  <c r="BZ853" i="48"/>
  <c r="BY853" i="48"/>
  <c r="BZ850" i="48"/>
  <c r="BY850" i="48"/>
  <c r="BZ849" i="48"/>
  <c r="BY849" i="48"/>
  <c r="BZ848" i="48"/>
  <c r="BY848" i="48"/>
  <c r="BZ847" i="48"/>
  <c r="BY847" i="48"/>
  <c r="BZ846" i="48"/>
  <c r="BY846" i="48"/>
  <c r="BZ845" i="48"/>
  <c r="BY845" i="48"/>
  <c r="BZ844" i="48"/>
  <c r="BY844" i="48"/>
  <c r="BZ843" i="48"/>
  <c r="BY843" i="48"/>
  <c r="BZ842" i="48"/>
  <c r="BY842" i="48"/>
  <c r="BZ841" i="48"/>
  <c r="BY841" i="48"/>
  <c r="BZ840" i="48"/>
  <c r="BY840" i="48"/>
  <c r="BZ839" i="48"/>
  <c r="BY839" i="48"/>
  <c r="BZ838" i="48"/>
  <c r="BY838" i="48"/>
  <c r="BZ837" i="48"/>
  <c r="BY837" i="48"/>
  <c r="BZ836" i="48"/>
  <c r="BY836" i="48"/>
  <c r="BZ835" i="48"/>
  <c r="BY835" i="48"/>
  <c r="BZ834" i="48"/>
  <c r="BY834" i="48"/>
  <c r="BZ833" i="48"/>
  <c r="BY833" i="48"/>
  <c r="BZ832" i="48"/>
  <c r="BY832" i="48"/>
  <c r="BZ831" i="48"/>
  <c r="BY831" i="48"/>
  <c r="BZ830" i="48"/>
  <c r="BY830" i="48"/>
  <c r="BZ829" i="48"/>
  <c r="BY829" i="48"/>
  <c r="BZ828" i="48"/>
  <c r="BY828" i="48"/>
  <c r="BZ825" i="48"/>
  <c r="BY825" i="48"/>
  <c r="BZ824" i="48"/>
  <c r="BY824" i="48"/>
  <c r="BZ823" i="48"/>
  <c r="BY823" i="48"/>
  <c r="BZ822" i="48"/>
  <c r="BY822" i="48"/>
  <c r="BZ821" i="48"/>
  <c r="BY821" i="48"/>
  <c r="BZ820" i="48"/>
  <c r="BY820" i="48"/>
  <c r="BZ819" i="48"/>
  <c r="BY819" i="48"/>
  <c r="BZ818" i="48"/>
  <c r="BY818" i="48"/>
  <c r="BZ817" i="48"/>
  <c r="BY817" i="48"/>
  <c r="BZ816" i="48"/>
  <c r="BY816" i="48"/>
  <c r="BZ815" i="48"/>
  <c r="BY815" i="48"/>
  <c r="BZ814" i="48"/>
  <c r="BY814" i="48"/>
  <c r="BZ813" i="48"/>
  <c r="BY813" i="48"/>
  <c r="BZ812" i="48"/>
  <c r="BY812" i="48"/>
  <c r="BZ811" i="48"/>
  <c r="BY811" i="48"/>
  <c r="BZ810" i="48"/>
  <c r="BY810" i="48"/>
  <c r="BZ809" i="48"/>
  <c r="BY809" i="48"/>
  <c r="BZ808" i="48"/>
  <c r="BY808" i="48"/>
  <c r="BZ807" i="48"/>
  <c r="BY807" i="48"/>
  <c r="BZ806" i="48"/>
  <c r="BY806" i="48"/>
  <c r="BZ805" i="48"/>
  <c r="BY805" i="48"/>
  <c r="BZ804" i="48"/>
  <c r="BY804" i="48"/>
  <c r="BZ803" i="48"/>
  <c r="BY803" i="48"/>
  <c r="BZ800" i="48"/>
  <c r="BY800" i="48"/>
  <c r="BZ799" i="48"/>
  <c r="BY799" i="48"/>
  <c r="BZ798" i="48"/>
  <c r="BY798" i="48"/>
  <c r="BZ797" i="48"/>
  <c r="BY797" i="48"/>
  <c r="BZ796" i="48"/>
  <c r="BY796" i="48"/>
  <c r="BZ795" i="48"/>
  <c r="BY795" i="48"/>
  <c r="BZ794" i="48"/>
  <c r="BY794" i="48"/>
  <c r="BZ793" i="48"/>
  <c r="BY793" i="48"/>
  <c r="BZ792" i="48"/>
  <c r="BY792" i="48"/>
  <c r="BZ791" i="48"/>
  <c r="BY791" i="48"/>
  <c r="BZ790" i="48"/>
  <c r="BY790" i="48"/>
  <c r="BZ789" i="48"/>
  <c r="BY789" i="48"/>
  <c r="BZ788" i="48"/>
  <c r="BY788" i="48"/>
  <c r="BZ787" i="48"/>
  <c r="BY787" i="48"/>
  <c r="BZ786" i="48"/>
  <c r="BY786" i="48"/>
  <c r="BZ785" i="48"/>
  <c r="BY785" i="48"/>
  <c r="BZ784" i="48"/>
  <c r="BY784" i="48"/>
  <c r="BZ783" i="48"/>
  <c r="BY783" i="48"/>
  <c r="BZ782" i="48"/>
  <c r="BY782" i="48"/>
  <c r="BZ781" i="48"/>
  <c r="BY781" i="48"/>
  <c r="BZ780" i="48"/>
  <c r="BY780" i="48"/>
  <c r="BZ779" i="48"/>
  <c r="BY779" i="48"/>
  <c r="BZ778" i="48"/>
  <c r="BY778" i="48"/>
  <c r="BZ775" i="48"/>
  <c r="BY775" i="48"/>
  <c r="BZ774" i="48"/>
  <c r="BY774" i="48"/>
  <c r="BZ773" i="48"/>
  <c r="BY773" i="48"/>
  <c r="BZ772" i="48"/>
  <c r="BY772" i="48"/>
  <c r="BZ771" i="48"/>
  <c r="BY771" i="48"/>
  <c r="BZ770" i="48"/>
  <c r="BY770" i="48"/>
  <c r="BZ769" i="48"/>
  <c r="BY769" i="48"/>
  <c r="BZ768" i="48"/>
  <c r="BY768" i="48"/>
  <c r="BZ767" i="48"/>
  <c r="BY767" i="48"/>
  <c r="BZ766" i="48"/>
  <c r="BY766" i="48"/>
  <c r="BZ765" i="48"/>
  <c r="BY765" i="48"/>
  <c r="BZ764" i="48"/>
  <c r="BY764" i="48"/>
  <c r="BZ763" i="48"/>
  <c r="BY763" i="48"/>
  <c r="BZ762" i="48"/>
  <c r="BY762" i="48"/>
  <c r="BZ761" i="48"/>
  <c r="BY761" i="48"/>
  <c r="BZ760" i="48"/>
  <c r="BY760" i="48"/>
  <c r="BZ759" i="48"/>
  <c r="BY759" i="48"/>
  <c r="BZ758" i="48"/>
  <c r="BY758" i="48"/>
  <c r="BZ757" i="48"/>
  <c r="BY757" i="48"/>
  <c r="BZ756" i="48"/>
  <c r="BY756" i="48"/>
  <c r="BZ755" i="48"/>
  <c r="BY755" i="48"/>
  <c r="BZ754" i="48"/>
  <c r="BY754" i="48"/>
  <c r="BZ753" i="48"/>
  <c r="BY753" i="48"/>
  <c r="BZ750" i="48"/>
  <c r="BY750" i="48"/>
  <c r="BZ749" i="48"/>
  <c r="BY749" i="48"/>
  <c r="BZ748" i="48"/>
  <c r="BY748" i="48"/>
  <c r="BZ747" i="48"/>
  <c r="BY747" i="48"/>
  <c r="BZ746" i="48"/>
  <c r="BY746" i="48"/>
  <c r="BZ745" i="48"/>
  <c r="BY745" i="48"/>
  <c r="BZ744" i="48"/>
  <c r="BY744" i="48"/>
  <c r="BZ743" i="48"/>
  <c r="BY743" i="48"/>
  <c r="BZ742" i="48"/>
  <c r="BY742" i="48"/>
  <c r="BZ741" i="48"/>
  <c r="BY741" i="48"/>
  <c r="BZ740" i="48"/>
  <c r="BY740" i="48"/>
  <c r="BZ739" i="48"/>
  <c r="BY739" i="48"/>
  <c r="BZ738" i="48"/>
  <c r="BY738" i="48"/>
  <c r="BZ737" i="48"/>
  <c r="BY737" i="48"/>
  <c r="BZ736" i="48"/>
  <c r="BY736" i="48"/>
  <c r="BZ735" i="48"/>
  <c r="BY735" i="48"/>
  <c r="BZ734" i="48"/>
  <c r="BY734" i="48"/>
  <c r="BZ733" i="48"/>
  <c r="BY733" i="48"/>
  <c r="BZ732" i="48"/>
  <c r="BY732" i="48"/>
  <c r="BZ731" i="48"/>
  <c r="BY731" i="48"/>
  <c r="BZ730" i="48"/>
  <c r="BY730" i="48"/>
  <c r="BZ729" i="48"/>
  <c r="BY729" i="48"/>
  <c r="BZ728" i="48"/>
  <c r="BY728" i="48"/>
  <c r="BZ725" i="48"/>
  <c r="BY725" i="48"/>
  <c r="BZ724" i="48"/>
  <c r="BY724" i="48"/>
  <c r="BZ723" i="48"/>
  <c r="BY723" i="48"/>
  <c r="BZ722" i="48"/>
  <c r="BY722" i="48"/>
  <c r="BZ721" i="48"/>
  <c r="BY721" i="48"/>
  <c r="BZ720" i="48"/>
  <c r="BY720" i="48"/>
  <c r="BZ719" i="48"/>
  <c r="BY719" i="48"/>
  <c r="BZ718" i="48"/>
  <c r="BY718" i="48"/>
  <c r="BZ717" i="48"/>
  <c r="BY717" i="48"/>
  <c r="BZ716" i="48"/>
  <c r="BY716" i="48"/>
  <c r="BZ715" i="48"/>
  <c r="BY715" i="48"/>
  <c r="BZ714" i="48"/>
  <c r="BY714" i="48"/>
  <c r="BZ713" i="48"/>
  <c r="BY713" i="48"/>
  <c r="BZ712" i="48"/>
  <c r="BY712" i="48"/>
  <c r="BZ711" i="48"/>
  <c r="BY711" i="48"/>
  <c r="BZ710" i="48"/>
  <c r="BY710" i="48"/>
  <c r="BZ709" i="48"/>
  <c r="BY709" i="48"/>
  <c r="BZ708" i="48"/>
  <c r="BY708" i="48"/>
  <c r="BZ707" i="48"/>
  <c r="BY707" i="48"/>
  <c r="BZ706" i="48"/>
  <c r="BY706" i="48"/>
  <c r="BZ705" i="48"/>
  <c r="BY705" i="48"/>
  <c r="BZ704" i="48"/>
  <c r="BY704" i="48"/>
  <c r="BZ703" i="48"/>
  <c r="BY703" i="48"/>
  <c r="BZ700" i="48"/>
  <c r="BY700" i="48"/>
  <c r="BZ699" i="48"/>
  <c r="BY699" i="48"/>
  <c r="BZ698" i="48"/>
  <c r="BY698" i="48"/>
  <c r="BZ697" i="48"/>
  <c r="BY697" i="48"/>
  <c r="BZ696" i="48"/>
  <c r="BY696" i="48"/>
  <c r="BZ695" i="48"/>
  <c r="BY695" i="48"/>
  <c r="BZ694" i="48"/>
  <c r="BY694" i="48"/>
  <c r="BZ693" i="48"/>
  <c r="BY693" i="48"/>
  <c r="BZ692" i="48"/>
  <c r="BY692" i="48"/>
  <c r="BZ691" i="48"/>
  <c r="BY691" i="48"/>
  <c r="BZ690" i="48"/>
  <c r="BY690" i="48"/>
  <c r="BZ689" i="48"/>
  <c r="BY689" i="48"/>
  <c r="BZ688" i="48"/>
  <c r="BY688" i="48"/>
  <c r="BZ687" i="48"/>
  <c r="BY687" i="48"/>
  <c r="BZ686" i="48"/>
  <c r="BY686" i="48"/>
  <c r="BZ685" i="48"/>
  <c r="BY685" i="48"/>
  <c r="BZ684" i="48"/>
  <c r="BY684" i="48"/>
  <c r="BZ683" i="48"/>
  <c r="BY683" i="48"/>
  <c r="BZ682" i="48"/>
  <c r="BY682" i="48"/>
  <c r="BZ681" i="48"/>
  <c r="BY681" i="48"/>
  <c r="BZ680" i="48"/>
  <c r="BY680" i="48"/>
  <c r="BZ679" i="48"/>
  <c r="BY679" i="48"/>
  <c r="BZ678" i="48"/>
  <c r="BY678" i="48"/>
  <c r="BZ675" i="48"/>
  <c r="BY675" i="48"/>
  <c r="BZ674" i="48"/>
  <c r="BY674" i="48"/>
  <c r="BZ673" i="48"/>
  <c r="BY673" i="48"/>
  <c r="BZ672" i="48"/>
  <c r="BY672" i="48"/>
  <c r="BZ671" i="48"/>
  <c r="BY671" i="48"/>
  <c r="BZ670" i="48"/>
  <c r="BY670" i="48"/>
  <c r="BZ669" i="48"/>
  <c r="BY669" i="48"/>
  <c r="BZ668" i="48"/>
  <c r="BY668" i="48"/>
  <c r="BZ667" i="48"/>
  <c r="BY667" i="48"/>
  <c r="BZ666" i="48"/>
  <c r="BY666" i="48"/>
  <c r="BZ665" i="48"/>
  <c r="BY665" i="48"/>
  <c r="BZ664" i="48"/>
  <c r="BY664" i="48"/>
  <c r="BZ663" i="48"/>
  <c r="BY663" i="48"/>
  <c r="BZ662" i="48"/>
  <c r="BY662" i="48"/>
  <c r="BZ661" i="48"/>
  <c r="BY661" i="48"/>
  <c r="BZ660" i="48"/>
  <c r="BY660" i="48"/>
  <c r="BZ659" i="48"/>
  <c r="BY659" i="48"/>
  <c r="BZ658" i="48"/>
  <c r="BY658" i="48"/>
  <c r="BZ657" i="48"/>
  <c r="BY657" i="48"/>
  <c r="BZ656" i="48"/>
  <c r="BY656" i="48"/>
  <c r="BZ655" i="48"/>
  <c r="BY655" i="48"/>
  <c r="BZ654" i="48"/>
  <c r="BY654" i="48"/>
  <c r="BZ653" i="48"/>
  <c r="BY653" i="48"/>
  <c r="BZ650" i="48"/>
  <c r="BY650" i="48"/>
  <c r="BZ649" i="48"/>
  <c r="BY649" i="48"/>
  <c r="BZ648" i="48"/>
  <c r="BY648" i="48"/>
  <c r="BZ647" i="48"/>
  <c r="BY647" i="48"/>
  <c r="BZ646" i="48"/>
  <c r="BY646" i="48"/>
  <c r="BZ645" i="48"/>
  <c r="BY645" i="48"/>
  <c r="BZ644" i="48"/>
  <c r="BY644" i="48"/>
  <c r="BZ643" i="48"/>
  <c r="BY643" i="48"/>
  <c r="BZ642" i="48"/>
  <c r="BY642" i="48"/>
  <c r="BZ641" i="48"/>
  <c r="BY641" i="48"/>
  <c r="BZ640" i="48"/>
  <c r="BY640" i="48"/>
  <c r="BZ639" i="48"/>
  <c r="BY639" i="48"/>
  <c r="BZ638" i="48"/>
  <c r="BY638" i="48"/>
  <c r="BZ637" i="48"/>
  <c r="BY637" i="48"/>
  <c r="BZ636" i="48"/>
  <c r="BY636" i="48"/>
  <c r="BZ635" i="48"/>
  <c r="BY635" i="48"/>
  <c r="BZ634" i="48"/>
  <c r="BY634" i="48"/>
  <c r="BZ633" i="48"/>
  <c r="BY633" i="48"/>
  <c r="BZ632" i="48"/>
  <c r="BY632" i="48"/>
  <c r="BZ631" i="48"/>
  <c r="BY631" i="48"/>
  <c r="BZ630" i="48"/>
  <c r="BY630" i="48"/>
  <c r="BZ629" i="48"/>
  <c r="BY629" i="48"/>
  <c r="BZ628" i="48"/>
  <c r="BY628" i="48"/>
  <c r="BZ625" i="48"/>
  <c r="BY625" i="48"/>
  <c r="BZ624" i="48"/>
  <c r="BY624" i="48"/>
  <c r="BZ623" i="48"/>
  <c r="BY623" i="48"/>
  <c r="BZ622" i="48"/>
  <c r="BY622" i="48"/>
  <c r="BZ621" i="48"/>
  <c r="BY621" i="48"/>
  <c r="BZ620" i="48"/>
  <c r="BY620" i="48"/>
  <c r="BZ619" i="48"/>
  <c r="BY619" i="48"/>
  <c r="BZ618" i="48"/>
  <c r="BY618" i="48"/>
  <c r="BZ617" i="48"/>
  <c r="BY617" i="48"/>
  <c r="BZ616" i="48"/>
  <c r="BY616" i="48"/>
  <c r="BZ615" i="48"/>
  <c r="BY615" i="48"/>
  <c r="BZ614" i="48"/>
  <c r="BY614" i="48"/>
  <c r="BZ613" i="48"/>
  <c r="BY613" i="48"/>
  <c r="BZ612" i="48"/>
  <c r="BY612" i="48"/>
  <c r="BZ611" i="48"/>
  <c r="BY611" i="48"/>
  <c r="BZ610" i="48"/>
  <c r="BY610" i="48"/>
  <c r="BZ609" i="48"/>
  <c r="BY609" i="48"/>
  <c r="BZ608" i="48"/>
  <c r="BY608" i="48"/>
  <c r="BZ607" i="48"/>
  <c r="BY607" i="48"/>
  <c r="BZ606" i="48"/>
  <c r="BY606" i="48"/>
  <c r="BZ605" i="48"/>
  <c r="BY605" i="48"/>
  <c r="BZ604" i="48"/>
  <c r="BY604" i="48"/>
  <c r="BZ603" i="48"/>
  <c r="BY603" i="48"/>
  <c r="BZ600" i="48"/>
  <c r="BY600" i="48"/>
  <c r="BZ599" i="48"/>
  <c r="BY599" i="48"/>
  <c r="BZ598" i="48"/>
  <c r="BY598" i="48"/>
  <c r="BZ597" i="48"/>
  <c r="BY597" i="48"/>
  <c r="BZ596" i="48"/>
  <c r="BY596" i="48"/>
  <c r="BZ595" i="48"/>
  <c r="BY595" i="48"/>
  <c r="BZ594" i="48"/>
  <c r="BY594" i="48"/>
  <c r="BZ593" i="48"/>
  <c r="BY593" i="48"/>
  <c r="BZ592" i="48"/>
  <c r="BY592" i="48"/>
  <c r="BZ591" i="48"/>
  <c r="BY591" i="48"/>
  <c r="BZ590" i="48"/>
  <c r="BY590" i="48"/>
  <c r="BZ589" i="48"/>
  <c r="BY589" i="48"/>
  <c r="BZ588" i="48"/>
  <c r="BY588" i="48"/>
  <c r="BZ587" i="48"/>
  <c r="BY587" i="48"/>
  <c r="BZ586" i="48"/>
  <c r="BY586" i="48"/>
  <c r="BZ585" i="48"/>
  <c r="BY585" i="48"/>
  <c r="BZ584" i="48"/>
  <c r="BY584" i="48"/>
  <c r="BZ583" i="48"/>
  <c r="BY583" i="48"/>
  <c r="BZ582" i="48"/>
  <c r="BY582" i="48"/>
  <c r="BZ581" i="48"/>
  <c r="BY581" i="48"/>
  <c r="BZ580" i="48"/>
  <c r="BY580" i="48"/>
  <c r="BZ579" i="48"/>
  <c r="BY579" i="48"/>
  <c r="BZ578" i="48"/>
  <c r="BY578" i="48"/>
  <c r="BZ575" i="48"/>
  <c r="BY575" i="48"/>
  <c r="BZ574" i="48"/>
  <c r="BY574" i="48"/>
  <c r="BZ573" i="48"/>
  <c r="BY573" i="48"/>
  <c r="BZ572" i="48"/>
  <c r="BY572" i="48"/>
  <c r="BZ571" i="48"/>
  <c r="BY571" i="48"/>
  <c r="BZ570" i="48"/>
  <c r="BY570" i="48"/>
  <c r="BZ569" i="48"/>
  <c r="BY569" i="48"/>
  <c r="BZ568" i="48"/>
  <c r="BY568" i="48"/>
  <c r="BZ567" i="48"/>
  <c r="BY567" i="48"/>
  <c r="BZ566" i="48"/>
  <c r="BY566" i="48"/>
  <c r="BZ565" i="48"/>
  <c r="BY565" i="48"/>
  <c r="BZ564" i="48"/>
  <c r="BY564" i="48"/>
  <c r="BZ563" i="48"/>
  <c r="BY563" i="48"/>
  <c r="BZ562" i="48"/>
  <c r="BY562" i="48"/>
  <c r="BZ561" i="48"/>
  <c r="BY561" i="48"/>
  <c r="BZ560" i="48"/>
  <c r="BY560" i="48"/>
  <c r="BZ559" i="48"/>
  <c r="BY559" i="48"/>
  <c r="BZ558" i="48"/>
  <c r="BY558" i="48"/>
  <c r="BZ557" i="48"/>
  <c r="BY557" i="48"/>
  <c r="BZ556" i="48"/>
  <c r="BY556" i="48"/>
  <c r="BZ555" i="48"/>
  <c r="BY555" i="48"/>
  <c r="BZ554" i="48"/>
  <c r="BY554" i="48"/>
  <c r="BZ553" i="48"/>
  <c r="BY553" i="48"/>
  <c r="BZ550" i="48"/>
  <c r="BY550" i="48"/>
  <c r="BZ549" i="48"/>
  <c r="BY549" i="48"/>
  <c r="BZ548" i="48"/>
  <c r="BY548" i="48"/>
  <c r="BZ547" i="48"/>
  <c r="BY547" i="48"/>
  <c r="BZ546" i="48"/>
  <c r="BY546" i="48"/>
  <c r="BZ545" i="48"/>
  <c r="BY545" i="48"/>
  <c r="BZ544" i="48"/>
  <c r="BY544" i="48"/>
  <c r="BZ543" i="48"/>
  <c r="BY543" i="48"/>
  <c r="BZ542" i="48"/>
  <c r="BY542" i="48"/>
  <c r="BZ541" i="48"/>
  <c r="BY541" i="48"/>
  <c r="BZ540" i="48"/>
  <c r="BY540" i="48"/>
  <c r="BZ539" i="48"/>
  <c r="BY539" i="48"/>
  <c r="BZ538" i="48"/>
  <c r="BY538" i="48"/>
  <c r="BZ537" i="48"/>
  <c r="BY537" i="48"/>
  <c r="BZ536" i="48"/>
  <c r="BY536" i="48"/>
  <c r="BZ535" i="48"/>
  <c r="BY535" i="48"/>
  <c r="BZ534" i="48"/>
  <c r="BY534" i="48"/>
  <c r="BZ533" i="48"/>
  <c r="BY533" i="48"/>
  <c r="BZ532" i="48"/>
  <c r="BY532" i="48"/>
  <c r="BZ531" i="48"/>
  <c r="BY531" i="48"/>
  <c r="BZ530" i="48"/>
  <c r="BY530" i="48"/>
  <c r="BZ529" i="48"/>
  <c r="BY529" i="48"/>
  <c r="BZ528" i="48"/>
  <c r="BY528" i="48"/>
  <c r="BZ525" i="48"/>
  <c r="BY525" i="48"/>
  <c r="BZ524" i="48"/>
  <c r="BY524" i="48"/>
  <c r="BZ523" i="48"/>
  <c r="BY523" i="48"/>
  <c r="BZ522" i="48"/>
  <c r="BY522" i="48"/>
  <c r="BZ521" i="48"/>
  <c r="BY521" i="48"/>
  <c r="BZ520" i="48"/>
  <c r="BY520" i="48"/>
  <c r="BZ519" i="48"/>
  <c r="BY519" i="48"/>
  <c r="BZ518" i="48"/>
  <c r="BY518" i="48"/>
  <c r="BZ517" i="48"/>
  <c r="BY517" i="48"/>
  <c r="BZ516" i="48"/>
  <c r="BY516" i="48"/>
  <c r="BZ515" i="48"/>
  <c r="BY515" i="48"/>
  <c r="BZ514" i="48"/>
  <c r="BY514" i="48"/>
  <c r="BZ513" i="48"/>
  <c r="BY513" i="48"/>
  <c r="BZ512" i="48"/>
  <c r="BY512" i="48"/>
  <c r="BZ511" i="48"/>
  <c r="BY511" i="48"/>
  <c r="BZ510" i="48"/>
  <c r="BY510" i="48"/>
  <c r="BZ509" i="48"/>
  <c r="BY509" i="48"/>
  <c r="BZ508" i="48"/>
  <c r="BY508" i="48"/>
  <c r="BZ507" i="48"/>
  <c r="BY507" i="48"/>
  <c r="BZ506" i="48"/>
  <c r="BY506" i="48"/>
  <c r="BZ505" i="48"/>
  <c r="BY505" i="48"/>
  <c r="BZ504" i="48"/>
  <c r="BY504" i="48"/>
  <c r="BZ503" i="48"/>
  <c r="BY503" i="48"/>
  <c r="BZ500" i="48"/>
  <c r="BY500" i="48"/>
  <c r="BZ499" i="48"/>
  <c r="BY499" i="48"/>
  <c r="BZ498" i="48"/>
  <c r="BY498" i="48"/>
  <c r="BZ497" i="48"/>
  <c r="BY497" i="48"/>
  <c r="BZ496" i="48"/>
  <c r="BY496" i="48"/>
  <c r="BZ495" i="48"/>
  <c r="BY495" i="48"/>
  <c r="BZ494" i="48"/>
  <c r="BY494" i="48"/>
  <c r="BZ493" i="48"/>
  <c r="BY493" i="48"/>
  <c r="BZ492" i="48"/>
  <c r="BY492" i="48"/>
  <c r="BZ491" i="48"/>
  <c r="BY491" i="48"/>
  <c r="BZ490" i="48"/>
  <c r="BY490" i="48"/>
  <c r="BZ489" i="48"/>
  <c r="BY489" i="48"/>
  <c r="BZ488" i="48"/>
  <c r="BY488" i="48"/>
  <c r="BZ487" i="48"/>
  <c r="BY487" i="48"/>
  <c r="BZ486" i="48"/>
  <c r="BY486" i="48"/>
  <c r="BZ485" i="48"/>
  <c r="BY485" i="48"/>
  <c r="BZ484" i="48"/>
  <c r="BY484" i="48"/>
  <c r="BZ483" i="48"/>
  <c r="BY483" i="48"/>
  <c r="BZ482" i="48"/>
  <c r="BY482" i="48"/>
  <c r="BZ481" i="48"/>
  <c r="BY481" i="48"/>
  <c r="BZ480" i="48"/>
  <c r="BY480" i="48"/>
  <c r="BZ479" i="48"/>
  <c r="BY479" i="48"/>
  <c r="BZ478" i="48"/>
  <c r="BY478" i="48"/>
  <c r="BZ475" i="48"/>
  <c r="BY475" i="48"/>
  <c r="BZ474" i="48"/>
  <c r="BY474" i="48"/>
  <c r="BZ473" i="48"/>
  <c r="BY473" i="48"/>
  <c r="BZ472" i="48"/>
  <c r="BY472" i="48"/>
  <c r="BZ471" i="48"/>
  <c r="BY471" i="48"/>
  <c r="BZ470" i="48"/>
  <c r="BY470" i="48"/>
  <c r="BZ469" i="48"/>
  <c r="BY469" i="48"/>
  <c r="BZ468" i="48"/>
  <c r="BY468" i="48"/>
  <c r="BZ467" i="48"/>
  <c r="BY467" i="48"/>
  <c r="BZ466" i="48"/>
  <c r="BY466" i="48"/>
  <c r="BZ465" i="48"/>
  <c r="BY465" i="48"/>
  <c r="BZ464" i="48"/>
  <c r="BY464" i="48"/>
  <c r="BZ463" i="48"/>
  <c r="BY463" i="48"/>
  <c r="BZ462" i="48"/>
  <c r="BY462" i="48"/>
  <c r="BZ461" i="48"/>
  <c r="BY461" i="48"/>
  <c r="BZ460" i="48"/>
  <c r="BY460" i="48"/>
  <c r="BZ459" i="48"/>
  <c r="BY459" i="48"/>
  <c r="BZ458" i="48"/>
  <c r="BY458" i="48"/>
  <c r="BZ457" i="48"/>
  <c r="BY457" i="48"/>
  <c r="BZ456" i="48"/>
  <c r="BY456" i="48"/>
  <c r="BZ455" i="48"/>
  <c r="BY455" i="48"/>
  <c r="BZ454" i="48"/>
  <c r="BY454" i="48"/>
  <c r="BZ453" i="48"/>
  <c r="BY453" i="48"/>
  <c r="BZ450" i="48"/>
  <c r="BY450" i="48"/>
  <c r="BZ449" i="48"/>
  <c r="BY449" i="48"/>
  <c r="BZ448" i="48"/>
  <c r="BY448" i="48"/>
  <c r="BZ447" i="48"/>
  <c r="BY447" i="48"/>
  <c r="BZ446" i="48"/>
  <c r="BY446" i="48"/>
  <c r="BZ445" i="48"/>
  <c r="BY445" i="48"/>
  <c r="BZ444" i="48"/>
  <c r="BY444" i="48"/>
  <c r="BZ443" i="48"/>
  <c r="BY443" i="48"/>
  <c r="BZ442" i="48"/>
  <c r="BY442" i="48"/>
  <c r="BZ441" i="48"/>
  <c r="BY441" i="48"/>
  <c r="BZ440" i="48"/>
  <c r="BY440" i="48"/>
  <c r="BZ439" i="48"/>
  <c r="BY439" i="48"/>
  <c r="BZ438" i="48"/>
  <c r="BY438" i="48"/>
  <c r="BZ437" i="48"/>
  <c r="BY437" i="48"/>
  <c r="BZ436" i="48"/>
  <c r="BY436" i="48"/>
  <c r="BZ435" i="48"/>
  <c r="BY435" i="48"/>
  <c r="BZ434" i="48"/>
  <c r="BY434" i="48"/>
  <c r="BZ433" i="48"/>
  <c r="BY433" i="48"/>
  <c r="BZ432" i="48"/>
  <c r="BY432" i="48"/>
  <c r="BZ431" i="48"/>
  <c r="BY431" i="48"/>
  <c r="BZ430" i="48"/>
  <c r="BY430" i="48"/>
  <c r="BZ429" i="48"/>
  <c r="BY429" i="48"/>
  <c r="BZ428" i="48"/>
  <c r="BY428" i="48"/>
  <c r="BZ425" i="48"/>
  <c r="BY425" i="48"/>
  <c r="BZ424" i="48"/>
  <c r="BY424" i="48"/>
  <c r="BZ423" i="48"/>
  <c r="BY423" i="48"/>
  <c r="BZ422" i="48"/>
  <c r="BY422" i="48"/>
  <c r="BZ421" i="48"/>
  <c r="BY421" i="48"/>
  <c r="BZ420" i="48"/>
  <c r="BY420" i="48"/>
  <c r="BZ419" i="48"/>
  <c r="BY419" i="48"/>
  <c r="BZ418" i="48"/>
  <c r="BY418" i="48"/>
  <c r="BZ417" i="48"/>
  <c r="BY417" i="48"/>
  <c r="BZ416" i="48"/>
  <c r="BY416" i="48"/>
  <c r="BZ415" i="48"/>
  <c r="BY415" i="48"/>
  <c r="BZ414" i="48"/>
  <c r="BY414" i="48"/>
  <c r="BZ413" i="48"/>
  <c r="BY413" i="48"/>
  <c r="BZ412" i="48"/>
  <c r="BY412" i="48"/>
  <c r="BZ411" i="48"/>
  <c r="BY411" i="48"/>
  <c r="BZ410" i="48"/>
  <c r="BY410" i="48"/>
  <c r="BZ409" i="48"/>
  <c r="BY409" i="48"/>
  <c r="BZ408" i="48"/>
  <c r="BY408" i="48"/>
  <c r="BZ407" i="48"/>
  <c r="BY407" i="48"/>
  <c r="BZ406" i="48"/>
  <c r="BY406" i="48"/>
  <c r="BZ405" i="48"/>
  <c r="BY405" i="48"/>
  <c r="BZ404" i="48"/>
  <c r="BY404" i="48"/>
  <c r="BZ403" i="48"/>
  <c r="BY403" i="48"/>
  <c r="BZ400" i="48"/>
  <c r="BY400" i="48"/>
  <c r="BZ399" i="48"/>
  <c r="BY399" i="48"/>
  <c r="BZ398" i="48"/>
  <c r="BY398" i="48"/>
  <c r="BZ397" i="48"/>
  <c r="BY397" i="48"/>
  <c r="BZ396" i="48"/>
  <c r="BY396" i="48"/>
  <c r="BZ395" i="48"/>
  <c r="BY395" i="48"/>
  <c r="BZ394" i="48"/>
  <c r="BY394" i="48"/>
  <c r="BZ393" i="48"/>
  <c r="BY393" i="48"/>
  <c r="BZ392" i="48"/>
  <c r="BY392" i="48"/>
  <c r="BZ391" i="48"/>
  <c r="BY391" i="48"/>
  <c r="BZ390" i="48"/>
  <c r="BY390" i="48"/>
  <c r="BZ389" i="48"/>
  <c r="BY389" i="48"/>
  <c r="BZ388" i="48"/>
  <c r="BY388" i="48"/>
  <c r="BZ387" i="48"/>
  <c r="BY387" i="48"/>
  <c r="BZ386" i="48"/>
  <c r="BY386" i="48"/>
  <c r="BZ385" i="48"/>
  <c r="BY385" i="48"/>
  <c r="BZ384" i="48"/>
  <c r="BY384" i="48"/>
  <c r="BZ383" i="48"/>
  <c r="BY383" i="48"/>
  <c r="BZ382" i="48"/>
  <c r="BY382" i="48"/>
  <c r="BZ381" i="48"/>
  <c r="BY381" i="48"/>
  <c r="BZ380" i="48"/>
  <c r="BY380" i="48"/>
  <c r="BZ379" i="48"/>
  <c r="BY379" i="48"/>
  <c r="BZ378" i="48"/>
  <c r="BY378" i="48"/>
  <c r="BZ375" i="48"/>
  <c r="BY375" i="48"/>
  <c r="BZ374" i="48"/>
  <c r="BY374" i="48"/>
  <c r="BZ373" i="48"/>
  <c r="BY373" i="48"/>
  <c r="BZ372" i="48"/>
  <c r="BY372" i="48"/>
  <c r="BZ371" i="48"/>
  <c r="BY371" i="48"/>
  <c r="BZ370" i="48"/>
  <c r="BY370" i="48"/>
  <c r="BZ369" i="48"/>
  <c r="BY369" i="48"/>
  <c r="BZ368" i="48"/>
  <c r="BY368" i="48"/>
  <c r="BZ367" i="48"/>
  <c r="BY367" i="48"/>
  <c r="BZ366" i="48"/>
  <c r="BY366" i="48"/>
  <c r="BZ365" i="48"/>
  <c r="BY365" i="48"/>
  <c r="BZ364" i="48"/>
  <c r="BY364" i="48"/>
  <c r="BZ363" i="48"/>
  <c r="BY363" i="48"/>
  <c r="BZ362" i="48"/>
  <c r="BY362" i="48"/>
  <c r="BZ361" i="48"/>
  <c r="BY361" i="48"/>
  <c r="BZ360" i="48"/>
  <c r="BY360" i="48"/>
  <c r="BZ359" i="48"/>
  <c r="BY359" i="48"/>
  <c r="BZ358" i="48"/>
  <c r="BY358" i="48"/>
  <c r="BZ357" i="48"/>
  <c r="BY357" i="48"/>
  <c r="BZ356" i="48"/>
  <c r="BY356" i="48"/>
  <c r="BZ355" i="48"/>
  <c r="BY355" i="48"/>
  <c r="BZ354" i="48"/>
  <c r="BY354" i="48"/>
  <c r="BZ353" i="48"/>
  <c r="BY353" i="48"/>
  <c r="BZ350" i="48"/>
  <c r="BY350" i="48"/>
  <c r="BZ349" i="48"/>
  <c r="BY349" i="48"/>
  <c r="BZ348" i="48"/>
  <c r="BY348" i="48"/>
  <c r="BZ347" i="48"/>
  <c r="BY347" i="48"/>
  <c r="BZ346" i="48"/>
  <c r="BY346" i="48"/>
  <c r="BZ345" i="48"/>
  <c r="BY345" i="48"/>
  <c r="BZ344" i="48"/>
  <c r="BY344" i="48"/>
  <c r="BZ343" i="48"/>
  <c r="BY343" i="48"/>
  <c r="BZ342" i="48"/>
  <c r="BY342" i="48"/>
  <c r="BZ341" i="48"/>
  <c r="BY341" i="48"/>
  <c r="BZ340" i="48"/>
  <c r="BY340" i="48"/>
  <c r="BZ339" i="48"/>
  <c r="BY339" i="48"/>
  <c r="BZ338" i="48"/>
  <c r="BY338" i="48"/>
  <c r="BZ337" i="48"/>
  <c r="BY337" i="48"/>
  <c r="BZ336" i="48"/>
  <c r="BY336" i="48"/>
  <c r="BZ335" i="48"/>
  <c r="BY335" i="48"/>
  <c r="BZ334" i="48"/>
  <c r="BY334" i="48"/>
  <c r="BZ333" i="48"/>
  <c r="BY333" i="48"/>
  <c r="BZ332" i="48"/>
  <c r="BY332" i="48"/>
  <c r="BZ331" i="48"/>
  <c r="BY331" i="48"/>
  <c r="BZ330" i="48"/>
  <c r="BY330" i="48"/>
  <c r="BZ329" i="48"/>
  <c r="BY329" i="48"/>
  <c r="BZ328" i="48"/>
  <c r="BY328" i="48"/>
  <c r="BZ325" i="48"/>
  <c r="BY325" i="48"/>
  <c r="BZ324" i="48"/>
  <c r="BY324" i="48"/>
  <c r="BZ323" i="48"/>
  <c r="BY323" i="48"/>
  <c r="BZ322" i="48"/>
  <c r="BY322" i="48"/>
  <c r="BZ321" i="48"/>
  <c r="BY321" i="48"/>
  <c r="BZ320" i="48"/>
  <c r="BY320" i="48"/>
  <c r="BZ319" i="48"/>
  <c r="BY319" i="48"/>
  <c r="BZ318" i="48"/>
  <c r="BY318" i="48"/>
  <c r="BZ317" i="48"/>
  <c r="BY317" i="48"/>
  <c r="BZ316" i="48"/>
  <c r="BY316" i="48"/>
  <c r="BZ315" i="48"/>
  <c r="BY315" i="48"/>
  <c r="BZ314" i="48"/>
  <c r="BY314" i="48"/>
  <c r="BZ313" i="48"/>
  <c r="BY313" i="48"/>
  <c r="BZ312" i="48"/>
  <c r="BY312" i="48"/>
  <c r="BZ311" i="48"/>
  <c r="BY311" i="48"/>
  <c r="BZ310" i="48"/>
  <c r="BY310" i="48"/>
  <c r="BZ309" i="48"/>
  <c r="BY309" i="48"/>
  <c r="BZ308" i="48"/>
  <c r="BY308" i="48"/>
  <c r="BZ307" i="48"/>
  <c r="BY307" i="48"/>
  <c r="BZ306" i="48"/>
  <c r="BY306" i="48"/>
  <c r="BZ305" i="48"/>
  <c r="BY305" i="48"/>
  <c r="BZ304" i="48"/>
  <c r="BY304" i="48"/>
  <c r="BZ303" i="48"/>
  <c r="BY303" i="48"/>
  <c r="BZ300" i="48"/>
  <c r="BY300" i="48"/>
  <c r="BZ299" i="48"/>
  <c r="BY299" i="48"/>
  <c r="BZ298" i="48"/>
  <c r="BY298" i="48"/>
  <c r="BZ297" i="48"/>
  <c r="BY297" i="48"/>
  <c r="BZ296" i="48"/>
  <c r="BY296" i="48"/>
  <c r="BZ295" i="48"/>
  <c r="BY295" i="48"/>
  <c r="BZ294" i="48"/>
  <c r="BY294" i="48"/>
  <c r="BZ293" i="48"/>
  <c r="BY293" i="48"/>
  <c r="BZ292" i="48"/>
  <c r="BY292" i="48"/>
  <c r="BZ291" i="48"/>
  <c r="BY291" i="48"/>
  <c r="BZ290" i="48"/>
  <c r="BY290" i="48"/>
  <c r="BZ289" i="48"/>
  <c r="BY289" i="48"/>
  <c r="BZ288" i="48"/>
  <c r="BY288" i="48"/>
  <c r="BZ287" i="48"/>
  <c r="BY287" i="48"/>
  <c r="BZ286" i="48"/>
  <c r="BY286" i="48"/>
  <c r="BZ285" i="48"/>
  <c r="BY285" i="48"/>
  <c r="BZ284" i="48"/>
  <c r="BY284" i="48"/>
  <c r="BZ283" i="48"/>
  <c r="BY283" i="48"/>
  <c r="BZ282" i="48"/>
  <c r="BY282" i="48"/>
  <c r="BZ281" i="48"/>
  <c r="BY281" i="48"/>
  <c r="BZ280" i="48"/>
  <c r="BY280" i="48"/>
  <c r="BZ279" i="48"/>
  <c r="BY279" i="48"/>
  <c r="BZ278" i="48"/>
  <c r="BY278" i="48"/>
  <c r="BZ275" i="48"/>
  <c r="BY275" i="48"/>
  <c r="BZ274" i="48"/>
  <c r="BY274" i="48"/>
  <c r="BZ273" i="48"/>
  <c r="BY273" i="48"/>
  <c r="BZ272" i="48"/>
  <c r="BY272" i="48"/>
  <c r="BZ271" i="48"/>
  <c r="BY271" i="48"/>
  <c r="BZ270" i="48"/>
  <c r="BY270" i="48"/>
  <c r="BZ269" i="48"/>
  <c r="BY269" i="48"/>
  <c r="BZ268" i="48"/>
  <c r="BY268" i="48"/>
  <c r="BZ267" i="48"/>
  <c r="BY267" i="48"/>
  <c r="BZ266" i="48"/>
  <c r="BY266" i="48"/>
  <c r="BZ265" i="48"/>
  <c r="BY265" i="48"/>
  <c r="BZ264" i="48"/>
  <c r="BY264" i="48"/>
  <c r="BZ263" i="48"/>
  <c r="BY263" i="48"/>
  <c r="BZ262" i="48"/>
  <c r="BY262" i="48"/>
  <c r="BZ261" i="48"/>
  <c r="BY261" i="48"/>
  <c r="BZ260" i="48"/>
  <c r="BY260" i="48"/>
  <c r="BZ259" i="48"/>
  <c r="BY259" i="48"/>
  <c r="BZ258" i="48"/>
  <c r="BY258" i="48"/>
  <c r="BZ257" i="48"/>
  <c r="BY257" i="48"/>
  <c r="BZ256" i="48"/>
  <c r="BY256" i="48"/>
  <c r="BZ255" i="48"/>
  <c r="BY255" i="48"/>
  <c r="BZ254" i="48"/>
  <c r="BY254" i="48"/>
  <c r="BZ253" i="48"/>
  <c r="BY253" i="48"/>
  <c r="BZ249" i="48"/>
  <c r="BY249" i="48"/>
  <c r="BZ248" i="48"/>
  <c r="BY248" i="48"/>
  <c r="BZ247" i="48"/>
  <c r="BY247" i="48"/>
  <c r="BZ246" i="48"/>
  <c r="BY246" i="48"/>
  <c r="BZ245" i="48"/>
  <c r="BY245" i="48"/>
  <c r="BZ244" i="48"/>
  <c r="BY244" i="48"/>
  <c r="BZ243" i="48"/>
  <c r="BY243" i="48"/>
  <c r="BZ242" i="48"/>
  <c r="BY242" i="48"/>
  <c r="BZ241" i="48"/>
  <c r="BY241" i="48"/>
  <c r="BZ240" i="48"/>
  <c r="BY240" i="48"/>
  <c r="BZ239" i="48"/>
  <c r="BY239" i="48"/>
  <c r="BZ238" i="48"/>
  <c r="BY238" i="48"/>
  <c r="BZ237" i="48"/>
  <c r="BY237" i="48"/>
  <c r="BZ236" i="48"/>
  <c r="BY236" i="48"/>
  <c r="BZ235" i="48"/>
  <c r="BY235" i="48"/>
  <c r="BZ234" i="48"/>
  <c r="BY234" i="48"/>
  <c r="BZ233" i="48"/>
  <c r="BY233" i="48"/>
  <c r="BZ232" i="48"/>
  <c r="BY232" i="48"/>
  <c r="BZ231" i="48"/>
  <c r="BY231" i="48"/>
  <c r="BZ230" i="48"/>
  <c r="BY230" i="48"/>
  <c r="BZ229" i="48"/>
  <c r="BY229" i="48"/>
  <c r="BZ228" i="48"/>
  <c r="BY228" i="48"/>
  <c r="BZ225" i="48"/>
  <c r="BY225" i="48"/>
  <c r="BZ224" i="48"/>
  <c r="BY224" i="48"/>
  <c r="BZ223" i="48"/>
  <c r="BY223" i="48"/>
  <c r="BZ222" i="48"/>
  <c r="BY222" i="48"/>
  <c r="BZ221" i="48"/>
  <c r="BY221" i="48"/>
  <c r="BZ220" i="48"/>
  <c r="BY220" i="48"/>
  <c r="BZ219" i="48"/>
  <c r="BY219" i="48"/>
  <c r="BZ218" i="48"/>
  <c r="BY218" i="48"/>
  <c r="BZ217" i="48"/>
  <c r="BY217" i="48"/>
  <c r="BZ216" i="48"/>
  <c r="BY216" i="48"/>
  <c r="BZ215" i="48"/>
  <c r="BY215" i="48"/>
  <c r="BZ214" i="48"/>
  <c r="BY214" i="48"/>
  <c r="BZ213" i="48"/>
  <c r="BY213" i="48"/>
  <c r="BZ212" i="48"/>
  <c r="BY212" i="48"/>
  <c r="BZ211" i="48"/>
  <c r="BY211" i="48"/>
  <c r="BZ210" i="48"/>
  <c r="BY210" i="48"/>
  <c r="BZ209" i="48"/>
  <c r="BY209" i="48"/>
  <c r="BZ208" i="48"/>
  <c r="BY208" i="48"/>
  <c r="BZ207" i="48"/>
  <c r="BY207" i="48"/>
  <c r="BZ206" i="48"/>
  <c r="BY206" i="48"/>
  <c r="BZ205" i="48"/>
  <c r="BY205" i="48"/>
  <c r="BZ204" i="48"/>
  <c r="BY204" i="48"/>
  <c r="BZ203" i="48"/>
  <c r="BY203" i="48"/>
  <c r="BZ200" i="48"/>
  <c r="BY200" i="48"/>
  <c r="BZ199" i="48"/>
  <c r="BY199" i="48"/>
  <c r="BZ198" i="48"/>
  <c r="BY198" i="48"/>
  <c r="BZ197" i="48"/>
  <c r="BY197" i="48"/>
  <c r="BZ196" i="48"/>
  <c r="BY196" i="48"/>
  <c r="BZ195" i="48"/>
  <c r="BY195" i="48"/>
  <c r="BZ194" i="48"/>
  <c r="BY194" i="48"/>
  <c r="BZ193" i="48"/>
  <c r="BY193" i="48"/>
  <c r="BZ192" i="48"/>
  <c r="BY192" i="48"/>
  <c r="BZ191" i="48"/>
  <c r="BY191" i="48"/>
  <c r="BZ190" i="48"/>
  <c r="BY190" i="48"/>
  <c r="BZ189" i="48"/>
  <c r="BY189" i="48"/>
  <c r="BZ188" i="48"/>
  <c r="BY188" i="48"/>
  <c r="BZ187" i="48"/>
  <c r="BY187" i="48"/>
  <c r="BZ186" i="48"/>
  <c r="BY186" i="48"/>
  <c r="BZ185" i="48"/>
  <c r="BY185" i="48"/>
  <c r="BZ184" i="48"/>
  <c r="BY184" i="48"/>
  <c r="BZ183" i="48"/>
  <c r="BY183" i="48"/>
  <c r="BZ182" i="48"/>
  <c r="BY182" i="48"/>
  <c r="BZ181" i="48"/>
  <c r="BY181" i="48"/>
  <c r="BZ180" i="48"/>
  <c r="BY180" i="48"/>
  <c r="BZ179" i="48"/>
  <c r="BY179" i="48"/>
  <c r="BZ178" i="48"/>
  <c r="BY178" i="48"/>
  <c r="BZ175" i="48"/>
  <c r="BY175" i="48"/>
  <c r="BZ174" i="48"/>
  <c r="BY174" i="48"/>
  <c r="BZ173" i="48"/>
  <c r="BY173" i="48"/>
  <c r="BZ172" i="48"/>
  <c r="BY172" i="48"/>
  <c r="BZ171" i="48"/>
  <c r="BY171" i="48"/>
  <c r="BZ170" i="48"/>
  <c r="BY170" i="48"/>
  <c r="BZ169" i="48"/>
  <c r="BY169" i="48"/>
  <c r="BZ168" i="48"/>
  <c r="BY168" i="48"/>
  <c r="BZ167" i="48"/>
  <c r="BY167" i="48"/>
  <c r="BZ166" i="48"/>
  <c r="BY166" i="48"/>
  <c r="BZ165" i="48"/>
  <c r="BY165" i="48"/>
  <c r="BZ164" i="48"/>
  <c r="BY164" i="48"/>
  <c r="BZ163" i="48"/>
  <c r="BY163" i="48"/>
  <c r="BZ162" i="48"/>
  <c r="BY162" i="48"/>
  <c r="BZ161" i="48"/>
  <c r="BY161" i="48"/>
  <c r="BZ160" i="48"/>
  <c r="BY160" i="48"/>
  <c r="BZ159" i="48"/>
  <c r="BY159" i="48"/>
  <c r="BZ158" i="48"/>
  <c r="BY158" i="48"/>
  <c r="BZ157" i="48"/>
  <c r="BY157" i="48"/>
  <c r="BZ156" i="48"/>
  <c r="BY156" i="48"/>
  <c r="BZ155" i="48"/>
  <c r="BY155" i="48"/>
  <c r="BZ154" i="48"/>
  <c r="BY154" i="48"/>
  <c r="BZ153" i="48"/>
  <c r="BY153" i="48"/>
  <c r="BZ150" i="48"/>
  <c r="BY150" i="48"/>
  <c r="BZ149" i="48"/>
  <c r="BY149" i="48"/>
  <c r="BZ148" i="48"/>
  <c r="BY148" i="48"/>
  <c r="BZ147" i="48"/>
  <c r="BY147" i="48"/>
  <c r="BZ146" i="48"/>
  <c r="BY146" i="48"/>
  <c r="BZ145" i="48"/>
  <c r="BY145" i="48"/>
  <c r="BZ144" i="48"/>
  <c r="BY144" i="48"/>
  <c r="BZ143" i="48"/>
  <c r="BY143" i="48"/>
  <c r="BZ142" i="48"/>
  <c r="BY142" i="48"/>
  <c r="BZ141" i="48"/>
  <c r="BY141" i="48"/>
  <c r="BZ140" i="48"/>
  <c r="BY140" i="48"/>
  <c r="BZ139" i="48"/>
  <c r="BY139" i="48"/>
  <c r="BZ138" i="48"/>
  <c r="BY138" i="48"/>
  <c r="BZ137" i="48"/>
  <c r="BY137" i="48"/>
  <c r="BZ136" i="48"/>
  <c r="BY136" i="48"/>
  <c r="BZ135" i="48"/>
  <c r="BY135" i="48"/>
  <c r="BZ134" i="48"/>
  <c r="BY134" i="48"/>
  <c r="BZ133" i="48"/>
  <c r="BY133" i="48"/>
  <c r="BZ132" i="48"/>
  <c r="BY132" i="48"/>
  <c r="BZ131" i="48"/>
  <c r="BY131" i="48"/>
  <c r="BZ130" i="48"/>
  <c r="BY130" i="48"/>
  <c r="BZ129" i="48"/>
  <c r="BY129" i="48"/>
  <c r="BZ128" i="48"/>
  <c r="BY128" i="48"/>
  <c r="BZ125" i="48"/>
  <c r="BY125" i="48"/>
  <c r="BZ124" i="48"/>
  <c r="BY124" i="48"/>
  <c r="BZ123" i="48"/>
  <c r="BY123" i="48"/>
  <c r="BZ122" i="48"/>
  <c r="BY122" i="48"/>
  <c r="BZ121" i="48"/>
  <c r="BY121" i="48"/>
  <c r="BZ120" i="48"/>
  <c r="BY120" i="48"/>
  <c r="BZ119" i="48"/>
  <c r="BY119" i="48"/>
  <c r="BZ118" i="48"/>
  <c r="BY118" i="48"/>
  <c r="BZ117" i="48"/>
  <c r="BY117" i="48"/>
  <c r="BZ116" i="48"/>
  <c r="BY116" i="48"/>
  <c r="BZ115" i="48"/>
  <c r="BY115" i="48"/>
  <c r="BZ114" i="48"/>
  <c r="BY114" i="48"/>
  <c r="BZ113" i="48"/>
  <c r="BY113" i="48"/>
  <c r="BZ112" i="48"/>
  <c r="BY112" i="48"/>
  <c r="BZ111" i="48"/>
  <c r="BY111" i="48"/>
  <c r="BZ110" i="48"/>
  <c r="BY110" i="48"/>
  <c r="BZ109" i="48"/>
  <c r="BY109" i="48"/>
  <c r="BZ108" i="48"/>
  <c r="BY108" i="48"/>
  <c r="BZ107" i="48"/>
  <c r="BY107" i="48"/>
  <c r="BZ106" i="48"/>
  <c r="BY106" i="48"/>
  <c r="BZ105" i="48"/>
  <c r="BY105" i="48"/>
  <c r="BZ104" i="48"/>
  <c r="BY104" i="48"/>
  <c r="BZ103" i="48"/>
  <c r="BY103" i="48"/>
  <c r="BZ100" i="48"/>
  <c r="BY100" i="48"/>
  <c r="BZ99" i="48"/>
  <c r="BY99" i="48"/>
  <c r="BZ98" i="48"/>
  <c r="BY98" i="48"/>
  <c r="BZ97" i="48"/>
  <c r="BY97" i="48"/>
  <c r="BZ96" i="48"/>
  <c r="BY96" i="48"/>
  <c r="BZ95" i="48"/>
  <c r="BY95" i="48"/>
  <c r="BZ94" i="48"/>
  <c r="BY94" i="48"/>
  <c r="BZ93" i="48"/>
  <c r="BY93" i="48"/>
  <c r="BZ92" i="48"/>
  <c r="BY92" i="48"/>
  <c r="BZ91" i="48"/>
  <c r="BY91" i="48"/>
  <c r="BZ90" i="48"/>
  <c r="BY90" i="48"/>
  <c r="BZ89" i="48"/>
  <c r="BY89" i="48"/>
  <c r="BZ88" i="48"/>
  <c r="BY88" i="48"/>
  <c r="BZ87" i="48"/>
  <c r="BY87" i="48"/>
  <c r="BZ86" i="48"/>
  <c r="BY86" i="48"/>
  <c r="BZ85" i="48"/>
  <c r="BY85" i="48"/>
  <c r="BZ84" i="48"/>
  <c r="BY84" i="48"/>
  <c r="BZ83" i="48"/>
  <c r="BY83" i="48"/>
  <c r="BZ82" i="48"/>
  <c r="BY82" i="48"/>
  <c r="BZ81" i="48"/>
  <c r="BY81" i="48"/>
  <c r="BZ80" i="48"/>
  <c r="BY80" i="48"/>
  <c r="BZ79" i="48"/>
  <c r="BY79" i="48"/>
  <c r="BZ78" i="48"/>
  <c r="BY78" i="48"/>
  <c r="BZ75" i="48"/>
  <c r="BY75" i="48"/>
  <c r="BZ74" i="48"/>
  <c r="BY74" i="48"/>
  <c r="BZ73" i="48"/>
  <c r="BY73" i="48"/>
  <c r="BZ72" i="48"/>
  <c r="BY72" i="48"/>
  <c r="BZ71" i="48"/>
  <c r="BY71" i="48"/>
  <c r="BZ70" i="48"/>
  <c r="BY70" i="48"/>
  <c r="BZ69" i="48"/>
  <c r="BY69" i="48"/>
  <c r="BZ68" i="48"/>
  <c r="BY68" i="48"/>
  <c r="BZ67" i="48"/>
  <c r="BY67" i="48"/>
  <c r="BZ66" i="48"/>
  <c r="BY66" i="48"/>
  <c r="BZ65" i="48"/>
  <c r="BY65" i="48"/>
  <c r="BZ64" i="48"/>
  <c r="BY64" i="48"/>
  <c r="BZ63" i="48"/>
  <c r="BY63" i="48"/>
  <c r="BZ62" i="48"/>
  <c r="BY62" i="48"/>
  <c r="BZ61" i="48"/>
  <c r="BY61" i="48"/>
  <c r="BZ60" i="48"/>
  <c r="BY60" i="48"/>
  <c r="BZ59" i="48"/>
  <c r="BY59" i="48"/>
  <c r="BZ58" i="48"/>
  <c r="BY58" i="48"/>
  <c r="BZ57" i="48"/>
  <c r="BY57" i="48"/>
  <c r="BZ56" i="48"/>
  <c r="BY56" i="48"/>
  <c r="BZ55" i="48"/>
  <c r="BY55" i="48"/>
  <c r="BZ54" i="48"/>
  <c r="BY54" i="48"/>
  <c r="BZ53" i="48"/>
  <c r="BY53" i="48"/>
  <c r="BZ50" i="48"/>
  <c r="BY50" i="48"/>
  <c r="BZ49" i="48"/>
  <c r="BY49" i="48"/>
  <c r="BZ48" i="48"/>
  <c r="BY48" i="48"/>
  <c r="BZ47" i="48"/>
  <c r="BY47" i="48"/>
  <c r="BZ46" i="48"/>
  <c r="BY46" i="48"/>
  <c r="BZ45" i="48"/>
  <c r="BY45" i="48"/>
  <c r="BZ44" i="48"/>
  <c r="BY44" i="48"/>
  <c r="BZ43" i="48"/>
  <c r="BY43" i="48"/>
  <c r="BZ42" i="48"/>
  <c r="BY42" i="48"/>
  <c r="BZ41" i="48"/>
  <c r="BY41" i="48"/>
  <c r="BZ40" i="48"/>
  <c r="BY40" i="48"/>
  <c r="BZ39" i="48"/>
  <c r="BY39" i="48"/>
  <c r="BZ38" i="48"/>
  <c r="BY38" i="48"/>
  <c r="BZ37" i="48"/>
  <c r="BY37" i="48"/>
  <c r="BZ36" i="48"/>
  <c r="BY36" i="48"/>
  <c r="BZ35" i="48"/>
  <c r="BY35" i="48"/>
  <c r="BZ34" i="48"/>
  <c r="BY34" i="48"/>
  <c r="BZ33" i="48"/>
  <c r="BY33" i="48"/>
  <c r="BZ32" i="48"/>
  <c r="BY32" i="48"/>
  <c r="BZ31" i="48"/>
  <c r="BY31" i="48"/>
  <c r="BZ30" i="48"/>
  <c r="BY30" i="48"/>
  <c r="BZ29" i="48"/>
  <c r="BY29" i="48"/>
  <c r="BZ28" i="48"/>
  <c r="BY28" i="48"/>
  <c r="BZ25" i="48"/>
  <c r="BY25" i="48"/>
  <c r="BZ24" i="48"/>
  <c r="BY24" i="48"/>
  <c r="BZ23" i="48"/>
  <c r="BY23" i="48"/>
  <c r="BZ22" i="48"/>
  <c r="BY22" i="48"/>
  <c r="BZ21" i="48"/>
  <c r="BY21" i="48"/>
  <c r="BZ20" i="48"/>
  <c r="BY20" i="48"/>
  <c r="BZ19" i="48"/>
  <c r="BY19" i="48"/>
  <c r="BZ18" i="48"/>
  <c r="BY18" i="48"/>
  <c r="BZ17" i="48"/>
  <c r="BY17" i="48"/>
  <c r="BZ16" i="48"/>
  <c r="BY16" i="48"/>
  <c r="BZ15" i="48"/>
  <c r="BY15" i="48"/>
  <c r="BZ14" i="48"/>
  <c r="BY14" i="48"/>
  <c r="BZ13" i="48"/>
  <c r="BY13" i="48"/>
  <c r="BZ12" i="48"/>
  <c r="BY12" i="48"/>
  <c r="BZ11" i="48"/>
  <c r="BY11" i="48"/>
  <c r="BZ10" i="48"/>
  <c r="BY10" i="48"/>
  <c r="BZ9" i="48"/>
  <c r="BY9" i="48"/>
  <c r="BZ8" i="48"/>
  <c r="BY8" i="48"/>
  <c r="BZ7" i="48"/>
  <c r="BY7" i="48"/>
  <c r="BZ6" i="48"/>
  <c r="BY6" i="48"/>
  <c r="BZ5" i="48"/>
  <c r="BY5" i="48"/>
  <c r="BZ4" i="48"/>
  <c r="BY4" i="48"/>
  <c r="BZ3" i="48"/>
  <c r="BY3" i="48"/>
  <c r="BK1328" i="48"/>
  <c r="BJ1328" i="48"/>
  <c r="BK1303" i="48"/>
  <c r="BJ1303" i="48"/>
  <c r="BK1278" i="48"/>
  <c r="BJ1278" i="48"/>
  <c r="BK1253" i="48"/>
  <c r="BJ1253" i="48"/>
  <c r="BK1228" i="48"/>
  <c r="BJ1228" i="48"/>
  <c r="BK1203" i="48"/>
  <c r="BJ1203" i="48"/>
  <c r="BK1178" i="48"/>
  <c r="BJ1178" i="48"/>
  <c r="BK1153" i="48"/>
  <c r="BJ1153" i="48"/>
  <c r="BK1128" i="48"/>
  <c r="BJ1128" i="48"/>
  <c r="BK1103" i="48"/>
  <c r="BJ1103" i="48"/>
  <c r="BK1078" i="48"/>
  <c r="BJ1078" i="48"/>
  <c r="BK1053" i="48"/>
  <c r="BJ1053" i="48"/>
  <c r="BK1028" i="48"/>
  <c r="BJ1028" i="48"/>
  <c r="BK1003" i="48"/>
  <c r="BJ1003" i="48"/>
  <c r="BK978" i="48"/>
  <c r="BJ978" i="48"/>
  <c r="BK953" i="48"/>
  <c r="BJ953" i="48"/>
  <c r="BK928" i="48"/>
  <c r="BJ928" i="48"/>
  <c r="BK903" i="48"/>
  <c r="BJ903" i="48"/>
  <c r="BK878" i="48"/>
  <c r="BJ878" i="48"/>
  <c r="BK853" i="48"/>
  <c r="BJ853" i="48"/>
  <c r="BK828" i="48"/>
  <c r="BJ828" i="48"/>
  <c r="BK803" i="48"/>
  <c r="BJ803" i="48"/>
  <c r="BK778" i="48"/>
  <c r="BJ778" i="48"/>
  <c r="BK753" i="48"/>
  <c r="BJ753" i="48"/>
  <c r="BK728" i="48"/>
  <c r="BJ728" i="48"/>
  <c r="BK703" i="48"/>
  <c r="BJ703" i="48"/>
  <c r="BK678" i="48"/>
  <c r="BJ678" i="48"/>
  <c r="BK653" i="48"/>
  <c r="BJ653" i="48"/>
  <c r="BK628" i="48"/>
  <c r="BJ628" i="48"/>
  <c r="BK603" i="48"/>
  <c r="BJ603" i="48"/>
  <c r="BK578" i="48"/>
  <c r="BJ578" i="48"/>
  <c r="BK553" i="48"/>
  <c r="BJ553" i="48"/>
  <c r="BK528" i="48"/>
  <c r="BJ528" i="48"/>
  <c r="BK503" i="48"/>
  <c r="BJ503" i="48"/>
  <c r="BK478" i="48"/>
  <c r="BJ478" i="48"/>
  <c r="BK453" i="48"/>
  <c r="BJ453" i="48"/>
  <c r="BK428" i="48"/>
  <c r="BJ428" i="48"/>
  <c r="BK403" i="48"/>
  <c r="BJ403" i="48"/>
  <c r="BK378" i="48"/>
  <c r="BJ378" i="48"/>
  <c r="BK353" i="48"/>
  <c r="BJ353" i="48"/>
  <c r="BK328" i="48"/>
  <c r="BJ328" i="48"/>
  <c r="BK303" i="48"/>
  <c r="BJ303" i="48"/>
  <c r="BK278" i="48"/>
  <c r="BJ278" i="48"/>
  <c r="BK253" i="48"/>
  <c r="BJ253" i="48"/>
  <c r="BK228" i="48"/>
  <c r="BJ228" i="48"/>
  <c r="BK203" i="48"/>
  <c r="BJ203" i="48"/>
  <c r="BK178" i="48"/>
  <c r="BJ178" i="48"/>
  <c r="BK153" i="48"/>
  <c r="BJ153" i="48"/>
  <c r="BK128" i="48"/>
  <c r="BJ128" i="48"/>
  <c r="BK103" i="48"/>
  <c r="BJ103" i="48"/>
  <c r="BK78" i="48"/>
  <c r="BJ78" i="48"/>
  <c r="BK53" i="48"/>
  <c r="BJ53" i="48"/>
  <c r="BK28" i="48"/>
  <c r="BJ28" i="48"/>
  <c r="BK3" i="48"/>
  <c r="BJ3" i="48"/>
  <c r="BN255" i="48" l="1"/>
  <c r="BN259" i="48"/>
  <c r="BN263" i="48"/>
  <c r="BN267" i="48"/>
  <c r="BN271" i="48"/>
  <c r="BN275" i="48"/>
  <c r="BN281" i="48"/>
  <c r="BN285" i="48"/>
  <c r="BN289" i="48"/>
  <c r="BN293" i="48"/>
  <c r="BN297" i="48"/>
  <c r="BN303" i="48"/>
  <c r="BN307" i="48"/>
  <c r="BN311" i="48"/>
  <c r="BN315" i="48"/>
  <c r="BN319" i="48"/>
  <c r="BN323" i="48"/>
  <c r="BN329" i="48"/>
  <c r="BN333" i="48"/>
  <c r="BN337" i="48"/>
  <c r="BN341" i="48"/>
  <c r="BN345" i="48"/>
  <c r="BN349" i="48"/>
  <c r="BN355" i="48"/>
  <c r="BN359" i="48"/>
  <c r="BN363" i="48"/>
  <c r="BN367" i="48"/>
  <c r="BN371" i="48"/>
  <c r="BN375" i="48"/>
  <c r="BN381" i="48"/>
  <c r="BN385" i="48"/>
  <c r="BN389" i="48"/>
  <c r="BN393" i="48"/>
  <c r="BN397" i="48"/>
  <c r="BN403" i="48"/>
  <c r="BN407" i="48"/>
  <c r="BN411" i="48"/>
  <c r="BN415" i="48"/>
  <c r="BN419" i="48"/>
  <c r="BN423" i="48"/>
  <c r="BN429" i="48"/>
  <c r="BN433" i="48"/>
  <c r="BN437" i="48"/>
  <c r="BN441" i="48"/>
  <c r="BN445" i="48"/>
  <c r="BN449" i="48"/>
  <c r="BN455" i="48"/>
  <c r="BN459" i="48"/>
  <c r="BN463" i="48"/>
  <c r="BN467" i="48"/>
  <c r="BN471" i="48"/>
  <c r="BN475" i="48"/>
  <c r="BN481" i="48"/>
  <c r="BN485" i="48"/>
  <c r="BN489" i="48"/>
  <c r="BN493" i="48"/>
  <c r="BN497" i="48"/>
  <c r="BN503" i="48"/>
  <c r="BN507" i="48"/>
  <c r="BN511" i="48"/>
  <c r="BN515" i="48"/>
  <c r="BN519" i="48"/>
  <c r="BN523" i="48"/>
  <c r="BN529" i="48"/>
  <c r="BN533" i="48"/>
  <c r="BN537" i="48"/>
  <c r="BN541" i="48"/>
  <c r="BN545" i="48"/>
  <c r="BN549" i="48"/>
  <c r="BN555" i="48"/>
  <c r="BN559" i="48"/>
  <c r="BN563" i="48"/>
  <c r="BN567" i="48"/>
  <c r="BN571" i="48"/>
  <c r="BN575" i="48"/>
  <c r="BN581" i="48"/>
  <c r="BN585" i="48"/>
  <c r="BN589" i="48"/>
  <c r="BN593" i="48"/>
  <c r="BN597" i="48"/>
  <c r="BN603" i="48"/>
  <c r="BN607" i="48"/>
  <c r="BN611" i="48"/>
  <c r="BN615" i="48"/>
  <c r="BN619" i="48"/>
  <c r="BN623" i="48"/>
  <c r="BN629" i="48"/>
  <c r="BN633" i="48"/>
  <c r="BN637" i="48"/>
  <c r="BN641" i="48"/>
  <c r="BN645" i="48"/>
  <c r="BN649" i="48"/>
  <c r="BN655" i="48"/>
  <c r="BN659" i="48"/>
  <c r="BN663" i="48"/>
  <c r="BN667" i="48"/>
  <c r="BN671" i="48"/>
  <c r="BN675" i="48"/>
  <c r="BN681" i="48"/>
  <c r="BN685" i="48"/>
  <c r="BN689" i="48"/>
  <c r="BN693" i="48"/>
  <c r="BN697" i="48"/>
  <c r="BN703" i="48"/>
  <c r="BN707" i="48"/>
  <c r="BN711" i="48"/>
  <c r="BN715" i="48"/>
  <c r="BN719" i="48"/>
  <c r="BN723" i="48"/>
  <c r="BN729" i="48"/>
  <c r="BN733" i="48"/>
  <c r="BN737" i="48"/>
  <c r="BN741" i="48"/>
  <c r="BN745" i="48"/>
  <c r="BN749" i="48"/>
  <c r="BN755" i="48"/>
  <c r="BN759" i="48"/>
  <c r="BN763" i="48"/>
  <c r="BN767" i="48"/>
  <c r="BN771" i="48"/>
  <c r="BN775" i="48"/>
  <c r="BN781" i="48"/>
  <c r="BN785" i="48"/>
  <c r="BN789" i="48"/>
  <c r="BN793" i="48"/>
  <c r="BN797" i="48"/>
  <c r="BN803" i="48"/>
  <c r="BN807" i="48"/>
  <c r="BN811" i="48"/>
  <c r="BN815" i="48"/>
  <c r="BN819" i="48"/>
  <c r="BN823" i="48"/>
  <c r="BN829" i="48"/>
  <c r="BN833" i="48"/>
  <c r="BN837" i="48"/>
  <c r="BN841" i="48"/>
  <c r="BN845" i="48"/>
  <c r="BN849" i="48"/>
  <c r="BN855" i="48"/>
  <c r="BN859" i="48"/>
  <c r="BN863" i="48"/>
  <c r="BN867" i="48"/>
  <c r="BN871" i="48"/>
  <c r="BN253" i="48"/>
  <c r="BN257" i="48"/>
  <c r="BN261" i="48"/>
  <c r="BN265" i="48"/>
  <c r="BN269" i="48"/>
  <c r="BN273" i="48"/>
  <c r="BN279" i="48"/>
  <c r="BN283" i="48"/>
  <c r="BN287" i="48"/>
  <c r="BN291" i="48"/>
  <c r="BN295" i="48"/>
  <c r="BN299" i="48"/>
  <c r="BN305" i="48"/>
  <c r="BN309" i="48"/>
  <c r="BN313" i="48"/>
  <c r="BN317" i="48"/>
  <c r="BN321" i="48"/>
  <c r="BN325" i="48"/>
  <c r="BN331" i="48"/>
  <c r="BN335" i="48"/>
  <c r="BN339" i="48"/>
  <c r="BN343" i="48"/>
  <c r="BN347" i="48"/>
  <c r="BN353" i="48"/>
  <c r="BN357" i="48"/>
  <c r="BN361" i="48"/>
  <c r="BN365" i="48"/>
  <c r="BN369" i="48"/>
  <c r="BN373" i="48"/>
  <c r="BN379" i="48"/>
  <c r="BN383" i="48"/>
  <c r="BN387" i="48"/>
  <c r="BN391" i="48"/>
  <c r="BN395" i="48"/>
  <c r="BN399" i="48"/>
  <c r="BN405" i="48"/>
  <c r="BN409" i="48"/>
  <c r="BN413" i="48"/>
  <c r="BN417" i="48"/>
  <c r="BN421" i="48"/>
  <c r="BN425" i="48"/>
  <c r="BN431" i="48"/>
  <c r="BN435" i="48"/>
  <c r="BN439" i="48"/>
  <c r="BN443" i="48"/>
  <c r="BN447" i="48"/>
  <c r="BN453" i="48"/>
  <c r="BN457" i="48"/>
  <c r="BN461" i="48"/>
  <c r="BN465" i="48"/>
  <c r="BN469" i="48"/>
  <c r="BN473" i="48"/>
  <c r="BN479" i="48"/>
  <c r="BN483" i="48"/>
  <c r="BN487" i="48"/>
  <c r="BN491" i="48"/>
  <c r="BN495" i="48"/>
  <c r="BN499" i="48"/>
  <c r="BN505" i="48"/>
  <c r="BN509" i="48"/>
  <c r="BN513" i="48"/>
  <c r="BN517" i="48"/>
  <c r="BN521" i="48"/>
  <c r="BN525" i="48"/>
  <c r="BN531" i="48"/>
  <c r="BN535" i="48"/>
  <c r="BN539" i="48"/>
  <c r="BN543" i="48"/>
  <c r="BN547" i="48"/>
  <c r="BN553" i="48"/>
  <c r="BN557" i="48"/>
  <c r="BN561" i="48"/>
  <c r="BN565" i="48"/>
  <c r="BN569" i="48"/>
  <c r="BN573" i="48"/>
  <c r="BN579" i="48"/>
  <c r="BN583" i="48"/>
  <c r="BN587" i="48"/>
  <c r="BN591" i="48"/>
  <c r="BN595" i="48"/>
  <c r="BN599" i="48"/>
  <c r="BN605" i="48"/>
  <c r="BN609" i="48"/>
  <c r="BN613" i="48"/>
  <c r="BN617" i="48"/>
  <c r="BN621" i="48"/>
  <c r="BN625" i="48"/>
  <c r="BN631" i="48"/>
  <c r="BN635" i="48"/>
  <c r="BN639" i="48"/>
  <c r="BN643" i="48"/>
  <c r="BN647" i="48"/>
  <c r="BN653" i="48"/>
  <c r="BN657" i="48"/>
  <c r="BN661" i="48"/>
  <c r="BN665" i="48"/>
  <c r="BN669" i="48"/>
  <c r="BN673" i="48"/>
  <c r="BN679" i="48"/>
  <c r="BN683" i="48"/>
  <c r="BN687" i="48"/>
  <c r="BN691" i="48"/>
  <c r="BN695" i="48"/>
  <c r="BN699" i="48"/>
  <c r="BN705" i="48"/>
  <c r="BN709" i="48"/>
  <c r="BN713" i="48"/>
  <c r="BN717" i="48"/>
  <c r="BN721" i="48"/>
  <c r="BN725" i="48"/>
  <c r="BN731" i="48"/>
  <c r="BN735" i="48"/>
  <c r="BN739" i="48"/>
  <c r="BN743" i="48"/>
  <c r="BN747" i="48"/>
  <c r="BN753" i="48"/>
  <c r="BN757" i="48"/>
  <c r="BN765" i="48"/>
  <c r="BN769" i="48"/>
  <c r="BN773" i="48"/>
  <c r="BN779" i="48"/>
  <c r="BN783" i="48"/>
  <c r="BN787" i="48"/>
  <c r="BN791" i="48"/>
  <c r="BN795" i="48"/>
  <c r="BN799" i="48"/>
  <c r="BN805" i="48"/>
  <c r="BN809" i="48"/>
  <c r="BN813" i="48"/>
  <c r="BN817" i="48"/>
  <c r="BN821" i="48"/>
  <c r="BN825" i="48"/>
  <c r="BN831" i="48"/>
  <c r="BN835" i="48"/>
  <c r="BN839" i="48"/>
  <c r="BN843" i="48"/>
  <c r="BN847" i="48"/>
  <c r="BN853" i="48"/>
  <c r="BN857" i="48"/>
  <c r="BN861" i="48"/>
  <c r="BN865" i="48"/>
  <c r="BN869" i="48"/>
  <c r="BN875" i="48"/>
  <c r="BN881" i="48"/>
  <c r="BN885" i="48"/>
  <c r="BN889" i="48"/>
  <c r="BN893" i="48"/>
  <c r="BN897" i="48"/>
  <c r="BN903" i="48"/>
  <c r="BN907" i="48"/>
  <c r="BN911" i="48"/>
  <c r="BN915" i="48"/>
  <c r="BN919" i="48"/>
  <c r="BN923" i="48"/>
  <c r="BN929" i="48"/>
  <c r="BN933" i="48"/>
  <c r="BN937" i="48"/>
  <c r="BN941" i="48"/>
  <c r="BN945" i="48"/>
  <c r="BN949" i="48"/>
  <c r="BN1055" i="48"/>
  <c r="BN1059" i="48"/>
  <c r="BN1063" i="48"/>
  <c r="BN1067" i="48"/>
  <c r="BN1071" i="48"/>
  <c r="BN1078" i="48"/>
  <c r="BN1083" i="48"/>
  <c r="BN1087" i="48"/>
  <c r="BN1091" i="48"/>
  <c r="BN1095" i="48"/>
  <c r="BN1099" i="48"/>
  <c r="BN1105" i="48"/>
  <c r="BN1109" i="48"/>
  <c r="BN1113" i="48"/>
  <c r="BN1117" i="48"/>
  <c r="BN1121" i="48"/>
  <c r="BN1125" i="48"/>
  <c r="BN1131" i="48"/>
  <c r="BN1135" i="48"/>
  <c r="BN1139" i="48"/>
  <c r="BN1143" i="48"/>
  <c r="BN1147" i="48"/>
  <c r="BN1153" i="48"/>
  <c r="BN1157" i="48"/>
  <c r="BN1161" i="48"/>
  <c r="BN1165" i="48"/>
  <c r="BN1169" i="48"/>
  <c r="BN1173" i="48"/>
  <c r="BN1179" i="48"/>
  <c r="BN1183" i="48"/>
  <c r="BN1187" i="48"/>
  <c r="BN1191" i="48"/>
  <c r="BN1195" i="48"/>
  <c r="BN1199" i="48"/>
  <c r="BN1205" i="48"/>
  <c r="BN1209" i="48"/>
  <c r="BN1213" i="48"/>
  <c r="BN1217" i="48"/>
  <c r="BN1221" i="48"/>
  <c r="BN1225" i="48"/>
  <c r="BN1231" i="48"/>
  <c r="BN1235" i="48"/>
  <c r="BN1239" i="48"/>
  <c r="BN1243" i="48"/>
  <c r="BN1247" i="48"/>
  <c r="BN1253" i="48"/>
  <c r="BN1257" i="48"/>
  <c r="BN1261" i="48"/>
  <c r="BN1265" i="48"/>
  <c r="BN1269" i="48"/>
  <c r="BN1273" i="48"/>
  <c r="BN1279" i="48"/>
  <c r="BN1283" i="48"/>
  <c r="BN1287" i="48"/>
  <c r="BN1291" i="48"/>
  <c r="BN1295" i="48"/>
  <c r="BN1305" i="48"/>
  <c r="BN1309" i="48"/>
  <c r="BN1313" i="48"/>
  <c r="BN1317" i="48"/>
  <c r="BN1321" i="48"/>
  <c r="BN1325" i="48"/>
  <c r="BN1331" i="48"/>
  <c r="BN1335" i="48"/>
  <c r="BN1339" i="48"/>
  <c r="BN1343" i="48"/>
  <c r="BN1347" i="48"/>
  <c r="BN1288" i="48"/>
  <c r="BN1292" i="48"/>
  <c r="BN1296" i="48"/>
  <c r="BN1306" i="48"/>
  <c r="BN1310" i="48"/>
  <c r="BN1314" i="48"/>
  <c r="BN1318" i="48"/>
  <c r="BN1322" i="48"/>
  <c r="BN1328" i="48"/>
  <c r="BN1332" i="48"/>
  <c r="BN1336" i="48"/>
  <c r="BN1340" i="48"/>
  <c r="BN1344" i="48"/>
  <c r="BN873" i="48"/>
  <c r="BN879" i="48"/>
  <c r="BN883" i="48"/>
  <c r="BN887" i="48"/>
  <c r="BN891" i="48"/>
  <c r="BN895" i="48"/>
  <c r="BN899" i="48"/>
  <c r="BN905" i="48"/>
  <c r="BN909" i="48"/>
  <c r="BN913" i="48"/>
  <c r="BN917" i="48"/>
  <c r="BN921" i="48"/>
  <c r="BN925" i="48"/>
  <c r="BN931" i="48"/>
  <c r="BN935" i="48"/>
  <c r="BN939" i="48"/>
  <c r="BN943" i="48"/>
  <c r="BN947" i="48"/>
  <c r="BN1053" i="48"/>
  <c r="BN1057" i="48"/>
  <c r="BN1061" i="48"/>
  <c r="BN1065" i="48"/>
  <c r="BN1069" i="48"/>
  <c r="BN1073" i="48"/>
  <c r="BN1081" i="48"/>
  <c r="BN1085" i="48"/>
  <c r="BN1089" i="48"/>
  <c r="BN1093" i="48"/>
  <c r="BN1097" i="48"/>
  <c r="BN1103" i="48"/>
  <c r="BN1107" i="48"/>
  <c r="BN1111" i="48"/>
  <c r="BN1115" i="48"/>
  <c r="BN1119" i="48"/>
  <c r="BN1123" i="48"/>
  <c r="BN1129" i="48"/>
  <c r="BN1133" i="48"/>
  <c r="BN1137" i="48"/>
  <c r="BN1141" i="48"/>
  <c r="BN1145" i="48"/>
  <c r="BN1149" i="48"/>
  <c r="BO1149" i="48" s="1"/>
  <c r="BP1149" i="48" s="1"/>
  <c r="CI1149" i="48" s="1"/>
  <c r="CJ1149" i="48" s="1"/>
  <c r="BN1155" i="48"/>
  <c r="BN1159" i="48"/>
  <c r="BN1163" i="48"/>
  <c r="BN1167" i="48"/>
  <c r="BN1171" i="48"/>
  <c r="BN1175" i="48"/>
  <c r="BN1181" i="48"/>
  <c r="BN1185" i="48"/>
  <c r="BN1189" i="48"/>
  <c r="BN1193" i="48"/>
  <c r="BN1197" i="48"/>
  <c r="BN1203" i="48"/>
  <c r="BN1207" i="48"/>
  <c r="BN1211" i="48"/>
  <c r="BN1215" i="48"/>
  <c r="BN1219" i="48"/>
  <c r="BN1223" i="48"/>
  <c r="BN1229" i="48"/>
  <c r="BN1233" i="48"/>
  <c r="BN1237" i="48"/>
  <c r="BN1241" i="48"/>
  <c r="BN1245" i="48"/>
  <c r="BN1249" i="48"/>
  <c r="BN1255" i="48"/>
  <c r="BN1259" i="48"/>
  <c r="BN1263" i="48"/>
  <c r="BN1267" i="48"/>
  <c r="BN1271" i="48"/>
  <c r="BN1275" i="48"/>
  <c r="BN1281" i="48"/>
  <c r="BN1285" i="48"/>
  <c r="BN1289" i="48"/>
  <c r="BN1293" i="48"/>
  <c r="BN1303" i="48"/>
  <c r="BN1307" i="48"/>
  <c r="BN1311" i="48"/>
  <c r="BO1311" i="48" s="1"/>
  <c r="BP1311" i="48" s="1"/>
  <c r="BN1315" i="48"/>
  <c r="BN1319" i="48"/>
  <c r="BN1323" i="48"/>
  <c r="BN1329" i="48"/>
  <c r="BN1333" i="48"/>
  <c r="BN1337" i="48"/>
  <c r="BN1341" i="48"/>
  <c r="BN1345" i="48"/>
  <c r="BN1290" i="48"/>
  <c r="BN1298" i="48"/>
  <c r="BN1304" i="48"/>
  <c r="BN1308" i="48"/>
  <c r="BN1312" i="48"/>
  <c r="BN1316" i="48"/>
  <c r="BN1320" i="48"/>
  <c r="BN1324" i="48"/>
  <c r="BN1330" i="48"/>
  <c r="BN1334" i="48"/>
  <c r="BN1338" i="48"/>
  <c r="BN1342" i="48"/>
  <c r="BN1346" i="48"/>
  <c r="BN1348" i="48"/>
  <c r="BN1349" i="48"/>
  <c r="BN1350" i="48"/>
  <c r="BN3" i="48"/>
  <c r="BN9" i="48"/>
  <c r="BN13" i="48"/>
  <c r="BN17" i="48"/>
  <c r="BN21" i="48"/>
  <c r="BN23" i="48"/>
  <c r="BN25" i="48"/>
  <c r="BN27" i="48" s="1"/>
  <c r="BO27" i="48" s="1"/>
  <c r="BP27" i="48" s="1"/>
  <c r="CI27" i="48" s="1"/>
  <c r="CJ27" i="48" s="1"/>
  <c r="BN37" i="48"/>
  <c r="BN1274" i="48"/>
  <c r="BN43" i="48"/>
  <c r="BN1297" i="48"/>
  <c r="BN5" i="48"/>
  <c r="BN7" i="48"/>
  <c r="BN11" i="48"/>
  <c r="BN15" i="48"/>
  <c r="BN19" i="48"/>
  <c r="BN29" i="48"/>
  <c r="BN31" i="48"/>
  <c r="BN33" i="48"/>
  <c r="BN35" i="48"/>
  <c r="BN39" i="48"/>
  <c r="BN41" i="48"/>
  <c r="BN45" i="48"/>
  <c r="BN47" i="48"/>
  <c r="BN49" i="48"/>
  <c r="BN53" i="48"/>
  <c r="BN55" i="48"/>
  <c r="BN63" i="48"/>
  <c r="BN57" i="48"/>
  <c r="BN59" i="48"/>
  <c r="BN61" i="48"/>
  <c r="BN65" i="48"/>
  <c r="BN67" i="48"/>
  <c r="BN69" i="48"/>
  <c r="BN71" i="48"/>
  <c r="BN73" i="48"/>
  <c r="BN75" i="48"/>
  <c r="BN79" i="48"/>
  <c r="BN81" i="48"/>
  <c r="BN83" i="48"/>
  <c r="BN85" i="48"/>
  <c r="BN87" i="48"/>
  <c r="BN89" i="48"/>
  <c r="BN91" i="48"/>
  <c r="BN93" i="48"/>
  <c r="BN95" i="48"/>
  <c r="BN97" i="48"/>
  <c r="BN99" i="48"/>
  <c r="BN103" i="48"/>
  <c r="BN105" i="48"/>
  <c r="BN107" i="48"/>
  <c r="BN109" i="48"/>
  <c r="BN111" i="48"/>
  <c r="BN113" i="48"/>
  <c r="BN115" i="48"/>
  <c r="BN117" i="48"/>
  <c r="BN119" i="48"/>
  <c r="BN121" i="48"/>
  <c r="BN123" i="48"/>
  <c r="BN125" i="48"/>
  <c r="BN129" i="48"/>
  <c r="BN131" i="48"/>
  <c r="BN133" i="48"/>
  <c r="BN135" i="48"/>
  <c r="BN137" i="48"/>
  <c r="BN139" i="48"/>
  <c r="BN141" i="48"/>
  <c r="BN143" i="48"/>
  <c r="BN145" i="48"/>
  <c r="BN147" i="48"/>
  <c r="BN149" i="48"/>
  <c r="BN153" i="48"/>
  <c r="BN155" i="48"/>
  <c r="BN157" i="48"/>
  <c r="BN159" i="48"/>
  <c r="BN161" i="48"/>
  <c r="BN163" i="48"/>
  <c r="BN165" i="48"/>
  <c r="BN167" i="48"/>
  <c r="BN169" i="48"/>
  <c r="BN171" i="48"/>
  <c r="BN173" i="48"/>
  <c r="BN175" i="48"/>
  <c r="BN179" i="48"/>
  <c r="BN181" i="48"/>
  <c r="BN183" i="48"/>
  <c r="BN185" i="48"/>
  <c r="BN187" i="48"/>
  <c r="BN189" i="48"/>
  <c r="BN191" i="48"/>
  <c r="BN193" i="48"/>
  <c r="BN195" i="48"/>
  <c r="BN197" i="48"/>
  <c r="BN199" i="48"/>
  <c r="BN203" i="48"/>
  <c r="BN205" i="48"/>
  <c r="BN207" i="48"/>
  <c r="BN209" i="48"/>
  <c r="BN211" i="48"/>
  <c r="BN213" i="48"/>
  <c r="BN215" i="48"/>
  <c r="BN217" i="48"/>
  <c r="BN219" i="48"/>
  <c r="BN221" i="48"/>
  <c r="BN223" i="48"/>
  <c r="BN225" i="48"/>
  <c r="BN229" i="48"/>
  <c r="BN231" i="48"/>
  <c r="BN233" i="48"/>
  <c r="BN235" i="48"/>
  <c r="BN237" i="48"/>
  <c r="BN239" i="48"/>
  <c r="BN241" i="48"/>
  <c r="BN243" i="48"/>
  <c r="BN245" i="48"/>
  <c r="BN247" i="48"/>
  <c r="BN249" i="48"/>
  <c r="BN953" i="48"/>
  <c r="BN955" i="48"/>
  <c r="BN957" i="48"/>
  <c r="BN959" i="48"/>
  <c r="BN961" i="48"/>
  <c r="BN963" i="48"/>
  <c r="BN965" i="48"/>
  <c r="BN967" i="48"/>
  <c r="BN969" i="48"/>
  <c r="BN971" i="48"/>
  <c r="BN973" i="48"/>
  <c r="BN975" i="48"/>
  <c r="BN979" i="48"/>
  <c r="BN981" i="48"/>
  <c r="BN983" i="48"/>
  <c r="BN985" i="48"/>
  <c r="BN987" i="48"/>
  <c r="BN989" i="48"/>
  <c r="BN991" i="48"/>
  <c r="BN993" i="48"/>
  <c r="BN995" i="48"/>
  <c r="BN997" i="48"/>
  <c r="BN999" i="48"/>
  <c r="BN1003" i="48"/>
  <c r="BN1005" i="48"/>
  <c r="BN1009" i="48"/>
  <c r="BN1011" i="48"/>
  <c r="BN1013" i="48"/>
  <c r="BN1015" i="48"/>
  <c r="BN1017" i="48"/>
  <c r="BN1019" i="48"/>
  <c r="BN1021" i="48"/>
  <c r="BN1023" i="48"/>
  <c r="BN1025" i="48"/>
  <c r="BN1029" i="48"/>
  <c r="BN1031" i="48"/>
  <c r="BN1033" i="48"/>
  <c r="BN1035" i="48"/>
  <c r="BN1037" i="48"/>
  <c r="BN1039" i="48"/>
  <c r="BN1041" i="48"/>
  <c r="BN1043" i="48"/>
  <c r="BN1045" i="48"/>
  <c r="BN1047" i="48"/>
  <c r="BN1049" i="48"/>
  <c r="BN1299" i="48"/>
  <c r="BN1300" i="48"/>
  <c r="BN761" i="48"/>
  <c r="BN174" i="48"/>
  <c r="BN200" i="48"/>
  <c r="BN236" i="48"/>
  <c r="BN238" i="48"/>
  <c r="BN348" i="48"/>
  <c r="BN350" i="48"/>
  <c r="BN472" i="48"/>
  <c r="BN474" i="48"/>
  <c r="BN732" i="48"/>
  <c r="BN734" i="48"/>
  <c r="BN736" i="48"/>
  <c r="BN738" i="48"/>
  <c r="BN740" i="48"/>
  <c r="BN742" i="48"/>
  <c r="BN744" i="48"/>
  <c r="BN746" i="48"/>
  <c r="BN748" i="48"/>
  <c r="BN750" i="48"/>
  <c r="BN754" i="48"/>
  <c r="BN756" i="48"/>
  <c r="BN792" i="48"/>
  <c r="BN794" i="48"/>
  <c r="BN796" i="48"/>
  <c r="BN798" i="48"/>
  <c r="BN800" i="48"/>
  <c r="BN816" i="48"/>
  <c r="BN822" i="48"/>
  <c r="BN824" i="48"/>
  <c r="BN828" i="48"/>
  <c r="BN830" i="48"/>
  <c r="BN832" i="48"/>
  <c r="BN834" i="48"/>
  <c r="BN836" i="48"/>
  <c r="BN838" i="48"/>
  <c r="BN840" i="48"/>
  <c r="BN842" i="48"/>
  <c r="BN844" i="48"/>
  <c r="BN846" i="48"/>
  <c r="BN848" i="48"/>
  <c r="BN850" i="48"/>
  <c r="BN854" i="48"/>
  <c r="BN856" i="48"/>
  <c r="BN858" i="48"/>
  <c r="BN860" i="48"/>
  <c r="BN862" i="48"/>
  <c r="BN866" i="48"/>
  <c r="BN868" i="48"/>
  <c r="BN872" i="48"/>
  <c r="BN874" i="48"/>
  <c r="BN922" i="48"/>
  <c r="BN924" i="48"/>
  <c r="BN974" i="48"/>
  <c r="BN988" i="48"/>
  <c r="BN990" i="48"/>
  <c r="BN992" i="48"/>
  <c r="BN994" i="48"/>
  <c r="BN996" i="48"/>
  <c r="BN998" i="48"/>
  <c r="BN1000" i="48"/>
  <c r="BN1004" i="48"/>
  <c r="BN1006" i="48"/>
  <c r="BN1010" i="48"/>
  <c r="BN1012" i="48"/>
  <c r="BN1014" i="48"/>
  <c r="BN1016" i="48"/>
  <c r="BN1018" i="48"/>
  <c r="BN1020" i="48"/>
  <c r="BN1022" i="48"/>
  <c r="BN1024" i="48"/>
  <c r="BN1028" i="48"/>
  <c r="BN1030" i="48"/>
  <c r="BN1032" i="48"/>
  <c r="BN1034" i="48"/>
  <c r="BN1036" i="48"/>
  <c r="BN1038" i="48"/>
  <c r="BN1040" i="48"/>
  <c r="BN1042" i="48"/>
  <c r="BN1044" i="48"/>
  <c r="BN1046" i="48"/>
  <c r="BN1048" i="48"/>
  <c r="BN1056" i="48"/>
  <c r="BN1058" i="48"/>
  <c r="BN1224" i="48"/>
  <c r="BN1250" i="48"/>
  <c r="BN1272" i="48"/>
  <c r="BN1278" i="48"/>
  <c r="BN1280" i="48"/>
  <c r="BN1282" i="48"/>
  <c r="BN1286" i="48"/>
  <c r="BN1294" i="48"/>
  <c r="BN4" i="48"/>
  <c r="BN6" i="48"/>
  <c r="BN8" i="48"/>
  <c r="BN10" i="48"/>
  <c r="BN12" i="48"/>
  <c r="BN14" i="48"/>
  <c r="BN16" i="48"/>
  <c r="BN18" i="48"/>
  <c r="BN20" i="48"/>
  <c r="BN22" i="48"/>
  <c r="BN24" i="48"/>
  <c r="BN28" i="48"/>
  <c r="BN30" i="48"/>
  <c r="BN32" i="48"/>
  <c r="BN34" i="48"/>
  <c r="BN36" i="48"/>
  <c r="BN38" i="48"/>
  <c r="BN40" i="48"/>
  <c r="BN42" i="48"/>
  <c r="BN44" i="48"/>
  <c r="BN46" i="48"/>
  <c r="BN48" i="48"/>
  <c r="BN50" i="48"/>
  <c r="BN54" i="48"/>
  <c r="BN56" i="48"/>
  <c r="BN58" i="48"/>
  <c r="BN60" i="48"/>
  <c r="BN62" i="48"/>
  <c r="BN64" i="48"/>
  <c r="BN66" i="48"/>
  <c r="BN68" i="48"/>
  <c r="BN70" i="48"/>
  <c r="BN72" i="48"/>
  <c r="BN74" i="48"/>
  <c r="BN78" i="48"/>
  <c r="BN80" i="48"/>
  <c r="BN82" i="48"/>
  <c r="BN84" i="48"/>
  <c r="BN86" i="48"/>
  <c r="BN88" i="48"/>
  <c r="BN90" i="48"/>
  <c r="BN92" i="48"/>
  <c r="BN94" i="48"/>
  <c r="BN96" i="48"/>
  <c r="BN98" i="48"/>
  <c r="BN100" i="48"/>
  <c r="BN104" i="48"/>
  <c r="BN106" i="48"/>
  <c r="BN108" i="48"/>
  <c r="BN110" i="48"/>
  <c r="BN112" i="48"/>
  <c r="BN114" i="48"/>
  <c r="BN116" i="48"/>
  <c r="BN118" i="48"/>
  <c r="BN120" i="48"/>
  <c r="BN122" i="48"/>
  <c r="BN124" i="48"/>
  <c r="BN128" i="48"/>
  <c r="BN130" i="48"/>
  <c r="BN132" i="48"/>
  <c r="BN134" i="48"/>
  <c r="BN136" i="48"/>
  <c r="BN138" i="48"/>
  <c r="BN140" i="48"/>
  <c r="BN142" i="48"/>
  <c r="BN144" i="48"/>
  <c r="BN146" i="48"/>
  <c r="BN148" i="48"/>
  <c r="BN150" i="48"/>
  <c r="BN154" i="48"/>
  <c r="BN156" i="48"/>
  <c r="BN158" i="48"/>
  <c r="BN160" i="48"/>
  <c r="BN162" i="48"/>
  <c r="BN164" i="48"/>
  <c r="BN166" i="48"/>
  <c r="BN168" i="48"/>
  <c r="BN170" i="48"/>
  <c r="BN172" i="48"/>
  <c r="BN178" i="48"/>
  <c r="BN180" i="48"/>
  <c r="BN182" i="48"/>
  <c r="BN184" i="48"/>
  <c r="BN186" i="48"/>
  <c r="BN188" i="48"/>
  <c r="BN190" i="48"/>
  <c r="BN192" i="48"/>
  <c r="BN194" i="48"/>
  <c r="BN196" i="48"/>
  <c r="BN198" i="48"/>
  <c r="BN204" i="48"/>
  <c r="BN206" i="48"/>
  <c r="BN208" i="48"/>
  <c r="BN210" i="48"/>
  <c r="BN212" i="48"/>
  <c r="BN214" i="48"/>
  <c r="BN216" i="48"/>
  <c r="BN218" i="48"/>
  <c r="BN220" i="48"/>
  <c r="BN222" i="48"/>
  <c r="BN224" i="48"/>
  <c r="BN228" i="48"/>
  <c r="BN230" i="48"/>
  <c r="BN232" i="48"/>
  <c r="BN234" i="48"/>
  <c r="BN240" i="48"/>
  <c r="BN242" i="48"/>
  <c r="BN244" i="48"/>
  <c r="BN246" i="48"/>
  <c r="BN248" i="48"/>
  <c r="BN254" i="48"/>
  <c r="BN256" i="48"/>
  <c r="BN258" i="48"/>
  <c r="BN260" i="48"/>
  <c r="BN262" i="48"/>
  <c r="BN264" i="48"/>
  <c r="BN266" i="48"/>
  <c r="BN268" i="48"/>
  <c r="BN270" i="48"/>
  <c r="BN272" i="48"/>
  <c r="BN274" i="48"/>
  <c r="BN278" i="48"/>
  <c r="BN280" i="48"/>
  <c r="BN282" i="48"/>
  <c r="BN284" i="48"/>
  <c r="BN286" i="48"/>
  <c r="BN288" i="48"/>
  <c r="BN290" i="48"/>
  <c r="BN292" i="48"/>
  <c r="BN294" i="48"/>
  <c r="BN296" i="48"/>
  <c r="BN298" i="48"/>
  <c r="BN300" i="48"/>
  <c r="BN304" i="48"/>
  <c r="BN306" i="48"/>
  <c r="BN308" i="48"/>
  <c r="BN310" i="48"/>
  <c r="BN312" i="48"/>
  <c r="BN314" i="48"/>
  <c r="BN316" i="48"/>
  <c r="BN318" i="48"/>
  <c r="BN320" i="48"/>
  <c r="BN322" i="48"/>
  <c r="BN324" i="48"/>
  <c r="BN328" i="48"/>
  <c r="BN330" i="48"/>
  <c r="BN332" i="48"/>
  <c r="BN334" i="48"/>
  <c r="BN336" i="48"/>
  <c r="BN338" i="48"/>
  <c r="BN340" i="48"/>
  <c r="BN342" i="48"/>
  <c r="BN344" i="48"/>
  <c r="BN346" i="48"/>
  <c r="BN354" i="48"/>
  <c r="BN356" i="48"/>
  <c r="BN358" i="48"/>
  <c r="BN360" i="48"/>
  <c r="BN362" i="48"/>
  <c r="BN364" i="48"/>
  <c r="BN366" i="48"/>
  <c r="BN368" i="48"/>
  <c r="BN370" i="48"/>
  <c r="BN372" i="48"/>
  <c r="BN374" i="48"/>
  <c r="BN378" i="48"/>
  <c r="BN380" i="48"/>
  <c r="BN382" i="48"/>
  <c r="BN384" i="48"/>
  <c r="BN386" i="48"/>
  <c r="BN388" i="48"/>
  <c r="BN390" i="48"/>
  <c r="BN392" i="48"/>
  <c r="BN394" i="48"/>
  <c r="BN396" i="48"/>
  <c r="BN398" i="48"/>
  <c r="BN400" i="48"/>
  <c r="BN404" i="48"/>
  <c r="BN406" i="48"/>
  <c r="BN408" i="48"/>
  <c r="BN410" i="48"/>
  <c r="BN412" i="48"/>
  <c r="BN414" i="48"/>
  <c r="BN416" i="48"/>
  <c r="BN418" i="48"/>
  <c r="BN420" i="48"/>
  <c r="BN422" i="48"/>
  <c r="BN424" i="48"/>
  <c r="BN428" i="48"/>
  <c r="BN430" i="48"/>
  <c r="BN432" i="48"/>
  <c r="BN434" i="48"/>
  <c r="BN436" i="48"/>
  <c r="BN438" i="48"/>
  <c r="BN440" i="48"/>
  <c r="BN442" i="48"/>
  <c r="BN444" i="48"/>
  <c r="BN446" i="48"/>
  <c r="BN448" i="48"/>
  <c r="BN450" i="48"/>
  <c r="BN454" i="48"/>
  <c r="BN456" i="48"/>
  <c r="BN458" i="48"/>
  <c r="BN460" i="48"/>
  <c r="BN462" i="48"/>
  <c r="BN464" i="48"/>
  <c r="BN466" i="48"/>
  <c r="BN468" i="48"/>
  <c r="BN470" i="48"/>
  <c r="BN478" i="48"/>
  <c r="BN480" i="48"/>
  <c r="BN482" i="48"/>
  <c r="BN484" i="48"/>
  <c r="BN486" i="48"/>
  <c r="BN488" i="48"/>
  <c r="BN490" i="48"/>
  <c r="BN492" i="48"/>
  <c r="BN494" i="48"/>
  <c r="BN496" i="48"/>
  <c r="BN498" i="48"/>
  <c r="BN500" i="48"/>
  <c r="BN504" i="48"/>
  <c r="BN506" i="48"/>
  <c r="BN508" i="48"/>
  <c r="BN510" i="48"/>
  <c r="BN512" i="48"/>
  <c r="BN514" i="48"/>
  <c r="BN516" i="48"/>
  <c r="BN518" i="48"/>
  <c r="BN520" i="48"/>
  <c r="BN522" i="48"/>
  <c r="BN524" i="48"/>
  <c r="BN528" i="48"/>
  <c r="BN530" i="48"/>
  <c r="BN532" i="48"/>
  <c r="BN534" i="48"/>
  <c r="BN536" i="48"/>
  <c r="BN538" i="48"/>
  <c r="BN540" i="48"/>
  <c r="BN542" i="48"/>
  <c r="BN544" i="48"/>
  <c r="BN546" i="48"/>
  <c r="BN548" i="48"/>
  <c r="BN550" i="48"/>
  <c r="BN554" i="48"/>
  <c r="BN556" i="48"/>
  <c r="BN558" i="48"/>
  <c r="BN560" i="48"/>
  <c r="BN562" i="48"/>
  <c r="BN564" i="48"/>
  <c r="BN566" i="48"/>
  <c r="BN568" i="48"/>
  <c r="BN570" i="48"/>
  <c r="BN572" i="48"/>
  <c r="BN574" i="48"/>
  <c r="BN578" i="48"/>
  <c r="BN580" i="48"/>
  <c r="BN582" i="48"/>
  <c r="BN584" i="48"/>
  <c r="BN586" i="48"/>
  <c r="BN588" i="48"/>
  <c r="BN590" i="48"/>
  <c r="BN592" i="48"/>
  <c r="BN594" i="48"/>
  <c r="BN596" i="48"/>
  <c r="BN598" i="48"/>
  <c r="BN600" i="48"/>
  <c r="BN604" i="48"/>
  <c r="BN606" i="48"/>
  <c r="BN608" i="48"/>
  <c r="BN610" i="48"/>
  <c r="BN612" i="48"/>
  <c r="BN614" i="48"/>
  <c r="BN616" i="48"/>
  <c r="BN618" i="48"/>
  <c r="BN620" i="48"/>
  <c r="BN622" i="48"/>
  <c r="BN624" i="48"/>
  <c r="BN628" i="48"/>
  <c r="BN630" i="48"/>
  <c r="BN632" i="48"/>
  <c r="BN634" i="48"/>
  <c r="BN636" i="48"/>
  <c r="BN638" i="48"/>
  <c r="BN640" i="48"/>
  <c r="BN642" i="48"/>
  <c r="BN644" i="48"/>
  <c r="BN646" i="48"/>
  <c r="BN648" i="48"/>
  <c r="BN650" i="48"/>
  <c r="BN654" i="48"/>
  <c r="BN656" i="48"/>
  <c r="BN658" i="48"/>
  <c r="BN660" i="48"/>
  <c r="BN662" i="48"/>
  <c r="BN664" i="48"/>
  <c r="BN666" i="48"/>
  <c r="BN668" i="48"/>
  <c r="BN670" i="48"/>
  <c r="BN672" i="48"/>
  <c r="BN674" i="48"/>
  <c r="BN678" i="48"/>
  <c r="BN680" i="48"/>
  <c r="BN682" i="48"/>
  <c r="BN684" i="48"/>
  <c r="BN686" i="48"/>
  <c r="BN688" i="48"/>
  <c r="BN690" i="48"/>
  <c r="BN692" i="48"/>
  <c r="BN694" i="48"/>
  <c r="BN696" i="48"/>
  <c r="BN698" i="48"/>
  <c r="BN700" i="48"/>
  <c r="BN704" i="48"/>
  <c r="BN706" i="48"/>
  <c r="BN708" i="48"/>
  <c r="BN710" i="48"/>
  <c r="BN712" i="48"/>
  <c r="BN714" i="48"/>
  <c r="BN716" i="48"/>
  <c r="BN718" i="48"/>
  <c r="BN720" i="48"/>
  <c r="BN722" i="48"/>
  <c r="BN724" i="48"/>
  <c r="BN728" i="48"/>
  <c r="BN730" i="48"/>
  <c r="BN758" i="48"/>
  <c r="BN760" i="48"/>
  <c r="BN762" i="48"/>
  <c r="BN764" i="48"/>
  <c r="BN766" i="48"/>
  <c r="BN768" i="48"/>
  <c r="BN770" i="48"/>
  <c r="BN772" i="48"/>
  <c r="BN774" i="48"/>
  <c r="BN778" i="48"/>
  <c r="BN780" i="48"/>
  <c r="BN782" i="48"/>
  <c r="BN784" i="48"/>
  <c r="BN786" i="48"/>
  <c r="BN788" i="48"/>
  <c r="BN790" i="48"/>
  <c r="BN804" i="48"/>
  <c r="BN806" i="48"/>
  <c r="BN808" i="48"/>
  <c r="BN810" i="48"/>
  <c r="BN812" i="48"/>
  <c r="BN814" i="48"/>
  <c r="BN818" i="48"/>
  <c r="BN820" i="48"/>
  <c r="BN864" i="48"/>
  <c r="BN870" i="48"/>
  <c r="BN878" i="48"/>
  <c r="BN880" i="48"/>
  <c r="BN882" i="48"/>
  <c r="BN884" i="48"/>
  <c r="BN886" i="48"/>
  <c r="BN888" i="48"/>
  <c r="BN890" i="48"/>
  <c r="BN892" i="48"/>
  <c r="BN894" i="48"/>
  <c r="BN896" i="48"/>
  <c r="BN898" i="48"/>
  <c r="BN900" i="48"/>
  <c r="BN904" i="48"/>
  <c r="BN906" i="48"/>
  <c r="BN908" i="48"/>
  <c r="BN910" i="48"/>
  <c r="BN912" i="48"/>
  <c r="BN914" i="48"/>
  <c r="BN916" i="48"/>
  <c r="BN918" i="48"/>
  <c r="BN920" i="48"/>
  <c r="BN928" i="48"/>
  <c r="BN930" i="48"/>
  <c r="BN932" i="48"/>
  <c r="BN934" i="48"/>
  <c r="BN936" i="48"/>
  <c r="BN938" i="48"/>
  <c r="BN940" i="48"/>
  <c r="BN942" i="48"/>
  <c r="BN944" i="48"/>
  <c r="BN946" i="48"/>
  <c r="BN948" i="48"/>
  <c r="BN954" i="48"/>
  <c r="BN956" i="48"/>
  <c r="BN958" i="48"/>
  <c r="BN960" i="48"/>
  <c r="BN962" i="48"/>
  <c r="BN964" i="48"/>
  <c r="BN966" i="48"/>
  <c r="BN968" i="48"/>
  <c r="BN970" i="48"/>
  <c r="BN972" i="48"/>
  <c r="BN978" i="48"/>
  <c r="BN980" i="48"/>
  <c r="BN982" i="48"/>
  <c r="BN984" i="48"/>
  <c r="BN986" i="48"/>
  <c r="BN1054" i="48"/>
  <c r="BN1060" i="48"/>
  <c r="BN1062" i="48"/>
  <c r="BN1064" i="48"/>
  <c r="BN1066" i="48"/>
  <c r="BN1068" i="48"/>
  <c r="BN1070" i="48"/>
  <c r="BN1072" i="48"/>
  <c r="BN1074" i="48"/>
  <c r="BN1080" i="48"/>
  <c r="BN1082" i="48"/>
  <c r="BN1084" i="48"/>
  <c r="BN1086" i="48"/>
  <c r="BN1088" i="48"/>
  <c r="BN1090" i="48"/>
  <c r="BN1092" i="48"/>
  <c r="BN1094" i="48"/>
  <c r="BN1096" i="48"/>
  <c r="BN1098" i="48"/>
  <c r="BN1100" i="48"/>
  <c r="BN1104" i="48"/>
  <c r="BN1106" i="48"/>
  <c r="BN1108" i="48"/>
  <c r="BN1110" i="48"/>
  <c r="BN1112" i="48"/>
  <c r="BN1114" i="48"/>
  <c r="BN1116" i="48"/>
  <c r="BN1118" i="48"/>
  <c r="BN1120" i="48"/>
  <c r="BN1122" i="48"/>
  <c r="BN1124" i="48"/>
  <c r="BO1124" i="48" s="1"/>
  <c r="BP1124" i="48" s="1"/>
  <c r="CI1124" i="48" s="1"/>
  <c r="CJ1124" i="48" s="1"/>
  <c r="BN1128" i="48"/>
  <c r="BN1130" i="48"/>
  <c r="BN1132" i="48"/>
  <c r="BN1134" i="48"/>
  <c r="BN1136" i="48"/>
  <c r="BN1138" i="48"/>
  <c r="BN1140" i="48"/>
  <c r="BN1142" i="48"/>
  <c r="BN1144" i="48"/>
  <c r="BN1146" i="48"/>
  <c r="BN1148" i="48"/>
  <c r="BN1150" i="48"/>
  <c r="BN1154" i="48"/>
  <c r="BN1156" i="48"/>
  <c r="BN1158" i="48"/>
  <c r="BN1160" i="48"/>
  <c r="BN1162" i="48"/>
  <c r="BN1164" i="48"/>
  <c r="BN1166" i="48"/>
  <c r="BN1168" i="48"/>
  <c r="BN1170" i="48"/>
  <c r="BN1172" i="48"/>
  <c r="BO1172" i="48" s="1"/>
  <c r="BP1172" i="48" s="1"/>
  <c r="CI1172" i="48" s="1"/>
  <c r="CJ1172" i="48" s="1"/>
  <c r="BN1174" i="48"/>
  <c r="BN1178" i="48"/>
  <c r="BN1180" i="48"/>
  <c r="BN1182" i="48"/>
  <c r="BN1184" i="48"/>
  <c r="BN1186" i="48"/>
  <c r="BN1188" i="48"/>
  <c r="BN1190" i="48"/>
  <c r="BN1192" i="48"/>
  <c r="BN1194" i="48"/>
  <c r="BN1196" i="48"/>
  <c r="BN1198" i="48"/>
  <c r="BN1200" i="48"/>
  <c r="BN1204" i="48"/>
  <c r="BN1206" i="48"/>
  <c r="BN1208" i="48"/>
  <c r="BN1210" i="48"/>
  <c r="BN1212" i="48"/>
  <c r="BN1214" i="48"/>
  <c r="BN1216" i="48"/>
  <c r="BN1218" i="48"/>
  <c r="BN1220" i="48"/>
  <c r="BN1222" i="48"/>
  <c r="BN1228" i="48"/>
  <c r="BN1230" i="48"/>
  <c r="BN1232" i="48"/>
  <c r="BN1234" i="48"/>
  <c r="BN1236" i="48"/>
  <c r="BN1238" i="48"/>
  <c r="BN1240" i="48"/>
  <c r="BN1242" i="48"/>
  <c r="BN1244" i="48"/>
  <c r="BN1246" i="48"/>
  <c r="BN1248" i="48"/>
  <c r="BN1254" i="48"/>
  <c r="BN1256" i="48"/>
  <c r="BN1258" i="48"/>
  <c r="BN1260" i="48"/>
  <c r="BN1262" i="48"/>
  <c r="BN1264" i="48"/>
  <c r="BN1266" i="48"/>
  <c r="BN1268" i="48"/>
  <c r="BN1270" i="48"/>
  <c r="BN1284" i="48"/>
  <c r="CD3" i="48"/>
  <c r="CF3" i="48" s="1"/>
  <c r="CD53" i="48"/>
  <c r="CF53" i="48" s="1"/>
  <c r="CG53" i="48" s="1"/>
  <c r="CD103" i="48"/>
  <c r="CF103" i="48" s="1"/>
  <c r="CG103" i="48" s="1"/>
  <c r="CD203" i="48"/>
  <c r="CF203" i="48" s="1"/>
  <c r="CG203" i="48" s="1"/>
  <c r="CF253" i="48"/>
  <c r="CG253" i="48" s="1"/>
  <c r="CL253" i="48" s="1"/>
  <c r="AC254" i="48" s="1"/>
  <c r="CD303" i="48"/>
  <c r="CF303" i="48" s="1"/>
  <c r="CG303" i="48" s="1"/>
  <c r="CD353" i="48"/>
  <c r="CF353" i="48" s="1"/>
  <c r="CG353" i="48" s="1"/>
  <c r="CD403" i="48"/>
  <c r="CF403" i="48" s="1"/>
  <c r="CG403" i="48" s="1"/>
  <c r="CD453" i="48"/>
  <c r="CF453" i="48" s="1"/>
  <c r="CG453" i="48" s="1"/>
  <c r="CD503" i="48"/>
  <c r="CF503" i="48" s="1"/>
  <c r="CG503" i="48" s="1"/>
  <c r="CD553" i="48"/>
  <c r="CF553" i="48" s="1"/>
  <c r="CG553" i="48" s="1"/>
  <c r="CD603" i="48"/>
  <c r="CF603" i="48" s="1"/>
  <c r="CG603" i="48" s="1"/>
  <c r="CD653" i="48"/>
  <c r="CF653" i="48" s="1"/>
  <c r="CG653" i="48" s="1"/>
  <c r="CD703" i="48"/>
  <c r="CF703" i="48" s="1"/>
  <c r="CG703" i="48" s="1"/>
  <c r="CD753" i="48"/>
  <c r="CF753" i="48" s="1"/>
  <c r="CG753" i="48" s="1"/>
  <c r="CD803" i="48"/>
  <c r="CF803" i="48" s="1"/>
  <c r="CG803" i="48" s="1"/>
  <c r="CD853" i="48"/>
  <c r="CF853" i="48" s="1"/>
  <c r="CG853" i="48" s="1"/>
  <c r="CD903" i="48"/>
  <c r="CF903" i="48" s="1"/>
  <c r="CG903" i="48" s="1"/>
  <c r="CD953" i="48"/>
  <c r="CF953" i="48" s="1"/>
  <c r="CG953" i="48" s="1"/>
  <c r="CD1003" i="48"/>
  <c r="CF1003" i="48" s="1"/>
  <c r="CG1003" i="48" s="1"/>
  <c r="CD1053" i="48"/>
  <c r="CF1053" i="48" s="1"/>
  <c r="CG1053" i="48" s="1"/>
  <c r="CD1103" i="48"/>
  <c r="CF1103" i="48" s="1"/>
  <c r="CG1103" i="48" s="1"/>
  <c r="CD1153" i="48"/>
  <c r="CF1153" i="48" s="1"/>
  <c r="CG1153" i="48" s="1"/>
  <c r="CD1203" i="48"/>
  <c r="CF1203" i="48" s="1"/>
  <c r="CG1203" i="48" s="1"/>
  <c r="CD1253" i="48"/>
  <c r="CF1253" i="48" s="1"/>
  <c r="CG1253" i="48" s="1"/>
  <c r="CD1303" i="48"/>
  <c r="CF1303" i="48" s="1"/>
  <c r="CG1303" i="48" s="1"/>
  <c r="CD153" i="48"/>
  <c r="CF153" i="48" s="1"/>
  <c r="CG153" i="48" s="1"/>
  <c r="CD28" i="48"/>
  <c r="CF28" i="48" s="1"/>
  <c r="CG28" i="48" s="1"/>
  <c r="CL28" i="48" s="1"/>
  <c r="CD78" i="48"/>
  <c r="CF78" i="48" s="1"/>
  <c r="CG78" i="48" s="1"/>
  <c r="CD128" i="48"/>
  <c r="CF128" i="48" s="1"/>
  <c r="CG128" i="48" s="1"/>
  <c r="CD178" i="48"/>
  <c r="CF178" i="48" s="1"/>
  <c r="CG178" i="48" s="1"/>
  <c r="CD228" i="48"/>
  <c r="CF228" i="48" s="1"/>
  <c r="CG228" i="48" s="1"/>
  <c r="CD278" i="48"/>
  <c r="CF278" i="48" s="1"/>
  <c r="CG278" i="48" s="1"/>
  <c r="CD328" i="48"/>
  <c r="CF328" i="48" s="1"/>
  <c r="CG328" i="48" s="1"/>
  <c r="CD378" i="48"/>
  <c r="CF378" i="48" s="1"/>
  <c r="CG378" i="48" s="1"/>
  <c r="CD428" i="48"/>
  <c r="CF428" i="48" s="1"/>
  <c r="CG428" i="48" s="1"/>
  <c r="CD478" i="48"/>
  <c r="CF478" i="48" s="1"/>
  <c r="CG478" i="48" s="1"/>
  <c r="CD528" i="48"/>
  <c r="CF528" i="48" s="1"/>
  <c r="CG528" i="48" s="1"/>
  <c r="CD578" i="48"/>
  <c r="CF578" i="48" s="1"/>
  <c r="CG578" i="48" s="1"/>
  <c r="CD628" i="48"/>
  <c r="CF628" i="48" s="1"/>
  <c r="CG628" i="48" s="1"/>
  <c r="CD678" i="48"/>
  <c r="CF678" i="48" s="1"/>
  <c r="CG678" i="48" s="1"/>
  <c r="CD728" i="48"/>
  <c r="CF728" i="48" s="1"/>
  <c r="CG728" i="48" s="1"/>
  <c r="CD778" i="48"/>
  <c r="CF778" i="48" s="1"/>
  <c r="CG778" i="48" s="1"/>
  <c r="CD828" i="48"/>
  <c r="CF828" i="48" s="1"/>
  <c r="CG828" i="48" s="1"/>
  <c r="CD878" i="48"/>
  <c r="CF878" i="48" s="1"/>
  <c r="CG878" i="48" s="1"/>
  <c r="CD928" i="48"/>
  <c r="CF928" i="48" s="1"/>
  <c r="CG928" i="48" s="1"/>
  <c r="CD978" i="48"/>
  <c r="CF978" i="48" s="1"/>
  <c r="CG978" i="48" s="1"/>
  <c r="CD1028" i="48"/>
  <c r="CF1028" i="48" s="1"/>
  <c r="CG1028" i="48" s="1"/>
  <c r="CD1078" i="48"/>
  <c r="CF1078" i="48" s="1"/>
  <c r="CG1078" i="48" s="1"/>
  <c r="CD1128" i="48"/>
  <c r="CF1128" i="48" s="1"/>
  <c r="CG1128" i="48" s="1"/>
  <c r="CD1178" i="48"/>
  <c r="CF1178" i="48" s="1"/>
  <c r="CG1178" i="48" s="1"/>
  <c r="CD1228" i="48"/>
  <c r="CF1228" i="48" s="1"/>
  <c r="CG1228" i="48" s="1"/>
  <c r="CD1278" i="48"/>
  <c r="CF1278" i="48" s="1"/>
  <c r="CG1278" i="48" s="1"/>
  <c r="CA78" i="48"/>
  <c r="CQ10" i="22"/>
  <c r="CP10" i="22"/>
  <c r="CO10" i="22"/>
  <c r="CN10" i="22"/>
  <c r="CM10" i="22"/>
  <c r="CL10" i="22"/>
  <c r="CK10" i="22"/>
  <c r="CJ10" i="22"/>
  <c r="CI10" i="22"/>
  <c r="CH10" i="22"/>
  <c r="CG10" i="22"/>
  <c r="CF10" i="22"/>
  <c r="CE10" i="22"/>
  <c r="CD10" i="22"/>
  <c r="CC10" i="22"/>
  <c r="CB10" i="22"/>
  <c r="CA10" i="22"/>
  <c r="BZ10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CZ4" i="48"/>
  <c r="CU4" i="48" s="1"/>
  <c r="CZ5" i="48"/>
  <c r="CU5" i="48" s="1"/>
  <c r="CZ6" i="48"/>
  <c r="CU6" i="48" s="1"/>
  <c r="CZ7" i="48"/>
  <c r="CU7" i="48" s="1"/>
  <c r="CZ8" i="48"/>
  <c r="CU8" i="48" s="1"/>
  <c r="CZ9" i="48"/>
  <c r="CU9" i="48" s="1"/>
  <c r="CZ10" i="48"/>
  <c r="CU10" i="48" s="1"/>
  <c r="CZ11" i="48"/>
  <c r="CU11" i="48" s="1"/>
  <c r="CZ12" i="48"/>
  <c r="CU12" i="48" s="1"/>
  <c r="CZ13" i="48"/>
  <c r="CU13" i="48" s="1"/>
  <c r="CZ14" i="48"/>
  <c r="CU14" i="48" s="1"/>
  <c r="CZ15" i="48"/>
  <c r="CU15" i="48" s="1"/>
  <c r="CZ16" i="48"/>
  <c r="CU16" i="48" s="1"/>
  <c r="CZ17" i="48"/>
  <c r="CU17" i="48" s="1"/>
  <c r="CZ18" i="48"/>
  <c r="CU18" i="48" s="1"/>
  <c r="CZ19" i="48"/>
  <c r="CU19" i="48" s="1"/>
  <c r="CZ20" i="48"/>
  <c r="CU20" i="48" s="1"/>
  <c r="CZ21" i="48"/>
  <c r="CU21" i="48" s="1"/>
  <c r="CZ22" i="48"/>
  <c r="CU22" i="48" s="1"/>
  <c r="CZ23" i="48"/>
  <c r="CU23" i="48" s="1"/>
  <c r="CZ24" i="48"/>
  <c r="CU24" i="48" s="1"/>
  <c r="CZ25" i="48"/>
  <c r="CZ28" i="48"/>
  <c r="CZ29" i="48"/>
  <c r="CU29" i="48" s="1"/>
  <c r="CZ30" i="48"/>
  <c r="CU30" i="48" s="1"/>
  <c r="CZ31" i="48"/>
  <c r="CU31" i="48" s="1"/>
  <c r="CZ32" i="48"/>
  <c r="CU32" i="48" s="1"/>
  <c r="CZ33" i="48"/>
  <c r="CU33" i="48" s="1"/>
  <c r="CZ34" i="48"/>
  <c r="CU34" i="48" s="1"/>
  <c r="CZ35" i="48"/>
  <c r="CU35" i="48" s="1"/>
  <c r="CZ36" i="48"/>
  <c r="CU36" i="48" s="1"/>
  <c r="CZ37" i="48"/>
  <c r="CU37" i="48" s="1"/>
  <c r="CZ38" i="48"/>
  <c r="CU38" i="48" s="1"/>
  <c r="CZ39" i="48"/>
  <c r="CU39" i="48" s="1"/>
  <c r="CZ40" i="48"/>
  <c r="CU40" i="48" s="1"/>
  <c r="CZ41" i="48"/>
  <c r="CU41" i="48" s="1"/>
  <c r="CZ42" i="48"/>
  <c r="CU42" i="48" s="1"/>
  <c r="CZ43" i="48"/>
  <c r="CU43" i="48" s="1"/>
  <c r="CZ44" i="48"/>
  <c r="CU44" i="48" s="1"/>
  <c r="CZ45" i="48"/>
  <c r="CU45" i="48" s="1"/>
  <c r="CZ46" i="48"/>
  <c r="CU46" i="48" s="1"/>
  <c r="CZ47" i="48"/>
  <c r="CU47" i="48" s="1"/>
  <c r="CZ48" i="48"/>
  <c r="CU48" i="48" s="1"/>
  <c r="CZ49" i="48"/>
  <c r="CU49" i="48" s="1"/>
  <c r="CZ50" i="48"/>
  <c r="CZ53" i="48"/>
  <c r="CZ54" i="48"/>
  <c r="CU54" i="48" s="1"/>
  <c r="CZ55" i="48"/>
  <c r="CU55" i="48" s="1"/>
  <c r="CZ56" i="48"/>
  <c r="CU56" i="48" s="1"/>
  <c r="CZ57" i="48"/>
  <c r="CU57" i="48" s="1"/>
  <c r="CZ58" i="48"/>
  <c r="CU58" i="48" s="1"/>
  <c r="CZ59" i="48"/>
  <c r="CU59" i="48" s="1"/>
  <c r="CZ60" i="48"/>
  <c r="CU60" i="48" s="1"/>
  <c r="CZ61" i="48"/>
  <c r="CU61" i="48" s="1"/>
  <c r="CZ62" i="48"/>
  <c r="CU62" i="48" s="1"/>
  <c r="CZ63" i="48"/>
  <c r="CU63" i="48" s="1"/>
  <c r="CZ64" i="48"/>
  <c r="CU64" i="48" s="1"/>
  <c r="CZ65" i="48"/>
  <c r="CU65" i="48" s="1"/>
  <c r="CZ66" i="48"/>
  <c r="CU66" i="48" s="1"/>
  <c r="CZ67" i="48"/>
  <c r="CU67" i="48" s="1"/>
  <c r="CZ68" i="48"/>
  <c r="CU68" i="48" s="1"/>
  <c r="CZ69" i="48"/>
  <c r="CU69" i="48" s="1"/>
  <c r="CZ70" i="48"/>
  <c r="CU70" i="48" s="1"/>
  <c r="CZ71" i="48"/>
  <c r="CU71" i="48" s="1"/>
  <c r="CZ72" i="48"/>
  <c r="CU72" i="48" s="1"/>
  <c r="CZ73" i="48"/>
  <c r="CU73" i="48" s="1"/>
  <c r="CZ74" i="48"/>
  <c r="CU74" i="48" s="1"/>
  <c r="CZ75" i="48"/>
  <c r="CZ78" i="48"/>
  <c r="CZ79" i="48"/>
  <c r="CU79" i="48" s="1"/>
  <c r="CZ80" i="48"/>
  <c r="CU80" i="48" s="1"/>
  <c r="CZ81" i="48"/>
  <c r="CU81" i="48" s="1"/>
  <c r="CZ82" i="48"/>
  <c r="CU82" i="48" s="1"/>
  <c r="CZ83" i="48"/>
  <c r="CU83" i="48" s="1"/>
  <c r="CZ84" i="48"/>
  <c r="CU84" i="48" s="1"/>
  <c r="CZ85" i="48"/>
  <c r="CU85" i="48" s="1"/>
  <c r="CZ86" i="48"/>
  <c r="CU86" i="48" s="1"/>
  <c r="CZ87" i="48"/>
  <c r="CU87" i="48" s="1"/>
  <c r="CZ88" i="48"/>
  <c r="CU88" i="48" s="1"/>
  <c r="CZ89" i="48"/>
  <c r="CU89" i="48" s="1"/>
  <c r="CZ90" i="48"/>
  <c r="CU90" i="48" s="1"/>
  <c r="CZ91" i="48"/>
  <c r="CU91" i="48" s="1"/>
  <c r="CZ92" i="48"/>
  <c r="CU92" i="48" s="1"/>
  <c r="CZ93" i="48"/>
  <c r="CU93" i="48" s="1"/>
  <c r="CZ94" i="48"/>
  <c r="CU94" i="48" s="1"/>
  <c r="CZ95" i="48"/>
  <c r="CU95" i="48" s="1"/>
  <c r="CZ96" i="48"/>
  <c r="CU96" i="48" s="1"/>
  <c r="CZ97" i="48"/>
  <c r="CU97" i="48" s="1"/>
  <c r="CZ98" i="48"/>
  <c r="CU98" i="48" s="1"/>
  <c r="CZ99" i="48"/>
  <c r="CU99" i="48" s="1"/>
  <c r="CZ100" i="48"/>
  <c r="CZ103" i="48"/>
  <c r="CZ104" i="48"/>
  <c r="CU104" i="48" s="1"/>
  <c r="CZ105" i="48"/>
  <c r="CU105" i="48" s="1"/>
  <c r="CZ106" i="48"/>
  <c r="CU106" i="48" s="1"/>
  <c r="CZ107" i="48"/>
  <c r="CU107" i="48" s="1"/>
  <c r="CZ108" i="48"/>
  <c r="CU108" i="48" s="1"/>
  <c r="CZ109" i="48"/>
  <c r="CU109" i="48" s="1"/>
  <c r="CZ110" i="48"/>
  <c r="CU110" i="48" s="1"/>
  <c r="CZ111" i="48"/>
  <c r="CU111" i="48" s="1"/>
  <c r="CZ112" i="48"/>
  <c r="CU112" i="48" s="1"/>
  <c r="CZ113" i="48"/>
  <c r="CU113" i="48" s="1"/>
  <c r="CZ114" i="48"/>
  <c r="CU114" i="48" s="1"/>
  <c r="CZ115" i="48"/>
  <c r="CU115" i="48" s="1"/>
  <c r="CZ116" i="48"/>
  <c r="CU116" i="48" s="1"/>
  <c r="CZ117" i="48"/>
  <c r="CU117" i="48" s="1"/>
  <c r="CZ118" i="48"/>
  <c r="CU118" i="48" s="1"/>
  <c r="CZ119" i="48"/>
  <c r="CU119" i="48" s="1"/>
  <c r="CZ120" i="48"/>
  <c r="CU120" i="48" s="1"/>
  <c r="CZ121" i="48"/>
  <c r="CU121" i="48" s="1"/>
  <c r="CZ122" i="48"/>
  <c r="CU122" i="48" s="1"/>
  <c r="CZ123" i="48"/>
  <c r="CU123" i="48" s="1"/>
  <c r="CZ124" i="48"/>
  <c r="CU124" i="48" s="1"/>
  <c r="CZ125" i="48"/>
  <c r="CZ128" i="48"/>
  <c r="CZ129" i="48"/>
  <c r="CU129" i="48" s="1"/>
  <c r="CZ130" i="48"/>
  <c r="CU130" i="48" s="1"/>
  <c r="CZ131" i="48"/>
  <c r="CU131" i="48" s="1"/>
  <c r="CZ132" i="48"/>
  <c r="CU132" i="48" s="1"/>
  <c r="CZ133" i="48"/>
  <c r="CU133" i="48" s="1"/>
  <c r="CZ134" i="48"/>
  <c r="CU134" i="48" s="1"/>
  <c r="CZ135" i="48"/>
  <c r="CU135" i="48" s="1"/>
  <c r="CZ136" i="48"/>
  <c r="CU136" i="48" s="1"/>
  <c r="CZ137" i="48"/>
  <c r="CU137" i="48" s="1"/>
  <c r="CZ138" i="48"/>
  <c r="CU138" i="48" s="1"/>
  <c r="CZ139" i="48"/>
  <c r="CU139" i="48" s="1"/>
  <c r="CZ140" i="48"/>
  <c r="CU140" i="48" s="1"/>
  <c r="CZ141" i="48"/>
  <c r="CU141" i="48" s="1"/>
  <c r="CZ142" i="48"/>
  <c r="CU142" i="48" s="1"/>
  <c r="CZ143" i="48"/>
  <c r="CU143" i="48" s="1"/>
  <c r="CZ144" i="48"/>
  <c r="CU144" i="48" s="1"/>
  <c r="CZ145" i="48"/>
  <c r="CU145" i="48" s="1"/>
  <c r="CZ146" i="48"/>
  <c r="CU146" i="48" s="1"/>
  <c r="CZ147" i="48"/>
  <c r="CU147" i="48" s="1"/>
  <c r="CZ148" i="48"/>
  <c r="CU148" i="48" s="1"/>
  <c r="CZ149" i="48"/>
  <c r="CU149" i="48" s="1"/>
  <c r="CZ150" i="48"/>
  <c r="CZ178" i="48"/>
  <c r="CZ179" i="48"/>
  <c r="CU179" i="48" s="1"/>
  <c r="CZ180" i="48"/>
  <c r="CU180" i="48" s="1"/>
  <c r="CZ181" i="48"/>
  <c r="CU181" i="48" s="1"/>
  <c r="CZ182" i="48"/>
  <c r="CU182" i="48" s="1"/>
  <c r="CZ183" i="48"/>
  <c r="CU183" i="48" s="1"/>
  <c r="CZ184" i="48"/>
  <c r="CU184" i="48" s="1"/>
  <c r="CZ185" i="48"/>
  <c r="CU185" i="48" s="1"/>
  <c r="CZ186" i="48"/>
  <c r="CU186" i="48" s="1"/>
  <c r="CZ187" i="48"/>
  <c r="CU187" i="48" s="1"/>
  <c r="CZ188" i="48"/>
  <c r="CU188" i="48" s="1"/>
  <c r="CZ189" i="48"/>
  <c r="CU189" i="48" s="1"/>
  <c r="CZ190" i="48"/>
  <c r="CU190" i="48" s="1"/>
  <c r="CZ191" i="48"/>
  <c r="CU191" i="48" s="1"/>
  <c r="CZ192" i="48"/>
  <c r="CU192" i="48" s="1"/>
  <c r="CZ193" i="48"/>
  <c r="CU193" i="48" s="1"/>
  <c r="CZ194" i="48"/>
  <c r="CU194" i="48" s="1"/>
  <c r="CZ195" i="48"/>
  <c r="CU195" i="48" s="1"/>
  <c r="CZ196" i="48"/>
  <c r="CU196" i="48" s="1"/>
  <c r="CZ197" i="48"/>
  <c r="CU197" i="48" s="1"/>
  <c r="CZ198" i="48"/>
  <c r="CU198" i="48" s="1"/>
  <c r="CZ199" i="48"/>
  <c r="CU199" i="48" s="1"/>
  <c r="CZ200" i="48"/>
  <c r="CZ225" i="48"/>
  <c r="CZ250" i="48"/>
  <c r="CZ274" i="48"/>
  <c r="CU274" i="48" s="1"/>
  <c r="CZ275" i="48"/>
  <c r="CZ278" i="48"/>
  <c r="CZ279" i="48"/>
  <c r="CU279" i="48" s="1"/>
  <c r="CZ280" i="48"/>
  <c r="CU280" i="48" s="1"/>
  <c r="CZ281" i="48"/>
  <c r="CU281" i="48" s="1"/>
  <c r="CZ282" i="48"/>
  <c r="CU282" i="48" s="1"/>
  <c r="CZ283" i="48"/>
  <c r="CU283" i="48" s="1"/>
  <c r="CZ284" i="48"/>
  <c r="CU284" i="48" s="1"/>
  <c r="CZ285" i="48"/>
  <c r="CU285" i="48" s="1"/>
  <c r="CZ286" i="48"/>
  <c r="CU286" i="48" s="1"/>
  <c r="CZ287" i="48"/>
  <c r="CU287" i="48" s="1"/>
  <c r="CZ288" i="48"/>
  <c r="CU288" i="48" s="1"/>
  <c r="CZ289" i="48"/>
  <c r="CU289" i="48" s="1"/>
  <c r="CZ290" i="48"/>
  <c r="CU290" i="48" s="1"/>
  <c r="CZ291" i="48"/>
  <c r="CU291" i="48" s="1"/>
  <c r="CZ292" i="48"/>
  <c r="CU292" i="48" s="1"/>
  <c r="CZ293" i="48"/>
  <c r="CU293" i="48" s="1"/>
  <c r="CZ294" i="48"/>
  <c r="CU294" i="48" s="1"/>
  <c r="CZ295" i="48"/>
  <c r="CU295" i="48" s="1"/>
  <c r="CZ296" i="48"/>
  <c r="CU296" i="48" s="1"/>
  <c r="CZ297" i="48"/>
  <c r="CU297" i="48" s="1"/>
  <c r="CZ298" i="48"/>
  <c r="CU298" i="48" s="1"/>
  <c r="CZ299" i="48"/>
  <c r="CU299" i="48" s="1"/>
  <c r="CZ300" i="48"/>
  <c r="CZ303" i="48"/>
  <c r="CZ304" i="48"/>
  <c r="CU304" i="48" s="1"/>
  <c r="CZ305" i="48"/>
  <c r="CU305" i="48" s="1"/>
  <c r="CZ306" i="48"/>
  <c r="CU306" i="48" s="1"/>
  <c r="CZ307" i="48"/>
  <c r="CU307" i="48" s="1"/>
  <c r="CZ308" i="48"/>
  <c r="CU308" i="48" s="1"/>
  <c r="CZ309" i="48"/>
  <c r="CU309" i="48" s="1"/>
  <c r="CZ310" i="48"/>
  <c r="CU310" i="48" s="1"/>
  <c r="CZ311" i="48"/>
  <c r="CU311" i="48" s="1"/>
  <c r="CZ312" i="48"/>
  <c r="CU312" i="48" s="1"/>
  <c r="CZ313" i="48"/>
  <c r="CU313" i="48" s="1"/>
  <c r="CZ314" i="48"/>
  <c r="CU314" i="48" s="1"/>
  <c r="CZ315" i="48"/>
  <c r="CU315" i="48" s="1"/>
  <c r="CZ316" i="48"/>
  <c r="CU316" i="48" s="1"/>
  <c r="CZ317" i="48"/>
  <c r="CU317" i="48" s="1"/>
  <c r="CZ318" i="48"/>
  <c r="CU318" i="48" s="1"/>
  <c r="CZ319" i="48"/>
  <c r="CU319" i="48" s="1"/>
  <c r="CZ320" i="48"/>
  <c r="CU320" i="48" s="1"/>
  <c r="CZ321" i="48"/>
  <c r="CU321" i="48" s="1"/>
  <c r="CZ322" i="48"/>
  <c r="CU322" i="48" s="1"/>
  <c r="CZ323" i="48"/>
  <c r="CU323" i="48" s="1"/>
  <c r="CZ324" i="48"/>
  <c r="CU324" i="48" s="1"/>
  <c r="CZ325" i="48"/>
  <c r="CZ328" i="48"/>
  <c r="CZ329" i="48"/>
  <c r="CU329" i="48" s="1"/>
  <c r="CZ330" i="48"/>
  <c r="CU330" i="48" s="1"/>
  <c r="CZ331" i="48"/>
  <c r="CU331" i="48" s="1"/>
  <c r="CZ332" i="48"/>
  <c r="CU332" i="48" s="1"/>
  <c r="CZ333" i="48"/>
  <c r="CU333" i="48" s="1"/>
  <c r="CZ334" i="48"/>
  <c r="CU334" i="48" s="1"/>
  <c r="CZ335" i="48"/>
  <c r="CU335" i="48" s="1"/>
  <c r="CZ336" i="48"/>
  <c r="CU336" i="48" s="1"/>
  <c r="CZ337" i="48"/>
  <c r="CU337" i="48" s="1"/>
  <c r="CZ338" i="48"/>
  <c r="CU338" i="48" s="1"/>
  <c r="CZ339" i="48"/>
  <c r="CU339" i="48" s="1"/>
  <c r="CZ340" i="48"/>
  <c r="CU340" i="48" s="1"/>
  <c r="CZ341" i="48"/>
  <c r="CU341" i="48" s="1"/>
  <c r="CZ342" i="48"/>
  <c r="CU342" i="48" s="1"/>
  <c r="CZ343" i="48"/>
  <c r="CU343" i="48" s="1"/>
  <c r="CZ344" i="48"/>
  <c r="CU344" i="48" s="1"/>
  <c r="CZ345" i="48"/>
  <c r="CU345" i="48" s="1"/>
  <c r="CZ346" i="48"/>
  <c r="CU346" i="48" s="1"/>
  <c r="CZ347" i="48"/>
  <c r="CU347" i="48" s="1"/>
  <c r="CZ348" i="48"/>
  <c r="CU348" i="48" s="1"/>
  <c r="CZ349" i="48"/>
  <c r="CU349" i="48" s="1"/>
  <c r="CZ350" i="48"/>
  <c r="CZ353" i="48"/>
  <c r="CZ354" i="48"/>
  <c r="CU354" i="48" s="1"/>
  <c r="CZ355" i="48"/>
  <c r="CU355" i="48" s="1"/>
  <c r="CZ356" i="48"/>
  <c r="CU356" i="48" s="1"/>
  <c r="CZ357" i="48"/>
  <c r="CU357" i="48" s="1"/>
  <c r="CZ358" i="48"/>
  <c r="CU358" i="48" s="1"/>
  <c r="CZ359" i="48"/>
  <c r="CU359" i="48" s="1"/>
  <c r="CZ360" i="48"/>
  <c r="CU360" i="48" s="1"/>
  <c r="CZ361" i="48"/>
  <c r="CU361" i="48" s="1"/>
  <c r="CZ362" i="48"/>
  <c r="CU362" i="48" s="1"/>
  <c r="CZ363" i="48"/>
  <c r="CU363" i="48" s="1"/>
  <c r="CZ364" i="48"/>
  <c r="CU364" i="48" s="1"/>
  <c r="CZ365" i="48"/>
  <c r="CU365" i="48" s="1"/>
  <c r="CZ366" i="48"/>
  <c r="CU366" i="48" s="1"/>
  <c r="CZ367" i="48"/>
  <c r="CU367" i="48" s="1"/>
  <c r="CZ368" i="48"/>
  <c r="CU368" i="48" s="1"/>
  <c r="CZ369" i="48"/>
  <c r="CU369" i="48" s="1"/>
  <c r="CZ370" i="48"/>
  <c r="CU370" i="48" s="1"/>
  <c r="CZ371" i="48"/>
  <c r="CU371" i="48" s="1"/>
  <c r="CZ372" i="48"/>
  <c r="CU372" i="48" s="1"/>
  <c r="CZ373" i="48"/>
  <c r="CU373" i="48" s="1"/>
  <c r="CZ374" i="48"/>
  <c r="CU374" i="48" s="1"/>
  <c r="CZ375" i="48"/>
  <c r="CZ378" i="48"/>
  <c r="CZ379" i="48"/>
  <c r="CU379" i="48" s="1"/>
  <c r="CZ380" i="48"/>
  <c r="CU380" i="48" s="1"/>
  <c r="CZ381" i="48"/>
  <c r="CU381" i="48" s="1"/>
  <c r="CZ382" i="48"/>
  <c r="CU382" i="48" s="1"/>
  <c r="CZ383" i="48"/>
  <c r="CU383" i="48" s="1"/>
  <c r="CZ384" i="48"/>
  <c r="CU384" i="48" s="1"/>
  <c r="CZ385" i="48"/>
  <c r="CU385" i="48" s="1"/>
  <c r="CZ386" i="48"/>
  <c r="CU386" i="48" s="1"/>
  <c r="CZ387" i="48"/>
  <c r="CU387" i="48" s="1"/>
  <c r="CZ388" i="48"/>
  <c r="CU388" i="48" s="1"/>
  <c r="CZ389" i="48"/>
  <c r="CU389" i="48" s="1"/>
  <c r="CZ390" i="48"/>
  <c r="CU390" i="48" s="1"/>
  <c r="CZ391" i="48"/>
  <c r="CU391" i="48" s="1"/>
  <c r="CZ392" i="48"/>
  <c r="CU392" i="48" s="1"/>
  <c r="CZ393" i="48"/>
  <c r="CU393" i="48" s="1"/>
  <c r="CZ394" i="48"/>
  <c r="CU394" i="48" s="1"/>
  <c r="CZ395" i="48"/>
  <c r="CU395" i="48" s="1"/>
  <c r="CZ396" i="48"/>
  <c r="CU396" i="48" s="1"/>
  <c r="CZ397" i="48"/>
  <c r="CU397" i="48" s="1"/>
  <c r="CZ398" i="48"/>
  <c r="CU398" i="48" s="1"/>
  <c r="CZ399" i="48"/>
  <c r="CU399" i="48" s="1"/>
  <c r="CZ400" i="48"/>
  <c r="CZ403" i="48"/>
  <c r="CZ404" i="48"/>
  <c r="CU404" i="48" s="1"/>
  <c r="CZ405" i="48"/>
  <c r="CU405" i="48" s="1"/>
  <c r="CZ406" i="48"/>
  <c r="CU406" i="48" s="1"/>
  <c r="CZ407" i="48"/>
  <c r="CU407" i="48" s="1"/>
  <c r="CZ408" i="48"/>
  <c r="CU408" i="48" s="1"/>
  <c r="CZ409" i="48"/>
  <c r="CU409" i="48" s="1"/>
  <c r="CZ410" i="48"/>
  <c r="CU410" i="48" s="1"/>
  <c r="CZ411" i="48"/>
  <c r="CU411" i="48" s="1"/>
  <c r="CZ412" i="48"/>
  <c r="CU412" i="48" s="1"/>
  <c r="CZ413" i="48"/>
  <c r="CU413" i="48" s="1"/>
  <c r="CZ414" i="48"/>
  <c r="CU414" i="48" s="1"/>
  <c r="CZ415" i="48"/>
  <c r="CU415" i="48" s="1"/>
  <c r="CZ416" i="48"/>
  <c r="CU416" i="48" s="1"/>
  <c r="CZ417" i="48"/>
  <c r="CU417" i="48" s="1"/>
  <c r="CZ418" i="48"/>
  <c r="CU418" i="48" s="1"/>
  <c r="CZ419" i="48"/>
  <c r="CU419" i="48" s="1"/>
  <c r="CZ420" i="48"/>
  <c r="CU420" i="48" s="1"/>
  <c r="CZ421" i="48"/>
  <c r="CU421" i="48" s="1"/>
  <c r="CZ422" i="48"/>
  <c r="CU422" i="48" s="1"/>
  <c r="CZ423" i="48"/>
  <c r="CU423" i="48" s="1"/>
  <c r="CZ424" i="48"/>
  <c r="CU424" i="48" s="1"/>
  <c r="CZ425" i="48"/>
  <c r="CZ428" i="48"/>
  <c r="CZ429" i="48"/>
  <c r="CU429" i="48" s="1"/>
  <c r="CZ430" i="48"/>
  <c r="CU430" i="48" s="1"/>
  <c r="CZ431" i="48"/>
  <c r="CU431" i="48" s="1"/>
  <c r="CZ432" i="48"/>
  <c r="CU432" i="48" s="1"/>
  <c r="CZ433" i="48"/>
  <c r="CU433" i="48" s="1"/>
  <c r="CZ434" i="48"/>
  <c r="CU434" i="48" s="1"/>
  <c r="CZ435" i="48"/>
  <c r="CU435" i="48" s="1"/>
  <c r="CZ436" i="48"/>
  <c r="CU436" i="48" s="1"/>
  <c r="CZ437" i="48"/>
  <c r="CU437" i="48" s="1"/>
  <c r="CZ438" i="48"/>
  <c r="CU438" i="48" s="1"/>
  <c r="CZ439" i="48"/>
  <c r="CU439" i="48" s="1"/>
  <c r="CZ440" i="48"/>
  <c r="CU440" i="48" s="1"/>
  <c r="CZ441" i="48"/>
  <c r="CU441" i="48" s="1"/>
  <c r="CZ442" i="48"/>
  <c r="CU442" i="48" s="1"/>
  <c r="CZ443" i="48"/>
  <c r="CU443" i="48" s="1"/>
  <c r="CZ444" i="48"/>
  <c r="CU444" i="48" s="1"/>
  <c r="CZ445" i="48"/>
  <c r="CU445" i="48" s="1"/>
  <c r="CZ446" i="48"/>
  <c r="CU446" i="48" s="1"/>
  <c r="CZ447" i="48"/>
  <c r="CU447" i="48" s="1"/>
  <c r="CZ448" i="48"/>
  <c r="CU448" i="48" s="1"/>
  <c r="CZ449" i="48"/>
  <c r="CU449" i="48" s="1"/>
  <c r="CZ450" i="48"/>
  <c r="CZ453" i="48"/>
  <c r="CZ454" i="48"/>
  <c r="CU454" i="48" s="1"/>
  <c r="CZ455" i="48"/>
  <c r="CU455" i="48" s="1"/>
  <c r="CZ456" i="48"/>
  <c r="CU456" i="48" s="1"/>
  <c r="CZ457" i="48"/>
  <c r="CU457" i="48" s="1"/>
  <c r="CZ458" i="48"/>
  <c r="CU458" i="48" s="1"/>
  <c r="CZ459" i="48"/>
  <c r="CU459" i="48" s="1"/>
  <c r="CZ460" i="48"/>
  <c r="CU460" i="48" s="1"/>
  <c r="CZ461" i="48"/>
  <c r="CU461" i="48" s="1"/>
  <c r="CZ462" i="48"/>
  <c r="CU462" i="48" s="1"/>
  <c r="CZ463" i="48"/>
  <c r="CU463" i="48" s="1"/>
  <c r="CZ464" i="48"/>
  <c r="CU464" i="48" s="1"/>
  <c r="CZ465" i="48"/>
  <c r="CU465" i="48" s="1"/>
  <c r="CZ466" i="48"/>
  <c r="CU466" i="48" s="1"/>
  <c r="CZ467" i="48"/>
  <c r="CU467" i="48" s="1"/>
  <c r="CZ468" i="48"/>
  <c r="CU468" i="48" s="1"/>
  <c r="CZ469" i="48"/>
  <c r="CU469" i="48" s="1"/>
  <c r="CZ470" i="48"/>
  <c r="CU470" i="48" s="1"/>
  <c r="CZ471" i="48"/>
  <c r="CU471" i="48" s="1"/>
  <c r="CZ472" i="48"/>
  <c r="CU472" i="48" s="1"/>
  <c r="CZ473" i="48"/>
  <c r="CU473" i="48" s="1"/>
  <c r="CZ474" i="48"/>
  <c r="CU474" i="48" s="1"/>
  <c r="CZ475" i="48"/>
  <c r="CZ478" i="48"/>
  <c r="CZ479" i="48"/>
  <c r="CU479" i="48" s="1"/>
  <c r="CZ480" i="48"/>
  <c r="CU480" i="48" s="1"/>
  <c r="CZ481" i="48"/>
  <c r="CU481" i="48" s="1"/>
  <c r="CZ482" i="48"/>
  <c r="CU482" i="48" s="1"/>
  <c r="CZ483" i="48"/>
  <c r="CU483" i="48" s="1"/>
  <c r="CZ484" i="48"/>
  <c r="CU484" i="48" s="1"/>
  <c r="CZ485" i="48"/>
  <c r="CU485" i="48" s="1"/>
  <c r="CZ486" i="48"/>
  <c r="CU486" i="48" s="1"/>
  <c r="CZ487" i="48"/>
  <c r="CU487" i="48" s="1"/>
  <c r="CZ488" i="48"/>
  <c r="CU488" i="48" s="1"/>
  <c r="CZ489" i="48"/>
  <c r="CU489" i="48" s="1"/>
  <c r="CZ490" i="48"/>
  <c r="CU490" i="48" s="1"/>
  <c r="CZ491" i="48"/>
  <c r="CU491" i="48" s="1"/>
  <c r="CZ492" i="48"/>
  <c r="CU492" i="48" s="1"/>
  <c r="CZ493" i="48"/>
  <c r="CU493" i="48" s="1"/>
  <c r="CZ494" i="48"/>
  <c r="CU494" i="48" s="1"/>
  <c r="CZ495" i="48"/>
  <c r="CU495" i="48" s="1"/>
  <c r="CZ496" i="48"/>
  <c r="CU496" i="48" s="1"/>
  <c r="CZ497" i="48"/>
  <c r="CU497" i="48" s="1"/>
  <c r="CZ498" i="48"/>
  <c r="CU498" i="48" s="1"/>
  <c r="CZ499" i="48"/>
  <c r="CU499" i="48" s="1"/>
  <c r="CZ500" i="48"/>
  <c r="CZ503" i="48"/>
  <c r="CZ504" i="48"/>
  <c r="CU504" i="48" s="1"/>
  <c r="CZ505" i="48"/>
  <c r="CU505" i="48" s="1"/>
  <c r="CZ506" i="48"/>
  <c r="CU506" i="48" s="1"/>
  <c r="CZ507" i="48"/>
  <c r="CU507" i="48" s="1"/>
  <c r="CZ508" i="48"/>
  <c r="CU508" i="48" s="1"/>
  <c r="CZ509" i="48"/>
  <c r="CU509" i="48" s="1"/>
  <c r="CZ510" i="48"/>
  <c r="CU510" i="48" s="1"/>
  <c r="CZ511" i="48"/>
  <c r="CU511" i="48" s="1"/>
  <c r="CZ512" i="48"/>
  <c r="CU512" i="48" s="1"/>
  <c r="CZ513" i="48"/>
  <c r="CU513" i="48" s="1"/>
  <c r="CZ514" i="48"/>
  <c r="CU514" i="48" s="1"/>
  <c r="CZ515" i="48"/>
  <c r="CU515" i="48" s="1"/>
  <c r="CZ516" i="48"/>
  <c r="CU516" i="48" s="1"/>
  <c r="CZ517" i="48"/>
  <c r="CU517" i="48" s="1"/>
  <c r="CZ518" i="48"/>
  <c r="CU518" i="48" s="1"/>
  <c r="CZ519" i="48"/>
  <c r="CU519" i="48" s="1"/>
  <c r="CZ520" i="48"/>
  <c r="CU520" i="48" s="1"/>
  <c r="CZ521" i="48"/>
  <c r="CU521" i="48" s="1"/>
  <c r="CZ522" i="48"/>
  <c r="CU522" i="48" s="1"/>
  <c r="CZ523" i="48"/>
  <c r="CU523" i="48" s="1"/>
  <c r="CZ524" i="48"/>
  <c r="CU524" i="48" s="1"/>
  <c r="CZ525" i="48"/>
  <c r="CZ528" i="48"/>
  <c r="CZ529" i="48"/>
  <c r="CU529" i="48" s="1"/>
  <c r="CZ530" i="48"/>
  <c r="CU530" i="48" s="1"/>
  <c r="CZ531" i="48"/>
  <c r="CU531" i="48" s="1"/>
  <c r="CZ532" i="48"/>
  <c r="CU532" i="48" s="1"/>
  <c r="CZ533" i="48"/>
  <c r="CU533" i="48" s="1"/>
  <c r="CZ534" i="48"/>
  <c r="CU534" i="48" s="1"/>
  <c r="CZ535" i="48"/>
  <c r="CU535" i="48" s="1"/>
  <c r="CZ536" i="48"/>
  <c r="CU536" i="48" s="1"/>
  <c r="CZ537" i="48"/>
  <c r="CU537" i="48" s="1"/>
  <c r="CZ538" i="48"/>
  <c r="CU538" i="48" s="1"/>
  <c r="CZ539" i="48"/>
  <c r="CU539" i="48" s="1"/>
  <c r="CZ540" i="48"/>
  <c r="CU540" i="48" s="1"/>
  <c r="CZ541" i="48"/>
  <c r="CU541" i="48" s="1"/>
  <c r="CZ542" i="48"/>
  <c r="CU542" i="48" s="1"/>
  <c r="CZ543" i="48"/>
  <c r="CU543" i="48" s="1"/>
  <c r="CZ544" i="48"/>
  <c r="CU544" i="48" s="1"/>
  <c r="CZ545" i="48"/>
  <c r="CU545" i="48" s="1"/>
  <c r="CZ546" i="48"/>
  <c r="CU546" i="48" s="1"/>
  <c r="CZ547" i="48"/>
  <c r="CU547" i="48" s="1"/>
  <c r="CZ548" i="48"/>
  <c r="CU548" i="48" s="1"/>
  <c r="CZ549" i="48"/>
  <c r="CU549" i="48" s="1"/>
  <c r="CZ550" i="48"/>
  <c r="CZ553" i="48"/>
  <c r="CZ554" i="48"/>
  <c r="CU554" i="48" s="1"/>
  <c r="CZ555" i="48"/>
  <c r="CU555" i="48" s="1"/>
  <c r="CZ556" i="48"/>
  <c r="CU556" i="48" s="1"/>
  <c r="CZ557" i="48"/>
  <c r="CU557" i="48" s="1"/>
  <c r="CZ558" i="48"/>
  <c r="CU558" i="48" s="1"/>
  <c r="CZ559" i="48"/>
  <c r="CU559" i="48" s="1"/>
  <c r="CZ560" i="48"/>
  <c r="CU560" i="48" s="1"/>
  <c r="CZ561" i="48"/>
  <c r="CU561" i="48" s="1"/>
  <c r="CZ562" i="48"/>
  <c r="CU562" i="48" s="1"/>
  <c r="CZ563" i="48"/>
  <c r="CU563" i="48" s="1"/>
  <c r="CZ564" i="48"/>
  <c r="CU564" i="48" s="1"/>
  <c r="CZ565" i="48"/>
  <c r="CU565" i="48" s="1"/>
  <c r="CZ566" i="48"/>
  <c r="CU566" i="48" s="1"/>
  <c r="CZ567" i="48"/>
  <c r="CU567" i="48" s="1"/>
  <c r="CZ568" i="48"/>
  <c r="CU568" i="48" s="1"/>
  <c r="CZ569" i="48"/>
  <c r="CU569" i="48" s="1"/>
  <c r="CZ570" i="48"/>
  <c r="CU570" i="48" s="1"/>
  <c r="CZ571" i="48"/>
  <c r="CU571" i="48" s="1"/>
  <c r="CZ572" i="48"/>
  <c r="CU572" i="48" s="1"/>
  <c r="CZ573" i="48"/>
  <c r="CU573" i="48" s="1"/>
  <c r="CZ574" i="48"/>
  <c r="CU574" i="48" s="1"/>
  <c r="CZ575" i="48"/>
  <c r="CZ578" i="48"/>
  <c r="CZ579" i="48"/>
  <c r="CU579" i="48" s="1"/>
  <c r="CZ580" i="48"/>
  <c r="CU580" i="48" s="1"/>
  <c r="CZ581" i="48"/>
  <c r="CU581" i="48" s="1"/>
  <c r="CZ582" i="48"/>
  <c r="CU582" i="48" s="1"/>
  <c r="CZ583" i="48"/>
  <c r="CU583" i="48" s="1"/>
  <c r="CZ584" i="48"/>
  <c r="CU584" i="48" s="1"/>
  <c r="CZ585" i="48"/>
  <c r="CU585" i="48" s="1"/>
  <c r="CZ586" i="48"/>
  <c r="CU586" i="48" s="1"/>
  <c r="CZ587" i="48"/>
  <c r="CU587" i="48" s="1"/>
  <c r="CZ588" i="48"/>
  <c r="CU588" i="48" s="1"/>
  <c r="CZ589" i="48"/>
  <c r="CU589" i="48" s="1"/>
  <c r="CZ590" i="48"/>
  <c r="CU590" i="48" s="1"/>
  <c r="CZ591" i="48"/>
  <c r="CU591" i="48" s="1"/>
  <c r="CZ592" i="48"/>
  <c r="CU592" i="48" s="1"/>
  <c r="CZ593" i="48"/>
  <c r="CU593" i="48" s="1"/>
  <c r="CZ594" i="48"/>
  <c r="CU594" i="48" s="1"/>
  <c r="CZ595" i="48"/>
  <c r="CU595" i="48" s="1"/>
  <c r="CZ596" i="48"/>
  <c r="CU596" i="48" s="1"/>
  <c r="CZ597" i="48"/>
  <c r="CU597" i="48" s="1"/>
  <c r="CZ598" i="48"/>
  <c r="CU598" i="48" s="1"/>
  <c r="CZ599" i="48"/>
  <c r="CU599" i="48" s="1"/>
  <c r="CZ600" i="48"/>
  <c r="CZ603" i="48"/>
  <c r="CZ604" i="48"/>
  <c r="CU604" i="48" s="1"/>
  <c r="CZ605" i="48"/>
  <c r="CU605" i="48" s="1"/>
  <c r="CZ606" i="48"/>
  <c r="CU606" i="48" s="1"/>
  <c r="CZ607" i="48"/>
  <c r="CU607" i="48" s="1"/>
  <c r="CZ608" i="48"/>
  <c r="CU608" i="48" s="1"/>
  <c r="CZ609" i="48"/>
  <c r="CU609" i="48" s="1"/>
  <c r="CZ610" i="48"/>
  <c r="CU610" i="48" s="1"/>
  <c r="CZ611" i="48"/>
  <c r="CU611" i="48" s="1"/>
  <c r="CZ612" i="48"/>
  <c r="CU612" i="48" s="1"/>
  <c r="CZ613" i="48"/>
  <c r="CU613" i="48" s="1"/>
  <c r="CZ614" i="48"/>
  <c r="CU614" i="48" s="1"/>
  <c r="CZ615" i="48"/>
  <c r="CU615" i="48" s="1"/>
  <c r="CZ616" i="48"/>
  <c r="CU616" i="48" s="1"/>
  <c r="CZ617" i="48"/>
  <c r="CU617" i="48" s="1"/>
  <c r="CZ618" i="48"/>
  <c r="CU618" i="48" s="1"/>
  <c r="CZ619" i="48"/>
  <c r="CU619" i="48" s="1"/>
  <c r="CZ620" i="48"/>
  <c r="CU620" i="48" s="1"/>
  <c r="CZ621" i="48"/>
  <c r="CU621" i="48" s="1"/>
  <c r="CZ622" i="48"/>
  <c r="CU622" i="48" s="1"/>
  <c r="CZ623" i="48"/>
  <c r="CU623" i="48" s="1"/>
  <c r="CZ624" i="48"/>
  <c r="CU624" i="48" s="1"/>
  <c r="CZ625" i="48"/>
  <c r="CZ629" i="48"/>
  <c r="CU629" i="48" s="1"/>
  <c r="CZ630" i="48"/>
  <c r="CU630" i="48" s="1"/>
  <c r="CZ631" i="48"/>
  <c r="CU631" i="48" s="1"/>
  <c r="CZ632" i="48"/>
  <c r="CU632" i="48" s="1"/>
  <c r="CZ633" i="48"/>
  <c r="CU633" i="48" s="1"/>
  <c r="CZ634" i="48"/>
  <c r="CU634" i="48" s="1"/>
  <c r="CZ635" i="48"/>
  <c r="CU635" i="48" s="1"/>
  <c r="CZ636" i="48"/>
  <c r="CU636" i="48" s="1"/>
  <c r="CZ637" i="48"/>
  <c r="CU637" i="48" s="1"/>
  <c r="CZ638" i="48"/>
  <c r="CU638" i="48" s="1"/>
  <c r="CZ639" i="48"/>
  <c r="CU639" i="48" s="1"/>
  <c r="CZ640" i="48"/>
  <c r="CU640" i="48" s="1"/>
  <c r="CZ641" i="48"/>
  <c r="CU641" i="48" s="1"/>
  <c r="CZ642" i="48"/>
  <c r="CU642" i="48" s="1"/>
  <c r="CZ643" i="48"/>
  <c r="CU643" i="48" s="1"/>
  <c r="CZ644" i="48"/>
  <c r="CU644" i="48" s="1"/>
  <c r="CZ645" i="48"/>
  <c r="CU645" i="48" s="1"/>
  <c r="CZ646" i="48"/>
  <c r="CU646" i="48" s="1"/>
  <c r="CZ647" i="48"/>
  <c r="CU647" i="48" s="1"/>
  <c r="CZ648" i="48"/>
  <c r="CU648" i="48" s="1"/>
  <c r="CZ649" i="48"/>
  <c r="CU649" i="48" s="1"/>
  <c r="CZ650" i="48"/>
  <c r="CZ653" i="48"/>
  <c r="CZ654" i="48"/>
  <c r="CU654" i="48" s="1"/>
  <c r="CZ655" i="48"/>
  <c r="CU655" i="48" s="1"/>
  <c r="CZ656" i="48"/>
  <c r="CU656" i="48" s="1"/>
  <c r="CZ657" i="48"/>
  <c r="CU657" i="48" s="1"/>
  <c r="CZ658" i="48"/>
  <c r="CU658" i="48" s="1"/>
  <c r="CZ659" i="48"/>
  <c r="CU659" i="48" s="1"/>
  <c r="CZ660" i="48"/>
  <c r="CU660" i="48" s="1"/>
  <c r="CZ661" i="48"/>
  <c r="CU661" i="48" s="1"/>
  <c r="CZ662" i="48"/>
  <c r="CU662" i="48" s="1"/>
  <c r="CZ663" i="48"/>
  <c r="CU663" i="48" s="1"/>
  <c r="CZ664" i="48"/>
  <c r="CU664" i="48" s="1"/>
  <c r="CZ665" i="48"/>
  <c r="CU665" i="48" s="1"/>
  <c r="CZ666" i="48"/>
  <c r="CU666" i="48" s="1"/>
  <c r="CZ667" i="48"/>
  <c r="CU667" i="48" s="1"/>
  <c r="CZ668" i="48"/>
  <c r="CU668" i="48" s="1"/>
  <c r="CZ669" i="48"/>
  <c r="CU669" i="48" s="1"/>
  <c r="CZ670" i="48"/>
  <c r="CU670" i="48" s="1"/>
  <c r="CZ671" i="48"/>
  <c r="CU671" i="48" s="1"/>
  <c r="CZ672" i="48"/>
  <c r="CU672" i="48" s="1"/>
  <c r="CZ673" i="48"/>
  <c r="CU673" i="48" s="1"/>
  <c r="CZ674" i="48"/>
  <c r="CU674" i="48" s="1"/>
  <c r="CZ675" i="48"/>
  <c r="CZ679" i="48"/>
  <c r="CU679" i="48" s="1"/>
  <c r="CZ680" i="48"/>
  <c r="CU680" i="48" s="1"/>
  <c r="CZ681" i="48"/>
  <c r="CU681" i="48" s="1"/>
  <c r="CZ682" i="48"/>
  <c r="CU682" i="48" s="1"/>
  <c r="CZ683" i="48"/>
  <c r="CU683" i="48" s="1"/>
  <c r="CZ684" i="48"/>
  <c r="CU684" i="48" s="1"/>
  <c r="CZ685" i="48"/>
  <c r="CU685" i="48" s="1"/>
  <c r="CZ686" i="48"/>
  <c r="CU686" i="48" s="1"/>
  <c r="CZ687" i="48"/>
  <c r="CU687" i="48" s="1"/>
  <c r="CZ688" i="48"/>
  <c r="CU688" i="48" s="1"/>
  <c r="CZ689" i="48"/>
  <c r="CU689" i="48" s="1"/>
  <c r="CZ690" i="48"/>
  <c r="CU690" i="48" s="1"/>
  <c r="CZ691" i="48"/>
  <c r="CU691" i="48" s="1"/>
  <c r="CZ692" i="48"/>
  <c r="CU692" i="48" s="1"/>
  <c r="CZ693" i="48"/>
  <c r="CU693" i="48" s="1"/>
  <c r="CZ694" i="48"/>
  <c r="CU694" i="48" s="1"/>
  <c r="CZ695" i="48"/>
  <c r="CU695" i="48" s="1"/>
  <c r="CZ696" i="48"/>
  <c r="CU696" i="48" s="1"/>
  <c r="CZ697" i="48"/>
  <c r="CU697" i="48" s="1"/>
  <c r="CZ698" i="48"/>
  <c r="CU698" i="48" s="1"/>
  <c r="CZ699" i="48"/>
  <c r="CU699" i="48" s="1"/>
  <c r="CZ700" i="48"/>
  <c r="CZ704" i="48"/>
  <c r="CU704" i="48" s="1"/>
  <c r="CZ705" i="48"/>
  <c r="CU705" i="48" s="1"/>
  <c r="CZ706" i="48"/>
  <c r="CU706" i="48" s="1"/>
  <c r="CZ707" i="48"/>
  <c r="CU707" i="48" s="1"/>
  <c r="CZ708" i="48"/>
  <c r="CU708" i="48" s="1"/>
  <c r="CZ709" i="48"/>
  <c r="CU709" i="48" s="1"/>
  <c r="CZ710" i="48"/>
  <c r="CU710" i="48" s="1"/>
  <c r="CZ711" i="48"/>
  <c r="CU711" i="48" s="1"/>
  <c r="CZ712" i="48"/>
  <c r="CU712" i="48" s="1"/>
  <c r="CZ713" i="48"/>
  <c r="CU713" i="48" s="1"/>
  <c r="CZ714" i="48"/>
  <c r="CU714" i="48" s="1"/>
  <c r="CZ715" i="48"/>
  <c r="CU715" i="48" s="1"/>
  <c r="CZ716" i="48"/>
  <c r="CU716" i="48" s="1"/>
  <c r="CZ717" i="48"/>
  <c r="CU717" i="48" s="1"/>
  <c r="CZ718" i="48"/>
  <c r="CU718" i="48" s="1"/>
  <c r="CZ719" i="48"/>
  <c r="CU719" i="48" s="1"/>
  <c r="CZ720" i="48"/>
  <c r="CU720" i="48" s="1"/>
  <c r="CZ721" i="48"/>
  <c r="CU721" i="48" s="1"/>
  <c r="CZ722" i="48"/>
  <c r="CU722" i="48" s="1"/>
  <c r="CZ723" i="48"/>
  <c r="CU723" i="48" s="1"/>
  <c r="CZ724" i="48"/>
  <c r="CU724" i="48" s="1"/>
  <c r="CZ725" i="48"/>
  <c r="CZ728" i="48"/>
  <c r="CZ729" i="48"/>
  <c r="CU729" i="48" s="1"/>
  <c r="CZ730" i="48"/>
  <c r="CU730" i="48" s="1"/>
  <c r="CZ731" i="48"/>
  <c r="CU731" i="48" s="1"/>
  <c r="CZ732" i="48"/>
  <c r="CU732" i="48" s="1"/>
  <c r="CZ733" i="48"/>
  <c r="CU733" i="48" s="1"/>
  <c r="CZ734" i="48"/>
  <c r="CU734" i="48" s="1"/>
  <c r="CZ735" i="48"/>
  <c r="CU735" i="48" s="1"/>
  <c r="CZ736" i="48"/>
  <c r="CU736" i="48" s="1"/>
  <c r="CZ737" i="48"/>
  <c r="CU737" i="48" s="1"/>
  <c r="CZ738" i="48"/>
  <c r="CU738" i="48" s="1"/>
  <c r="CZ739" i="48"/>
  <c r="CU739" i="48" s="1"/>
  <c r="CZ740" i="48"/>
  <c r="CU740" i="48" s="1"/>
  <c r="CZ741" i="48"/>
  <c r="CU741" i="48" s="1"/>
  <c r="CZ742" i="48"/>
  <c r="CU742" i="48" s="1"/>
  <c r="CZ743" i="48"/>
  <c r="CU743" i="48" s="1"/>
  <c r="CZ744" i="48"/>
  <c r="CU744" i="48" s="1"/>
  <c r="CZ745" i="48"/>
  <c r="CU745" i="48" s="1"/>
  <c r="CZ746" i="48"/>
  <c r="CU746" i="48" s="1"/>
  <c r="CZ747" i="48"/>
  <c r="CU747" i="48" s="1"/>
  <c r="CZ748" i="48"/>
  <c r="CU748" i="48" s="1"/>
  <c r="CZ749" i="48"/>
  <c r="CU749" i="48" s="1"/>
  <c r="CZ750" i="48"/>
  <c r="CZ754" i="48"/>
  <c r="CU754" i="48" s="1"/>
  <c r="CZ755" i="48"/>
  <c r="CU755" i="48" s="1"/>
  <c r="CZ756" i="48"/>
  <c r="CU756" i="48" s="1"/>
  <c r="CZ757" i="48"/>
  <c r="CU757" i="48" s="1"/>
  <c r="CZ758" i="48"/>
  <c r="CU758" i="48" s="1"/>
  <c r="CZ759" i="48"/>
  <c r="CU759" i="48" s="1"/>
  <c r="CZ760" i="48"/>
  <c r="CU760" i="48" s="1"/>
  <c r="CZ761" i="48"/>
  <c r="CU761" i="48" s="1"/>
  <c r="CZ762" i="48"/>
  <c r="CU762" i="48" s="1"/>
  <c r="CZ763" i="48"/>
  <c r="CU763" i="48" s="1"/>
  <c r="CZ764" i="48"/>
  <c r="CU764" i="48" s="1"/>
  <c r="CZ765" i="48"/>
  <c r="CU765" i="48" s="1"/>
  <c r="CZ766" i="48"/>
  <c r="CU766" i="48" s="1"/>
  <c r="CZ767" i="48"/>
  <c r="CU767" i="48" s="1"/>
  <c r="CZ768" i="48"/>
  <c r="CU768" i="48" s="1"/>
  <c r="CZ769" i="48"/>
  <c r="CU769" i="48" s="1"/>
  <c r="CZ770" i="48"/>
  <c r="CU770" i="48" s="1"/>
  <c r="CZ771" i="48"/>
  <c r="CU771" i="48" s="1"/>
  <c r="CZ772" i="48"/>
  <c r="CU772" i="48" s="1"/>
  <c r="CZ773" i="48"/>
  <c r="CU773" i="48" s="1"/>
  <c r="CZ774" i="48"/>
  <c r="CU774" i="48" s="1"/>
  <c r="CZ775" i="48"/>
  <c r="CZ779" i="48"/>
  <c r="CU779" i="48" s="1"/>
  <c r="CZ780" i="48"/>
  <c r="CU780" i="48" s="1"/>
  <c r="CZ781" i="48"/>
  <c r="CU781" i="48" s="1"/>
  <c r="CZ782" i="48"/>
  <c r="CU782" i="48" s="1"/>
  <c r="CZ783" i="48"/>
  <c r="CU783" i="48" s="1"/>
  <c r="CZ784" i="48"/>
  <c r="CU784" i="48" s="1"/>
  <c r="CZ785" i="48"/>
  <c r="CU785" i="48" s="1"/>
  <c r="CZ786" i="48"/>
  <c r="CU786" i="48" s="1"/>
  <c r="CZ787" i="48"/>
  <c r="CU787" i="48" s="1"/>
  <c r="CZ788" i="48"/>
  <c r="CU788" i="48" s="1"/>
  <c r="CZ789" i="48"/>
  <c r="CU789" i="48" s="1"/>
  <c r="CZ790" i="48"/>
  <c r="CU790" i="48" s="1"/>
  <c r="CZ791" i="48"/>
  <c r="CU791" i="48" s="1"/>
  <c r="CZ792" i="48"/>
  <c r="CU792" i="48" s="1"/>
  <c r="CZ793" i="48"/>
  <c r="CU793" i="48" s="1"/>
  <c r="CZ794" i="48"/>
  <c r="CU794" i="48" s="1"/>
  <c r="CZ795" i="48"/>
  <c r="CU795" i="48" s="1"/>
  <c r="CZ796" i="48"/>
  <c r="CU796" i="48" s="1"/>
  <c r="CZ797" i="48"/>
  <c r="CU797" i="48" s="1"/>
  <c r="CZ798" i="48"/>
  <c r="CU798" i="48" s="1"/>
  <c r="CZ799" i="48"/>
  <c r="CU799" i="48" s="1"/>
  <c r="CZ800" i="48"/>
  <c r="CZ803" i="48"/>
  <c r="CZ804" i="48"/>
  <c r="CU804" i="48" s="1"/>
  <c r="CZ805" i="48"/>
  <c r="CU805" i="48" s="1"/>
  <c r="CZ806" i="48"/>
  <c r="CU806" i="48" s="1"/>
  <c r="CZ807" i="48"/>
  <c r="CU807" i="48" s="1"/>
  <c r="CZ808" i="48"/>
  <c r="CU808" i="48" s="1"/>
  <c r="CZ809" i="48"/>
  <c r="CU809" i="48" s="1"/>
  <c r="CZ810" i="48"/>
  <c r="CU810" i="48" s="1"/>
  <c r="CZ811" i="48"/>
  <c r="CU811" i="48" s="1"/>
  <c r="CZ812" i="48"/>
  <c r="CU812" i="48" s="1"/>
  <c r="CZ813" i="48"/>
  <c r="CU813" i="48" s="1"/>
  <c r="CZ814" i="48"/>
  <c r="CU814" i="48" s="1"/>
  <c r="CZ815" i="48"/>
  <c r="CU815" i="48" s="1"/>
  <c r="CZ816" i="48"/>
  <c r="CU816" i="48" s="1"/>
  <c r="CZ817" i="48"/>
  <c r="CU817" i="48" s="1"/>
  <c r="CZ818" i="48"/>
  <c r="CU818" i="48" s="1"/>
  <c r="CZ819" i="48"/>
  <c r="CU819" i="48" s="1"/>
  <c r="CZ820" i="48"/>
  <c r="CU820" i="48" s="1"/>
  <c r="CZ821" i="48"/>
  <c r="CU821" i="48" s="1"/>
  <c r="CZ822" i="48"/>
  <c r="CU822" i="48" s="1"/>
  <c r="CZ823" i="48"/>
  <c r="CU823" i="48" s="1"/>
  <c r="CZ824" i="48"/>
  <c r="CU824" i="48" s="1"/>
  <c r="CZ825" i="48"/>
  <c r="CZ826" i="48" s="1"/>
  <c r="CZ828" i="48"/>
  <c r="CZ829" i="48"/>
  <c r="CU829" i="48" s="1"/>
  <c r="CZ830" i="48"/>
  <c r="CU830" i="48" s="1"/>
  <c r="CZ831" i="48"/>
  <c r="CU831" i="48" s="1"/>
  <c r="CZ832" i="48"/>
  <c r="CU832" i="48" s="1"/>
  <c r="CZ833" i="48"/>
  <c r="CU833" i="48" s="1"/>
  <c r="CZ834" i="48"/>
  <c r="CU834" i="48" s="1"/>
  <c r="CZ835" i="48"/>
  <c r="CU835" i="48" s="1"/>
  <c r="CZ836" i="48"/>
  <c r="CU836" i="48" s="1"/>
  <c r="CZ837" i="48"/>
  <c r="CU837" i="48" s="1"/>
  <c r="CZ838" i="48"/>
  <c r="CU838" i="48" s="1"/>
  <c r="CZ839" i="48"/>
  <c r="CU839" i="48" s="1"/>
  <c r="CZ840" i="48"/>
  <c r="CU840" i="48" s="1"/>
  <c r="CZ841" i="48"/>
  <c r="CU841" i="48" s="1"/>
  <c r="CZ842" i="48"/>
  <c r="CU842" i="48" s="1"/>
  <c r="CZ843" i="48"/>
  <c r="CU843" i="48" s="1"/>
  <c r="CZ844" i="48"/>
  <c r="CU844" i="48" s="1"/>
  <c r="CZ845" i="48"/>
  <c r="CU845" i="48" s="1"/>
  <c r="CZ846" i="48"/>
  <c r="CU846" i="48" s="1"/>
  <c r="CZ847" i="48"/>
  <c r="CU847" i="48" s="1"/>
  <c r="CZ848" i="48"/>
  <c r="CU848" i="48" s="1"/>
  <c r="CZ849" i="48"/>
  <c r="CU849" i="48" s="1"/>
  <c r="CZ850" i="48"/>
  <c r="CZ853" i="48"/>
  <c r="CZ854" i="48"/>
  <c r="CU854" i="48" s="1"/>
  <c r="CZ855" i="48"/>
  <c r="CU855" i="48" s="1"/>
  <c r="CZ856" i="48"/>
  <c r="CU856" i="48" s="1"/>
  <c r="CZ857" i="48"/>
  <c r="CU857" i="48" s="1"/>
  <c r="CZ858" i="48"/>
  <c r="CU858" i="48" s="1"/>
  <c r="CZ859" i="48"/>
  <c r="CU859" i="48" s="1"/>
  <c r="CZ860" i="48"/>
  <c r="CU860" i="48" s="1"/>
  <c r="CZ861" i="48"/>
  <c r="CU861" i="48" s="1"/>
  <c r="CZ862" i="48"/>
  <c r="CU862" i="48" s="1"/>
  <c r="CZ863" i="48"/>
  <c r="CU863" i="48" s="1"/>
  <c r="CZ864" i="48"/>
  <c r="CU864" i="48" s="1"/>
  <c r="CZ865" i="48"/>
  <c r="CU865" i="48" s="1"/>
  <c r="CZ866" i="48"/>
  <c r="CU866" i="48" s="1"/>
  <c r="CZ867" i="48"/>
  <c r="CU867" i="48" s="1"/>
  <c r="CZ868" i="48"/>
  <c r="CU868" i="48" s="1"/>
  <c r="CZ869" i="48"/>
  <c r="CU869" i="48" s="1"/>
  <c r="CZ870" i="48"/>
  <c r="CU870" i="48" s="1"/>
  <c r="CZ871" i="48"/>
  <c r="CU871" i="48" s="1"/>
  <c r="CZ872" i="48"/>
  <c r="CU872" i="48" s="1"/>
  <c r="CZ873" i="48"/>
  <c r="CU873" i="48" s="1"/>
  <c r="CZ874" i="48"/>
  <c r="CU874" i="48" s="1"/>
  <c r="CZ875" i="48"/>
  <c r="CZ878" i="48"/>
  <c r="CZ879" i="48"/>
  <c r="CU879" i="48" s="1"/>
  <c r="CZ880" i="48"/>
  <c r="CU880" i="48" s="1"/>
  <c r="CZ881" i="48"/>
  <c r="CU881" i="48" s="1"/>
  <c r="CZ882" i="48"/>
  <c r="CU882" i="48" s="1"/>
  <c r="CZ883" i="48"/>
  <c r="CU883" i="48" s="1"/>
  <c r="CZ884" i="48"/>
  <c r="CU884" i="48" s="1"/>
  <c r="CZ885" i="48"/>
  <c r="CU885" i="48" s="1"/>
  <c r="CZ886" i="48"/>
  <c r="CU886" i="48" s="1"/>
  <c r="CZ887" i="48"/>
  <c r="CU887" i="48" s="1"/>
  <c r="CZ888" i="48"/>
  <c r="CU888" i="48" s="1"/>
  <c r="CZ889" i="48"/>
  <c r="CU889" i="48" s="1"/>
  <c r="CZ890" i="48"/>
  <c r="CU890" i="48" s="1"/>
  <c r="CZ891" i="48"/>
  <c r="CU891" i="48" s="1"/>
  <c r="CZ892" i="48"/>
  <c r="CU892" i="48" s="1"/>
  <c r="CZ893" i="48"/>
  <c r="CU893" i="48" s="1"/>
  <c r="CZ894" i="48"/>
  <c r="CU894" i="48" s="1"/>
  <c r="CZ895" i="48"/>
  <c r="CU895" i="48" s="1"/>
  <c r="CZ896" i="48"/>
  <c r="CU896" i="48" s="1"/>
  <c r="CZ897" i="48"/>
  <c r="CU897" i="48" s="1"/>
  <c r="CZ898" i="48"/>
  <c r="CU898" i="48" s="1"/>
  <c r="CZ899" i="48"/>
  <c r="CU899" i="48" s="1"/>
  <c r="CZ900" i="48"/>
  <c r="CZ903" i="48"/>
  <c r="CZ904" i="48"/>
  <c r="CU904" i="48" s="1"/>
  <c r="CZ905" i="48"/>
  <c r="CU905" i="48" s="1"/>
  <c r="CZ906" i="48"/>
  <c r="CU906" i="48" s="1"/>
  <c r="CZ907" i="48"/>
  <c r="CU907" i="48" s="1"/>
  <c r="CZ908" i="48"/>
  <c r="CU908" i="48" s="1"/>
  <c r="CZ909" i="48"/>
  <c r="CU909" i="48" s="1"/>
  <c r="CZ910" i="48"/>
  <c r="CU910" i="48" s="1"/>
  <c r="CZ911" i="48"/>
  <c r="CU911" i="48" s="1"/>
  <c r="CZ912" i="48"/>
  <c r="CU912" i="48" s="1"/>
  <c r="CZ913" i="48"/>
  <c r="CU913" i="48" s="1"/>
  <c r="CZ914" i="48"/>
  <c r="CU914" i="48" s="1"/>
  <c r="CZ915" i="48"/>
  <c r="CU915" i="48" s="1"/>
  <c r="CZ916" i="48"/>
  <c r="CU916" i="48" s="1"/>
  <c r="CZ917" i="48"/>
  <c r="CU917" i="48" s="1"/>
  <c r="CZ918" i="48"/>
  <c r="CU918" i="48" s="1"/>
  <c r="CZ919" i="48"/>
  <c r="CU919" i="48" s="1"/>
  <c r="CZ920" i="48"/>
  <c r="CU920" i="48" s="1"/>
  <c r="CZ921" i="48"/>
  <c r="CU921" i="48" s="1"/>
  <c r="CZ922" i="48"/>
  <c r="CU922" i="48" s="1"/>
  <c r="CZ923" i="48"/>
  <c r="CU923" i="48" s="1"/>
  <c r="CZ924" i="48"/>
  <c r="CU924" i="48" s="1"/>
  <c r="CZ925" i="48"/>
  <c r="CZ928" i="48"/>
  <c r="CZ929" i="48"/>
  <c r="CU929" i="48" s="1"/>
  <c r="CZ930" i="48"/>
  <c r="CU930" i="48" s="1"/>
  <c r="CZ931" i="48"/>
  <c r="CU931" i="48" s="1"/>
  <c r="CZ932" i="48"/>
  <c r="CU932" i="48" s="1"/>
  <c r="CZ933" i="48"/>
  <c r="CU933" i="48" s="1"/>
  <c r="CZ934" i="48"/>
  <c r="CU934" i="48" s="1"/>
  <c r="CZ935" i="48"/>
  <c r="CU935" i="48" s="1"/>
  <c r="CZ936" i="48"/>
  <c r="CU936" i="48" s="1"/>
  <c r="CZ937" i="48"/>
  <c r="CU937" i="48" s="1"/>
  <c r="CZ938" i="48"/>
  <c r="CU938" i="48" s="1"/>
  <c r="CZ939" i="48"/>
  <c r="CU939" i="48" s="1"/>
  <c r="CZ940" i="48"/>
  <c r="CU940" i="48" s="1"/>
  <c r="CZ941" i="48"/>
  <c r="CU941" i="48" s="1"/>
  <c r="CZ942" i="48"/>
  <c r="CU942" i="48" s="1"/>
  <c r="CZ943" i="48"/>
  <c r="CU943" i="48" s="1"/>
  <c r="CZ944" i="48"/>
  <c r="CU944" i="48" s="1"/>
  <c r="CZ945" i="48"/>
  <c r="CU945" i="48" s="1"/>
  <c r="CZ946" i="48"/>
  <c r="CU946" i="48" s="1"/>
  <c r="CZ947" i="48"/>
  <c r="CU947" i="48" s="1"/>
  <c r="CZ948" i="48"/>
  <c r="CU948" i="48" s="1"/>
  <c r="CZ949" i="48"/>
  <c r="CU949" i="48" s="1"/>
  <c r="CZ950" i="48"/>
  <c r="CZ953" i="48"/>
  <c r="CZ954" i="48"/>
  <c r="CU954" i="48" s="1"/>
  <c r="CZ955" i="48"/>
  <c r="CU955" i="48" s="1"/>
  <c r="CZ956" i="48"/>
  <c r="CU956" i="48" s="1"/>
  <c r="CZ957" i="48"/>
  <c r="CU957" i="48" s="1"/>
  <c r="CZ958" i="48"/>
  <c r="CU958" i="48" s="1"/>
  <c r="CZ959" i="48"/>
  <c r="CU959" i="48" s="1"/>
  <c r="CZ960" i="48"/>
  <c r="CU960" i="48" s="1"/>
  <c r="CZ961" i="48"/>
  <c r="CU961" i="48" s="1"/>
  <c r="CZ962" i="48"/>
  <c r="CU962" i="48" s="1"/>
  <c r="CZ963" i="48"/>
  <c r="CU963" i="48" s="1"/>
  <c r="CZ964" i="48"/>
  <c r="CU964" i="48" s="1"/>
  <c r="CZ965" i="48"/>
  <c r="CU965" i="48" s="1"/>
  <c r="CZ966" i="48"/>
  <c r="CU966" i="48" s="1"/>
  <c r="CZ967" i="48"/>
  <c r="CU967" i="48" s="1"/>
  <c r="CZ968" i="48"/>
  <c r="CU968" i="48" s="1"/>
  <c r="CZ969" i="48"/>
  <c r="CU969" i="48" s="1"/>
  <c r="CZ970" i="48"/>
  <c r="CU970" i="48" s="1"/>
  <c r="CZ971" i="48"/>
  <c r="CU971" i="48" s="1"/>
  <c r="CZ972" i="48"/>
  <c r="CU972" i="48" s="1"/>
  <c r="CZ973" i="48"/>
  <c r="CU973" i="48" s="1"/>
  <c r="CZ974" i="48"/>
  <c r="CU974" i="48" s="1"/>
  <c r="CZ975" i="48"/>
  <c r="CZ978" i="48"/>
  <c r="CZ979" i="48"/>
  <c r="CU979" i="48" s="1"/>
  <c r="CZ980" i="48"/>
  <c r="CU980" i="48" s="1"/>
  <c r="CZ981" i="48"/>
  <c r="CU981" i="48" s="1"/>
  <c r="CZ982" i="48"/>
  <c r="CU982" i="48" s="1"/>
  <c r="CZ983" i="48"/>
  <c r="CU983" i="48" s="1"/>
  <c r="CZ984" i="48"/>
  <c r="CU984" i="48" s="1"/>
  <c r="CZ985" i="48"/>
  <c r="CU985" i="48" s="1"/>
  <c r="CZ986" i="48"/>
  <c r="CU986" i="48" s="1"/>
  <c r="CZ987" i="48"/>
  <c r="CU987" i="48" s="1"/>
  <c r="CZ988" i="48"/>
  <c r="CU988" i="48" s="1"/>
  <c r="CZ989" i="48"/>
  <c r="CU989" i="48" s="1"/>
  <c r="CZ990" i="48"/>
  <c r="CU990" i="48" s="1"/>
  <c r="CZ991" i="48"/>
  <c r="CU991" i="48" s="1"/>
  <c r="CZ992" i="48"/>
  <c r="CU992" i="48" s="1"/>
  <c r="CZ993" i="48"/>
  <c r="CU993" i="48" s="1"/>
  <c r="CZ994" i="48"/>
  <c r="CU994" i="48" s="1"/>
  <c r="CZ995" i="48"/>
  <c r="CU995" i="48" s="1"/>
  <c r="CZ996" i="48"/>
  <c r="CU996" i="48" s="1"/>
  <c r="CZ997" i="48"/>
  <c r="CU997" i="48" s="1"/>
  <c r="CZ998" i="48"/>
  <c r="CU998" i="48" s="1"/>
  <c r="CZ999" i="48"/>
  <c r="CU999" i="48" s="1"/>
  <c r="CZ1000" i="48"/>
  <c r="CZ1003" i="48"/>
  <c r="CZ1004" i="48"/>
  <c r="CU1004" i="48" s="1"/>
  <c r="CZ1005" i="48"/>
  <c r="CU1005" i="48" s="1"/>
  <c r="CZ1006" i="48"/>
  <c r="CU1006" i="48" s="1"/>
  <c r="CZ1007" i="48"/>
  <c r="CU1007" i="48" s="1"/>
  <c r="CZ1008" i="48"/>
  <c r="CU1008" i="48" s="1"/>
  <c r="CZ1009" i="48"/>
  <c r="CU1009" i="48" s="1"/>
  <c r="CZ1010" i="48"/>
  <c r="CU1010" i="48" s="1"/>
  <c r="CZ1011" i="48"/>
  <c r="CU1011" i="48" s="1"/>
  <c r="CZ1012" i="48"/>
  <c r="CU1012" i="48" s="1"/>
  <c r="CZ1013" i="48"/>
  <c r="CU1013" i="48" s="1"/>
  <c r="CZ1014" i="48"/>
  <c r="CU1014" i="48" s="1"/>
  <c r="CZ1015" i="48"/>
  <c r="CU1015" i="48" s="1"/>
  <c r="CZ1016" i="48"/>
  <c r="CU1016" i="48" s="1"/>
  <c r="CZ1017" i="48"/>
  <c r="CU1017" i="48" s="1"/>
  <c r="CZ1018" i="48"/>
  <c r="CU1018" i="48" s="1"/>
  <c r="CZ1019" i="48"/>
  <c r="CU1019" i="48" s="1"/>
  <c r="CZ1020" i="48"/>
  <c r="CU1020" i="48" s="1"/>
  <c r="CZ1021" i="48"/>
  <c r="CU1021" i="48" s="1"/>
  <c r="CZ1022" i="48"/>
  <c r="CU1022" i="48" s="1"/>
  <c r="CZ1023" i="48"/>
  <c r="CU1023" i="48" s="1"/>
  <c r="CZ1024" i="48"/>
  <c r="CU1024" i="48" s="1"/>
  <c r="CZ1025" i="48"/>
  <c r="CZ1028" i="48"/>
  <c r="CZ1029" i="48"/>
  <c r="CU1029" i="48" s="1"/>
  <c r="CZ1030" i="48"/>
  <c r="CU1030" i="48" s="1"/>
  <c r="CZ1031" i="48"/>
  <c r="CU1031" i="48" s="1"/>
  <c r="CZ1032" i="48"/>
  <c r="CU1032" i="48" s="1"/>
  <c r="CZ1033" i="48"/>
  <c r="CU1033" i="48" s="1"/>
  <c r="CZ1034" i="48"/>
  <c r="CU1034" i="48" s="1"/>
  <c r="CZ1035" i="48"/>
  <c r="CU1035" i="48" s="1"/>
  <c r="CZ1036" i="48"/>
  <c r="CU1036" i="48" s="1"/>
  <c r="CZ1037" i="48"/>
  <c r="CU1037" i="48" s="1"/>
  <c r="CZ1038" i="48"/>
  <c r="CU1038" i="48" s="1"/>
  <c r="CZ1039" i="48"/>
  <c r="CU1039" i="48" s="1"/>
  <c r="CZ1040" i="48"/>
  <c r="CU1040" i="48" s="1"/>
  <c r="CZ1041" i="48"/>
  <c r="CU1041" i="48" s="1"/>
  <c r="CZ1042" i="48"/>
  <c r="CU1042" i="48" s="1"/>
  <c r="CZ1043" i="48"/>
  <c r="CU1043" i="48" s="1"/>
  <c r="CZ1044" i="48"/>
  <c r="CU1044" i="48" s="1"/>
  <c r="CZ1045" i="48"/>
  <c r="CU1045" i="48" s="1"/>
  <c r="CZ1046" i="48"/>
  <c r="CU1046" i="48" s="1"/>
  <c r="CZ1047" i="48"/>
  <c r="CU1047" i="48" s="1"/>
  <c r="CZ1048" i="48"/>
  <c r="CU1048" i="48" s="1"/>
  <c r="CZ1049" i="48"/>
  <c r="CU1049" i="48" s="1"/>
  <c r="CZ1050" i="48"/>
  <c r="CZ1053" i="48"/>
  <c r="CZ1054" i="48"/>
  <c r="CU1054" i="48" s="1"/>
  <c r="CZ1055" i="48"/>
  <c r="CU1055" i="48" s="1"/>
  <c r="CZ1056" i="48"/>
  <c r="CU1056" i="48" s="1"/>
  <c r="CZ1057" i="48"/>
  <c r="CU1057" i="48" s="1"/>
  <c r="CZ1058" i="48"/>
  <c r="CU1058" i="48" s="1"/>
  <c r="CZ1059" i="48"/>
  <c r="CU1059" i="48" s="1"/>
  <c r="CZ1060" i="48"/>
  <c r="CU1060" i="48" s="1"/>
  <c r="CZ1061" i="48"/>
  <c r="CU1061" i="48" s="1"/>
  <c r="CZ1062" i="48"/>
  <c r="CU1062" i="48" s="1"/>
  <c r="CZ1063" i="48"/>
  <c r="CU1063" i="48" s="1"/>
  <c r="CZ1064" i="48"/>
  <c r="CU1064" i="48" s="1"/>
  <c r="CZ1065" i="48"/>
  <c r="CU1065" i="48" s="1"/>
  <c r="CZ1066" i="48"/>
  <c r="CU1066" i="48" s="1"/>
  <c r="CZ1067" i="48"/>
  <c r="CU1067" i="48" s="1"/>
  <c r="CZ1068" i="48"/>
  <c r="CU1068" i="48" s="1"/>
  <c r="CZ1069" i="48"/>
  <c r="CU1069" i="48" s="1"/>
  <c r="CZ1070" i="48"/>
  <c r="CU1070" i="48" s="1"/>
  <c r="CZ1071" i="48"/>
  <c r="CU1071" i="48" s="1"/>
  <c r="CZ1072" i="48"/>
  <c r="CU1072" i="48" s="1"/>
  <c r="CZ1073" i="48"/>
  <c r="CU1073" i="48" s="1"/>
  <c r="CZ1074" i="48"/>
  <c r="CU1074" i="48" s="1"/>
  <c r="CZ1078" i="48"/>
  <c r="CZ1079" i="48"/>
  <c r="CU1079" i="48" s="1"/>
  <c r="CZ1080" i="48"/>
  <c r="CU1080" i="48" s="1"/>
  <c r="CZ1081" i="48"/>
  <c r="CU1081" i="48" s="1"/>
  <c r="CZ1082" i="48"/>
  <c r="CU1082" i="48" s="1"/>
  <c r="CZ1083" i="48"/>
  <c r="CU1083" i="48" s="1"/>
  <c r="CZ1084" i="48"/>
  <c r="CU1084" i="48" s="1"/>
  <c r="CZ1085" i="48"/>
  <c r="CU1085" i="48" s="1"/>
  <c r="CZ1086" i="48"/>
  <c r="CU1086" i="48" s="1"/>
  <c r="CZ1087" i="48"/>
  <c r="CU1087" i="48" s="1"/>
  <c r="CZ1088" i="48"/>
  <c r="CU1088" i="48" s="1"/>
  <c r="CZ1089" i="48"/>
  <c r="CU1089" i="48" s="1"/>
  <c r="CZ1090" i="48"/>
  <c r="CU1090" i="48" s="1"/>
  <c r="CZ1091" i="48"/>
  <c r="CU1091" i="48" s="1"/>
  <c r="CZ1092" i="48"/>
  <c r="CU1092" i="48" s="1"/>
  <c r="CZ1093" i="48"/>
  <c r="CU1093" i="48" s="1"/>
  <c r="CZ1094" i="48"/>
  <c r="CU1094" i="48" s="1"/>
  <c r="CZ1095" i="48"/>
  <c r="CU1095" i="48" s="1"/>
  <c r="CZ1096" i="48"/>
  <c r="CU1096" i="48" s="1"/>
  <c r="CZ1097" i="48"/>
  <c r="CU1097" i="48" s="1"/>
  <c r="CZ1098" i="48"/>
  <c r="CU1098" i="48" s="1"/>
  <c r="CZ1099" i="48"/>
  <c r="CU1099" i="48" s="1"/>
  <c r="CZ1100" i="48"/>
  <c r="CZ1103" i="48"/>
  <c r="CZ1104" i="48"/>
  <c r="CU1104" i="48" s="1"/>
  <c r="CZ1105" i="48"/>
  <c r="CU1105" i="48" s="1"/>
  <c r="CZ1106" i="48"/>
  <c r="CU1106" i="48" s="1"/>
  <c r="CZ1107" i="48"/>
  <c r="CU1107" i="48" s="1"/>
  <c r="CZ1108" i="48"/>
  <c r="CU1108" i="48" s="1"/>
  <c r="CZ1109" i="48"/>
  <c r="CU1109" i="48" s="1"/>
  <c r="CZ1110" i="48"/>
  <c r="CU1110" i="48" s="1"/>
  <c r="CZ1111" i="48"/>
  <c r="CU1111" i="48" s="1"/>
  <c r="CZ1112" i="48"/>
  <c r="CU1112" i="48" s="1"/>
  <c r="CZ1113" i="48"/>
  <c r="CU1113" i="48" s="1"/>
  <c r="CZ1114" i="48"/>
  <c r="CU1114" i="48" s="1"/>
  <c r="CZ1115" i="48"/>
  <c r="CU1115" i="48" s="1"/>
  <c r="CZ1116" i="48"/>
  <c r="CU1116" i="48" s="1"/>
  <c r="CZ1117" i="48"/>
  <c r="CU1117" i="48" s="1"/>
  <c r="CZ1118" i="48"/>
  <c r="CU1118" i="48" s="1"/>
  <c r="CZ1119" i="48"/>
  <c r="CU1119" i="48" s="1"/>
  <c r="CZ1120" i="48"/>
  <c r="CU1120" i="48" s="1"/>
  <c r="CZ1121" i="48"/>
  <c r="CU1121" i="48" s="1"/>
  <c r="CZ1122" i="48"/>
  <c r="CU1122" i="48" s="1"/>
  <c r="CZ1123" i="48"/>
  <c r="CU1123" i="48" s="1"/>
  <c r="CZ1124" i="48"/>
  <c r="CU1124" i="48" s="1"/>
  <c r="CZ1125" i="48"/>
  <c r="CZ1128" i="48"/>
  <c r="CZ1129" i="48"/>
  <c r="CU1129" i="48" s="1"/>
  <c r="CZ1130" i="48"/>
  <c r="CU1130" i="48" s="1"/>
  <c r="CZ1131" i="48"/>
  <c r="CU1131" i="48" s="1"/>
  <c r="CZ1132" i="48"/>
  <c r="CU1132" i="48" s="1"/>
  <c r="CZ1133" i="48"/>
  <c r="CU1133" i="48" s="1"/>
  <c r="CZ1134" i="48"/>
  <c r="CU1134" i="48" s="1"/>
  <c r="CZ1135" i="48"/>
  <c r="CU1135" i="48" s="1"/>
  <c r="CZ1136" i="48"/>
  <c r="CU1136" i="48" s="1"/>
  <c r="CZ1137" i="48"/>
  <c r="CU1137" i="48" s="1"/>
  <c r="CZ1138" i="48"/>
  <c r="CU1138" i="48" s="1"/>
  <c r="CZ1139" i="48"/>
  <c r="CU1139" i="48" s="1"/>
  <c r="CZ1140" i="48"/>
  <c r="CU1140" i="48" s="1"/>
  <c r="CZ1141" i="48"/>
  <c r="CU1141" i="48" s="1"/>
  <c r="CZ1142" i="48"/>
  <c r="CU1142" i="48" s="1"/>
  <c r="CZ1143" i="48"/>
  <c r="CU1143" i="48" s="1"/>
  <c r="CZ1144" i="48"/>
  <c r="CU1144" i="48" s="1"/>
  <c r="CZ1145" i="48"/>
  <c r="CU1145" i="48" s="1"/>
  <c r="CZ1146" i="48"/>
  <c r="CU1146" i="48" s="1"/>
  <c r="CZ1147" i="48"/>
  <c r="CU1147" i="48" s="1"/>
  <c r="CZ1148" i="48"/>
  <c r="CU1148" i="48" s="1"/>
  <c r="CZ1149" i="48"/>
  <c r="CU1149" i="48" s="1"/>
  <c r="CZ1150" i="48"/>
  <c r="CZ1153" i="48"/>
  <c r="CZ1154" i="48"/>
  <c r="CU1154" i="48" s="1"/>
  <c r="CZ1155" i="48"/>
  <c r="CU1155" i="48" s="1"/>
  <c r="CZ1156" i="48"/>
  <c r="CU1156" i="48" s="1"/>
  <c r="CZ1157" i="48"/>
  <c r="CU1157" i="48" s="1"/>
  <c r="CZ1158" i="48"/>
  <c r="CU1158" i="48" s="1"/>
  <c r="CZ1159" i="48"/>
  <c r="CU1159" i="48" s="1"/>
  <c r="CZ1160" i="48"/>
  <c r="CU1160" i="48" s="1"/>
  <c r="CZ1161" i="48"/>
  <c r="CU1161" i="48" s="1"/>
  <c r="CZ1162" i="48"/>
  <c r="CU1162" i="48" s="1"/>
  <c r="CZ1163" i="48"/>
  <c r="CU1163" i="48" s="1"/>
  <c r="CZ1164" i="48"/>
  <c r="CU1164" i="48" s="1"/>
  <c r="CZ1165" i="48"/>
  <c r="CU1165" i="48" s="1"/>
  <c r="CZ1166" i="48"/>
  <c r="CU1166" i="48" s="1"/>
  <c r="CZ1167" i="48"/>
  <c r="CU1167" i="48" s="1"/>
  <c r="CZ1168" i="48"/>
  <c r="CU1168" i="48" s="1"/>
  <c r="CZ1169" i="48"/>
  <c r="CU1169" i="48" s="1"/>
  <c r="CZ1170" i="48"/>
  <c r="CU1170" i="48" s="1"/>
  <c r="CZ1171" i="48"/>
  <c r="CU1171" i="48" s="1"/>
  <c r="CZ1172" i="48"/>
  <c r="CU1172" i="48" s="1"/>
  <c r="CZ1173" i="48"/>
  <c r="CU1173" i="48" s="1"/>
  <c r="CZ1174" i="48"/>
  <c r="CU1174" i="48" s="1"/>
  <c r="CZ1175" i="48"/>
  <c r="CZ1178" i="48"/>
  <c r="CZ1179" i="48"/>
  <c r="CU1179" i="48" s="1"/>
  <c r="CZ1180" i="48"/>
  <c r="CU1180" i="48" s="1"/>
  <c r="CZ1181" i="48"/>
  <c r="CU1181" i="48" s="1"/>
  <c r="CZ1182" i="48"/>
  <c r="CU1182" i="48" s="1"/>
  <c r="CZ1183" i="48"/>
  <c r="CU1183" i="48" s="1"/>
  <c r="CZ1184" i="48"/>
  <c r="CU1184" i="48" s="1"/>
  <c r="CZ1185" i="48"/>
  <c r="CU1185" i="48" s="1"/>
  <c r="CZ1186" i="48"/>
  <c r="CU1186" i="48" s="1"/>
  <c r="CZ1187" i="48"/>
  <c r="CU1187" i="48" s="1"/>
  <c r="CZ1188" i="48"/>
  <c r="CU1188" i="48" s="1"/>
  <c r="CZ1189" i="48"/>
  <c r="CU1189" i="48" s="1"/>
  <c r="CZ1190" i="48"/>
  <c r="CU1190" i="48" s="1"/>
  <c r="CZ1191" i="48"/>
  <c r="CU1191" i="48" s="1"/>
  <c r="CZ1192" i="48"/>
  <c r="CU1192" i="48" s="1"/>
  <c r="CZ1193" i="48"/>
  <c r="CU1193" i="48" s="1"/>
  <c r="CZ1194" i="48"/>
  <c r="CU1194" i="48" s="1"/>
  <c r="CZ1195" i="48"/>
  <c r="CU1195" i="48" s="1"/>
  <c r="CZ1196" i="48"/>
  <c r="CU1196" i="48" s="1"/>
  <c r="CZ1197" i="48"/>
  <c r="CU1197" i="48" s="1"/>
  <c r="CZ1198" i="48"/>
  <c r="CU1198" i="48" s="1"/>
  <c r="CZ1199" i="48"/>
  <c r="CU1199" i="48" s="1"/>
  <c r="CZ1200" i="48"/>
  <c r="CZ1203" i="48"/>
  <c r="CZ1204" i="48"/>
  <c r="CU1204" i="48" s="1"/>
  <c r="CZ1205" i="48"/>
  <c r="CU1205" i="48" s="1"/>
  <c r="CZ1206" i="48"/>
  <c r="CU1206" i="48" s="1"/>
  <c r="CZ1207" i="48"/>
  <c r="CU1207" i="48" s="1"/>
  <c r="CZ1208" i="48"/>
  <c r="CU1208" i="48" s="1"/>
  <c r="CZ1209" i="48"/>
  <c r="CU1209" i="48" s="1"/>
  <c r="CZ1210" i="48"/>
  <c r="CU1210" i="48" s="1"/>
  <c r="CZ1211" i="48"/>
  <c r="CU1211" i="48" s="1"/>
  <c r="CZ1212" i="48"/>
  <c r="CU1212" i="48" s="1"/>
  <c r="CZ1213" i="48"/>
  <c r="CU1213" i="48" s="1"/>
  <c r="CZ1214" i="48"/>
  <c r="CU1214" i="48" s="1"/>
  <c r="CZ1215" i="48"/>
  <c r="CU1215" i="48" s="1"/>
  <c r="CZ1216" i="48"/>
  <c r="CU1216" i="48" s="1"/>
  <c r="CZ1217" i="48"/>
  <c r="CU1217" i="48" s="1"/>
  <c r="CZ1218" i="48"/>
  <c r="CU1218" i="48" s="1"/>
  <c r="CZ1219" i="48"/>
  <c r="CU1219" i="48" s="1"/>
  <c r="CZ1220" i="48"/>
  <c r="CU1220" i="48" s="1"/>
  <c r="CZ1221" i="48"/>
  <c r="CU1221" i="48" s="1"/>
  <c r="CZ1222" i="48"/>
  <c r="CU1222" i="48" s="1"/>
  <c r="CZ1223" i="48"/>
  <c r="CU1223" i="48" s="1"/>
  <c r="CZ1224" i="48"/>
  <c r="CU1224" i="48" s="1"/>
  <c r="CZ1225" i="48"/>
  <c r="CZ1228" i="48"/>
  <c r="CZ1229" i="48"/>
  <c r="CU1229" i="48" s="1"/>
  <c r="CZ1230" i="48"/>
  <c r="CU1230" i="48" s="1"/>
  <c r="CZ1231" i="48"/>
  <c r="CU1231" i="48" s="1"/>
  <c r="CZ1232" i="48"/>
  <c r="CU1232" i="48" s="1"/>
  <c r="CZ1233" i="48"/>
  <c r="CU1233" i="48" s="1"/>
  <c r="CZ1234" i="48"/>
  <c r="CU1234" i="48" s="1"/>
  <c r="CZ1235" i="48"/>
  <c r="CU1235" i="48" s="1"/>
  <c r="CZ1236" i="48"/>
  <c r="CU1236" i="48" s="1"/>
  <c r="CZ1237" i="48"/>
  <c r="CU1237" i="48" s="1"/>
  <c r="CZ1238" i="48"/>
  <c r="CU1238" i="48" s="1"/>
  <c r="CZ1239" i="48"/>
  <c r="CU1239" i="48" s="1"/>
  <c r="CZ1240" i="48"/>
  <c r="CU1240" i="48" s="1"/>
  <c r="CZ1241" i="48"/>
  <c r="CU1241" i="48" s="1"/>
  <c r="CZ1242" i="48"/>
  <c r="CU1242" i="48" s="1"/>
  <c r="CZ1243" i="48"/>
  <c r="CU1243" i="48" s="1"/>
  <c r="CZ1244" i="48"/>
  <c r="CU1244" i="48" s="1"/>
  <c r="CZ1245" i="48"/>
  <c r="CU1245" i="48" s="1"/>
  <c r="CZ1246" i="48"/>
  <c r="CU1246" i="48" s="1"/>
  <c r="CZ1247" i="48"/>
  <c r="CU1247" i="48" s="1"/>
  <c r="CZ1248" i="48"/>
  <c r="CU1248" i="48" s="1"/>
  <c r="CZ1249" i="48"/>
  <c r="CU1249" i="48" s="1"/>
  <c r="CZ1250" i="48"/>
  <c r="CZ1253" i="48"/>
  <c r="CZ1254" i="48"/>
  <c r="CU1254" i="48" s="1"/>
  <c r="CZ1255" i="48"/>
  <c r="CU1255" i="48" s="1"/>
  <c r="CZ1256" i="48"/>
  <c r="CU1256" i="48" s="1"/>
  <c r="CZ1257" i="48"/>
  <c r="CU1257" i="48" s="1"/>
  <c r="CZ1258" i="48"/>
  <c r="CU1258" i="48" s="1"/>
  <c r="CZ1259" i="48"/>
  <c r="CU1259" i="48" s="1"/>
  <c r="CZ1260" i="48"/>
  <c r="CU1260" i="48" s="1"/>
  <c r="CZ1261" i="48"/>
  <c r="CU1261" i="48" s="1"/>
  <c r="CZ1262" i="48"/>
  <c r="CU1262" i="48" s="1"/>
  <c r="CZ1263" i="48"/>
  <c r="CU1263" i="48" s="1"/>
  <c r="CZ1264" i="48"/>
  <c r="CU1264" i="48" s="1"/>
  <c r="CZ1265" i="48"/>
  <c r="CU1265" i="48" s="1"/>
  <c r="CZ1266" i="48"/>
  <c r="CU1266" i="48" s="1"/>
  <c r="CZ1267" i="48"/>
  <c r="CU1267" i="48" s="1"/>
  <c r="CZ1268" i="48"/>
  <c r="CU1268" i="48" s="1"/>
  <c r="CZ1269" i="48"/>
  <c r="CU1269" i="48" s="1"/>
  <c r="CZ1270" i="48"/>
  <c r="CU1270" i="48" s="1"/>
  <c r="CZ1271" i="48"/>
  <c r="CU1271" i="48" s="1"/>
  <c r="CZ1272" i="48"/>
  <c r="CU1272" i="48" s="1"/>
  <c r="CZ1273" i="48"/>
  <c r="CU1273" i="48" s="1"/>
  <c r="CZ1274" i="48"/>
  <c r="CU1274" i="48" s="1"/>
  <c r="CZ1275" i="48"/>
  <c r="CZ1278" i="48"/>
  <c r="CZ1279" i="48"/>
  <c r="CU1279" i="48" s="1"/>
  <c r="CZ1280" i="48"/>
  <c r="CU1280" i="48" s="1"/>
  <c r="CZ1281" i="48"/>
  <c r="CU1281" i="48" s="1"/>
  <c r="CZ1282" i="48"/>
  <c r="CU1282" i="48" s="1"/>
  <c r="CZ1283" i="48"/>
  <c r="CU1283" i="48" s="1"/>
  <c r="CZ1284" i="48"/>
  <c r="CU1284" i="48" s="1"/>
  <c r="CZ1285" i="48"/>
  <c r="CU1285" i="48" s="1"/>
  <c r="CZ1286" i="48"/>
  <c r="CU1286" i="48" s="1"/>
  <c r="CZ1287" i="48"/>
  <c r="CU1287" i="48" s="1"/>
  <c r="CZ1288" i="48"/>
  <c r="CU1288" i="48" s="1"/>
  <c r="CZ1289" i="48"/>
  <c r="CU1289" i="48" s="1"/>
  <c r="CZ1290" i="48"/>
  <c r="CU1290" i="48" s="1"/>
  <c r="CZ1291" i="48"/>
  <c r="CU1291" i="48" s="1"/>
  <c r="CZ1292" i="48"/>
  <c r="CU1292" i="48" s="1"/>
  <c r="CZ1293" i="48"/>
  <c r="CU1293" i="48" s="1"/>
  <c r="CZ1294" i="48"/>
  <c r="CU1294" i="48" s="1"/>
  <c r="CZ1295" i="48"/>
  <c r="CU1295" i="48" s="1"/>
  <c r="CZ1296" i="48"/>
  <c r="CU1296" i="48" s="1"/>
  <c r="CZ1297" i="48"/>
  <c r="CU1297" i="48" s="1"/>
  <c r="CZ1298" i="48"/>
  <c r="CU1298" i="48" s="1"/>
  <c r="CZ1299" i="48"/>
  <c r="CU1299" i="48" s="1"/>
  <c r="CZ1303" i="48"/>
  <c r="CZ1304" i="48"/>
  <c r="CU1304" i="48" s="1"/>
  <c r="CZ1305" i="48"/>
  <c r="CU1305" i="48" s="1"/>
  <c r="CZ1306" i="48"/>
  <c r="CU1306" i="48" s="1"/>
  <c r="CZ1307" i="48"/>
  <c r="CU1307" i="48" s="1"/>
  <c r="CZ1308" i="48"/>
  <c r="CU1308" i="48" s="1"/>
  <c r="CZ1309" i="48"/>
  <c r="CU1309" i="48" s="1"/>
  <c r="CZ1310" i="48"/>
  <c r="CU1310" i="48" s="1"/>
  <c r="CZ1311" i="48"/>
  <c r="CU1311" i="48" s="1"/>
  <c r="CZ1312" i="48"/>
  <c r="CU1312" i="48" s="1"/>
  <c r="CZ1313" i="48"/>
  <c r="CU1313" i="48" s="1"/>
  <c r="CZ1314" i="48"/>
  <c r="CU1314" i="48" s="1"/>
  <c r="CZ1315" i="48"/>
  <c r="CU1315" i="48" s="1"/>
  <c r="CZ1316" i="48"/>
  <c r="CU1316" i="48" s="1"/>
  <c r="CZ1317" i="48"/>
  <c r="CU1317" i="48" s="1"/>
  <c r="CZ1318" i="48"/>
  <c r="CU1318" i="48" s="1"/>
  <c r="CZ1319" i="48"/>
  <c r="CU1319" i="48" s="1"/>
  <c r="CZ1320" i="48"/>
  <c r="CU1320" i="48" s="1"/>
  <c r="CZ1321" i="48"/>
  <c r="CU1321" i="48" s="1"/>
  <c r="CZ1322" i="48"/>
  <c r="CU1322" i="48" s="1"/>
  <c r="CZ1323" i="48"/>
  <c r="CU1323" i="48" s="1"/>
  <c r="CZ1324" i="48"/>
  <c r="CU1324" i="48" s="1"/>
  <c r="CZ1325" i="48"/>
  <c r="CZ1328" i="48"/>
  <c r="CZ1329" i="48"/>
  <c r="CU1329" i="48" s="1"/>
  <c r="CZ1330" i="48"/>
  <c r="CU1330" i="48" s="1"/>
  <c r="CZ1331" i="48"/>
  <c r="CU1331" i="48" s="1"/>
  <c r="CZ1332" i="48"/>
  <c r="CU1332" i="48" s="1"/>
  <c r="CZ1333" i="48"/>
  <c r="CU1333" i="48" s="1"/>
  <c r="CZ1334" i="48"/>
  <c r="CU1334" i="48" s="1"/>
  <c r="CZ1335" i="48"/>
  <c r="CU1335" i="48" s="1"/>
  <c r="CZ1336" i="48"/>
  <c r="CU1336" i="48" s="1"/>
  <c r="CZ1337" i="48"/>
  <c r="CU1337" i="48" s="1"/>
  <c r="CZ1338" i="48"/>
  <c r="CU1338" i="48" s="1"/>
  <c r="CZ1339" i="48"/>
  <c r="CU1339" i="48" s="1"/>
  <c r="CZ1340" i="48"/>
  <c r="CU1340" i="48" s="1"/>
  <c r="CZ1341" i="48"/>
  <c r="CU1341" i="48" s="1"/>
  <c r="CZ1342" i="48"/>
  <c r="CU1342" i="48" s="1"/>
  <c r="CZ1343" i="48"/>
  <c r="CU1343" i="48" s="1"/>
  <c r="CZ1344" i="48"/>
  <c r="CU1344" i="48" s="1"/>
  <c r="CZ1345" i="48"/>
  <c r="CU1345" i="48" s="1"/>
  <c r="CZ1346" i="48"/>
  <c r="CU1346" i="48" s="1"/>
  <c r="CZ1347" i="48"/>
  <c r="CU1347" i="48" s="1"/>
  <c r="CZ1348" i="48"/>
  <c r="CU1348" i="48" s="1"/>
  <c r="CZ1349" i="48"/>
  <c r="CU1349" i="48" s="1"/>
  <c r="CZ1350" i="48"/>
  <c r="CZ3" i="48"/>
  <c r="E13" i="53"/>
  <c r="C13" i="53"/>
  <c r="BN51" i="48" l="1"/>
  <c r="CZ827" i="48"/>
  <c r="CU827" i="48" s="1"/>
  <c r="CU826" i="48"/>
  <c r="CU650" i="48"/>
  <c r="CZ651" i="48"/>
  <c r="CZ652" i="48" s="1"/>
  <c r="CU652" i="48" s="1"/>
  <c r="CU50" i="48"/>
  <c r="CZ51" i="48"/>
  <c r="CZ52" i="48" s="1"/>
  <c r="CU52" i="48" s="1"/>
  <c r="CU1200" i="48"/>
  <c r="CZ1201" i="48"/>
  <c r="CZ1202" i="48" s="1"/>
  <c r="CU1202" i="48" s="1"/>
  <c r="CU1025" i="48"/>
  <c r="CZ1026" i="48"/>
  <c r="CZ1027" i="48" s="1"/>
  <c r="CU1027" i="48" s="1"/>
  <c r="CU825" i="48"/>
  <c r="CU625" i="48"/>
  <c r="CZ626" i="48"/>
  <c r="CZ627" i="48" s="1"/>
  <c r="CU425" i="48"/>
  <c r="CZ426" i="48"/>
  <c r="CZ427" i="48" s="1"/>
  <c r="CU427" i="48" s="1"/>
  <c r="CU1225" i="48"/>
  <c r="CZ1226" i="48"/>
  <c r="CZ1227" i="48" s="1"/>
  <c r="CU1227" i="48" s="1"/>
  <c r="CU850" i="48"/>
  <c r="CZ851" i="48"/>
  <c r="CZ852" i="48" s="1"/>
  <c r="CU852" i="48" s="1"/>
  <c r="CU1250" i="48"/>
  <c r="CZ1251" i="48"/>
  <c r="CZ1252" i="48" s="1"/>
  <c r="CU1252" i="48" s="1"/>
  <c r="CU875" i="48"/>
  <c r="CZ876" i="48"/>
  <c r="CZ877" i="48" s="1"/>
  <c r="CU877" i="48" s="1"/>
  <c r="CU675" i="48"/>
  <c r="CZ676" i="48"/>
  <c r="CZ677" i="48" s="1"/>
  <c r="CU475" i="48"/>
  <c r="CZ476" i="48"/>
  <c r="CZ477" i="48" s="1"/>
  <c r="CU477" i="48" s="1"/>
  <c r="CU275" i="48"/>
  <c r="CZ276" i="48"/>
  <c r="CZ277" i="48" s="1"/>
  <c r="CU277" i="48" s="1"/>
  <c r="CU75" i="48"/>
  <c r="CZ76" i="48"/>
  <c r="CZ77" i="48" s="1"/>
  <c r="CU77" i="48" s="1"/>
  <c r="CU1275" i="48"/>
  <c r="CZ1276" i="48"/>
  <c r="CZ1277" i="48" s="1"/>
  <c r="CU1277" i="48" s="1"/>
  <c r="CU900" i="48"/>
  <c r="CZ901" i="48"/>
  <c r="CZ902" i="48" s="1"/>
  <c r="CU902" i="48" s="1"/>
  <c r="CU700" i="48"/>
  <c r="CZ701" i="48"/>
  <c r="CZ702" i="48" s="1"/>
  <c r="CU500" i="48"/>
  <c r="CZ501" i="48"/>
  <c r="CZ502" i="48" s="1"/>
  <c r="CU502" i="48" s="1"/>
  <c r="CU300" i="48"/>
  <c r="CZ301" i="48"/>
  <c r="CZ302" i="48" s="1"/>
  <c r="CU302" i="48" s="1"/>
  <c r="CU100" i="48"/>
  <c r="CZ101" i="48"/>
  <c r="CZ102" i="48" s="1"/>
  <c r="CU102" i="48" s="1"/>
  <c r="CU450" i="48"/>
  <c r="CZ451" i="48"/>
  <c r="CZ452" i="48" s="1"/>
  <c r="CU452" i="48" s="1"/>
  <c r="CU1100" i="48"/>
  <c r="CZ1101" i="48"/>
  <c r="CZ1102" i="48" s="1"/>
  <c r="CU1102" i="48" s="1"/>
  <c r="CU925" i="48"/>
  <c r="CZ926" i="48"/>
  <c r="CZ927" i="48" s="1"/>
  <c r="CU927" i="48" s="1"/>
  <c r="CU725" i="48"/>
  <c r="CZ726" i="48"/>
  <c r="CZ727" i="48" s="1"/>
  <c r="CU727" i="48" s="1"/>
  <c r="CU525" i="48"/>
  <c r="CZ526" i="48"/>
  <c r="CZ527" i="48" s="1"/>
  <c r="CU527" i="48" s="1"/>
  <c r="CU325" i="48"/>
  <c r="CZ326" i="48"/>
  <c r="CZ327" i="48" s="1"/>
  <c r="CU327" i="48" s="1"/>
  <c r="CU250" i="48"/>
  <c r="CZ251" i="48"/>
  <c r="CZ252" i="48" s="1"/>
  <c r="CU252" i="48" s="1"/>
  <c r="CU125" i="48"/>
  <c r="CZ126" i="48"/>
  <c r="CZ127" i="48" s="1"/>
  <c r="CU127" i="48" s="1"/>
  <c r="CU1125" i="48"/>
  <c r="CZ1126" i="48"/>
  <c r="CZ1127" i="48" s="1"/>
  <c r="CU1127" i="48" s="1"/>
  <c r="CU950" i="48"/>
  <c r="CZ951" i="48"/>
  <c r="CZ952" i="48" s="1"/>
  <c r="CU952" i="48" s="1"/>
  <c r="CU750" i="48"/>
  <c r="CZ751" i="48"/>
  <c r="CZ752" i="48" s="1"/>
  <c r="CU550" i="48"/>
  <c r="CZ551" i="48"/>
  <c r="CZ552" i="48" s="1"/>
  <c r="CU552" i="48" s="1"/>
  <c r="CU350" i="48"/>
  <c r="CZ351" i="48"/>
  <c r="CZ352" i="48" s="1"/>
  <c r="CU352" i="48" s="1"/>
  <c r="CU225" i="48"/>
  <c r="CZ226" i="48"/>
  <c r="CZ227" i="48" s="1"/>
  <c r="CU227" i="48" s="1"/>
  <c r="CU150" i="48"/>
  <c r="CZ151" i="48"/>
  <c r="CZ152" i="48" s="1"/>
  <c r="CU152" i="48" s="1"/>
  <c r="CU1050" i="48"/>
  <c r="CZ1051" i="48"/>
  <c r="CZ1052" i="48" s="1"/>
  <c r="CU1052" i="48" s="1"/>
  <c r="CU1325" i="48"/>
  <c r="CZ1326" i="48"/>
  <c r="CZ1327" i="48" s="1"/>
  <c r="CU1327" i="48" s="1"/>
  <c r="CU1150" i="48"/>
  <c r="CZ1151" i="48"/>
  <c r="CZ1152" i="48" s="1"/>
  <c r="CU1152" i="48" s="1"/>
  <c r="CU975" i="48"/>
  <c r="CZ976" i="48"/>
  <c r="CZ977" i="48" s="1"/>
  <c r="CU977" i="48" s="1"/>
  <c r="CU775" i="48"/>
  <c r="CZ776" i="48"/>
  <c r="CU575" i="48"/>
  <c r="CZ576" i="48"/>
  <c r="CZ577" i="48" s="1"/>
  <c r="CU577" i="48" s="1"/>
  <c r="CU375" i="48"/>
  <c r="CZ376" i="48"/>
  <c r="CZ377" i="48" s="1"/>
  <c r="CU377" i="48" s="1"/>
  <c r="CU200" i="48"/>
  <c r="CZ201" i="48"/>
  <c r="CZ202" i="48" s="1"/>
  <c r="CU202" i="48" s="1"/>
  <c r="CU1350" i="48"/>
  <c r="CZ1351" i="48"/>
  <c r="CZ1352" i="48" s="1"/>
  <c r="CU1352" i="48" s="1"/>
  <c r="CU1175" i="48"/>
  <c r="CZ1176" i="48"/>
  <c r="CZ1177" i="48" s="1"/>
  <c r="CU1177" i="48" s="1"/>
  <c r="CU1000" i="48"/>
  <c r="CZ1001" i="48"/>
  <c r="CZ1002" i="48" s="1"/>
  <c r="CU1002" i="48" s="1"/>
  <c r="CU800" i="48"/>
  <c r="CZ801" i="48"/>
  <c r="CZ802" i="48" s="1"/>
  <c r="CU802" i="48" s="1"/>
  <c r="CU600" i="48"/>
  <c r="CZ601" i="48"/>
  <c r="CZ602" i="48" s="1"/>
  <c r="CU602" i="48" s="1"/>
  <c r="CU400" i="48"/>
  <c r="CZ401" i="48"/>
  <c r="CZ402" i="48" s="1"/>
  <c r="CU402" i="48" s="1"/>
  <c r="CU25" i="48"/>
  <c r="CZ26" i="48"/>
  <c r="CZ27" i="48" s="1"/>
  <c r="CU27" i="48" s="1"/>
  <c r="CP1307" i="48"/>
  <c r="CR1307" i="48" s="1"/>
  <c r="CP430" i="48"/>
  <c r="CR430" i="48" s="1"/>
  <c r="DE8" i="48"/>
  <c r="DE16" i="48"/>
  <c r="DE9" i="48"/>
  <c r="DE17" i="48"/>
  <c r="DE25" i="48"/>
  <c r="DE6" i="48"/>
  <c r="DE14" i="48"/>
  <c r="DE22" i="48"/>
  <c r="DE7" i="48"/>
  <c r="DE15" i="48"/>
  <c r="DE23" i="48"/>
  <c r="DE10" i="48"/>
  <c r="DE18" i="48"/>
  <c r="DE3" i="48"/>
  <c r="DE11" i="48"/>
  <c r="DE19" i="48"/>
  <c r="DE4" i="48"/>
  <c r="DE12" i="48"/>
  <c r="DE20" i="48"/>
  <c r="DE5" i="48"/>
  <c r="DE13" i="48"/>
  <c r="DE21" i="48"/>
  <c r="DE24" i="48"/>
  <c r="E36" i="53"/>
  <c r="CP129" i="48"/>
  <c r="CR129" i="48" s="1"/>
  <c r="BN52" i="48" l="1"/>
  <c r="BO52" i="48" s="1"/>
  <c r="BP52" i="48" s="1"/>
  <c r="CI52" i="48" s="1"/>
  <c r="CJ52" i="48" s="1"/>
  <c r="BO51" i="48"/>
  <c r="BP51" i="48" s="1"/>
  <c r="CI51" i="48" s="1"/>
  <c r="CJ51" i="48" s="1"/>
  <c r="CZ753" i="48"/>
  <c r="CU753" i="48" s="1"/>
  <c r="DB753" i="48" s="1"/>
  <c r="CU752" i="48"/>
  <c r="CU702" i="48"/>
  <c r="CZ703" i="48"/>
  <c r="CU703" i="48" s="1"/>
  <c r="CU677" i="48"/>
  <c r="CZ678" i="48"/>
  <c r="CU678" i="48" s="1"/>
  <c r="CU627" i="48"/>
  <c r="CZ628" i="48"/>
  <c r="CU628" i="48" s="1"/>
  <c r="CU1026" i="48"/>
  <c r="CU801" i="48"/>
  <c r="CU201" i="48"/>
  <c r="CU751" i="48"/>
  <c r="CU676" i="48"/>
  <c r="CU1001" i="48"/>
  <c r="CU376" i="48"/>
  <c r="CU1151" i="48"/>
  <c r="CU226" i="48"/>
  <c r="CU951" i="48"/>
  <c r="CU326" i="48"/>
  <c r="CU1101" i="48"/>
  <c r="CU501" i="48"/>
  <c r="CU76" i="48"/>
  <c r="CU876" i="48"/>
  <c r="CU426" i="48"/>
  <c r="CU1201" i="48"/>
  <c r="CU976" i="48"/>
  <c r="CU151" i="48"/>
  <c r="CU1276" i="48"/>
  <c r="CU1226" i="48"/>
  <c r="CU401" i="48"/>
  <c r="CU1176" i="48"/>
  <c r="CU576" i="48"/>
  <c r="CU1326" i="48"/>
  <c r="CU351" i="48"/>
  <c r="CU1126" i="48"/>
  <c r="CU526" i="48"/>
  <c r="CU451" i="48"/>
  <c r="CU701" i="48"/>
  <c r="CU276" i="48"/>
  <c r="CU1251" i="48"/>
  <c r="CU626" i="48"/>
  <c r="CU51" i="48"/>
  <c r="CU301" i="48"/>
  <c r="CU926" i="48"/>
  <c r="CU601" i="48"/>
  <c r="CU1351" i="48"/>
  <c r="CU776" i="48"/>
  <c r="CU1051" i="48"/>
  <c r="CU551" i="48"/>
  <c r="CU126" i="48"/>
  <c r="CU726" i="48"/>
  <c r="CU101" i="48"/>
  <c r="CU901" i="48"/>
  <c r="CU476" i="48"/>
  <c r="CU851" i="48"/>
  <c r="CU651" i="48"/>
  <c r="CU251" i="48"/>
  <c r="CU26" i="48"/>
  <c r="CP1028" i="48"/>
  <c r="CX1057" i="48"/>
  <c r="CW1307" i="48"/>
  <c r="CX907" i="48"/>
  <c r="CX632" i="48"/>
  <c r="CV307" i="48"/>
  <c r="CW182" i="48"/>
  <c r="CV557" i="48"/>
  <c r="CV1157" i="48"/>
  <c r="CV832" i="48"/>
  <c r="CV582" i="48"/>
  <c r="CW332" i="48"/>
  <c r="CX407" i="48"/>
  <c r="CW32" i="48"/>
  <c r="CW1257" i="48"/>
  <c r="CW1207" i="48"/>
  <c r="CX432" i="48"/>
  <c r="CV1282" i="48"/>
  <c r="CV132" i="48"/>
  <c r="CV357" i="48"/>
  <c r="CP7" i="48"/>
  <c r="CR7" i="48" s="1"/>
  <c r="CX282" i="48"/>
  <c r="CX207" i="48"/>
  <c r="CP453" i="48"/>
  <c r="CW857" i="48"/>
  <c r="CW682" i="48"/>
  <c r="CX457" i="48"/>
  <c r="CX107" i="48"/>
  <c r="CX382" i="48"/>
  <c r="CW957" i="48"/>
  <c r="CP178" i="48"/>
  <c r="CX1107" i="48"/>
  <c r="CV1332" i="48"/>
  <c r="CX82" i="48"/>
  <c r="CV882" i="48"/>
  <c r="CW932" i="48"/>
  <c r="CX257" i="48"/>
  <c r="CP378" i="48"/>
  <c r="CX707" i="48"/>
  <c r="CW1132" i="48"/>
  <c r="CW1232" i="48"/>
  <c r="CV1007" i="48"/>
  <c r="CW532" i="48"/>
  <c r="CX782" i="48"/>
  <c r="CP432" i="48"/>
  <c r="CR432" i="48" s="1"/>
  <c r="CP307" i="48"/>
  <c r="CR307" i="48" s="1"/>
  <c r="CP553" i="48"/>
  <c r="CW1032" i="48"/>
  <c r="CW1182" i="48"/>
  <c r="CX807" i="48"/>
  <c r="CX482" i="48"/>
  <c r="CW757" i="48"/>
  <c r="CP32" i="48"/>
  <c r="CR32" i="48" s="1"/>
  <c r="CP782" i="48"/>
  <c r="CR782" i="48" s="1"/>
  <c r="CX1081" i="48"/>
  <c r="CP781" i="48"/>
  <c r="CR781" i="48" s="1"/>
  <c r="CP1156" i="48"/>
  <c r="CR1156" i="48" s="1"/>
  <c r="CP556" i="48"/>
  <c r="CR556" i="48" s="1"/>
  <c r="CP981" i="48"/>
  <c r="CR981" i="48" s="1"/>
  <c r="CP1306" i="48"/>
  <c r="CR1306" i="48" s="1"/>
  <c r="CP856" i="48"/>
  <c r="CR856" i="48" s="1"/>
  <c r="CP1206" i="48"/>
  <c r="CR1206" i="48" s="1"/>
  <c r="CP1256" i="48"/>
  <c r="CR1256" i="48" s="1"/>
  <c r="CP1181" i="48"/>
  <c r="CR1181" i="48" s="1"/>
  <c r="CP1056" i="48"/>
  <c r="CR1056" i="48" s="1"/>
  <c r="CP831" i="48"/>
  <c r="CR831" i="48" s="1"/>
  <c r="CP706" i="48"/>
  <c r="CR706" i="48" s="1"/>
  <c r="CP1031" i="48"/>
  <c r="CR1031" i="48" s="1"/>
  <c r="CP681" i="48"/>
  <c r="CR681" i="48" s="1"/>
  <c r="CP281" i="48"/>
  <c r="CR281" i="48" s="1"/>
  <c r="CP731" i="48"/>
  <c r="CR731" i="48" s="1"/>
  <c r="CP1106" i="48"/>
  <c r="CR1106" i="48" s="1"/>
  <c r="CP1231" i="48"/>
  <c r="CR1231" i="48" s="1"/>
  <c r="CP906" i="48"/>
  <c r="CR906" i="48" s="1"/>
  <c r="CP881" i="48"/>
  <c r="CR881" i="48" s="1"/>
  <c r="CP481" i="48"/>
  <c r="CR481" i="48" s="1"/>
  <c r="CP931" i="48"/>
  <c r="CR931" i="48" s="1"/>
  <c r="CP1081" i="48"/>
  <c r="CR1081" i="48" s="1"/>
  <c r="CP756" i="48"/>
  <c r="CR756" i="48" s="1"/>
  <c r="CP1331" i="48"/>
  <c r="CR1331" i="48" s="1"/>
  <c r="CP606" i="48"/>
  <c r="CR606" i="48" s="1"/>
  <c r="CP56" i="48"/>
  <c r="CR56" i="48" s="1"/>
  <c r="CP6" i="48"/>
  <c r="CR6" i="48" s="1"/>
  <c r="CP181" i="48"/>
  <c r="CR181" i="48" s="1"/>
  <c r="CP106" i="48"/>
  <c r="CR106" i="48" s="1"/>
  <c r="CP81" i="48"/>
  <c r="CR81" i="48" s="1"/>
  <c r="CP206" i="48"/>
  <c r="CR206" i="48" s="1"/>
  <c r="CP256" i="48"/>
  <c r="CR256" i="48" s="1"/>
  <c r="CP1281" i="48"/>
  <c r="CR1281" i="48" s="1"/>
  <c r="CP406" i="48"/>
  <c r="CR406" i="48" s="1"/>
  <c r="CP656" i="48"/>
  <c r="CR656" i="48" s="1"/>
  <c r="CP306" i="48"/>
  <c r="CR306" i="48" s="1"/>
  <c r="CP1006" i="48"/>
  <c r="CR1006" i="48" s="1"/>
  <c r="CP356" i="48"/>
  <c r="CR356" i="48" s="1"/>
  <c r="CP331" i="48"/>
  <c r="CR331" i="48" s="1"/>
  <c r="CP506" i="48"/>
  <c r="CR506" i="48" s="1"/>
  <c r="CP531" i="48"/>
  <c r="CR531" i="48" s="1"/>
  <c r="CP431" i="48"/>
  <c r="CR431" i="48" s="1"/>
  <c r="CP156" i="48"/>
  <c r="CR156" i="48" s="1"/>
  <c r="CP131" i="48"/>
  <c r="CR131" i="48" s="1"/>
  <c r="CP1131" i="48"/>
  <c r="CR1131" i="48" s="1"/>
  <c r="CP381" i="48"/>
  <c r="CR381" i="48" s="1"/>
  <c r="CP631" i="48"/>
  <c r="CR631" i="48" s="1"/>
  <c r="CP456" i="48"/>
  <c r="CR456" i="48" s="1"/>
  <c r="CP581" i="48"/>
  <c r="CR581" i="48" s="1"/>
  <c r="CP31" i="48"/>
  <c r="CR31" i="48" s="1"/>
  <c r="CP806" i="48"/>
  <c r="CR806" i="48" s="1"/>
  <c r="CP231" i="48"/>
  <c r="CR231" i="48" s="1"/>
  <c r="CP354" i="48"/>
  <c r="CR354" i="48" s="1"/>
  <c r="CP204" i="48"/>
  <c r="CR204" i="48" s="1"/>
  <c r="CP956" i="48"/>
  <c r="CR956" i="48" s="1"/>
  <c r="CW454" i="48"/>
  <c r="CP804" i="48"/>
  <c r="CR804" i="48" s="1"/>
  <c r="CP1154" i="48"/>
  <c r="CR1154" i="48" s="1"/>
  <c r="CP1204" i="48"/>
  <c r="CR1204" i="48" s="1"/>
  <c r="CP1129" i="48"/>
  <c r="CR1129" i="48" s="1"/>
  <c r="CP1004" i="48"/>
  <c r="CR1004" i="48" s="1"/>
  <c r="CP779" i="48"/>
  <c r="CR779" i="48" s="1"/>
  <c r="CP1304" i="48"/>
  <c r="CR1304" i="48" s="1"/>
  <c r="CP979" i="48"/>
  <c r="CR979" i="48" s="1"/>
  <c r="CP679" i="48"/>
  <c r="CR679" i="48" s="1"/>
  <c r="CP1179" i="48"/>
  <c r="CR1179" i="48" s="1"/>
  <c r="CP854" i="48"/>
  <c r="CR854" i="48" s="1"/>
  <c r="CP829" i="48"/>
  <c r="CR829" i="48" s="1"/>
  <c r="CP429" i="48"/>
  <c r="CR429" i="48" s="1"/>
  <c r="CP879" i="48"/>
  <c r="CR879" i="48" s="1"/>
  <c r="CP1254" i="48"/>
  <c r="CR1254" i="48" s="1"/>
  <c r="CP1054" i="48"/>
  <c r="CR1054" i="48" s="1"/>
  <c r="CP704" i="48"/>
  <c r="CR704" i="48" s="1"/>
  <c r="CP1029" i="48"/>
  <c r="CR1029" i="48" s="1"/>
  <c r="CP629" i="48"/>
  <c r="CR629" i="48" s="1"/>
  <c r="CP554" i="48"/>
  <c r="CR554" i="48" s="1"/>
  <c r="CP1329" i="48"/>
  <c r="CR1329" i="48" s="1"/>
  <c r="CP1229" i="48"/>
  <c r="CR1229" i="48" s="1"/>
  <c r="CP904" i="48"/>
  <c r="CR904" i="48" s="1"/>
  <c r="CP729" i="48"/>
  <c r="CR729" i="48" s="1"/>
  <c r="CP1104" i="48"/>
  <c r="CR1104" i="48" s="1"/>
  <c r="CP954" i="48"/>
  <c r="CR954" i="48" s="1"/>
  <c r="CP254" i="48"/>
  <c r="CR254" i="48" s="1"/>
  <c r="CP229" i="48"/>
  <c r="CR229" i="48" s="1"/>
  <c r="CP929" i="48"/>
  <c r="CR929" i="48" s="1"/>
  <c r="CP279" i="48"/>
  <c r="CR279" i="48" s="1"/>
  <c r="CP1279" i="48"/>
  <c r="CR1279" i="48" s="1"/>
  <c r="CP454" i="48"/>
  <c r="CR454" i="48" s="1"/>
  <c r="CP1079" i="48"/>
  <c r="CR1079" i="48" s="1"/>
  <c r="CP4" i="48"/>
  <c r="CR4" i="48" s="1"/>
  <c r="CP479" i="48"/>
  <c r="CR479" i="48" s="1"/>
  <c r="CP379" i="48"/>
  <c r="CR379" i="48" s="1"/>
  <c r="CP104" i="48"/>
  <c r="CR104" i="48" s="1"/>
  <c r="CP329" i="48"/>
  <c r="CR329" i="48" s="1"/>
  <c r="CP304" i="48"/>
  <c r="CR304" i="48" s="1"/>
  <c r="CP579" i="48"/>
  <c r="CR579" i="48" s="1"/>
  <c r="CP79" i="48"/>
  <c r="CR79" i="48" s="1"/>
  <c r="CP404" i="48"/>
  <c r="CR404" i="48" s="1"/>
  <c r="CP529" i="48"/>
  <c r="CR529" i="48" s="1"/>
  <c r="CP604" i="48"/>
  <c r="CR604" i="48" s="1"/>
  <c r="CP504" i="48"/>
  <c r="CR504" i="48" s="1"/>
  <c r="CP179" i="48"/>
  <c r="CR179" i="48" s="1"/>
  <c r="CP29" i="48"/>
  <c r="CR29" i="48" s="1"/>
  <c r="CP654" i="48"/>
  <c r="CR654" i="48" s="1"/>
  <c r="CP754" i="48"/>
  <c r="CR754" i="48" s="1"/>
  <c r="CP54" i="48"/>
  <c r="CR54" i="48" s="1"/>
  <c r="CW1080" i="48"/>
  <c r="CP1255" i="48"/>
  <c r="CR1255" i="48" s="1"/>
  <c r="CP905" i="48"/>
  <c r="CR905" i="48" s="1"/>
  <c r="CP1205" i="48"/>
  <c r="CR1205" i="48" s="1"/>
  <c r="CP1105" i="48"/>
  <c r="CR1105" i="48" s="1"/>
  <c r="CP780" i="48"/>
  <c r="CR780" i="48" s="1"/>
  <c r="CP755" i="48"/>
  <c r="CR755" i="48" s="1"/>
  <c r="CP355" i="48"/>
  <c r="CR355" i="48" s="1"/>
  <c r="CP805" i="48"/>
  <c r="CR805" i="48" s="1"/>
  <c r="CP1180" i="48"/>
  <c r="CR1180" i="48" s="1"/>
  <c r="CP980" i="48"/>
  <c r="CR980" i="48" s="1"/>
  <c r="CP955" i="48"/>
  <c r="CR955" i="48" s="1"/>
  <c r="CP555" i="48"/>
  <c r="CR555" i="48" s="1"/>
  <c r="CP1005" i="48"/>
  <c r="CR1005" i="48" s="1"/>
  <c r="CP1155" i="48"/>
  <c r="CR1155" i="48" s="1"/>
  <c r="CP830" i="48"/>
  <c r="CR830" i="48" s="1"/>
  <c r="CP655" i="48"/>
  <c r="CR655" i="48" s="1"/>
  <c r="CP1030" i="48"/>
  <c r="CR1030" i="48" s="1"/>
  <c r="CP855" i="48"/>
  <c r="CR855" i="48" s="1"/>
  <c r="CP1230" i="48"/>
  <c r="CR1230" i="48" s="1"/>
  <c r="CP730" i="48"/>
  <c r="CR730" i="48" s="1"/>
  <c r="CP1305" i="48"/>
  <c r="CR1305" i="48" s="1"/>
  <c r="CP1055" i="48"/>
  <c r="CR1055" i="48" s="1"/>
  <c r="CP1080" i="48"/>
  <c r="CR1080" i="48" s="1"/>
  <c r="CP705" i="48"/>
  <c r="CR705" i="48" s="1"/>
  <c r="CP405" i="48"/>
  <c r="CR405" i="48" s="1"/>
  <c r="CP580" i="48"/>
  <c r="CR580" i="48" s="1"/>
  <c r="CP305" i="48"/>
  <c r="CR305" i="48" s="1"/>
  <c r="CP205" i="48"/>
  <c r="CR205" i="48" s="1"/>
  <c r="CP605" i="48"/>
  <c r="CR605" i="48" s="1"/>
  <c r="CP680" i="48"/>
  <c r="CR680" i="48" s="1"/>
  <c r="CP505" i="48"/>
  <c r="CR505" i="48" s="1"/>
  <c r="CP230" i="48"/>
  <c r="CR230" i="48" s="1"/>
  <c r="CP1130" i="48"/>
  <c r="CR1130" i="48" s="1"/>
  <c r="CP480" i="48"/>
  <c r="CR480" i="48" s="1"/>
  <c r="CP330" i="48"/>
  <c r="CR330" i="48" s="1"/>
  <c r="CP455" i="48"/>
  <c r="CR455" i="48" s="1"/>
  <c r="CP280" i="48"/>
  <c r="CR280" i="48" s="1"/>
  <c r="CP1330" i="48"/>
  <c r="CR1330" i="48" s="1"/>
  <c r="CP530" i="48"/>
  <c r="CR530" i="48" s="1"/>
  <c r="CP630" i="48"/>
  <c r="CR630" i="48" s="1"/>
  <c r="CP105" i="48"/>
  <c r="CR105" i="48" s="1"/>
  <c r="CP30" i="48"/>
  <c r="CR30" i="48" s="1"/>
  <c r="CP1280" i="48"/>
  <c r="CR1280" i="48" s="1"/>
  <c r="CP880" i="48"/>
  <c r="CR880" i="48" s="1"/>
  <c r="CP55" i="48"/>
  <c r="CR55" i="48" s="1"/>
  <c r="CP80" i="48"/>
  <c r="CR80" i="48" s="1"/>
  <c r="CP130" i="48"/>
  <c r="CR130" i="48" s="1"/>
  <c r="CP255" i="48"/>
  <c r="CR255" i="48" s="1"/>
  <c r="CP180" i="48"/>
  <c r="CR180" i="48" s="1"/>
  <c r="CP155" i="48"/>
  <c r="CR155" i="48" s="1"/>
  <c r="CP5" i="48"/>
  <c r="CR5" i="48" s="1"/>
  <c r="CP380" i="48"/>
  <c r="CR380" i="48" s="1"/>
  <c r="CP930" i="48"/>
  <c r="CR930" i="48" s="1"/>
  <c r="CP154" i="48"/>
  <c r="CR154" i="48" s="1"/>
  <c r="CP207" i="48"/>
  <c r="CR207" i="48" s="1"/>
  <c r="CP1153" i="48"/>
  <c r="CP482" i="48"/>
  <c r="CR482" i="48" s="1"/>
  <c r="CP578" i="48"/>
  <c r="CP528" i="48"/>
  <c r="CP353" i="48"/>
  <c r="CP582" i="48"/>
  <c r="CR582" i="48" s="1"/>
  <c r="CP457" i="48"/>
  <c r="CR457" i="48" s="1"/>
  <c r="CP303" i="48"/>
  <c r="CP728" i="48"/>
  <c r="CP1282" i="48"/>
  <c r="CR1282" i="48" s="1"/>
  <c r="CP1157" i="48"/>
  <c r="CR1157" i="48" s="1"/>
  <c r="CP282" i="48"/>
  <c r="CR282" i="48" s="1"/>
  <c r="CP857" i="48"/>
  <c r="CR857" i="48" s="1"/>
  <c r="CP328" i="48"/>
  <c r="CP557" i="48"/>
  <c r="CR557" i="48" s="1"/>
  <c r="CP382" i="48"/>
  <c r="CR382" i="48" s="1"/>
  <c r="CW328" i="48"/>
  <c r="CP753" i="48"/>
  <c r="CP1128" i="48"/>
  <c r="CP1253" i="48"/>
  <c r="CP928" i="48"/>
  <c r="CP903" i="48"/>
  <c r="CP503" i="48"/>
  <c r="CP428" i="48"/>
  <c r="CP953" i="48"/>
  <c r="CP1103" i="48"/>
  <c r="CP778" i="48"/>
  <c r="CP628" i="48"/>
  <c r="CP978" i="48"/>
  <c r="CP803" i="48"/>
  <c r="CP1178" i="48"/>
  <c r="CP678" i="48"/>
  <c r="CP1003" i="48"/>
  <c r="CP1078" i="48"/>
  <c r="CP1328" i="48"/>
  <c r="CP878" i="48"/>
  <c r="CP653" i="48"/>
  <c r="CP1228" i="48"/>
  <c r="CP1278" i="48"/>
  <c r="CP1203" i="48"/>
  <c r="CP853" i="48"/>
  <c r="CP3" i="48"/>
  <c r="CP228" i="48"/>
  <c r="CP103" i="48"/>
  <c r="CP128" i="48"/>
  <c r="CP203" i="48"/>
  <c r="CP357" i="48"/>
  <c r="CR357" i="48" s="1"/>
  <c r="CP703" i="48"/>
  <c r="CP982" i="48"/>
  <c r="CR982" i="48" s="1"/>
  <c r="CP1132" i="48"/>
  <c r="CR1132" i="48" s="1"/>
  <c r="CP807" i="48"/>
  <c r="CR807" i="48" s="1"/>
  <c r="CP1007" i="48"/>
  <c r="CR1007" i="48" s="1"/>
  <c r="CP1182" i="48"/>
  <c r="CR1182" i="48" s="1"/>
  <c r="CP832" i="48"/>
  <c r="CR832" i="48" s="1"/>
  <c r="CP1207" i="48"/>
  <c r="CR1207" i="48" s="1"/>
  <c r="CP707" i="48"/>
  <c r="CR707" i="48" s="1"/>
  <c r="CP1032" i="48"/>
  <c r="CR1032" i="48" s="1"/>
  <c r="CP407" i="48"/>
  <c r="CR407" i="48" s="1"/>
  <c r="CP1107" i="48"/>
  <c r="CR1107" i="48" s="1"/>
  <c r="CP907" i="48"/>
  <c r="CR907" i="48" s="1"/>
  <c r="CP682" i="48"/>
  <c r="CR682" i="48" s="1"/>
  <c r="CP1257" i="48"/>
  <c r="CR1257" i="48" s="1"/>
  <c r="CP1232" i="48"/>
  <c r="CR1232" i="48" s="1"/>
  <c r="CP882" i="48"/>
  <c r="CR882" i="48" s="1"/>
  <c r="CP1057" i="48"/>
  <c r="CR1057" i="48" s="1"/>
  <c r="CP1082" i="48"/>
  <c r="CR1082" i="48" s="1"/>
  <c r="CP757" i="48"/>
  <c r="CR757" i="48" s="1"/>
  <c r="CP1332" i="48"/>
  <c r="CR1332" i="48" s="1"/>
  <c r="CP732" i="48"/>
  <c r="CR732" i="48" s="1"/>
  <c r="CP332" i="48"/>
  <c r="CR332" i="48" s="1"/>
  <c r="CP78" i="48"/>
  <c r="CP257" i="48"/>
  <c r="CR257" i="48" s="1"/>
  <c r="CP132" i="48"/>
  <c r="CR132" i="48" s="1"/>
  <c r="CP157" i="48"/>
  <c r="CR157" i="48" s="1"/>
  <c r="CP232" i="48"/>
  <c r="CR232" i="48" s="1"/>
  <c r="CP607" i="48"/>
  <c r="CR607" i="48" s="1"/>
  <c r="CP1053" i="48"/>
  <c r="CP957" i="48"/>
  <c r="CR957" i="48" s="1"/>
  <c r="CP107" i="48"/>
  <c r="CR107" i="48" s="1"/>
  <c r="CP57" i="48"/>
  <c r="CR57" i="48" s="1"/>
  <c r="CP182" i="48"/>
  <c r="CR182" i="48" s="1"/>
  <c r="CP253" i="48"/>
  <c r="CP657" i="48"/>
  <c r="CR657" i="48" s="1"/>
  <c r="CP828" i="48"/>
  <c r="CP28" i="48"/>
  <c r="CP53" i="48"/>
  <c r="CP603" i="48"/>
  <c r="CP478" i="48"/>
  <c r="CP932" i="48"/>
  <c r="CR932" i="48" s="1"/>
  <c r="CX732" i="48"/>
  <c r="DD7" i="48"/>
  <c r="CW7" i="48" s="1"/>
  <c r="CP82" i="48"/>
  <c r="CR82" i="48" s="1"/>
  <c r="CP153" i="48"/>
  <c r="CP403" i="48"/>
  <c r="CP632" i="48"/>
  <c r="CR632" i="48" s="1"/>
  <c r="CP507" i="48"/>
  <c r="CR507" i="48" s="1"/>
  <c r="CP532" i="48"/>
  <c r="CR532" i="48" s="1"/>
  <c r="CP1303" i="48"/>
  <c r="CX1157" i="48"/>
  <c r="CW1157" i="48"/>
  <c r="CV432" i="48"/>
  <c r="CW432" i="48"/>
  <c r="CV1057" i="48"/>
  <c r="CX1207" i="48"/>
  <c r="CV982" i="48"/>
  <c r="CV282" i="48"/>
  <c r="CX1082" i="48"/>
  <c r="CX357" i="48"/>
  <c r="CV207" i="48"/>
  <c r="CX582" i="48"/>
  <c r="CW582" i="48"/>
  <c r="CX1307" i="48"/>
  <c r="CW907" i="48"/>
  <c r="CV907" i="48"/>
  <c r="CX307" i="48"/>
  <c r="CW307" i="48"/>
  <c r="CV757" i="48"/>
  <c r="CV407" i="48"/>
  <c r="CW407" i="48"/>
  <c r="DD6" i="48"/>
  <c r="CW6" i="48" s="1"/>
  <c r="DD4" i="48"/>
  <c r="CW4" i="48" s="1"/>
  <c r="DD5" i="48"/>
  <c r="CW5" i="48" s="1"/>
  <c r="CP133" i="48"/>
  <c r="CR133" i="48" s="1"/>
  <c r="CW282" i="48" l="1"/>
  <c r="CY282" i="48" s="1"/>
  <c r="CV1207" i="48"/>
  <c r="CY1207" i="48" s="1"/>
  <c r="CW1057" i="48"/>
  <c r="CY1057" i="48" s="1"/>
  <c r="CX682" i="48"/>
  <c r="CX957" i="48"/>
  <c r="CV1307" i="48"/>
  <c r="CY1307" i="48" s="1"/>
  <c r="CW357" i="48"/>
  <c r="CY357" i="48" s="1"/>
  <c r="CX832" i="48"/>
  <c r="CW457" i="48"/>
  <c r="CV457" i="48"/>
  <c r="CW632" i="48"/>
  <c r="CV632" i="48"/>
  <c r="CX1007" i="48"/>
  <c r="CX857" i="48"/>
  <c r="CW107" i="48"/>
  <c r="CV1182" i="48"/>
  <c r="CV82" i="48"/>
  <c r="CW1007" i="48"/>
  <c r="CV454" i="48"/>
  <c r="CW82" i="48"/>
  <c r="CX1182" i="48"/>
  <c r="CX454" i="48"/>
  <c r="CX932" i="48"/>
  <c r="CW1107" i="48"/>
  <c r="CV232" i="48"/>
  <c r="CV707" i="48"/>
  <c r="CX328" i="48"/>
  <c r="CW982" i="48"/>
  <c r="CW657" i="48"/>
  <c r="CX982" i="48"/>
  <c r="CV507" i="48"/>
  <c r="CX1032" i="48"/>
  <c r="CV657" i="48"/>
  <c r="CW132" i="48"/>
  <c r="CW507" i="48"/>
  <c r="CX132" i="48"/>
  <c r="CV1081" i="48"/>
  <c r="CX507" i="48"/>
  <c r="CV682" i="48"/>
  <c r="CW1081" i="48"/>
  <c r="CV1232" i="48"/>
  <c r="CX1232" i="48"/>
  <c r="CV1032" i="48"/>
  <c r="CX657" i="48"/>
  <c r="CV32" i="48"/>
  <c r="CX1257" i="48"/>
  <c r="CW807" i="48"/>
  <c r="CX182" i="48"/>
  <c r="CW882" i="48"/>
  <c r="CV157" i="48"/>
  <c r="CV482" i="48"/>
  <c r="CX232" i="48"/>
  <c r="CX32" i="48"/>
  <c r="CX882" i="48"/>
  <c r="CV182" i="48"/>
  <c r="CV807" i="48"/>
  <c r="CV532" i="48"/>
  <c r="CX532" i="48"/>
  <c r="CV107" i="48"/>
  <c r="CW482" i="48"/>
  <c r="CW157" i="48"/>
  <c r="CW557" i="48"/>
  <c r="CV782" i="48"/>
  <c r="CX157" i="48"/>
  <c r="CX557" i="48"/>
  <c r="CW782" i="48"/>
  <c r="CV382" i="48"/>
  <c r="CW382" i="48"/>
  <c r="CV1257" i="48"/>
  <c r="CV932" i="48"/>
  <c r="CX332" i="48"/>
  <c r="CW232" i="48"/>
  <c r="CW832" i="48"/>
  <c r="CX1282" i="48"/>
  <c r="CV607" i="48"/>
  <c r="CV732" i="48"/>
  <c r="CW207" i="48"/>
  <c r="CY207" i="48" s="1"/>
  <c r="CW1332" i="48"/>
  <c r="CV1082" i="48"/>
  <c r="CV332" i="48"/>
  <c r="CW1282" i="48"/>
  <c r="CW607" i="48"/>
  <c r="CW732" i="48"/>
  <c r="CX1132" i="48"/>
  <c r="CX1332" i="48"/>
  <c r="CW1082" i="48"/>
  <c r="CX607" i="48"/>
  <c r="CV1132" i="48"/>
  <c r="CV857" i="48"/>
  <c r="CV7" i="48"/>
  <c r="CV328" i="48"/>
  <c r="CX757" i="48"/>
  <c r="CY757" i="48" s="1"/>
  <c r="CW707" i="48"/>
  <c r="CV57" i="48"/>
  <c r="CV1107" i="48"/>
  <c r="CW57" i="48"/>
  <c r="CX1080" i="48"/>
  <c r="CX57" i="48"/>
  <c r="CV257" i="48"/>
  <c r="CV1080" i="48"/>
  <c r="CV957" i="48"/>
  <c r="CY957" i="48" s="1"/>
  <c r="CW257" i="48"/>
  <c r="CX7" i="48"/>
  <c r="CP333" i="48"/>
  <c r="CR333" i="48" s="1"/>
  <c r="CP58" i="48"/>
  <c r="CR58" i="48" s="1"/>
  <c r="CP408" i="48"/>
  <c r="CR408" i="48" s="1"/>
  <c r="CP158" i="48"/>
  <c r="CR158" i="48" s="1"/>
  <c r="CP83" i="48"/>
  <c r="CR83" i="48" s="1"/>
  <c r="CP583" i="48"/>
  <c r="CR583" i="48" s="1"/>
  <c r="CP1233" i="48"/>
  <c r="CR1233" i="48" s="1"/>
  <c r="CP433" i="48"/>
  <c r="CR433" i="48" s="1"/>
  <c r="CP8" i="48"/>
  <c r="CR8" i="48" s="1"/>
  <c r="CP233" i="48"/>
  <c r="CR233" i="48" s="1"/>
  <c r="CP183" i="48"/>
  <c r="CR183" i="48" s="1"/>
  <c r="CP108" i="48"/>
  <c r="CR108" i="48" s="1"/>
  <c r="CP608" i="48"/>
  <c r="CR608" i="48" s="1"/>
  <c r="CP833" i="48"/>
  <c r="CR833" i="48" s="1"/>
  <c r="CP1008" i="48"/>
  <c r="CR1008" i="48" s="1"/>
  <c r="CP1183" i="48"/>
  <c r="CR1183" i="48" s="1"/>
  <c r="CP358" i="48"/>
  <c r="CR358" i="48" s="1"/>
  <c r="CP983" i="48"/>
  <c r="CR983" i="48" s="1"/>
  <c r="CP1033" i="48"/>
  <c r="CR1033" i="48" s="1"/>
  <c r="CP1258" i="48"/>
  <c r="CR1258" i="48" s="1"/>
  <c r="CP1333" i="48"/>
  <c r="CR1333" i="48" s="1"/>
  <c r="CP258" i="48"/>
  <c r="CR258" i="48" s="1"/>
  <c r="CP1133" i="48"/>
  <c r="CR1133" i="48" s="1"/>
  <c r="CP308" i="48"/>
  <c r="CR308" i="48" s="1"/>
  <c r="CP1058" i="48"/>
  <c r="CR1058" i="48" s="1"/>
  <c r="CP1108" i="48"/>
  <c r="CR1108" i="48" s="1"/>
  <c r="CP1158" i="48"/>
  <c r="CR1158" i="48" s="1"/>
  <c r="CP283" i="48"/>
  <c r="CR283" i="48" s="1"/>
  <c r="CP458" i="48"/>
  <c r="CR458" i="48" s="1"/>
  <c r="CP1083" i="48"/>
  <c r="CR1083" i="48" s="1"/>
  <c r="CP508" i="48"/>
  <c r="CR508" i="48" s="1"/>
  <c r="CP1283" i="48"/>
  <c r="CR1283" i="48" s="1"/>
  <c r="CP383" i="48"/>
  <c r="CR383" i="48" s="1"/>
  <c r="CP658" i="48"/>
  <c r="CR658" i="48" s="1"/>
  <c r="CP858" i="48"/>
  <c r="CR858" i="48" s="1"/>
  <c r="CP633" i="48"/>
  <c r="CR633" i="48" s="1"/>
  <c r="CP483" i="48"/>
  <c r="CR483" i="48" s="1"/>
  <c r="CP1208" i="48"/>
  <c r="CR1208" i="48" s="1"/>
  <c r="CP883" i="48"/>
  <c r="CR883" i="48" s="1"/>
  <c r="CP958" i="48"/>
  <c r="CR958" i="48" s="1"/>
  <c r="CP733" i="48"/>
  <c r="CR733" i="48" s="1"/>
  <c r="CP533" i="48"/>
  <c r="CR533" i="48" s="1"/>
  <c r="CP808" i="48"/>
  <c r="CR808" i="48" s="1"/>
  <c r="CP783" i="48"/>
  <c r="CR783" i="48" s="1"/>
  <c r="CP1308" i="48"/>
  <c r="CR1308" i="48" s="1"/>
  <c r="CP683" i="48"/>
  <c r="CR683" i="48" s="1"/>
  <c r="CP558" i="48"/>
  <c r="CR558" i="48" s="1"/>
  <c r="CP708" i="48"/>
  <c r="CR708" i="48" s="1"/>
  <c r="CP208" i="48"/>
  <c r="CR208" i="48" s="1"/>
  <c r="CP933" i="48"/>
  <c r="CR933" i="48" s="1"/>
  <c r="CP758" i="48"/>
  <c r="CR758" i="48" s="1"/>
  <c r="CP33" i="48"/>
  <c r="CR33" i="48" s="1"/>
  <c r="CP908" i="48"/>
  <c r="CR908" i="48" s="1"/>
  <c r="CY407" i="48"/>
  <c r="CY432" i="48"/>
  <c r="CY307" i="48"/>
  <c r="CY907" i="48"/>
  <c r="CX1053" i="48"/>
  <c r="CW1053" i="48"/>
  <c r="CV1053" i="48"/>
  <c r="CV755" i="48"/>
  <c r="CW755" i="48"/>
  <c r="CX755" i="48"/>
  <c r="CX153" i="48"/>
  <c r="CW153" i="48"/>
  <c r="CV153" i="48"/>
  <c r="CV128" i="48"/>
  <c r="CX128" i="48"/>
  <c r="CW128" i="48"/>
  <c r="CX155" i="48"/>
  <c r="CW155" i="48"/>
  <c r="CV155" i="48"/>
  <c r="CX1155" i="48"/>
  <c r="CW1155" i="48"/>
  <c r="CV1155" i="48"/>
  <c r="CX330" i="48"/>
  <c r="CW330" i="48"/>
  <c r="CV330" i="48"/>
  <c r="CX780" i="48"/>
  <c r="CW780" i="48"/>
  <c r="CV780" i="48"/>
  <c r="CX80" i="48"/>
  <c r="CW80" i="48"/>
  <c r="CV80" i="48"/>
  <c r="CV830" i="48"/>
  <c r="CX830" i="48"/>
  <c r="CW830" i="48"/>
  <c r="CX180" i="48"/>
  <c r="CW180" i="48"/>
  <c r="CV180" i="48"/>
  <c r="CW1005" i="48"/>
  <c r="CV1005" i="48"/>
  <c r="CX1005" i="48"/>
  <c r="CX680" i="48"/>
  <c r="CW680" i="48"/>
  <c r="CV680" i="48"/>
  <c r="CX980" i="48"/>
  <c r="CW980" i="48"/>
  <c r="CV980" i="48"/>
  <c r="CX605" i="48"/>
  <c r="CW605" i="48"/>
  <c r="CV605" i="48"/>
  <c r="CX230" i="48"/>
  <c r="CW230" i="48"/>
  <c r="CV230" i="48"/>
  <c r="CX504" i="48"/>
  <c r="CW504" i="48"/>
  <c r="CV504" i="48"/>
  <c r="CV979" i="48"/>
  <c r="CX979" i="48"/>
  <c r="CW979" i="48"/>
  <c r="CX1004" i="48"/>
  <c r="CW1004" i="48"/>
  <c r="CV1004" i="48"/>
  <c r="CV854" i="48"/>
  <c r="CX854" i="48"/>
  <c r="CW854" i="48"/>
  <c r="CV379" i="48"/>
  <c r="CW379" i="48"/>
  <c r="CX379" i="48"/>
  <c r="CV354" i="48"/>
  <c r="CX354" i="48"/>
  <c r="CW354" i="48"/>
  <c r="CX104" i="48"/>
  <c r="CW104" i="48"/>
  <c r="CV104" i="48"/>
  <c r="CX754" i="48"/>
  <c r="CW754" i="48"/>
  <c r="CV754" i="48"/>
  <c r="CW54" i="48"/>
  <c r="CX54" i="48"/>
  <c r="CV54" i="48"/>
  <c r="CX1279" i="48"/>
  <c r="CW1279" i="48"/>
  <c r="CV1279" i="48"/>
  <c r="CW904" i="48"/>
  <c r="CV904" i="48"/>
  <c r="CX904" i="48"/>
  <c r="CV154" i="48"/>
  <c r="CX154" i="48"/>
  <c r="CW154" i="48"/>
  <c r="CV229" i="48"/>
  <c r="CX229" i="48"/>
  <c r="CW229" i="48"/>
  <c r="CX1131" i="48"/>
  <c r="CW1131" i="48"/>
  <c r="CV1131" i="48"/>
  <c r="CX931" i="48"/>
  <c r="CV931" i="48"/>
  <c r="CW931" i="48"/>
  <c r="CX506" i="48"/>
  <c r="CW506" i="48"/>
  <c r="CV506" i="48"/>
  <c r="CX481" i="48"/>
  <c r="CV481" i="48"/>
  <c r="CW481" i="48"/>
  <c r="CW281" i="48"/>
  <c r="CV281" i="48"/>
  <c r="CX281" i="48"/>
  <c r="CX456" i="48"/>
  <c r="CV456" i="48"/>
  <c r="CW456" i="48"/>
  <c r="CW631" i="48"/>
  <c r="CV631" i="48"/>
  <c r="CX631" i="48"/>
  <c r="CW256" i="48"/>
  <c r="CV256" i="48"/>
  <c r="CX256" i="48"/>
  <c r="CX1206" i="48"/>
  <c r="CW1206" i="48"/>
  <c r="CV1206" i="48"/>
  <c r="CV1106" i="48"/>
  <c r="CX1106" i="48"/>
  <c r="CW1106" i="48"/>
  <c r="CX606" i="48"/>
  <c r="CW606" i="48"/>
  <c r="CV606" i="48"/>
  <c r="CV1156" i="48"/>
  <c r="CX1156" i="48"/>
  <c r="CW1156" i="48"/>
  <c r="CX781" i="48"/>
  <c r="CW781" i="48"/>
  <c r="CV781" i="48"/>
  <c r="CX380" i="48"/>
  <c r="CW380" i="48"/>
  <c r="CV380" i="48"/>
  <c r="CW478" i="48"/>
  <c r="CX478" i="48"/>
  <c r="CV478" i="48"/>
  <c r="CV405" i="48"/>
  <c r="CX405" i="48"/>
  <c r="CW405" i="48"/>
  <c r="CX278" i="48"/>
  <c r="CV278" i="48"/>
  <c r="CW278" i="48"/>
  <c r="CV603" i="48"/>
  <c r="CX603" i="48"/>
  <c r="CW603" i="48"/>
  <c r="CW903" i="48"/>
  <c r="CV903" i="48"/>
  <c r="CX903" i="48"/>
  <c r="CV1328" i="48"/>
  <c r="CX1328" i="48"/>
  <c r="CW1328" i="48"/>
  <c r="CV1253" i="48"/>
  <c r="CW1253" i="48"/>
  <c r="CX1253" i="48"/>
  <c r="CX403" i="48"/>
  <c r="CW403" i="48"/>
  <c r="CV403" i="48"/>
  <c r="CV378" i="48"/>
  <c r="CW378" i="48"/>
  <c r="CX378" i="48"/>
  <c r="CX1078" i="48"/>
  <c r="CW1078" i="48"/>
  <c r="CV1078" i="48"/>
  <c r="CW1153" i="48"/>
  <c r="CV1153" i="48"/>
  <c r="CX1153" i="48"/>
  <c r="CY582" i="48"/>
  <c r="CY1157" i="48"/>
  <c r="CX1230" i="48"/>
  <c r="CW1230" i="48"/>
  <c r="CV1230" i="48"/>
  <c r="CW1130" i="48"/>
  <c r="CV1130" i="48"/>
  <c r="CX1130" i="48"/>
  <c r="CX653" i="48"/>
  <c r="CW653" i="48"/>
  <c r="CV653" i="48"/>
  <c r="CX1180" i="48"/>
  <c r="CW1180" i="48"/>
  <c r="CV1180" i="48"/>
  <c r="CW455" i="48"/>
  <c r="CX455" i="48"/>
  <c r="CV455" i="48"/>
  <c r="CV555" i="48"/>
  <c r="CX555" i="48"/>
  <c r="CW555" i="48"/>
  <c r="CW505" i="48"/>
  <c r="CV505" i="48"/>
  <c r="CX505" i="48"/>
  <c r="CX1305" i="48"/>
  <c r="CW1305" i="48"/>
  <c r="CV1305" i="48"/>
  <c r="CX930" i="48"/>
  <c r="CW930" i="48"/>
  <c r="CV930" i="48"/>
  <c r="CX905" i="48"/>
  <c r="CW905" i="48"/>
  <c r="CV905" i="48"/>
  <c r="CW805" i="48"/>
  <c r="CV805" i="48"/>
  <c r="CX805" i="48"/>
  <c r="CX855" i="48"/>
  <c r="CW855" i="48"/>
  <c r="CV855" i="48"/>
  <c r="CX430" i="48"/>
  <c r="CV430" i="48"/>
  <c r="CW430" i="48"/>
  <c r="CX1030" i="48"/>
  <c r="CV1030" i="48"/>
  <c r="CW1030" i="48"/>
  <c r="CV880" i="48"/>
  <c r="CX880" i="48"/>
  <c r="CW880" i="48"/>
  <c r="CV1179" i="48"/>
  <c r="CX1179" i="48"/>
  <c r="CW1179" i="48"/>
  <c r="CW954" i="48"/>
  <c r="CV954" i="48"/>
  <c r="CX954" i="48"/>
  <c r="CV704" i="48"/>
  <c r="CX704" i="48"/>
  <c r="CW704" i="48"/>
  <c r="CX179" i="48"/>
  <c r="CW179" i="48"/>
  <c r="CV179" i="48"/>
  <c r="CV929" i="48"/>
  <c r="CW929" i="48"/>
  <c r="CX929" i="48"/>
  <c r="CX1129" i="48"/>
  <c r="CW1129" i="48"/>
  <c r="CV1129" i="48"/>
  <c r="CW529" i="48"/>
  <c r="CV529" i="48"/>
  <c r="CX529" i="48"/>
  <c r="CX304" i="48"/>
  <c r="CW304" i="48"/>
  <c r="CV304" i="48"/>
  <c r="CX1229" i="48"/>
  <c r="CW1229" i="48"/>
  <c r="CV1229" i="48"/>
  <c r="CV79" i="48"/>
  <c r="CX79" i="48"/>
  <c r="CW79" i="48"/>
  <c r="CX879" i="48"/>
  <c r="CW879" i="48"/>
  <c r="CV879" i="48"/>
  <c r="CX654" i="48"/>
  <c r="CW654" i="48"/>
  <c r="CV654" i="48"/>
  <c r="CV1231" i="48"/>
  <c r="CX1231" i="48"/>
  <c r="CW1231" i="48"/>
  <c r="CV106" i="48"/>
  <c r="CX106" i="48"/>
  <c r="CW106" i="48"/>
  <c r="CX1331" i="48"/>
  <c r="CW1331" i="48"/>
  <c r="CV1331" i="48"/>
  <c r="CX1281" i="48"/>
  <c r="CW1281" i="48"/>
  <c r="CV1281" i="48"/>
  <c r="CX1006" i="48"/>
  <c r="CW1006" i="48"/>
  <c r="CV1006" i="48"/>
  <c r="CX706" i="48"/>
  <c r="CW706" i="48"/>
  <c r="CV706" i="48"/>
  <c r="CX856" i="48"/>
  <c r="CW856" i="48"/>
  <c r="CV856" i="48"/>
  <c r="CX1056" i="48"/>
  <c r="CW1056" i="48"/>
  <c r="CV1056" i="48"/>
  <c r="CX806" i="48"/>
  <c r="CW806" i="48"/>
  <c r="CV806" i="48"/>
  <c r="CV431" i="48"/>
  <c r="CX431" i="48"/>
  <c r="CW431" i="48"/>
  <c r="CW406" i="48"/>
  <c r="CV406" i="48"/>
  <c r="CX406" i="48"/>
  <c r="CW156" i="48"/>
  <c r="CV156" i="48"/>
  <c r="CX156" i="48"/>
  <c r="CV331" i="48"/>
  <c r="CX331" i="48"/>
  <c r="CW331" i="48"/>
  <c r="CX78" i="48"/>
  <c r="CW78" i="48"/>
  <c r="CV78" i="48"/>
  <c r="CV1306" i="48"/>
  <c r="CX1306" i="48"/>
  <c r="CW1306" i="48"/>
  <c r="CX353" i="48"/>
  <c r="CW353" i="48"/>
  <c r="CV353" i="48"/>
  <c r="CW178" i="48"/>
  <c r="CV178" i="48"/>
  <c r="CX178" i="48"/>
  <c r="CW1303" i="48"/>
  <c r="CV1303" i="48"/>
  <c r="CX1303" i="48"/>
  <c r="CV1203" i="48"/>
  <c r="CW1203" i="48"/>
  <c r="CX1203" i="48"/>
  <c r="CX303" i="48"/>
  <c r="CW303" i="48"/>
  <c r="CV303" i="48"/>
  <c r="CV428" i="48"/>
  <c r="CW428" i="48"/>
  <c r="CX428" i="48"/>
  <c r="CV53" i="48"/>
  <c r="CX53" i="48"/>
  <c r="CW53" i="48"/>
  <c r="CX1128" i="48"/>
  <c r="CW1128" i="48"/>
  <c r="CV1128" i="48"/>
  <c r="CX1330" i="48"/>
  <c r="CW1330" i="48"/>
  <c r="CV1330" i="48"/>
  <c r="CV55" i="48"/>
  <c r="CX55" i="48"/>
  <c r="CW55" i="48"/>
  <c r="CV630" i="48"/>
  <c r="CX630" i="48"/>
  <c r="CW630" i="48"/>
  <c r="CV655" i="48"/>
  <c r="CX655" i="48"/>
  <c r="CW655" i="48"/>
  <c r="CX355" i="48"/>
  <c r="CW355" i="48"/>
  <c r="CV355" i="48"/>
  <c r="CX530" i="48"/>
  <c r="CW530" i="48"/>
  <c r="CV530" i="48"/>
  <c r="CV730" i="48"/>
  <c r="CX730" i="48"/>
  <c r="CW730" i="48"/>
  <c r="CV205" i="48"/>
  <c r="CX205" i="48"/>
  <c r="CW205" i="48"/>
  <c r="CX829" i="48"/>
  <c r="CW829" i="48"/>
  <c r="CV829" i="48"/>
  <c r="CW204" i="48"/>
  <c r="CV204" i="48"/>
  <c r="CX204" i="48"/>
  <c r="CV1029" i="48"/>
  <c r="CX1029" i="48"/>
  <c r="CW1029" i="48"/>
  <c r="CX129" i="48"/>
  <c r="CW129" i="48"/>
  <c r="CV129" i="48"/>
  <c r="CV604" i="48"/>
  <c r="CX604" i="48"/>
  <c r="CW604" i="48"/>
  <c r="CW1329" i="48"/>
  <c r="CV1329" i="48"/>
  <c r="CX1329" i="48"/>
  <c r="CX729" i="48"/>
  <c r="CV729" i="48"/>
  <c r="CW729" i="48"/>
  <c r="CV1254" i="48"/>
  <c r="CX1254" i="48"/>
  <c r="CW1254" i="48"/>
  <c r="CW1304" i="48"/>
  <c r="CV1304" i="48"/>
  <c r="CX1304" i="48"/>
  <c r="CW479" i="48"/>
  <c r="CX479" i="48"/>
  <c r="CV479" i="48"/>
  <c r="CW804" i="48"/>
  <c r="CV804" i="48"/>
  <c r="CX804" i="48"/>
  <c r="CW329" i="48"/>
  <c r="CV329" i="48"/>
  <c r="CX329" i="48"/>
  <c r="CX1031" i="48"/>
  <c r="CW1031" i="48"/>
  <c r="CV1031" i="48"/>
  <c r="CV681" i="48"/>
  <c r="CX681" i="48"/>
  <c r="CW681" i="48"/>
  <c r="CW81" i="48"/>
  <c r="CV81" i="48"/>
  <c r="CX81" i="48"/>
  <c r="CW731" i="48"/>
  <c r="CX731" i="48"/>
  <c r="CV731" i="48"/>
  <c r="CW656" i="48"/>
  <c r="CV656" i="48"/>
  <c r="CX656" i="48"/>
  <c r="CW881" i="48"/>
  <c r="CV881" i="48"/>
  <c r="CX881" i="48"/>
  <c r="CW556" i="48"/>
  <c r="CV556" i="48"/>
  <c r="CX556" i="48"/>
  <c r="CW756" i="48"/>
  <c r="CX756" i="48"/>
  <c r="CV756" i="48"/>
  <c r="CV906" i="48"/>
  <c r="CX906" i="48"/>
  <c r="CW906" i="48"/>
  <c r="CX981" i="48"/>
  <c r="CW981" i="48"/>
  <c r="CV981" i="48"/>
  <c r="CX1181" i="48"/>
  <c r="CW1181" i="48"/>
  <c r="CV1181" i="48"/>
  <c r="CX356" i="48"/>
  <c r="CV356" i="48"/>
  <c r="CW356" i="48"/>
  <c r="CX531" i="48"/>
  <c r="CW531" i="48"/>
  <c r="CV531" i="48"/>
  <c r="CX1055" i="48"/>
  <c r="CW1055" i="48"/>
  <c r="CV1055" i="48"/>
  <c r="CX453" i="48"/>
  <c r="CV453" i="48"/>
  <c r="CW453" i="48"/>
  <c r="CX1255" i="48"/>
  <c r="CW1255" i="48"/>
  <c r="CV1255" i="48"/>
  <c r="CX1278" i="48"/>
  <c r="CW1278" i="48"/>
  <c r="CV1278" i="48"/>
  <c r="CX203" i="48"/>
  <c r="CW203" i="48"/>
  <c r="CV203" i="48"/>
  <c r="CW528" i="48"/>
  <c r="CV528" i="48"/>
  <c r="CX528" i="48"/>
  <c r="CV928" i="48"/>
  <c r="CX928" i="48"/>
  <c r="CW928" i="48"/>
  <c r="CW828" i="48"/>
  <c r="CX828" i="48"/>
  <c r="CV828" i="48"/>
  <c r="CV578" i="48"/>
  <c r="CX578" i="48"/>
  <c r="CW578" i="48"/>
  <c r="CV1178" i="48"/>
  <c r="CX1178" i="48"/>
  <c r="CW1178" i="48"/>
  <c r="CW1103" i="48"/>
  <c r="CV1103" i="48"/>
  <c r="CX1103" i="48"/>
  <c r="CX1003" i="48"/>
  <c r="CW1003" i="48"/>
  <c r="CV1003" i="48"/>
  <c r="CV1028" i="48"/>
  <c r="CW1028" i="48"/>
  <c r="CX1028" i="48"/>
  <c r="CV305" i="48"/>
  <c r="CX305" i="48"/>
  <c r="CW305" i="48"/>
  <c r="CX580" i="48"/>
  <c r="CW580" i="48"/>
  <c r="CV580" i="48"/>
  <c r="CW103" i="48"/>
  <c r="CV103" i="48"/>
  <c r="CX103" i="48"/>
  <c r="CV853" i="48"/>
  <c r="CX853" i="48"/>
  <c r="CW853" i="48"/>
  <c r="CX955" i="48"/>
  <c r="CW955" i="48"/>
  <c r="CV955" i="48"/>
  <c r="CX1205" i="48"/>
  <c r="CW1205" i="48"/>
  <c r="CV1205" i="48"/>
  <c r="CW130" i="48"/>
  <c r="CV130" i="48"/>
  <c r="CX130" i="48"/>
  <c r="CX105" i="48"/>
  <c r="CW105" i="48"/>
  <c r="CV105" i="48"/>
  <c r="CW1280" i="48"/>
  <c r="CV1280" i="48"/>
  <c r="CX1280" i="48"/>
  <c r="CV280" i="48"/>
  <c r="CX280" i="48"/>
  <c r="CW280" i="48"/>
  <c r="CX705" i="48"/>
  <c r="CW705" i="48"/>
  <c r="CV705" i="48"/>
  <c r="CW480" i="48"/>
  <c r="CX480" i="48"/>
  <c r="CV480" i="48"/>
  <c r="CX255" i="48"/>
  <c r="CW255" i="48"/>
  <c r="CV255" i="48"/>
  <c r="CX1105" i="48"/>
  <c r="CW1105" i="48"/>
  <c r="CV1105" i="48"/>
  <c r="CX404" i="48"/>
  <c r="CW404" i="48"/>
  <c r="CV404" i="48"/>
  <c r="CX629" i="48"/>
  <c r="CW629" i="48"/>
  <c r="CV629" i="48"/>
  <c r="CW579" i="48"/>
  <c r="CV579" i="48"/>
  <c r="CX579" i="48"/>
  <c r="CV779" i="48"/>
  <c r="CW779" i="48"/>
  <c r="CX779" i="48"/>
  <c r="CW1154" i="48"/>
  <c r="CV1154" i="48"/>
  <c r="CX1154" i="48"/>
  <c r="CV1054" i="48"/>
  <c r="CX1054" i="48"/>
  <c r="CW1054" i="48"/>
  <c r="CX554" i="48"/>
  <c r="CW554" i="48"/>
  <c r="CV554" i="48"/>
  <c r="CX279" i="48"/>
  <c r="CV279" i="48"/>
  <c r="CW279" i="48"/>
  <c r="CV1204" i="48"/>
  <c r="CX1204" i="48"/>
  <c r="CW1204" i="48"/>
  <c r="CV254" i="48"/>
  <c r="CX254" i="48"/>
  <c r="CW254" i="48"/>
  <c r="CW429" i="48"/>
  <c r="CV429" i="48"/>
  <c r="CX429" i="48"/>
  <c r="CW679" i="48"/>
  <c r="CV679" i="48"/>
  <c r="CX679" i="48"/>
  <c r="CW1104" i="48"/>
  <c r="CV1104" i="48"/>
  <c r="CX1104" i="48"/>
  <c r="CX1079" i="48"/>
  <c r="CW1079" i="48"/>
  <c r="CV1079" i="48"/>
  <c r="CV956" i="48"/>
  <c r="CX956" i="48"/>
  <c r="CW956" i="48"/>
  <c r="CX206" i="48"/>
  <c r="CW206" i="48"/>
  <c r="CV206" i="48"/>
  <c r="CV1256" i="48"/>
  <c r="CX1256" i="48"/>
  <c r="CW1256" i="48"/>
  <c r="CX131" i="48"/>
  <c r="CW131" i="48"/>
  <c r="CV131" i="48"/>
  <c r="CW831" i="48"/>
  <c r="CX831" i="48"/>
  <c r="CV831" i="48"/>
  <c r="CX381" i="48"/>
  <c r="CV381" i="48"/>
  <c r="CW381" i="48"/>
  <c r="CW56" i="48"/>
  <c r="CX56" i="48"/>
  <c r="CV56" i="48"/>
  <c r="CW231" i="48"/>
  <c r="CV231" i="48"/>
  <c r="CX231" i="48"/>
  <c r="CV181" i="48"/>
  <c r="CX181" i="48"/>
  <c r="CW181" i="48"/>
  <c r="CV306" i="48"/>
  <c r="CX306" i="48"/>
  <c r="CW306" i="48"/>
  <c r="CX581" i="48"/>
  <c r="CW581" i="48"/>
  <c r="CV581" i="48"/>
  <c r="CX503" i="48"/>
  <c r="CW503" i="48"/>
  <c r="CV503" i="48"/>
  <c r="CX803" i="48"/>
  <c r="CW803" i="48"/>
  <c r="CV803" i="48"/>
  <c r="CX1228" i="48"/>
  <c r="CW1228" i="48"/>
  <c r="CV1228" i="48"/>
  <c r="CX553" i="48"/>
  <c r="CW553" i="48"/>
  <c r="CV553" i="48"/>
  <c r="CX878" i="48"/>
  <c r="CW878" i="48"/>
  <c r="CV878" i="48"/>
  <c r="CW253" i="48"/>
  <c r="CV253" i="48"/>
  <c r="CX253" i="48"/>
  <c r="CV978" i="48"/>
  <c r="CX978" i="48"/>
  <c r="CW978" i="48"/>
  <c r="CW953" i="48"/>
  <c r="CV953" i="48"/>
  <c r="CX953" i="48"/>
  <c r="CW728" i="48"/>
  <c r="CX728" i="48"/>
  <c r="CV728" i="48"/>
  <c r="CX228" i="48"/>
  <c r="CW228" i="48"/>
  <c r="CV228" i="48"/>
  <c r="CV30" i="48"/>
  <c r="CW30" i="48"/>
  <c r="CX30" i="48"/>
  <c r="CX28" i="48"/>
  <c r="CW28" i="48"/>
  <c r="CV28" i="48"/>
  <c r="CX29" i="48"/>
  <c r="CW29" i="48"/>
  <c r="CV29" i="48"/>
  <c r="CW31" i="48"/>
  <c r="CV31" i="48"/>
  <c r="CX31" i="48"/>
  <c r="CX5" i="48"/>
  <c r="CV5" i="48"/>
  <c r="CX6" i="48"/>
  <c r="CV6" i="48"/>
  <c r="CV4" i="48"/>
  <c r="CX4" i="48"/>
  <c r="DD8" i="48"/>
  <c r="CW8" i="48" s="1"/>
  <c r="CP109" i="48"/>
  <c r="CR109" i="48" s="1"/>
  <c r="CY107" i="48" l="1"/>
  <c r="CY682" i="48"/>
  <c r="CY832" i="48"/>
  <c r="CY457" i="48"/>
  <c r="CY632" i="48"/>
  <c r="CY454" i="48"/>
  <c r="CY707" i="48"/>
  <c r="CY857" i="48"/>
  <c r="CY1007" i="48"/>
  <c r="CY82" i="48"/>
  <c r="CY1182" i="48"/>
  <c r="CY1082" i="48"/>
  <c r="CY732" i="48"/>
  <c r="CY7" i="48"/>
  <c r="CY1332" i="48"/>
  <c r="CY932" i="48"/>
  <c r="CW958" i="48"/>
  <c r="CY507" i="48"/>
  <c r="CY1107" i="48"/>
  <c r="CY1032" i="48"/>
  <c r="CY982" i="48"/>
  <c r="CY482" i="48"/>
  <c r="CY32" i="48"/>
  <c r="CY532" i="48"/>
  <c r="CY1081" i="48"/>
  <c r="CY657" i="48"/>
  <c r="CY232" i="48"/>
  <c r="CY1257" i="48"/>
  <c r="CY132" i="48"/>
  <c r="CY328" i="48"/>
  <c r="CY1232" i="48"/>
  <c r="CY807" i="48"/>
  <c r="CY182" i="48"/>
  <c r="CY882" i="48"/>
  <c r="CY157" i="48"/>
  <c r="CY382" i="48"/>
  <c r="CY1132" i="48"/>
  <c r="CY332" i="48"/>
  <c r="CY257" i="48"/>
  <c r="CY782" i="48"/>
  <c r="CV958" i="48"/>
  <c r="CY57" i="48"/>
  <c r="CY607" i="48"/>
  <c r="CY1282" i="48"/>
  <c r="CY1080" i="48"/>
  <c r="CY557" i="48"/>
  <c r="CX958" i="48"/>
  <c r="CP784" i="48"/>
  <c r="CR784" i="48" s="1"/>
  <c r="CP909" i="48"/>
  <c r="CR909" i="48" s="1"/>
  <c r="CP709" i="48"/>
  <c r="CR709" i="48" s="1"/>
  <c r="CW334" i="48"/>
  <c r="CP84" i="48"/>
  <c r="CR84" i="48" s="1"/>
  <c r="CP1284" i="48"/>
  <c r="CR1284" i="48" s="1"/>
  <c r="CP209" i="48"/>
  <c r="CR209" i="48" s="1"/>
  <c r="CP959" i="48"/>
  <c r="CR959" i="48" s="1"/>
  <c r="CP359" i="48"/>
  <c r="CR359" i="48" s="1"/>
  <c r="CP859" i="48"/>
  <c r="CR859" i="48" s="1"/>
  <c r="CP1109" i="48"/>
  <c r="CR1109" i="48" s="1"/>
  <c r="CP1309" i="48"/>
  <c r="CR1309" i="48" s="1"/>
  <c r="CP1184" i="48"/>
  <c r="CR1184" i="48" s="1"/>
  <c r="CP409" i="48"/>
  <c r="CR409" i="48" s="1"/>
  <c r="CP59" i="48"/>
  <c r="CR59" i="48" s="1"/>
  <c r="CP1259" i="48"/>
  <c r="CR1259" i="48" s="1"/>
  <c r="CP284" i="48"/>
  <c r="CR284" i="48" s="1"/>
  <c r="CP984" i="48"/>
  <c r="CR984" i="48" s="1"/>
  <c r="CP634" i="48"/>
  <c r="CR634" i="48" s="1"/>
  <c r="CP259" i="48"/>
  <c r="CR259" i="48" s="1"/>
  <c r="CP234" i="48"/>
  <c r="CR234" i="48" s="1"/>
  <c r="CP734" i="48"/>
  <c r="CR734" i="48" s="1"/>
  <c r="CP1334" i="48"/>
  <c r="CR1334" i="48" s="1"/>
  <c r="CP759" i="48"/>
  <c r="CR759" i="48" s="1"/>
  <c r="CP1034" i="48"/>
  <c r="CR1034" i="48" s="1"/>
  <c r="CP834" i="48"/>
  <c r="CR834" i="48" s="1"/>
  <c r="CP134" i="48"/>
  <c r="CR134" i="48" s="1"/>
  <c r="CP34" i="48"/>
  <c r="CR34" i="48" s="1"/>
  <c r="CP384" i="48"/>
  <c r="CR384" i="48" s="1"/>
  <c r="CP509" i="48"/>
  <c r="CR509" i="48" s="1"/>
  <c r="CP1159" i="48"/>
  <c r="CR1159" i="48" s="1"/>
  <c r="CP434" i="48"/>
  <c r="CR434" i="48" s="1"/>
  <c r="CP1209" i="48"/>
  <c r="CR1209" i="48" s="1"/>
  <c r="CP934" i="48"/>
  <c r="CR934" i="48" s="1"/>
  <c r="CP884" i="48"/>
  <c r="CR884" i="48" s="1"/>
  <c r="CP159" i="48"/>
  <c r="CR159" i="48" s="1"/>
  <c r="CP609" i="48"/>
  <c r="CR609" i="48" s="1"/>
  <c r="CP559" i="48"/>
  <c r="CR559" i="48" s="1"/>
  <c r="CP9" i="48"/>
  <c r="CR9" i="48" s="1"/>
  <c r="CP1009" i="48"/>
  <c r="CR1009" i="48" s="1"/>
  <c r="CP1059" i="48"/>
  <c r="CR1059" i="48" s="1"/>
  <c r="CP184" i="48"/>
  <c r="CR184" i="48" s="1"/>
  <c r="CP534" i="48"/>
  <c r="CR534" i="48" s="1"/>
  <c r="CP484" i="48"/>
  <c r="CR484" i="48" s="1"/>
  <c r="CP1084" i="48"/>
  <c r="CR1084" i="48" s="1"/>
  <c r="CP584" i="48"/>
  <c r="CR584" i="48" s="1"/>
  <c r="CP459" i="48"/>
  <c r="CR459" i="48" s="1"/>
  <c r="CP1134" i="48"/>
  <c r="CR1134" i="48" s="1"/>
  <c r="CP334" i="48"/>
  <c r="CR334" i="48" s="1"/>
  <c r="CP659" i="48"/>
  <c r="CR659" i="48" s="1"/>
  <c r="CP684" i="48"/>
  <c r="CR684" i="48" s="1"/>
  <c r="CP809" i="48"/>
  <c r="CR809" i="48" s="1"/>
  <c r="CP309" i="48"/>
  <c r="CR309" i="48" s="1"/>
  <c r="CP1234" i="48"/>
  <c r="CR1234" i="48" s="1"/>
  <c r="CY1156" i="48"/>
  <c r="CY431" i="48"/>
  <c r="CY253" i="48"/>
  <c r="CY553" i="48"/>
  <c r="CY503" i="48"/>
  <c r="CY580" i="48"/>
  <c r="CY729" i="48"/>
  <c r="CY1329" i="48"/>
  <c r="CY205" i="48"/>
  <c r="CY730" i="48"/>
  <c r="CY630" i="48"/>
  <c r="CY55" i="48"/>
  <c r="CY428" i="48"/>
  <c r="CY178" i="48"/>
  <c r="CY1229" i="48"/>
  <c r="CY1129" i="48"/>
  <c r="CY179" i="48"/>
  <c r="CY130" i="48"/>
  <c r="CY378" i="48"/>
  <c r="CY456" i="48"/>
  <c r="CY481" i="48"/>
  <c r="CY506" i="48"/>
  <c r="CY931" i="48"/>
  <c r="CY904" i="48"/>
  <c r="CY1004" i="48"/>
  <c r="CY504" i="48"/>
  <c r="CY230" i="48"/>
  <c r="CY53" i="48"/>
  <c r="CY1303" i="48"/>
  <c r="CY954" i="48"/>
  <c r="CY880" i="48"/>
  <c r="CY1305" i="48"/>
  <c r="CY505" i="48"/>
  <c r="CY555" i="48"/>
  <c r="CY1130" i="48"/>
  <c r="CY1103" i="48"/>
  <c r="CY79" i="48"/>
  <c r="CY106" i="48"/>
  <c r="CY1030" i="48"/>
  <c r="CY406" i="48"/>
  <c r="CY279" i="48"/>
  <c r="CY629" i="48"/>
  <c r="CY404" i="48"/>
  <c r="CY1205" i="48"/>
  <c r="CY955" i="48"/>
  <c r="CY853" i="48"/>
  <c r="CY531" i="48"/>
  <c r="CY356" i="48"/>
  <c r="CY1181" i="48"/>
  <c r="CY204" i="48"/>
  <c r="CY654" i="48"/>
  <c r="CY231" i="48"/>
  <c r="CY381" i="48"/>
  <c r="CY1104" i="48"/>
  <c r="CY1204" i="48"/>
  <c r="CY480" i="48"/>
  <c r="CY1031" i="48"/>
  <c r="CY1330" i="48"/>
  <c r="CY78" i="48"/>
  <c r="CY1078" i="48"/>
  <c r="CY903" i="48"/>
  <c r="CY603" i="48"/>
  <c r="CY229" i="48"/>
  <c r="CY354" i="48"/>
  <c r="CY854" i="48"/>
  <c r="CY1005" i="48"/>
  <c r="CY780" i="48"/>
  <c r="CY330" i="48"/>
  <c r="CY128" i="48"/>
  <c r="CY153" i="48"/>
  <c r="CY156" i="48"/>
  <c r="CY131" i="48"/>
  <c r="CY679" i="48"/>
  <c r="CY429" i="48"/>
  <c r="CY1054" i="48"/>
  <c r="CY1105" i="48"/>
  <c r="CY1280" i="48"/>
  <c r="CY1178" i="48"/>
  <c r="CY203" i="48"/>
  <c r="CY906" i="48"/>
  <c r="CY756" i="48"/>
  <c r="CY1231" i="48"/>
  <c r="CY278" i="48"/>
  <c r="CY979" i="48"/>
  <c r="CY254" i="48"/>
  <c r="CY928" i="48"/>
  <c r="CY1255" i="48"/>
  <c r="CY1106" i="48"/>
  <c r="CV58" i="48"/>
  <c r="CX58" i="48"/>
  <c r="CW58" i="48"/>
  <c r="CX733" i="48"/>
  <c r="CW733" i="48"/>
  <c r="CV733" i="48"/>
  <c r="CX108" i="48"/>
  <c r="CW108" i="48"/>
  <c r="CV108" i="48"/>
  <c r="CY255" i="48"/>
  <c r="CY731" i="48"/>
  <c r="CY256" i="48"/>
  <c r="CX633" i="48"/>
  <c r="CW633" i="48"/>
  <c r="CV633" i="48"/>
  <c r="CX708" i="48"/>
  <c r="CW708" i="48"/>
  <c r="CV708" i="48"/>
  <c r="CW558" i="48"/>
  <c r="CV558" i="48"/>
  <c r="CX558" i="48"/>
  <c r="CX1183" i="48"/>
  <c r="CV1183" i="48"/>
  <c r="CW1183" i="48"/>
  <c r="CW408" i="48"/>
  <c r="CV408" i="48"/>
  <c r="CX408" i="48"/>
  <c r="CY878" i="48"/>
  <c r="CY803" i="48"/>
  <c r="CY56" i="48"/>
  <c r="CY956" i="48"/>
  <c r="CY554" i="48"/>
  <c r="CY981" i="48"/>
  <c r="CY530" i="48"/>
  <c r="CY355" i="48"/>
  <c r="CY1128" i="48"/>
  <c r="CY303" i="48"/>
  <c r="CY353" i="48"/>
  <c r="CY879" i="48"/>
  <c r="CY1230" i="48"/>
  <c r="CY1131" i="48"/>
  <c r="CY1155" i="48"/>
  <c r="CY155" i="48"/>
  <c r="CX508" i="48"/>
  <c r="CW508" i="48"/>
  <c r="CV508" i="48"/>
  <c r="CV583" i="48"/>
  <c r="CX583" i="48"/>
  <c r="CW583" i="48"/>
  <c r="CW658" i="48"/>
  <c r="CV658" i="48"/>
  <c r="CX658" i="48"/>
  <c r="CV1108" i="48"/>
  <c r="CW1108" i="48"/>
  <c r="CX1108" i="48"/>
  <c r="CV158" i="48"/>
  <c r="CX158" i="48"/>
  <c r="CW158" i="48"/>
  <c r="CV1258" i="48"/>
  <c r="CX1258" i="48"/>
  <c r="CW1258" i="48"/>
  <c r="CW758" i="48"/>
  <c r="CX758" i="48"/>
  <c r="CV758" i="48"/>
  <c r="CX1083" i="48"/>
  <c r="CW1083" i="48"/>
  <c r="CV1083" i="48"/>
  <c r="CX483" i="48"/>
  <c r="CV483" i="48"/>
  <c r="CW483" i="48"/>
  <c r="CX1008" i="48"/>
  <c r="CW1008" i="48"/>
  <c r="CV1008" i="48"/>
  <c r="CX608" i="48"/>
  <c r="CW608" i="48"/>
  <c r="CV608" i="48"/>
  <c r="CX858" i="48"/>
  <c r="CV858" i="48"/>
  <c r="CW858" i="48"/>
  <c r="CW283" i="48"/>
  <c r="CX283" i="48"/>
  <c r="CV283" i="48"/>
  <c r="CX1133" i="48"/>
  <c r="CW1133" i="48"/>
  <c r="CV1133" i="48"/>
  <c r="CV83" i="48"/>
  <c r="CX83" i="48"/>
  <c r="CW83" i="48"/>
  <c r="CW783" i="48"/>
  <c r="CV783" i="48"/>
  <c r="CX783" i="48"/>
  <c r="CX1208" i="48"/>
  <c r="CW1208" i="48"/>
  <c r="CV1208" i="48"/>
  <c r="CX1283" i="48"/>
  <c r="CW1283" i="48"/>
  <c r="CV1283" i="48"/>
  <c r="CV1308" i="48"/>
  <c r="CX1308" i="48"/>
  <c r="CW1308" i="48"/>
  <c r="CW333" i="48"/>
  <c r="CV333" i="48"/>
  <c r="CX333" i="48"/>
  <c r="CV1233" i="48"/>
  <c r="CX1233" i="48"/>
  <c r="CW1233" i="48"/>
  <c r="CW433" i="48"/>
  <c r="CV433" i="48"/>
  <c r="CX433" i="48"/>
  <c r="CY953" i="48"/>
  <c r="CY978" i="48"/>
  <c r="CY306" i="48"/>
  <c r="CY181" i="48"/>
  <c r="CY1256" i="48"/>
  <c r="CY1079" i="48"/>
  <c r="CY705" i="48"/>
  <c r="CY1028" i="48"/>
  <c r="CY828" i="48"/>
  <c r="CY453" i="48"/>
  <c r="CY329" i="48"/>
  <c r="CY804" i="48"/>
  <c r="CY1304" i="48"/>
  <c r="CY1029" i="48"/>
  <c r="CY829" i="48"/>
  <c r="CY1203" i="48"/>
  <c r="CY331" i="48"/>
  <c r="CY806" i="48"/>
  <c r="CY1056" i="48"/>
  <c r="CY856" i="48"/>
  <c r="CY706" i="48"/>
  <c r="CY1006" i="48"/>
  <c r="CY1281" i="48"/>
  <c r="CY1331" i="48"/>
  <c r="CY529" i="48"/>
  <c r="CY929" i="48"/>
  <c r="CY704" i="48"/>
  <c r="CY1179" i="48"/>
  <c r="CY855" i="48"/>
  <c r="CY905" i="48"/>
  <c r="CY930" i="48"/>
  <c r="CY455" i="48"/>
  <c r="CY1180" i="48"/>
  <c r="CY403" i="48"/>
  <c r="CY1253" i="48"/>
  <c r="CY1328" i="48"/>
  <c r="CY405" i="48"/>
  <c r="CY478" i="48"/>
  <c r="CY380" i="48"/>
  <c r="CY781" i="48"/>
  <c r="CY606" i="48"/>
  <c r="CY1206" i="48"/>
  <c r="CY54" i="48"/>
  <c r="CY754" i="48"/>
  <c r="CY104" i="48"/>
  <c r="CY980" i="48"/>
  <c r="CY830" i="48"/>
  <c r="CY80" i="48"/>
  <c r="CY755" i="48"/>
  <c r="CW458" i="48"/>
  <c r="CX458" i="48"/>
  <c r="CV458" i="48"/>
  <c r="CX533" i="48"/>
  <c r="CW533" i="48"/>
  <c r="CV533" i="48"/>
  <c r="CX833" i="48"/>
  <c r="CW833" i="48"/>
  <c r="CV833" i="48"/>
  <c r="CV683" i="48"/>
  <c r="CX683" i="48"/>
  <c r="CW683" i="48"/>
  <c r="CX933" i="48"/>
  <c r="CW933" i="48"/>
  <c r="CV933" i="48"/>
  <c r="CV233" i="48"/>
  <c r="CX233" i="48"/>
  <c r="CW233" i="48"/>
  <c r="CX383" i="48"/>
  <c r="CW383" i="48"/>
  <c r="CV383" i="48"/>
  <c r="CX1333" i="48"/>
  <c r="CW1333" i="48"/>
  <c r="CV1333" i="48"/>
  <c r="CV358" i="48"/>
  <c r="CW358" i="48"/>
  <c r="CX358" i="48"/>
  <c r="CY728" i="48"/>
  <c r="CV258" i="48"/>
  <c r="CX258" i="48"/>
  <c r="CW258" i="48"/>
  <c r="CW208" i="48"/>
  <c r="CV208" i="48"/>
  <c r="CX208" i="48"/>
  <c r="CW883" i="48"/>
  <c r="CV883" i="48"/>
  <c r="CX883" i="48"/>
  <c r="CX983" i="48"/>
  <c r="CW983" i="48"/>
  <c r="CV983" i="48"/>
  <c r="CV308" i="48"/>
  <c r="CX308" i="48"/>
  <c r="CW308" i="48"/>
  <c r="CX808" i="48"/>
  <c r="CW808" i="48"/>
  <c r="CV808" i="48"/>
  <c r="CV1058" i="48"/>
  <c r="CX1058" i="48"/>
  <c r="CW1058" i="48"/>
  <c r="CV908" i="48"/>
  <c r="CX908" i="48"/>
  <c r="CW908" i="48"/>
  <c r="CV1158" i="48"/>
  <c r="CX1158" i="48"/>
  <c r="CW1158" i="48"/>
  <c r="CW133" i="48"/>
  <c r="CV133" i="48"/>
  <c r="CX133" i="48"/>
  <c r="CX1033" i="48"/>
  <c r="CW1033" i="48"/>
  <c r="CV1033" i="48"/>
  <c r="CX183" i="48"/>
  <c r="CW183" i="48"/>
  <c r="CV183" i="48"/>
  <c r="CY228" i="48"/>
  <c r="CY1228" i="48"/>
  <c r="CY581" i="48"/>
  <c r="CY831" i="48"/>
  <c r="CY206" i="48"/>
  <c r="CY1154" i="48"/>
  <c r="CY779" i="48"/>
  <c r="CY579" i="48"/>
  <c r="CY280" i="48"/>
  <c r="CY105" i="48"/>
  <c r="CY103" i="48"/>
  <c r="CY305" i="48"/>
  <c r="CY1003" i="48"/>
  <c r="CY578" i="48"/>
  <c r="CY528" i="48"/>
  <c r="CY1278" i="48"/>
  <c r="CY1055" i="48"/>
  <c r="CY556" i="48"/>
  <c r="CY881" i="48"/>
  <c r="CY656" i="48"/>
  <c r="CY81" i="48"/>
  <c r="CY681" i="48"/>
  <c r="CY479" i="48"/>
  <c r="CY1254" i="48"/>
  <c r="CY604" i="48"/>
  <c r="CY129" i="48"/>
  <c r="CY655" i="48"/>
  <c r="CY1306" i="48"/>
  <c r="CY304" i="48"/>
  <c r="CY430" i="48"/>
  <c r="CY805" i="48"/>
  <c r="CY653" i="48"/>
  <c r="CY1153" i="48"/>
  <c r="CY631" i="48"/>
  <c r="CY281" i="48"/>
  <c r="CY154" i="48"/>
  <c r="CY1279" i="48"/>
  <c r="CY379" i="48"/>
  <c r="CY605" i="48"/>
  <c r="CY680" i="48"/>
  <c r="CY180" i="48"/>
  <c r="CY1053" i="48"/>
  <c r="CY31" i="48"/>
  <c r="CY28" i="48"/>
  <c r="CY29" i="48"/>
  <c r="CY30" i="48"/>
  <c r="CW33" i="48"/>
  <c r="CV33" i="48"/>
  <c r="CX33" i="48"/>
  <c r="CY6" i="48"/>
  <c r="CY4" i="48"/>
  <c r="CV8" i="48"/>
  <c r="CX8" i="48"/>
  <c r="CY5" i="48"/>
  <c r="DD9" i="48"/>
  <c r="CW9" i="48" s="1"/>
  <c r="CP235" i="48"/>
  <c r="CR235" i="48" s="1"/>
  <c r="CV334" i="48" l="1"/>
  <c r="CX334" i="48"/>
  <c r="CY958" i="48"/>
  <c r="CP260" i="48"/>
  <c r="CR260" i="48" s="1"/>
  <c r="CP60" i="48"/>
  <c r="CR60" i="48" s="1"/>
  <c r="CP535" i="48"/>
  <c r="CR535" i="48" s="1"/>
  <c r="CP1085" i="48"/>
  <c r="CR1085" i="48" s="1"/>
  <c r="CP185" i="48"/>
  <c r="CR185" i="48" s="1"/>
  <c r="CP1285" i="48"/>
  <c r="CR1285" i="48" s="1"/>
  <c r="CP160" i="48"/>
  <c r="CR160" i="48" s="1"/>
  <c r="CP1210" i="48"/>
  <c r="CR1210" i="48" s="1"/>
  <c r="CP1035" i="48"/>
  <c r="CR1035" i="48" s="1"/>
  <c r="CP560" i="48"/>
  <c r="CR560" i="48" s="1"/>
  <c r="CP1335" i="48"/>
  <c r="CR1335" i="48" s="1"/>
  <c r="CP210" i="48"/>
  <c r="CR210" i="48" s="1"/>
  <c r="CW160" i="48"/>
  <c r="CP910" i="48"/>
  <c r="CR910" i="48" s="1"/>
  <c r="CP710" i="48"/>
  <c r="CR710" i="48" s="1"/>
  <c r="CP435" i="48"/>
  <c r="CR435" i="48" s="1"/>
  <c r="CP985" i="48"/>
  <c r="CR985" i="48" s="1"/>
  <c r="CP510" i="48"/>
  <c r="CR510" i="48" s="1"/>
  <c r="CP460" i="48"/>
  <c r="CR460" i="48" s="1"/>
  <c r="CP335" i="48"/>
  <c r="CR335" i="48" s="1"/>
  <c r="CP1135" i="48"/>
  <c r="CR1135" i="48" s="1"/>
  <c r="CP1060" i="48"/>
  <c r="CR1060" i="48" s="1"/>
  <c r="CP410" i="48"/>
  <c r="CR410" i="48" s="1"/>
  <c r="CP135" i="48"/>
  <c r="CR135" i="48" s="1"/>
  <c r="CP735" i="48"/>
  <c r="CR735" i="48" s="1"/>
  <c r="CP785" i="48"/>
  <c r="CR785" i="48" s="1"/>
  <c r="CP110" i="48"/>
  <c r="CR110" i="48" s="1"/>
  <c r="CP85" i="48"/>
  <c r="CR85" i="48" s="1"/>
  <c r="CP35" i="48"/>
  <c r="CR35" i="48" s="1"/>
  <c r="CP885" i="48"/>
  <c r="CR885" i="48" s="1"/>
  <c r="CP810" i="48"/>
  <c r="CR810" i="48" s="1"/>
  <c r="CP1160" i="48"/>
  <c r="CR1160" i="48" s="1"/>
  <c r="CP860" i="48"/>
  <c r="CR860" i="48" s="1"/>
  <c r="CP310" i="48"/>
  <c r="CR310" i="48" s="1"/>
  <c r="CP585" i="48"/>
  <c r="CR585" i="48" s="1"/>
  <c r="CP1260" i="48"/>
  <c r="CR1260" i="48" s="1"/>
  <c r="CP610" i="48"/>
  <c r="CR610" i="48" s="1"/>
  <c r="CP1185" i="48"/>
  <c r="CR1185" i="48" s="1"/>
  <c r="CP485" i="48"/>
  <c r="CR485" i="48" s="1"/>
  <c r="CP685" i="48"/>
  <c r="CR685" i="48" s="1"/>
  <c r="CP10" i="48"/>
  <c r="CR10" i="48" s="1"/>
  <c r="CP385" i="48"/>
  <c r="CR385" i="48" s="1"/>
  <c r="CP635" i="48"/>
  <c r="CR635" i="48" s="1"/>
  <c r="CP1310" i="48"/>
  <c r="CR1310" i="48" s="1"/>
  <c r="CP1010" i="48"/>
  <c r="CR1010" i="48" s="1"/>
  <c r="CP760" i="48"/>
  <c r="CR760" i="48" s="1"/>
  <c r="CP285" i="48"/>
  <c r="CR285" i="48" s="1"/>
  <c r="CP835" i="48"/>
  <c r="CR835" i="48" s="1"/>
  <c r="CP960" i="48"/>
  <c r="CR960" i="48" s="1"/>
  <c r="CP660" i="48"/>
  <c r="CR660" i="48" s="1"/>
  <c r="CP1110" i="48"/>
  <c r="CR1110" i="48" s="1"/>
  <c r="CP360" i="48"/>
  <c r="CR360" i="48" s="1"/>
  <c r="CP1235" i="48"/>
  <c r="CR1235" i="48" s="1"/>
  <c r="CP935" i="48"/>
  <c r="CR935" i="48" s="1"/>
  <c r="CY883" i="48"/>
  <c r="CY208" i="48"/>
  <c r="CY258" i="48"/>
  <c r="CY933" i="48"/>
  <c r="CY833" i="48"/>
  <c r="CY533" i="48"/>
  <c r="CY1233" i="48"/>
  <c r="CY1308" i="48"/>
  <c r="CY1133" i="48"/>
  <c r="CY858" i="48"/>
  <c r="CY608" i="48"/>
  <c r="CY1008" i="48"/>
  <c r="CY58" i="48"/>
  <c r="CY1183" i="48"/>
  <c r="CY708" i="48"/>
  <c r="CY633" i="48"/>
  <c r="CY133" i="48"/>
  <c r="CY1158" i="48"/>
  <c r="CY908" i="48"/>
  <c r="CY1058" i="48"/>
  <c r="CY658" i="48"/>
  <c r="CY233" i="48"/>
  <c r="CY83" i="48"/>
  <c r="CY308" i="48"/>
  <c r="CY1333" i="48"/>
  <c r="CY383" i="48"/>
  <c r="CY1283" i="48"/>
  <c r="CY1208" i="48"/>
  <c r="CY1108" i="48"/>
  <c r="CY108" i="48"/>
  <c r="CY183" i="48"/>
  <c r="CY483" i="48"/>
  <c r="CY1083" i="48"/>
  <c r="CV884" i="48"/>
  <c r="CX884" i="48"/>
  <c r="CW884" i="48"/>
  <c r="CX134" i="48"/>
  <c r="CW134" i="48"/>
  <c r="CV134" i="48"/>
  <c r="CX609" i="48"/>
  <c r="CW609" i="48"/>
  <c r="CV609" i="48"/>
  <c r="CW1134" i="48"/>
  <c r="CV1134" i="48"/>
  <c r="CX1134" i="48"/>
  <c r="CX384" i="48"/>
  <c r="CW384" i="48"/>
  <c r="CV384" i="48"/>
  <c r="CV309" i="48"/>
  <c r="CX309" i="48"/>
  <c r="CW309" i="48"/>
  <c r="CW734" i="48"/>
  <c r="CX734" i="48"/>
  <c r="CV734" i="48"/>
  <c r="CX1234" i="48"/>
  <c r="CW1234" i="48"/>
  <c r="CV1234" i="48"/>
  <c r="CW634" i="48"/>
  <c r="CV634" i="48"/>
  <c r="CX634" i="48"/>
  <c r="CX509" i="48"/>
  <c r="CW509" i="48"/>
  <c r="CV509" i="48"/>
  <c r="CX1109" i="48"/>
  <c r="CW1109" i="48"/>
  <c r="CV1109" i="48"/>
  <c r="CV659" i="48"/>
  <c r="CX659" i="48"/>
  <c r="CW659" i="48"/>
  <c r="CW234" i="48"/>
  <c r="CV234" i="48"/>
  <c r="CX234" i="48"/>
  <c r="CX584" i="48"/>
  <c r="CW584" i="48"/>
  <c r="CV584" i="48"/>
  <c r="CX1334" i="48"/>
  <c r="CW1334" i="48"/>
  <c r="CV1334" i="48"/>
  <c r="CW484" i="48"/>
  <c r="CX484" i="48"/>
  <c r="CV484" i="48"/>
  <c r="CW159" i="48"/>
  <c r="CV159" i="48"/>
  <c r="CX159" i="48"/>
  <c r="CW1009" i="48"/>
  <c r="CV1009" i="48"/>
  <c r="CX1009" i="48"/>
  <c r="CW459" i="48"/>
  <c r="CX459" i="48"/>
  <c r="CV459" i="48"/>
  <c r="CY1033" i="48"/>
  <c r="CY358" i="48"/>
  <c r="CY683" i="48"/>
  <c r="CY458" i="48"/>
  <c r="CY433" i="48"/>
  <c r="CY333" i="48"/>
  <c r="CY783" i="48"/>
  <c r="CY283" i="48"/>
  <c r="CY758" i="48"/>
  <c r="CY1258" i="48"/>
  <c r="CY158" i="48"/>
  <c r="CY508" i="48"/>
  <c r="CX909" i="48"/>
  <c r="CW909" i="48"/>
  <c r="CV909" i="48"/>
  <c r="CX959" i="48"/>
  <c r="CW959" i="48"/>
  <c r="CV959" i="48"/>
  <c r="CX934" i="48"/>
  <c r="CW934" i="48"/>
  <c r="CV934" i="48"/>
  <c r="CX1184" i="48"/>
  <c r="CW1184" i="48"/>
  <c r="CV1184" i="48"/>
  <c r="CW1284" i="48"/>
  <c r="CV1284" i="48"/>
  <c r="CX1284" i="48"/>
  <c r="CX859" i="48"/>
  <c r="CW859" i="48"/>
  <c r="CV859" i="48"/>
  <c r="CV759" i="48"/>
  <c r="CX759" i="48"/>
  <c r="CW759" i="48"/>
  <c r="CX984" i="48"/>
  <c r="CW984" i="48"/>
  <c r="CV984" i="48"/>
  <c r="CV109" i="48"/>
  <c r="CX109" i="48"/>
  <c r="CW109" i="48"/>
  <c r="CX709" i="48"/>
  <c r="CW709" i="48"/>
  <c r="CV709" i="48"/>
  <c r="CW259" i="48"/>
  <c r="CV259" i="48"/>
  <c r="CX259" i="48"/>
  <c r="CX1034" i="48"/>
  <c r="CW1034" i="48"/>
  <c r="CV1034" i="48"/>
  <c r="CV184" i="48"/>
  <c r="CX184" i="48"/>
  <c r="CW184" i="48"/>
  <c r="CX1259" i="48"/>
  <c r="CW1259" i="48"/>
  <c r="CV1259" i="48"/>
  <c r="CW84" i="48"/>
  <c r="CV84" i="48"/>
  <c r="CX84" i="48"/>
  <c r="CX684" i="48"/>
  <c r="CW684" i="48"/>
  <c r="CV684" i="48"/>
  <c r="CV559" i="48"/>
  <c r="CX559" i="48"/>
  <c r="CW559" i="48"/>
  <c r="CW434" i="48"/>
  <c r="CV434" i="48"/>
  <c r="CX434" i="48"/>
  <c r="CV359" i="48"/>
  <c r="CX359" i="48"/>
  <c r="CW359" i="48"/>
  <c r="CX834" i="48"/>
  <c r="CV834" i="48"/>
  <c r="CW834" i="48"/>
  <c r="CX1309" i="48"/>
  <c r="CW1309" i="48"/>
  <c r="CV1309" i="48"/>
  <c r="CW809" i="48"/>
  <c r="CX809" i="48"/>
  <c r="CV809" i="48"/>
  <c r="CV284" i="48"/>
  <c r="CX284" i="48"/>
  <c r="CW284" i="48"/>
  <c r="CX209" i="48"/>
  <c r="CW209" i="48"/>
  <c r="CV209" i="48"/>
  <c r="CV1059" i="48"/>
  <c r="CX1059" i="48"/>
  <c r="CW1059" i="48"/>
  <c r="CX784" i="48"/>
  <c r="CW784" i="48"/>
  <c r="CV784" i="48"/>
  <c r="CX534" i="48"/>
  <c r="CW534" i="48"/>
  <c r="CV534" i="48"/>
  <c r="CV409" i="48"/>
  <c r="CW409" i="48"/>
  <c r="CX409" i="48"/>
  <c r="CX1159" i="48"/>
  <c r="CW1159" i="48"/>
  <c r="CV1159" i="48"/>
  <c r="CX1209" i="48"/>
  <c r="CW1209" i="48"/>
  <c r="CV1209" i="48"/>
  <c r="CW1084" i="48"/>
  <c r="CV1084" i="48"/>
  <c r="CX1084" i="48"/>
  <c r="CX59" i="48"/>
  <c r="CV59" i="48"/>
  <c r="CW59" i="48"/>
  <c r="CY808" i="48"/>
  <c r="CY983" i="48"/>
  <c r="CY583" i="48"/>
  <c r="CY408" i="48"/>
  <c r="CY558" i="48"/>
  <c r="CY733" i="48"/>
  <c r="CY33" i="48"/>
  <c r="CV34" i="48"/>
  <c r="CX34" i="48"/>
  <c r="CW34" i="48"/>
  <c r="CV9" i="48"/>
  <c r="CX9" i="48"/>
  <c r="CY8" i="48"/>
  <c r="DD10" i="48"/>
  <c r="CW10" i="48" s="1"/>
  <c r="CY334" i="48" l="1"/>
  <c r="CX160" i="48"/>
  <c r="CV160" i="48"/>
  <c r="CP611" i="48"/>
  <c r="CR611" i="48" s="1"/>
  <c r="CP1236" i="48"/>
  <c r="CR1236" i="48" s="1"/>
  <c r="CP86" i="48"/>
  <c r="CR86" i="48" s="1"/>
  <c r="CP636" i="48"/>
  <c r="CR636" i="48" s="1"/>
  <c r="CP736" i="48"/>
  <c r="CR736" i="48" s="1"/>
  <c r="CP111" i="48"/>
  <c r="CR111" i="48" s="1"/>
  <c r="CP661" i="48"/>
  <c r="CR661" i="48" s="1"/>
  <c r="CP36" i="48"/>
  <c r="CR36" i="48" s="1"/>
  <c r="CP1061" i="48"/>
  <c r="CR1061" i="48" s="1"/>
  <c r="CP186" i="48"/>
  <c r="CR186" i="48" s="1"/>
  <c r="CP1211" i="48"/>
  <c r="CR1211" i="48" s="1"/>
  <c r="CP261" i="48"/>
  <c r="CR261" i="48" s="1"/>
  <c r="CP211" i="48"/>
  <c r="CR211" i="48" s="1"/>
  <c r="CY59" i="48"/>
  <c r="CY484" i="48"/>
  <c r="CY1334" i="48"/>
  <c r="CY834" i="48"/>
  <c r="CY434" i="48"/>
  <c r="CY559" i="48"/>
  <c r="CY1259" i="48"/>
  <c r="CY984" i="48"/>
  <c r="CY759" i="48"/>
  <c r="CY959" i="48"/>
  <c r="CY909" i="48"/>
  <c r="CY459" i="48"/>
  <c r="CY259" i="48"/>
  <c r="CY884" i="48"/>
  <c r="CY409" i="48"/>
  <c r="CY1309" i="48"/>
  <c r="CY934" i="48"/>
  <c r="CY159" i="48"/>
  <c r="CY784" i="48"/>
  <c r="CY709" i="48"/>
  <c r="CY109" i="48"/>
  <c r="CY659" i="48"/>
  <c r="CW285" i="48"/>
  <c r="CV285" i="48"/>
  <c r="CX285" i="48"/>
  <c r="CX260" i="48"/>
  <c r="CW260" i="48"/>
  <c r="CV260" i="48"/>
  <c r="CX1185" i="48"/>
  <c r="CW1185" i="48"/>
  <c r="CV1185" i="48"/>
  <c r="CV210" i="48"/>
  <c r="CX210" i="48"/>
  <c r="CW210" i="48"/>
  <c r="CV1235" i="48"/>
  <c r="CX1235" i="48"/>
  <c r="CW1235" i="48"/>
  <c r="CV585" i="48"/>
  <c r="CX585" i="48"/>
  <c r="CW585" i="48"/>
  <c r="CY1009" i="48"/>
  <c r="CX1210" i="48"/>
  <c r="CW1210" i="48"/>
  <c r="CV1210" i="48"/>
  <c r="CX1335" i="48"/>
  <c r="CW1335" i="48"/>
  <c r="CV1335" i="48"/>
  <c r="CW760" i="48"/>
  <c r="CV760" i="48"/>
  <c r="CX760" i="48"/>
  <c r="CX810" i="48"/>
  <c r="CV810" i="48"/>
  <c r="CW810" i="48"/>
  <c r="CX1085" i="48"/>
  <c r="CW1085" i="48"/>
  <c r="CV1085" i="48"/>
  <c r="CW60" i="48"/>
  <c r="CV60" i="48"/>
  <c r="CX60" i="48"/>
  <c r="CX335" i="48"/>
  <c r="CW335" i="48"/>
  <c r="CV335" i="48"/>
  <c r="CX860" i="48"/>
  <c r="CW860" i="48"/>
  <c r="CV860" i="48"/>
  <c r="CY359" i="48"/>
  <c r="CY1184" i="48"/>
  <c r="CW660" i="48"/>
  <c r="CV660" i="48"/>
  <c r="CX660" i="48"/>
  <c r="CX535" i="48"/>
  <c r="CW535" i="48"/>
  <c r="CV535" i="48"/>
  <c r="CX635" i="48"/>
  <c r="CW635" i="48"/>
  <c r="CV635" i="48"/>
  <c r="CX935" i="48"/>
  <c r="CV935" i="48"/>
  <c r="CW935" i="48"/>
  <c r="CV135" i="48"/>
  <c r="CX135" i="48"/>
  <c r="CW135" i="48"/>
  <c r="CV910" i="48"/>
  <c r="CX910" i="48"/>
  <c r="CW910" i="48"/>
  <c r="CV310" i="48"/>
  <c r="CX310" i="48"/>
  <c r="CW310" i="48"/>
  <c r="CX985" i="48"/>
  <c r="CW985" i="48"/>
  <c r="CV985" i="48"/>
  <c r="CX1285" i="48"/>
  <c r="CW1285" i="48"/>
  <c r="CV1285" i="48"/>
  <c r="CX835" i="48"/>
  <c r="CW835" i="48"/>
  <c r="CV835" i="48"/>
  <c r="CV685" i="48"/>
  <c r="CX685" i="48"/>
  <c r="CW685" i="48"/>
  <c r="CX485" i="48"/>
  <c r="CV485" i="48"/>
  <c r="CW485" i="48"/>
  <c r="CW560" i="48"/>
  <c r="CV560" i="48"/>
  <c r="CX560" i="48"/>
  <c r="CY1209" i="48"/>
  <c r="CY1159" i="48"/>
  <c r="CY534" i="48"/>
  <c r="CY209" i="48"/>
  <c r="CY809" i="48"/>
  <c r="CY84" i="48"/>
  <c r="CY1284" i="48"/>
  <c r="CY234" i="48"/>
  <c r="CY1109" i="48"/>
  <c r="CY309" i="48"/>
  <c r="CY609" i="48"/>
  <c r="CY134" i="48"/>
  <c r="CV785" i="48"/>
  <c r="CX785" i="48"/>
  <c r="CW785" i="48"/>
  <c r="CW1060" i="48"/>
  <c r="CV1060" i="48"/>
  <c r="CX1060" i="48"/>
  <c r="CV1260" i="48"/>
  <c r="CX1260" i="48"/>
  <c r="CW1260" i="48"/>
  <c r="CX385" i="48"/>
  <c r="CV385" i="48"/>
  <c r="CW385" i="48"/>
  <c r="CX710" i="48"/>
  <c r="CW710" i="48"/>
  <c r="CV710" i="48"/>
  <c r="CX1135" i="48"/>
  <c r="CW1135" i="48"/>
  <c r="CV1135" i="48"/>
  <c r="CX85" i="48"/>
  <c r="CW85" i="48"/>
  <c r="CV85" i="48"/>
  <c r="CX735" i="48"/>
  <c r="CV735" i="48"/>
  <c r="CW735" i="48"/>
  <c r="CW885" i="48"/>
  <c r="CV885" i="48"/>
  <c r="CX885" i="48"/>
  <c r="CV510" i="48"/>
  <c r="CX510" i="48"/>
  <c r="CW510" i="48"/>
  <c r="CY284" i="48"/>
  <c r="CY684" i="48"/>
  <c r="CY184" i="48"/>
  <c r="CY859" i="48"/>
  <c r="CX235" i="48"/>
  <c r="CW235" i="48"/>
  <c r="CV235" i="48"/>
  <c r="CV1160" i="48"/>
  <c r="CX1160" i="48"/>
  <c r="CW1160" i="48"/>
  <c r="CV1310" i="48"/>
  <c r="CX1310" i="48"/>
  <c r="CW1310" i="48"/>
  <c r="CX185" i="48"/>
  <c r="CW185" i="48"/>
  <c r="CV185" i="48"/>
  <c r="CW1035" i="48"/>
  <c r="CV1035" i="48"/>
  <c r="CX1035" i="48"/>
  <c r="CX610" i="48"/>
  <c r="CW610" i="48"/>
  <c r="CV610" i="48"/>
  <c r="CX110" i="48"/>
  <c r="CW110" i="48"/>
  <c r="CV110" i="48"/>
  <c r="CW360" i="48"/>
  <c r="CV360" i="48"/>
  <c r="CX360" i="48"/>
  <c r="CW410" i="48"/>
  <c r="CV410" i="48"/>
  <c r="CX410" i="48"/>
  <c r="CX435" i="48"/>
  <c r="CW435" i="48"/>
  <c r="CV435" i="48"/>
  <c r="CV460" i="48"/>
  <c r="CX460" i="48"/>
  <c r="CW460" i="48"/>
  <c r="CV1110" i="48"/>
  <c r="CX1110" i="48"/>
  <c r="CW1110" i="48"/>
  <c r="CV960" i="48"/>
  <c r="CX960" i="48"/>
  <c r="CW960" i="48"/>
  <c r="CY1084" i="48"/>
  <c r="CY1059" i="48"/>
  <c r="CY1034" i="48"/>
  <c r="CY584" i="48"/>
  <c r="CY509" i="48"/>
  <c r="CY634" i="48"/>
  <c r="CY1234" i="48"/>
  <c r="CY734" i="48"/>
  <c r="CY384" i="48"/>
  <c r="CY1134" i="48"/>
  <c r="CW35" i="48"/>
  <c r="CV35" i="48"/>
  <c r="CX35" i="48"/>
  <c r="CY34" i="48"/>
  <c r="CY9" i="48"/>
  <c r="CX10" i="48"/>
  <c r="CV10" i="48"/>
  <c r="CY160" i="48" l="1"/>
  <c r="CW536" i="48"/>
  <c r="CV536" i="48"/>
  <c r="CX536" i="48"/>
  <c r="CY735" i="48"/>
  <c r="CY1335" i="48"/>
  <c r="CY310" i="48"/>
  <c r="CY1085" i="48"/>
  <c r="CY1060" i="48"/>
  <c r="CY660" i="48"/>
  <c r="CY485" i="48"/>
  <c r="CY860" i="48"/>
  <c r="CY285" i="48"/>
  <c r="CY960" i="48"/>
  <c r="CY1110" i="48"/>
  <c r="CY460" i="48"/>
  <c r="CY435" i="48"/>
  <c r="CY1035" i="48"/>
  <c r="CY1310" i="48"/>
  <c r="CY1160" i="48"/>
  <c r="CY85" i="48"/>
  <c r="CY835" i="48"/>
  <c r="CY585" i="48"/>
  <c r="CY1235" i="48"/>
  <c r="CY210" i="48"/>
  <c r="CY235" i="48"/>
  <c r="CY335" i="48"/>
  <c r="CY60" i="48"/>
  <c r="CY760" i="48"/>
  <c r="CY1135" i="48"/>
  <c r="CY910" i="48"/>
  <c r="CX111" i="48"/>
  <c r="CW111" i="48"/>
  <c r="CV111" i="48"/>
  <c r="CV286" i="48"/>
  <c r="CX286" i="48"/>
  <c r="CW286" i="48"/>
  <c r="CW1286" i="48"/>
  <c r="CV1286" i="48"/>
  <c r="CX1286" i="48"/>
  <c r="CV236" i="48"/>
  <c r="CX236" i="48"/>
  <c r="CW236" i="48"/>
  <c r="CV511" i="48"/>
  <c r="CX511" i="48"/>
  <c r="CW511" i="48"/>
  <c r="CY410" i="48"/>
  <c r="CY360" i="48"/>
  <c r="CW486" i="48"/>
  <c r="CV486" i="48"/>
  <c r="CX486" i="48"/>
  <c r="CX586" i="48"/>
  <c r="CW586" i="48"/>
  <c r="CV586" i="48"/>
  <c r="CW811" i="48"/>
  <c r="CX811" i="48"/>
  <c r="CV811" i="48"/>
  <c r="CY610" i="48"/>
  <c r="CY185" i="48"/>
  <c r="CY885" i="48"/>
  <c r="CY1260" i="48"/>
  <c r="CY785" i="48"/>
  <c r="CY560" i="48"/>
  <c r="CV411" i="48"/>
  <c r="CW411" i="48"/>
  <c r="CX411" i="48"/>
  <c r="CW636" i="48"/>
  <c r="CV636" i="48"/>
  <c r="CX636" i="48"/>
  <c r="CV561" i="48"/>
  <c r="CX561" i="48"/>
  <c r="CW561" i="48"/>
  <c r="CX861" i="48"/>
  <c r="CW861" i="48"/>
  <c r="CV861" i="48"/>
  <c r="CY110" i="48"/>
  <c r="CY510" i="48"/>
  <c r="CY710" i="48"/>
  <c r="CY385" i="48"/>
  <c r="CY685" i="48"/>
  <c r="CY135" i="48"/>
  <c r="CY935" i="48"/>
  <c r="CY635" i="48"/>
  <c r="CY535" i="48"/>
  <c r="CX836" i="48"/>
  <c r="CW836" i="48"/>
  <c r="CV836" i="48"/>
  <c r="CX986" i="48"/>
  <c r="CW986" i="48"/>
  <c r="CV986" i="48"/>
  <c r="CW1061" i="48"/>
  <c r="CV1061" i="48"/>
  <c r="CX1061" i="48"/>
  <c r="CY1285" i="48"/>
  <c r="CY985" i="48"/>
  <c r="CY810" i="48"/>
  <c r="CY1210" i="48"/>
  <c r="CY1185" i="48"/>
  <c r="CY260" i="48"/>
  <c r="CY35" i="48"/>
  <c r="CY10" i="48"/>
  <c r="CY536" i="48" l="1"/>
  <c r="CY561" i="48"/>
  <c r="CY811" i="48"/>
  <c r="CY486" i="48"/>
  <c r="CY286" i="48"/>
  <c r="CY111" i="48"/>
  <c r="CY986" i="48"/>
  <c r="CY636" i="48"/>
  <c r="CY1061" i="48"/>
  <c r="CY836" i="48"/>
  <c r="CY586" i="48"/>
  <c r="CY861" i="48"/>
  <c r="CY411" i="48"/>
  <c r="CY511" i="48"/>
  <c r="CY236" i="48"/>
  <c r="CY1286" i="48"/>
  <c r="BR1350" i="48" l="1"/>
  <c r="BQ1350" i="48"/>
  <c r="BR1349" i="48"/>
  <c r="BQ1349" i="48"/>
  <c r="BR1348" i="48"/>
  <c r="BQ1348" i="48"/>
  <c r="BR1347" i="48"/>
  <c r="BQ1347" i="48"/>
  <c r="BR1346" i="48"/>
  <c r="BQ1346" i="48"/>
  <c r="BR1345" i="48"/>
  <c r="BQ1345" i="48"/>
  <c r="BR1344" i="48"/>
  <c r="BQ1344" i="48"/>
  <c r="BR1343" i="48"/>
  <c r="BQ1343" i="48"/>
  <c r="BR1342" i="48"/>
  <c r="BQ1342" i="48"/>
  <c r="BR1341" i="48"/>
  <c r="BQ1341" i="48"/>
  <c r="BR1340" i="48"/>
  <c r="BQ1340" i="48"/>
  <c r="BR1339" i="48"/>
  <c r="BQ1339" i="48"/>
  <c r="BR1338" i="48"/>
  <c r="BQ1338" i="48"/>
  <c r="BR1337" i="48"/>
  <c r="BQ1337" i="48"/>
  <c r="BR1336" i="48"/>
  <c r="BQ1336" i="48"/>
  <c r="BR1335" i="48"/>
  <c r="BQ1335" i="48"/>
  <c r="BR1334" i="48"/>
  <c r="BQ1334" i="48"/>
  <c r="BR1333" i="48"/>
  <c r="BQ1333" i="48"/>
  <c r="BR1332" i="48"/>
  <c r="BQ1332" i="48"/>
  <c r="BR1329" i="48"/>
  <c r="BQ1329" i="48"/>
  <c r="BR1328" i="48"/>
  <c r="BQ1328" i="48"/>
  <c r="BR1325" i="48"/>
  <c r="BQ1325" i="48"/>
  <c r="BR1324" i="48"/>
  <c r="BQ1324" i="48"/>
  <c r="BR1323" i="48"/>
  <c r="BQ1323" i="48"/>
  <c r="BR1322" i="48"/>
  <c r="BQ1322" i="48"/>
  <c r="BR1321" i="48"/>
  <c r="BQ1321" i="48"/>
  <c r="BR1320" i="48"/>
  <c r="BQ1320" i="48"/>
  <c r="BR1319" i="48"/>
  <c r="BQ1319" i="48"/>
  <c r="BR1318" i="48"/>
  <c r="BQ1318" i="48"/>
  <c r="BR1317" i="48"/>
  <c r="BQ1317" i="48"/>
  <c r="BR1316" i="48"/>
  <c r="BQ1316" i="48"/>
  <c r="BR1315" i="48"/>
  <c r="BQ1315" i="48"/>
  <c r="BR1314" i="48"/>
  <c r="BQ1314" i="48"/>
  <c r="BR1313" i="48"/>
  <c r="BQ1313" i="48"/>
  <c r="BR1312" i="48"/>
  <c r="BQ1312" i="48"/>
  <c r="BR1311" i="48"/>
  <c r="BQ1311" i="48"/>
  <c r="BR1310" i="48"/>
  <c r="BQ1310" i="48"/>
  <c r="BR1309" i="48"/>
  <c r="BQ1309" i="48"/>
  <c r="BR1308" i="48"/>
  <c r="BQ1308" i="48"/>
  <c r="BR1307" i="48"/>
  <c r="BQ1307" i="48"/>
  <c r="BR1306" i="48"/>
  <c r="BQ1306" i="48"/>
  <c r="BR1305" i="48"/>
  <c r="BQ1305" i="48"/>
  <c r="BR1304" i="48"/>
  <c r="BQ1304" i="48"/>
  <c r="BR1303" i="48"/>
  <c r="BQ1303" i="48"/>
  <c r="BR1300" i="48"/>
  <c r="BQ1300" i="48"/>
  <c r="BR1299" i="48"/>
  <c r="BQ1299" i="48"/>
  <c r="BR1298" i="48"/>
  <c r="BQ1298" i="48"/>
  <c r="BR1297" i="48"/>
  <c r="BQ1297" i="48"/>
  <c r="BR1296" i="48"/>
  <c r="BQ1296" i="48"/>
  <c r="BR1295" i="48"/>
  <c r="BQ1295" i="48"/>
  <c r="BR1294" i="48"/>
  <c r="BQ1294" i="48"/>
  <c r="BR1293" i="48"/>
  <c r="BQ1293" i="48"/>
  <c r="BR1292" i="48"/>
  <c r="BQ1292" i="48"/>
  <c r="BR1291" i="48"/>
  <c r="BQ1291" i="48"/>
  <c r="BR1290" i="48"/>
  <c r="BQ1290" i="48"/>
  <c r="BR1289" i="48"/>
  <c r="BQ1289" i="48"/>
  <c r="BR1288" i="48"/>
  <c r="BQ1288" i="48"/>
  <c r="BR1287" i="48"/>
  <c r="BQ1287" i="48"/>
  <c r="BR1286" i="48"/>
  <c r="BQ1286" i="48"/>
  <c r="BR1285" i="48"/>
  <c r="BQ1285" i="48"/>
  <c r="BR1284" i="48"/>
  <c r="BQ1284" i="48"/>
  <c r="BR1283" i="48"/>
  <c r="BQ1283" i="48"/>
  <c r="BR1282" i="48"/>
  <c r="BQ1282" i="48"/>
  <c r="BR1281" i="48"/>
  <c r="BQ1281" i="48"/>
  <c r="BR1280" i="48"/>
  <c r="BQ1280" i="48"/>
  <c r="BR1279" i="48"/>
  <c r="BQ1279" i="48"/>
  <c r="BR1278" i="48"/>
  <c r="BQ1278" i="48"/>
  <c r="BR1275" i="48"/>
  <c r="BQ1275" i="48"/>
  <c r="BR1274" i="48"/>
  <c r="BQ1274" i="48"/>
  <c r="BR1273" i="48"/>
  <c r="BQ1273" i="48"/>
  <c r="BR1272" i="48"/>
  <c r="BQ1272" i="48"/>
  <c r="BR1271" i="48"/>
  <c r="BQ1271" i="48"/>
  <c r="BR1270" i="48"/>
  <c r="BQ1270" i="48"/>
  <c r="BR1269" i="48"/>
  <c r="BQ1269" i="48"/>
  <c r="BR1268" i="48"/>
  <c r="BQ1268" i="48"/>
  <c r="BR1267" i="48"/>
  <c r="BQ1267" i="48"/>
  <c r="BR1266" i="48"/>
  <c r="BQ1266" i="48"/>
  <c r="BR1265" i="48"/>
  <c r="BQ1265" i="48"/>
  <c r="BR1264" i="48"/>
  <c r="BQ1264" i="48"/>
  <c r="BR1263" i="48"/>
  <c r="BQ1263" i="48"/>
  <c r="BR1262" i="48"/>
  <c r="BQ1262" i="48"/>
  <c r="BR1261" i="48"/>
  <c r="BQ1261" i="48"/>
  <c r="BR1260" i="48"/>
  <c r="BQ1260" i="48"/>
  <c r="BR1259" i="48"/>
  <c r="BQ1259" i="48"/>
  <c r="BR1258" i="48"/>
  <c r="BQ1258" i="48"/>
  <c r="BR1257" i="48"/>
  <c r="BQ1257" i="48"/>
  <c r="BR1256" i="48"/>
  <c r="BQ1256" i="48"/>
  <c r="BR1255" i="48"/>
  <c r="BQ1255" i="48"/>
  <c r="BR1254" i="48"/>
  <c r="BQ1254" i="48"/>
  <c r="BR1253" i="48"/>
  <c r="BQ1253" i="48"/>
  <c r="BR1250" i="48"/>
  <c r="BQ1250" i="48"/>
  <c r="BR1249" i="48"/>
  <c r="BQ1249" i="48"/>
  <c r="BR1248" i="48"/>
  <c r="BQ1248" i="48"/>
  <c r="BR1247" i="48"/>
  <c r="BQ1247" i="48"/>
  <c r="BR1246" i="48"/>
  <c r="BQ1246" i="48"/>
  <c r="BR1245" i="48"/>
  <c r="BQ1245" i="48"/>
  <c r="BR1244" i="48"/>
  <c r="BQ1244" i="48"/>
  <c r="BR1243" i="48"/>
  <c r="BQ1243" i="48"/>
  <c r="BR1242" i="48"/>
  <c r="BQ1242" i="48"/>
  <c r="BR1241" i="48"/>
  <c r="BQ1241" i="48"/>
  <c r="BR1240" i="48"/>
  <c r="BQ1240" i="48"/>
  <c r="BR1239" i="48"/>
  <c r="BQ1239" i="48"/>
  <c r="BR1238" i="48"/>
  <c r="BQ1238" i="48"/>
  <c r="BR1237" i="48"/>
  <c r="BQ1237" i="48"/>
  <c r="BR1236" i="48"/>
  <c r="BQ1236" i="48"/>
  <c r="BR1235" i="48"/>
  <c r="BQ1235" i="48"/>
  <c r="BR1234" i="48"/>
  <c r="BQ1234" i="48"/>
  <c r="BR1233" i="48"/>
  <c r="BQ1233" i="48"/>
  <c r="BR1232" i="48"/>
  <c r="BQ1232" i="48"/>
  <c r="BR1231" i="48"/>
  <c r="BQ1231" i="48"/>
  <c r="BR1230" i="48"/>
  <c r="BQ1230" i="48"/>
  <c r="BR1229" i="48"/>
  <c r="BQ1229" i="48"/>
  <c r="BR1228" i="48"/>
  <c r="BQ1228" i="48"/>
  <c r="BR1225" i="48"/>
  <c r="BQ1225" i="48"/>
  <c r="BR1224" i="48"/>
  <c r="BQ1224" i="48"/>
  <c r="BR1223" i="48"/>
  <c r="BQ1223" i="48"/>
  <c r="BR1222" i="48"/>
  <c r="BQ1222" i="48"/>
  <c r="BR1221" i="48"/>
  <c r="BQ1221" i="48"/>
  <c r="BR1220" i="48"/>
  <c r="BQ1220" i="48"/>
  <c r="BR1219" i="48"/>
  <c r="BQ1219" i="48"/>
  <c r="BR1218" i="48"/>
  <c r="BQ1218" i="48"/>
  <c r="BR1217" i="48"/>
  <c r="BQ1217" i="48"/>
  <c r="BR1216" i="48"/>
  <c r="BQ1216" i="48"/>
  <c r="BR1215" i="48"/>
  <c r="BQ1215" i="48"/>
  <c r="BR1214" i="48"/>
  <c r="BQ1214" i="48"/>
  <c r="BR1213" i="48"/>
  <c r="BQ1213" i="48"/>
  <c r="BR1212" i="48"/>
  <c r="BQ1212" i="48"/>
  <c r="BR1211" i="48"/>
  <c r="BQ1211" i="48"/>
  <c r="BR1210" i="48"/>
  <c r="BQ1210" i="48"/>
  <c r="BR1209" i="48"/>
  <c r="BQ1209" i="48"/>
  <c r="BR1208" i="48"/>
  <c r="BQ1208" i="48"/>
  <c r="BR1207" i="48"/>
  <c r="BQ1207" i="48"/>
  <c r="BR1206" i="48"/>
  <c r="BQ1206" i="48"/>
  <c r="BR1205" i="48"/>
  <c r="BQ1205" i="48"/>
  <c r="BR1204" i="48"/>
  <c r="BQ1204" i="48"/>
  <c r="BR1203" i="48"/>
  <c r="BQ1203" i="48"/>
  <c r="BR1200" i="48"/>
  <c r="BQ1200" i="48"/>
  <c r="BR1199" i="48"/>
  <c r="BQ1199" i="48"/>
  <c r="BR1198" i="48"/>
  <c r="BQ1198" i="48"/>
  <c r="BR1197" i="48"/>
  <c r="BQ1197" i="48"/>
  <c r="BR1196" i="48"/>
  <c r="BQ1196" i="48"/>
  <c r="BR1195" i="48"/>
  <c r="BQ1195" i="48"/>
  <c r="BR1194" i="48"/>
  <c r="BQ1194" i="48"/>
  <c r="BR1193" i="48"/>
  <c r="BQ1193" i="48"/>
  <c r="BR1192" i="48"/>
  <c r="BQ1192" i="48"/>
  <c r="BR1191" i="48"/>
  <c r="BQ1191" i="48"/>
  <c r="BR1190" i="48"/>
  <c r="BQ1190" i="48"/>
  <c r="BR1189" i="48"/>
  <c r="BQ1189" i="48"/>
  <c r="BR1188" i="48"/>
  <c r="BQ1188" i="48"/>
  <c r="BR1187" i="48"/>
  <c r="BQ1187" i="48"/>
  <c r="BR1186" i="48"/>
  <c r="BQ1186" i="48"/>
  <c r="BR1185" i="48"/>
  <c r="BQ1185" i="48"/>
  <c r="BR1184" i="48"/>
  <c r="BQ1184" i="48"/>
  <c r="BR1183" i="48"/>
  <c r="BQ1183" i="48"/>
  <c r="BR1182" i="48"/>
  <c r="BQ1182" i="48"/>
  <c r="BR1181" i="48"/>
  <c r="BQ1181" i="48"/>
  <c r="BR1180" i="48"/>
  <c r="BQ1180" i="48"/>
  <c r="BR1179" i="48"/>
  <c r="BQ1179" i="48"/>
  <c r="BR1178" i="48"/>
  <c r="BQ1178" i="48"/>
  <c r="BR1175" i="48"/>
  <c r="BQ1175" i="48"/>
  <c r="BR1174" i="48"/>
  <c r="BQ1174" i="48"/>
  <c r="BR1173" i="48"/>
  <c r="BQ1173" i="48"/>
  <c r="BR1171" i="48"/>
  <c r="BQ1171" i="48"/>
  <c r="BR1170" i="48"/>
  <c r="BQ1170" i="48"/>
  <c r="BR1169" i="48"/>
  <c r="BQ1169" i="48"/>
  <c r="BR1168" i="48"/>
  <c r="BQ1168" i="48"/>
  <c r="BR1167" i="48"/>
  <c r="BQ1167" i="48"/>
  <c r="BR1166" i="48"/>
  <c r="BQ1166" i="48"/>
  <c r="BR1165" i="48"/>
  <c r="BQ1165" i="48"/>
  <c r="BR1164" i="48"/>
  <c r="BQ1164" i="48"/>
  <c r="BR1163" i="48"/>
  <c r="BQ1163" i="48"/>
  <c r="BR1162" i="48"/>
  <c r="BQ1162" i="48"/>
  <c r="BR1161" i="48"/>
  <c r="BQ1161" i="48"/>
  <c r="BR1160" i="48"/>
  <c r="BQ1160" i="48"/>
  <c r="BR1159" i="48"/>
  <c r="BQ1159" i="48"/>
  <c r="BR1158" i="48"/>
  <c r="BQ1158" i="48"/>
  <c r="BR1157" i="48"/>
  <c r="BQ1157" i="48"/>
  <c r="BR1156" i="48"/>
  <c r="BQ1156" i="48"/>
  <c r="BR1155" i="48"/>
  <c r="BQ1155" i="48"/>
  <c r="BR1154" i="48"/>
  <c r="BQ1154" i="48"/>
  <c r="BR1153" i="48"/>
  <c r="BQ1153" i="48"/>
  <c r="BR1150" i="48"/>
  <c r="BQ1150" i="48"/>
  <c r="BR1149" i="48"/>
  <c r="BQ1149" i="48"/>
  <c r="BR1148" i="48"/>
  <c r="BQ1148" i="48"/>
  <c r="BR1147" i="48"/>
  <c r="BQ1147" i="48"/>
  <c r="BR1146" i="48"/>
  <c r="BQ1146" i="48"/>
  <c r="BR1145" i="48"/>
  <c r="BQ1145" i="48"/>
  <c r="BR1144" i="48"/>
  <c r="BQ1144" i="48"/>
  <c r="BR1143" i="48"/>
  <c r="BQ1143" i="48"/>
  <c r="BR1142" i="48"/>
  <c r="BQ1142" i="48"/>
  <c r="BR1141" i="48"/>
  <c r="BQ1141" i="48"/>
  <c r="BR1140" i="48"/>
  <c r="BQ1140" i="48"/>
  <c r="BR1139" i="48"/>
  <c r="BQ1139" i="48"/>
  <c r="BR1138" i="48"/>
  <c r="BQ1138" i="48"/>
  <c r="BR1137" i="48"/>
  <c r="BQ1137" i="48"/>
  <c r="BR1136" i="48"/>
  <c r="BQ1136" i="48"/>
  <c r="BR1135" i="48"/>
  <c r="BQ1135" i="48"/>
  <c r="BR1134" i="48"/>
  <c r="BQ1134" i="48"/>
  <c r="BR1133" i="48"/>
  <c r="BQ1133" i="48"/>
  <c r="BR1132" i="48"/>
  <c r="BQ1132" i="48"/>
  <c r="BR1131" i="48"/>
  <c r="BQ1131" i="48"/>
  <c r="BR1130" i="48"/>
  <c r="BQ1130" i="48"/>
  <c r="BR1129" i="48"/>
  <c r="BQ1129" i="48"/>
  <c r="BR1128" i="48"/>
  <c r="BQ1128" i="48"/>
  <c r="BR1125" i="48"/>
  <c r="BQ1125" i="48"/>
  <c r="BR1123" i="48"/>
  <c r="BQ1123" i="48"/>
  <c r="BR1122" i="48"/>
  <c r="BQ1122" i="48"/>
  <c r="BR1121" i="48"/>
  <c r="BQ1121" i="48"/>
  <c r="BR1120" i="48"/>
  <c r="BQ1120" i="48"/>
  <c r="BR1119" i="48"/>
  <c r="BQ1119" i="48"/>
  <c r="BR1118" i="48"/>
  <c r="BQ1118" i="48"/>
  <c r="BR1117" i="48"/>
  <c r="BQ1117" i="48"/>
  <c r="BR1116" i="48"/>
  <c r="BQ1116" i="48"/>
  <c r="BR1115" i="48"/>
  <c r="BQ1115" i="48"/>
  <c r="BR1114" i="48"/>
  <c r="BQ1114" i="48"/>
  <c r="BR1113" i="48"/>
  <c r="BQ1113" i="48"/>
  <c r="BR1112" i="48"/>
  <c r="BQ1112" i="48"/>
  <c r="BR1111" i="48"/>
  <c r="BQ1111" i="48"/>
  <c r="BR1110" i="48"/>
  <c r="BQ1110" i="48"/>
  <c r="BR1109" i="48"/>
  <c r="BQ1109" i="48"/>
  <c r="BR1108" i="48"/>
  <c r="BQ1108" i="48"/>
  <c r="BR1107" i="48"/>
  <c r="BQ1107" i="48"/>
  <c r="BR1106" i="48"/>
  <c r="BQ1106" i="48"/>
  <c r="BR1105" i="48"/>
  <c r="BQ1105" i="48"/>
  <c r="BR1104" i="48"/>
  <c r="BQ1104" i="48"/>
  <c r="BR1103" i="48"/>
  <c r="BQ1103" i="48"/>
  <c r="BR1100" i="48"/>
  <c r="BQ1100" i="48"/>
  <c r="BR1099" i="48"/>
  <c r="BQ1099" i="48"/>
  <c r="BR1098" i="48"/>
  <c r="BQ1098" i="48"/>
  <c r="BR1097" i="48"/>
  <c r="BQ1097" i="48"/>
  <c r="BR1096" i="48"/>
  <c r="BQ1096" i="48"/>
  <c r="BR1095" i="48"/>
  <c r="BQ1095" i="48"/>
  <c r="BR1094" i="48"/>
  <c r="BQ1094" i="48"/>
  <c r="BR1093" i="48"/>
  <c r="BQ1093" i="48"/>
  <c r="BR1092" i="48"/>
  <c r="BQ1092" i="48"/>
  <c r="BR1091" i="48"/>
  <c r="BQ1091" i="48"/>
  <c r="BR1090" i="48"/>
  <c r="BQ1090" i="48"/>
  <c r="BR1089" i="48"/>
  <c r="BQ1089" i="48"/>
  <c r="BR1088" i="48"/>
  <c r="BQ1088" i="48"/>
  <c r="BR1087" i="48"/>
  <c r="BQ1087" i="48"/>
  <c r="BR1086" i="48"/>
  <c r="BQ1086" i="48"/>
  <c r="BR1085" i="48"/>
  <c r="BQ1085" i="48"/>
  <c r="BR1084" i="48"/>
  <c r="BQ1084" i="48"/>
  <c r="BR1083" i="48"/>
  <c r="BQ1083" i="48"/>
  <c r="BR1082" i="48"/>
  <c r="BQ1082" i="48"/>
  <c r="BR1081" i="48"/>
  <c r="BQ1081" i="48"/>
  <c r="BR1080" i="48"/>
  <c r="BQ1080" i="48"/>
  <c r="BR1078" i="48"/>
  <c r="BQ1078" i="48"/>
  <c r="BR1074" i="48"/>
  <c r="BQ1074" i="48"/>
  <c r="BR1073" i="48"/>
  <c r="BQ1073" i="48"/>
  <c r="BR1072" i="48"/>
  <c r="BQ1072" i="48"/>
  <c r="BR1071" i="48"/>
  <c r="BQ1071" i="48"/>
  <c r="BR1070" i="48"/>
  <c r="BQ1070" i="48"/>
  <c r="BR1069" i="48"/>
  <c r="BQ1069" i="48"/>
  <c r="BR1068" i="48"/>
  <c r="BQ1068" i="48"/>
  <c r="BR1067" i="48"/>
  <c r="BQ1067" i="48"/>
  <c r="BR1066" i="48"/>
  <c r="BQ1066" i="48"/>
  <c r="BR1065" i="48"/>
  <c r="BQ1065" i="48"/>
  <c r="BR1064" i="48"/>
  <c r="BQ1064" i="48"/>
  <c r="BR1063" i="48"/>
  <c r="BQ1063" i="48"/>
  <c r="BR1062" i="48"/>
  <c r="BQ1062" i="48"/>
  <c r="BR1061" i="48"/>
  <c r="BQ1061" i="48"/>
  <c r="BR1060" i="48"/>
  <c r="BQ1060" i="48"/>
  <c r="BR1059" i="48"/>
  <c r="BQ1059" i="48"/>
  <c r="BR1058" i="48"/>
  <c r="BQ1058" i="48"/>
  <c r="BR1057" i="48"/>
  <c r="BQ1057" i="48"/>
  <c r="BR1056" i="48"/>
  <c r="BQ1056" i="48"/>
  <c r="BR1055" i="48"/>
  <c r="BQ1055" i="48"/>
  <c r="BR1054" i="48"/>
  <c r="BQ1054" i="48"/>
  <c r="BR1053" i="48"/>
  <c r="BQ1053" i="48"/>
  <c r="BR1049" i="48"/>
  <c r="BQ1049" i="48"/>
  <c r="BR1048" i="48"/>
  <c r="BQ1048" i="48"/>
  <c r="BR1047" i="48"/>
  <c r="BQ1047" i="48"/>
  <c r="BR1046" i="48"/>
  <c r="BQ1046" i="48"/>
  <c r="BR1045" i="48"/>
  <c r="BQ1045" i="48"/>
  <c r="BR1044" i="48"/>
  <c r="BQ1044" i="48"/>
  <c r="BR1043" i="48"/>
  <c r="BQ1043" i="48"/>
  <c r="BR1042" i="48"/>
  <c r="BQ1042" i="48"/>
  <c r="BR1041" i="48"/>
  <c r="BQ1041" i="48"/>
  <c r="BR1040" i="48"/>
  <c r="BQ1040" i="48"/>
  <c r="BR1039" i="48"/>
  <c r="BQ1039" i="48"/>
  <c r="BR1038" i="48"/>
  <c r="BQ1038" i="48"/>
  <c r="BR1037" i="48"/>
  <c r="BQ1037" i="48"/>
  <c r="BR1036" i="48"/>
  <c r="BQ1036" i="48"/>
  <c r="BR1035" i="48"/>
  <c r="BQ1035" i="48"/>
  <c r="BR1034" i="48"/>
  <c r="BQ1034" i="48"/>
  <c r="BR1033" i="48"/>
  <c r="BQ1033" i="48"/>
  <c r="BR1032" i="48"/>
  <c r="BQ1032" i="48"/>
  <c r="BR1031" i="48"/>
  <c r="BQ1031" i="48"/>
  <c r="BR1030" i="48"/>
  <c r="BQ1030" i="48"/>
  <c r="BR1029" i="48"/>
  <c r="BQ1029" i="48"/>
  <c r="BR1028" i="48"/>
  <c r="BQ1028" i="48"/>
  <c r="BR1025" i="48"/>
  <c r="BQ1025" i="48"/>
  <c r="BR1024" i="48"/>
  <c r="BQ1024" i="48"/>
  <c r="BR1023" i="48"/>
  <c r="BQ1023" i="48"/>
  <c r="BR1022" i="48"/>
  <c r="BQ1022" i="48"/>
  <c r="BR1021" i="48"/>
  <c r="BQ1021" i="48"/>
  <c r="BR1020" i="48"/>
  <c r="BQ1020" i="48"/>
  <c r="BR1019" i="48"/>
  <c r="BQ1019" i="48"/>
  <c r="BR1018" i="48"/>
  <c r="BQ1018" i="48"/>
  <c r="BR1017" i="48"/>
  <c r="BQ1017" i="48"/>
  <c r="BR1016" i="48"/>
  <c r="BQ1016" i="48"/>
  <c r="BR1015" i="48"/>
  <c r="BQ1015" i="48"/>
  <c r="BR1014" i="48"/>
  <c r="BQ1014" i="48"/>
  <c r="BR1013" i="48"/>
  <c r="BQ1013" i="48"/>
  <c r="BR1012" i="48"/>
  <c r="BQ1012" i="48"/>
  <c r="BR1011" i="48"/>
  <c r="BQ1011" i="48"/>
  <c r="BR1010" i="48"/>
  <c r="BQ1010" i="48"/>
  <c r="BR1009" i="48"/>
  <c r="BQ1009" i="48"/>
  <c r="BR1006" i="48"/>
  <c r="BQ1006" i="48"/>
  <c r="BR1005" i="48"/>
  <c r="BQ1005" i="48"/>
  <c r="BR1004" i="48"/>
  <c r="BQ1004" i="48"/>
  <c r="BR1003" i="48"/>
  <c r="BQ1003" i="48"/>
  <c r="BR1000" i="48"/>
  <c r="BQ1000" i="48"/>
  <c r="BR999" i="48"/>
  <c r="BQ999" i="48"/>
  <c r="BR998" i="48"/>
  <c r="BQ998" i="48"/>
  <c r="BR997" i="48"/>
  <c r="BQ997" i="48"/>
  <c r="BR996" i="48"/>
  <c r="BQ996" i="48"/>
  <c r="BR995" i="48"/>
  <c r="BQ995" i="48"/>
  <c r="BR994" i="48"/>
  <c r="BQ994" i="48"/>
  <c r="BR993" i="48"/>
  <c r="BQ993" i="48"/>
  <c r="BR992" i="48"/>
  <c r="BQ992" i="48"/>
  <c r="BR991" i="48"/>
  <c r="BQ991" i="48"/>
  <c r="BR990" i="48"/>
  <c r="BQ990" i="48"/>
  <c r="BR989" i="48"/>
  <c r="BQ989" i="48"/>
  <c r="BR988" i="48"/>
  <c r="BQ988" i="48"/>
  <c r="BR987" i="48"/>
  <c r="BQ987" i="48"/>
  <c r="BR986" i="48"/>
  <c r="BQ986" i="48"/>
  <c r="BR985" i="48"/>
  <c r="BQ985" i="48"/>
  <c r="BR984" i="48"/>
  <c r="BQ984" i="48"/>
  <c r="BR983" i="48"/>
  <c r="BQ983" i="48"/>
  <c r="BR981" i="48"/>
  <c r="BQ981" i="48"/>
  <c r="BR980" i="48"/>
  <c r="BQ980" i="48"/>
  <c r="BR979" i="48"/>
  <c r="BQ979" i="48"/>
  <c r="BR978" i="48"/>
  <c r="BQ978" i="48"/>
  <c r="BR975" i="48"/>
  <c r="BQ975" i="48"/>
  <c r="BR974" i="48"/>
  <c r="BQ974" i="48"/>
  <c r="BR973" i="48"/>
  <c r="BQ973" i="48"/>
  <c r="BR972" i="48"/>
  <c r="BQ972" i="48"/>
  <c r="BR971" i="48"/>
  <c r="BQ971" i="48"/>
  <c r="BR970" i="48"/>
  <c r="BQ970" i="48"/>
  <c r="BR969" i="48"/>
  <c r="BQ969" i="48"/>
  <c r="BR968" i="48"/>
  <c r="BQ968" i="48"/>
  <c r="BR967" i="48"/>
  <c r="BQ967" i="48"/>
  <c r="BR966" i="48"/>
  <c r="BQ966" i="48"/>
  <c r="BR965" i="48"/>
  <c r="BQ965" i="48"/>
  <c r="BR964" i="48"/>
  <c r="BQ964" i="48"/>
  <c r="BR963" i="48"/>
  <c r="BQ963" i="48"/>
  <c r="BR962" i="48"/>
  <c r="BQ962" i="48"/>
  <c r="BR961" i="48"/>
  <c r="BQ961" i="48"/>
  <c r="BR960" i="48"/>
  <c r="BQ960" i="48"/>
  <c r="BR959" i="48"/>
  <c r="BQ959" i="48"/>
  <c r="BR958" i="48"/>
  <c r="BQ958" i="48"/>
  <c r="BR957" i="48"/>
  <c r="BQ957" i="48"/>
  <c r="BR956" i="48"/>
  <c r="BQ956" i="48"/>
  <c r="BR955" i="48"/>
  <c r="BQ955" i="48"/>
  <c r="BR954" i="48"/>
  <c r="BQ954" i="48"/>
  <c r="BR953" i="48"/>
  <c r="BQ953" i="48"/>
  <c r="BR949" i="48"/>
  <c r="BQ949" i="48"/>
  <c r="BR948" i="48"/>
  <c r="BQ948" i="48"/>
  <c r="BR947" i="48"/>
  <c r="BQ947" i="48"/>
  <c r="BR946" i="48"/>
  <c r="BQ946" i="48"/>
  <c r="BR945" i="48"/>
  <c r="BQ945" i="48"/>
  <c r="BR944" i="48"/>
  <c r="BQ944" i="48"/>
  <c r="BR943" i="48"/>
  <c r="BQ943" i="48"/>
  <c r="BR942" i="48"/>
  <c r="BQ942" i="48"/>
  <c r="BR941" i="48"/>
  <c r="BQ941" i="48"/>
  <c r="BR940" i="48"/>
  <c r="BQ940" i="48"/>
  <c r="BR939" i="48"/>
  <c r="BQ939" i="48"/>
  <c r="BR938" i="48"/>
  <c r="BQ938" i="48"/>
  <c r="BR937" i="48"/>
  <c r="BQ937" i="48"/>
  <c r="BR936" i="48"/>
  <c r="BQ936" i="48"/>
  <c r="BR935" i="48"/>
  <c r="BQ935" i="48"/>
  <c r="BR934" i="48"/>
  <c r="BQ934" i="48"/>
  <c r="BR933" i="48"/>
  <c r="BQ933" i="48"/>
  <c r="BR932" i="48"/>
  <c r="BQ932" i="48"/>
  <c r="BR931" i="48"/>
  <c r="BQ931" i="48"/>
  <c r="BR930" i="48"/>
  <c r="BQ930" i="48"/>
  <c r="BR929" i="48"/>
  <c r="BQ929" i="48"/>
  <c r="BR928" i="48"/>
  <c r="BQ928" i="48"/>
  <c r="BR925" i="48"/>
  <c r="BQ925" i="48"/>
  <c r="BR924" i="48"/>
  <c r="BQ924" i="48"/>
  <c r="BR923" i="48"/>
  <c r="BQ923" i="48"/>
  <c r="BR922" i="48"/>
  <c r="BQ922" i="48"/>
  <c r="BR921" i="48"/>
  <c r="BQ921" i="48"/>
  <c r="BR920" i="48"/>
  <c r="BQ920" i="48"/>
  <c r="BR919" i="48"/>
  <c r="BQ919" i="48"/>
  <c r="BR918" i="48"/>
  <c r="BQ918" i="48"/>
  <c r="BR917" i="48"/>
  <c r="BQ917" i="48"/>
  <c r="BR916" i="48"/>
  <c r="BQ916" i="48"/>
  <c r="BR915" i="48"/>
  <c r="BQ915" i="48"/>
  <c r="BR914" i="48"/>
  <c r="BQ914" i="48"/>
  <c r="BR913" i="48"/>
  <c r="BQ913" i="48"/>
  <c r="BR912" i="48"/>
  <c r="BQ912" i="48"/>
  <c r="BR911" i="48"/>
  <c r="BQ911" i="48"/>
  <c r="BR910" i="48"/>
  <c r="BQ910" i="48"/>
  <c r="BR909" i="48"/>
  <c r="BQ909" i="48"/>
  <c r="BR908" i="48"/>
  <c r="BQ908" i="48"/>
  <c r="BR907" i="48"/>
  <c r="BQ907" i="48"/>
  <c r="BR906" i="48"/>
  <c r="BQ906" i="48"/>
  <c r="BR905" i="48"/>
  <c r="BQ905" i="48"/>
  <c r="BR904" i="48"/>
  <c r="BQ904" i="48"/>
  <c r="BR903" i="48"/>
  <c r="BQ903" i="48"/>
  <c r="BR900" i="48"/>
  <c r="BQ900" i="48"/>
  <c r="BR899" i="48"/>
  <c r="BQ899" i="48"/>
  <c r="BR898" i="48"/>
  <c r="BQ898" i="48"/>
  <c r="BR897" i="48"/>
  <c r="BQ897" i="48"/>
  <c r="BR896" i="48"/>
  <c r="BQ896" i="48"/>
  <c r="BR895" i="48"/>
  <c r="BQ895" i="48"/>
  <c r="BR894" i="48"/>
  <c r="BQ894" i="48"/>
  <c r="BR893" i="48"/>
  <c r="BQ893" i="48"/>
  <c r="BR892" i="48"/>
  <c r="BQ892" i="48"/>
  <c r="BR891" i="48"/>
  <c r="BQ891" i="48"/>
  <c r="BR890" i="48"/>
  <c r="BQ890" i="48"/>
  <c r="BR889" i="48"/>
  <c r="BQ889" i="48"/>
  <c r="BR888" i="48"/>
  <c r="BQ888" i="48"/>
  <c r="BR887" i="48"/>
  <c r="BQ887" i="48"/>
  <c r="BR886" i="48"/>
  <c r="BQ886" i="48"/>
  <c r="BR885" i="48"/>
  <c r="BQ885" i="48"/>
  <c r="BR884" i="48"/>
  <c r="BQ884" i="48"/>
  <c r="BR883" i="48"/>
  <c r="BQ883" i="48"/>
  <c r="BR882" i="48"/>
  <c r="BQ882" i="48"/>
  <c r="BR879" i="48"/>
  <c r="BQ879" i="48"/>
  <c r="BR878" i="48"/>
  <c r="BQ878" i="48"/>
  <c r="BR875" i="48"/>
  <c r="BQ875" i="48"/>
  <c r="BR874" i="48"/>
  <c r="BQ874" i="48"/>
  <c r="BR873" i="48"/>
  <c r="BQ873" i="48"/>
  <c r="BR872" i="48"/>
  <c r="BQ872" i="48"/>
  <c r="BR871" i="48"/>
  <c r="BQ871" i="48"/>
  <c r="BR870" i="48"/>
  <c r="BQ870" i="48"/>
  <c r="BR869" i="48"/>
  <c r="BQ869" i="48"/>
  <c r="BR868" i="48"/>
  <c r="BQ868" i="48"/>
  <c r="BR867" i="48"/>
  <c r="BQ867" i="48"/>
  <c r="BR866" i="48"/>
  <c r="BQ866" i="48"/>
  <c r="BR865" i="48"/>
  <c r="BQ865" i="48"/>
  <c r="BR864" i="48"/>
  <c r="BQ864" i="48"/>
  <c r="BR863" i="48"/>
  <c r="BQ863" i="48"/>
  <c r="BR862" i="48"/>
  <c r="BQ862" i="48"/>
  <c r="BR861" i="48"/>
  <c r="BQ861" i="48"/>
  <c r="BR860" i="48"/>
  <c r="BQ860" i="48"/>
  <c r="BR859" i="48"/>
  <c r="BQ859" i="48"/>
  <c r="BR858" i="48"/>
  <c r="BQ858" i="48"/>
  <c r="BR857" i="48"/>
  <c r="BQ857" i="48"/>
  <c r="BR856" i="48"/>
  <c r="BQ856" i="48"/>
  <c r="BR855" i="48"/>
  <c r="BQ855" i="48"/>
  <c r="BR854" i="48"/>
  <c r="BQ854" i="48"/>
  <c r="BR853" i="48"/>
  <c r="BQ853" i="48"/>
  <c r="BR850" i="48"/>
  <c r="BQ850" i="48"/>
  <c r="BR849" i="48"/>
  <c r="BQ849" i="48"/>
  <c r="BR848" i="48"/>
  <c r="BQ848" i="48"/>
  <c r="BR847" i="48"/>
  <c r="BQ847" i="48"/>
  <c r="BR846" i="48"/>
  <c r="BQ846" i="48"/>
  <c r="BR845" i="48"/>
  <c r="BQ845" i="48"/>
  <c r="BR844" i="48"/>
  <c r="BQ844" i="48"/>
  <c r="BR843" i="48"/>
  <c r="BQ843" i="48"/>
  <c r="BR842" i="48"/>
  <c r="BQ842" i="48"/>
  <c r="BR841" i="48"/>
  <c r="BQ841" i="48"/>
  <c r="BR840" i="48"/>
  <c r="BQ840" i="48"/>
  <c r="BR839" i="48"/>
  <c r="BQ839" i="48"/>
  <c r="BR838" i="48"/>
  <c r="BQ838" i="48"/>
  <c r="BR837" i="48"/>
  <c r="BQ837" i="48"/>
  <c r="BR836" i="48"/>
  <c r="BQ836" i="48"/>
  <c r="BR835" i="48"/>
  <c r="BQ835" i="48"/>
  <c r="BR834" i="48"/>
  <c r="BQ834" i="48"/>
  <c r="BR833" i="48"/>
  <c r="BQ833" i="48"/>
  <c r="BR832" i="48"/>
  <c r="BQ832" i="48"/>
  <c r="BR831" i="48"/>
  <c r="BQ831" i="48"/>
  <c r="BR830" i="48"/>
  <c r="BQ830" i="48"/>
  <c r="BR829" i="48"/>
  <c r="BQ829" i="48"/>
  <c r="BR828" i="48"/>
  <c r="BQ828" i="48"/>
  <c r="BR825" i="48"/>
  <c r="BQ825" i="48"/>
  <c r="BR824" i="48"/>
  <c r="BQ824" i="48"/>
  <c r="BR823" i="48"/>
  <c r="BQ823" i="48"/>
  <c r="BR822" i="48"/>
  <c r="BQ822" i="48"/>
  <c r="BR821" i="48"/>
  <c r="BQ821" i="48"/>
  <c r="BR820" i="48"/>
  <c r="BQ820" i="48"/>
  <c r="BR819" i="48"/>
  <c r="BQ819" i="48"/>
  <c r="BR818" i="48"/>
  <c r="BQ818" i="48"/>
  <c r="BR817" i="48"/>
  <c r="BQ817" i="48"/>
  <c r="BR816" i="48"/>
  <c r="BQ816" i="48"/>
  <c r="BR815" i="48"/>
  <c r="BQ815" i="48"/>
  <c r="BR814" i="48"/>
  <c r="BQ814" i="48"/>
  <c r="BR813" i="48"/>
  <c r="BQ813" i="48"/>
  <c r="BR812" i="48"/>
  <c r="BQ812" i="48"/>
  <c r="BR811" i="48"/>
  <c r="BQ811" i="48"/>
  <c r="BR810" i="48"/>
  <c r="BQ810" i="48"/>
  <c r="BR809" i="48"/>
  <c r="BQ809" i="48"/>
  <c r="BR808" i="48"/>
  <c r="BQ808" i="48"/>
  <c r="BR807" i="48"/>
  <c r="BQ807" i="48"/>
  <c r="BR806" i="48"/>
  <c r="BQ806" i="48"/>
  <c r="BR805" i="48"/>
  <c r="BQ805" i="48"/>
  <c r="BR804" i="48"/>
  <c r="BQ804" i="48"/>
  <c r="BR803" i="48"/>
  <c r="BQ803" i="48"/>
  <c r="BR800" i="48"/>
  <c r="BQ800" i="48"/>
  <c r="BR799" i="48"/>
  <c r="BQ799" i="48"/>
  <c r="BR798" i="48"/>
  <c r="BQ798" i="48"/>
  <c r="BR797" i="48"/>
  <c r="BQ797" i="48"/>
  <c r="BR796" i="48"/>
  <c r="BQ796" i="48"/>
  <c r="BR795" i="48"/>
  <c r="BQ795" i="48"/>
  <c r="BR794" i="48"/>
  <c r="BQ794" i="48"/>
  <c r="BR793" i="48"/>
  <c r="BQ793" i="48"/>
  <c r="BR792" i="48"/>
  <c r="BQ792" i="48"/>
  <c r="BR791" i="48"/>
  <c r="BQ791" i="48"/>
  <c r="BR790" i="48"/>
  <c r="BQ790" i="48"/>
  <c r="BR789" i="48"/>
  <c r="BQ789" i="48"/>
  <c r="BR788" i="48"/>
  <c r="BQ788" i="48"/>
  <c r="BR787" i="48"/>
  <c r="BQ787" i="48"/>
  <c r="BR786" i="48"/>
  <c r="BQ786" i="48"/>
  <c r="BR785" i="48"/>
  <c r="BQ785" i="48"/>
  <c r="BR784" i="48"/>
  <c r="BQ784" i="48"/>
  <c r="BR783" i="48"/>
  <c r="BQ783" i="48"/>
  <c r="BR782" i="48"/>
  <c r="BQ782" i="48"/>
  <c r="BR781" i="48"/>
  <c r="BQ781" i="48"/>
  <c r="BR780" i="48"/>
  <c r="BQ780" i="48"/>
  <c r="BR779" i="48"/>
  <c r="BQ779" i="48"/>
  <c r="BR778" i="48"/>
  <c r="BQ778" i="48"/>
  <c r="BR775" i="48"/>
  <c r="BQ775" i="48"/>
  <c r="BR774" i="48"/>
  <c r="BQ774" i="48"/>
  <c r="BR773" i="48"/>
  <c r="BQ773" i="48"/>
  <c r="BR772" i="48"/>
  <c r="BQ772" i="48"/>
  <c r="BR771" i="48"/>
  <c r="BQ771" i="48"/>
  <c r="BR770" i="48"/>
  <c r="BQ770" i="48"/>
  <c r="BR769" i="48"/>
  <c r="BQ769" i="48"/>
  <c r="BR768" i="48"/>
  <c r="BQ768" i="48"/>
  <c r="BR767" i="48"/>
  <c r="BQ767" i="48"/>
  <c r="BR766" i="48"/>
  <c r="BQ766" i="48"/>
  <c r="BR765" i="48"/>
  <c r="BQ765" i="48"/>
  <c r="BR764" i="48"/>
  <c r="BQ764" i="48"/>
  <c r="BR763" i="48"/>
  <c r="BQ763" i="48"/>
  <c r="BR762" i="48"/>
  <c r="BQ762" i="48"/>
  <c r="BR761" i="48"/>
  <c r="BQ761" i="48"/>
  <c r="BR760" i="48"/>
  <c r="BQ760" i="48"/>
  <c r="BR759" i="48"/>
  <c r="BQ759" i="48"/>
  <c r="BR758" i="48"/>
  <c r="BQ758" i="48"/>
  <c r="BR757" i="48"/>
  <c r="BQ757" i="48"/>
  <c r="BR756" i="48"/>
  <c r="BQ756" i="48"/>
  <c r="BR755" i="48"/>
  <c r="BQ755" i="48"/>
  <c r="BR754" i="48"/>
  <c r="BQ754" i="48"/>
  <c r="BR753" i="48"/>
  <c r="BQ753" i="48"/>
  <c r="BR750" i="48"/>
  <c r="BQ750" i="48"/>
  <c r="BR749" i="48"/>
  <c r="BQ749" i="48"/>
  <c r="BR748" i="48"/>
  <c r="BQ748" i="48"/>
  <c r="BR747" i="48"/>
  <c r="BQ747" i="48"/>
  <c r="BR746" i="48"/>
  <c r="BQ746" i="48"/>
  <c r="BR745" i="48"/>
  <c r="BQ745" i="48"/>
  <c r="BR744" i="48"/>
  <c r="BQ744" i="48"/>
  <c r="BR743" i="48"/>
  <c r="BQ743" i="48"/>
  <c r="BR742" i="48"/>
  <c r="BQ742" i="48"/>
  <c r="BR741" i="48"/>
  <c r="BQ741" i="48"/>
  <c r="BR740" i="48"/>
  <c r="BQ740" i="48"/>
  <c r="BR739" i="48"/>
  <c r="BQ739" i="48"/>
  <c r="BR738" i="48"/>
  <c r="BQ738" i="48"/>
  <c r="BR737" i="48"/>
  <c r="BQ737" i="48"/>
  <c r="BR736" i="48"/>
  <c r="BQ736" i="48"/>
  <c r="BR735" i="48"/>
  <c r="BQ735" i="48"/>
  <c r="BR734" i="48"/>
  <c r="BQ734" i="48"/>
  <c r="BR733" i="48"/>
  <c r="BQ733" i="48"/>
  <c r="BR732" i="48"/>
  <c r="BQ732" i="48"/>
  <c r="BR731" i="48"/>
  <c r="BQ731" i="48"/>
  <c r="BR730" i="48"/>
  <c r="BQ730" i="48"/>
  <c r="BR729" i="48"/>
  <c r="BQ729" i="48"/>
  <c r="BR728" i="48"/>
  <c r="BQ728" i="48"/>
  <c r="BR725" i="48"/>
  <c r="BQ725" i="48"/>
  <c r="BR724" i="48"/>
  <c r="BQ724" i="48"/>
  <c r="BR723" i="48"/>
  <c r="BQ723" i="48"/>
  <c r="BR722" i="48"/>
  <c r="BQ722" i="48"/>
  <c r="BR721" i="48"/>
  <c r="BQ721" i="48"/>
  <c r="BR720" i="48"/>
  <c r="BQ720" i="48"/>
  <c r="BR719" i="48"/>
  <c r="BQ719" i="48"/>
  <c r="BR718" i="48"/>
  <c r="BQ718" i="48"/>
  <c r="BR717" i="48"/>
  <c r="BQ717" i="48"/>
  <c r="BR716" i="48"/>
  <c r="BQ716" i="48"/>
  <c r="BR715" i="48"/>
  <c r="BQ715" i="48"/>
  <c r="BR714" i="48"/>
  <c r="BQ714" i="48"/>
  <c r="BR713" i="48"/>
  <c r="BQ713" i="48"/>
  <c r="BR712" i="48"/>
  <c r="BQ712" i="48"/>
  <c r="BR711" i="48"/>
  <c r="BQ711" i="48"/>
  <c r="BR710" i="48"/>
  <c r="BQ710" i="48"/>
  <c r="BR709" i="48"/>
  <c r="BQ709" i="48"/>
  <c r="BR708" i="48"/>
  <c r="BQ708" i="48"/>
  <c r="BR707" i="48"/>
  <c r="BQ707" i="48"/>
  <c r="BR706" i="48"/>
  <c r="BQ706" i="48"/>
  <c r="BR705" i="48"/>
  <c r="BQ705" i="48"/>
  <c r="BR704" i="48"/>
  <c r="BQ704" i="48"/>
  <c r="BR703" i="48"/>
  <c r="BQ703" i="48"/>
  <c r="BR700" i="48"/>
  <c r="BQ700" i="48"/>
  <c r="BR699" i="48"/>
  <c r="BQ699" i="48"/>
  <c r="BR698" i="48"/>
  <c r="BQ698" i="48"/>
  <c r="BR697" i="48"/>
  <c r="BQ697" i="48"/>
  <c r="BR696" i="48"/>
  <c r="BQ696" i="48"/>
  <c r="BR695" i="48"/>
  <c r="BQ695" i="48"/>
  <c r="BR694" i="48"/>
  <c r="BQ694" i="48"/>
  <c r="BR693" i="48"/>
  <c r="BQ693" i="48"/>
  <c r="BR692" i="48"/>
  <c r="BQ692" i="48"/>
  <c r="BR691" i="48"/>
  <c r="BQ691" i="48"/>
  <c r="BR690" i="48"/>
  <c r="BQ690" i="48"/>
  <c r="BR689" i="48"/>
  <c r="BQ689" i="48"/>
  <c r="BR688" i="48"/>
  <c r="BQ688" i="48"/>
  <c r="BR687" i="48"/>
  <c r="BQ687" i="48"/>
  <c r="BR686" i="48"/>
  <c r="BQ686" i="48"/>
  <c r="BR685" i="48"/>
  <c r="BQ685" i="48"/>
  <c r="BR684" i="48"/>
  <c r="BQ684" i="48"/>
  <c r="BR683" i="48"/>
  <c r="BQ683" i="48"/>
  <c r="BR682" i="48"/>
  <c r="BQ682" i="48"/>
  <c r="BR681" i="48"/>
  <c r="BQ681" i="48"/>
  <c r="BR680" i="48"/>
  <c r="BQ680" i="48"/>
  <c r="BR679" i="48"/>
  <c r="BQ679" i="48"/>
  <c r="BR678" i="48"/>
  <c r="BQ678" i="48"/>
  <c r="BR675" i="48"/>
  <c r="BQ675" i="48"/>
  <c r="BR674" i="48"/>
  <c r="BQ674" i="48"/>
  <c r="BR673" i="48"/>
  <c r="BQ673" i="48"/>
  <c r="BR672" i="48"/>
  <c r="BQ672" i="48"/>
  <c r="BR671" i="48"/>
  <c r="BQ671" i="48"/>
  <c r="BR670" i="48"/>
  <c r="BQ670" i="48"/>
  <c r="BR669" i="48"/>
  <c r="BQ669" i="48"/>
  <c r="BR668" i="48"/>
  <c r="BQ668" i="48"/>
  <c r="BR667" i="48"/>
  <c r="BQ667" i="48"/>
  <c r="BR666" i="48"/>
  <c r="BQ666" i="48"/>
  <c r="BR665" i="48"/>
  <c r="BQ665" i="48"/>
  <c r="BR664" i="48"/>
  <c r="BQ664" i="48"/>
  <c r="BR663" i="48"/>
  <c r="BQ663" i="48"/>
  <c r="BR662" i="48"/>
  <c r="BQ662" i="48"/>
  <c r="BR661" i="48"/>
  <c r="BQ661" i="48"/>
  <c r="BR660" i="48"/>
  <c r="BQ660" i="48"/>
  <c r="BR659" i="48"/>
  <c r="BQ659" i="48"/>
  <c r="BR658" i="48"/>
  <c r="BQ658" i="48"/>
  <c r="BR657" i="48"/>
  <c r="BQ657" i="48"/>
  <c r="BR656" i="48"/>
  <c r="BQ656" i="48"/>
  <c r="BR655" i="48"/>
  <c r="BQ655" i="48"/>
  <c r="BR654" i="48"/>
  <c r="BQ654" i="48"/>
  <c r="BQ653" i="48"/>
  <c r="BR650" i="48"/>
  <c r="BQ650" i="48"/>
  <c r="BR649" i="48"/>
  <c r="BQ649" i="48"/>
  <c r="BR648" i="48"/>
  <c r="BQ648" i="48"/>
  <c r="BR647" i="48"/>
  <c r="BQ647" i="48"/>
  <c r="BR646" i="48"/>
  <c r="BQ646" i="48"/>
  <c r="BR645" i="48"/>
  <c r="BQ645" i="48"/>
  <c r="BR644" i="48"/>
  <c r="BQ644" i="48"/>
  <c r="BR643" i="48"/>
  <c r="BQ643" i="48"/>
  <c r="BR642" i="48"/>
  <c r="BQ642" i="48"/>
  <c r="BR641" i="48"/>
  <c r="BQ641" i="48"/>
  <c r="BR640" i="48"/>
  <c r="BQ640" i="48"/>
  <c r="BR639" i="48"/>
  <c r="BQ639" i="48"/>
  <c r="BR638" i="48"/>
  <c r="BQ638" i="48"/>
  <c r="BR637" i="48"/>
  <c r="BQ637" i="48"/>
  <c r="BR636" i="48"/>
  <c r="BQ636" i="48"/>
  <c r="BR635" i="48"/>
  <c r="BQ635" i="48"/>
  <c r="BR634" i="48"/>
  <c r="BQ634" i="48"/>
  <c r="BR633" i="48"/>
  <c r="BQ633" i="48"/>
  <c r="BR632" i="48"/>
  <c r="BQ632" i="48"/>
  <c r="BR631" i="48"/>
  <c r="BQ631" i="48"/>
  <c r="BR630" i="48"/>
  <c r="BQ630" i="48"/>
  <c r="BR629" i="48"/>
  <c r="BQ629" i="48"/>
  <c r="BR628" i="48"/>
  <c r="BQ628" i="48"/>
  <c r="BR625" i="48"/>
  <c r="BQ625" i="48"/>
  <c r="BR624" i="48"/>
  <c r="BQ624" i="48"/>
  <c r="BR623" i="48"/>
  <c r="BQ623" i="48"/>
  <c r="BR622" i="48"/>
  <c r="BQ622" i="48"/>
  <c r="BR621" i="48"/>
  <c r="BQ621" i="48"/>
  <c r="BR620" i="48"/>
  <c r="BQ620" i="48"/>
  <c r="BR619" i="48"/>
  <c r="BQ619" i="48"/>
  <c r="BR618" i="48"/>
  <c r="BQ618" i="48"/>
  <c r="BR617" i="48"/>
  <c r="BQ617" i="48"/>
  <c r="BR616" i="48"/>
  <c r="BQ616" i="48"/>
  <c r="BR615" i="48"/>
  <c r="BQ615" i="48"/>
  <c r="BR614" i="48"/>
  <c r="BQ614" i="48"/>
  <c r="BR613" i="48"/>
  <c r="BQ613" i="48"/>
  <c r="BR612" i="48"/>
  <c r="BQ612" i="48"/>
  <c r="BR611" i="48"/>
  <c r="BQ611" i="48"/>
  <c r="BR610" i="48"/>
  <c r="BQ610" i="48"/>
  <c r="BR609" i="48"/>
  <c r="BQ609" i="48"/>
  <c r="BR608" i="48"/>
  <c r="BQ608" i="48"/>
  <c r="BR607" i="48"/>
  <c r="BQ607" i="48"/>
  <c r="BR606" i="48"/>
  <c r="BQ606" i="48"/>
  <c r="BR605" i="48"/>
  <c r="BQ605" i="48"/>
  <c r="BR604" i="48"/>
  <c r="BQ604" i="48"/>
  <c r="BR603" i="48"/>
  <c r="BQ603" i="48"/>
  <c r="BR600" i="48"/>
  <c r="BQ600" i="48"/>
  <c r="BR599" i="48"/>
  <c r="BQ599" i="48"/>
  <c r="BR598" i="48"/>
  <c r="BQ598" i="48"/>
  <c r="BR597" i="48"/>
  <c r="BQ597" i="48"/>
  <c r="BR596" i="48"/>
  <c r="BQ596" i="48"/>
  <c r="BR595" i="48"/>
  <c r="BQ595" i="48"/>
  <c r="BR594" i="48"/>
  <c r="BQ594" i="48"/>
  <c r="BR593" i="48"/>
  <c r="BQ593" i="48"/>
  <c r="BR592" i="48"/>
  <c r="BQ592" i="48"/>
  <c r="BR591" i="48"/>
  <c r="BQ591" i="48"/>
  <c r="BR590" i="48"/>
  <c r="BQ590" i="48"/>
  <c r="BR589" i="48"/>
  <c r="BQ589" i="48"/>
  <c r="BR588" i="48"/>
  <c r="BQ588" i="48"/>
  <c r="BR587" i="48"/>
  <c r="BQ587" i="48"/>
  <c r="BR586" i="48"/>
  <c r="BQ586" i="48"/>
  <c r="BR585" i="48"/>
  <c r="BQ585" i="48"/>
  <c r="BR584" i="48"/>
  <c r="BQ584" i="48"/>
  <c r="BR583" i="48"/>
  <c r="BQ583" i="48"/>
  <c r="BR582" i="48"/>
  <c r="BQ582" i="48"/>
  <c r="BR581" i="48"/>
  <c r="BQ581" i="48"/>
  <c r="BR579" i="48"/>
  <c r="BQ579" i="48"/>
  <c r="BR578" i="48"/>
  <c r="BQ578" i="48"/>
  <c r="BR575" i="48"/>
  <c r="BQ575" i="48"/>
  <c r="BR574" i="48"/>
  <c r="BQ574" i="48"/>
  <c r="BR573" i="48"/>
  <c r="BQ573" i="48"/>
  <c r="BR572" i="48"/>
  <c r="BQ572" i="48"/>
  <c r="BR571" i="48"/>
  <c r="BQ571" i="48"/>
  <c r="BR570" i="48"/>
  <c r="BQ570" i="48"/>
  <c r="BR569" i="48"/>
  <c r="BQ569" i="48"/>
  <c r="BR568" i="48"/>
  <c r="BQ568" i="48"/>
  <c r="BR567" i="48"/>
  <c r="BQ567" i="48"/>
  <c r="BR566" i="48"/>
  <c r="BQ566" i="48"/>
  <c r="BR565" i="48"/>
  <c r="BQ565" i="48"/>
  <c r="BR564" i="48"/>
  <c r="BQ564" i="48"/>
  <c r="BR563" i="48"/>
  <c r="BQ563" i="48"/>
  <c r="BR559" i="48"/>
  <c r="BQ559" i="48"/>
  <c r="BR554" i="48"/>
  <c r="BQ554" i="48"/>
  <c r="BR553" i="48"/>
  <c r="BQ553" i="48"/>
  <c r="BR550" i="48"/>
  <c r="BQ550" i="48"/>
  <c r="BR549" i="48"/>
  <c r="BQ549" i="48"/>
  <c r="BR548" i="48"/>
  <c r="BQ548" i="48"/>
  <c r="BR547" i="48"/>
  <c r="BQ547" i="48"/>
  <c r="BR546" i="48"/>
  <c r="BQ546" i="48"/>
  <c r="BR545" i="48"/>
  <c r="BQ545" i="48"/>
  <c r="BR544" i="48"/>
  <c r="BQ544" i="48"/>
  <c r="BR543" i="48"/>
  <c r="BQ543" i="48"/>
  <c r="BR542" i="48"/>
  <c r="BQ542" i="48"/>
  <c r="BR541" i="48"/>
  <c r="BQ541" i="48"/>
  <c r="BR540" i="48"/>
  <c r="BQ540" i="48"/>
  <c r="BR539" i="48"/>
  <c r="BQ539" i="48"/>
  <c r="BR538" i="48"/>
  <c r="BQ538" i="48"/>
  <c r="BR537" i="48"/>
  <c r="BQ537" i="48"/>
  <c r="BR536" i="48"/>
  <c r="BQ536" i="48"/>
  <c r="BR535" i="48"/>
  <c r="BQ535" i="48"/>
  <c r="BR534" i="48"/>
  <c r="BQ534" i="48"/>
  <c r="BR533" i="48"/>
  <c r="BQ533" i="48"/>
  <c r="BR532" i="48"/>
  <c r="BQ532" i="48"/>
  <c r="BR531" i="48"/>
  <c r="BQ531" i="48"/>
  <c r="BR530" i="48"/>
  <c r="BQ530" i="48"/>
  <c r="BR529" i="48"/>
  <c r="BQ529" i="48"/>
  <c r="BR528" i="48"/>
  <c r="BQ528" i="48"/>
  <c r="BR525" i="48"/>
  <c r="BQ525" i="48"/>
  <c r="BR524" i="48"/>
  <c r="BQ524" i="48"/>
  <c r="BR523" i="48"/>
  <c r="BQ523" i="48"/>
  <c r="BR522" i="48"/>
  <c r="BQ522" i="48"/>
  <c r="BR521" i="48"/>
  <c r="BQ521" i="48"/>
  <c r="BR520" i="48"/>
  <c r="BQ520" i="48"/>
  <c r="BR519" i="48"/>
  <c r="BQ519" i="48"/>
  <c r="BR518" i="48"/>
  <c r="BQ518" i="48"/>
  <c r="BR517" i="48"/>
  <c r="BQ517" i="48"/>
  <c r="BR516" i="48"/>
  <c r="BQ516" i="48"/>
  <c r="BR515" i="48"/>
  <c r="BQ515" i="48"/>
  <c r="BR514" i="48"/>
  <c r="BQ514" i="48"/>
  <c r="BR513" i="48"/>
  <c r="BQ513" i="48"/>
  <c r="BR512" i="48"/>
  <c r="BQ512" i="48"/>
  <c r="BR511" i="48"/>
  <c r="BQ511" i="48"/>
  <c r="BR510" i="48"/>
  <c r="BQ510" i="48"/>
  <c r="BR509" i="48"/>
  <c r="BQ509" i="48"/>
  <c r="BR508" i="48"/>
  <c r="BQ508" i="48"/>
  <c r="BR507" i="48"/>
  <c r="BQ507" i="48"/>
  <c r="BR506" i="48"/>
  <c r="BQ506" i="48"/>
  <c r="BR505" i="48"/>
  <c r="BQ505" i="48"/>
  <c r="BR504" i="48"/>
  <c r="BQ504" i="48"/>
  <c r="BR503" i="48"/>
  <c r="BQ503" i="48"/>
  <c r="BR500" i="48"/>
  <c r="BQ500" i="48"/>
  <c r="BR499" i="48"/>
  <c r="BQ499" i="48"/>
  <c r="BR498" i="48"/>
  <c r="BQ498" i="48"/>
  <c r="BR497" i="48"/>
  <c r="BQ497" i="48"/>
  <c r="BR496" i="48"/>
  <c r="BQ496" i="48"/>
  <c r="BR495" i="48"/>
  <c r="BQ495" i="48"/>
  <c r="BR494" i="48"/>
  <c r="BQ494" i="48"/>
  <c r="BR493" i="48"/>
  <c r="BQ493" i="48"/>
  <c r="BR492" i="48"/>
  <c r="BQ492" i="48"/>
  <c r="BR491" i="48"/>
  <c r="BQ491" i="48"/>
  <c r="BR490" i="48"/>
  <c r="BQ490" i="48"/>
  <c r="BR489" i="48"/>
  <c r="BQ489" i="48"/>
  <c r="BR488" i="48"/>
  <c r="BQ488" i="48"/>
  <c r="BR487" i="48"/>
  <c r="BQ487" i="48"/>
  <c r="BR486" i="48"/>
  <c r="BQ486" i="48"/>
  <c r="BR485" i="48"/>
  <c r="BQ485" i="48"/>
  <c r="BR484" i="48"/>
  <c r="BQ484" i="48"/>
  <c r="BR483" i="48"/>
  <c r="BQ483" i="48"/>
  <c r="BR482" i="48"/>
  <c r="BQ482" i="48"/>
  <c r="BR481" i="48"/>
  <c r="BQ481" i="48"/>
  <c r="BR480" i="48"/>
  <c r="BQ480" i="48"/>
  <c r="BR479" i="48"/>
  <c r="BQ479" i="48"/>
  <c r="BR478" i="48"/>
  <c r="BQ478" i="48"/>
  <c r="BR475" i="48"/>
  <c r="BQ475" i="48"/>
  <c r="BR474" i="48"/>
  <c r="BQ474" i="48"/>
  <c r="BR473" i="48"/>
  <c r="BQ473" i="48"/>
  <c r="BR472" i="48"/>
  <c r="BQ472" i="48"/>
  <c r="BR471" i="48"/>
  <c r="BQ471" i="48"/>
  <c r="BR470" i="48"/>
  <c r="BQ470" i="48"/>
  <c r="BR469" i="48"/>
  <c r="BQ469" i="48"/>
  <c r="BR468" i="48"/>
  <c r="BQ468" i="48"/>
  <c r="BR467" i="48"/>
  <c r="BQ467" i="48"/>
  <c r="BR466" i="48"/>
  <c r="BQ466" i="48"/>
  <c r="BR465" i="48"/>
  <c r="BQ465" i="48"/>
  <c r="BR464" i="48"/>
  <c r="BQ464" i="48"/>
  <c r="BR463" i="48"/>
  <c r="BQ463" i="48"/>
  <c r="BR462" i="48"/>
  <c r="BQ462" i="48"/>
  <c r="BR461" i="48"/>
  <c r="BQ461" i="48"/>
  <c r="BR460" i="48"/>
  <c r="BQ460" i="48"/>
  <c r="BR459" i="48"/>
  <c r="BQ459" i="48"/>
  <c r="BR458" i="48"/>
  <c r="BQ458" i="48"/>
  <c r="BR457" i="48"/>
  <c r="BQ457" i="48"/>
  <c r="BR456" i="48"/>
  <c r="BQ456" i="48"/>
  <c r="BR455" i="48"/>
  <c r="BQ455" i="48"/>
  <c r="BR454" i="48"/>
  <c r="BQ454" i="48"/>
  <c r="BR453" i="48"/>
  <c r="BQ453" i="48"/>
  <c r="BR450" i="48"/>
  <c r="BQ450" i="48"/>
  <c r="BR449" i="48"/>
  <c r="BQ449" i="48"/>
  <c r="BR448" i="48"/>
  <c r="BQ448" i="48"/>
  <c r="BR447" i="48"/>
  <c r="BQ447" i="48"/>
  <c r="BR446" i="48"/>
  <c r="BQ446" i="48"/>
  <c r="BR445" i="48"/>
  <c r="BQ445" i="48"/>
  <c r="BR444" i="48"/>
  <c r="BQ444" i="48"/>
  <c r="BR443" i="48"/>
  <c r="BQ443" i="48"/>
  <c r="BR442" i="48"/>
  <c r="BQ442" i="48"/>
  <c r="BR441" i="48"/>
  <c r="BQ441" i="48"/>
  <c r="BR440" i="48"/>
  <c r="BQ440" i="48"/>
  <c r="BR439" i="48"/>
  <c r="BQ439" i="48"/>
  <c r="BR438" i="48"/>
  <c r="BQ438" i="48"/>
  <c r="BR437" i="48"/>
  <c r="BQ437" i="48"/>
  <c r="BR436" i="48"/>
  <c r="BQ436" i="48"/>
  <c r="BR435" i="48"/>
  <c r="BQ435" i="48"/>
  <c r="BR434" i="48"/>
  <c r="BQ434" i="48"/>
  <c r="BR433" i="48"/>
  <c r="BQ433" i="48"/>
  <c r="BR432" i="48"/>
  <c r="BQ432" i="48"/>
  <c r="BR431" i="48"/>
  <c r="BQ431" i="48"/>
  <c r="BR430" i="48"/>
  <c r="BQ430" i="48"/>
  <c r="BR429" i="48"/>
  <c r="BQ429" i="48"/>
  <c r="BR428" i="48"/>
  <c r="BQ428" i="48"/>
  <c r="BR425" i="48"/>
  <c r="BQ425" i="48"/>
  <c r="BR424" i="48"/>
  <c r="BQ424" i="48"/>
  <c r="BR423" i="48"/>
  <c r="BQ423" i="48"/>
  <c r="BR422" i="48"/>
  <c r="BQ422" i="48"/>
  <c r="BR421" i="48"/>
  <c r="BQ421" i="48"/>
  <c r="BR420" i="48"/>
  <c r="BQ420" i="48"/>
  <c r="BR419" i="48"/>
  <c r="BQ419" i="48"/>
  <c r="BR418" i="48"/>
  <c r="BQ418" i="48"/>
  <c r="BR417" i="48"/>
  <c r="BQ417" i="48"/>
  <c r="BR416" i="48"/>
  <c r="BQ416" i="48"/>
  <c r="BR415" i="48"/>
  <c r="BQ415" i="48"/>
  <c r="BR414" i="48"/>
  <c r="BQ414" i="48"/>
  <c r="BR413" i="48"/>
  <c r="BQ413" i="48"/>
  <c r="BR412" i="48"/>
  <c r="BQ412" i="48"/>
  <c r="BR411" i="48"/>
  <c r="BQ411" i="48"/>
  <c r="BR410" i="48"/>
  <c r="BQ410" i="48"/>
  <c r="BR409" i="48"/>
  <c r="BQ409" i="48"/>
  <c r="BR408" i="48"/>
  <c r="BQ408" i="48"/>
  <c r="BR407" i="48"/>
  <c r="BQ407" i="48"/>
  <c r="BR406" i="48"/>
  <c r="BQ406" i="48"/>
  <c r="BR405" i="48"/>
  <c r="BQ405" i="48"/>
  <c r="BR404" i="48"/>
  <c r="BQ404" i="48"/>
  <c r="BR403" i="48"/>
  <c r="BQ403" i="48"/>
  <c r="BR400" i="48"/>
  <c r="BQ400" i="48"/>
  <c r="BR399" i="48"/>
  <c r="BQ399" i="48"/>
  <c r="BR398" i="48"/>
  <c r="BQ398" i="48"/>
  <c r="BR397" i="48"/>
  <c r="BQ397" i="48"/>
  <c r="BR396" i="48"/>
  <c r="BQ396" i="48"/>
  <c r="BR395" i="48"/>
  <c r="BQ395" i="48"/>
  <c r="BR394" i="48"/>
  <c r="BQ394" i="48"/>
  <c r="BR393" i="48"/>
  <c r="BQ393" i="48"/>
  <c r="BR392" i="48"/>
  <c r="BQ392" i="48"/>
  <c r="BR391" i="48"/>
  <c r="BQ391" i="48"/>
  <c r="BR390" i="48"/>
  <c r="BQ390" i="48"/>
  <c r="BR389" i="48"/>
  <c r="BQ389" i="48"/>
  <c r="BR388" i="48"/>
  <c r="BQ388" i="48"/>
  <c r="BR387" i="48"/>
  <c r="BQ387" i="48"/>
  <c r="BR386" i="48"/>
  <c r="BQ386" i="48"/>
  <c r="BR385" i="48"/>
  <c r="BQ385" i="48"/>
  <c r="BR384" i="48"/>
  <c r="BQ384" i="48"/>
  <c r="BR383" i="48"/>
  <c r="BQ383" i="48"/>
  <c r="BR382" i="48"/>
  <c r="BQ382" i="48"/>
  <c r="BR381" i="48"/>
  <c r="BQ381" i="48"/>
  <c r="BR380" i="48"/>
  <c r="BQ380" i="48"/>
  <c r="BR379" i="48"/>
  <c r="BQ379" i="48"/>
  <c r="BR378" i="48"/>
  <c r="BQ378" i="48"/>
  <c r="BR375" i="48"/>
  <c r="BQ375" i="48"/>
  <c r="BR374" i="48"/>
  <c r="BQ374" i="48"/>
  <c r="BR373" i="48"/>
  <c r="BQ373" i="48"/>
  <c r="BR372" i="48"/>
  <c r="BQ372" i="48"/>
  <c r="BR371" i="48"/>
  <c r="BQ371" i="48"/>
  <c r="BR370" i="48"/>
  <c r="BQ370" i="48"/>
  <c r="BR369" i="48"/>
  <c r="BQ369" i="48"/>
  <c r="BR368" i="48"/>
  <c r="BQ368" i="48"/>
  <c r="BR367" i="48"/>
  <c r="BQ367" i="48"/>
  <c r="BR366" i="48"/>
  <c r="BQ366" i="48"/>
  <c r="BR365" i="48"/>
  <c r="BQ365" i="48"/>
  <c r="BR364" i="48"/>
  <c r="BQ364" i="48"/>
  <c r="BR363" i="48"/>
  <c r="BQ363" i="48"/>
  <c r="BR362" i="48"/>
  <c r="BQ362" i="48"/>
  <c r="BR361" i="48"/>
  <c r="BQ361" i="48"/>
  <c r="BR360" i="48"/>
  <c r="BQ360" i="48"/>
  <c r="BR359" i="48"/>
  <c r="BQ359" i="48"/>
  <c r="BR358" i="48"/>
  <c r="BQ358" i="48"/>
  <c r="BR357" i="48"/>
  <c r="BQ357" i="48"/>
  <c r="BR356" i="48"/>
  <c r="BQ356" i="48"/>
  <c r="BR355" i="48"/>
  <c r="BQ355" i="48"/>
  <c r="BR354" i="48"/>
  <c r="BQ354" i="48"/>
  <c r="BR353" i="48"/>
  <c r="BQ353" i="48"/>
  <c r="BR350" i="48"/>
  <c r="BQ350" i="48"/>
  <c r="BR349" i="48"/>
  <c r="BQ349" i="48"/>
  <c r="BR348" i="48"/>
  <c r="BQ348" i="48"/>
  <c r="BR347" i="48"/>
  <c r="BQ347" i="48"/>
  <c r="BR345" i="48"/>
  <c r="BQ345" i="48"/>
  <c r="BR344" i="48"/>
  <c r="BQ344" i="48"/>
  <c r="BR343" i="48"/>
  <c r="BQ343" i="48"/>
  <c r="BR342" i="48"/>
  <c r="BQ342" i="48"/>
  <c r="BR341" i="48"/>
  <c r="BQ341" i="48"/>
  <c r="BR340" i="48"/>
  <c r="BQ340" i="48"/>
  <c r="BR339" i="48"/>
  <c r="BQ339" i="48"/>
  <c r="BR338" i="48"/>
  <c r="BQ338" i="48"/>
  <c r="BR337" i="48"/>
  <c r="BQ337" i="48"/>
  <c r="BR336" i="48"/>
  <c r="BQ336" i="48"/>
  <c r="BR335" i="48"/>
  <c r="BQ335" i="48"/>
  <c r="BR334" i="48"/>
  <c r="BQ334" i="48"/>
  <c r="BR333" i="48"/>
  <c r="BQ333" i="48"/>
  <c r="BR329" i="48"/>
  <c r="BQ329" i="48"/>
  <c r="BR328" i="48"/>
  <c r="BQ328" i="48"/>
  <c r="BR325" i="48"/>
  <c r="BQ325" i="48"/>
  <c r="BR324" i="48"/>
  <c r="BQ324" i="48"/>
  <c r="BR323" i="48"/>
  <c r="BQ323" i="48"/>
  <c r="BR322" i="48"/>
  <c r="BQ322" i="48"/>
  <c r="BR321" i="48"/>
  <c r="BQ321" i="48"/>
  <c r="BR320" i="48"/>
  <c r="BQ320" i="48"/>
  <c r="BR319" i="48"/>
  <c r="BQ319" i="48"/>
  <c r="BR318" i="48"/>
  <c r="BQ318" i="48"/>
  <c r="BR317" i="48"/>
  <c r="BQ317" i="48"/>
  <c r="BR316" i="48"/>
  <c r="BQ316" i="48"/>
  <c r="BR315" i="48"/>
  <c r="BQ315" i="48"/>
  <c r="BR314" i="48"/>
  <c r="BQ314" i="48"/>
  <c r="BR313" i="48"/>
  <c r="BQ313" i="48"/>
  <c r="BR312" i="48"/>
  <c r="BQ312" i="48"/>
  <c r="BR311" i="48"/>
  <c r="BQ311" i="48"/>
  <c r="BR310" i="48"/>
  <c r="BQ310" i="48"/>
  <c r="BR309" i="48"/>
  <c r="BQ309" i="48"/>
  <c r="BR308" i="48"/>
  <c r="BQ308" i="48"/>
  <c r="BR304" i="48"/>
  <c r="BQ304" i="48"/>
  <c r="BR303" i="48"/>
  <c r="BQ303" i="48"/>
  <c r="BR300" i="48"/>
  <c r="BQ300" i="48"/>
  <c r="BR299" i="48"/>
  <c r="BQ299" i="48"/>
  <c r="BR298" i="48"/>
  <c r="BQ298" i="48"/>
  <c r="BR297" i="48"/>
  <c r="BQ297" i="48"/>
  <c r="BR296" i="48"/>
  <c r="BQ296" i="48"/>
  <c r="BR295" i="48"/>
  <c r="BQ295" i="48"/>
  <c r="BR294" i="48"/>
  <c r="BQ294" i="48"/>
  <c r="BR293" i="48"/>
  <c r="BQ293" i="48"/>
  <c r="BR292" i="48"/>
  <c r="BQ292" i="48"/>
  <c r="BR291" i="48"/>
  <c r="BQ291" i="48"/>
  <c r="BR290" i="48"/>
  <c r="BQ290" i="48"/>
  <c r="BR289" i="48"/>
  <c r="BQ289" i="48"/>
  <c r="BR288" i="48"/>
  <c r="BQ288" i="48"/>
  <c r="BR287" i="48"/>
  <c r="BQ287" i="48"/>
  <c r="BR286" i="48"/>
  <c r="BQ286" i="48"/>
  <c r="BR285" i="48"/>
  <c r="BQ285" i="48"/>
  <c r="BR284" i="48"/>
  <c r="BQ284" i="48"/>
  <c r="BR283" i="48"/>
  <c r="BQ283" i="48"/>
  <c r="BR282" i="48"/>
  <c r="BQ282" i="48"/>
  <c r="BR281" i="48"/>
  <c r="BQ281" i="48"/>
  <c r="BR279" i="48"/>
  <c r="BQ279" i="48"/>
  <c r="BR278" i="48"/>
  <c r="BQ278" i="48"/>
  <c r="BR249" i="48"/>
  <c r="BQ249" i="48"/>
  <c r="BR248" i="48"/>
  <c r="BQ248" i="48"/>
  <c r="BR247" i="48"/>
  <c r="BQ247" i="48"/>
  <c r="BR246" i="48"/>
  <c r="BQ246" i="48"/>
  <c r="BR245" i="48"/>
  <c r="BQ245" i="48"/>
  <c r="BR244" i="48"/>
  <c r="BQ244" i="48"/>
  <c r="BR243" i="48"/>
  <c r="BQ243" i="48"/>
  <c r="BR242" i="48"/>
  <c r="BQ242" i="48"/>
  <c r="BR241" i="48"/>
  <c r="BQ241" i="48"/>
  <c r="BR240" i="48"/>
  <c r="BQ240" i="48"/>
  <c r="BR239" i="48"/>
  <c r="BQ239" i="48"/>
  <c r="BR238" i="48"/>
  <c r="BQ238" i="48"/>
  <c r="BR237" i="48"/>
  <c r="BQ237" i="48"/>
  <c r="BR236" i="48"/>
  <c r="BQ236" i="48"/>
  <c r="BR235" i="48"/>
  <c r="BQ235" i="48"/>
  <c r="BR234" i="48"/>
  <c r="BQ234" i="48"/>
  <c r="BR233" i="48"/>
  <c r="BQ233" i="48"/>
  <c r="BR232" i="48"/>
  <c r="BQ232" i="48"/>
  <c r="BR231" i="48"/>
  <c r="BQ231" i="48"/>
  <c r="BR230" i="48"/>
  <c r="BQ230" i="48"/>
  <c r="BR229" i="48"/>
  <c r="BQ229" i="48"/>
  <c r="BR228" i="48"/>
  <c r="BQ228" i="48"/>
  <c r="BR225" i="48"/>
  <c r="BQ225" i="48"/>
  <c r="BR224" i="48"/>
  <c r="BQ224" i="48"/>
  <c r="BR223" i="48"/>
  <c r="BQ223" i="48"/>
  <c r="BR222" i="48"/>
  <c r="BQ222" i="48"/>
  <c r="BR221" i="48"/>
  <c r="BQ221" i="48"/>
  <c r="BR220" i="48"/>
  <c r="BQ220" i="48"/>
  <c r="BR219" i="48"/>
  <c r="BQ219" i="48"/>
  <c r="BR218" i="48"/>
  <c r="BQ218" i="48"/>
  <c r="BR217" i="48"/>
  <c r="BQ217" i="48"/>
  <c r="BR216" i="48"/>
  <c r="BQ216" i="48"/>
  <c r="BR215" i="48"/>
  <c r="BQ215" i="48"/>
  <c r="BR214" i="48"/>
  <c r="BQ214" i="48"/>
  <c r="BR213" i="48"/>
  <c r="BQ213" i="48"/>
  <c r="BR212" i="48"/>
  <c r="BQ212" i="48"/>
  <c r="BR211" i="48"/>
  <c r="BQ211" i="48"/>
  <c r="BR210" i="48"/>
  <c r="BQ210" i="48"/>
  <c r="BR209" i="48"/>
  <c r="BQ209" i="48"/>
  <c r="BR208" i="48"/>
  <c r="BQ208" i="48"/>
  <c r="BR207" i="48"/>
  <c r="BQ207" i="48"/>
  <c r="BR206" i="48"/>
  <c r="BQ206" i="48"/>
  <c r="BR205" i="48"/>
  <c r="BQ205" i="48"/>
  <c r="BR204" i="48"/>
  <c r="BQ204" i="48"/>
  <c r="BR203" i="48"/>
  <c r="BQ203" i="48"/>
  <c r="BR200" i="48"/>
  <c r="BQ200" i="48"/>
  <c r="BR199" i="48"/>
  <c r="BQ199" i="48"/>
  <c r="BR198" i="48"/>
  <c r="BQ198" i="48"/>
  <c r="BR197" i="48"/>
  <c r="BQ197" i="48"/>
  <c r="BR196" i="48"/>
  <c r="BQ196" i="48"/>
  <c r="BR195" i="48"/>
  <c r="BQ195" i="48"/>
  <c r="BR194" i="48"/>
  <c r="BQ194" i="48"/>
  <c r="BR193" i="48"/>
  <c r="BQ193" i="48"/>
  <c r="BR192" i="48"/>
  <c r="BQ192" i="48"/>
  <c r="BR191" i="48"/>
  <c r="BQ191" i="48"/>
  <c r="BR190" i="48"/>
  <c r="BQ190" i="48"/>
  <c r="BR189" i="48"/>
  <c r="BQ189" i="48"/>
  <c r="BR188" i="48"/>
  <c r="BQ188" i="48"/>
  <c r="BR187" i="48"/>
  <c r="BQ187" i="48"/>
  <c r="BR186" i="48"/>
  <c r="BQ186" i="48"/>
  <c r="BR185" i="48"/>
  <c r="BQ185" i="48"/>
  <c r="BR184" i="48"/>
  <c r="BQ184" i="48"/>
  <c r="BR183" i="48"/>
  <c r="BQ183" i="48"/>
  <c r="BR182" i="48"/>
  <c r="BQ182" i="48"/>
  <c r="BR181" i="48"/>
  <c r="BQ181" i="48"/>
  <c r="BR180" i="48"/>
  <c r="BQ180" i="48"/>
  <c r="BR179" i="48"/>
  <c r="BQ179" i="48"/>
  <c r="BR178" i="48"/>
  <c r="BQ178" i="48"/>
  <c r="BR137" i="48"/>
  <c r="BQ137" i="48"/>
  <c r="BR136" i="48"/>
  <c r="BQ136" i="48"/>
  <c r="BR135" i="48"/>
  <c r="BQ135" i="48"/>
  <c r="BR134" i="48"/>
  <c r="BQ134" i="48"/>
  <c r="BR133" i="48"/>
  <c r="BQ133" i="48"/>
  <c r="BR129" i="48"/>
  <c r="BQ129" i="48"/>
  <c r="BR128" i="48"/>
  <c r="BQ128" i="48"/>
  <c r="BR125" i="48"/>
  <c r="BQ125" i="48"/>
  <c r="BR124" i="48"/>
  <c r="BQ124" i="48"/>
  <c r="BR123" i="48"/>
  <c r="BQ123" i="48"/>
  <c r="BR122" i="48"/>
  <c r="BQ122" i="48"/>
  <c r="BR121" i="48"/>
  <c r="BQ121" i="48"/>
  <c r="BR120" i="48"/>
  <c r="BQ120" i="48"/>
  <c r="BR119" i="48"/>
  <c r="BQ119" i="48"/>
  <c r="BR118" i="48"/>
  <c r="BQ118" i="48"/>
  <c r="BR117" i="48"/>
  <c r="BQ117" i="48"/>
  <c r="BR116" i="48"/>
  <c r="BQ116" i="48"/>
  <c r="BR115" i="48"/>
  <c r="BQ115" i="48"/>
  <c r="BR114" i="48"/>
  <c r="BQ114" i="48"/>
  <c r="BR113" i="48"/>
  <c r="BQ113" i="48"/>
  <c r="BR112" i="48"/>
  <c r="BQ112" i="48"/>
  <c r="BR111" i="48"/>
  <c r="BQ111" i="48"/>
  <c r="BR110" i="48"/>
  <c r="BQ110" i="48"/>
  <c r="BR109" i="48"/>
  <c r="BQ109" i="48"/>
  <c r="BR108" i="48"/>
  <c r="BQ108" i="48"/>
  <c r="BR107" i="48"/>
  <c r="BQ107" i="48"/>
  <c r="BR106" i="48"/>
  <c r="BQ106" i="48"/>
  <c r="BR105" i="48"/>
  <c r="BQ105" i="48"/>
  <c r="BR104" i="48"/>
  <c r="BQ104" i="48"/>
  <c r="BR103" i="48"/>
  <c r="BQ103" i="48"/>
  <c r="BR75" i="48"/>
  <c r="BQ75" i="48"/>
  <c r="BR74" i="48"/>
  <c r="BQ74" i="48"/>
  <c r="BR73" i="48"/>
  <c r="BQ73" i="48"/>
  <c r="BR72" i="48"/>
  <c r="BQ72" i="48"/>
  <c r="BR71" i="48"/>
  <c r="BQ71" i="48"/>
  <c r="BR70" i="48"/>
  <c r="BQ70" i="48"/>
  <c r="BR69" i="48"/>
  <c r="BQ69" i="48"/>
  <c r="BR68" i="48"/>
  <c r="BQ68" i="48"/>
  <c r="BR67" i="48"/>
  <c r="BQ67" i="48"/>
  <c r="BR66" i="48"/>
  <c r="BQ66" i="48"/>
  <c r="BR65" i="48"/>
  <c r="BQ65" i="48"/>
  <c r="BR64" i="48"/>
  <c r="BQ64" i="48"/>
  <c r="BR62" i="48"/>
  <c r="BQ62" i="48"/>
  <c r="BR61" i="48"/>
  <c r="BQ61" i="48"/>
  <c r="BR60" i="48"/>
  <c r="BQ60" i="48"/>
  <c r="BR59" i="48"/>
  <c r="BQ59" i="48"/>
  <c r="BR58" i="48"/>
  <c r="BQ58" i="48"/>
  <c r="BR57" i="48"/>
  <c r="BQ57" i="48"/>
  <c r="BR56" i="48"/>
  <c r="BQ56" i="48"/>
  <c r="BR55" i="48"/>
  <c r="BQ55" i="48"/>
  <c r="BR54" i="48"/>
  <c r="BQ54" i="48"/>
  <c r="BR53" i="48"/>
  <c r="BQ53" i="48"/>
  <c r="BR50" i="48"/>
  <c r="BQ50" i="48"/>
  <c r="BR49" i="48"/>
  <c r="BQ49" i="48"/>
  <c r="BR48" i="48"/>
  <c r="BQ48" i="48"/>
  <c r="BR47" i="48"/>
  <c r="BQ47" i="48"/>
  <c r="BR46" i="48"/>
  <c r="BQ46" i="48"/>
  <c r="BR45" i="48"/>
  <c r="BQ45" i="48"/>
  <c r="BR44" i="48"/>
  <c r="BQ44" i="48"/>
  <c r="BR43" i="48"/>
  <c r="BQ43" i="48"/>
  <c r="BR42" i="48"/>
  <c r="BQ42" i="48"/>
  <c r="BR41" i="48"/>
  <c r="BQ41" i="48"/>
  <c r="BR40" i="48"/>
  <c r="BQ40" i="48"/>
  <c r="BR39" i="48"/>
  <c r="BQ39" i="48"/>
  <c r="BR38" i="48"/>
  <c r="BQ38" i="48"/>
  <c r="BR37" i="48"/>
  <c r="BQ37" i="48"/>
  <c r="BR36" i="48"/>
  <c r="BQ36" i="48"/>
  <c r="BR35" i="48"/>
  <c r="BQ35" i="48"/>
  <c r="BR34" i="48"/>
  <c r="BQ34" i="48"/>
  <c r="BR33" i="48"/>
  <c r="BQ33" i="48"/>
  <c r="BR32" i="48"/>
  <c r="BQ32" i="48"/>
  <c r="BR31" i="48"/>
  <c r="BQ31" i="48"/>
  <c r="BR30" i="48"/>
  <c r="BQ30" i="48"/>
  <c r="BR29" i="48"/>
  <c r="BQ29" i="48"/>
  <c r="BR28" i="48"/>
  <c r="BQ28" i="48"/>
  <c r="BR25" i="48"/>
  <c r="BQ25" i="48"/>
  <c r="BR24" i="48"/>
  <c r="BQ24" i="48"/>
  <c r="BR23" i="48"/>
  <c r="BQ23" i="48"/>
  <c r="BR22" i="48"/>
  <c r="BQ22" i="48"/>
  <c r="BR21" i="48"/>
  <c r="BQ21" i="48"/>
  <c r="BR20" i="48"/>
  <c r="BQ20" i="48"/>
  <c r="BR19" i="48"/>
  <c r="BQ19" i="48"/>
  <c r="BR18" i="48"/>
  <c r="BQ18" i="48"/>
  <c r="BR17" i="48"/>
  <c r="BQ17" i="48"/>
  <c r="BR16" i="48"/>
  <c r="BQ16" i="48"/>
  <c r="BR15" i="48"/>
  <c r="BQ15" i="48"/>
  <c r="BR14" i="48"/>
  <c r="BQ14" i="48"/>
  <c r="BR13" i="48"/>
  <c r="BQ13" i="48"/>
  <c r="BR12" i="48"/>
  <c r="BQ12" i="48"/>
  <c r="BR11" i="48"/>
  <c r="BQ11" i="48"/>
  <c r="BR10" i="48"/>
  <c r="BQ10" i="48"/>
  <c r="BQ9" i="48"/>
  <c r="BQ8" i="48"/>
  <c r="BQ7" i="48"/>
  <c r="BQ6" i="48"/>
  <c r="BQ5" i="48"/>
  <c r="BQ4" i="48"/>
  <c r="BQ3" i="48"/>
  <c r="CP1147" i="48" l="1"/>
  <c r="CR1147" i="48" s="1"/>
  <c r="CP719" i="48"/>
  <c r="CR719" i="48" s="1"/>
  <c r="CP713" i="48"/>
  <c r="CR713" i="48" s="1"/>
  <c r="CP673" i="48"/>
  <c r="CR673" i="48" s="1"/>
  <c r="CP1114" i="48"/>
  <c r="CR1114" i="48" s="1"/>
  <c r="CP1042" i="48"/>
  <c r="CR1042" i="48" s="1"/>
  <c r="CP912" i="48"/>
  <c r="CR912" i="48" s="1"/>
  <c r="CP871" i="48"/>
  <c r="CR871" i="48" s="1"/>
  <c r="CP798" i="48"/>
  <c r="CR798" i="48" s="1"/>
  <c r="CP1094" i="48"/>
  <c r="CR1094" i="48" s="1"/>
  <c r="CP1192" i="48"/>
  <c r="CR1192" i="48" s="1"/>
  <c r="CP71" i="48"/>
  <c r="CR71" i="48" s="1"/>
  <c r="CP317" i="48"/>
  <c r="CR317" i="48" s="1"/>
  <c r="CP488" i="48"/>
  <c r="CR488" i="48" s="1"/>
  <c r="CP841" i="48"/>
  <c r="CR841" i="48" s="1"/>
  <c r="CP113" i="48"/>
  <c r="CR113" i="48" s="1"/>
  <c r="CP217" i="48"/>
  <c r="CR217" i="48" s="1"/>
  <c r="CP99" i="48"/>
  <c r="CR99" i="48" s="1"/>
  <c r="CP1243" i="48"/>
  <c r="CR1243" i="48" s="1"/>
  <c r="CP323" i="48"/>
  <c r="CR323" i="48" s="1"/>
  <c r="CP1062" i="48"/>
  <c r="CR1062" i="48" s="1"/>
  <c r="CP446" i="48"/>
  <c r="CR446" i="48" s="1"/>
  <c r="CP24" i="48"/>
  <c r="CR24" i="48" s="1"/>
  <c r="CP388" i="48"/>
  <c r="CR388" i="48" s="1"/>
  <c r="CP721" i="48"/>
  <c r="CR721" i="48" s="1"/>
  <c r="CP373" i="48"/>
  <c r="CR373" i="48" s="1"/>
  <c r="CP1188" i="48"/>
  <c r="CR1188" i="48" s="1"/>
  <c r="CP49" i="48"/>
  <c r="CR49" i="48" s="1"/>
  <c r="CP845" i="48"/>
  <c r="CR845" i="48" s="1"/>
  <c r="CP590" i="48"/>
  <c r="CR590" i="48" s="1"/>
  <c r="CP1047" i="48"/>
  <c r="CR1047" i="48" s="1"/>
  <c r="CP72" i="48"/>
  <c r="CR72" i="48" s="1"/>
  <c r="CP1292" i="48"/>
  <c r="CR1292" i="48" s="1"/>
  <c r="CP15" i="48"/>
  <c r="CR15" i="48" s="1"/>
  <c r="CP741" i="48"/>
  <c r="CR741" i="48" s="1"/>
  <c r="CP89" i="48"/>
  <c r="CR89" i="48" s="1"/>
  <c r="CP746" i="48"/>
  <c r="CR746" i="48" s="1"/>
  <c r="CP689" i="48"/>
  <c r="CR689" i="48" s="1"/>
  <c r="CP312" i="48"/>
  <c r="CR312" i="48" s="1"/>
  <c r="CP1119" i="48"/>
  <c r="CR1119" i="48" s="1"/>
  <c r="CP221" i="48"/>
  <c r="CR221" i="48" s="1"/>
  <c r="CP1242" i="48"/>
  <c r="CR1242" i="48" s="1"/>
  <c r="CP600" i="48"/>
  <c r="CR600" i="48" s="1"/>
  <c r="CP250" i="48"/>
  <c r="CR250" i="48" s="1"/>
  <c r="CP468" i="48"/>
  <c r="CR468" i="48" s="1"/>
  <c r="CP612" i="48"/>
  <c r="CR612" i="48" s="1"/>
  <c r="CP574" i="48"/>
  <c r="CR574" i="48" s="1"/>
  <c r="CP1315" i="48"/>
  <c r="CR1315" i="48" s="1"/>
  <c r="CP1296" i="48"/>
  <c r="CR1296" i="48" s="1"/>
  <c r="CP475" i="48"/>
  <c r="CR475" i="48" s="1"/>
  <c r="CP195" i="48"/>
  <c r="CR195" i="48" s="1"/>
  <c r="CP545" i="48"/>
  <c r="CR545" i="48" s="1"/>
  <c r="CP1190" i="48"/>
  <c r="CR1190" i="48" s="1"/>
  <c r="CP1199" i="48"/>
  <c r="CR1199" i="48" s="1"/>
  <c r="CP424" i="48"/>
  <c r="CR424" i="48" s="1"/>
  <c r="CP1266" i="48"/>
  <c r="CR1266" i="48" s="1"/>
  <c r="CP966" i="48"/>
  <c r="CR966" i="48" s="1"/>
  <c r="CP670" i="48"/>
  <c r="CR670" i="48" s="1"/>
  <c r="CP770" i="48"/>
  <c r="CR770" i="48" s="1"/>
  <c r="CP1165" i="48"/>
  <c r="CR1165" i="48" s="1"/>
  <c r="CP90" i="48"/>
  <c r="CR90" i="48" s="1"/>
  <c r="CP337" i="48"/>
  <c r="CR337" i="48" s="1"/>
  <c r="CP1294" i="48"/>
  <c r="CR1294" i="48" s="1"/>
  <c r="CP1118" i="48"/>
  <c r="CR1118" i="48" s="1"/>
  <c r="CP1336" i="48"/>
  <c r="CR1336" i="48" s="1"/>
  <c r="CP747" i="48"/>
  <c r="CR747" i="48" s="1"/>
  <c r="CP267" i="48"/>
  <c r="CR267" i="48" s="1"/>
  <c r="CP686" i="48"/>
  <c r="CR686" i="48" s="1"/>
  <c r="CP1245" i="48"/>
  <c r="CR1245" i="48" s="1"/>
  <c r="CP1217" i="48"/>
  <c r="CR1217" i="48" s="1"/>
  <c r="CP672" i="48"/>
  <c r="CR672" i="48" s="1"/>
  <c r="CP1038" i="48"/>
  <c r="CR1038" i="48" s="1"/>
  <c r="CP646" i="48"/>
  <c r="CR646" i="48" s="1"/>
  <c r="CP788" i="48"/>
  <c r="CR788" i="48" s="1"/>
  <c r="CP291" i="48"/>
  <c r="CR291" i="48" s="1"/>
  <c r="CP671" i="48"/>
  <c r="CR671" i="48" s="1"/>
  <c r="CP393" i="48"/>
  <c r="CR393" i="48" s="1"/>
  <c r="CP1146" i="48"/>
  <c r="CR1146" i="48" s="1"/>
  <c r="CP486" i="48"/>
  <c r="CR486" i="48" s="1"/>
  <c r="CP142" i="48"/>
  <c r="CR142" i="48" s="1"/>
  <c r="CP838" i="48"/>
  <c r="CR838" i="48" s="1"/>
  <c r="CP516" i="48"/>
  <c r="CR516" i="48" s="1"/>
  <c r="CP550" i="48"/>
  <c r="CR550" i="48" s="1"/>
  <c r="CP690" i="48"/>
  <c r="CR690" i="48" s="1"/>
  <c r="CP1288" i="48"/>
  <c r="CR1288" i="48" s="1"/>
  <c r="CP1018" i="48"/>
  <c r="CR1018" i="48" s="1"/>
  <c r="CP536" i="48"/>
  <c r="CR536" i="48" s="1"/>
  <c r="CP198" i="48"/>
  <c r="CR198" i="48" s="1"/>
  <c r="CP1025" i="48"/>
  <c r="CR1025" i="48" s="1"/>
  <c r="CP321" i="48"/>
  <c r="CR321" i="48" s="1"/>
  <c r="CP1087" i="48"/>
  <c r="CR1087" i="48" s="1"/>
  <c r="CP13" i="48"/>
  <c r="CR13" i="48" s="1"/>
  <c r="CP1270" i="48"/>
  <c r="CR1270" i="48" s="1"/>
  <c r="CP889" i="48"/>
  <c r="CR889" i="48" s="1"/>
  <c r="CP392" i="48"/>
  <c r="CR392" i="48" s="1"/>
  <c r="CP38" i="48"/>
  <c r="CR38" i="48" s="1"/>
  <c r="CP1143" i="48"/>
  <c r="CR1143" i="48" s="1"/>
  <c r="CP63" i="48"/>
  <c r="CR63" i="48" s="1"/>
  <c r="CP892" i="48"/>
  <c r="CR892" i="48" s="1"/>
  <c r="CP896" i="48"/>
  <c r="CR896" i="48" s="1"/>
  <c r="CP189" i="48"/>
  <c r="CR189" i="48" s="1"/>
  <c r="CP998" i="48"/>
  <c r="CR998" i="48" s="1"/>
  <c r="CP88" i="48"/>
  <c r="CR88" i="48" s="1"/>
  <c r="CP773" i="48"/>
  <c r="CR773" i="48" s="1"/>
  <c r="CP598" i="48"/>
  <c r="CR598" i="48" s="1"/>
  <c r="CP98" i="48"/>
  <c r="CR98" i="48" s="1"/>
  <c r="CP648" i="48"/>
  <c r="CR648" i="48" s="1"/>
  <c r="CP167" i="48"/>
  <c r="CR167" i="48" s="1"/>
  <c r="CP575" i="48"/>
  <c r="CR575" i="48" s="1"/>
  <c r="CP1088" i="48"/>
  <c r="CR1088" i="48" s="1"/>
  <c r="CP120" i="48"/>
  <c r="CR120" i="48" s="1"/>
  <c r="CP936" i="48"/>
  <c r="CR936" i="48" s="1"/>
  <c r="CP893" i="48"/>
  <c r="CR893" i="48" s="1"/>
  <c r="CP790" i="48"/>
  <c r="CR790" i="48" s="1"/>
  <c r="CP20" i="48"/>
  <c r="CR20" i="48" s="1"/>
  <c r="CP1099" i="48"/>
  <c r="CR1099" i="48" s="1"/>
  <c r="CP738" i="48"/>
  <c r="CR738" i="48" s="1"/>
  <c r="CP1289" i="48"/>
  <c r="CR1289" i="48" s="1"/>
  <c r="CP162" i="48"/>
  <c r="CR162" i="48" s="1"/>
  <c r="CP622" i="48"/>
  <c r="CR622" i="48" s="1"/>
  <c r="CP548" i="48"/>
  <c r="CR548" i="48" s="1"/>
  <c r="CP1044" i="48"/>
  <c r="CR1044" i="48" s="1"/>
  <c r="CP1198" i="48"/>
  <c r="CR1198" i="48" s="1"/>
  <c r="CP623" i="48"/>
  <c r="CR623" i="48" s="1"/>
  <c r="CP1239" i="48"/>
  <c r="CR1239" i="48" s="1"/>
  <c r="CP1196" i="48"/>
  <c r="CR1196" i="48" s="1"/>
  <c r="CP1337" i="48"/>
  <c r="CR1337" i="48" s="1"/>
  <c r="CP1121" i="48"/>
  <c r="CR1121" i="48" s="1"/>
  <c r="CP286" i="48"/>
  <c r="CR286" i="48" s="1"/>
  <c r="CP971" i="48"/>
  <c r="CR971" i="48" s="1"/>
  <c r="CP815" i="48"/>
  <c r="CR815" i="48" s="1"/>
  <c r="CP342" i="48"/>
  <c r="CR342" i="48" s="1"/>
  <c r="CP663" i="48"/>
  <c r="CR663" i="48" s="1"/>
  <c r="CP1218" i="48"/>
  <c r="CR1218" i="48" s="1"/>
  <c r="CP173" i="48"/>
  <c r="CR173" i="48" s="1"/>
  <c r="CP921" i="48"/>
  <c r="CR921" i="48" s="1"/>
  <c r="CP87" i="48"/>
  <c r="CR87" i="48" s="1"/>
  <c r="CP1224" i="48"/>
  <c r="CR1224" i="48" s="1"/>
  <c r="CP715" i="48"/>
  <c r="CR715" i="48" s="1"/>
  <c r="CP1012" i="48"/>
  <c r="CR1012" i="48" s="1"/>
  <c r="CP61" i="48"/>
  <c r="CR61" i="48" s="1"/>
  <c r="CP1037" i="48"/>
  <c r="CR1037" i="48" s="1"/>
  <c r="CP1112" i="48"/>
  <c r="CR1112" i="48" s="1"/>
  <c r="CP1287" i="48"/>
  <c r="CR1287" i="48" s="1"/>
  <c r="CP399" i="48"/>
  <c r="CR399" i="48" s="1"/>
  <c r="CP1267" i="48"/>
  <c r="CR1267" i="48" s="1"/>
  <c r="CP339" i="48"/>
  <c r="CR339" i="48" s="1"/>
  <c r="CP771" i="48"/>
  <c r="CR771" i="48" s="1"/>
  <c r="CP666" i="48"/>
  <c r="CR666" i="48" s="1"/>
  <c r="CP939" i="48"/>
  <c r="CR939" i="48" s="1"/>
  <c r="CP662" i="48"/>
  <c r="CR662" i="48" s="1"/>
  <c r="CP843" i="48"/>
  <c r="CR843" i="48" s="1"/>
  <c r="CP669" i="48"/>
  <c r="CR669" i="48" s="1"/>
  <c r="CP774" i="48"/>
  <c r="CR774" i="48" s="1"/>
  <c r="CP374" i="48"/>
  <c r="CR374" i="48" s="1"/>
  <c r="CP586" i="48"/>
  <c r="CR586" i="48" s="1"/>
  <c r="CP511" i="48"/>
  <c r="CR511" i="48" s="1"/>
  <c r="CP742" i="48"/>
  <c r="CR742" i="48" s="1"/>
  <c r="CP1086" i="48"/>
  <c r="CR1086" i="48" s="1"/>
  <c r="CP470" i="48"/>
  <c r="CR470" i="48" s="1"/>
  <c r="CP466" i="48"/>
  <c r="CR466" i="48" s="1"/>
  <c r="CP298" i="48"/>
  <c r="CR298" i="48" s="1"/>
  <c r="CP972" i="48"/>
  <c r="CR972" i="48" s="1"/>
  <c r="CP369" i="48"/>
  <c r="CR369" i="48" s="1"/>
  <c r="CP66" i="48"/>
  <c r="CR66" i="48" s="1"/>
  <c r="CP588" i="48"/>
  <c r="CR588" i="48" s="1"/>
  <c r="CP1350" i="48"/>
  <c r="CR1350" i="48" s="1"/>
  <c r="CP371" i="48"/>
  <c r="CR371" i="48" s="1"/>
  <c r="CP50" i="48"/>
  <c r="CR50" i="48" s="1"/>
  <c r="CP442" i="48"/>
  <c r="CR442" i="48" s="1"/>
  <c r="CP1244" i="48"/>
  <c r="CR1244" i="48" s="1"/>
  <c r="CP899" i="48"/>
  <c r="CR899" i="48" s="1"/>
  <c r="CP218" i="48"/>
  <c r="CR218" i="48" s="1"/>
  <c r="CP225" i="48"/>
  <c r="CR225" i="48" s="1"/>
  <c r="CP1293" i="48"/>
  <c r="CR1293" i="48" s="1"/>
  <c r="CP1313" i="48"/>
  <c r="CR1313" i="48" s="1"/>
  <c r="CP43" i="48"/>
  <c r="CR43" i="48" s="1"/>
  <c r="CP872" i="48"/>
  <c r="CR872" i="48" s="1"/>
  <c r="CP520" i="48"/>
  <c r="CR520" i="48" s="1"/>
  <c r="CP761" i="48"/>
  <c r="CR761" i="48" s="1"/>
  <c r="CP122" i="48"/>
  <c r="CR122" i="48" s="1"/>
  <c r="CP1097" i="48"/>
  <c r="CR1097" i="48" s="1"/>
  <c r="CP589" i="48"/>
  <c r="CR589" i="48" s="1"/>
  <c r="CP967" i="48"/>
  <c r="CR967" i="48" s="1"/>
  <c r="CP1314" i="48"/>
  <c r="CR1314" i="48" s="1"/>
  <c r="CP1173" i="48"/>
  <c r="CR1173" i="48" s="1"/>
  <c r="CP1043" i="48"/>
  <c r="CR1043" i="48" s="1"/>
  <c r="CP219" i="48"/>
  <c r="CR219" i="48" s="1"/>
  <c r="CP175" i="48"/>
  <c r="CR175" i="48" s="1"/>
  <c r="CP444" i="48"/>
  <c r="CR444" i="48" s="1"/>
  <c r="CP1322" i="48"/>
  <c r="CR1322" i="48" s="1"/>
  <c r="CP23" i="48"/>
  <c r="CR23" i="48" s="1"/>
  <c r="CP1273" i="48"/>
  <c r="CR1273" i="48" s="1"/>
  <c r="CP439" i="48"/>
  <c r="CR439" i="48" s="1"/>
  <c r="CP1169" i="48"/>
  <c r="CR1169" i="48" s="1"/>
  <c r="CP1193" i="48"/>
  <c r="CR1193" i="48" s="1"/>
  <c r="CP75" i="48"/>
  <c r="CR75" i="48" s="1"/>
  <c r="CP67" i="48"/>
  <c r="CR67" i="48" s="1"/>
  <c r="CP368" i="48"/>
  <c r="CR368" i="48" s="1"/>
  <c r="CP415" i="48"/>
  <c r="CR415" i="48" s="1"/>
  <c r="CP420" i="48"/>
  <c r="CR420" i="48" s="1"/>
  <c r="CP762" i="48"/>
  <c r="CR762" i="48" s="1"/>
  <c r="CP897" i="48"/>
  <c r="CR897" i="48" s="1"/>
  <c r="CP197" i="48"/>
  <c r="CR197" i="48" s="1"/>
  <c r="CP1049" i="48"/>
  <c r="CR1049" i="48" s="1"/>
  <c r="CP365" i="48"/>
  <c r="CR365" i="48" s="1"/>
  <c r="CP1117" i="48"/>
  <c r="CR1117" i="48" s="1"/>
  <c r="CP1271" i="48"/>
  <c r="CR1271" i="48" s="1"/>
  <c r="CP842" i="48"/>
  <c r="CR842" i="48" s="1"/>
  <c r="CP25" i="48"/>
  <c r="CR25" i="48" s="1"/>
  <c r="CP874" i="48"/>
  <c r="CR874" i="48" s="1"/>
  <c r="CP266" i="48"/>
  <c r="CR266" i="48" s="1"/>
  <c r="CP121" i="48"/>
  <c r="CR121" i="48" s="1"/>
  <c r="CP200" i="48"/>
  <c r="CR200" i="48" s="1"/>
  <c r="CP494" i="48"/>
  <c r="CR494" i="48" s="1"/>
  <c r="CP1264" i="48"/>
  <c r="CR1264" i="48" s="1"/>
  <c r="CP1269" i="48"/>
  <c r="CR1269" i="48" s="1"/>
  <c r="CP115" i="48"/>
  <c r="CR115" i="48" s="1"/>
  <c r="CP1213" i="48"/>
  <c r="CR1213" i="48" s="1"/>
  <c r="CP895" i="48"/>
  <c r="CR895" i="48" s="1"/>
  <c r="CP594" i="48"/>
  <c r="CR594" i="48" s="1"/>
  <c r="CP642" i="48"/>
  <c r="CR642" i="48" s="1"/>
  <c r="CP1144" i="48"/>
  <c r="CR1144" i="48" s="1"/>
  <c r="CP866" i="48"/>
  <c r="CR866" i="48" s="1"/>
  <c r="CP148" i="48"/>
  <c r="CR148" i="48" s="1"/>
  <c r="CP825" i="48"/>
  <c r="CR825" i="48" s="1"/>
  <c r="CP915" i="48"/>
  <c r="CR915" i="48" s="1"/>
  <c r="CP942" i="48"/>
  <c r="CR942" i="48" s="1"/>
  <c r="CP166" i="48"/>
  <c r="CR166" i="48" s="1"/>
  <c r="CP794" i="48"/>
  <c r="CR794" i="48" s="1"/>
  <c r="CP863" i="48"/>
  <c r="CR863" i="48" s="1"/>
  <c r="CP12" i="48"/>
  <c r="CR12" i="48" s="1"/>
  <c r="CP1011" i="48"/>
  <c r="CR1011" i="48" s="1"/>
  <c r="CP792" i="48"/>
  <c r="CR792" i="48" s="1"/>
  <c r="CP538" i="48"/>
  <c r="CR538" i="48" s="1"/>
  <c r="CP969" i="48"/>
  <c r="CR969" i="48" s="1"/>
  <c r="CP245" i="48"/>
  <c r="CR245" i="48" s="1"/>
  <c r="CP465" i="48"/>
  <c r="CR465" i="48" s="1"/>
  <c r="CP1197" i="48"/>
  <c r="CR1197" i="48" s="1"/>
  <c r="CP1299" i="48"/>
  <c r="CR1299" i="48" s="1"/>
  <c r="CP474" i="48"/>
  <c r="CR474" i="48" s="1"/>
  <c r="CP1237" i="48"/>
  <c r="CR1237" i="48" s="1"/>
  <c r="CP343" i="48"/>
  <c r="CR343" i="48" s="1"/>
  <c r="CP844" i="48"/>
  <c r="CR844" i="48" s="1"/>
  <c r="CP74" i="48"/>
  <c r="CR74" i="48" s="1"/>
  <c r="CP714" i="48"/>
  <c r="CR714" i="48" s="1"/>
  <c r="CP916" i="48"/>
  <c r="CR916" i="48" s="1"/>
  <c r="CP1216" i="48"/>
  <c r="CR1216" i="48" s="1"/>
  <c r="CP346" i="48"/>
  <c r="CR346" i="48" s="1"/>
  <c r="CP947" i="48"/>
  <c r="CR947" i="48" s="1"/>
  <c r="CP140" i="48"/>
  <c r="CR140" i="48" s="1"/>
  <c r="CP541" i="48"/>
  <c r="CR541" i="48" s="1"/>
  <c r="CP547" i="48"/>
  <c r="CR547" i="48" s="1"/>
  <c r="CP1075" i="48"/>
  <c r="CR1075" i="48" s="1"/>
  <c r="CP1324" i="48"/>
  <c r="CR1324" i="48" s="1"/>
  <c r="CP775" i="48"/>
  <c r="CR775" i="48" s="1"/>
  <c r="CP898" i="48"/>
  <c r="CR898" i="48" s="1"/>
  <c r="CP1092" i="48"/>
  <c r="CR1092" i="48" s="1"/>
  <c r="CP869" i="48"/>
  <c r="CR869" i="48" s="1"/>
  <c r="CP443" i="48"/>
  <c r="CR443" i="48" s="1"/>
  <c r="CP1095" i="48"/>
  <c r="CR1095" i="48" s="1"/>
  <c r="CP136" i="48"/>
  <c r="CR136" i="48" s="1"/>
  <c r="CP861" i="48"/>
  <c r="CR861" i="48" s="1"/>
  <c r="CP796" i="48"/>
  <c r="CR796" i="48" s="1"/>
  <c r="CP370" i="48"/>
  <c r="CR370" i="48" s="1"/>
  <c r="CP1175" i="48"/>
  <c r="CR1175" i="48" s="1"/>
  <c r="CP1321" i="48"/>
  <c r="CR1321" i="48" s="1"/>
  <c r="CP1214" i="48"/>
  <c r="CR1214" i="48" s="1"/>
  <c r="CP114" i="48"/>
  <c r="CR114" i="48" s="1"/>
  <c r="CP1221" i="48"/>
  <c r="CR1221" i="48" s="1"/>
  <c r="CP92" i="48"/>
  <c r="CR92" i="48" s="1"/>
  <c r="CP696" i="48"/>
  <c r="CR696" i="48" s="1"/>
  <c r="CP614" i="48"/>
  <c r="CR614" i="48" s="1"/>
  <c r="CP587" i="48"/>
  <c r="CR587" i="48" s="1"/>
  <c r="CP240" i="48"/>
  <c r="CR240" i="48" s="1"/>
  <c r="CP418" i="48"/>
  <c r="CR418" i="48" s="1"/>
  <c r="CP324" i="48"/>
  <c r="CR324" i="48" s="1"/>
  <c r="CP917" i="48"/>
  <c r="CR917" i="48" s="1"/>
  <c r="CP639" i="48"/>
  <c r="CR639" i="48" s="1"/>
  <c r="CP1021" i="48"/>
  <c r="CR1021" i="48" s="1"/>
  <c r="CP364" i="48"/>
  <c r="CR364" i="48" s="1"/>
  <c r="CP986" i="48"/>
  <c r="CR986" i="48" s="1"/>
  <c r="CP849" i="48"/>
  <c r="CR849" i="48" s="1"/>
  <c r="CP1013" i="48"/>
  <c r="CR1013" i="48" s="1"/>
  <c r="CP239" i="48"/>
  <c r="CR239" i="48" s="1"/>
  <c r="CP886" i="48"/>
  <c r="CR886" i="48" s="1"/>
  <c r="CP616" i="48"/>
  <c r="CR616" i="48" s="1"/>
  <c r="CP313" i="48"/>
  <c r="CR313" i="48" s="1"/>
  <c r="CP316" i="48"/>
  <c r="CR316" i="48" s="1"/>
  <c r="CP599" i="48"/>
  <c r="CR599" i="48" s="1"/>
  <c r="CP561" i="48"/>
  <c r="CR561" i="48" s="1"/>
  <c r="CP620" i="48"/>
  <c r="CR620" i="48" s="1"/>
  <c r="CP1045" i="48"/>
  <c r="CR1045" i="48" s="1"/>
  <c r="CP562" i="48"/>
  <c r="CR562" i="48" s="1"/>
  <c r="CP422" i="48"/>
  <c r="CR422" i="48" s="1"/>
  <c r="CP836" i="48"/>
  <c r="CR836" i="48" s="1"/>
  <c r="CP817" i="48"/>
  <c r="CR817" i="48" s="1"/>
  <c r="CP141" i="48"/>
  <c r="CR141" i="48" s="1"/>
  <c r="CP490" i="48"/>
  <c r="CR490" i="48" s="1"/>
  <c r="CP473" i="48"/>
  <c r="CR473" i="48" s="1"/>
  <c r="CP270" i="48"/>
  <c r="CR270" i="48" s="1"/>
  <c r="CP799" i="48"/>
  <c r="CR799" i="48" s="1"/>
  <c r="CP973" i="48"/>
  <c r="CR973" i="48" s="1"/>
  <c r="CP367" i="48"/>
  <c r="CR367" i="48" s="1"/>
  <c r="CP867" i="48"/>
  <c r="CR867" i="48" s="1"/>
  <c r="CP647" i="48"/>
  <c r="CR647" i="48" s="1"/>
  <c r="CP924" i="48"/>
  <c r="CR924" i="48" s="1"/>
  <c r="CP1274" i="48"/>
  <c r="CR1274" i="48" s="1"/>
  <c r="CP919" i="48"/>
  <c r="CR919" i="48" s="1"/>
  <c r="CP1096" i="48"/>
  <c r="CR1096" i="48" s="1"/>
  <c r="CP1223" i="48"/>
  <c r="CR1223" i="48" s="1"/>
  <c r="CP150" i="48"/>
  <c r="CR150" i="48" s="1"/>
  <c r="CP447" i="48"/>
  <c r="CR447" i="48" s="1"/>
  <c r="CP1023" i="48"/>
  <c r="CR1023" i="48" s="1"/>
  <c r="CP194" i="48"/>
  <c r="CR194" i="48" s="1"/>
  <c r="CP236" i="48"/>
  <c r="CR236" i="48" s="1"/>
  <c r="CP512" i="48"/>
  <c r="CR512" i="48" s="1"/>
  <c r="CP314" i="48"/>
  <c r="CR314" i="48" s="1"/>
  <c r="CP1111" i="48"/>
  <c r="CR1111" i="48" s="1"/>
  <c r="CP1140" i="48"/>
  <c r="CR1140" i="48" s="1"/>
  <c r="CP21" i="48"/>
  <c r="CR21" i="48" s="1"/>
  <c r="CP336" i="48"/>
  <c r="CR336" i="48" s="1"/>
  <c r="CP592" i="48"/>
  <c r="CR592" i="48" s="1"/>
  <c r="CP169" i="48"/>
  <c r="CR169" i="48" s="1"/>
  <c r="CP797" i="48"/>
  <c r="CR797" i="48" s="1"/>
  <c r="CP718" i="48"/>
  <c r="CR718" i="48" s="1"/>
  <c r="CP1250" i="48"/>
  <c r="CR1250" i="48" s="1"/>
  <c r="CP1046" i="48"/>
  <c r="CR1046" i="48" s="1"/>
  <c r="CP1200" i="48"/>
  <c r="CR1200" i="48" s="1"/>
  <c r="CP1166" i="48"/>
  <c r="CR1166" i="48" s="1"/>
  <c r="CP244" i="48"/>
  <c r="CR244" i="48" s="1"/>
  <c r="CP822" i="48"/>
  <c r="CR822" i="48" s="1"/>
  <c r="CP875" i="48"/>
  <c r="CR875" i="48" s="1"/>
  <c r="CP766" i="48"/>
  <c r="CR766" i="48" s="1"/>
  <c r="CP894" i="48"/>
  <c r="CR894" i="48" s="1"/>
  <c r="CP1115" i="48"/>
  <c r="CR1115" i="48" s="1"/>
  <c r="CP717" i="48"/>
  <c r="CR717" i="48" s="1"/>
  <c r="CP1311" i="48"/>
  <c r="CR1311" i="48" s="1"/>
  <c r="CP1091" i="48"/>
  <c r="CR1091" i="48" s="1"/>
  <c r="CP1068" i="48"/>
  <c r="CR1068" i="48" s="1"/>
  <c r="CP1171" i="48"/>
  <c r="CR1171" i="48" s="1"/>
  <c r="CP819" i="48"/>
  <c r="CR819" i="48" s="1"/>
  <c r="CP595" i="48"/>
  <c r="CR595" i="48" s="1"/>
  <c r="CP1142" i="48"/>
  <c r="CR1142" i="48" s="1"/>
  <c r="CP1116" i="48"/>
  <c r="CR1116" i="48" s="1"/>
  <c r="CP1347" i="48"/>
  <c r="CR1347" i="48" s="1"/>
  <c r="CP22" i="48"/>
  <c r="CR22" i="48" s="1"/>
  <c r="CP396" i="48"/>
  <c r="CR396" i="48" s="1"/>
  <c r="CP1222" i="48"/>
  <c r="CR1222" i="48" s="1"/>
  <c r="CP319" i="48"/>
  <c r="CR319" i="48" s="1"/>
  <c r="CP965" i="48"/>
  <c r="CR965" i="48" s="1"/>
  <c r="CP816" i="48"/>
  <c r="CR816" i="48" s="1"/>
  <c r="CP1300" i="48"/>
  <c r="CR1300" i="48" s="1"/>
  <c r="CP1048" i="48"/>
  <c r="CR1048" i="48" s="1"/>
  <c r="CP496" i="48"/>
  <c r="CR496" i="48" s="1"/>
  <c r="CP716" i="48"/>
  <c r="CR716" i="48" s="1"/>
  <c r="CP1298" i="48"/>
  <c r="CR1298" i="48" s="1"/>
  <c r="CP361" i="48"/>
  <c r="CR361" i="48" s="1"/>
  <c r="CP1219" i="48"/>
  <c r="CR1219" i="48" s="1"/>
  <c r="CP638" i="48"/>
  <c r="CR638" i="48" s="1"/>
  <c r="CP1286" i="48"/>
  <c r="CR1286" i="48" s="1"/>
  <c r="CP223" i="48"/>
  <c r="CR223" i="48" s="1"/>
  <c r="CP525" i="48"/>
  <c r="CR525" i="48" s="1"/>
  <c r="CP1346" i="48"/>
  <c r="CR1346" i="48" s="1"/>
  <c r="CP395" i="48"/>
  <c r="CR395" i="48" s="1"/>
  <c r="CP164" i="48"/>
  <c r="CR164" i="48" s="1"/>
  <c r="CP1316" i="48"/>
  <c r="CR1316" i="48" s="1"/>
  <c r="CP645" i="48"/>
  <c r="CR645" i="48" s="1"/>
  <c r="CP821" i="48"/>
  <c r="CR821" i="48" s="1"/>
  <c r="CP168" i="48"/>
  <c r="CR168" i="48" s="1"/>
  <c r="CP495" i="48"/>
  <c r="CR495" i="48" s="1"/>
  <c r="CP249" i="48"/>
  <c r="CR249" i="48" s="1"/>
  <c r="CP1341" i="48"/>
  <c r="CR1341" i="48" s="1"/>
  <c r="CP94" i="48"/>
  <c r="CR94" i="48" s="1"/>
  <c r="CP1212" i="48"/>
  <c r="CR1212" i="48" s="1"/>
  <c r="CP247" i="48"/>
  <c r="CR247" i="48" s="1"/>
  <c r="CP839" i="48"/>
  <c r="CR839" i="48" s="1"/>
  <c r="CP837" i="48"/>
  <c r="CR837" i="48" s="1"/>
  <c r="CP789" i="48"/>
  <c r="CR789" i="48" s="1"/>
  <c r="CP846" i="48"/>
  <c r="CR846" i="48" s="1"/>
  <c r="CP413" i="48"/>
  <c r="CR413" i="48" s="1"/>
  <c r="CP625" i="48"/>
  <c r="CR625" i="48" s="1"/>
  <c r="CP1295" i="48"/>
  <c r="CR1295" i="48" s="1"/>
  <c r="CP1100" i="48"/>
  <c r="CR1100" i="48" s="1"/>
  <c r="CP95" i="48"/>
  <c r="CR95" i="48" s="1"/>
  <c r="CP1066" i="48"/>
  <c r="CR1066" i="48" s="1"/>
  <c r="CP649" i="48"/>
  <c r="CR649" i="48" s="1"/>
  <c r="CP698" i="48"/>
  <c r="CR698" i="48" s="1"/>
  <c r="CP569" i="48"/>
  <c r="CR569" i="48" s="1"/>
  <c r="CP1290" i="48"/>
  <c r="CR1290" i="48" s="1"/>
  <c r="CP567" i="48"/>
  <c r="CR567" i="48" s="1"/>
  <c r="CP1019" i="48"/>
  <c r="CR1019" i="48" s="1"/>
  <c r="CP1039" i="48"/>
  <c r="CR1039" i="48" s="1"/>
  <c r="CP950" i="48"/>
  <c r="CR950" i="48" s="1"/>
  <c r="CP1172" i="48"/>
  <c r="CR1172" i="48" s="1"/>
  <c r="CP791" i="48"/>
  <c r="CR791" i="48" s="1"/>
  <c r="CP994" i="48"/>
  <c r="CR994" i="48" s="1"/>
  <c r="CP1343" i="48"/>
  <c r="CR1343" i="48" s="1"/>
  <c r="CP913" i="48"/>
  <c r="CR913" i="48" s="1"/>
  <c r="CP11" i="48"/>
  <c r="CR11" i="48" s="1"/>
  <c r="CP988" i="48"/>
  <c r="CR988" i="48" s="1"/>
  <c r="CP471" i="48"/>
  <c r="CR471" i="48" s="1"/>
  <c r="CP911" i="48"/>
  <c r="CR911" i="48" s="1"/>
  <c r="CP172" i="48"/>
  <c r="CR172" i="48" s="1"/>
  <c r="CP1024" i="48"/>
  <c r="CR1024" i="48" s="1"/>
  <c r="CP1191" i="48"/>
  <c r="CR1191" i="48" s="1"/>
  <c r="CP768" i="48"/>
  <c r="CR768" i="48" s="1"/>
  <c r="CP949" i="48"/>
  <c r="CR949" i="48" s="1"/>
  <c r="CP1120" i="48"/>
  <c r="CR1120" i="48" s="1"/>
  <c r="CP694" i="48"/>
  <c r="CR694" i="48" s="1"/>
  <c r="CP737" i="48"/>
  <c r="CR737" i="48" s="1"/>
  <c r="CP412" i="48"/>
  <c r="CR412" i="48" s="1"/>
  <c r="CP542" i="48"/>
  <c r="CR542" i="48" s="1"/>
  <c r="CP1148" i="48"/>
  <c r="CR1148" i="48" s="1"/>
  <c r="CP914" i="48"/>
  <c r="CR914" i="48" s="1"/>
  <c r="CP712" i="48"/>
  <c r="CR712" i="48" s="1"/>
  <c r="CP425" i="48"/>
  <c r="CR425" i="48" s="1"/>
  <c r="CP1113" i="48"/>
  <c r="CR1113" i="48" s="1"/>
  <c r="CP467" i="48"/>
  <c r="CR467" i="48" s="1"/>
  <c r="CP193" i="48"/>
  <c r="CR193" i="48" s="1"/>
  <c r="CP192" i="48"/>
  <c r="CR192" i="48" s="1"/>
  <c r="CP416" i="48"/>
  <c r="CR416" i="48" s="1"/>
  <c r="CP664" i="48"/>
  <c r="CR664" i="48" s="1"/>
  <c r="CP749" i="48"/>
  <c r="CR749" i="48" s="1"/>
  <c r="CP518" i="48"/>
  <c r="CR518" i="48" s="1"/>
  <c r="CP546" i="48"/>
  <c r="CR546" i="48" s="1"/>
  <c r="CP341" i="48"/>
  <c r="CR341" i="48" s="1"/>
  <c r="CP423" i="48"/>
  <c r="CR423" i="48" s="1"/>
  <c r="CP537" i="48"/>
  <c r="CR537" i="48" s="1"/>
  <c r="CP394" i="48"/>
  <c r="CR394" i="48" s="1"/>
  <c r="CP650" i="48"/>
  <c r="CR650" i="48" s="1"/>
  <c r="CP539" i="48"/>
  <c r="CR539" i="48" s="1"/>
  <c r="CP1016" i="48"/>
  <c r="CR1016" i="48" s="1"/>
  <c r="CP1093" i="48"/>
  <c r="CR1093" i="48" s="1"/>
  <c r="CP847" i="48"/>
  <c r="CR847" i="48" s="1"/>
  <c r="CP925" i="48"/>
  <c r="CR925" i="48" s="1"/>
  <c r="CP297" i="48"/>
  <c r="CR297" i="48" s="1"/>
  <c r="CP47" i="48"/>
  <c r="CR47" i="48" s="1"/>
  <c r="CP1069" i="48"/>
  <c r="CR1069" i="48" s="1"/>
  <c r="CP372" i="48"/>
  <c r="CR372" i="48" s="1"/>
  <c r="CP1345" i="48"/>
  <c r="CR1345" i="48" s="1"/>
  <c r="CP745" i="48"/>
  <c r="CR745" i="48" s="1"/>
  <c r="CP743" i="48"/>
  <c r="CR743" i="48" s="1"/>
  <c r="CP274" i="48"/>
  <c r="CR274" i="48" s="1"/>
  <c r="CP1138" i="48"/>
  <c r="CR1138" i="48" s="1"/>
  <c r="CP289" i="48"/>
  <c r="CR289" i="48" s="1"/>
  <c r="CP123" i="48"/>
  <c r="CR123" i="48" s="1"/>
  <c r="CP1070" i="48"/>
  <c r="CR1070" i="48" s="1"/>
  <c r="CP990" i="48"/>
  <c r="CR990" i="48" s="1"/>
  <c r="CP992" i="48"/>
  <c r="CR992" i="48" s="1"/>
  <c r="CP237" i="48"/>
  <c r="CR237" i="48" s="1"/>
  <c r="CP241" i="48"/>
  <c r="CR241" i="48" s="1"/>
  <c r="CP171" i="48"/>
  <c r="CR171" i="48" s="1"/>
  <c r="CP500" i="48"/>
  <c r="CR500" i="48" s="1"/>
  <c r="CP117" i="48"/>
  <c r="CR117" i="48" s="1"/>
  <c r="CP1141" i="48"/>
  <c r="CR1141" i="48" s="1"/>
  <c r="CP793" i="48"/>
  <c r="CR793" i="48" s="1"/>
  <c r="CP1215" i="48"/>
  <c r="CR1215" i="48" s="1"/>
  <c r="CP448" i="48"/>
  <c r="CR448" i="48" s="1"/>
  <c r="CP514" i="48"/>
  <c r="CR514" i="48" s="1"/>
  <c r="CP523" i="48"/>
  <c r="CR523" i="48" s="1"/>
  <c r="CP513" i="48"/>
  <c r="CR513" i="48" s="1"/>
  <c r="CP997" i="48"/>
  <c r="CR997" i="48" s="1"/>
  <c r="CP891" i="48"/>
  <c r="CR891" i="48" s="1"/>
  <c r="CP818" i="48"/>
  <c r="CR818" i="48" s="1"/>
  <c r="CP864" i="48"/>
  <c r="CR864" i="48" s="1"/>
  <c r="CP1064" i="48"/>
  <c r="CR1064" i="48" s="1"/>
  <c r="CP440" i="48"/>
  <c r="CR440" i="48" s="1"/>
  <c r="CP1136" i="48"/>
  <c r="CR1136" i="48" s="1"/>
  <c r="CP139" i="48"/>
  <c r="CR139" i="48" s="1"/>
  <c r="CP640" i="48"/>
  <c r="CR640" i="48" s="1"/>
  <c r="CP68" i="48"/>
  <c r="CR68" i="48" s="1"/>
  <c r="CP299" i="48"/>
  <c r="CR299" i="48" s="1"/>
  <c r="CP767" i="48"/>
  <c r="CR767" i="48" s="1"/>
  <c r="CP739" i="48"/>
  <c r="CR739" i="48" s="1"/>
  <c r="CP643" i="48"/>
  <c r="CR643" i="48" s="1"/>
  <c r="CP46" i="48"/>
  <c r="CR46" i="48" s="1"/>
  <c r="CP1015" i="48"/>
  <c r="CR1015" i="48" s="1"/>
  <c r="CP687" i="48"/>
  <c r="CR687" i="48" s="1"/>
  <c r="CP1139" i="48"/>
  <c r="CR1139" i="48" s="1"/>
  <c r="CP315" i="48"/>
  <c r="CR315" i="48" s="1"/>
  <c r="CP813" i="48"/>
  <c r="CR813" i="48" s="1"/>
  <c r="CP295" i="48"/>
  <c r="CR295" i="48" s="1"/>
  <c r="CP724" i="48"/>
  <c r="CR724" i="48" s="1"/>
  <c r="CP945" i="48"/>
  <c r="CR945" i="48" s="1"/>
  <c r="CP220" i="48"/>
  <c r="CR220" i="48" s="1"/>
  <c r="CP938" i="48"/>
  <c r="CR938" i="48" s="1"/>
  <c r="CP711" i="48"/>
  <c r="CR711" i="48" s="1"/>
  <c r="CP17" i="48"/>
  <c r="CR17" i="48" s="1"/>
  <c r="CP769" i="48"/>
  <c r="CR769" i="48" s="1"/>
  <c r="CP345" i="48"/>
  <c r="CR345" i="48" s="1"/>
  <c r="CP419" i="48"/>
  <c r="CR419" i="48" s="1"/>
  <c r="CP572" i="48"/>
  <c r="CR572" i="48" s="1"/>
  <c r="CP1261" i="48"/>
  <c r="CR1261" i="48" s="1"/>
  <c r="CP146" i="48"/>
  <c r="CR146" i="48" s="1"/>
  <c r="CP812" i="48"/>
  <c r="CR812" i="48" s="1"/>
  <c r="CP1170" i="48"/>
  <c r="CR1170" i="48" s="1"/>
  <c r="CP811" i="48"/>
  <c r="CR811" i="48" s="1"/>
  <c r="CP243" i="48"/>
  <c r="CR243" i="48" s="1"/>
  <c r="CP1338" i="48"/>
  <c r="CR1338" i="48" s="1"/>
  <c r="CP1262" i="48"/>
  <c r="CR1262" i="48" s="1"/>
  <c r="CP436" i="48"/>
  <c r="CR436" i="48" s="1"/>
  <c r="CP1137" i="48"/>
  <c r="CR1137" i="48" s="1"/>
  <c r="CP340" i="48"/>
  <c r="CR340" i="48" s="1"/>
  <c r="CP725" i="48"/>
  <c r="CR725" i="48" s="1"/>
  <c r="CP565" i="48"/>
  <c r="CR565" i="48" s="1"/>
  <c r="CP723" i="48"/>
  <c r="CR723" i="48" s="1"/>
  <c r="CP993" i="48"/>
  <c r="CR993" i="48" s="1"/>
  <c r="CP1187" i="48"/>
  <c r="CR1187" i="48" s="1"/>
  <c r="CP264" i="48"/>
  <c r="CR264" i="48" s="1"/>
  <c r="CP573" i="48"/>
  <c r="CR573" i="48" s="1"/>
  <c r="CP1263" i="48"/>
  <c r="CR1263" i="48" s="1"/>
  <c r="CP944" i="48"/>
  <c r="CR944" i="48" s="1"/>
  <c r="CP1017" i="48"/>
  <c r="CR1017" i="48" s="1"/>
  <c r="CP449" i="48"/>
  <c r="CR449" i="48" s="1"/>
  <c r="CP772" i="48"/>
  <c r="CR772" i="48" s="1"/>
  <c r="CP824" i="48"/>
  <c r="CR824" i="48" s="1"/>
  <c r="CP1297" i="48"/>
  <c r="CR1297" i="48" s="1"/>
  <c r="CP191" i="48"/>
  <c r="CR191" i="48" s="1"/>
  <c r="CP170" i="48"/>
  <c r="CR170" i="48" s="1"/>
  <c r="CP215" i="48"/>
  <c r="CR215" i="48" s="1"/>
  <c r="CP70" i="48"/>
  <c r="CR70" i="48" s="1"/>
  <c r="CP292" i="48"/>
  <c r="CR292" i="48" s="1"/>
  <c r="CP1073" i="48"/>
  <c r="CR1073" i="48" s="1"/>
  <c r="CP887" i="48"/>
  <c r="CR887" i="48" s="1"/>
  <c r="CP786" i="48"/>
  <c r="CR786" i="48" s="1"/>
  <c r="CP37" i="48"/>
  <c r="CR37" i="48" s="1"/>
  <c r="CP438" i="48"/>
  <c r="CR438" i="48" s="1"/>
  <c r="CP1161" i="48"/>
  <c r="CR1161" i="48" s="1"/>
  <c r="CP118" i="48"/>
  <c r="CR118" i="48" s="1"/>
  <c r="CP695" i="48"/>
  <c r="CR695" i="48" s="1"/>
  <c r="CP1089" i="48"/>
  <c r="CR1089" i="48" s="1"/>
  <c r="CP462" i="48"/>
  <c r="CR462" i="48" s="1"/>
  <c r="CP999" i="48"/>
  <c r="CR999" i="48" s="1"/>
  <c r="CP362" i="48"/>
  <c r="CR362" i="48" s="1"/>
  <c r="CP1186" i="48"/>
  <c r="CR1186" i="48" s="1"/>
  <c r="CP918" i="48"/>
  <c r="CR918" i="48" s="1"/>
  <c r="CP1124" i="48"/>
  <c r="CR1124" i="48" s="1"/>
  <c r="CP968" i="48"/>
  <c r="CR968" i="48" s="1"/>
  <c r="CP800" i="48"/>
  <c r="CR800" i="48" s="1"/>
  <c r="CP975" i="48"/>
  <c r="CR975" i="48" s="1"/>
  <c r="CP499" i="48"/>
  <c r="CR499" i="48" s="1"/>
  <c r="CP463" i="48"/>
  <c r="CR463" i="48" s="1"/>
  <c r="CP764" i="48"/>
  <c r="CR764" i="48" s="1"/>
  <c r="CP1020" i="48"/>
  <c r="CR1020" i="48" s="1"/>
  <c r="CP962" i="48"/>
  <c r="CR962" i="48" s="1"/>
  <c r="CP1344" i="48"/>
  <c r="CR1344" i="48" s="1"/>
  <c r="CP45" i="48"/>
  <c r="CR45" i="48" s="1"/>
  <c r="CP1323" i="48"/>
  <c r="CR1323" i="48" s="1"/>
  <c r="CP224" i="48"/>
  <c r="CR224" i="48" s="1"/>
  <c r="CP275" i="48"/>
  <c r="CR275" i="48" s="1"/>
  <c r="CP564" i="48"/>
  <c r="CR564" i="48" s="1"/>
  <c r="CP1342" i="48"/>
  <c r="CR1342" i="48" s="1"/>
  <c r="CP1320" i="48"/>
  <c r="CR1320" i="48" s="1"/>
  <c r="CP41" i="48"/>
  <c r="CR41" i="48" s="1"/>
  <c r="CP1225" i="48"/>
  <c r="CR1225" i="48" s="1"/>
  <c r="CP1240" i="48"/>
  <c r="CR1240" i="48" s="1"/>
  <c r="CP421" i="48"/>
  <c r="CR421" i="48" s="1"/>
  <c r="CP498" i="48"/>
  <c r="CR498" i="48" s="1"/>
  <c r="CP865" i="48"/>
  <c r="CR865" i="48" s="1"/>
  <c r="CP461" i="48"/>
  <c r="CR461" i="48" s="1"/>
  <c r="CP674" i="48"/>
  <c r="CR674" i="48" s="1"/>
  <c r="CP763" i="48"/>
  <c r="CR763" i="48" s="1"/>
  <c r="CP91" i="48"/>
  <c r="CR91" i="48" s="1"/>
  <c r="CP119" i="48"/>
  <c r="CR119" i="48" s="1"/>
  <c r="CP65" i="48"/>
  <c r="CR65" i="48" s="1"/>
  <c r="CP271" i="48"/>
  <c r="CR271" i="48" s="1"/>
  <c r="CP641" i="48"/>
  <c r="CR641" i="48" s="1"/>
  <c r="CP437" i="48"/>
  <c r="CR437" i="48" s="1"/>
  <c r="CP920" i="48"/>
  <c r="CR920" i="48" s="1"/>
  <c r="CP693" i="48"/>
  <c r="CR693" i="48" s="1"/>
  <c r="CP93" i="48"/>
  <c r="CR93" i="48" s="1"/>
  <c r="CP143" i="48"/>
  <c r="CR143" i="48" s="1"/>
  <c r="CP814" i="48"/>
  <c r="CR814" i="48" s="1"/>
  <c r="CP149" i="48"/>
  <c r="CR149" i="48" s="1"/>
  <c r="CP311" i="48"/>
  <c r="CR311" i="48" s="1"/>
  <c r="CP348" i="48"/>
  <c r="CR348" i="48" s="1"/>
  <c r="CP492" i="48"/>
  <c r="CR492" i="48" s="1"/>
  <c r="CP124" i="48"/>
  <c r="CR124" i="48" s="1"/>
  <c r="CP213" i="48"/>
  <c r="CR213" i="48" s="1"/>
  <c r="CP668" i="48"/>
  <c r="CR668" i="48" s="1"/>
  <c r="CP522" i="48"/>
  <c r="CR522" i="48" s="1"/>
  <c r="CP699" i="48"/>
  <c r="CR699" i="48" s="1"/>
  <c r="CP946" i="48"/>
  <c r="CR946" i="48" s="1"/>
  <c r="CP989" i="48"/>
  <c r="CR989" i="48" s="1"/>
  <c r="CP1000" i="48"/>
  <c r="CR1000" i="48" s="1"/>
  <c r="CP937" i="48"/>
  <c r="CR937" i="48" s="1"/>
  <c r="CP398" i="48"/>
  <c r="CR398" i="48" s="1"/>
  <c r="CP922" i="48"/>
  <c r="CR922" i="48" s="1"/>
  <c r="CP491" i="48"/>
  <c r="CR491" i="48" s="1"/>
  <c r="CP322" i="48"/>
  <c r="CR322" i="48" s="1"/>
  <c r="CP521" i="48"/>
  <c r="CR521" i="48" s="1"/>
  <c r="CP961" i="48"/>
  <c r="CR961" i="48" s="1"/>
  <c r="CP400" i="48"/>
  <c r="CR400" i="48" s="1"/>
  <c r="CP1339" i="48"/>
  <c r="CR1339" i="48" s="1"/>
  <c r="CP417" i="48"/>
  <c r="CR417" i="48" s="1"/>
  <c r="CP262" i="48"/>
  <c r="CR262" i="48" s="1"/>
  <c r="CP320" i="48"/>
  <c r="CR320" i="48" s="1"/>
  <c r="CP497" i="48"/>
  <c r="CR497" i="48" s="1"/>
  <c r="CP216" i="48"/>
  <c r="CR216" i="48" s="1"/>
  <c r="CP1074" i="48"/>
  <c r="CR1074" i="48" s="1"/>
  <c r="CP1098" i="48"/>
  <c r="CR1098" i="48" s="1"/>
  <c r="CP100" i="48"/>
  <c r="CR100" i="48" s="1"/>
  <c r="CP97" i="48"/>
  <c r="CR97" i="48" s="1"/>
  <c r="CP1248" i="48"/>
  <c r="CR1248" i="48" s="1"/>
  <c r="CP563" i="48"/>
  <c r="CR563" i="48" s="1"/>
  <c r="CP540" i="48"/>
  <c r="CR540" i="48" s="1"/>
  <c r="CP288" i="48"/>
  <c r="CR288" i="48" s="1"/>
  <c r="CP722" i="48"/>
  <c r="CR722" i="48" s="1"/>
  <c r="CP1040" i="48"/>
  <c r="CR1040" i="48" s="1"/>
  <c r="CP543" i="48"/>
  <c r="CR543" i="48" s="1"/>
  <c r="CP948" i="48"/>
  <c r="CR948" i="48" s="1"/>
  <c r="CP411" i="48"/>
  <c r="CR411" i="48" s="1"/>
  <c r="CP765" i="48"/>
  <c r="CR765" i="48" s="1"/>
  <c r="CP144" i="48"/>
  <c r="CR144" i="48" s="1"/>
  <c r="CP222" i="48"/>
  <c r="CR222" i="48" s="1"/>
  <c r="CP441" i="48"/>
  <c r="CR441" i="48" s="1"/>
  <c r="CP566" i="48"/>
  <c r="CR566" i="48" s="1"/>
  <c r="CP1275" i="48"/>
  <c r="CR1275" i="48" s="1"/>
  <c r="CP964" i="48"/>
  <c r="CR964" i="48" s="1"/>
  <c r="CP165" i="48"/>
  <c r="CR165" i="48" s="1"/>
  <c r="CP1036" i="48"/>
  <c r="CR1036" i="48" s="1"/>
  <c r="CP318" i="48"/>
  <c r="CR318" i="48" s="1"/>
  <c r="CP1122" i="48"/>
  <c r="CR1122" i="48" s="1"/>
  <c r="CP700" i="48"/>
  <c r="CR700" i="48" s="1"/>
  <c r="CP613" i="48"/>
  <c r="CR613" i="48" s="1"/>
  <c r="CP366" i="48"/>
  <c r="CR366" i="48" s="1"/>
  <c r="CP487" i="48"/>
  <c r="CR487" i="48" s="1"/>
  <c r="CP624" i="48"/>
  <c r="CR624" i="48" s="1"/>
  <c r="CP1268" i="48"/>
  <c r="CR1268" i="48" s="1"/>
  <c r="CP300" i="48"/>
  <c r="CR300" i="48" s="1"/>
  <c r="CP375" i="48"/>
  <c r="CR375" i="48" s="1"/>
  <c r="CP621" i="48"/>
  <c r="CR621" i="48" s="1"/>
  <c r="CP970" i="48"/>
  <c r="CR970" i="48" s="1"/>
  <c r="CP848" i="48"/>
  <c r="CR848" i="48" s="1"/>
  <c r="CP697" i="48"/>
  <c r="CR697" i="48" s="1"/>
  <c r="CP296" i="48"/>
  <c r="CR296" i="48" s="1"/>
  <c r="CP888" i="48"/>
  <c r="CR888" i="48" s="1"/>
  <c r="CP637" i="48"/>
  <c r="CR637" i="48" s="1"/>
  <c r="CP1149" i="48"/>
  <c r="CR1149" i="48" s="1"/>
  <c r="CP688" i="48"/>
  <c r="CR688" i="48" s="1"/>
  <c r="CP174" i="48"/>
  <c r="CR174" i="48" s="1"/>
  <c r="CP325" i="48"/>
  <c r="CR325" i="48" s="1"/>
  <c r="CP995" i="48"/>
  <c r="CR995" i="48" s="1"/>
  <c r="CP862" i="48"/>
  <c r="CR862" i="48" s="1"/>
  <c r="CP593" i="48"/>
  <c r="CR593" i="48" s="1"/>
  <c r="CP1067" i="48"/>
  <c r="CR1067" i="48" s="1"/>
  <c r="CP1164" i="48"/>
  <c r="CR1164" i="48" s="1"/>
  <c r="CP974" i="48"/>
  <c r="CR974" i="48" s="1"/>
  <c r="CP1246" i="48"/>
  <c r="CR1246" i="48" s="1"/>
  <c r="CP1189" i="48"/>
  <c r="CR1189" i="48" s="1"/>
  <c r="CP397" i="48"/>
  <c r="CR397" i="48" s="1"/>
  <c r="CP493" i="48"/>
  <c r="CR493" i="48" s="1"/>
  <c r="CP48" i="48"/>
  <c r="CR48" i="48" s="1"/>
  <c r="CP1220" i="48"/>
  <c r="CR1220" i="48" s="1"/>
  <c r="CP675" i="48"/>
  <c r="CR675" i="48" s="1"/>
  <c r="CP294" i="48"/>
  <c r="CR294" i="48" s="1"/>
  <c r="CP1163" i="48"/>
  <c r="CR1163" i="48" s="1"/>
  <c r="CP265" i="48"/>
  <c r="CR265" i="48" s="1"/>
  <c r="CP873" i="48"/>
  <c r="CR873" i="48" s="1"/>
  <c r="CP1194" i="48"/>
  <c r="CR1194" i="48" s="1"/>
  <c r="CP823" i="48"/>
  <c r="CR823" i="48" s="1"/>
  <c r="CP391" i="48"/>
  <c r="CR391" i="48" s="1"/>
  <c r="CP338" i="48"/>
  <c r="CR338" i="48" s="1"/>
  <c r="CP996" i="48"/>
  <c r="CR996" i="48" s="1"/>
  <c r="CP414" i="48"/>
  <c r="CR414" i="48" s="1"/>
  <c r="CP1123" i="48"/>
  <c r="CR1123" i="48" s="1"/>
  <c r="CP519" i="48"/>
  <c r="CR519" i="48" s="1"/>
  <c r="CP73" i="48"/>
  <c r="CR73" i="48" s="1"/>
  <c r="CP787" i="48"/>
  <c r="CR787" i="48" s="1"/>
  <c r="CP290" i="48"/>
  <c r="CR290" i="48" s="1"/>
  <c r="CP1014" i="48"/>
  <c r="CR1014" i="48" s="1"/>
  <c r="CP464" i="48"/>
  <c r="CR464" i="48" s="1"/>
  <c r="CP287" i="48"/>
  <c r="CR287" i="48" s="1"/>
  <c r="CP1247" i="48"/>
  <c r="CR1247" i="48" s="1"/>
  <c r="CP1318" i="48"/>
  <c r="CR1318" i="48" s="1"/>
  <c r="CP1090" i="48"/>
  <c r="CR1090" i="48" s="1"/>
  <c r="CP1325" i="48"/>
  <c r="CR1325" i="48" s="1"/>
  <c r="CP1022" i="48"/>
  <c r="CR1022" i="48" s="1"/>
  <c r="CP349" i="48"/>
  <c r="CR349" i="48" s="1"/>
  <c r="CP272" i="48"/>
  <c r="CR272" i="48" s="1"/>
  <c r="CP386" i="48"/>
  <c r="CR386" i="48" s="1"/>
  <c r="CP1168" i="48"/>
  <c r="CR1168" i="48" s="1"/>
  <c r="CP1072" i="48"/>
  <c r="CR1072" i="48" s="1"/>
  <c r="CP137" i="48"/>
  <c r="CR137" i="48" s="1"/>
  <c r="CP268" i="48"/>
  <c r="CR268" i="48" s="1"/>
  <c r="CP720" i="48"/>
  <c r="CR720" i="48" s="1"/>
  <c r="CP196" i="48"/>
  <c r="CR196" i="48" s="1"/>
  <c r="CP597" i="48"/>
  <c r="CR597" i="48" s="1"/>
  <c r="CP1150" i="48"/>
  <c r="CR1150" i="48" s="1"/>
  <c r="CP795" i="48"/>
  <c r="CR795" i="48" s="1"/>
  <c r="CP691" i="48"/>
  <c r="CR691" i="48" s="1"/>
  <c r="CP161" i="48"/>
  <c r="CR161" i="48" s="1"/>
  <c r="CP248" i="48"/>
  <c r="CR248" i="48" s="1"/>
  <c r="CP116" i="48"/>
  <c r="CR116" i="48" s="1"/>
  <c r="CP293" i="48"/>
  <c r="CR293" i="48" s="1"/>
  <c r="CP524" i="48"/>
  <c r="CR524" i="48" s="1"/>
  <c r="CP940" i="48"/>
  <c r="CR940" i="48" s="1"/>
  <c r="CP615" i="48"/>
  <c r="CR615" i="48" s="1"/>
  <c r="CP188" i="48"/>
  <c r="CR188" i="48" s="1"/>
  <c r="CP363" i="48"/>
  <c r="CR363" i="48" s="1"/>
  <c r="CP350" i="48"/>
  <c r="CR350" i="48" s="1"/>
  <c r="CP147" i="48"/>
  <c r="CR147" i="48" s="1"/>
  <c r="CP1349" i="48"/>
  <c r="CR1349" i="48" s="1"/>
  <c r="CP596" i="48"/>
  <c r="CR596" i="48" s="1"/>
  <c r="CP618" i="48"/>
  <c r="CR618" i="48" s="1"/>
  <c r="CP450" i="48"/>
  <c r="CR450" i="48" s="1"/>
  <c r="CP644" i="48"/>
  <c r="CR644" i="48" s="1"/>
  <c r="CP387" i="48"/>
  <c r="CR387" i="48" s="1"/>
  <c r="CP692" i="48"/>
  <c r="CR692" i="48" s="1"/>
  <c r="CP1238" i="48"/>
  <c r="CR1238" i="48" s="1"/>
  <c r="CP16" i="48"/>
  <c r="CR16" i="48" s="1"/>
  <c r="CP390" i="48"/>
  <c r="CR390" i="48" s="1"/>
  <c r="CP571" i="48"/>
  <c r="CR571" i="48" s="1"/>
  <c r="CP591" i="48"/>
  <c r="CR591" i="48" s="1"/>
  <c r="CP1065" i="48"/>
  <c r="CR1065" i="48" s="1"/>
  <c r="CP163" i="48"/>
  <c r="CR163" i="48" s="1"/>
  <c r="CP389" i="48"/>
  <c r="CR389" i="48" s="1"/>
  <c r="CP14" i="48"/>
  <c r="CR14" i="48" s="1"/>
  <c r="CP517" i="48"/>
  <c r="CR517" i="48" s="1"/>
  <c r="CP619" i="48"/>
  <c r="CR619" i="48" s="1"/>
  <c r="CP1291" i="48"/>
  <c r="CR1291" i="48" s="1"/>
  <c r="CP1195" i="48"/>
  <c r="CR1195" i="48" s="1"/>
  <c r="CP1167" i="48"/>
  <c r="CR1167" i="48" s="1"/>
  <c r="CP64" i="48"/>
  <c r="CR64" i="48" s="1"/>
  <c r="CP820" i="48"/>
  <c r="CR820" i="48" s="1"/>
  <c r="CP145" i="48"/>
  <c r="CR145" i="48" s="1"/>
  <c r="CP963" i="48"/>
  <c r="CR963" i="48" s="1"/>
  <c r="CP42" i="48"/>
  <c r="CR42" i="48" s="1"/>
  <c r="CP469" i="48"/>
  <c r="CR469" i="48" s="1"/>
  <c r="CP1317" i="48"/>
  <c r="CR1317" i="48" s="1"/>
  <c r="CP472" i="48"/>
  <c r="CR472" i="48" s="1"/>
  <c r="CP1319" i="48"/>
  <c r="CR1319" i="48" s="1"/>
  <c r="CP850" i="48"/>
  <c r="CR850" i="48" s="1"/>
  <c r="CP750" i="48"/>
  <c r="CR750" i="48" s="1"/>
  <c r="CP740" i="48"/>
  <c r="CR740" i="48" s="1"/>
  <c r="CP549" i="48"/>
  <c r="CR549" i="48" s="1"/>
  <c r="CP273" i="48"/>
  <c r="CR273" i="48" s="1"/>
  <c r="CP1265" i="48"/>
  <c r="CR1265" i="48" s="1"/>
  <c r="CP890" i="48"/>
  <c r="CR890" i="48" s="1"/>
  <c r="CP868" i="48"/>
  <c r="CR868" i="48" s="1"/>
  <c r="CP1162" i="48"/>
  <c r="CR1162" i="48" s="1"/>
  <c r="CP840" i="48"/>
  <c r="CR840" i="48" s="1"/>
  <c r="CP1241" i="48"/>
  <c r="CR1241" i="48" s="1"/>
  <c r="CP263" i="48"/>
  <c r="CR263" i="48" s="1"/>
  <c r="CP18" i="48"/>
  <c r="CR18" i="48" s="1"/>
  <c r="CP96" i="48"/>
  <c r="CR96" i="48" s="1"/>
  <c r="CP246" i="48"/>
  <c r="CR246" i="48" s="1"/>
  <c r="CP1063" i="48"/>
  <c r="CR1063" i="48" s="1"/>
  <c r="CP212" i="48"/>
  <c r="CR212" i="48" s="1"/>
  <c r="CP941" i="48"/>
  <c r="CR941" i="48" s="1"/>
  <c r="CP1348" i="48"/>
  <c r="CR1348" i="48" s="1"/>
  <c r="CP1312" i="48"/>
  <c r="CR1312" i="48" s="1"/>
  <c r="CP987" i="48"/>
  <c r="CR987" i="48" s="1"/>
  <c r="CP991" i="48"/>
  <c r="CR991" i="48" s="1"/>
  <c r="CP1340" i="48"/>
  <c r="CR1340" i="48" s="1"/>
  <c r="CP748" i="48"/>
  <c r="CR748" i="48" s="1"/>
  <c r="CP923" i="48"/>
  <c r="CR923" i="48" s="1"/>
  <c r="CP870" i="48"/>
  <c r="CR870" i="48" s="1"/>
  <c r="CP744" i="48"/>
  <c r="CR744" i="48" s="1"/>
  <c r="CP44" i="48"/>
  <c r="CR44" i="48" s="1"/>
  <c r="CP214" i="48"/>
  <c r="CR214" i="48" s="1"/>
  <c r="CP568" i="48"/>
  <c r="CR568" i="48" s="1"/>
  <c r="CP943" i="48"/>
  <c r="CR943" i="48" s="1"/>
  <c r="CP665" i="48"/>
  <c r="CR665" i="48" s="1"/>
  <c r="CP190" i="48"/>
  <c r="CR190" i="48" s="1"/>
  <c r="CP570" i="48"/>
  <c r="CR570" i="48" s="1"/>
  <c r="CP39" i="48"/>
  <c r="CR39" i="48" s="1"/>
  <c r="CP1145" i="48"/>
  <c r="CR1145" i="48" s="1"/>
  <c r="CP1041" i="48"/>
  <c r="CR1041" i="48" s="1"/>
  <c r="CP489" i="48"/>
  <c r="CR489" i="48" s="1"/>
  <c r="CP125" i="48"/>
  <c r="CR125" i="48" s="1"/>
  <c r="CP238" i="48"/>
  <c r="CR238" i="48" s="1"/>
  <c r="CP269" i="48"/>
  <c r="CR269" i="48" s="1"/>
  <c r="CP62" i="48"/>
  <c r="CR62" i="48" s="1"/>
  <c r="CP138" i="48"/>
  <c r="CR138" i="48" s="1"/>
  <c r="CP445" i="48"/>
  <c r="CR445" i="48" s="1"/>
  <c r="CP667" i="48"/>
  <c r="CR667" i="48" s="1"/>
  <c r="CP1174" i="48"/>
  <c r="CR1174" i="48" s="1"/>
  <c r="CP19" i="48"/>
  <c r="CR19" i="48" s="1"/>
  <c r="CP1249" i="48"/>
  <c r="CR1249" i="48" s="1"/>
  <c r="CP344" i="48"/>
  <c r="CR344" i="48" s="1"/>
  <c r="CP242" i="48"/>
  <c r="CR242" i="48" s="1"/>
  <c r="CP617" i="48"/>
  <c r="CR617" i="48" s="1"/>
  <c r="CP1050" i="48"/>
  <c r="CR1050" i="48" s="1"/>
  <c r="CP1272" i="48"/>
  <c r="CR1272" i="48" s="1"/>
  <c r="CP112" i="48"/>
  <c r="CR112" i="48" s="1"/>
  <c r="CP515" i="48"/>
  <c r="CR515" i="48" s="1"/>
  <c r="CP187" i="48"/>
  <c r="CR187" i="48" s="1"/>
  <c r="CP544" i="48"/>
  <c r="CR544" i="48" s="1"/>
  <c r="CP40" i="48"/>
  <c r="CR40" i="48" s="1"/>
  <c r="CP347" i="48"/>
  <c r="CR347" i="48" s="1"/>
  <c r="CP1071" i="48"/>
  <c r="CR1071" i="48" s="1"/>
  <c r="CP69" i="48"/>
  <c r="CR69" i="48" s="1"/>
  <c r="CP900" i="48"/>
  <c r="CR900" i="48" s="1"/>
  <c r="CP199" i="48"/>
  <c r="CR199" i="48" s="1"/>
  <c r="CA1286" i="48"/>
  <c r="CA1290" i="48"/>
  <c r="CA1294" i="48"/>
  <c r="CA1298" i="48"/>
  <c r="CA1304" i="48"/>
  <c r="CA1308" i="48"/>
  <c r="CA1312" i="48"/>
  <c r="CA1316" i="48"/>
  <c r="CA1320" i="48"/>
  <c r="CA1324" i="48"/>
  <c r="CA1330" i="48"/>
  <c r="CA1334" i="48"/>
  <c r="CA1338" i="48"/>
  <c r="CA1342" i="48"/>
  <c r="CA1346" i="48"/>
  <c r="CA1350" i="48"/>
  <c r="CA10" i="48"/>
  <c r="CA14" i="48"/>
  <c r="CA18" i="48"/>
  <c r="CA22" i="48"/>
  <c r="CA28" i="48"/>
  <c r="CA32" i="48"/>
  <c r="CA36" i="48"/>
  <c r="CA40" i="48"/>
  <c r="CA44" i="48"/>
  <c r="CA48" i="48"/>
  <c r="CA54" i="48"/>
  <c r="CA58" i="48"/>
  <c r="CA62" i="48"/>
  <c r="CA66" i="48"/>
  <c r="CA70" i="48"/>
  <c r="CA74" i="48"/>
  <c r="CA80" i="48"/>
  <c r="CA84" i="48"/>
  <c r="CA88" i="48"/>
  <c r="CA92" i="48"/>
  <c r="CA96" i="48"/>
  <c r="CA100" i="48"/>
  <c r="CA106" i="48"/>
  <c r="CA110" i="48"/>
  <c r="CA114" i="48"/>
  <c r="CA118" i="48"/>
  <c r="CA122" i="48"/>
  <c r="CA128" i="48"/>
  <c r="CA132" i="48"/>
  <c r="CA136" i="48"/>
  <c r="CA140" i="48"/>
  <c r="CA144" i="48"/>
  <c r="CA148" i="48"/>
  <c r="CA154" i="48"/>
  <c r="CA158" i="48"/>
  <c r="CA162" i="48"/>
  <c r="CA166" i="48"/>
  <c r="CA170" i="48"/>
  <c r="CA174" i="48"/>
  <c r="CA180" i="48"/>
  <c r="CA184" i="48"/>
  <c r="CA188" i="48"/>
  <c r="CA192" i="48"/>
  <c r="CA196" i="48"/>
  <c r="CA200" i="48"/>
  <c r="CA206" i="48"/>
  <c r="CA210" i="48"/>
  <c r="CA214" i="48"/>
  <c r="CA218" i="48"/>
  <c r="CA222" i="48"/>
  <c r="CA228" i="48"/>
  <c r="CA232" i="48"/>
  <c r="CA236" i="48"/>
  <c r="CA240" i="48"/>
  <c r="CA244" i="48"/>
  <c r="CA248" i="48"/>
  <c r="CA254" i="48"/>
  <c r="CA258" i="48"/>
  <c r="CA262" i="48"/>
  <c r="CA266" i="48"/>
  <c r="CA270" i="48"/>
  <c r="CA274" i="48"/>
  <c r="CA280" i="48"/>
  <c r="CA284" i="48"/>
  <c r="CA288" i="48"/>
  <c r="CA292" i="48"/>
  <c r="CA296" i="48"/>
  <c r="CA300" i="48"/>
  <c r="CA306" i="48"/>
  <c r="CA310" i="48"/>
  <c r="CA314" i="48"/>
  <c r="CA318" i="48"/>
  <c r="CA322" i="48"/>
  <c r="CA329" i="48"/>
  <c r="CA333" i="48"/>
  <c r="CA337" i="48"/>
  <c r="CA341" i="48"/>
  <c r="CA345" i="48"/>
  <c r="CA349" i="48"/>
  <c r="CA355" i="48"/>
  <c r="CA359" i="48"/>
  <c r="CA363" i="48"/>
  <c r="CA367" i="48"/>
  <c r="CA371" i="48"/>
  <c r="CA375" i="48"/>
  <c r="CA381" i="48"/>
  <c r="CA385" i="48"/>
  <c r="CA389" i="48"/>
  <c r="CA393" i="48"/>
  <c r="CA397" i="48"/>
  <c r="CA403" i="48"/>
  <c r="CA407" i="48"/>
  <c r="CA411" i="48"/>
  <c r="CA415" i="48"/>
  <c r="CA419" i="48"/>
  <c r="CA423" i="48"/>
  <c r="CA429" i="48"/>
  <c r="CA433" i="48"/>
  <c r="CA437" i="48"/>
  <c r="CA441" i="48"/>
  <c r="CA445" i="48"/>
  <c r="CA449" i="48"/>
  <c r="CA455" i="48"/>
  <c r="CA459" i="48"/>
  <c r="CA463" i="48"/>
  <c r="CA467" i="48"/>
  <c r="CA471" i="48"/>
  <c r="CA475" i="48"/>
  <c r="CA481" i="48"/>
  <c r="CA485" i="48"/>
  <c r="CA489" i="48"/>
  <c r="CA493" i="48"/>
  <c r="CA497" i="48"/>
  <c r="CA504" i="48"/>
  <c r="CA508" i="48"/>
  <c r="CA512" i="48"/>
  <c r="CA516" i="48"/>
  <c r="CA520" i="48"/>
  <c r="CA524" i="48"/>
  <c r="CA530" i="48"/>
  <c r="CA534" i="48"/>
  <c r="CA538" i="48"/>
  <c r="CA542" i="48"/>
  <c r="CA546" i="48"/>
  <c r="CA550" i="48"/>
  <c r="CA556" i="48"/>
  <c r="CA560" i="48"/>
  <c r="CA564" i="48"/>
  <c r="CA568" i="48"/>
  <c r="CA572" i="48"/>
  <c r="CA578" i="48"/>
  <c r="CA582" i="48"/>
  <c r="CA586" i="48"/>
  <c r="CA590" i="48"/>
  <c r="CA594" i="48"/>
  <c r="CA598" i="48"/>
  <c r="CA1345" i="48"/>
  <c r="CA1288" i="48"/>
  <c r="CA1292" i="48"/>
  <c r="CA1296" i="48"/>
  <c r="CA1300" i="48"/>
  <c r="CA1306" i="48"/>
  <c r="CA1310" i="48"/>
  <c r="CA1314" i="48"/>
  <c r="CA1318" i="48"/>
  <c r="CA1322" i="48"/>
  <c r="CA1328" i="48"/>
  <c r="CA1332" i="48"/>
  <c r="CA1336" i="48"/>
  <c r="CA1340" i="48"/>
  <c r="CA1344" i="48"/>
  <c r="CA1348" i="48"/>
  <c r="CA604" i="48"/>
  <c r="CA608" i="48"/>
  <c r="CA612" i="48"/>
  <c r="CA616" i="48"/>
  <c r="CA620" i="48"/>
  <c r="CA624" i="48"/>
  <c r="CA630" i="48"/>
  <c r="CA634" i="48"/>
  <c r="CA638" i="48"/>
  <c r="CA642" i="48"/>
  <c r="CA646" i="48"/>
  <c r="CA1349" i="48"/>
  <c r="CA11" i="48"/>
  <c r="CA15" i="48"/>
  <c r="CA19" i="48"/>
  <c r="CA23" i="48"/>
  <c r="CA29" i="48"/>
  <c r="CA33" i="48"/>
  <c r="CA37" i="48"/>
  <c r="CA41" i="48"/>
  <c r="CA45" i="48"/>
  <c r="CA49" i="48"/>
  <c r="CA55" i="48"/>
  <c r="CA59" i="48"/>
  <c r="CA63" i="48"/>
  <c r="CA67" i="48"/>
  <c r="CA71" i="48"/>
  <c r="CA75" i="48"/>
  <c r="CA81" i="48"/>
  <c r="CA85" i="48"/>
  <c r="CA89" i="48"/>
  <c r="CA93" i="48"/>
  <c r="CA97" i="48"/>
  <c r="CA103" i="48"/>
  <c r="CA107" i="48"/>
  <c r="CA111" i="48"/>
  <c r="CA115" i="48"/>
  <c r="CA119" i="48"/>
  <c r="CA123" i="48"/>
  <c r="CA129" i="48"/>
  <c r="CA133" i="48"/>
  <c r="CA137" i="48"/>
  <c r="CA141" i="48"/>
  <c r="CA145" i="48"/>
  <c r="CA149" i="48"/>
  <c r="CA155" i="48"/>
  <c r="CA159" i="48"/>
  <c r="CA163" i="48"/>
  <c r="CA167" i="48"/>
  <c r="CA171" i="48"/>
  <c r="CA175" i="48"/>
  <c r="CA181" i="48"/>
  <c r="CA185" i="48"/>
  <c r="CA189" i="48"/>
  <c r="CA193" i="48"/>
  <c r="CA197" i="48"/>
  <c r="CA203" i="48"/>
  <c r="CA207" i="48"/>
  <c r="CA211" i="48"/>
  <c r="CA215" i="48"/>
  <c r="CA219" i="48"/>
  <c r="CA223" i="48"/>
  <c r="CA229" i="48"/>
  <c r="CA233" i="48"/>
  <c r="CA237" i="48"/>
  <c r="CA241" i="48"/>
  <c r="CA245" i="48"/>
  <c r="CA249" i="48"/>
  <c r="CA255" i="48"/>
  <c r="CA259" i="48"/>
  <c r="CA263" i="48"/>
  <c r="CA267" i="48"/>
  <c r="CA271" i="48"/>
  <c r="CA275" i="48"/>
  <c r="CA281" i="48"/>
  <c r="CA285" i="48"/>
  <c r="CA289" i="48"/>
  <c r="CA293" i="48"/>
  <c r="CA297" i="48"/>
  <c r="CA303" i="48"/>
  <c r="CA307" i="48"/>
  <c r="CA311" i="48"/>
  <c r="CA315" i="48"/>
  <c r="CA319" i="48"/>
  <c r="CA323" i="48"/>
  <c r="CA330" i="48"/>
  <c r="CA334" i="48"/>
  <c r="CA338" i="48"/>
  <c r="CA342" i="48"/>
  <c r="CA346" i="48"/>
  <c r="CA350" i="48"/>
  <c r="CA356" i="48"/>
  <c r="CA360" i="48"/>
  <c r="CA364" i="48"/>
  <c r="CA368" i="48"/>
  <c r="CA372" i="48"/>
  <c r="CA378" i="48"/>
  <c r="CA382" i="48"/>
  <c r="CA386" i="48"/>
  <c r="CA390" i="48"/>
  <c r="CA394" i="48"/>
  <c r="CA398" i="48"/>
  <c r="CA404" i="48"/>
  <c r="CA408" i="48"/>
  <c r="CA412" i="48"/>
  <c r="CA416" i="48"/>
  <c r="CA420" i="48"/>
  <c r="CA424" i="48"/>
  <c r="CA430" i="48"/>
  <c r="CA434" i="48"/>
  <c r="CA438" i="48"/>
  <c r="CA442" i="48"/>
  <c r="CA446" i="48"/>
  <c r="CA450" i="48"/>
  <c r="CA456" i="48"/>
  <c r="CA460" i="48"/>
  <c r="CA464" i="48"/>
  <c r="CA468" i="48"/>
  <c r="CA472" i="48"/>
  <c r="CA478" i="48"/>
  <c r="CA482" i="48"/>
  <c r="CA486" i="48"/>
  <c r="CA490" i="48"/>
  <c r="CA494" i="48"/>
  <c r="CA498" i="48"/>
  <c r="CA505" i="48"/>
  <c r="CA509" i="48"/>
  <c r="CA513" i="48"/>
  <c r="CA517" i="48"/>
  <c r="CA521" i="48"/>
  <c r="CA525" i="48"/>
  <c r="CA531" i="48"/>
  <c r="CA535" i="48"/>
  <c r="CA539" i="48"/>
  <c r="CA543" i="48"/>
  <c r="CA547" i="48"/>
  <c r="CA553" i="48"/>
  <c r="CA557" i="48"/>
  <c r="CA561" i="48"/>
  <c r="CA565" i="48"/>
  <c r="CA569" i="48"/>
  <c r="CA573" i="48"/>
  <c r="CA579" i="48"/>
  <c r="CA583" i="48"/>
  <c r="CA587" i="48"/>
  <c r="CA591" i="48"/>
  <c r="CA595" i="48"/>
  <c r="CA599" i="48"/>
  <c r="CA605" i="48"/>
  <c r="CA609" i="48"/>
  <c r="CA613" i="48"/>
  <c r="CA617" i="48"/>
  <c r="CA621" i="48"/>
  <c r="CA625" i="48"/>
  <c r="CA631" i="48"/>
  <c r="CA635" i="48"/>
  <c r="CA639" i="48"/>
  <c r="CA643" i="48"/>
  <c r="CA647" i="48"/>
  <c r="CA653" i="48"/>
  <c r="CA657" i="48"/>
  <c r="CA661" i="48"/>
  <c r="CA665" i="48"/>
  <c r="CA669" i="48"/>
  <c r="CA673" i="48"/>
  <c r="CA679" i="48"/>
  <c r="CA683" i="48"/>
  <c r="CA687" i="48"/>
  <c r="CA691" i="48"/>
  <c r="CA695" i="48"/>
  <c r="CA699" i="48"/>
  <c r="CA705" i="48"/>
  <c r="CA709" i="48"/>
  <c r="CA713" i="48"/>
  <c r="CA717" i="48"/>
  <c r="CA721" i="48"/>
  <c r="CA725" i="48"/>
  <c r="CA731" i="48"/>
  <c r="CA735" i="48"/>
  <c r="CA739" i="48"/>
  <c r="CA743" i="48"/>
  <c r="CA747" i="48"/>
  <c r="CA753" i="48"/>
  <c r="CA757" i="48"/>
  <c r="CA761" i="48"/>
  <c r="CA765" i="48"/>
  <c r="CA769" i="48"/>
  <c r="CA773" i="48"/>
  <c r="CA779" i="48"/>
  <c r="CA783" i="48"/>
  <c r="CA787" i="48"/>
  <c r="CA791" i="48"/>
  <c r="CA795" i="48"/>
  <c r="CA799" i="48"/>
  <c r="CA806" i="48"/>
  <c r="CA810" i="48"/>
  <c r="CA814" i="48"/>
  <c r="CA818" i="48"/>
  <c r="CA822" i="48"/>
  <c r="CA828" i="48"/>
  <c r="CA832" i="48"/>
  <c r="CA836" i="48"/>
  <c r="CA840" i="48"/>
  <c r="CA844" i="48"/>
  <c r="CA848" i="48"/>
  <c r="CA855" i="48"/>
  <c r="CA859" i="48"/>
  <c r="CA863" i="48"/>
  <c r="CA867" i="48"/>
  <c r="CA871" i="48"/>
  <c r="CA875" i="48"/>
  <c r="CA881" i="48"/>
  <c r="CA885" i="48"/>
  <c r="CA889" i="48"/>
  <c r="CA893" i="48"/>
  <c r="CA897" i="48"/>
  <c r="CA903" i="48"/>
  <c r="CA907" i="48"/>
  <c r="CA911" i="48"/>
  <c r="CA915" i="48"/>
  <c r="CA919" i="48"/>
  <c r="CA923" i="48"/>
  <c r="CA929" i="48"/>
  <c r="CA933" i="48"/>
  <c r="CA937" i="48"/>
  <c r="CA1293" i="48"/>
  <c r="CA1297" i="48"/>
  <c r="CA1303" i="48"/>
  <c r="CA1307" i="48"/>
  <c r="CA1311" i="48"/>
  <c r="CA1315" i="48"/>
  <c r="CA1319" i="48"/>
  <c r="CA1323" i="48"/>
  <c r="CA1329" i="48"/>
  <c r="CA1333" i="48"/>
  <c r="CA1337" i="48"/>
  <c r="CA1341" i="48"/>
  <c r="CA941" i="48"/>
  <c r="CA945" i="48"/>
  <c r="CA949" i="48"/>
  <c r="CA955" i="48"/>
  <c r="CA959" i="48"/>
  <c r="CA963" i="48"/>
  <c r="CA967" i="48"/>
  <c r="CA971" i="48"/>
  <c r="CA975" i="48"/>
  <c r="CA981" i="48"/>
  <c r="CA985" i="48"/>
  <c r="CA989" i="48"/>
  <c r="CA993" i="48"/>
  <c r="CA997" i="48"/>
  <c r="CA1003" i="48"/>
  <c r="CA1007" i="48"/>
  <c r="CA1011" i="48"/>
  <c r="CA1015" i="48"/>
  <c r="CA1019" i="48"/>
  <c r="CA1023" i="48"/>
  <c r="CA1029" i="48"/>
  <c r="CA1033" i="48"/>
  <c r="CA1037" i="48"/>
  <c r="CA1041" i="48"/>
  <c r="CA1045" i="48"/>
  <c r="CA1049" i="48"/>
  <c r="CA1055" i="48"/>
  <c r="CA1059" i="48"/>
  <c r="CA1063" i="48"/>
  <c r="CA1067" i="48"/>
  <c r="CA1071" i="48"/>
  <c r="CA1081" i="48"/>
  <c r="CA1085" i="48"/>
  <c r="CA1089" i="48"/>
  <c r="CA1093" i="48"/>
  <c r="CA1097" i="48"/>
  <c r="CA1103" i="48"/>
  <c r="CA1107" i="48"/>
  <c r="CA1111" i="48"/>
  <c r="CA1115" i="48"/>
  <c r="CA1119" i="48"/>
  <c r="CA1123" i="48"/>
  <c r="CA1130" i="48"/>
  <c r="CA1134" i="48"/>
  <c r="CA1138" i="48"/>
  <c r="CA1142" i="48"/>
  <c r="CA1146" i="48"/>
  <c r="CA1150" i="48"/>
  <c r="CA1156" i="48"/>
  <c r="CA1160" i="48"/>
  <c r="CA1164" i="48"/>
  <c r="CA1168" i="48"/>
  <c r="CA1172" i="48"/>
  <c r="CA1178" i="48"/>
  <c r="CA1182" i="48"/>
  <c r="CA1186" i="48"/>
  <c r="CA1190" i="48"/>
  <c r="CA1194" i="48"/>
  <c r="CA1198" i="48"/>
  <c r="CA1204" i="48"/>
  <c r="CA1208" i="48"/>
  <c r="CA1212" i="48"/>
  <c r="CA1216" i="48"/>
  <c r="CA1220" i="48"/>
  <c r="CA1224" i="48"/>
  <c r="CA1230" i="48"/>
  <c r="CA1234" i="48"/>
  <c r="CA1238" i="48"/>
  <c r="CA1242" i="48"/>
  <c r="CA1246" i="48"/>
  <c r="CA1250" i="48"/>
  <c r="CA1256" i="48"/>
  <c r="CA1260" i="48"/>
  <c r="CA1264" i="48"/>
  <c r="CA1268" i="48"/>
  <c r="CA1272" i="48"/>
  <c r="CA1278" i="48"/>
  <c r="CA1282" i="48"/>
  <c r="CA13" i="48"/>
  <c r="CA17" i="48"/>
  <c r="CA21" i="48"/>
  <c r="CA25" i="48"/>
  <c r="CA31" i="48"/>
  <c r="CA35" i="48"/>
  <c r="CA39" i="48"/>
  <c r="CA43" i="48"/>
  <c r="CA47" i="48"/>
  <c r="CA53" i="48"/>
  <c r="CA57" i="48"/>
  <c r="CA61" i="48"/>
  <c r="CA65" i="48"/>
  <c r="CA69" i="48"/>
  <c r="CA73" i="48"/>
  <c r="CA79" i="48"/>
  <c r="CA83" i="48"/>
  <c r="CA87" i="48"/>
  <c r="CA91" i="48"/>
  <c r="CA95" i="48"/>
  <c r="CA99" i="48"/>
  <c r="CA105" i="48"/>
  <c r="CA109" i="48"/>
  <c r="CA113" i="48"/>
  <c r="CA117" i="48"/>
  <c r="CA121" i="48"/>
  <c r="CA125" i="48"/>
  <c r="CA131" i="48"/>
  <c r="CA135" i="48"/>
  <c r="CA139" i="48"/>
  <c r="CA143" i="48"/>
  <c r="CA147" i="48"/>
  <c r="CA153" i="48"/>
  <c r="CA157" i="48"/>
  <c r="CA161" i="48"/>
  <c r="CA165" i="48"/>
  <c r="CA169" i="48"/>
  <c r="CA173" i="48"/>
  <c r="CA179" i="48"/>
  <c r="CA183" i="48"/>
  <c r="CA187" i="48"/>
  <c r="CA191" i="48"/>
  <c r="CA195" i="48"/>
  <c r="CA199" i="48"/>
  <c r="CA205" i="48"/>
  <c r="CA209" i="48"/>
  <c r="CA213" i="48"/>
  <c r="CA217" i="48"/>
  <c r="CA221" i="48"/>
  <c r="CA225" i="48"/>
  <c r="CA231" i="48"/>
  <c r="CA235" i="48"/>
  <c r="CA239" i="48"/>
  <c r="CA243" i="48"/>
  <c r="CA247" i="48"/>
  <c r="CA253" i="48"/>
  <c r="CA257" i="48"/>
  <c r="CA261" i="48"/>
  <c r="CA265" i="48"/>
  <c r="CA269" i="48"/>
  <c r="CA273" i="48"/>
  <c r="CA279" i="48"/>
  <c r="CA283" i="48"/>
  <c r="CA287" i="48"/>
  <c r="CA291" i="48"/>
  <c r="CA295" i="48"/>
  <c r="CA299" i="48"/>
  <c r="CA305" i="48"/>
  <c r="CA309" i="48"/>
  <c r="CA313" i="48"/>
  <c r="CA317" i="48"/>
  <c r="CA321" i="48"/>
  <c r="CA325" i="48"/>
  <c r="CA328" i="48"/>
  <c r="CA332" i="48"/>
  <c r="CA336" i="48"/>
  <c r="CA340" i="48"/>
  <c r="CA344" i="48"/>
  <c r="CA348" i="48"/>
  <c r="CA354" i="48"/>
  <c r="CA358" i="48"/>
  <c r="CA362" i="48"/>
  <c r="CA366" i="48"/>
  <c r="CA370" i="48"/>
  <c r="CA374" i="48"/>
  <c r="CA380" i="48"/>
  <c r="CA384" i="48"/>
  <c r="CA388" i="48"/>
  <c r="CA392" i="48"/>
  <c r="CA396" i="48"/>
  <c r="CA400" i="48"/>
  <c r="CA406" i="48"/>
  <c r="CA410" i="48"/>
  <c r="CA414" i="48"/>
  <c r="CA418" i="48"/>
  <c r="CA422" i="48"/>
  <c r="CA428" i="48"/>
  <c r="CA432" i="48"/>
  <c r="CA436" i="48"/>
  <c r="CA440" i="48"/>
  <c r="CA444" i="48"/>
  <c r="CA448" i="48"/>
  <c r="CA454" i="48"/>
  <c r="CA458" i="48"/>
  <c r="CA462" i="48"/>
  <c r="CA466" i="48"/>
  <c r="CA470" i="48"/>
  <c r="CA474" i="48"/>
  <c r="CA480" i="48"/>
  <c r="CA484" i="48"/>
  <c r="CA488" i="48"/>
  <c r="CA492" i="48"/>
  <c r="CA496" i="48"/>
  <c r="CA500" i="48"/>
  <c r="CA503" i="48"/>
  <c r="CA507" i="48"/>
  <c r="CA511" i="48"/>
  <c r="CA515" i="48"/>
  <c r="CA519" i="48"/>
  <c r="CA523" i="48"/>
  <c r="CA529" i="48"/>
  <c r="CA533" i="48"/>
  <c r="CA537" i="48"/>
  <c r="CA541" i="48"/>
  <c r="CA545" i="48"/>
  <c r="CA549" i="48"/>
  <c r="CA555" i="48"/>
  <c r="CA559" i="48"/>
  <c r="CA563" i="48"/>
  <c r="CA567" i="48"/>
  <c r="CA571" i="48"/>
  <c r="CA575" i="48"/>
  <c r="CA581" i="48"/>
  <c r="CA585" i="48"/>
  <c r="CA589" i="48"/>
  <c r="CA593" i="48"/>
  <c r="CA597" i="48"/>
  <c r="CA603" i="48"/>
  <c r="CA607" i="48"/>
  <c r="CA611" i="48"/>
  <c r="CA615" i="48"/>
  <c r="CA619" i="48"/>
  <c r="CA623" i="48"/>
  <c r="CA629" i="48"/>
  <c r="CA633" i="48"/>
  <c r="CA637" i="48"/>
  <c r="CA641" i="48"/>
  <c r="CA645" i="48"/>
  <c r="CA649" i="48"/>
  <c r="CA655" i="48"/>
  <c r="CA659" i="48"/>
  <c r="CA663" i="48"/>
  <c r="CA667" i="48"/>
  <c r="CA671" i="48"/>
  <c r="CA675" i="48"/>
  <c r="CA681" i="48"/>
  <c r="CA685" i="48"/>
  <c r="CA12" i="48"/>
  <c r="CA16" i="48"/>
  <c r="CA20" i="48"/>
  <c r="CA24" i="48"/>
  <c r="CA30" i="48"/>
  <c r="CA34" i="48"/>
  <c r="CA38" i="48"/>
  <c r="CA42" i="48"/>
  <c r="CA46" i="48"/>
  <c r="CA50" i="48"/>
  <c r="CA56" i="48"/>
  <c r="CA60" i="48"/>
  <c r="CA64" i="48"/>
  <c r="CA68" i="48"/>
  <c r="CA72" i="48"/>
  <c r="CA82" i="48"/>
  <c r="CA86" i="48"/>
  <c r="CA90" i="48"/>
  <c r="CA94" i="48"/>
  <c r="CA98" i="48"/>
  <c r="CA104" i="48"/>
  <c r="CA108" i="48"/>
  <c r="CA112" i="48"/>
  <c r="CA116" i="48"/>
  <c r="CA120" i="48"/>
  <c r="CA124" i="48"/>
  <c r="CA130" i="48"/>
  <c r="CA134" i="48"/>
  <c r="CA138" i="48"/>
  <c r="CA142" i="48"/>
  <c r="CA146" i="48"/>
  <c r="CA150" i="48"/>
  <c r="CA156" i="48"/>
  <c r="CA160" i="48"/>
  <c r="CA164" i="48"/>
  <c r="CA168" i="48"/>
  <c r="CA172" i="48"/>
  <c r="CA178" i="48"/>
  <c r="CA182" i="48"/>
  <c r="CA186" i="48"/>
  <c r="CA190" i="48"/>
  <c r="CA194" i="48"/>
  <c r="CA198" i="48"/>
  <c r="CA204" i="48"/>
  <c r="CA208" i="48"/>
  <c r="CA212" i="48"/>
  <c r="CA216" i="48"/>
  <c r="CA220" i="48"/>
  <c r="CA224" i="48"/>
  <c r="CA230" i="48"/>
  <c r="CA234" i="48"/>
  <c r="CA238" i="48"/>
  <c r="CA242" i="48"/>
  <c r="CA246" i="48"/>
  <c r="CA256" i="48"/>
  <c r="CA260" i="48"/>
  <c r="CA264" i="48"/>
  <c r="CA268" i="48"/>
  <c r="CA272" i="48"/>
  <c r="CA278" i="48"/>
  <c r="CA282" i="48"/>
  <c r="CA286" i="48"/>
  <c r="CA290" i="48"/>
  <c r="CA294" i="48"/>
  <c r="CA298" i="48"/>
  <c r="CA304" i="48"/>
  <c r="CA308" i="48"/>
  <c r="CA312" i="48"/>
  <c r="CA316" i="48"/>
  <c r="CA320" i="48"/>
  <c r="CA324" i="48"/>
  <c r="CA331" i="48"/>
  <c r="CA335" i="48"/>
  <c r="CA339" i="48"/>
  <c r="CA343" i="48"/>
  <c r="CA347" i="48"/>
  <c r="CA353" i="48"/>
  <c r="CA357" i="48"/>
  <c r="CA361" i="48"/>
  <c r="CA365" i="48"/>
  <c r="CA369" i="48"/>
  <c r="CA373" i="48"/>
  <c r="CA379" i="48"/>
  <c r="CA383" i="48"/>
  <c r="CA387" i="48"/>
  <c r="CA391" i="48"/>
  <c r="CA395" i="48"/>
  <c r="CA399" i="48"/>
  <c r="CA405" i="48"/>
  <c r="CA409" i="48"/>
  <c r="CA413" i="48"/>
  <c r="CA417" i="48"/>
  <c r="CA421" i="48"/>
  <c r="CA425" i="48"/>
  <c r="CA431" i="48"/>
  <c r="CA435" i="48"/>
  <c r="CA439" i="48"/>
  <c r="CA443" i="48"/>
  <c r="CA447" i="48"/>
  <c r="CA453" i="48"/>
  <c r="CA457" i="48"/>
  <c r="CA461" i="48"/>
  <c r="CA465" i="48"/>
  <c r="CA469" i="48"/>
  <c r="CA473" i="48"/>
  <c r="CA479" i="48"/>
  <c r="CA483" i="48"/>
  <c r="CA487" i="48"/>
  <c r="CA491" i="48"/>
  <c r="CA495" i="48"/>
  <c r="CA499" i="48"/>
  <c r="CA506" i="48"/>
  <c r="CA510" i="48"/>
  <c r="CA514" i="48"/>
  <c r="CA518" i="48"/>
  <c r="CA522" i="48"/>
  <c r="CA528" i="48"/>
  <c r="CA532" i="48"/>
  <c r="CA536" i="48"/>
  <c r="CA540" i="48"/>
  <c r="CA544" i="48"/>
  <c r="CA548" i="48"/>
  <c r="CA554" i="48"/>
  <c r="CA558" i="48"/>
  <c r="CA562" i="48"/>
  <c r="CA566" i="48"/>
  <c r="CA570" i="48"/>
  <c r="CA574" i="48"/>
  <c r="CA580" i="48"/>
  <c r="CA584" i="48"/>
  <c r="CA588" i="48"/>
  <c r="CA592" i="48"/>
  <c r="CA596" i="48"/>
  <c r="CA600" i="48"/>
  <c r="CA606" i="48"/>
  <c r="CA610" i="48"/>
  <c r="CA614" i="48"/>
  <c r="CA618" i="48"/>
  <c r="CA622" i="48"/>
  <c r="CA628" i="48"/>
  <c r="CA632" i="48"/>
  <c r="CA636" i="48"/>
  <c r="CA640" i="48"/>
  <c r="CA689" i="48"/>
  <c r="CA693" i="48"/>
  <c r="CA697" i="48"/>
  <c r="CA703" i="48"/>
  <c r="CA707" i="48"/>
  <c r="CA711" i="48"/>
  <c r="CA715" i="48"/>
  <c r="CA719" i="48"/>
  <c r="CA723" i="48"/>
  <c r="CA729" i="48"/>
  <c r="CA733" i="48"/>
  <c r="CA737" i="48"/>
  <c r="CA741" i="48"/>
  <c r="CA745" i="48"/>
  <c r="CA749" i="48"/>
  <c r="CA755" i="48"/>
  <c r="CA759" i="48"/>
  <c r="CA763" i="48"/>
  <c r="CA767" i="48"/>
  <c r="CA771" i="48"/>
  <c r="CA775" i="48"/>
  <c r="CA781" i="48"/>
  <c r="CA785" i="48"/>
  <c r="CA789" i="48"/>
  <c r="CA793" i="48"/>
  <c r="CA797" i="48"/>
  <c r="CA804" i="48"/>
  <c r="CA808" i="48"/>
  <c r="CA812" i="48"/>
  <c r="CA816" i="48"/>
  <c r="CA820" i="48"/>
  <c r="CA824" i="48"/>
  <c r="CA830" i="48"/>
  <c r="CA834" i="48"/>
  <c r="CA838" i="48"/>
  <c r="CA842" i="48"/>
  <c r="CA846" i="48"/>
  <c r="CA850" i="48"/>
  <c r="CA853" i="48"/>
  <c r="CA857" i="48"/>
  <c r="CA861" i="48"/>
  <c r="CA865" i="48"/>
  <c r="CA869" i="48"/>
  <c r="CA873" i="48"/>
  <c r="CA879" i="48"/>
  <c r="CA883" i="48"/>
  <c r="CA887" i="48"/>
  <c r="CA891" i="48"/>
  <c r="CA895" i="48"/>
  <c r="CA899" i="48"/>
  <c r="CA905" i="48"/>
  <c r="CA909" i="48"/>
  <c r="CA913" i="48"/>
  <c r="CA917" i="48"/>
  <c r="CA921" i="48"/>
  <c r="CA925" i="48"/>
  <c r="CA931" i="48"/>
  <c r="CA935" i="48"/>
  <c r="CA939" i="48"/>
  <c r="CA943" i="48"/>
  <c r="CA947" i="48"/>
  <c r="CA953" i="48"/>
  <c r="CA957" i="48"/>
  <c r="CA961" i="48"/>
  <c r="CA965" i="48"/>
  <c r="CA969" i="48"/>
  <c r="CA973" i="48"/>
  <c r="CA979" i="48"/>
  <c r="CA983" i="48"/>
  <c r="CA987" i="48"/>
  <c r="CA991" i="48"/>
  <c r="CA995" i="48"/>
  <c r="CA999" i="48"/>
  <c r="CA1005" i="48"/>
  <c r="CA650" i="48"/>
  <c r="CA656" i="48"/>
  <c r="CA660" i="48"/>
  <c r="CA664" i="48"/>
  <c r="CA668" i="48"/>
  <c r="CA672" i="48"/>
  <c r="CA678" i="48"/>
  <c r="CA682" i="48"/>
  <c r="CA686" i="48"/>
  <c r="CA690" i="48"/>
  <c r="CA694" i="48"/>
  <c r="CA698" i="48"/>
  <c r="CA704" i="48"/>
  <c r="CA708" i="48"/>
  <c r="CA712" i="48"/>
  <c r="CA716" i="48"/>
  <c r="CA720" i="48"/>
  <c r="CA724" i="48"/>
  <c r="CA730" i="48"/>
  <c r="CA734" i="48"/>
  <c r="CA738" i="48"/>
  <c r="CA742" i="48"/>
  <c r="CA746" i="48"/>
  <c r="CA750" i="48"/>
  <c r="CA756" i="48"/>
  <c r="CA760" i="48"/>
  <c r="CA764" i="48"/>
  <c r="CA768" i="48"/>
  <c r="CA772" i="48"/>
  <c r="CA778" i="48"/>
  <c r="CA782" i="48"/>
  <c r="CA786" i="48"/>
  <c r="CA790" i="48"/>
  <c r="CA794" i="48"/>
  <c r="CA798" i="48"/>
  <c r="CA805" i="48"/>
  <c r="CA809" i="48"/>
  <c r="CA813" i="48"/>
  <c r="CA817" i="48"/>
  <c r="CA821" i="48"/>
  <c r="CA825" i="48"/>
  <c r="CA831" i="48"/>
  <c r="CA835" i="48"/>
  <c r="CA839" i="48"/>
  <c r="CA843" i="48"/>
  <c r="CA847" i="48"/>
  <c r="CA854" i="48"/>
  <c r="CA858" i="48"/>
  <c r="CA862" i="48"/>
  <c r="CA866" i="48"/>
  <c r="CA870" i="48"/>
  <c r="CA874" i="48"/>
  <c r="CA880" i="48"/>
  <c r="CA884" i="48"/>
  <c r="CA888" i="48"/>
  <c r="CA892" i="48"/>
  <c r="CA896" i="48"/>
  <c r="CA900" i="48"/>
  <c r="CA906" i="48"/>
  <c r="CA910" i="48"/>
  <c r="CA914" i="48"/>
  <c r="CA918" i="48"/>
  <c r="CA922" i="48"/>
  <c r="CA928" i="48"/>
  <c r="CA932" i="48"/>
  <c r="CA936" i="48"/>
  <c r="CA940" i="48"/>
  <c r="CA944" i="48"/>
  <c r="CA644" i="48"/>
  <c r="CA648" i="48"/>
  <c r="CA654" i="48"/>
  <c r="CA658" i="48"/>
  <c r="CA662" i="48"/>
  <c r="CA666" i="48"/>
  <c r="CA670" i="48"/>
  <c r="CA674" i="48"/>
  <c r="CA680" i="48"/>
  <c r="CA684" i="48"/>
  <c r="CA688" i="48"/>
  <c r="CA692" i="48"/>
  <c r="CA696" i="48"/>
  <c r="CA700" i="48"/>
  <c r="CA706" i="48"/>
  <c r="CA710" i="48"/>
  <c r="CA714" i="48"/>
  <c r="CA718" i="48"/>
  <c r="CA722" i="48"/>
  <c r="CA728" i="48"/>
  <c r="CA732" i="48"/>
  <c r="CA736" i="48"/>
  <c r="CA740" i="48"/>
  <c r="CA744" i="48"/>
  <c r="CA748" i="48"/>
  <c r="CA754" i="48"/>
  <c r="CA758" i="48"/>
  <c r="CA762" i="48"/>
  <c r="CA766" i="48"/>
  <c r="CA770" i="48"/>
  <c r="CA774" i="48"/>
  <c r="CA780" i="48"/>
  <c r="CA784" i="48"/>
  <c r="CA788" i="48"/>
  <c r="CA792" i="48"/>
  <c r="CA796" i="48"/>
  <c r="CA800" i="48"/>
  <c r="CA803" i="48"/>
  <c r="CA807" i="48"/>
  <c r="CA811" i="48"/>
  <c r="CA815" i="48"/>
  <c r="CA819" i="48"/>
  <c r="CA823" i="48"/>
  <c r="CA829" i="48"/>
  <c r="CA833" i="48"/>
  <c r="CA837" i="48"/>
  <c r="CA841" i="48"/>
  <c r="CA845" i="48"/>
  <c r="CA849" i="48"/>
  <c r="CA856" i="48"/>
  <c r="CA860" i="48"/>
  <c r="CA864" i="48"/>
  <c r="CA868" i="48"/>
  <c r="CA872" i="48"/>
  <c r="CA878" i="48"/>
  <c r="CA882" i="48"/>
  <c r="CA886" i="48"/>
  <c r="CA890" i="48"/>
  <c r="CA894" i="48"/>
  <c r="CA898" i="48"/>
  <c r="CA904" i="48"/>
  <c r="CA908" i="48"/>
  <c r="CA912" i="48"/>
  <c r="CA916" i="48"/>
  <c r="CA920" i="48"/>
  <c r="CA924" i="48"/>
  <c r="CA930" i="48"/>
  <c r="CA934" i="48"/>
  <c r="CA938" i="48"/>
  <c r="CA942" i="48"/>
  <c r="CA1009" i="48"/>
  <c r="CA1013" i="48"/>
  <c r="CA1017" i="48"/>
  <c r="CA1021" i="48"/>
  <c r="CA1025" i="48"/>
  <c r="CA1031" i="48"/>
  <c r="CA1035" i="48"/>
  <c r="CA1039" i="48"/>
  <c r="CA1043" i="48"/>
  <c r="CA1047" i="48"/>
  <c r="CA1053" i="48"/>
  <c r="CA1057" i="48"/>
  <c r="CA1061" i="48"/>
  <c r="CA1065" i="48"/>
  <c r="CA1069" i="48"/>
  <c r="CA1073" i="48"/>
  <c r="CA1083" i="48"/>
  <c r="CA1087" i="48"/>
  <c r="CA1091" i="48"/>
  <c r="CA1095" i="48"/>
  <c r="CA1099" i="48"/>
  <c r="CA1105" i="48"/>
  <c r="CA1109" i="48"/>
  <c r="CA1113" i="48"/>
  <c r="CA1117" i="48"/>
  <c r="CA1121" i="48"/>
  <c r="CA1125" i="48"/>
  <c r="CA1128" i="48"/>
  <c r="CA1132" i="48"/>
  <c r="CA1136" i="48"/>
  <c r="CA1140" i="48"/>
  <c r="CA1144" i="48"/>
  <c r="CA1148" i="48"/>
  <c r="CA1154" i="48"/>
  <c r="CA1158" i="48"/>
  <c r="CA1162" i="48"/>
  <c r="CA1166" i="48"/>
  <c r="CA1170" i="48"/>
  <c r="CA1174" i="48"/>
  <c r="CA1180" i="48"/>
  <c r="CA1184" i="48"/>
  <c r="CA1188" i="48"/>
  <c r="CA1192" i="48"/>
  <c r="CA1196" i="48"/>
  <c r="CA1200" i="48"/>
  <c r="CA1206" i="48"/>
  <c r="CA1210" i="48"/>
  <c r="CA1214" i="48"/>
  <c r="CA1218" i="48"/>
  <c r="CA1222" i="48"/>
  <c r="CA1228" i="48"/>
  <c r="CA1232" i="48"/>
  <c r="CA1236" i="48"/>
  <c r="CA1240" i="48"/>
  <c r="CA1244" i="48"/>
  <c r="CA1248" i="48"/>
  <c r="CA1254" i="48"/>
  <c r="CA1258" i="48"/>
  <c r="CA1262" i="48"/>
  <c r="CA1266" i="48"/>
  <c r="CA1270" i="48"/>
  <c r="CA1274" i="48"/>
  <c r="CA1280" i="48"/>
  <c r="CA1284" i="48"/>
  <c r="CA948" i="48"/>
  <c r="CA954" i="48"/>
  <c r="CA958" i="48"/>
  <c r="CA962" i="48"/>
  <c r="CA966" i="48"/>
  <c r="CA970" i="48"/>
  <c r="CA974" i="48"/>
  <c r="CA980" i="48"/>
  <c r="CA984" i="48"/>
  <c r="CA988" i="48"/>
  <c r="CA992" i="48"/>
  <c r="CA996" i="48"/>
  <c r="CA1000" i="48"/>
  <c r="CA1006" i="48"/>
  <c r="CA1010" i="48"/>
  <c r="CA1014" i="48"/>
  <c r="CA1018" i="48"/>
  <c r="CA1022" i="48"/>
  <c r="CA1028" i="48"/>
  <c r="CA1032" i="48"/>
  <c r="CA1036" i="48"/>
  <c r="CA1040" i="48"/>
  <c r="CA1044" i="48"/>
  <c r="CA1048" i="48"/>
  <c r="CA1054" i="48"/>
  <c r="CA1058" i="48"/>
  <c r="CA1062" i="48"/>
  <c r="CA1066" i="48"/>
  <c r="CA1070" i="48"/>
  <c r="CA1074" i="48"/>
  <c r="CA1080" i="48"/>
  <c r="CA1084" i="48"/>
  <c r="CA1088" i="48"/>
  <c r="CA1092" i="48"/>
  <c r="CA1096" i="48"/>
  <c r="CA1100" i="48"/>
  <c r="CA1106" i="48"/>
  <c r="CA1110" i="48"/>
  <c r="CA1114" i="48"/>
  <c r="CA1118" i="48"/>
  <c r="CA1122" i="48"/>
  <c r="CA1129" i="48"/>
  <c r="CA1133" i="48"/>
  <c r="CA1137" i="48"/>
  <c r="CA1141" i="48"/>
  <c r="CA1145" i="48"/>
  <c r="CA1149" i="48"/>
  <c r="CA1155" i="48"/>
  <c r="CA1159" i="48"/>
  <c r="CA1163" i="48"/>
  <c r="CA1167" i="48"/>
  <c r="CA1171" i="48"/>
  <c r="CA1175" i="48"/>
  <c r="CA1181" i="48"/>
  <c r="CA1185" i="48"/>
  <c r="CA1189" i="48"/>
  <c r="CA1193" i="48"/>
  <c r="CA1197" i="48"/>
  <c r="CA1203" i="48"/>
  <c r="CA1207" i="48"/>
  <c r="CA1211" i="48"/>
  <c r="CA1215" i="48"/>
  <c r="CA1219" i="48"/>
  <c r="CA1223" i="48"/>
  <c r="CA1229" i="48"/>
  <c r="CA1233" i="48"/>
  <c r="CA1237" i="48"/>
  <c r="CA1241" i="48"/>
  <c r="CA1245" i="48"/>
  <c r="CA1249" i="48"/>
  <c r="CA1255" i="48"/>
  <c r="CA1259" i="48"/>
  <c r="CA1263" i="48"/>
  <c r="CA1267" i="48"/>
  <c r="CA1271" i="48"/>
  <c r="CA1275" i="48"/>
  <c r="CA1281" i="48"/>
  <c r="CA1285" i="48"/>
  <c r="CA1289" i="48"/>
  <c r="CA946" i="48"/>
  <c r="CA950" i="48"/>
  <c r="CA956" i="48"/>
  <c r="CA960" i="48"/>
  <c r="CA964" i="48"/>
  <c r="CA968" i="48"/>
  <c r="CA972" i="48"/>
  <c r="CA978" i="48"/>
  <c r="CA982" i="48"/>
  <c r="CA986" i="48"/>
  <c r="CA990" i="48"/>
  <c r="CA994" i="48"/>
  <c r="CA998" i="48"/>
  <c r="CA1004" i="48"/>
  <c r="CA1008" i="48"/>
  <c r="CA1012" i="48"/>
  <c r="CA1016" i="48"/>
  <c r="CA1020" i="48"/>
  <c r="CA1024" i="48"/>
  <c r="CA1030" i="48"/>
  <c r="CA1034" i="48"/>
  <c r="CA1038" i="48"/>
  <c r="CA1042" i="48"/>
  <c r="CA1046" i="48"/>
  <c r="CA1050" i="48"/>
  <c r="CA1056" i="48"/>
  <c r="CA1060" i="48"/>
  <c r="CA1064" i="48"/>
  <c r="CA1068" i="48"/>
  <c r="CA1072" i="48"/>
  <c r="CA1078" i="48"/>
  <c r="CA1082" i="48"/>
  <c r="CA1086" i="48"/>
  <c r="CA1090" i="48"/>
  <c r="CA1094" i="48"/>
  <c r="CA1098" i="48"/>
  <c r="CA1104" i="48"/>
  <c r="CA1108" i="48"/>
  <c r="CA1112" i="48"/>
  <c r="CA1116" i="48"/>
  <c r="CA1120" i="48"/>
  <c r="CA1124" i="48"/>
  <c r="CA1131" i="48"/>
  <c r="CA1135" i="48"/>
  <c r="CA1139" i="48"/>
  <c r="CA1143" i="48"/>
  <c r="CA1147" i="48"/>
  <c r="CA1153" i="48"/>
  <c r="CA1157" i="48"/>
  <c r="CA1161" i="48"/>
  <c r="CA1165" i="48"/>
  <c r="CA1169" i="48"/>
  <c r="CA1173" i="48"/>
  <c r="CA1179" i="48"/>
  <c r="CA1183" i="48"/>
  <c r="CA1187" i="48"/>
  <c r="CA1191" i="48"/>
  <c r="CA1195" i="48"/>
  <c r="CA1199" i="48"/>
  <c r="CA1205" i="48"/>
  <c r="CA1209" i="48"/>
  <c r="CA1213" i="48"/>
  <c r="CA1217" i="48"/>
  <c r="CA1221" i="48"/>
  <c r="CA1225" i="48"/>
  <c r="CA1231" i="48"/>
  <c r="CA1235" i="48"/>
  <c r="CA1239" i="48"/>
  <c r="CA1243" i="48"/>
  <c r="CA1247" i="48"/>
  <c r="CA1253" i="48"/>
  <c r="CA1257" i="48"/>
  <c r="CA1261" i="48"/>
  <c r="CA1265" i="48"/>
  <c r="CA1269" i="48"/>
  <c r="CA1273" i="48"/>
  <c r="CA1279" i="48"/>
  <c r="CA1283" i="48"/>
  <c r="CA1287" i="48"/>
  <c r="CA1291" i="48"/>
  <c r="CA1295" i="48"/>
  <c r="CA1299" i="48"/>
  <c r="CA1305" i="48"/>
  <c r="CA1309" i="48"/>
  <c r="CA1313" i="48"/>
  <c r="CA1317" i="48"/>
  <c r="CA1321" i="48"/>
  <c r="CA1325" i="48"/>
  <c r="CA1331" i="48"/>
  <c r="CA1335" i="48"/>
  <c r="CA1339" i="48"/>
  <c r="CA1343" i="48"/>
  <c r="CA1347" i="48"/>
  <c r="DD24" i="48"/>
  <c r="CW24" i="48" s="1"/>
  <c r="DD21" i="48"/>
  <c r="CW21" i="48" s="1"/>
  <c r="DD22" i="48"/>
  <c r="CW22" i="48" s="1"/>
  <c r="DD16" i="48"/>
  <c r="CW16" i="48" s="1"/>
  <c r="DD11" i="48"/>
  <c r="CW11" i="48" s="1"/>
  <c r="DD25" i="48"/>
  <c r="CW25" i="48" s="1"/>
  <c r="DD20" i="48"/>
  <c r="CW20" i="48" s="1"/>
  <c r="DD19" i="48"/>
  <c r="CW19" i="48" s="1"/>
  <c r="DD13" i="48"/>
  <c r="CW13" i="48" s="1"/>
  <c r="DD15" i="48"/>
  <c r="CW15" i="48" s="1"/>
  <c r="DD23" i="48"/>
  <c r="CW23" i="48" s="1"/>
  <c r="DD17" i="48"/>
  <c r="CW17" i="48" s="1"/>
  <c r="DD12" i="48"/>
  <c r="CW12" i="48" s="1"/>
  <c r="DD14" i="48"/>
  <c r="CW14" i="48" s="1"/>
  <c r="DD18" i="48"/>
  <c r="CW18" i="48" s="1"/>
  <c r="CR2" i="48" l="1"/>
  <c r="CV1175" i="48"/>
  <c r="CX1175" i="48"/>
  <c r="CW1175" i="48"/>
  <c r="CX387" i="48"/>
  <c r="CW387" i="48"/>
  <c r="CV387" i="48"/>
  <c r="CW444" i="48"/>
  <c r="CX444" i="48"/>
  <c r="CV444" i="48"/>
  <c r="CX1095" i="48"/>
  <c r="CW1095" i="48"/>
  <c r="CV1095" i="48"/>
  <c r="CX465" i="48"/>
  <c r="CV465" i="48"/>
  <c r="CW465" i="48"/>
  <c r="CW947" i="48"/>
  <c r="CV947" i="48"/>
  <c r="CX947" i="48"/>
  <c r="CW891" i="48"/>
  <c r="CV891" i="48"/>
  <c r="CX891" i="48"/>
  <c r="CV793" i="48"/>
  <c r="CX793" i="48"/>
  <c r="CW793" i="48"/>
  <c r="CV975" i="48"/>
  <c r="CX975" i="48"/>
  <c r="CW975" i="48"/>
  <c r="CX1143" i="48"/>
  <c r="CW1143" i="48"/>
  <c r="CV1143" i="48"/>
  <c r="CX88" i="48"/>
  <c r="CW88" i="48"/>
  <c r="CV88" i="48"/>
  <c r="CX818" i="48"/>
  <c r="CV818" i="48"/>
  <c r="CW818" i="48"/>
  <c r="CV1270" i="48"/>
  <c r="CX1270" i="48"/>
  <c r="CW1270" i="48"/>
  <c r="CW1086" i="48"/>
  <c r="CV1086" i="48"/>
  <c r="CX1086" i="48"/>
  <c r="CX750" i="48"/>
  <c r="CW750" i="48"/>
  <c r="CV750" i="48"/>
  <c r="CW725" i="48"/>
  <c r="CV725" i="48"/>
  <c r="CX725" i="48"/>
  <c r="CV892" i="48"/>
  <c r="CX892" i="48"/>
  <c r="CW892" i="48"/>
  <c r="CW275" i="48"/>
  <c r="CV275" i="48"/>
  <c r="CX275" i="48"/>
  <c r="CW216" i="48"/>
  <c r="CV216" i="48"/>
  <c r="CX216" i="48"/>
  <c r="CV890" i="48"/>
  <c r="CX890" i="48"/>
  <c r="CW890" i="48"/>
  <c r="CV73" i="48"/>
  <c r="CX73" i="48"/>
  <c r="CW73" i="48"/>
  <c r="CW1088" i="48"/>
  <c r="CX1088" i="48"/>
  <c r="CV1088" i="48"/>
  <c r="CX388" i="48"/>
  <c r="CW388" i="48"/>
  <c r="CV388" i="48"/>
  <c r="CX647" i="48"/>
  <c r="CW647" i="48"/>
  <c r="CV647" i="48"/>
  <c r="CV417" i="48"/>
  <c r="CW417" i="48"/>
  <c r="CX417" i="48"/>
  <c r="CW1011" i="48"/>
  <c r="CV1011" i="48"/>
  <c r="CX1011" i="48"/>
  <c r="CW97" i="48"/>
  <c r="CV97" i="48"/>
  <c r="CX97" i="48"/>
  <c r="CW64" i="48"/>
  <c r="CV64" i="48"/>
  <c r="CX64" i="48"/>
  <c r="CW668" i="48"/>
  <c r="CV668" i="48"/>
  <c r="CX668" i="48"/>
  <c r="CX992" i="48"/>
  <c r="CW992" i="48"/>
  <c r="CV992" i="48"/>
  <c r="CX1073" i="48"/>
  <c r="CW1073" i="48"/>
  <c r="CV1073" i="48"/>
  <c r="CX917" i="48"/>
  <c r="CW917" i="48"/>
  <c r="CV917" i="48"/>
  <c r="CV161" i="48"/>
  <c r="CX161" i="48"/>
  <c r="CW161" i="48"/>
  <c r="CX364" i="48"/>
  <c r="CV364" i="48"/>
  <c r="CW364" i="48"/>
  <c r="CW900" i="48"/>
  <c r="CV900" i="48"/>
  <c r="CX900" i="48"/>
  <c r="CW664" i="48"/>
  <c r="CV664" i="48"/>
  <c r="CX664" i="48"/>
  <c r="CV886" i="48"/>
  <c r="CX886" i="48"/>
  <c r="CW886" i="48"/>
  <c r="CX68" i="48"/>
  <c r="CV68" i="48"/>
  <c r="CW68" i="48"/>
  <c r="CV841" i="48"/>
  <c r="CX841" i="48"/>
  <c r="CW841" i="48"/>
  <c r="CV1250" i="48"/>
  <c r="CX1250" i="48"/>
  <c r="CW1250" i="48"/>
  <c r="CX118" i="48"/>
  <c r="CW118" i="48"/>
  <c r="CV118" i="48"/>
  <c r="CX1165" i="48"/>
  <c r="CW1165" i="48"/>
  <c r="CV1165" i="48"/>
  <c r="CX938" i="48"/>
  <c r="CW938" i="48"/>
  <c r="CV938" i="48"/>
  <c r="CW899" i="48"/>
  <c r="CV899" i="48"/>
  <c r="CX899" i="48"/>
  <c r="CX643" i="48"/>
  <c r="CW643" i="48"/>
  <c r="CV643" i="48"/>
  <c r="CW887" i="48"/>
  <c r="CV887" i="48"/>
  <c r="CX887" i="48"/>
  <c r="CW520" i="48"/>
  <c r="CV520" i="48"/>
  <c r="CX520" i="48"/>
  <c r="CX541" i="48"/>
  <c r="CW541" i="48"/>
  <c r="CV541" i="48"/>
  <c r="CX497" i="48"/>
  <c r="CW497" i="48"/>
  <c r="CV497" i="48"/>
  <c r="CX396" i="48"/>
  <c r="CW396" i="48"/>
  <c r="CV396" i="48"/>
  <c r="CV521" i="48"/>
  <c r="CX521" i="48"/>
  <c r="CW521" i="48"/>
  <c r="CX969" i="48"/>
  <c r="CW969" i="48"/>
  <c r="CV969" i="48"/>
  <c r="CW566" i="48"/>
  <c r="CV566" i="48"/>
  <c r="CX566" i="48"/>
  <c r="CX119" i="48"/>
  <c r="CW119" i="48"/>
  <c r="CV119" i="48"/>
  <c r="CX90" i="48"/>
  <c r="CW90" i="48"/>
  <c r="CV90" i="48"/>
  <c r="CW893" i="48"/>
  <c r="CV893" i="48"/>
  <c r="CX893" i="48"/>
  <c r="CW462" i="48"/>
  <c r="CV462" i="48"/>
  <c r="CX462" i="48"/>
  <c r="CW1096" i="48"/>
  <c r="CV1096" i="48"/>
  <c r="CX1096" i="48"/>
  <c r="CX996" i="48"/>
  <c r="CW996" i="48"/>
  <c r="CV996" i="48"/>
  <c r="CX173" i="48"/>
  <c r="CW173" i="48"/>
  <c r="CV173" i="48"/>
  <c r="CV761" i="48"/>
  <c r="CX761" i="48"/>
  <c r="CW761" i="48"/>
  <c r="CV697" i="48"/>
  <c r="CX697" i="48"/>
  <c r="CW697" i="48"/>
  <c r="CX1038" i="48"/>
  <c r="CV1038" i="48"/>
  <c r="CW1038" i="48"/>
  <c r="CV94" i="48"/>
  <c r="CX94" i="48"/>
  <c r="CW94" i="48"/>
  <c r="CV169" i="48"/>
  <c r="CX169" i="48"/>
  <c r="CW169" i="48"/>
  <c r="CX1036" i="48"/>
  <c r="CW1036" i="48"/>
  <c r="CV1036" i="48"/>
  <c r="CX1187" i="48"/>
  <c r="CV1187" i="48"/>
  <c r="CW1187" i="48"/>
  <c r="CW463" i="48"/>
  <c r="CX463" i="48"/>
  <c r="CV463" i="48"/>
  <c r="CV249" i="48"/>
  <c r="CX249" i="48"/>
  <c r="CW249" i="48"/>
  <c r="CX911" i="48"/>
  <c r="CW911" i="48"/>
  <c r="CV911" i="48"/>
  <c r="CX1213" i="48"/>
  <c r="CW1213" i="48"/>
  <c r="CV1213" i="48"/>
  <c r="CX961" i="48"/>
  <c r="CW961" i="48"/>
  <c r="CV961" i="48"/>
  <c r="CX447" i="48"/>
  <c r="CV447" i="48"/>
  <c r="CW447" i="48"/>
  <c r="CX186" i="48"/>
  <c r="CW186" i="48"/>
  <c r="CV186" i="48"/>
  <c r="CX1093" i="48"/>
  <c r="CW1093" i="48"/>
  <c r="CV1093" i="48"/>
  <c r="CX197" i="48"/>
  <c r="CW197" i="48"/>
  <c r="CV197" i="48"/>
  <c r="CX1069" i="48"/>
  <c r="CW1069" i="48"/>
  <c r="CV1069" i="48"/>
  <c r="CX1071" i="48"/>
  <c r="CW1071" i="48"/>
  <c r="CV1071" i="48"/>
  <c r="CX1019" i="48"/>
  <c r="CW1019" i="48"/>
  <c r="CV1019" i="48"/>
  <c r="CX618" i="48"/>
  <c r="CW618" i="48"/>
  <c r="CV618" i="48"/>
  <c r="CV687" i="48"/>
  <c r="CX687" i="48"/>
  <c r="CW687" i="48"/>
  <c r="CV221" i="48"/>
  <c r="CX221" i="48"/>
  <c r="CW221" i="48"/>
  <c r="CX1238" i="48"/>
  <c r="CW1238" i="48"/>
  <c r="CV1238" i="48"/>
  <c r="CX1047" i="48"/>
  <c r="CW1047" i="48"/>
  <c r="CV1047" i="48"/>
  <c r="CX373" i="48"/>
  <c r="CW373" i="48"/>
  <c r="CV373" i="48"/>
  <c r="CX471" i="48"/>
  <c r="CV471" i="48"/>
  <c r="CW471" i="48"/>
  <c r="CV71" i="48"/>
  <c r="CW71" i="48"/>
  <c r="CX71" i="48"/>
  <c r="CV1322" i="48"/>
  <c r="CX1322" i="48"/>
  <c r="CW1322" i="48"/>
  <c r="CX1289" i="48"/>
  <c r="CW1289" i="48"/>
  <c r="CV1289" i="48"/>
  <c r="CW164" i="48"/>
  <c r="CV164" i="48"/>
  <c r="CX164" i="48"/>
  <c r="CX1163" i="48"/>
  <c r="CW1163" i="48"/>
  <c r="CV1163" i="48"/>
  <c r="CV974" i="48"/>
  <c r="CX974" i="48"/>
  <c r="CW974" i="48"/>
  <c r="CX1065" i="48"/>
  <c r="CW1065" i="48"/>
  <c r="CV1065" i="48"/>
  <c r="CW61" i="48"/>
  <c r="CX61" i="48"/>
  <c r="CV61" i="48"/>
  <c r="CV322" i="48"/>
  <c r="CX322" i="48"/>
  <c r="CW322" i="48"/>
  <c r="CX539" i="48"/>
  <c r="CW539" i="48"/>
  <c r="CV539" i="48"/>
  <c r="CV571" i="48"/>
  <c r="CX571" i="48"/>
  <c r="CW571" i="48"/>
  <c r="CV948" i="48"/>
  <c r="CX948" i="48"/>
  <c r="CW948" i="48"/>
  <c r="CX1196" i="48"/>
  <c r="CW1196" i="48"/>
  <c r="CV1196" i="48"/>
  <c r="CX590" i="48"/>
  <c r="CW590" i="48"/>
  <c r="CV590" i="48"/>
  <c r="CX837" i="48"/>
  <c r="CW837" i="48"/>
  <c r="CV837" i="48"/>
  <c r="CV673" i="48"/>
  <c r="CX673" i="48"/>
  <c r="CW673" i="48"/>
  <c r="CX800" i="48"/>
  <c r="CW800" i="48"/>
  <c r="CV800" i="48"/>
  <c r="CV719" i="48"/>
  <c r="CX719" i="48"/>
  <c r="CW719" i="48"/>
  <c r="CV213" i="48"/>
  <c r="CX213" i="48"/>
  <c r="CW213" i="48"/>
  <c r="CX543" i="48"/>
  <c r="CW543" i="48"/>
  <c r="CV543" i="48"/>
  <c r="CW100" i="48"/>
  <c r="CV100" i="48"/>
  <c r="CX100" i="48"/>
  <c r="CW570" i="48"/>
  <c r="CV570" i="48"/>
  <c r="CX570" i="48"/>
  <c r="CW748" i="48"/>
  <c r="CX748" i="48"/>
  <c r="CV748" i="48"/>
  <c r="CX1192" i="48"/>
  <c r="CW1192" i="48"/>
  <c r="CV1192" i="48"/>
  <c r="CX1141" i="48"/>
  <c r="CW1141" i="48"/>
  <c r="CV1141" i="48"/>
  <c r="CX612" i="48"/>
  <c r="CW612" i="48"/>
  <c r="CV612" i="48"/>
  <c r="CV425" i="48"/>
  <c r="CW425" i="48"/>
  <c r="CX425" i="48"/>
  <c r="CV288" i="48"/>
  <c r="CW288" i="48"/>
  <c r="CX288" i="48"/>
  <c r="CX340" i="48"/>
  <c r="CW340" i="48"/>
  <c r="CV340" i="48"/>
  <c r="CX846" i="48"/>
  <c r="CW846" i="48"/>
  <c r="CV846" i="48"/>
  <c r="CX739" i="48"/>
  <c r="CW739" i="48"/>
  <c r="CV739" i="48"/>
  <c r="CX1214" i="48"/>
  <c r="CW1214" i="48"/>
  <c r="CV1214" i="48"/>
  <c r="CX96" i="48"/>
  <c r="CW96" i="48"/>
  <c r="CV96" i="48"/>
  <c r="CX713" i="48"/>
  <c r="CW713" i="48"/>
  <c r="CV713" i="48"/>
  <c r="CV700" i="48"/>
  <c r="CX700" i="48"/>
  <c r="CW700" i="48"/>
  <c r="CW640" i="48"/>
  <c r="CV640" i="48"/>
  <c r="CX640" i="48"/>
  <c r="CX822" i="48"/>
  <c r="CW822" i="48"/>
  <c r="CV822" i="48"/>
  <c r="CW764" i="48"/>
  <c r="CX764" i="48"/>
  <c r="CV764" i="48"/>
  <c r="CX246" i="48"/>
  <c r="CW246" i="48"/>
  <c r="CV246" i="48"/>
  <c r="CX993" i="48"/>
  <c r="CW993" i="48"/>
  <c r="CV993" i="48"/>
  <c r="CV117" i="48"/>
  <c r="CX117" i="48"/>
  <c r="CW117" i="48"/>
  <c r="CW1300" i="48"/>
  <c r="CV1300" i="48"/>
  <c r="CX1300" i="48"/>
  <c r="CW294" i="48"/>
  <c r="CV294" i="48"/>
  <c r="CX294" i="48"/>
  <c r="CW1015" i="48"/>
  <c r="CV1015" i="48"/>
  <c r="CX1015" i="48"/>
  <c r="CW488" i="48"/>
  <c r="CX488" i="48"/>
  <c r="CV488" i="48"/>
  <c r="CW744" i="48"/>
  <c r="CX744" i="48"/>
  <c r="CV744" i="48"/>
  <c r="CV1120" i="48"/>
  <c r="CW1120" i="48"/>
  <c r="CX1120" i="48"/>
  <c r="CX1217" i="48"/>
  <c r="CW1217" i="48"/>
  <c r="CV1217" i="48"/>
  <c r="CX616" i="48"/>
  <c r="CW616" i="48"/>
  <c r="CV616" i="48"/>
  <c r="CW242" i="48"/>
  <c r="CV242" i="48"/>
  <c r="CX242" i="48"/>
  <c r="CX1339" i="48"/>
  <c r="CW1339" i="48"/>
  <c r="CV1339" i="48"/>
  <c r="CW193" i="48"/>
  <c r="CV193" i="48"/>
  <c r="CX193" i="48"/>
  <c r="CX297" i="48"/>
  <c r="CW297" i="48"/>
  <c r="CV297" i="48"/>
  <c r="CW123" i="48"/>
  <c r="CV123" i="48"/>
  <c r="CX123" i="48"/>
  <c r="CX1271" i="48"/>
  <c r="CW1271" i="48"/>
  <c r="CV1271" i="48"/>
  <c r="CX162" i="48"/>
  <c r="CW162" i="48"/>
  <c r="CV162" i="48"/>
  <c r="CX1194" i="48"/>
  <c r="CW1194" i="48"/>
  <c r="CV1194" i="48"/>
  <c r="CX749" i="48"/>
  <c r="CW749" i="48"/>
  <c r="CV749" i="48"/>
  <c r="CX1050" i="48"/>
  <c r="CW1050" i="48"/>
  <c r="CV1050" i="48"/>
  <c r="CV661" i="48"/>
  <c r="CX661" i="48"/>
  <c r="CW661" i="48"/>
  <c r="CX395" i="48"/>
  <c r="CV395" i="48"/>
  <c r="CW395" i="48"/>
  <c r="CX139" i="48"/>
  <c r="CW139" i="48"/>
  <c r="CV139" i="48"/>
  <c r="CX1072" i="48"/>
  <c r="CW1072" i="48"/>
  <c r="CV1072" i="48"/>
  <c r="CV918" i="48"/>
  <c r="CX918" i="48"/>
  <c r="CW918" i="48"/>
  <c r="CX622" i="48"/>
  <c r="CV622" i="48"/>
  <c r="CW622" i="48"/>
  <c r="CX1123" i="48"/>
  <c r="CV1123" i="48"/>
  <c r="CW1123" i="48"/>
  <c r="CX873" i="48"/>
  <c r="CW873" i="48"/>
  <c r="CV873" i="48"/>
  <c r="CV939" i="48"/>
  <c r="CX939" i="48"/>
  <c r="CW939" i="48"/>
  <c r="CX716" i="48"/>
  <c r="CW716" i="48"/>
  <c r="CV716" i="48"/>
  <c r="CV515" i="48"/>
  <c r="CX515" i="48"/>
  <c r="CW515" i="48"/>
  <c r="CW638" i="48"/>
  <c r="CV638" i="48"/>
  <c r="CX638" i="48"/>
  <c r="CX989" i="48"/>
  <c r="CW989" i="48"/>
  <c r="CV989" i="48"/>
  <c r="CW475" i="48"/>
  <c r="CV475" i="48"/>
  <c r="CX475" i="48"/>
  <c r="CV261" i="48"/>
  <c r="CX261" i="48"/>
  <c r="CW261" i="48"/>
  <c r="CW250" i="48"/>
  <c r="CV250" i="48"/>
  <c r="CX250" i="48"/>
  <c r="CX217" i="48"/>
  <c r="CW217" i="48"/>
  <c r="CV217" i="48"/>
  <c r="CX263" i="48"/>
  <c r="CW263" i="48"/>
  <c r="CV263" i="48"/>
  <c r="CX1311" i="48"/>
  <c r="CW1311" i="48"/>
  <c r="CV1311" i="48"/>
  <c r="CX1223" i="48"/>
  <c r="CW1223" i="48"/>
  <c r="CV1223" i="48"/>
  <c r="CV311" i="48"/>
  <c r="CX311" i="48"/>
  <c r="CW311" i="48"/>
  <c r="CX1317" i="48"/>
  <c r="CW1317" i="48"/>
  <c r="CV1317" i="48"/>
  <c r="CV1116" i="48"/>
  <c r="CW1116" i="48"/>
  <c r="CX1116" i="48"/>
  <c r="CW766" i="48"/>
  <c r="CX766" i="48"/>
  <c r="CV766" i="48"/>
  <c r="CV563" i="48"/>
  <c r="CX563" i="48"/>
  <c r="CW563" i="48"/>
  <c r="CX1121" i="48"/>
  <c r="CW1121" i="48"/>
  <c r="CV1121" i="48"/>
  <c r="CX399" i="48"/>
  <c r="CV399" i="48"/>
  <c r="CW399" i="48"/>
  <c r="CV888" i="48"/>
  <c r="CX888" i="48"/>
  <c r="CW888" i="48"/>
  <c r="CX613" i="48"/>
  <c r="CW613" i="48"/>
  <c r="CV613" i="48"/>
  <c r="CV950" i="48"/>
  <c r="CX950" i="48"/>
  <c r="CW950" i="48"/>
  <c r="CV593" i="48"/>
  <c r="CX593" i="48"/>
  <c r="CW593" i="48"/>
  <c r="CX741" i="48"/>
  <c r="CW741" i="48"/>
  <c r="CV741" i="48"/>
  <c r="CX365" i="48"/>
  <c r="CW365" i="48"/>
  <c r="CV365" i="48"/>
  <c r="CX121" i="48"/>
  <c r="CW121" i="48"/>
  <c r="CV121" i="48"/>
  <c r="CV1037" i="48"/>
  <c r="CX1037" i="48"/>
  <c r="CW1037" i="48"/>
  <c r="CV1318" i="48"/>
  <c r="CX1318" i="48"/>
  <c r="CW1318" i="48"/>
  <c r="CV290" i="48"/>
  <c r="CX290" i="48"/>
  <c r="CW290" i="48"/>
  <c r="CW92" i="48"/>
  <c r="CV92" i="48"/>
  <c r="CX92" i="48"/>
  <c r="CX915" i="48"/>
  <c r="CW915" i="48"/>
  <c r="CV915" i="48"/>
  <c r="CV1166" i="48"/>
  <c r="CX1166" i="48"/>
  <c r="CW1166" i="48"/>
  <c r="CV1112" i="48"/>
  <c r="CW1112" i="48"/>
  <c r="CX1112" i="48"/>
  <c r="CV665" i="48"/>
  <c r="CX665" i="48"/>
  <c r="CW665" i="48"/>
  <c r="CX1321" i="48"/>
  <c r="CW1321" i="48"/>
  <c r="CV1321" i="48"/>
  <c r="CW889" i="48"/>
  <c r="CV889" i="48"/>
  <c r="CX889" i="48"/>
  <c r="CW496" i="48"/>
  <c r="CV496" i="48"/>
  <c r="CX496" i="48"/>
  <c r="CV319" i="48"/>
  <c r="CX319" i="48"/>
  <c r="CW319" i="48"/>
  <c r="CW196" i="48"/>
  <c r="CV196" i="48"/>
  <c r="CX196" i="48"/>
  <c r="CW442" i="48"/>
  <c r="CX442" i="48"/>
  <c r="CV442" i="48"/>
  <c r="CW740" i="48"/>
  <c r="CX740" i="48"/>
  <c r="CV740" i="48"/>
  <c r="CV944" i="48"/>
  <c r="CX944" i="48"/>
  <c r="CW944" i="48"/>
  <c r="CX270" i="48"/>
  <c r="CW270" i="48"/>
  <c r="CV270" i="48"/>
  <c r="CX1315" i="48"/>
  <c r="CW1315" i="48"/>
  <c r="CV1315" i="48"/>
  <c r="CW1296" i="48"/>
  <c r="CV1296" i="48"/>
  <c r="CX1296" i="48"/>
  <c r="CX500" i="48"/>
  <c r="CW500" i="48"/>
  <c r="CV500" i="48"/>
  <c r="CX199" i="48"/>
  <c r="CW199" i="48"/>
  <c r="CV199" i="48"/>
  <c r="CW112" i="48"/>
  <c r="CV112" i="48"/>
  <c r="CX112" i="48"/>
  <c r="CV66" i="48"/>
  <c r="CX66" i="48"/>
  <c r="CW66" i="48"/>
  <c r="CW267" i="48"/>
  <c r="CV267" i="48"/>
  <c r="CX267" i="48"/>
  <c r="CX611" i="48"/>
  <c r="CW611" i="48"/>
  <c r="CV611" i="48"/>
  <c r="CV763" i="48"/>
  <c r="CW763" i="48"/>
  <c r="CX763" i="48"/>
  <c r="CX842" i="48"/>
  <c r="CW842" i="48"/>
  <c r="CV842" i="48"/>
  <c r="CW662" i="48"/>
  <c r="CV662" i="48"/>
  <c r="CX662" i="48"/>
  <c r="CW718" i="48"/>
  <c r="CX718" i="48"/>
  <c r="CV718" i="48"/>
  <c r="CV74" i="48"/>
  <c r="CX74" i="48"/>
  <c r="CW74" i="48"/>
  <c r="CV269" i="48"/>
  <c r="CX269" i="48"/>
  <c r="CW269" i="48"/>
  <c r="CW1146" i="48"/>
  <c r="CV1146" i="48"/>
  <c r="CX1146" i="48"/>
  <c r="CV372" i="48"/>
  <c r="CX372" i="48"/>
  <c r="CW372" i="48"/>
  <c r="CX1225" i="48"/>
  <c r="CW1225" i="48"/>
  <c r="CV1225" i="48"/>
  <c r="CW815" i="48"/>
  <c r="CX815" i="48"/>
  <c r="CV815" i="48"/>
  <c r="CW670" i="48"/>
  <c r="CV670" i="48"/>
  <c r="CX670" i="48"/>
  <c r="CX398" i="48"/>
  <c r="CW398" i="48"/>
  <c r="CV398" i="48"/>
  <c r="CV1025" i="48"/>
  <c r="CX1025" i="48"/>
  <c r="CW1025" i="48"/>
  <c r="CW746" i="48"/>
  <c r="CV746" i="48"/>
  <c r="CX746" i="48"/>
  <c r="CX1012" i="48"/>
  <c r="CW1012" i="48"/>
  <c r="CV1012" i="48"/>
  <c r="CX338" i="48"/>
  <c r="CW338" i="48"/>
  <c r="CV338" i="48"/>
  <c r="CX544" i="48"/>
  <c r="CW544" i="48"/>
  <c r="CV544" i="48"/>
  <c r="CW512" i="48"/>
  <c r="CV512" i="48"/>
  <c r="CX512" i="48"/>
  <c r="CW1292" i="48"/>
  <c r="CV1292" i="48"/>
  <c r="CX1292" i="48"/>
  <c r="CV1118" i="48"/>
  <c r="CX1118" i="48"/>
  <c r="CW1118" i="48"/>
  <c r="CX339" i="48"/>
  <c r="CW339" i="48"/>
  <c r="CV339" i="48"/>
  <c r="CX1236" i="48"/>
  <c r="CW1236" i="48"/>
  <c r="CV1236" i="48"/>
  <c r="CX371" i="48"/>
  <c r="CV371" i="48"/>
  <c r="CW371" i="48"/>
  <c r="CX816" i="48"/>
  <c r="CW816" i="48"/>
  <c r="CV816" i="48"/>
  <c r="CV1243" i="48"/>
  <c r="CX1243" i="48"/>
  <c r="CW1243" i="48"/>
  <c r="CX1117" i="48"/>
  <c r="CW1117" i="48"/>
  <c r="CV1117" i="48"/>
  <c r="CV721" i="48"/>
  <c r="CX721" i="48"/>
  <c r="CW721" i="48"/>
  <c r="CW414" i="48"/>
  <c r="CV414" i="48"/>
  <c r="CX414" i="48"/>
  <c r="CW1140" i="48"/>
  <c r="CV1140" i="48"/>
  <c r="CX1140" i="48"/>
  <c r="CX963" i="48"/>
  <c r="CW963" i="48"/>
  <c r="CV963" i="48"/>
  <c r="CX450" i="48"/>
  <c r="CV450" i="48"/>
  <c r="CW450" i="48"/>
  <c r="CX546" i="48"/>
  <c r="CW546" i="48"/>
  <c r="CV546" i="48"/>
  <c r="CX696" i="48"/>
  <c r="CW696" i="48"/>
  <c r="CV696" i="48"/>
  <c r="CX142" i="48"/>
  <c r="CW142" i="48"/>
  <c r="CV142" i="48"/>
  <c r="CX747" i="48"/>
  <c r="CW747" i="48"/>
  <c r="CV747" i="48"/>
  <c r="CX192" i="48"/>
  <c r="CW192" i="48"/>
  <c r="CV192" i="48"/>
  <c r="CW522" i="48"/>
  <c r="CV522" i="48"/>
  <c r="CX522" i="48"/>
  <c r="CV1264" i="48"/>
  <c r="CX1264" i="48"/>
  <c r="CW1264" i="48"/>
  <c r="CV1168" i="48"/>
  <c r="CX1168" i="48"/>
  <c r="CW1168" i="48"/>
  <c r="CX998" i="48"/>
  <c r="CW998" i="48"/>
  <c r="CV998" i="48"/>
  <c r="CV966" i="48"/>
  <c r="CX966" i="48"/>
  <c r="CW966" i="48"/>
  <c r="CW945" i="48"/>
  <c r="CV945" i="48"/>
  <c r="CX945" i="48"/>
  <c r="CX194" i="48"/>
  <c r="CW194" i="48"/>
  <c r="CV194" i="48"/>
  <c r="CV312" i="48"/>
  <c r="CW312" i="48"/>
  <c r="CX312" i="48"/>
  <c r="CX214" i="48"/>
  <c r="CW214" i="48"/>
  <c r="CV214" i="48"/>
  <c r="CX639" i="48"/>
  <c r="CW639" i="48"/>
  <c r="CV639" i="48"/>
  <c r="CX1087" i="48"/>
  <c r="CW1087" i="48"/>
  <c r="CV1087" i="48"/>
  <c r="CV575" i="48"/>
  <c r="CX575" i="48"/>
  <c r="CW575" i="48"/>
  <c r="CW823" i="48"/>
  <c r="CX823" i="48"/>
  <c r="CV823" i="48"/>
  <c r="CW895" i="48"/>
  <c r="CV895" i="48"/>
  <c r="CX895" i="48"/>
  <c r="CV517" i="48"/>
  <c r="CX517" i="48"/>
  <c r="CW517" i="48"/>
  <c r="CV667" i="48"/>
  <c r="CX667" i="48"/>
  <c r="CW667" i="48"/>
  <c r="CX936" i="48"/>
  <c r="CW936" i="48"/>
  <c r="CV936" i="48"/>
  <c r="CX997" i="48"/>
  <c r="CW997" i="48"/>
  <c r="CV997" i="48"/>
  <c r="CX1066" i="48"/>
  <c r="CW1066" i="48"/>
  <c r="CV1066" i="48"/>
  <c r="CX545" i="48"/>
  <c r="CW545" i="48"/>
  <c r="CV545" i="48"/>
  <c r="CX67" i="48"/>
  <c r="CW67" i="48"/>
  <c r="CV67" i="48"/>
  <c r="CX245" i="48"/>
  <c r="CW245" i="48"/>
  <c r="CV245" i="48"/>
  <c r="CX1220" i="48"/>
  <c r="CW1220" i="48"/>
  <c r="CV1220" i="48"/>
  <c r="CX874" i="48"/>
  <c r="CV874" i="48"/>
  <c r="CW874" i="48"/>
  <c r="CX487" i="48"/>
  <c r="CV487" i="48"/>
  <c r="CW487" i="48"/>
  <c r="CW949" i="48"/>
  <c r="CV949" i="48"/>
  <c r="CX949" i="48"/>
  <c r="CX550" i="48"/>
  <c r="CW550" i="48"/>
  <c r="CV550" i="48"/>
  <c r="CX300" i="48"/>
  <c r="CW300" i="48"/>
  <c r="CV300" i="48"/>
  <c r="CX473" i="48"/>
  <c r="CV473" i="48"/>
  <c r="CW473" i="48"/>
  <c r="CX436" i="48"/>
  <c r="CW436" i="48"/>
  <c r="CV436" i="48"/>
  <c r="CX875" i="48"/>
  <c r="CW875" i="48"/>
  <c r="CV875" i="48"/>
  <c r="CW175" i="48"/>
  <c r="CV175" i="48"/>
  <c r="CX175" i="48"/>
  <c r="CV775" i="48"/>
  <c r="CX775" i="48"/>
  <c r="CW775" i="48"/>
  <c r="CX1340" i="48"/>
  <c r="CW1340" i="48"/>
  <c r="CV1340" i="48"/>
  <c r="CV318" i="48"/>
  <c r="CX318" i="48"/>
  <c r="CW318" i="48"/>
  <c r="CW1021" i="48"/>
  <c r="CV1021" i="48"/>
  <c r="CX1021" i="48"/>
  <c r="CX363" i="48"/>
  <c r="CW363" i="48"/>
  <c r="CV363" i="48"/>
  <c r="CV689" i="48"/>
  <c r="CX689" i="48"/>
  <c r="CW689" i="48"/>
  <c r="CW149" i="48"/>
  <c r="CV149" i="48"/>
  <c r="CX149" i="48"/>
  <c r="CV573" i="48"/>
  <c r="CX573" i="48"/>
  <c r="CW573" i="48"/>
  <c r="CV513" i="48"/>
  <c r="CX513" i="48"/>
  <c r="CW513" i="48"/>
  <c r="CV324" i="48"/>
  <c r="CX324" i="48"/>
  <c r="CW324" i="48"/>
  <c r="CV964" i="48"/>
  <c r="CX964" i="48"/>
  <c r="CW964" i="48"/>
  <c r="CW1199" i="48"/>
  <c r="CV1199" i="48"/>
  <c r="CX1199" i="48"/>
  <c r="CV198" i="48"/>
  <c r="CX198" i="48"/>
  <c r="CW198" i="48"/>
  <c r="CX971" i="48"/>
  <c r="CW971" i="48"/>
  <c r="CV971" i="48"/>
  <c r="CX394" i="48"/>
  <c r="CW394" i="48"/>
  <c r="CV394" i="48"/>
  <c r="CX844" i="48"/>
  <c r="CW844" i="48"/>
  <c r="CV844" i="48"/>
  <c r="CX137" i="48"/>
  <c r="CW137" i="48"/>
  <c r="CV137" i="48"/>
  <c r="CX1099" i="48"/>
  <c r="CW1099" i="48"/>
  <c r="CV1099" i="48"/>
  <c r="CX1221" i="48"/>
  <c r="CW1221" i="48"/>
  <c r="CV1221" i="48"/>
  <c r="CW190" i="48"/>
  <c r="CV190" i="48"/>
  <c r="CX190" i="48"/>
  <c r="CW821" i="48"/>
  <c r="CV821" i="48"/>
  <c r="CX821" i="48"/>
  <c r="CV1325" i="48"/>
  <c r="CX1325" i="48"/>
  <c r="CW1325" i="48"/>
  <c r="CX641" i="48"/>
  <c r="CW641" i="48"/>
  <c r="CV641" i="48"/>
  <c r="CX540" i="48"/>
  <c r="CW540" i="48"/>
  <c r="CV540" i="48"/>
  <c r="CW625" i="48"/>
  <c r="CV625" i="48"/>
  <c r="CX625" i="48"/>
  <c r="CX165" i="48"/>
  <c r="CW165" i="48"/>
  <c r="CV165" i="48"/>
  <c r="CX942" i="48"/>
  <c r="CW942" i="48"/>
  <c r="CV942" i="48"/>
  <c r="CV591" i="48"/>
  <c r="CX591" i="48"/>
  <c r="CW591" i="48"/>
  <c r="CX620" i="48"/>
  <c r="CW620" i="48"/>
  <c r="CV620" i="48"/>
  <c r="CX1269" i="48"/>
  <c r="CW1269" i="48"/>
  <c r="CV1269" i="48"/>
  <c r="CX990" i="48"/>
  <c r="CW990" i="48"/>
  <c r="CV990" i="48"/>
  <c r="CX588" i="48"/>
  <c r="CW588" i="48"/>
  <c r="CV588" i="48"/>
  <c r="CW144" i="48"/>
  <c r="CV144" i="48"/>
  <c r="CX144" i="48"/>
  <c r="CX293" i="48"/>
  <c r="CW293" i="48"/>
  <c r="CV293" i="48"/>
  <c r="CV86" i="48"/>
  <c r="CX86" i="48"/>
  <c r="CW86" i="48"/>
  <c r="CX248" i="48"/>
  <c r="CW248" i="48"/>
  <c r="CV248" i="48"/>
  <c r="CV421" i="48"/>
  <c r="CX421" i="48"/>
  <c r="CW421" i="48"/>
  <c r="CX786" i="48"/>
  <c r="CV786" i="48"/>
  <c r="CW786" i="48"/>
  <c r="CW361" i="48"/>
  <c r="CV361" i="48"/>
  <c r="CX361" i="48"/>
  <c r="CX350" i="48"/>
  <c r="CW350" i="48"/>
  <c r="CV350" i="48"/>
  <c r="CV1239" i="48"/>
  <c r="CX1239" i="48"/>
  <c r="CW1239" i="48"/>
  <c r="CW1142" i="48"/>
  <c r="CV1142" i="48"/>
  <c r="CX1142" i="48"/>
  <c r="CV317" i="48"/>
  <c r="CW317" i="48"/>
  <c r="CX317" i="48"/>
  <c r="CV366" i="48"/>
  <c r="CW366" i="48"/>
  <c r="CX366" i="48"/>
  <c r="CX343" i="48"/>
  <c r="CV343" i="48"/>
  <c r="CW343" i="48"/>
  <c r="CV1237" i="48"/>
  <c r="CX1237" i="48"/>
  <c r="CW1237" i="48"/>
  <c r="CX999" i="48"/>
  <c r="CW999" i="48"/>
  <c r="CV999" i="48"/>
  <c r="CV1162" i="48"/>
  <c r="CX1162" i="48"/>
  <c r="CW1162" i="48"/>
  <c r="CV894" i="48"/>
  <c r="CX894" i="48"/>
  <c r="CW894" i="48"/>
  <c r="CX650" i="48"/>
  <c r="CW650" i="48"/>
  <c r="CV650" i="48"/>
  <c r="CX921" i="48"/>
  <c r="CW921" i="48"/>
  <c r="CV921" i="48"/>
  <c r="CX1347" i="48"/>
  <c r="CW1347" i="48"/>
  <c r="CV1347" i="48"/>
  <c r="CW468" i="48"/>
  <c r="CX468" i="48"/>
  <c r="CV468" i="48"/>
  <c r="CX864" i="48"/>
  <c r="CW864" i="48"/>
  <c r="CV864" i="48"/>
  <c r="CX547" i="48"/>
  <c r="CW547" i="48"/>
  <c r="CV547" i="48"/>
  <c r="CW1148" i="48"/>
  <c r="CV1148" i="48"/>
  <c r="CX1148" i="48"/>
  <c r="CX991" i="48"/>
  <c r="CW991" i="48"/>
  <c r="CV991" i="48"/>
  <c r="CX1212" i="48"/>
  <c r="CW1212" i="48"/>
  <c r="CV1212" i="48"/>
  <c r="CX392" i="48"/>
  <c r="CW392" i="48"/>
  <c r="CV392" i="48"/>
  <c r="CV968" i="48"/>
  <c r="CX968" i="48"/>
  <c r="CW968" i="48"/>
  <c r="CX872" i="48"/>
  <c r="CW872" i="48"/>
  <c r="CV872" i="48"/>
  <c r="CV91" i="48"/>
  <c r="CX91" i="48"/>
  <c r="CW91" i="48"/>
  <c r="CV595" i="48"/>
  <c r="CX595" i="48"/>
  <c r="CW595" i="48"/>
  <c r="CX386" i="48"/>
  <c r="CW386" i="48"/>
  <c r="CV386" i="48"/>
  <c r="CX389" i="48"/>
  <c r="CW389" i="48"/>
  <c r="CV389" i="48"/>
  <c r="CV1245" i="48"/>
  <c r="CX1245" i="48"/>
  <c r="CW1245" i="48"/>
  <c r="CX349" i="48"/>
  <c r="CW349" i="48"/>
  <c r="CV349" i="48"/>
  <c r="CW897" i="48"/>
  <c r="CV897" i="48"/>
  <c r="CX897" i="48"/>
  <c r="CX694" i="48"/>
  <c r="CW694" i="48"/>
  <c r="CV694" i="48"/>
  <c r="CW813" i="48"/>
  <c r="CV813" i="48"/>
  <c r="CX813" i="48"/>
  <c r="CW1092" i="48"/>
  <c r="CV1092" i="48"/>
  <c r="CX1092" i="48"/>
  <c r="CV896" i="48"/>
  <c r="CX896" i="48"/>
  <c r="CW896" i="48"/>
  <c r="CX1224" i="48"/>
  <c r="CW1224" i="48"/>
  <c r="CV1224" i="48"/>
  <c r="CV1020" i="48"/>
  <c r="CW1020" i="48"/>
  <c r="CX1020" i="48"/>
  <c r="CX1341" i="48"/>
  <c r="CW1341" i="48"/>
  <c r="CV1341" i="48"/>
  <c r="CV589" i="48"/>
  <c r="CX589" i="48"/>
  <c r="CW589" i="48"/>
  <c r="CV1312" i="48"/>
  <c r="CX1312" i="48"/>
  <c r="CW1312" i="48"/>
  <c r="CW187" i="48"/>
  <c r="CV187" i="48"/>
  <c r="CX187" i="48"/>
  <c r="CX1070" i="48"/>
  <c r="CW1070" i="48"/>
  <c r="CV1070" i="48"/>
  <c r="CW825" i="48"/>
  <c r="CX825" i="48"/>
  <c r="CV825" i="48"/>
  <c r="CV941" i="48"/>
  <c r="CX941" i="48"/>
  <c r="CW941" i="48"/>
  <c r="CX940" i="48"/>
  <c r="CW940" i="48"/>
  <c r="CV940" i="48"/>
  <c r="CV461" i="48"/>
  <c r="CX461" i="48"/>
  <c r="CW461" i="48"/>
  <c r="CV1023" i="48"/>
  <c r="CX1023" i="48"/>
  <c r="CW1023" i="48"/>
  <c r="CV122" i="48"/>
  <c r="CX122" i="48"/>
  <c r="CW122" i="48"/>
  <c r="CV922" i="48"/>
  <c r="CX922" i="48"/>
  <c r="CW922" i="48"/>
  <c r="CX737" i="48"/>
  <c r="CW737" i="48"/>
  <c r="CV737" i="48"/>
  <c r="CW287" i="48"/>
  <c r="CV287" i="48"/>
  <c r="CX287" i="48"/>
  <c r="CW1290" i="48"/>
  <c r="CV1290" i="48"/>
  <c r="CX1290" i="48"/>
  <c r="CW291" i="48"/>
  <c r="CX291" i="48"/>
  <c r="CV291" i="48"/>
  <c r="CV914" i="48"/>
  <c r="CX914" i="48"/>
  <c r="CW914" i="48"/>
  <c r="CX987" i="48"/>
  <c r="CW987" i="48"/>
  <c r="CV987" i="48"/>
  <c r="CV114" i="48"/>
  <c r="CX114" i="48"/>
  <c r="CW114" i="48"/>
  <c r="CV321" i="48"/>
  <c r="CX321" i="48"/>
  <c r="CW321" i="48"/>
  <c r="CX712" i="48"/>
  <c r="CW712" i="48"/>
  <c r="CV712" i="48"/>
  <c r="CW791" i="48"/>
  <c r="CV791" i="48"/>
  <c r="CX791" i="48"/>
  <c r="CX1064" i="48"/>
  <c r="CW1064" i="48"/>
  <c r="CV1064" i="48"/>
  <c r="CV663" i="48"/>
  <c r="CX663" i="48"/>
  <c r="CW663" i="48"/>
  <c r="CV898" i="48"/>
  <c r="CX898" i="48"/>
  <c r="CW898" i="48"/>
  <c r="CV1272" i="48"/>
  <c r="CX1272" i="48"/>
  <c r="CW1272" i="48"/>
  <c r="CX1039" i="48"/>
  <c r="CW1039" i="48"/>
  <c r="CV1039" i="48"/>
  <c r="CW1249" i="48"/>
  <c r="CV1249" i="48"/>
  <c r="CX1249" i="48"/>
  <c r="CW472" i="48"/>
  <c r="CX472" i="48"/>
  <c r="CV472" i="48"/>
  <c r="CW1043" i="48"/>
  <c r="CV1043" i="48"/>
  <c r="CX1043" i="48"/>
  <c r="CV970" i="48"/>
  <c r="CX970" i="48"/>
  <c r="CW970" i="48"/>
  <c r="CX1295" i="48"/>
  <c r="CW1295" i="48"/>
  <c r="CV1295" i="48"/>
  <c r="CX794" i="48"/>
  <c r="CV794" i="48"/>
  <c r="CW794" i="48"/>
  <c r="CX711" i="48"/>
  <c r="CW711" i="48"/>
  <c r="CV711" i="48"/>
  <c r="CX745" i="48"/>
  <c r="CW745" i="48"/>
  <c r="CV745" i="48"/>
  <c r="CV325" i="48"/>
  <c r="CX325" i="48"/>
  <c r="CW325" i="48"/>
  <c r="CW819" i="48"/>
  <c r="CX819" i="48"/>
  <c r="CV819" i="48"/>
  <c r="CV375" i="48"/>
  <c r="CW375" i="48"/>
  <c r="CX375" i="48"/>
  <c r="CV519" i="48"/>
  <c r="CX519" i="48"/>
  <c r="CW519" i="48"/>
  <c r="CX1345" i="48"/>
  <c r="CW1345" i="48"/>
  <c r="CV1345" i="48"/>
  <c r="CX848" i="48"/>
  <c r="CW848" i="48"/>
  <c r="CV848" i="48"/>
  <c r="CX1074" i="48"/>
  <c r="CW1074" i="48"/>
  <c r="CV1074" i="48"/>
  <c r="CW69" i="48"/>
  <c r="CV69" i="48"/>
  <c r="CX69" i="48"/>
  <c r="CX1344" i="48"/>
  <c r="CW1344" i="48"/>
  <c r="CV1344" i="48"/>
  <c r="CX438" i="48"/>
  <c r="CW438" i="48"/>
  <c r="CV438" i="48"/>
  <c r="CV1268" i="48"/>
  <c r="CX1268" i="48"/>
  <c r="CW1268" i="48"/>
  <c r="CX1265" i="48"/>
  <c r="CW1265" i="48"/>
  <c r="CV1265" i="48"/>
  <c r="CV174" i="48"/>
  <c r="CX174" i="48"/>
  <c r="CW174" i="48"/>
  <c r="CX1125" i="48"/>
  <c r="CW1125" i="48"/>
  <c r="CV1125" i="48"/>
  <c r="CX1186" i="48"/>
  <c r="CW1186" i="48"/>
  <c r="CV1186" i="48"/>
  <c r="CW1136" i="48"/>
  <c r="CV1136" i="48"/>
  <c r="CX1136" i="48"/>
  <c r="CX148" i="48"/>
  <c r="CW148" i="48"/>
  <c r="CV148" i="48"/>
  <c r="CX1067" i="48"/>
  <c r="CW1067" i="48"/>
  <c r="CV1067" i="48"/>
  <c r="CX1017" i="48"/>
  <c r="CW1017" i="48"/>
  <c r="CV1017" i="48"/>
  <c r="CX865" i="48"/>
  <c r="CW865" i="48"/>
  <c r="CV865" i="48"/>
  <c r="CX1137" i="48"/>
  <c r="CW1137" i="48"/>
  <c r="CV1137" i="48"/>
  <c r="CX1091" i="48"/>
  <c r="CW1091" i="48"/>
  <c r="CV1091" i="48"/>
  <c r="CW172" i="48"/>
  <c r="CV172" i="48"/>
  <c r="CX172" i="48"/>
  <c r="CX549" i="48"/>
  <c r="CW549" i="48"/>
  <c r="CV549" i="48"/>
  <c r="CX714" i="48"/>
  <c r="CW714" i="48"/>
  <c r="CV714" i="48"/>
  <c r="CX400" i="48"/>
  <c r="CW400" i="48"/>
  <c r="CV400" i="48"/>
  <c r="CW89" i="48"/>
  <c r="CV89" i="48"/>
  <c r="CX89" i="48"/>
  <c r="CV767" i="48"/>
  <c r="CX767" i="48"/>
  <c r="CW767" i="48"/>
  <c r="CW817" i="48"/>
  <c r="CX817" i="48"/>
  <c r="CV817" i="48"/>
  <c r="CV415" i="48"/>
  <c r="CW415" i="48"/>
  <c r="CX415" i="48"/>
  <c r="CX994" i="48"/>
  <c r="CW994" i="48"/>
  <c r="CV994" i="48"/>
  <c r="CX1189" i="48"/>
  <c r="CW1189" i="48"/>
  <c r="CV1189" i="48"/>
  <c r="CV1174" i="48"/>
  <c r="CX1174" i="48"/>
  <c r="CW1174" i="48"/>
  <c r="CX1188" i="48"/>
  <c r="CW1188" i="48"/>
  <c r="CV1188" i="48"/>
  <c r="CX1115" i="48"/>
  <c r="CV1115" i="48"/>
  <c r="CW1115" i="48"/>
  <c r="CV943" i="48"/>
  <c r="CX943" i="48"/>
  <c r="CW943" i="48"/>
  <c r="CW298" i="48"/>
  <c r="CV298" i="48"/>
  <c r="CX298" i="48"/>
  <c r="CX1169" i="48"/>
  <c r="CW1169" i="48"/>
  <c r="CV1169" i="48"/>
  <c r="CW219" i="48"/>
  <c r="CV219" i="48"/>
  <c r="CX219" i="48"/>
  <c r="CW289" i="48"/>
  <c r="CX289" i="48"/>
  <c r="CV289" i="48"/>
  <c r="CW239" i="48"/>
  <c r="CV239" i="48"/>
  <c r="CX239" i="48"/>
  <c r="CV1022" i="48"/>
  <c r="CX1022" i="48"/>
  <c r="CW1022" i="48"/>
  <c r="CX1173" i="48"/>
  <c r="CW1173" i="48"/>
  <c r="CV1173" i="48"/>
  <c r="CW1298" i="48"/>
  <c r="CV1298" i="48"/>
  <c r="CX1298" i="48"/>
  <c r="CX868" i="48"/>
  <c r="CW868" i="48"/>
  <c r="CV868" i="48"/>
  <c r="CV266" i="48"/>
  <c r="CX266" i="48"/>
  <c r="CW266" i="48"/>
  <c r="CX225" i="48"/>
  <c r="CW225" i="48"/>
  <c r="CV225" i="48"/>
  <c r="CX1068" i="48"/>
  <c r="CW1068" i="48"/>
  <c r="CV1068" i="48"/>
  <c r="CW1100" i="48"/>
  <c r="CV1100" i="48"/>
  <c r="CX1100" i="48"/>
  <c r="CW247" i="48"/>
  <c r="CV247" i="48"/>
  <c r="CX247" i="48"/>
  <c r="CW839" i="48"/>
  <c r="CV839" i="48"/>
  <c r="CX839" i="48"/>
  <c r="CX619" i="48"/>
  <c r="CW619" i="48"/>
  <c r="CV619" i="48"/>
  <c r="CW772" i="48"/>
  <c r="CX772" i="48"/>
  <c r="CV772" i="48"/>
  <c r="CX1010" i="48"/>
  <c r="CW1010" i="48"/>
  <c r="CV1010" i="48"/>
  <c r="CX1219" i="48"/>
  <c r="CW1219" i="48"/>
  <c r="CV1219" i="48"/>
  <c r="CX495" i="48"/>
  <c r="CW495" i="48"/>
  <c r="CV495" i="48"/>
  <c r="CX1190" i="48"/>
  <c r="CW1190" i="48"/>
  <c r="CV1190" i="48"/>
  <c r="CX1014" i="48"/>
  <c r="CW1014" i="48"/>
  <c r="CV1014" i="48"/>
  <c r="CX295" i="48"/>
  <c r="CW295" i="48"/>
  <c r="CV295" i="48"/>
  <c r="CV314" i="48"/>
  <c r="CX314" i="48"/>
  <c r="CW314" i="48"/>
  <c r="CX824" i="48"/>
  <c r="CW824" i="48"/>
  <c r="CV824" i="48"/>
  <c r="CX615" i="48"/>
  <c r="CW615" i="48"/>
  <c r="CV615" i="48"/>
  <c r="CV845" i="48"/>
  <c r="CX845" i="48"/>
  <c r="CW845" i="48"/>
  <c r="CV1122" i="48"/>
  <c r="CX1122" i="48"/>
  <c r="CW1122" i="48"/>
  <c r="CX596" i="48"/>
  <c r="CW596" i="48"/>
  <c r="CV596" i="48"/>
  <c r="CW420" i="48"/>
  <c r="CV420" i="48"/>
  <c r="CX420" i="48"/>
  <c r="CX223" i="48"/>
  <c r="CW223" i="48"/>
  <c r="CV223" i="48"/>
  <c r="CX116" i="48"/>
  <c r="CW116" i="48"/>
  <c r="CV116" i="48"/>
  <c r="CW1288" i="48"/>
  <c r="CV1288" i="48"/>
  <c r="CX1288" i="48"/>
  <c r="CX1161" i="48"/>
  <c r="CW1161" i="48"/>
  <c r="CV1161" i="48"/>
  <c r="CX1244" i="48"/>
  <c r="CW1244" i="48"/>
  <c r="CV1244" i="48"/>
  <c r="CX87" i="48"/>
  <c r="CW87" i="48"/>
  <c r="CV87" i="48"/>
  <c r="CX923" i="48"/>
  <c r="CW923" i="48"/>
  <c r="CV923" i="48"/>
  <c r="CX1342" i="48"/>
  <c r="CW1342" i="48"/>
  <c r="CV1342" i="48"/>
  <c r="CV166" i="48"/>
  <c r="CX166" i="48"/>
  <c r="CW166" i="48"/>
  <c r="CW466" i="48"/>
  <c r="CV466" i="48"/>
  <c r="CX466" i="48"/>
  <c r="CX238" i="48"/>
  <c r="CW238" i="48"/>
  <c r="CV238" i="48"/>
  <c r="CW1090" i="48"/>
  <c r="CV1090" i="48"/>
  <c r="CX1090" i="48"/>
  <c r="CX1313" i="48"/>
  <c r="CW1313" i="48"/>
  <c r="CV1313" i="48"/>
  <c r="CX95" i="48"/>
  <c r="CW95" i="48"/>
  <c r="CV95" i="48"/>
  <c r="CX1287" i="48"/>
  <c r="CW1287" i="48"/>
  <c r="CV1287" i="48"/>
  <c r="CW490" i="48"/>
  <c r="CV490" i="48"/>
  <c r="CX490" i="48"/>
  <c r="CV316" i="48"/>
  <c r="CX316" i="48"/>
  <c r="CW316" i="48"/>
  <c r="CX1346" i="48"/>
  <c r="CW1346" i="48"/>
  <c r="CV1346" i="48"/>
  <c r="CX170" i="48"/>
  <c r="CW170" i="48"/>
  <c r="CV170" i="48"/>
  <c r="CW514" i="48"/>
  <c r="CV514" i="48"/>
  <c r="CX514" i="48"/>
  <c r="CV1241" i="48"/>
  <c r="CX1241" i="48"/>
  <c r="CW1241" i="48"/>
  <c r="CV699" i="48"/>
  <c r="CX699" i="48"/>
  <c r="CW699" i="48"/>
  <c r="CW272" i="48"/>
  <c r="CV272" i="48"/>
  <c r="CX272" i="48"/>
  <c r="CX797" i="48"/>
  <c r="CW797" i="48"/>
  <c r="CV797" i="48"/>
  <c r="CW648" i="48"/>
  <c r="CV648" i="48"/>
  <c r="CX648" i="48"/>
  <c r="CV765" i="48"/>
  <c r="CX765" i="48"/>
  <c r="CW765" i="48"/>
  <c r="CX168" i="48"/>
  <c r="CW168" i="48"/>
  <c r="CV168" i="48"/>
  <c r="CV241" i="48"/>
  <c r="CX241" i="48"/>
  <c r="CW241" i="48"/>
  <c r="CX1267" i="48"/>
  <c r="CW1267" i="48"/>
  <c r="CV1267" i="48"/>
  <c r="CX798" i="48"/>
  <c r="CW798" i="48"/>
  <c r="CV798" i="48"/>
  <c r="CX537" i="48"/>
  <c r="CW537" i="48"/>
  <c r="CV537" i="48"/>
  <c r="CX788" i="48"/>
  <c r="CW788" i="48"/>
  <c r="CV788" i="48"/>
  <c r="CV920" i="48"/>
  <c r="CX920" i="48"/>
  <c r="CW920" i="48"/>
  <c r="CX240" i="48"/>
  <c r="CW240" i="48"/>
  <c r="CV240" i="48"/>
  <c r="CW136" i="48"/>
  <c r="CV136" i="48"/>
  <c r="CX136" i="48"/>
  <c r="CX299" i="48"/>
  <c r="CW299" i="48"/>
  <c r="CV299" i="48"/>
  <c r="CW446" i="48"/>
  <c r="CX446" i="48"/>
  <c r="CV446" i="48"/>
  <c r="CX441" i="48"/>
  <c r="CV441" i="48"/>
  <c r="CW441" i="48"/>
  <c r="CV937" i="48"/>
  <c r="CX937" i="48"/>
  <c r="CW937" i="48"/>
  <c r="CX469" i="48"/>
  <c r="CV469" i="48"/>
  <c r="CW469" i="48"/>
  <c r="CX98" i="48"/>
  <c r="CW98" i="48"/>
  <c r="CV98" i="48"/>
  <c r="CX871" i="48"/>
  <c r="CW871" i="48"/>
  <c r="CV871" i="48"/>
  <c r="CV1320" i="48"/>
  <c r="CX1320" i="48"/>
  <c r="CW1320" i="48"/>
  <c r="CV1316" i="48"/>
  <c r="CX1316" i="48"/>
  <c r="CW1316" i="48"/>
  <c r="CX268" i="48"/>
  <c r="CW268" i="48"/>
  <c r="CV268" i="48"/>
  <c r="CX75" i="48"/>
  <c r="CW75" i="48"/>
  <c r="CV75" i="48"/>
  <c r="CV1200" i="48"/>
  <c r="CX1200" i="48"/>
  <c r="CW1200" i="48"/>
  <c r="CW574" i="48"/>
  <c r="CV574" i="48"/>
  <c r="CX574" i="48"/>
  <c r="CX840" i="48"/>
  <c r="CW840" i="48"/>
  <c r="CV840" i="48"/>
  <c r="CX342" i="48"/>
  <c r="CW342" i="48"/>
  <c r="CV342" i="48"/>
  <c r="CW424" i="48"/>
  <c r="CV424" i="48"/>
  <c r="CX424" i="48"/>
  <c r="CX1119" i="48"/>
  <c r="CV1119" i="48"/>
  <c r="CW1119" i="48"/>
  <c r="CV419" i="48"/>
  <c r="CX419" i="48"/>
  <c r="CW419" i="48"/>
  <c r="CX1297" i="48"/>
  <c r="CW1297" i="48"/>
  <c r="CV1297" i="48"/>
  <c r="CW623" i="48"/>
  <c r="CV623" i="48"/>
  <c r="CX623" i="48"/>
  <c r="CW498" i="48"/>
  <c r="CV498" i="48"/>
  <c r="CX498" i="48"/>
  <c r="CV691" i="48"/>
  <c r="CX691" i="48"/>
  <c r="CW691" i="48"/>
  <c r="CV1314" i="48"/>
  <c r="CX1314" i="48"/>
  <c r="CW1314" i="48"/>
  <c r="CX1167" i="48"/>
  <c r="CW1167" i="48"/>
  <c r="CV1167" i="48"/>
  <c r="CV368" i="48"/>
  <c r="CX368" i="48"/>
  <c r="CW368" i="48"/>
  <c r="CV849" i="48"/>
  <c r="CX849" i="48"/>
  <c r="CW849" i="48"/>
  <c r="CV597" i="48"/>
  <c r="CX597" i="48"/>
  <c r="CW597" i="48"/>
  <c r="CX1338" i="48"/>
  <c r="CW1338" i="48"/>
  <c r="CV1338" i="48"/>
  <c r="CX1048" i="48"/>
  <c r="CW1048" i="48"/>
  <c r="CV1048" i="48"/>
  <c r="CV274" i="48"/>
  <c r="CX274" i="48"/>
  <c r="CW274" i="48"/>
  <c r="CX1273" i="48"/>
  <c r="CW1273" i="48"/>
  <c r="CV1273" i="48"/>
  <c r="CX1291" i="48"/>
  <c r="CW1291" i="48"/>
  <c r="CV1291" i="48"/>
  <c r="CW422" i="48"/>
  <c r="CV422" i="48"/>
  <c r="CX422" i="48"/>
  <c r="CW1150" i="48"/>
  <c r="CV1150" i="48"/>
  <c r="CX1150" i="48"/>
  <c r="CX790" i="48"/>
  <c r="CW790" i="48"/>
  <c r="CV790" i="48"/>
  <c r="CW1098" i="48"/>
  <c r="CV1098" i="48"/>
  <c r="CX1098" i="48"/>
  <c r="CX869" i="48"/>
  <c r="CW869" i="48"/>
  <c r="CV869" i="48"/>
  <c r="CV669" i="48"/>
  <c r="CX669" i="48"/>
  <c r="CW669" i="48"/>
  <c r="CX796" i="48"/>
  <c r="CW796" i="48"/>
  <c r="CV796" i="48"/>
  <c r="CX493" i="48"/>
  <c r="CW493" i="48"/>
  <c r="CV493" i="48"/>
  <c r="CX1337" i="48"/>
  <c r="CW1337" i="48"/>
  <c r="CV1337" i="48"/>
  <c r="CW774" i="48"/>
  <c r="CX774" i="48"/>
  <c r="CV774" i="48"/>
  <c r="CX1046" i="48"/>
  <c r="CV1046" i="48"/>
  <c r="CW1046" i="48"/>
  <c r="CW736" i="48"/>
  <c r="CX736" i="48"/>
  <c r="CV736" i="48"/>
  <c r="CX1350" i="48"/>
  <c r="CW1350" i="48"/>
  <c r="CV1350" i="48"/>
  <c r="CW115" i="48"/>
  <c r="CV115" i="48"/>
  <c r="CX115" i="48"/>
  <c r="CX200" i="48"/>
  <c r="CW200" i="48"/>
  <c r="CV200" i="48"/>
  <c r="CV63" i="48"/>
  <c r="CW63" i="48"/>
  <c r="CX63" i="48"/>
  <c r="CV313" i="48"/>
  <c r="CW313" i="48"/>
  <c r="CX313" i="48"/>
  <c r="CX1248" i="48"/>
  <c r="CW1248" i="48"/>
  <c r="CV1248" i="48"/>
  <c r="CW525" i="48"/>
  <c r="CV525" i="48"/>
  <c r="CX525" i="48"/>
  <c r="CX1240" i="48"/>
  <c r="CW1240" i="48"/>
  <c r="CV1240" i="48"/>
  <c r="CW524" i="48"/>
  <c r="CV524" i="48"/>
  <c r="CX524" i="48"/>
  <c r="CW224" i="48"/>
  <c r="CV224" i="48"/>
  <c r="CX224" i="48"/>
  <c r="CX789" i="48"/>
  <c r="CW789" i="48"/>
  <c r="CV789" i="48"/>
  <c r="CX150" i="48"/>
  <c r="CW150" i="48"/>
  <c r="CV150" i="48"/>
  <c r="CX391" i="48"/>
  <c r="CV391" i="48"/>
  <c r="CW391" i="48"/>
  <c r="CV925" i="48"/>
  <c r="CW925" i="48"/>
  <c r="CX925" i="48"/>
  <c r="CV1045" i="48"/>
  <c r="CX1045" i="48"/>
  <c r="CW1045" i="48"/>
  <c r="CX397" i="48"/>
  <c r="CV397" i="48"/>
  <c r="CW397" i="48"/>
  <c r="CW1144" i="48"/>
  <c r="CV1144" i="48"/>
  <c r="CX1144" i="48"/>
  <c r="CX1246" i="48"/>
  <c r="CW1246" i="48"/>
  <c r="CV1246" i="48"/>
  <c r="CX965" i="48"/>
  <c r="CW965" i="48"/>
  <c r="CV965" i="48"/>
  <c r="CX1293" i="48"/>
  <c r="CW1293" i="48"/>
  <c r="CV1293" i="48"/>
  <c r="CX273" i="48"/>
  <c r="CW273" i="48"/>
  <c r="CV273" i="48"/>
  <c r="CX348" i="48"/>
  <c r="CW348" i="48"/>
  <c r="CV348" i="48"/>
  <c r="CW120" i="48"/>
  <c r="CV120" i="48"/>
  <c r="CX120" i="48"/>
  <c r="CV374" i="48"/>
  <c r="CW374" i="48"/>
  <c r="CX374" i="48"/>
  <c r="CV143" i="48"/>
  <c r="CX143" i="48"/>
  <c r="CW143" i="48"/>
  <c r="CV599" i="48"/>
  <c r="CX599" i="48"/>
  <c r="CW599" i="48"/>
  <c r="CW470" i="48"/>
  <c r="CV470" i="48"/>
  <c r="CX470" i="48"/>
  <c r="CW440" i="48"/>
  <c r="CX440" i="48"/>
  <c r="CV440" i="48"/>
  <c r="CX1041" i="48"/>
  <c r="CW1041" i="48"/>
  <c r="CV1041" i="48"/>
  <c r="CW412" i="48"/>
  <c r="CV412" i="48"/>
  <c r="CX412" i="48"/>
  <c r="CX188" i="48"/>
  <c r="CW188" i="48"/>
  <c r="CV188" i="48"/>
  <c r="CW762" i="48"/>
  <c r="CX762" i="48"/>
  <c r="CV762" i="48"/>
  <c r="CX445" i="48"/>
  <c r="CV445" i="48"/>
  <c r="CW445" i="48"/>
  <c r="CX344" i="48"/>
  <c r="CW344" i="48"/>
  <c r="CV344" i="48"/>
  <c r="CX1275" i="48"/>
  <c r="CW1275" i="48"/>
  <c r="CV1275" i="48"/>
  <c r="CX1063" i="48"/>
  <c r="CW1063" i="48"/>
  <c r="CV1063" i="48"/>
  <c r="CX147" i="48"/>
  <c r="CW147" i="48"/>
  <c r="CV147" i="48"/>
  <c r="CW296" i="48"/>
  <c r="CV296" i="48"/>
  <c r="CX296" i="48"/>
  <c r="CV946" i="48"/>
  <c r="CX946" i="48"/>
  <c r="CW946" i="48"/>
  <c r="CW141" i="48"/>
  <c r="CV141" i="48"/>
  <c r="CX141" i="48"/>
  <c r="CX215" i="48"/>
  <c r="CW215" i="48"/>
  <c r="CV215" i="48"/>
  <c r="CX594" i="48"/>
  <c r="CW594" i="48"/>
  <c r="CV594" i="48"/>
  <c r="CX967" i="48"/>
  <c r="CW967" i="48"/>
  <c r="CV967" i="48"/>
  <c r="CV771" i="48"/>
  <c r="CW771" i="48"/>
  <c r="CX771" i="48"/>
  <c r="CV1247" i="48"/>
  <c r="CX1247" i="48"/>
  <c r="CW1247" i="48"/>
  <c r="CX598" i="48"/>
  <c r="CW598" i="48"/>
  <c r="CV598" i="48"/>
  <c r="CX367" i="48"/>
  <c r="CV367" i="48"/>
  <c r="CW367" i="48"/>
  <c r="CV292" i="48"/>
  <c r="CX292" i="48"/>
  <c r="CW292" i="48"/>
  <c r="CX973" i="48"/>
  <c r="CW973" i="48"/>
  <c r="CV973" i="48"/>
  <c r="CW494" i="48"/>
  <c r="CV494" i="48"/>
  <c r="CX494" i="48"/>
  <c r="CX538" i="48"/>
  <c r="CW538" i="48"/>
  <c r="CV538" i="48"/>
  <c r="CW1013" i="48"/>
  <c r="CV1013" i="48"/>
  <c r="CX1013" i="48"/>
  <c r="CX838" i="48"/>
  <c r="CW838" i="48"/>
  <c r="CV838" i="48"/>
  <c r="CW646" i="48"/>
  <c r="CV646" i="48"/>
  <c r="CX646" i="48"/>
  <c r="CW770" i="48"/>
  <c r="CX770" i="48"/>
  <c r="CV770" i="48"/>
  <c r="CV125" i="48"/>
  <c r="CX125" i="48"/>
  <c r="CW125" i="48"/>
  <c r="CW621" i="48"/>
  <c r="CX621" i="48"/>
  <c r="CV621" i="48"/>
  <c r="CX1097" i="48"/>
  <c r="CW1097" i="48"/>
  <c r="CV1097" i="48"/>
  <c r="CV1018" i="48"/>
  <c r="CX1018" i="48"/>
  <c r="CW1018" i="48"/>
  <c r="CX271" i="48"/>
  <c r="CW271" i="48"/>
  <c r="CV271" i="48"/>
  <c r="CW1094" i="48"/>
  <c r="CV1094" i="48"/>
  <c r="CX1094" i="48"/>
  <c r="CW768" i="48"/>
  <c r="CV768" i="48"/>
  <c r="CX768" i="48"/>
  <c r="CX867" i="48"/>
  <c r="CW867" i="48"/>
  <c r="CV867" i="48"/>
  <c r="CV413" i="48"/>
  <c r="CX413" i="48"/>
  <c r="CW413" i="48"/>
  <c r="CW799" i="48"/>
  <c r="CV799" i="48"/>
  <c r="CX799" i="48"/>
  <c r="CX124" i="48"/>
  <c r="CW124" i="48"/>
  <c r="CV124" i="48"/>
  <c r="CX1197" i="48"/>
  <c r="CW1197" i="48"/>
  <c r="CV1197" i="48"/>
  <c r="CX795" i="48"/>
  <c r="CW795" i="48"/>
  <c r="CV795" i="48"/>
  <c r="CV695" i="48"/>
  <c r="CX695" i="48"/>
  <c r="CW695" i="48"/>
  <c r="CX113" i="48"/>
  <c r="CW113" i="48"/>
  <c r="CV113" i="48"/>
  <c r="CX390" i="48"/>
  <c r="CW390" i="48"/>
  <c r="CV390" i="48"/>
  <c r="CX787" i="48"/>
  <c r="CW787" i="48"/>
  <c r="CV787" i="48"/>
  <c r="CW474" i="48"/>
  <c r="CV474" i="48"/>
  <c r="CX474" i="48"/>
  <c r="CV587" i="48"/>
  <c r="CX587" i="48"/>
  <c r="CW587" i="48"/>
  <c r="CV218" i="48"/>
  <c r="CX218" i="48"/>
  <c r="CW218" i="48"/>
  <c r="CX1215" i="48"/>
  <c r="CW1215" i="48"/>
  <c r="CV1215" i="48"/>
  <c r="CX988" i="48"/>
  <c r="CW988" i="48"/>
  <c r="CV988" i="48"/>
  <c r="CX617" i="48"/>
  <c r="CW617" i="48"/>
  <c r="CV617" i="48"/>
  <c r="CX464" i="48"/>
  <c r="CV464" i="48"/>
  <c r="CW464" i="48"/>
  <c r="CW742" i="48"/>
  <c r="CX742" i="48"/>
  <c r="CV742" i="48"/>
  <c r="CX171" i="48"/>
  <c r="CW171" i="48"/>
  <c r="CV171" i="48"/>
  <c r="CW675" i="48"/>
  <c r="CV675" i="48"/>
  <c r="CX675" i="48"/>
  <c r="CV320" i="48"/>
  <c r="CX320" i="48"/>
  <c r="CW320" i="48"/>
  <c r="CV244" i="48"/>
  <c r="CX244" i="48"/>
  <c r="CW244" i="48"/>
  <c r="CV843" i="48"/>
  <c r="CX843" i="48"/>
  <c r="CW843" i="48"/>
  <c r="CV99" i="48"/>
  <c r="CX99" i="48"/>
  <c r="CW99" i="48"/>
  <c r="CX222" i="48"/>
  <c r="CW222" i="48"/>
  <c r="CV222" i="48"/>
  <c r="CX1139" i="48"/>
  <c r="CW1139" i="48"/>
  <c r="CV1139" i="48"/>
  <c r="CX393" i="48"/>
  <c r="CW393" i="48"/>
  <c r="CV393" i="48"/>
  <c r="CX1261" i="48"/>
  <c r="CW1261" i="48"/>
  <c r="CV1261" i="48"/>
  <c r="CX362" i="48"/>
  <c r="CW362" i="48"/>
  <c r="CV362" i="48"/>
  <c r="CX1218" i="48"/>
  <c r="CW1218" i="48"/>
  <c r="CV1218" i="48"/>
  <c r="CX1075" i="48"/>
  <c r="CW1075" i="48"/>
  <c r="CV1075" i="48"/>
  <c r="CX862" i="48"/>
  <c r="CV862" i="48"/>
  <c r="CW862" i="48"/>
  <c r="CV189" i="48"/>
  <c r="CX189" i="48"/>
  <c r="CW189" i="48"/>
  <c r="CX637" i="48"/>
  <c r="CW637" i="48"/>
  <c r="CV637" i="48"/>
  <c r="CX336" i="48"/>
  <c r="CW336" i="48"/>
  <c r="CV336" i="48"/>
  <c r="CX499" i="48"/>
  <c r="CW499" i="48"/>
  <c r="CV499" i="48"/>
  <c r="CW724" i="48"/>
  <c r="CX724" i="48"/>
  <c r="CV724" i="48"/>
  <c r="CX1193" i="48"/>
  <c r="CW1193" i="48"/>
  <c r="CV1193" i="48"/>
  <c r="CV1172" i="48"/>
  <c r="CX1172" i="48"/>
  <c r="CW1172" i="48"/>
  <c r="CX140" i="48"/>
  <c r="CW140" i="48"/>
  <c r="CV140" i="48"/>
  <c r="CX345" i="48"/>
  <c r="CW345" i="48"/>
  <c r="CV345" i="48"/>
  <c r="CV847" i="48"/>
  <c r="CX847" i="48"/>
  <c r="CW847" i="48"/>
  <c r="CX443" i="48"/>
  <c r="CV443" i="48"/>
  <c r="CW443" i="48"/>
  <c r="CV1262" i="48"/>
  <c r="CX1262" i="48"/>
  <c r="CW1262" i="48"/>
  <c r="CW418" i="48"/>
  <c r="CV418" i="48"/>
  <c r="CX418" i="48"/>
  <c r="CW644" i="48"/>
  <c r="CV644" i="48"/>
  <c r="CX644" i="48"/>
  <c r="CX1299" i="48"/>
  <c r="CW1299" i="48"/>
  <c r="CV1299" i="48"/>
  <c r="CV924" i="48"/>
  <c r="CX924" i="48"/>
  <c r="CW924" i="48"/>
  <c r="CX690" i="48"/>
  <c r="CW690" i="48"/>
  <c r="CV690" i="48"/>
  <c r="CW1138" i="48"/>
  <c r="CV1138" i="48"/>
  <c r="CX1138" i="48"/>
  <c r="CX1113" i="48"/>
  <c r="CW1113" i="48"/>
  <c r="CV1113" i="48"/>
  <c r="CV693" i="48"/>
  <c r="CX693" i="48"/>
  <c r="CW693" i="48"/>
  <c r="CV370" i="48"/>
  <c r="CW370" i="48"/>
  <c r="CX370" i="48"/>
  <c r="CX1343" i="48"/>
  <c r="CW1343" i="48"/>
  <c r="CV1343" i="48"/>
  <c r="CV1266" i="48"/>
  <c r="CX1266" i="48"/>
  <c r="CW1266" i="48"/>
  <c r="CV423" i="48"/>
  <c r="CX423" i="48"/>
  <c r="CW423" i="48"/>
  <c r="CX820" i="48"/>
  <c r="CW820" i="48"/>
  <c r="CV820" i="48"/>
  <c r="CX467" i="48"/>
  <c r="CV467" i="48"/>
  <c r="CW467" i="48"/>
  <c r="CX489" i="48"/>
  <c r="CV489" i="48"/>
  <c r="CW489" i="48"/>
  <c r="CX649" i="48"/>
  <c r="CW649" i="48"/>
  <c r="CV649" i="48"/>
  <c r="CX1222" i="48"/>
  <c r="CW1222" i="48"/>
  <c r="CV1222" i="48"/>
  <c r="CX1336" i="48"/>
  <c r="CW1336" i="48"/>
  <c r="CV1336" i="48"/>
  <c r="CW720" i="48"/>
  <c r="CV720" i="48"/>
  <c r="CX720" i="48"/>
  <c r="CW564" i="48"/>
  <c r="CV564" i="48"/>
  <c r="CX564" i="48"/>
  <c r="CV1016" i="48"/>
  <c r="CX1016" i="48"/>
  <c r="CW1016" i="48"/>
  <c r="CX614" i="48"/>
  <c r="CW614" i="48"/>
  <c r="CV614" i="48"/>
  <c r="CX692" i="48"/>
  <c r="CW692" i="48"/>
  <c r="CV692" i="48"/>
  <c r="CV773" i="48"/>
  <c r="CX773" i="48"/>
  <c r="CW773" i="48"/>
  <c r="CX1319" i="48"/>
  <c r="CW1319" i="48"/>
  <c r="CV1319" i="48"/>
  <c r="CV723" i="48"/>
  <c r="CW723" i="48"/>
  <c r="CX723" i="48"/>
  <c r="CX243" i="48"/>
  <c r="CW243" i="48"/>
  <c r="CV243" i="48"/>
  <c r="CV1114" i="48"/>
  <c r="CX1114" i="48"/>
  <c r="CW1114" i="48"/>
  <c r="CV717" i="48"/>
  <c r="CX717" i="48"/>
  <c r="CW717" i="48"/>
  <c r="CX1323" i="48"/>
  <c r="CW1323" i="48"/>
  <c r="CV1323" i="48"/>
  <c r="CW674" i="48"/>
  <c r="CV674" i="48"/>
  <c r="CX674" i="48"/>
  <c r="CV195" i="48"/>
  <c r="CX195" i="48"/>
  <c r="CW195" i="48"/>
  <c r="CV146" i="48"/>
  <c r="CX146" i="48"/>
  <c r="CW146" i="48"/>
  <c r="CX1195" i="48"/>
  <c r="CV1195" i="48"/>
  <c r="CW1195" i="48"/>
  <c r="CW518" i="48"/>
  <c r="CV518" i="48"/>
  <c r="CX518" i="48"/>
  <c r="CX792" i="48"/>
  <c r="CW792" i="48"/>
  <c r="CV792" i="48"/>
  <c r="CV1324" i="48"/>
  <c r="CX1324" i="48"/>
  <c r="CW1324" i="48"/>
  <c r="CV323" i="48"/>
  <c r="CX323" i="48"/>
  <c r="CW323" i="48"/>
  <c r="CW672" i="48"/>
  <c r="CV672" i="48"/>
  <c r="CX672" i="48"/>
  <c r="CX1191" i="48"/>
  <c r="CV1191" i="48"/>
  <c r="CW1191" i="48"/>
  <c r="CX1198" i="48"/>
  <c r="CW1198" i="48"/>
  <c r="CV1198" i="48"/>
  <c r="CX1348" i="48"/>
  <c r="CW1348" i="48"/>
  <c r="CV1348" i="48"/>
  <c r="CV1164" i="48"/>
  <c r="CX1164" i="48"/>
  <c r="CW1164" i="48"/>
  <c r="CW516" i="48"/>
  <c r="CV516" i="48"/>
  <c r="CX516" i="48"/>
  <c r="CX1216" i="48"/>
  <c r="CW1216" i="48"/>
  <c r="CV1216" i="48"/>
  <c r="CX919" i="48"/>
  <c r="CW919" i="48"/>
  <c r="CV919" i="48"/>
  <c r="CV1124" i="48"/>
  <c r="CW1124" i="48"/>
  <c r="CX1124" i="48"/>
  <c r="CX491" i="48"/>
  <c r="CV491" i="48"/>
  <c r="CW491" i="48"/>
  <c r="CX645" i="48"/>
  <c r="CW645" i="48"/>
  <c r="CV645" i="48"/>
  <c r="CX347" i="48"/>
  <c r="CV347" i="48"/>
  <c r="CW347" i="48"/>
  <c r="CX1211" i="48"/>
  <c r="CW1211" i="48"/>
  <c r="CV1211" i="48"/>
  <c r="CX548" i="48"/>
  <c r="CW548" i="48"/>
  <c r="CV548" i="48"/>
  <c r="CW416" i="48"/>
  <c r="CV416" i="48"/>
  <c r="CX416" i="48"/>
  <c r="CX743" i="48"/>
  <c r="CV743" i="48"/>
  <c r="CW743" i="48"/>
  <c r="CX995" i="48"/>
  <c r="CW995" i="48"/>
  <c r="CV995" i="48"/>
  <c r="CX70" i="48"/>
  <c r="CW70" i="48"/>
  <c r="CV70" i="48"/>
  <c r="CV138" i="48"/>
  <c r="CX138" i="48"/>
  <c r="CW138" i="48"/>
  <c r="CV565" i="48"/>
  <c r="CX565" i="48"/>
  <c r="CW565" i="48"/>
  <c r="CV567" i="48"/>
  <c r="CX567" i="48"/>
  <c r="CW567" i="48"/>
  <c r="CX262" i="48"/>
  <c r="CW262" i="48"/>
  <c r="CV262" i="48"/>
  <c r="CW562" i="48"/>
  <c r="CV562" i="48"/>
  <c r="CX562" i="48"/>
  <c r="CW264" i="48"/>
  <c r="CV264" i="48"/>
  <c r="CX264" i="48"/>
  <c r="CW1294" i="48"/>
  <c r="CV1294" i="48"/>
  <c r="CX1294" i="48"/>
  <c r="CX688" i="48"/>
  <c r="CW688" i="48"/>
  <c r="CV688" i="48"/>
  <c r="CX698" i="48"/>
  <c r="CW698" i="48"/>
  <c r="CV698" i="48"/>
  <c r="CX592" i="48"/>
  <c r="CW592" i="48"/>
  <c r="CV592" i="48"/>
  <c r="CW722" i="48"/>
  <c r="CX722" i="48"/>
  <c r="CV722" i="48"/>
  <c r="CW211" i="48"/>
  <c r="CV211" i="48"/>
  <c r="CX211" i="48"/>
  <c r="CX1000" i="48"/>
  <c r="CW1000" i="48"/>
  <c r="CV1000" i="48"/>
  <c r="CV1170" i="48"/>
  <c r="CX1170" i="48"/>
  <c r="CW1170" i="48"/>
  <c r="CW167" i="48"/>
  <c r="CV167" i="48"/>
  <c r="CX167" i="48"/>
  <c r="CV523" i="48"/>
  <c r="CX523" i="48"/>
  <c r="CW523" i="48"/>
  <c r="CX62" i="48"/>
  <c r="CW62" i="48"/>
  <c r="CV62" i="48"/>
  <c r="CX191" i="48"/>
  <c r="CW191" i="48"/>
  <c r="CV191" i="48"/>
  <c r="CX437" i="48"/>
  <c r="CV437" i="48"/>
  <c r="CW437" i="48"/>
  <c r="CV671" i="48"/>
  <c r="CX671" i="48"/>
  <c r="CW671" i="48"/>
  <c r="CX1242" i="48"/>
  <c r="CW1242" i="48"/>
  <c r="CV1242" i="48"/>
  <c r="CX93" i="48"/>
  <c r="CW93" i="48"/>
  <c r="CV93" i="48"/>
  <c r="CX1040" i="48"/>
  <c r="CW1040" i="48"/>
  <c r="CV1040" i="48"/>
  <c r="CX866" i="48"/>
  <c r="CV866" i="48"/>
  <c r="CW866" i="48"/>
  <c r="CV916" i="48"/>
  <c r="CX916" i="48"/>
  <c r="CW916" i="48"/>
  <c r="CX863" i="48"/>
  <c r="CW863" i="48"/>
  <c r="CV863" i="48"/>
  <c r="CX913" i="48"/>
  <c r="CW913" i="48"/>
  <c r="CV913" i="48"/>
  <c r="CX715" i="48"/>
  <c r="CW715" i="48"/>
  <c r="CV715" i="48"/>
  <c r="CW738" i="48"/>
  <c r="CV738" i="48"/>
  <c r="CX738" i="48"/>
  <c r="CX1263" i="48"/>
  <c r="CW1263" i="48"/>
  <c r="CV1263" i="48"/>
  <c r="CX624" i="48"/>
  <c r="CW624" i="48"/>
  <c r="CV624" i="48"/>
  <c r="CV1274" i="48"/>
  <c r="CX1274" i="48"/>
  <c r="CW1274" i="48"/>
  <c r="CX369" i="48"/>
  <c r="CW369" i="48"/>
  <c r="CV369" i="48"/>
  <c r="CX212" i="48"/>
  <c r="CW212" i="48"/>
  <c r="CV212" i="48"/>
  <c r="CX449" i="48"/>
  <c r="CV449" i="48"/>
  <c r="CW449" i="48"/>
  <c r="CV569" i="48"/>
  <c r="CX569" i="48"/>
  <c r="CW569" i="48"/>
  <c r="CW448" i="48"/>
  <c r="CX448" i="48"/>
  <c r="CV448" i="48"/>
  <c r="CV850" i="48"/>
  <c r="CX850" i="48"/>
  <c r="CW850" i="48"/>
  <c r="CX220" i="48"/>
  <c r="CW220" i="48"/>
  <c r="CV220" i="48"/>
  <c r="CX870" i="48"/>
  <c r="CV870" i="48"/>
  <c r="CW870" i="48"/>
  <c r="CX1049" i="48"/>
  <c r="CW1049" i="48"/>
  <c r="CV1049" i="48"/>
  <c r="CV600" i="48"/>
  <c r="CX600" i="48"/>
  <c r="CW600" i="48"/>
  <c r="CX1149" i="48"/>
  <c r="CW1149" i="48"/>
  <c r="CV1149" i="48"/>
  <c r="CX341" i="48"/>
  <c r="CV341" i="48"/>
  <c r="CW341" i="48"/>
  <c r="CX812" i="48"/>
  <c r="CW812" i="48"/>
  <c r="CV812" i="48"/>
  <c r="CV439" i="48"/>
  <c r="CW439" i="48"/>
  <c r="CX439" i="48"/>
  <c r="CV962" i="48"/>
  <c r="CX962" i="48"/>
  <c r="CW962" i="48"/>
  <c r="CW492" i="48"/>
  <c r="CX492" i="48"/>
  <c r="CV492" i="48"/>
  <c r="CX814" i="48"/>
  <c r="CW814" i="48"/>
  <c r="CV814" i="48"/>
  <c r="CW572" i="48"/>
  <c r="CV572" i="48"/>
  <c r="CX572" i="48"/>
  <c r="CX346" i="48"/>
  <c r="CW346" i="48"/>
  <c r="CV346" i="48"/>
  <c r="CX1111" i="48"/>
  <c r="CV1111" i="48"/>
  <c r="CW1111" i="48"/>
  <c r="CX163" i="48"/>
  <c r="CW163" i="48"/>
  <c r="CV163" i="48"/>
  <c r="CX1171" i="48"/>
  <c r="CW1171" i="48"/>
  <c r="CV1171" i="48"/>
  <c r="CW666" i="48"/>
  <c r="CV666" i="48"/>
  <c r="CX666" i="48"/>
  <c r="CX1145" i="48"/>
  <c r="CW1145" i="48"/>
  <c r="CV1145" i="48"/>
  <c r="CX542" i="48"/>
  <c r="CW542" i="48"/>
  <c r="CV542" i="48"/>
  <c r="CX337" i="48"/>
  <c r="CW337" i="48"/>
  <c r="CV337" i="48"/>
  <c r="CV972" i="48"/>
  <c r="CX972" i="48"/>
  <c r="CW972" i="48"/>
  <c r="CX1147" i="48"/>
  <c r="CW1147" i="48"/>
  <c r="CV1147" i="48"/>
  <c r="CW72" i="48"/>
  <c r="CV72" i="48"/>
  <c r="CX72" i="48"/>
  <c r="CV315" i="48"/>
  <c r="CX315" i="48"/>
  <c r="CW315" i="48"/>
  <c r="CX65" i="48"/>
  <c r="CV65" i="48"/>
  <c r="CW65" i="48"/>
  <c r="CX1062" i="48"/>
  <c r="CW1062" i="48"/>
  <c r="CV1062" i="48"/>
  <c r="CV912" i="48"/>
  <c r="CX912" i="48"/>
  <c r="CW912" i="48"/>
  <c r="CW642" i="48"/>
  <c r="CV642" i="48"/>
  <c r="CX642" i="48"/>
  <c r="CX1044" i="48"/>
  <c r="CW1044" i="48"/>
  <c r="CV1044" i="48"/>
  <c r="CX265" i="48"/>
  <c r="CW265" i="48"/>
  <c r="CV265" i="48"/>
  <c r="CV1024" i="48"/>
  <c r="CX1024" i="48"/>
  <c r="CW1024" i="48"/>
  <c r="CX686" i="48"/>
  <c r="CW686" i="48"/>
  <c r="CV686" i="48"/>
  <c r="CX1349" i="48"/>
  <c r="CW1349" i="48"/>
  <c r="CV1349" i="48"/>
  <c r="CX1042" i="48"/>
  <c r="CW1042" i="48"/>
  <c r="CV1042" i="48"/>
  <c r="CX145" i="48"/>
  <c r="CW145" i="48"/>
  <c r="CV145" i="48"/>
  <c r="CV769" i="48"/>
  <c r="CX769" i="48"/>
  <c r="CW769" i="48"/>
  <c r="CX237" i="48"/>
  <c r="CW237" i="48"/>
  <c r="CV237" i="48"/>
  <c r="CW568" i="48"/>
  <c r="CV568" i="48"/>
  <c r="CX568" i="48"/>
  <c r="CX1089" i="48"/>
  <c r="CW1089" i="48"/>
  <c r="CV1089" i="48"/>
  <c r="CG3" i="48"/>
  <c r="CV40" i="48"/>
  <c r="CW40" i="48"/>
  <c r="CX40" i="48"/>
  <c r="CW45" i="48"/>
  <c r="CV45" i="48"/>
  <c r="CX45" i="48"/>
  <c r="CV46" i="48"/>
  <c r="CX46" i="48"/>
  <c r="CW46" i="48"/>
  <c r="CW47" i="48"/>
  <c r="CX47" i="48"/>
  <c r="CV47" i="48"/>
  <c r="CV36" i="48"/>
  <c r="CW36" i="48"/>
  <c r="CX36" i="48"/>
  <c r="CW41" i="48"/>
  <c r="CV41" i="48"/>
  <c r="CX41" i="48"/>
  <c r="CW39" i="48"/>
  <c r="CX39" i="48"/>
  <c r="CV39" i="48"/>
  <c r="CW49" i="48"/>
  <c r="CV49" i="48"/>
  <c r="CX49" i="48"/>
  <c r="CW43" i="48"/>
  <c r="CV43" i="48"/>
  <c r="CX43" i="48"/>
  <c r="CX50" i="48"/>
  <c r="CW50" i="48"/>
  <c r="CV50" i="48"/>
  <c r="CV48" i="48"/>
  <c r="CW48" i="48"/>
  <c r="CX48" i="48"/>
  <c r="CV44" i="48"/>
  <c r="CX44" i="48"/>
  <c r="CW44" i="48"/>
  <c r="CV38" i="48"/>
  <c r="CW38" i="48"/>
  <c r="CX38" i="48"/>
  <c r="CV42" i="48"/>
  <c r="CW42" i="48"/>
  <c r="CX42" i="48"/>
  <c r="CW37" i="48"/>
  <c r="CX37" i="48"/>
  <c r="CV37" i="48"/>
  <c r="CV25" i="48"/>
  <c r="CX25" i="48"/>
  <c r="CX14" i="48"/>
  <c r="CV14" i="48"/>
  <c r="CX23" i="48"/>
  <c r="CV23" i="48"/>
  <c r="CV20" i="48"/>
  <c r="CX20" i="48"/>
  <c r="CX11" i="48"/>
  <c r="CV11" i="48"/>
  <c r="CX18" i="48"/>
  <c r="CV18" i="48"/>
  <c r="CV12" i="48"/>
  <c r="CX12" i="48"/>
  <c r="CV13" i="48"/>
  <c r="CX13" i="48"/>
  <c r="CV16" i="48"/>
  <c r="CX16" i="48"/>
  <c r="CX22" i="48"/>
  <c r="CV22" i="48"/>
  <c r="CX21" i="48"/>
  <c r="CV21" i="48"/>
  <c r="CV24" i="48"/>
  <c r="CX24" i="48"/>
  <c r="CX17" i="48"/>
  <c r="CV17" i="48"/>
  <c r="CX15" i="48"/>
  <c r="CV15" i="48"/>
  <c r="CX19" i="48"/>
  <c r="CV19" i="48"/>
  <c r="CS703" i="48" l="1"/>
  <c r="DB628" i="48"/>
  <c r="CS678" i="48"/>
  <c r="DB678" i="48" s="1"/>
  <c r="CS427" i="48"/>
  <c r="DB427" i="48" s="1"/>
  <c r="CY369" i="48"/>
  <c r="CY1274" i="48"/>
  <c r="CY1263" i="48"/>
  <c r="CY692" i="48"/>
  <c r="CY1016" i="48"/>
  <c r="CY1266" i="48"/>
  <c r="CY693" i="48"/>
  <c r="CY1113" i="48"/>
  <c r="CY690" i="48"/>
  <c r="CY924" i="48"/>
  <c r="CY644" i="48"/>
  <c r="CY1262" i="48"/>
  <c r="CY847" i="48"/>
  <c r="CY843" i="48"/>
  <c r="CY315" i="48"/>
  <c r="CY715" i="48"/>
  <c r="CY913" i="48"/>
  <c r="CY863" i="48"/>
  <c r="CY916" i="48"/>
  <c r="CY244" i="48"/>
  <c r="CY145" i="48"/>
  <c r="CY1147" i="48"/>
  <c r="CY337" i="48"/>
  <c r="CY1145" i="48"/>
  <c r="CY448" i="48"/>
  <c r="CY569" i="48"/>
  <c r="CY1242" i="48"/>
  <c r="CY671" i="48"/>
  <c r="CY437" i="48"/>
  <c r="CY191" i="48"/>
  <c r="CY1294" i="48"/>
  <c r="CY995" i="48"/>
  <c r="CY743" i="48"/>
  <c r="CY347" i="48"/>
  <c r="CY645" i="48"/>
  <c r="CY491" i="48"/>
  <c r="CY1216" i="48"/>
  <c r="CY1348" i="48"/>
  <c r="CY1191" i="48"/>
  <c r="CY1195" i="48"/>
  <c r="CY146" i="48"/>
  <c r="CY674" i="48"/>
  <c r="CY1323" i="48"/>
  <c r="CY717" i="48"/>
  <c r="CY1193" i="48"/>
  <c r="CY499" i="48"/>
  <c r="CY336" i="48"/>
  <c r="CY637" i="48"/>
  <c r="CY474" i="48"/>
  <c r="CY695" i="48"/>
  <c r="CY1094" i="48"/>
  <c r="CY973" i="48"/>
  <c r="CY292" i="48"/>
  <c r="CY367" i="48"/>
  <c r="CY598" i="48"/>
  <c r="CY594" i="48"/>
  <c r="CY296" i="48"/>
  <c r="CY147" i="48"/>
  <c r="CY412" i="48"/>
  <c r="CY470" i="48"/>
  <c r="CY224" i="48"/>
  <c r="CY200" i="48"/>
  <c r="CY796" i="48"/>
  <c r="CY790" i="48"/>
  <c r="CY1150" i="48"/>
  <c r="CY422" i="48"/>
  <c r="CY1048" i="48"/>
  <c r="CY419" i="48"/>
  <c r="CY1119" i="48"/>
  <c r="CY424" i="48"/>
  <c r="CY574" i="48"/>
  <c r="CY920" i="48"/>
  <c r="CY1267" i="48"/>
  <c r="CY241" i="48"/>
  <c r="CY168" i="48"/>
  <c r="CY514" i="48"/>
  <c r="CY316" i="48"/>
  <c r="CY490" i="48"/>
  <c r="CY1090" i="48"/>
  <c r="CY238" i="48"/>
  <c r="CY923" i="48"/>
  <c r="CY1161" i="48"/>
  <c r="CY1100" i="48"/>
  <c r="CY1022" i="48"/>
  <c r="CY219" i="48"/>
  <c r="CY848" i="48"/>
  <c r="CY519" i="48"/>
  <c r="CY375" i="48"/>
  <c r="CY711" i="48"/>
  <c r="CY1043" i="48"/>
  <c r="CY1249" i="48"/>
  <c r="CY898" i="48"/>
  <c r="CY663" i="48"/>
  <c r="CY791" i="48"/>
  <c r="CY914" i="48"/>
  <c r="CY291" i="48"/>
  <c r="CY922" i="48"/>
  <c r="CY1023" i="48"/>
  <c r="CY1070" i="48"/>
  <c r="CY921" i="48"/>
  <c r="CY894" i="48"/>
  <c r="CY366" i="48"/>
  <c r="CY317" i="48"/>
  <c r="CY361" i="48"/>
  <c r="CY421" i="48"/>
  <c r="CY293" i="48"/>
  <c r="CY625" i="48"/>
  <c r="CY1221" i="48"/>
  <c r="CY198" i="48"/>
  <c r="CY175" i="48"/>
  <c r="CY473" i="48"/>
  <c r="CY67" i="48"/>
  <c r="CY312" i="48"/>
  <c r="CY194" i="48"/>
  <c r="CY966" i="48"/>
  <c r="CY1168" i="48"/>
  <c r="CY1264" i="48"/>
  <c r="CY747" i="48"/>
  <c r="CY718" i="48"/>
  <c r="CY842" i="48"/>
  <c r="CY763" i="48"/>
  <c r="CY611" i="48"/>
  <c r="CY740" i="48"/>
  <c r="CY442" i="48"/>
  <c r="CY365" i="48"/>
  <c r="CY593" i="48"/>
  <c r="CY950" i="48"/>
  <c r="CY613" i="48"/>
  <c r="CY1121" i="48"/>
  <c r="CY766" i="48"/>
  <c r="CY311" i="48"/>
  <c r="CY1223" i="48"/>
  <c r="CY475" i="48"/>
  <c r="CY515" i="48"/>
  <c r="CY993" i="48"/>
  <c r="CY246" i="48"/>
  <c r="CY846" i="48"/>
  <c r="CY425" i="48"/>
  <c r="CY748" i="48"/>
  <c r="CY800" i="48"/>
  <c r="CY673" i="48"/>
  <c r="CY837" i="48"/>
  <c r="CY539" i="48"/>
  <c r="CY618" i="48"/>
  <c r="CY463" i="48"/>
  <c r="CY1036" i="48"/>
  <c r="CY94" i="48"/>
  <c r="CY917" i="48"/>
  <c r="CY1040" i="48"/>
  <c r="CY172" i="48"/>
  <c r="CY865" i="48"/>
  <c r="CY1136" i="48"/>
  <c r="CY1125" i="48"/>
  <c r="CY122" i="48"/>
  <c r="CY74" i="48"/>
  <c r="CY290" i="48"/>
  <c r="CY263" i="48"/>
  <c r="CY123" i="48"/>
  <c r="CY570" i="48"/>
  <c r="CY100" i="48"/>
  <c r="CY71" i="48"/>
  <c r="CY197" i="48"/>
  <c r="CY1042" i="48"/>
  <c r="CY686" i="48"/>
  <c r="CY1024" i="48"/>
  <c r="CY265" i="48"/>
  <c r="CY346" i="48"/>
  <c r="CY962" i="48"/>
  <c r="CY600" i="48"/>
  <c r="CY62" i="48"/>
  <c r="CY195" i="48"/>
  <c r="CY1044" i="48"/>
  <c r="CY1170" i="48"/>
  <c r="CY567" i="48"/>
  <c r="CY565" i="48"/>
  <c r="CY138" i="48"/>
  <c r="CY70" i="48"/>
  <c r="CY140" i="48"/>
  <c r="CY1261" i="48"/>
  <c r="CY617" i="48"/>
  <c r="CY1215" i="48"/>
  <c r="CY218" i="48"/>
  <c r="CY1018" i="48"/>
  <c r="CY125" i="48"/>
  <c r="CY344" i="48"/>
  <c r="CY762" i="48"/>
  <c r="CY965" i="48"/>
  <c r="CY1045" i="48"/>
  <c r="CY937" i="48"/>
  <c r="CY648" i="48"/>
  <c r="CY166" i="48"/>
  <c r="CY1122" i="48"/>
  <c r="CY845" i="48"/>
  <c r="CY615" i="48"/>
  <c r="CY314" i="48"/>
  <c r="CY1190" i="48"/>
  <c r="CY1219" i="48"/>
  <c r="CY772" i="48"/>
  <c r="CY619" i="48"/>
  <c r="CY1169" i="48"/>
  <c r="CY298" i="48"/>
  <c r="CY943" i="48"/>
  <c r="CY1188" i="48"/>
  <c r="CY1174" i="48"/>
  <c r="CY415" i="48"/>
  <c r="CY1265" i="48"/>
  <c r="CY1268" i="48"/>
  <c r="CY1312" i="48"/>
  <c r="CY589" i="48"/>
  <c r="CY694" i="48"/>
  <c r="CY1245" i="48"/>
  <c r="CY386" i="48"/>
  <c r="CY595" i="48"/>
  <c r="CY91" i="48"/>
  <c r="CY588" i="48"/>
  <c r="CY1269" i="48"/>
  <c r="CY591" i="48"/>
  <c r="CY942" i="48"/>
  <c r="CY165" i="48"/>
  <c r="CY964" i="48"/>
  <c r="CY324" i="48"/>
  <c r="CY936" i="48"/>
  <c r="CY575" i="48"/>
  <c r="CY696" i="48"/>
  <c r="CY546" i="48"/>
  <c r="CY963" i="48"/>
  <c r="CY1117" i="48"/>
  <c r="CY1243" i="48"/>
  <c r="CY371" i="48"/>
  <c r="CY1118" i="48"/>
  <c r="CY544" i="48"/>
  <c r="CY338" i="48"/>
  <c r="CY746" i="48"/>
  <c r="CY1025" i="48"/>
  <c r="CY398" i="48"/>
  <c r="CY372" i="48"/>
  <c r="CY319" i="48"/>
  <c r="CY496" i="48"/>
  <c r="CY1166" i="48"/>
  <c r="CY915" i="48"/>
  <c r="CY92" i="48"/>
  <c r="CY764" i="48"/>
  <c r="CY640" i="48"/>
  <c r="CY700" i="48"/>
  <c r="CY713" i="48"/>
  <c r="CY974" i="48"/>
  <c r="CY1163" i="48"/>
  <c r="CY697" i="48"/>
  <c r="CY566" i="48"/>
  <c r="CY969" i="48"/>
  <c r="CY520" i="48"/>
  <c r="CY887" i="48"/>
  <c r="CY899" i="48"/>
  <c r="CY1250" i="48"/>
  <c r="CY841" i="48"/>
  <c r="CY364" i="48"/>
  <c r="CY97" i="48"/>
  <c r="CY417" i="48"/>
  <c r="CY388" i="48"/>
  <c r="CY73" i="48"/>
  <c r="CY891" i="48"/>
  <c r="CY947" i="48"/>
  <c r="CY465" i="48"/>
  <c r="CY1123" i="48"/>
  <c r="CY1194" i="48"/>
  <c r="CY242" i="48"/>
  <c r="CY1217" i="48"/>
  <c r="CY996" i="48"/>
  <c r="CY462" i="48"/>
  <c r="CY119" i="48"/>
  <c r="CY1270" i="48"/>
  <c r="CY88" i="48"/>
  <c r="CY769" i="48"/>
  <c r="CY1062" i="48"/>
  <c r="CY65" i="48"/>
  <c r="CY666" i="48"/>
  <c r="CY1171" i="48"/>
  <c r="CY449" i="48"/>
  <c r="CY212" i="48"/>
  <c r="CY523" i="48"/>
  <c r="CY167" i="48"/>
  <c r="CY698" i="48"/>
  <c r="CY264" i="48"/>
  <c r="CY416" i="48"/>
  <c r="CY1124" i="48"/>
  <c r="CY919" i="48"/>
  <c r="CY516" i="48"/>
  <c r="CY672" i="48"/>
  <c r="CY792" i="48"/>
  <c r="CY518" i="48"/>
  <c r="CY243" i="48"/>
  <c r="CY675" i="48"/>
  <c r="CY787" i="48"/>
  <c r="CY799" i="48"/>
  <c r="CY413" i="48"/>
  <c r="CY768" i="48"/>
  <c r="CY1013" i="48"/>
  <c r="CY946" i="48"/>
  <c r="CY1041" i="48"/>
  <c r="CY440" i="48"/>
  <c r="CY348" i="48"/>
  <c r="CY789" i="48"/>
  <c r="CY1350" i="48"/>
  <c r="CY736" i="48"/>
  <c r="CY1337" i="48"/>
  <c r="CY493" i="48"/>
  <c r="CY669" i="48"/>
  <c r="CY1098" i="48"/>
  <c r="CY1291" i="48"/>
  <c r="CY1338" i="48"/>
  <c r="CY623" i="48"/>
  <c r="CY1297" i="48"/>
  <c r="CY75" i="48"/>
  <c r="CY98" i="48"/>
  <c r="CY240" i="48"/>
  <c r="CY170" i="48"/>
  <c r="CY1313" i="48"/>
  <c r="CY1342" i="48"/>
  <c r="CY87" i="48"/>
  <c r="CY223" i="48"/>
  <c r="CY1068" i="48"/>
  <c r="CY225" i="48"/>
  <c r="CY400" i="48"/>
  <c r="CY714" i="48"/>
  <c r="CY549" i="48"/>
  <c r="CY1074" i="48"/>
  <c r="CY1345" i="48"/>
  <c r="CY819" i="48"/>
  <c r="CY745" i="48"/>
  <c r="CY1295" i="48"/>
  <c r="CY1039" i="48"/>
  <c r="CY1064" i="48"/>
  <c r="CY712" i="48"/>
  <c r="CY187" i="48"/>
  <c r="CY872" i="48"/>
  <c r="CY1212" i="48"/>
  <c r="CY991" i="48"/>
  <c r="CY1148" i="48"/>
  <c r="CY547" i="48"/>
  <c r="CY864" i="48"/>
  <c r="CY1347" i="48"/>
  <c r="CY650" i="48"/>
  <c r="CY999" i="48"/>
  <c r="CY343" i="48"/>
  <c r="CY1142" i="48"/>
  <c r="CY350" i="48"/>
  <c r="CY248" i="48"/>
  <c r="CY641" i="48"/>
  <c r="CY821" i="48"/>
  <c r="CY844" i="48"/>
  <c r="CY971" i="48"/>
  <c r="CY363" i="48"/>
  <c r="CY1340" i="48"/>
  <c r="CY66" i="48"/>
  <c r="CY199" i="48"/>
  <c r="CY944" i="48"/>
  <c r="CY989" i="48"/>
  <c r="CY716" i="48"/>
  <c r="CY622" i="48"/>
  <c r="CY1072" i="48"/>
  <c r="CY139" i="48"/>
  <c r="CY1339" i="48"/>
  <c r="CY1214" i="48"/>
  <c r="CY739" i="48"/>
  <c r="CY612" i="48"/>
  <c r="CY1141" i="48"/>
  <c r="CY719" i="48"/>
  <c r="CY948" i="48"/>
  <c r="CY571" i="48"/>
  <c r="CY1289" i="48"/>
  <c r="CY1019" i="48"/>
  <c r="CY1071" i="48"/>
  <c r="CY1069" i="48"/>
  <c r="CY447" i="48"/>
  <c r="CY1096" i="48"/>
  <c r="CY568" i="48"/>
  <c r="CY1349" i="48"/>
  <c r="CY972" i="48"/>
  <c r="CY542" i="48"/>
  <c r="CY163" i="48"/>
  <c r="CY814" i="48"/>
  <c r="CY492" i="48"/>
  <c r="CY812" i="48"/>
  <c r="CY341" i="48"/>
  <c r="CY1149" i="48"/>
  <c r="CY1049" i="48"/>
  <c r="CY870" i="48"/>
  <c r="CY220" i="48"/>
  <c r="CY722" i="48"/>
  <c r="CY592" i="48"/>
  <c r="CY688" i="48"/>
  <c r="CY262" i="48"/>
  <c r="CY548" i="48"/>
  <c r="CY1211" i="48"/>
  <c r="CY1164" i="48"/>
  <c r="CY1198" i="48"/>
  <c r="CY323" i="48"/>
  <c r="CY1324" i="48"/>
  <c r="CY1319" i="48"/>
  <c r="CY773" i="48"/>
  <c r="CY564" i="48"/>
  <c r="CY720" i="48"/>
  <c r="CY467" i="48"/>
  <c r="CY370" i="48"/>
  <c r="CY418" i="48"/>
  <c r="CY1172" i="48"/>
  <c r="CY724" i="48"/>
  <c r="CY189" i="48"/>
  <c r="CY862" i="48"/>
  <c r="CY1075" i="48"/>
  <c r="CY1218" i="48"/>
  <c r="CY362" i="48"/>
  <c r="CY393" i="48"/>
  <c r="CY1139" i="48"/>
  <c r="CY222" i="48"/>
  <c r="CY320" i="48"/>
  <c r="CY171" i="48"/>
  <c r="CY742" i="48"/>
  <c r="CY464" i="48"/>
  <c r="CY867" i="48"/>
  <c r="CY271" i="48"/>
  <c r="CY1097" i="48"/>
  <c r="CY621" i="48"/>
  <c r="CY141" i="48"/>
  <c r="CY1275" i="48"/>
  <c r="CY445" i="48"/>
  <c r="CY374" i="48"/>
  <c r="CY120" i="48"/>
  <c r="CY273" i="48"/>
  <c r="CY1293" i="48"/>
  <c r="CY1246" i="48"/>
  <c r="CY1144" i="48"/>
  <c r="CY397" i="48"/>
  <c r="CY391" i="48"/>
  <c r="CY150" i="48"/>
  <c r="CY524" i="48"/>
  <c r="CY525" i="48"/>
  <c r="CY313" i="48"/>
  <c r="CY63" i="48"/>
  <c r="CY115" i="48"/>
  <c r="CY1316" i="48"/>
  <c r="CY1320" i="48"/>
  <c r="CY871" i="48"/>
  <c r="CY441" i="48"/>
  <c r="CY299" i="48"/>
  <c r="CY136" i="48"/>
  <c r="CY788" i="48"/>
  <c r="CY798" i="48"/>
  <c r="CY797" i="48"/>
  <c r="CY824" i="48"/>
  <c r="CY295" i="48"/>
  <c r="CY1014" i="48"/>
  <c r="CY495" i="48"/>
  <c r="CY1010" i="48"/>
  <c r="CY1173" i="48"/>
  <c r="CY239" i="48"/>
  <c r="CY289" i="48"/>
  <c r="CY1189" i="48"/>
  <c r="CY817" i="48"/>
  <c r="CY1017" i="48"/>
  <c r="CY1067" i="48"/>
  <c r="CY148" i="48"/>
  <c r="CY1186" i="48"/>
  <c r="CY174" i="48"/>
  <c r="CY438" i="48"/>
  <c r="CY1344" i="48"/>
  <c r="CY287" i="48"/>
  <c r="CY461" i="48"/>
  <c r="CY940" i="48"/>
  <c r="CY941" i="48"/>
  <c r="CY825" i="48"/>
  <c r="CY1341" i="48"/>
  <c r="CY1224" i="48"/>
  <c r="CY1092" i="48"/>
  <c r="CY813" i="48"/>
  <c r="CY349" i="48"/>
  <c r="CY389" i="48"/>
  <c r="CY86" i="48"/>
  <c r="CY144" i="48"/>
  <c r="CY620" i="48"/>
  <c r="CY394" i="48"/>
  <c r="CY949" i="48"/>
  <c r="CY545" i="48"/>
  <c r="CY1066" i="48"/>
  <c r="CY997" i="48"/>
  <c r="CY823" i="48"/>
  <c r="CY1087" i="48"/>
  <c r="CY639" i="48"/>
  <c r="CY214" i="48"/>
  <c r="CY945" i="48"/>
  <c r="CY998" i="48"/>
  <c r="CY522" i="48"/>
  <c r="CY192" i="48"/>
  <c r="CY142" i="48"/>
  <c r="CY450" i="48"/>
  <c r="CY1140" i="48"/>
  <c r="CY721" i="48"/>
  <c r="CY816" i="48"/>
  <c r="CY1236" i="48"/>
  <c r="CY339" i="48"/>
  <c r="CY1292" i="48"/>
  <c r="CY1012" i="48"/>
  <c r="CY815" i="48"/>
  <c r="CY1225" i="48"/>
  <c r="CY1146" i="48"/>
  <c r="CY662" i="48"/>
  <c r="CY1315" i="48"/>
  <c r="CY196" i="48"/>
  <c r="CY888" i="48"/>
  <c r="CY563" i="48"/>
  <c r="CY1116" i="48"/>
  <c r="CY1317" i="48"/>
  <c r="CY1311" i="48"/>
  <c r="CY217" i="48"/>
  <c r="CY661" i="48"/>
  <c r="CY1271" i="48"/>
  <c r="CY297" i="48"/>
  <c r="CY1120" i="48"/>
  <c r="CY117" i="48"/>
  <c r="CY822" i="48"/>
  <c r="CY213" i="48"/>
  <c r="CY590" i="48"/>
  <c r="CY1196" i="48"/>
  <c r="CY322" i="48"/>
  <c r="CY61" i="48"/>
  <c r="CY471" i="48"/>
  <c r="CY373" i="48"/>
  <c r="CY687" i="48"/>
  <c r="CY1093" i="48"/>
  <c r="CY169" i="48"/>
  <c r="CY396" i="48"/>
  <c r="CY938" i="48"/>
  <c r="CY1165" i="48"/>
  <c r="CY1073" i="48"/>
  <c r="CY992" i="48"/>
  <c r="CY668" i="48"/>
  <c r="CY1011" i="48"/>
  <c r="CY647" i="48"/>
  <c r="CY1088" i="48"/>
  <c r="CY275" i="48"/>
  <c r="CY892" i="48"/>
  <c r="CY725" i="48"/>
  <c r="CY975" i="48"/>
  <c r="CY793" i="48"/>
  <c r="CY1175" i="48"/>
  <c r="CY893" i="48"/>
  <c r="CY521" i="48"/>
  <c r="CY497" i="48"/>
  <c r="CY541" i="48"/>
  <c r="CY643" i="48"/>
  <c r="CY118" i="48"/>
  <c r="CY886" i="48"/>
  <c r="CY664" i="48"/>
  <c r="CY900" i="48"/>
  <c r="CY161" i="48"/>
  <c r="CY890" i="48"/>
  <c r="CY216" i="48"/>
  <c r="CY1143" i="48"/>
  <c r="CY1095" i="48"/>
  <c r="CY444" i="48"/>
  <c r="CY387" i="48"/>
  <c r="CY1089" i="48"/>
  <c r="CY237" i="48"/>
  <c r="CY642" i="48"/>
  <c r="CY912" i="48"/>
  <c r="CY72" i="48"/>
  <c r="CY1111" i="48"/>
  <c r="CY572" i="48"/>
  <c r="CY439" i="48"/>
  <c r="CY850" i="48"/>
  <c r="CY624" i="48"/>
  <c r="CY738" i="48"/>
  <c r="CY866" i="48"/>
  <c r="CY93" i="48"/>
  <c r="CY1000" i="48"/>
  <c r="CY211" i="48"/>
  <c r="CY562" i="48"/>
  <c r="CY1114" i="48"/>
  <c r="CY723" i="48"/>
  <c r="CY614" i="48"/>
  <c r="CY1336" i="48"/>
  <c r="CY1222" i="48"/>
  <c r="CY649" i="48"/>
  <c r="CY489" i="48"/>
  <c r="CY820" i="48"/>
  <c r="CY423" i="48"/>
  <c r="CY1343" i="48"/>
  <c r="CY1138" i="48"/>
  <c r="CY1299" i="48"/>
  <c r="CY443" i="48"/>
  <c r="CY345" i="48"/>
  <c r="CY99" i="48"/>
  <c r="CY988" i="48"/>
  <c r="CY587" i="48"/>
  <c r="CY390" i="48"/>
  <c r="CY113" i="48"/>
  <c r="CY795" i="48"/>
  <c r="CY1197" i="48"/>
  <c r="CY124" i="48"/>
  <c r="CY770" i="48"/>
  <c r="CY646" i="48"/>
  <c r="CY838" i="48"/>
  <c r="CY538" i="48"/>
  <c r="CY494" i="48"/>
  <c r="CY1247" i="48"/>
  <c r="CY771" i="48"/>
  <c r="CY967" i="48"/>
  <c r="CY215" i="48"/>
  <c r="CY1063" i="48"/>
  <c r="CY188" i="48"/>
  <c r="CY599" i="48"/>
  <c r="CY143" i="48"/>
  <c r="CY925" i="48"/>
  <c r="CY1240" i="48"/>
  <c r="CY1248" i="48"/>
  <c r="CY1046" i="48"/>
  <c r="CY774" i="48"/>
  <c r="CY869" i="48"/>
  <c r="CY1273" i="48"/>
  <c r="CY274" i="48"/>
  <c r="CY597" i="48"/>
  <c r="CY849" i="48"/>
  <c r="CY368" i="48"/>
  <c r="CY1167" i="48"/>
  <c r="CY1314" i="48"/>
  <c r="CY691" i="48"/>
  <c r="CY498" i="48"/>
  <c r="CY342" i="48"/>
  <c r="CY840" i="48"/>
  <c r="CY1200" i="48"/>
  <c r="CY268" i="48"/>
  <c r="CY469" i="48"/>
  <c r="CY446" i="48"/>
  <c r="CY537" i="48"/>
  <c r="CY765" i="48"/>
  <c r="CY272" i="48"/>
  <c r="CY699" i="48"/>
  <c r="CY1241" i="48"/>
  <c r="CY1346" i="48"/>
  <c r="CY1287" i="48"/>
  <c r="CY95" i="48"/>
  <c r="CY466" i="48"/>
  <c r="CY1244" i="48"/>
  <c r="CY1288" i="48"/>
  <c r="CY116" i="48"/>
  <c r="CY420" i="48"/>
  <c r="CY596" i="48"/>
  <c r="CY839" i="48"/>
  <c r="CY247" i="48"/>
  <c r="CY266" i="48"/>
  <c r="CY868" i="48"/>
  <c r="CY1298" i="48"/>
  <c r="CY1115" i="48"/>
  <c r="CY994" i="48"/>
  <c r="CY767" i="48"/>
  <c r="CY89" i="48"/>
  <c r="CY1091" i="48"/>
  <c r="CY1137" i="48"/>
  <c r="CY69" i="48"/>
  <c r="CY325" i="48"/>
  <c r="CY794" i="48"/>
  <c r="CY970" i="48"/>
  <c r="CY472" i="48"/>
  <c r="CY1272" i="48"/>
  <c r="CY321" i="48"/>
  <c r="CY114" i="48"/>
  <c r="CY987" i="48"/>
  <c r="CY1290" i="48"/>
  <c r="CY737" i="48"/>
  <c r="CY1020" i="48"/>
  <c r="CY896" i="48"/>
  <c r="CY897" i="48"/>
  <c r="CY968" i="48"/>
  <c r="CY392" i="48"/>
  <c r="CY468" i="48"/>
  <c r="CY1162" i="48"/>
  <c r="CY1237" i="48"/>
  <c r="CY1239" i="48"/>
  <c r="CY786" i="48"/>
  <c r="CY990" i="48"/>
  <c r="CY540" i="48"/>
  <c r="CY1325" i="48"/>
  <c r="CY190" i="48"/>
  <c r="CY1099" i="48"/>
  <c r="CY137" i="48"/>
  <c r="CY1199" i="48"/>
  <c r="CY513" i="48"/>
  <c r="CY573" i="48"/>
  <c r="CY149" i="48"/>
  <c r="CY689" i="48"/>
  <c r="CY1021" i="48"/>
  <c r="CY318" i="48"/>
  <c r="CY775" i="48"/>
  <c r="CY875" i="48"/>
  <c r="CY436" i="48"/>
  <c r="CY300" i="48"/>
  <c r="CY550" i="48"/>
  <c r="CY487" i="48"/>
  <c r="CY874" i="48"/>
  <c r="CY1220" i="48"/>
  <c r="CY245" i="48"/>
  <c r="CY667" i="48"/>
  <c r="CY517" i="48"/>
  <c r="CY895" i="48"/>
  <c r="CY414" i="48"/>
  <c r="CY512" i="48"/>
  <c r="CY670" i="48"/>
  <c r="CY269" i="48"/>
  <c r="CY267" i="48"/>
  <c r="CY112" i="48"/>
  <c r="CY500" i="48"/>
  <c r="CY1296" i="48"/>
  <c r="CY270" i="48"/>
  <c r="CY889" i="48"/>
  <c r="CY1321" i="48"/>
  <c r="CY665" i="48"/>
  <c r="CY1112" i="48"/>
  <c r="CY1318" i="48"/>
  <c r="CY1037" i="48"/>
  <c r="CY121" i="48"/>
  <c r="CY741" i="48"/>
  <c r="CY399" i="48"/>
  <c r="CY250" i="48"/>
  <c r="CY261" i="48"/>
  <c r="CY638" i="48"/>
  <c r="CY939" i="48"/>
  <c r="CY873" i="48"/>
  <c r="CY918" i="48"/>
  <c r="CY395" i="48"/>
  <c r="CY1050" i="48"/>
  <c r="CY749" i="48"/>
  <c r="CY162" i="48"/>
  <c r="CY193" i="48"/>
  <c r="CY616" i="48"/>
  <c r="CY744" i="48"/>
  <c r="CY488" i="48"/>
  <c r="CY1015" i="48"/>
  <c r="CY294" i="48"/>
  <c r="CY1300" i="48"/>
  <c r="CY96" i="48"/>
  <c r="CY340" i="48"/>
  <c r="CY288" i="48"/>
  <c r="CY1192" i="48"/>
  <c r="CY543" i="48"/>
  <c r="CY1065" i="48"/>
  <c r="CY164" i="48"/>
  <c r="CY1322" i="48"/>
  <c r="CY1047" i="48"/>
  <c r="CY1238" i="48"/>
  <c r="CY221" i="48"/>
  <c r="CY186" i="48"/>
  <c r="CY961" i="48"/>
  <c r="CY1213" i="48"/>
  <c r="CY911" i="48"/>
  <c r="CY249" i="48"/>
  <c r="CY1187" i="48"/>
  <c r="CY1038" i="48"/>
  <c r="CY761" i="48"/>
  <c r="CY173" i="48"/>
  <c r="CY90" i="48"/>
  <c r="CY68" i="48"/>
  <c r="CY64" i="48"/>
  <c r="CY750" i="48"/>
  <c r="CY1086" i="48"/>
  <c r="CY818" i="48"/>
  <c r="CY44" i="48"/>
  <c r="CY43" i="48"/>
  <c r="CY49" i="48"/>
  <c r="CY41" i="48"/>
  <c r="CY45" i="48"/>
  <c r="CY37" i="48"/>
  <c r="CY42" i="48"/>
  <c r="CY38" i="48"/>
  <c r="CY39" i="48"/>
  <c r="CY36" i="48"/>
  <c r="CY47" i="48"/>
  <c r="CY40" i="48"/>
  <c r="CY48" i="48"/>
  <c r="CY50" i="48"/>
  <c r="CY46" i="48"/>
  <c r="CY25" i="48"/>
  <c r="CY18" i="48"/>
  <c r="CY19" i="48"/>
  <c r="CY15" i="48"/>
  <c r="CY20" i="48"/>
  <c r="CY14" i="48"/>
  <c r="CY17" i="48"/>
  <c r="CY22" i="48"/>
  <c r="CY16" i="48"/>
  <c r="CY12" i="48"/>
  <c r="CY11" i="48"/>
  <c r="CY24" i="48"/>
  <c r="CY21" i="48"/>
  <c r="CY13" i="48"/>
  <c r="CY23" i="48"/>
  <c r="DO63" i="48"/>
  <c r="W1349" i="48"/>
  <c r="W1100" i="48"/>
  <c r="W1075" i="48"/>
  <c r="W1050" i="48"/>
  <c r="W950" i="48"/>
  <c r="W684" i="48"/>
  <c r="W350" i="48"/>
  <c r="W349" i="48"/>
  <c r="W300" i="48"/>
  <c r="W299" i="48"/>
  <c r="W298" i="48"/>
  <c r="W297" i="48"/>
  <c r="W296" i="48"/>
  <c r="W295" i="48"/>
  <c r="W294" i="48"/>
  <c r="W293" i="48"/>
  <c r="W292" i="48"/>
  <c r="W291" i="48"/>
  <c r="W290" i="48"/>
  <c r="W289" i="48"/>
  <c r="W288" i="48"/>
  <c r="W287" i="48"/>
  <c r="W286" i="48"/>
  <c r="W285" i="48"/>
  <c r="W284" i="48"/>
  <c r="W275" i="48"/>
  <c r="W274" i="48"/>
  <c r="W273" i="48"/>
  <c r="W272" i="48"/>
  <c r="W271" i="48"/>
  <c r="W270" i="48"/>
  <c r="W269" i="48"/>
  <c r="W268" i="48"/>
  <c r="W267" i="48"/>
  <c r="W266" i="48"/>
  <c r="W265" i="48"/>
  <c r="W264" i="48"/>
  <c r="W263" i="48"/>
  <c r="W262" i="48"/>
  <c r="W261" i="48"/>
  <c r="W260" i="48"/>
  <c r="W259" i="48"/>
  <c r="W250" i="48"/>
  <c r="W234" i="48"/>
  <c r="W175" i="48"/>
  <c r="W159" i="48"/>
  <c r="W150" i="48"/>
  <c r="W109" i="48"/>
  <c r="DK25" i="48"/>
  <c r="DK24" i="48"/>
  <c r="DK23" i="48"/>
  <c r="DK22" i="48"/>
  <c r="DK21" i="48"/>
  <c r="DK20" i="48"/>
  <c r="DK19" i="48"/>
  <c r="DK18" i="48"/>
  <c r="DK17" i="48"/>
  <c r="DK16" i="48"/>
  <c r="DK15" i="48"/>
  <c r="DK14" i="48"/>
  <c r="DK13" i="48"/>
  <c r="DK12" i="48"/>
  <c r="DK11" i="48"/>
  <c r="DK10" i="48"/>
  <c r="DK9" i="48"/>
  <c r="DK8" i="48"/>
  <c r="DK7" i="48"/>
  <c r="DK6" i="48"/>
  <c r="DK5" i="48"/>
  <c r="DK4" i="48"/>
  <c r="BM1350" i="48"/>
  <c r="BO1350" i="48" s="1"/>
  <c r="BP1350" i="48" s="1"/>
  <c r="BL1350" i="48"/>
  <c r="BM1349" i="48"/>
  <c r="BO1349" i="48" s="1"/>
  <c r="BP1349" i="48" s="1"/>
  <c r="BL1349" i="48"/>
  <c r="BB1349" i="48"/>
  <c r="BM1348" i="48"/>
  <c r="BO1348" i="48" s="1"/>
  <c r="BP1348" i="48" s="1"/>
  <c r="BL1348" i="48"/>
  <c r="BB1348" i="48"/>
  <c r="V1348" i="48"/>
  <c r="J1348" i="48"/>
  <c r="BM1347" i="48"/>
  <c r="BO1347" i="48" s="1"/>
  <c r="BP1347" i="48" s="1"/>
  <c r="BL1347" i="48"/>
  <c r="BB1347" i="48"/>
  <c r="V1347" i="48"/>
  <c r="J1347" i="48"/>
  <c r="BM1346" i="48"/>
  <c r="BO1346" i="48" s="1"/>
  <c r="BP1346" i="48" s="1"/>
  <c r="BL1346" i="48"/>
  <c r="BB1346" i="48"/>
  <c r="V1346" i="48"/>
  <c r="J1346" i="48"/>
  <c r="BM1345" i="48"/>
  <c r="BO1345" i="48" s="1"/>
  <c r="BP1345" i="48" s="1"/>
  <c r="BL1345" i="48"/>
  <c r="BB1345" i="48"/>
  <c r="V1345" i="48"/>
  <c r="J1345" i="48"/>
  <c r="BM1344" i="48"/>
  <c r="BO1344" i="48" s="1"/>
  <c r="BP1344" i="48" s="1"/>
  <c r="BL1344" i="48"/>
  <c r="BB1344" i="48"/>
  <c r="V1344" i="48"/>
  <c r="J1344" i="48"/>
  <c r="BM1343" i="48"/>
  <c r="BO1343" i="48" s="1"/>
  <c r="BP1343" i="48" s="1"/>
  <c r="BL1343" i="48"/>
  <c r="BB1343" i="48"/>
  <c r="V1343" i="48"/>
  <c r="J1343" i="48"/>
  <c r="BM1342" i="48"/>
  <c r="BO1342" i="48" s="1"/>
  <c r="BP1342" i="48" s="1"/>
  <c r="BL1342" i="48"/>
  <c r="BB1342" i="48"/>
  <c r="V1342" i="48"/>
  <c r="J1342" i="48"/>
  <c r="BM1341" i="48"/>
  <c r="BO1341" i="48" s="1"/>
  <c r="BP1341" i="48" s="1"/>
  <c r="BL1341" i="48"/>
  <c r="BB1341" i="48"/>
  <c r="V1341" i="48"/>
  <c r="J1341" i="48"/>
  <c r="BM1340" i="48"/>
  <c r="BO1340" i="48" s="1"/>
  <c r="BP1340" i="48" s="1"/>
  <c r="BL1340" i="48"/>
  <c r="BB1340" i="48"/>
  <c r="V1340" i="48"/>
  <c r="J1340" i="48"/>
  <c r="BM1339" i="48"/>
  <c r="BO1339" i="48" s="1"/>
  <c r="BP1339" i="48" s="1"/>
  <c r="BL1339" i="48"/>
  <c r="BB1339" i="48"/>
  <c r="V1339" i="48"/>
  <c r="J1339" i="48"/>
  <c r="BM1338" i="48"/>
  <c r="BO1338" i="48" s="1"/>
  <c r="BP1338" i="48" s="1"/>
  <c r="BL1338" i="48"/>
  <c r="BB1338" i="48"/>
  <c r="V1338" i="48"/>
  <c r="J1338" i="48"/>
  <c r="BM1337" i="48"/>
  <c r="BO1337" i="48" s="1"/>
  <c r="BP1337" i="48" s="1"/>
  <c r="BL1337" i="48"/>
  <c r="BB1337" i="48"/>
  <c r="V1337" i="48"/>
  <c r="J1337" i="48"/>
  <c r="BM1336" i="48"/>
  <c r="BO1336" i="48" s="1"/>
  <c r="BP1336" i="48" s="1"/>
  <c r="BL1336" i="48"/>
  <c r="BB1336" i="48"/>
  <c r="V1336" i="48"/>
  <c r="J1336" i="48"/>
  <c r="BM1335" i="48"/>
  <c r="BO1335" i="48" s="1"/>
  <c r="BP1335" i="48" s="1"/>
  <c r="BL1335" i="48"/>
  <c r="BB1335" i="48"/>
  <c r="V1335" i="48"/>
  <c r="J1335" i="48"/>
  <c r="BM1334" i="48"/>
  <c r="BO1334" i="48" s="1"/>
  <c r="BP1334" i="48" s="1"/>
  <c r="BL1334" i="48"/>
  <c r="BB1334" i="48"/>
  <c r="V1334" i="48"/>
  <c r="J1334" i="48"/>
  <c r="BM1333" i="48"/>
  <c r="BO1333" i="48" s="1"/>
  <c r="BP1333" i="48" s="1"/>
  <c r="BL1333" i="48"/>
  <c r="BB1333" i="48"/>
  <c r="BM1332" i="48"/>
  <c r="BO1332" i="48" s="1"/>
  <c r="BP1332" i="48" s="1"/>
  <c r="BL1332" i="48"/>
  <c r="BB1332" i="48"/>
  <c r="BM1331" i="48"/>
  <c r="BO1331" i="48" s="1"/>
  <c r="BP1331" i="48" s="1"/>
  <c r="BL1331" i="48"/>
  <c r="BB1331" i="48"/>
  <c r="BM1330" i="48"/>
  <c r="BO1330" i="48" s="1"/>
  <c r="BP1330" i="48" s="1"/>
  <c r="BL1330" i="48"/>
  <c r="BB1330" i="48"/>
  <c r="BM1329" i="48"/>
  <c r="BO1329" i="48" s="1"/>
  <c r="BP1329" i="48" s="1"/>
  <c r="BL1329" i="48"/>
  <c r="BB1329" i="48"/>
  <c r="BM1328" i="48"/>
  <c r="BO1328" i="48" s="1"/>
  <c r="BP1328" i="48" s="1"/>
  <c r="BL1328" i="48"/>
  <c r="BB1328" i="48"/>
  <c r="BM1325" i="48"/>
  <c r="BO1325" i="48" s="1"/>
  <c r="BP1325" i="48" s="1"/>
  <c r="BL1325" i="48"/>
  <c r="BB1325" i="48"/>
  <c r="V1325" i="48"/>
  <c r="J1325" i="48"/>
  <c r="BM1324" i="48"/>
  <c r="BO1324" i="48" s="1"/>
  <c r="BP1324" i="48" s="1"/>
  <c r="BL1324" i="48"/>
  <c r="BB1324" i="48"/>
  <c r="V1324" i="48"/>
  <c r="J1324" i="48"/>
  <c r="BM1323" i="48"/>
  <c r="BO1323" i="48" s="1"/>
  <c r="BP1323" i="48" s="1"/>
  <c r="BL1323" i="48"/>
  <c r="BB1323" i="48"/>
  <c r="V1323" i="48"/>
  <c r="J1323" i="48"/>
  <c r="BM1322" i="48"/>
  <c r="BO1322" i="48" s="1"/>
  <c r="BP1322" i="48" s="1"/>
  <c r="BL1322" i="48"/>
  <c r="BB1322" i="48"/>
  <c r="V1322" i="48"/>
  <c r="J1322" i="48"/>
  <c r="BM1321" i="48"/>
  <c r="BO1321" i="48" s="1"/>
  <c r="BP1321" i="48" s="1"/>
  <c r="BL1321" i="48"/>
  <c r="BB1321" i="48"/>
  <c r="V1321" i="48"/>
  <c r="J1321" i="48"/>
  <c r="BM1320" i="48"/>
  <c r="BO1320" i="48" s="1"/>
  <c r="BP1320" i="48" s="1"/>
  <c r="BL1320" i="48"/>
  <c r="BB1320" i="48"/>
  <c r="V1320" i="48"/>
  <c r="J1320" i="48"/>
  <c r="BM1319" i="48"/>
  <c r="BO1319" i="48" s="1"/>
  <c r="BP1319" i="48" s="1"/>
  <c r="BL1319" i="48"/>
  <c r="BB1319" i="48"/>
  <c r="V1319" i="48"/>
  <c r="J1319" i="48"/>
  <c r="BM1318" i="48"/>
  <c r="BO1318" i="48" s="1"/>
  <c r="BP1318" i="48" s="1"/>
  <c r="BL1318" i="48"/>
  <c r="BB1318" i="48"/>
  <c r="V1318" i="48"/>
  <c r="J1318" i="48"/>
  <c r="BM1317" i="48"/>
  <c r="BO1317" i="48" s="1"/>
  <c r="BP1317" i="48" s="1"/>
  <c r="BL1317" i="48"/>
  <c r="BB1317" i="48"/>
  <c r="V1317" i="48"/>
  <c r="J1317" i="48"/>
  <c r="BM1316" i="48"/>
  <c r="BO1316" i="48" s="1"/>
  <c r="BP1316" i="48" s="1"/>
  <c r="BL1316" i="48"/>
  <c r="BB1316" i="48"/>
  <c r="V1316" i="48"/>
  <c r="J1316" i="48"/>
  <c r="BM1315" i="48"/>
  <c r="BO1315" i="48" s="1"/>
  <c r="BP1315" i="48" s="1"/>
  <c r="BL1315" i="48"/>
  <c r="BB1315" i="48"/>
  <c r="V1315" i="48"/>
  <c r="J1315" i="48"/>
  <c r="BM1314" i="48"/>
  <c r="BO1314" i="48" s="1"/>
  <c r="BP1314" i="48" s="1"/>
  <c r="BL1314" i="48"/>
  <c r="BB1314" i="48"/>
  <c r="V1314" i="48"/>
  <c r="J1314" i="48"/>
  <c r="BM1313" i="48"/>
  <c r="BO1313" i="48" s="1"/>
  <c r="BP1313" i="48" s="1"/>
  <c r="BL1313" i="48"/>
  <c r="BB1313" i="48"/>
  <c r="V1313" i="48"/>
  <c r="J1313" i="48"/>
  <c r="BM1312" i="48"/>
  <c r="BO1312" i="48" s="1"/>
  <c r="BP1312" i="48" s="1"/>
  <c r="BL1312" i="48"/>
  <c r="BB1312" i="48"/>
  <c r="V1312" i="48"/>
  <c r="J1312" i="48"/>
  <c r="BB1311" i="48"/>
  <c r="V1311" i="48"/>
  <c r="J1311" i="48"/>
  <c r="BM1310" i="48"/>
  <c r="BO1310" i="48" s="1"/>
  <c r="BP1310" i="48" s="1"/>
  <c r="BL1310" i="48"/>
  <c r="BB1310" i="48"/>
  <c r="V1310" i="48"/>
  <c r="J1310" i="48"/>
  <c r="BM1309" i="48"/>
  <c r="BO1309" i="48" s="1"/>
  <c r="BP1309" i="48" s="1"/>
  <c r="BL1309" i="48"/>
  <c r="BB1309" i="48"/>
  <c r="V1309" i="48"/>
  <c r="J1309" i="48"/>
  <c r="BM1308" i="48"/>
  <c r="BO1308" i="48" s="1"/>
  <c r="BP1308" i="48" s="1"/>
  <c r="BL1308" i="48"/>
  <c r="BB1308" i="48"/>
  <c r="BM1307" i="48"/>
  <c r="BO1307" i="48" s="1"/>
  <c r="BP1307" i="48" s="1"/>
  <c r="BL1307" i="48"/>
  <c r="BB1307" i="48"/>
  <c r="BM1306" i="48"/>
  <c r="BO1306" i="48" s="1"/>
  <c r="BP1306" i="48" s="1"/>
  <c r="BL1306" i="48"/>
  <c r="BB1306" i="48"/>
  <c r="BM1305" i="48"/>
  <c r="BO1305" i="48" s="1"/>
  <c r="BP1305" i="48" s="1"/>
  <c r="BL1305" i="48"/>
  <c r="BB1305" i="48"/>
  <c r="BM1304" i="48"/>
  <c r="BO1304" i="48" s="1"/>
  <c r="BP1304" i="48" s="1"/>
  <c r="BL1304" i="48"/>
  <c r="BB1304" i="48"/>
  <c r="BM1303" i="48"/>
  <c r="BO1303" i="48" s="1"/>
  <c r="BP1303" i="48" s="1"/>
  <c r="BL1303" i="48"/>
  <c r="BB1303" i="48"/>
  <c r="BM1300" i="48"/>
  <c r="BO1300" i="48" s="1"/>
  <c r="BP1300" i="48" s="1"/>
  <c r="BL1300" i="48"/>
  <c r="BB1300" i="48"/>
  <c r="V1300" i="48"/>
  <c r="BM1299" i="48"/>
  <c r="BO1299" i="48" s="1"/>
  <c r="BP1299" i="48" s="1"/>
  <c r="BL1299" i="48"/>
  <c r="BB1299" i="48"/>
  <c r="V1299" i="48"/>
  <c r="J1299" i="48"/>
  <c r="BM1298" i="48"/>
  <c r="BO1298" i="48" s="1"/>
  <c r="BP1298" i="48" s="1"/>
  <c r="BL1298" i="48"/>
  <c r="BB1298" i="48"/>
  <c r="V1298" i="48"/>
  <c r="J1298" i="48"/>
  <c r="BM1297" i="48"/>
  <c r="BO1297" i="48" s="1"/>
  <c r="BP1297" i="48" s="1"/>
  <c r="BL1297" i="48"/>
  <c r="BB1297" i="48"/>
  <c r="V1297" i="48"/>
  <c r="J1297" i="48"/>
  <c r="BM1296" i="48"/>
  <c r="BO1296" i="48" s="1"/>
  <c r="BP1296" i="48" s="1"/>
  <c r="BL1296" i="48"/>
  <c r="BB1296" i="48"/>
  <c r="V1296" i="48"/>
  <c r="J1296" i="48"/>
  <c r="BM1295" i="48"/>
  <c r="BO1295" i="48" s="1"/>
  <c r="BP1295" i="48" s="1"/>
  <c r="BL1295" i="48"/>
  <c r="BB1295" i="48"/>
  <c r="V1295" i="48"/>
  <c r="J1295" i="48"/>
  <c r="BM1294" i="48"/>
  <c r="BO1294" i="48" s="1"/>
  <c r="BP1294" i="48" s="1"/>
  <c r="BL1294" i="48"/>
  <c r="BB1294" i="48"/>
  <c r="V1294" i="48"/>
  <c r="J1294" i="48"/>
  <c r="BM1293" i="48"/>
  <c r="BO1293" i="48" s="1"/>
  <c r="BP1293" i="48" s="1"/>
  <c r="BL1293" i="48"/>
  <c r="BB1293" i="48"/>
  <c r="V1293" i="48"/>
  <c r="J1293" i="48"/>
  <c r="BM1292" i="48"/>
  <c r="BO1292" i="48" s="1"/>
  <c r="BP1292" i="48" s="1"/>
  <c r="BL1292" i="48"/>
  <c r="BB1292" i="48"/>
  <c r="V1292" i="48"/>
  <c r="J1292" i="48"/>
  <c r="BM1291" i="48"/>
  <c r="BO1291" i="48" s="1"/>
  <c r="BP1291" i="48" s="1"/>
  <c r="BL1291" i="48"/>
  <c r="BB1291" i="48"/>
  <c r="V1291" i="48"/>
  <c r="J1291" i="48"/>
  <c r="BM1290" i="48"/>
  <c r="BO1290" i="48" s="1"/>
  <c r="BP1290" i="48" s="1"/>
  <c r="BL1290" i="48"/>
  <c r="BB1290" i="48"/>
  <c r="V1290" i="48"/>
  <c r="J1290" i="48"/>
  <c r="BM1289" i="48"/>
  <c r="BO1289" i="48" s="1"/>
  <c r="BP1289" i="48" s="1"/>
  <c r="BL1289" i="48"/>
  <c r="BB1289" i="48"/>
  <c r="V1289" i="48"/>
  <c r="J1289" i="48"/>
  <c r="BM1288" i="48"/>
  <c r="BO1288" i="48" s="1"/>
  <c r="BP1288" i="48" s="1"/>
  <c r="BL1288" i="48"/>
  <c r="BB1288" i="48"/>
  <c r="V1288" i="48"/>
  <c r="J1288" i="48"/>
  <c r="BM1287" i="48"/>
  <c r="BO1287" i="48" s="1"/>
  <c r="BP1287" i="48" s="1"/>
  <c r="BL1287" i="48"/>
  <c r="BB1287" i="48"/>
  <c r="V1287" i="48"/>
  <c r="J1287" i="48"/>
  <c r="BM1286" i="48"/>
  <c r="BO1286" i="48" s="1"/>
  <c r="BP1286" i="48" s="1"/>
  <c r="BL1286" i="48"/>
  <c r="BB1286" i="48"/>
  <c r="V1286" i="48"/>
  <c r="J1286" i="48"/>
  <c r="BM1285" i="48"/>
  <c r="BO1285" i="48" s="1"/>
  <c r="BP1285" i="48" s="1"/>
  <c r="BL1285" i="48"/>
  <c r="BB1285" i="48"/>
  <c r="V1285" i="48"/>
  <c r="J1285" i="48"/>
  <c r="BM1284" i="48"/>
  <c r="BO1284" i="48" s="1"/>
  <c r="BP1284" i="48" s="1"/>
  <c r="BL1284" i="48"/>
  <c r="BB1284" i="48"/>
  <c r="V1284" i="48"/>
  <c r="J1284" i="48"/>
  <c r="BM1283" i="48"/>
  <c r="BO1283" i="48" s="1"/>
  <c r="BP1283" i="48" s="1"/>
  <c r="BL1283" i="48"/>
  <c r="BB1283" i="48"/>
  <c r="BM1282" i="48"/>
  <c r="BO1282" i="48" s="1"/>
  <c r="BP1282" i="48" s="1"/>
  <c r="BL1282" i="48"/>
  <c r="BB1282" i="48"/>
  <c r="BM1281" i="48"/>
  <c r="BO1281" i="48" s="1"/>
  <c r="BP1281" i="48" s="1"/>
  <c r="BL1281" i="48"/>
  <c r="BB1281" i="48"/>
  <c r="BM1280" i="48"/>
  <c r="BO1280" i="48" s="1"/>
  <c r="BP1280" i="48" s="1"/>
  <c r="BL1280" i="48"/>
  <c r="BB1280" i="48"/>
  <c r="BM1279" i="48"/>
  <c r="BO1279" i="48" s="1"/>
  <c r="BP1279" i="48" s="1"/>
  <c r="BL1279" i="48"/>
  <c r="BB1279" i="48"/>
  <c r="BM1278" i="48"/>
  <c r="BO1278" i="48" s="1"/>
  <c r="BP1278" i="48" s="1"/>
  <c r="BL1278" i="48"/>
  <c r="BB1278" i="48"/>
  <c r="BM1275" i="48"/>
  <c r="BO1275" i="48" s="1"/>
  <c r="BP1275" i="48" s="1"/>
  <c r="BL1275" i="48"/>
  <c r="V1275" i="48"/>
  <c r="J1275" i="48"/>
  <c r="BM1274" i="48"/>
  <c r="BO1274" i="48" s="1"/>
  <c r="BP1274" i="48" s="1"/>
  <c r="BL1274" i="48"/>
  <c r="V1274" i="48"/>
  <c r="J1274" i="48"/>
  <c r="BM1273" i="48"/>
  <c r="BO1273" i="48" s="1"/>
  <c r="BP1273" i="48" s="1"/>
  <c r="BL1273" i="48"/>
  <c r="BB1273" i="48"/>
  <c r="V1273" i="48"/>
  <c r="J1273" i="48"/>
  <c r="BM1272" i="48"/>
  <c r="BO1272" i="48" s="1"/>
  <c r="BP1272" i="48" s="1"/>
  <c r="BL1272" i="48"/>
  <c r="BB1272" i="48"/>
  <c r="V1272" i="48"/>
  <c r="J1272" i="48"/>
  <c r="BM1271" i="48"/>
  <c r="BO1271" i="48" s="1"/>
  <c r="BP1271" i="48" s="1"/>
  <c r="BL1271" i="48"/>
  <c r="BB1271" i="48"/>
  <c r="V1271" i="48"/>
  <c r="J1271" i="48"/>
  <c r="BM1270" i="48"/>
  <c r="BO1270" i="48" s="1"/>
  <c r="BP1270" i="48" s="1"/>
  <c r="BL1270" i="48"/>
  <c r="BB1270" i="48"/>
  <c r="V1270" i="48"/>
  <c r="J1270" i="48"/>
  <c r="BM1269" i="48"/>
  <c r="BO1269" i="48" s="1"/>
  <c r="BP1269" i="48" s="1"/>
  <c r="BL1269" i="48"/>
  <c r="BB1269" i="48"/>
  <c r="V1269" i="48"/>
  <c r="J1269" i="48"/>
  <c r="BM1268" i="48"/>
  <c r="BO1268" i="48" s="1"/>
  <c r="BP1268" i="48" s="1"/>
  <c r="BL1268" i="48"/>
  <c r="BB1268" i="48"/>
  <c r="V1268" i="48"/>
  <c r="J1268" i="48"/>
  <c r="BM1267" i="48"/>
  <c r="BO1267" i="48" s="1"/>
  <c r="BP1267" i="48" s="1"/>
  <c r="BL1267" i="48"/>
  <c r="BB1267" i="48"/>
  <c r="V1267" i="48"/>
  <c r="J1267" i="48"/>
  <c r="BM1266" i="48"/>
  <c r="BO1266" i="48" s="1"/>
  <c r="BP1266" i="48" s="1"/>
  <c r="BL1266" i="48"/>
  <c r="BB1266" i="48"/>
  <c r="V1266" i="48"/>
  <c r="J1266" i="48"/>
  <c r="BM1265" i="48"/>
  <c r="BO1265" i="48" s="1"/>
  <c r="BP1265" i="48" s="1"/>
  <c r="BL1265" i="48"/>
  <c r="BB1265" i="48"/>
  <c r="V1265" i="48"/>
  <c r="J1265" i="48"/>
  <c r="BM1264" i="48"/>
  <c r="BO1264" i="48" s="1"/>
  <c r="BP1264" i="48" s="1"/>
  <c r="BL1264" i="48"/>
  <c r="BB1264" i="48"/>
  <c r="V1264" i="48"/>
  <c r="J1264" i="48"/>
  <c r="BM1263" i="48"/>
  <c r="BO1263" i="48" s="1"/>
  <c r="BP1263" i="48" s="1"/>
  <c r="BL1263" i="48"/>
  <c r="BB1263" i="48"/>
  <c r="V1263" i="48"/>
  <c r="J1263" i="48"/>
  <c r="BM1262" i="48"/>
  <c r="BO1262" i="48" s="1"/>
  <c r="BP1262" i="48" s="1"/>
  <c r="BL1262" i="48"/>
  <c r="BB1262" i="48"/>
  <c r="V1262" i="48"/>
  <c r="J1262" i="48"/>
  <c r="BM1261" i="48"/>
  <c r="BO1261" i="48" s="1"/>
  <c r="BP1261" i="48" s="1"/>
  <c r="BL1261" i="48"/>
  <c r="BB1261" i="48"/>
  <c r="V1261" i="48"/>
  <c r="J1261" i="48"/>
  <c r="BM1260" i="48"/>
  <c r="BO1260" i="48" s="1"/>
  <c r="BP1260" i="48" s="1"/>
  <c r="BL1260" i="48"/>
  <c r="BB1260" i="48"/>
  <c r="V1260" i="48"/>
  <c r="J1260" i="48"/>
  <c r="BM1259" i="48"/>
  <c r="BO1259" i="48" s="1"/>
  <c r="BP1259" i="48" s="1"/>
  <c r="BL1259" i="48"/>
  <c r="BB1259" i="48"/>
  <c r="V1259" i="48"/>
  <c r="J1259" i="48"/>
  <c r="BM1258" i="48"/>
  <c r="BO1258" i="48" s="1"/>
  <c r="BP1258" i="48" s="1"/>
  <c r="BL1258" i="48"/>
  <c r="BB1258" i="48"/>
  <c r="BM1257" i="48"/>
  <c r="BO1257" i="48" s="1"/>
  <c r="BP1257" i="48" s="1"/>
  <c r="BL1257" i="48"/>
  <c r="BB1257" i="48"/>
  <c r="BM1256" i="48"/>
  <c r="BO1256" i="48" s="1"/>
  <c r="BP1256" i="48" s="1"/>
  <c r="BL1256" i="48"/>
  <c r="BB1256" i="48"/>
  <c r="BM1255" i="48"/>
  <c r="BO1255" i="48" s="1"/>
  <c r="BP1255" i="48" s="1"/>
  <c r="BL1255" i="48"/>
  <c r="BB1255" i="48"/>
  <c r="BM1254" i="48"/>
  <c r="BO1254" i="48" s="1"/>
  <c r="BP1254" i="48" s="1"/>
  <c r="BL1254" i="48"/>
  <c r="BB1254" i="48"/>
  <c r="BM1253" i="48"/>
  <c r="BO1253" i="48" s="1"/>
  <c r="BP1253" i="48" s="1"/>
  <c r="BL1253" i="48"/>
  <c r="BB1253" i="48"/>
  <c r="BM1250" i="48"/>
  <c r="BO1250" i="48" s="1"/>
  <c r="BP1250" i="48" s="1"/>
  <c r="BL1250" i="48"/>
  <c r="V1250" i="48"/>
  <c r="J1250" i="48"/>
  <c r="BM1249" i="48"/>
  <c r="BO1249" i="48" s="1"/>
  <c r="BP1249" i="48" s="1"/>
  <c r="BL1249" i="48"/>
  <c r="BB1249" i="48"/>
  <c r="V1249" i="48"/>
  <c r="J1249" i="48"/>
  <c r="BM1248" i="48"/>
  <c r="BO1248" i="48" s="1"/>
  <c r="BP1248" i="48" s="1"/>
  <c r="BL1248" i="48"/>
  <c r="BB1248" i="48"/>
  <c r="V1248" i="48"/>
  <c r="J1248" i="48"/>
  <c r="BM1247" i="48"/>
  <c r="BO1247" i="48" s="1"/>
  <c r="BP1247" i="48" s="1"/>
  <c r="BL1247" i="48"/>
  <c r="BB1247" i="48"/>
  <c r="V1247" i="48"/>
  <c r="J1247" i="48"/>
  <c r="BM1246" i="48"/>
  <c r="BO1246" i="48" s="1"/>
  <c r="BP1246" i="48" s="1"/>
  <c r="BL1246" i="48"/>
  <c r="BB1246" i="48"/>
  <c r="V1246" i="48"/>
  <c r="J1246" i="48"/>
  <c r="BM1245" i="48"/>
  <c r="BO1245" i="48" s="1"/>
  <c r="BP1245" i="48" s="1"/>
  <c r="BL1245" i="48"/>
  <c r="BB1245" i="48"/>
  <c r="V1245" i="48"/>
  <c r="J1245" i="48"/>
  <c r="BM1244" i="48"/>
  <c r="BO1244" i="48" s="1"/>
  <c r="BP1244" i="48" s="1"/>
  <c r="BL1244" i="48"/>
  <c r="BB1244" i="48"/>
  <c r="V1244" i="48"/>
  <c r="J1244" i="48"/>
  <c r="BM1243" i="48"/>
  <c r="BO1243" i="48" s="1"/>
  <c r="BP1243" i="48" s="1"/>
  <c r="BL1243" i="48"/>
  <c r="BB1243" i="48"/>
  <c r="V1243" i="48"/>
  <c r="J1243" i="48"/>
  <c r="BM1242" i="48"/>
  <c r="BO1242" i="48" s="1"/>
  <c r="BP1242" i="48" s="1"/>
  <c r="BL1242" i="48"/>
  <c r="BB1242" i="48"/>
  <c r="V1242" i="48"/>
  <c r="J1242" i="48"/>
  <c r="BM1241" i="48"/>
  <c r="BO1241" i="48" s="1"/>
  <c r="BP1241" i="48" s="1"/>
  <c r="BL1241" i="48"/>
  <c r="BB1241" i="48"/>
  <c r="V1241" i="48"/>
  <c r="J1241" i="48"/>
  <c r="BM1240" i="48"/>
  <c r="BO1240" i="48" s="1"/>
  <c r="BP1240" i="48" s="1"/>
  <c r="BL1240" i="48"/>
  <c r="BB1240" i="48"/>
  <c r="V1240" i="48"/>
  <c r="J1240" i="48"/>
  <c r="BM1239" i="48"/>
  <c r="BO1239" i="48" s="1"/>
  <c r="BP1239" i="48" s="1"/>
  <c r="BL1239" i="48"/>
  <c r="BB1239" i="48"/>
  <c r="V1239" i="48"/>
  <c r="J1239" i="48"/>
  <c r="BM1238" i="48"/>
  <c r="BO1238" i="48" s="1"/>
  <c r="BP1238" i="48" s="1"/>
  <c r="BL1238" i="48"/>
  <c r="BB1238" i="48"/>
  <c r="V1238" i="48"/>
  <c r="J1238" i="48"/>
  <c r="BM1237" i="48"/>
  <c r="BO1237" i="48" s="1"/>
  <c r="BP1237" i="48" s="1"/>
  <c r="BL1237" i="48"/>
  <c r="BB1237" i="48"/>
  <c r="V1237" i="48"/>
  <c r="J1237" i="48"/>
  <c r="BM1236" i="48"/>
  <c r="BO1236" i="48" s="1"/>
  <c r="BP1236" i="48" s="1"/>
  <c r="BL1236" i="48"/>
  <c r="BB1236" i="48"/>
  <c r="V1236" i="48"/>
  <c r="J1236" i="48"/>
  <c r="BM1235" i="48"/>
  <c r="BO1235" i="48" s="1"/>
  <c r="BP1235" i="48" s="1"/>
  <c r="BL1235" i="48"/>
  <c r="BB1235" i="48"/>
  <c r="V1235" i="48"/>
  <c r="J1235" i="48"/>
  <c r="BM1234" i="48"/>
  <c r="BO1234" i="48" s="1"/>
  <c r="BP1234" i="48" s="1"/>
  <c r="BL1234" i="48"/>
  <c r="BB1234" i="48"/>
  <c r="V1234" i="48"/>
  <c r="J1234" i="48"/>
  <c r="BM1233" i="48"/>
  <c r="BO1233" i="48" s="1"/>
  <c r="BP1233" i="48" s="1"/>
  <c r="BL1233" i="48"/>
  <c r="BB1233" i="48"/>
  <c r="BM1232" i="48"/>
  <c r="BO1232" i="48" s="1"/>
  <c r="BP1232" i="48" s="1"/>
  <c r="BL1232" i="48"/>
  <c r="BB1232" i="48"/>
  <c r="BM1231" i="48"/>
  <c r="BO1231" i="48" s="1"/>
  <c r="BP1231" i="48" s="1"/>
  <c r="BL1231" i="48"/>
  <c r="BB1231" i="48"/>
  <c r="BM1230" i="48"/>
  <c r="BO1230" i="48" s="1"/>
  <c r="BP1230" i="48" s="1"/>
  <c r="BL1230" i="48"/>
  <c r="BB1230" i="48"/>
  <c r="BM1229" i="48"/>
  <c r="BO1229" i="48" s="1"/>
  <c r="BP1229" i="48" s="1"/>
  <c r="BL1229" i="48"/>
  <c r="BB1229" i="48"/>
  <c r="BM1228" i="48"/>
  <c r="BO1228" i="48" s="1"/>
  <c r="BP1228" i="48" s="1"/>
  <c r="BL1228" i="48"/>
  <c r="BB1228" i="48"/>
  <c r="BM1225" i="48"/>
  <c r="BO1225" i="48" s="1"/>
  <c r="BP1225" i="48" s="1"/>
  <c r="BL1225" i="48"/>
  <c r="V1225" i="48"/>
  <c r="J1225" i="48"/>
  <c r="BM1224" i="48"/>
  <c r="BO1224" i="48" s="1"/>
  <c r="BP1224" i="48" s="1"/>
  <c r="BL1224" i="48"/>
  <c r="V1224" i="48"/>
  <c r="J1224" i="48"/>
  <c r="BM1223" i="48"/>
  <c r="BO1223" i="48" s="1"/>
  <c r="BP1223" i="48" s="1"/>
  <c r="BL1223" i="48"/>
  <c r="BB1223" i="48"/>
  <c r="V1223" i="48"/>
  <c r="J1223" i="48"/>
  <c r="BM1222" i="48"/>
  <c r="BO1222" i="48" s="1"/>
  <c r="BP1222" i="48" s="1"/>
  <c r="BL1222" i="48"/>
  <c r="BB1222" i="48"/>
  <c r="V1222" i="48"/>
  <c r="J1222" i="48"/>
  <c r="BM1221" i="48"/>
  <c r="BO1221" i="48" s="1"/>
  <c r="BP1221" i="48" s="1"/>
  <c r="BL1221" i="48"/>
  <c r="BB1221" i="48"/>
  <c r="V1221" i="48"/>
  <c r="J1221" i="48"/>
  <c r="BM1220" i="48"/>
  <c r="BO1220" i="48" s="1"/>
  <c r="BP1220" i="48" s="1"/>
  <c r="BL1220" i="48"/>
  <c r="BB1220" i="48"/>
  <c r="V1220" i="48"/>
  <c r="J1220" i="48"/>
  <c r="BM1219" i="48"/>
  <c r="BO1219" i="48" s="1"/>
  <c r="BP1219" i="48" s="1"/>
  <c r="BL1219" i="48"/>
  <c r="BB1219" i="48"/>
  <c r="V1219" i="48"/>
  <c r="J1219" i="48"/>
  <c r="BM1218" i="48"/>
  <c r="BO1218" i="48" s="1"/>
  <c r="BP1218" i="48" s="1"/>
  <c r="BL1218" i="48"/>
  <c r="BB1218" i="48"/>
  <c r="V1218" i="48"/>
  <c r="J1218" i="48"/>
  <c r="BM1217" i="48"/>
  <c r="BO1217" i="48" s="1"/>
  <c r="BP1217" i="48" s="1"/>
  <c r="BL1217" i="48"/>
  <c r="BB1217" i="48"/>
  <c r="V1217" i="48"/>
  <c r="J1217" i="48"/>
  <c r="BM1216" i="48"/>
  <c r="BO1216" i="48" s="1"/>
  <c r="BP1216" i="48" s="1"/>
  <c r="BL1216" i="48"/>
  <c r="BB1216" i="48"/>
  <c r="V1216" i="48"/>
  <c r="J1216" i="48"/>
  <c r="BM1215" i="48"/>
  <c r="BO1215" i="48" s="1"/>
  <c r="BP1215" i="48" s="1"/>
  <c r="BL1215" i="48"/>
  <c r="BB1215" i="48"/>
  <c r="V1215" i="48"/>
  <c r="J1215" i="48"/>
  <c r="BM1214" i="48"/>
  <c r="BO1214" i="48" s="1"/>
  <c r="BP1214" i="48" s="1"/>
  <c r="BL1214" i="48"/>
  <c r="BB1214" i="48"/>
  <c r="V1214" i="48"/>
  <c r="J1214" i="48"/>
  <c r="BM1213" i="48"/>
  <c r="BO1213" i="48" s="1"/>
  <c r="BP1213" i="48" s="1"/>
  <c r="BL1213" i="48"/>
  <c r="BB1213" i="48"/>
  <c r="V1213" i="48"/>
  <c r="J1213" i="48"/>
  <c r="BM1212" i="48"/>
  <c r="BO1212" i="48" s="1"/>
  <c r="BP1212" i="48" s="1"/>
  <c r="BL1212" i="48"/>
  <c r="BB1212" i="48"/>
  <c r="V1212" i="48"/>
  <c r="J1212" i="48"/>
  <c r="BM1211" i="48"/>
  <c r="BO1211" i="48" s="1"/>
  <c r="BP1211" i="48" s="1"/>
  <c r="BL1211" i="48"/>
  <c r="BB1211" i="48"/>
  <c r="V1211" i="48"/>
  <c r="J1211" i="48"/>
  <c r="BM1210" i="48"/>
  <c r="BO1210" i="48" s="1"/>
  <c r="BP1210" i="48" s="1"/>
  <c r="BL1210" i="48"/>
  <c r="BB1210" i="48"/>
  <c r="V1210" i="48"/>
  <c r="J1210" i="48"/>
  <c r="BM1209" i="48"/>
  <c r="BO1209" i="48" s="1"/>
  <c r="BP1209" i="48" s="1"/>
  <c r="BL1209" i="48"/>
  <c r="BB1209" i="48"/>
  <c r="V1209" i="48"/>
  <c r="J1209" i="48"/>
  <c r="BM1208" i="48"/>
  <c r="BO1208" i="48" s="1"/>
  <c r="BP1208" i="48" s="1"/>
  <c r="BL1208" i="48"/>
  <c r="BB1208" i="48"/>
  <c r="BM1207" i="48"/>
  <c r="BO1207" i="48" s="1"/>
  <c r="BP1207" i="48" s="1"/>
  <c r="BL1207" i="48"/>
  <c r="BB1207" i="48"/>
  <c r="BM1206" i="48"/>
  <c r="BO1206" i="48" s="1"/>
  <c r="BP1206" i="48" s="1"/>
  <c r="BL1206" i="48"/>
  <c r="BB1206" i="48"/>
  <c r="BM1205" i="48"/>
  <c r="BO1205" i="48" s="1"/>
  <c r="BP1205" i="48" s="1"/>
  <c r="BL1205" i="48"/>
  <c r="BB1205" i="48"/>
  <c r="BM1204" i="48"/>
  <c r="BO1204" i="48" s="1"/>
  <c r="BP1204" i="48" s="1"/>
  <c r="BL1204" i="48"/>
  <c r="BB1204" i="48"/>
  <c r="BM1203" i="48"/>
  <c r="BO1203" i="48" s="1"/>
  <c r="BP1203" i="48" s="1"/>
  <c r="BL1203" i="48"/>
  <c r="BB1203" i="48"/>
  <c r="BM1200" i="48"/>
  <c r="BO1200" i="48" s="1"/>
  <c r="BP1200" i="48" s="1"/>
  <c r="BL1200" i="48"/>
  <c r="BB1200" i="48"/>
  <c r="V1200" i="48"/>
  <c r="J1200" i="48"/>
  <c r="BM1199" i="48"/>
  <c r="BO1199" i="48" s="1"/>
  <c r="BP1199" i="48" s="1"/>
  <c r="BL1199" i="48"/>
  <c r="BB1199" i="48"/>
  <c r="V1199" i="48"/>
  <c r="J1199" i="48"/>
  <c r="BM1198" i="48"/>
  <c r="BO1198" i="48" s="1"/>
  <c r="BP1198" i="48" s="1"/>
  <c r="BL1198" i="48"/>
  <c r="BB1198" i="48"/>
  <c r="V1198" i="48"/>
  <c r="J1198" i="48"/>
  <c r="BM1197" i="48"/>
  <c r="BO1197" i="48" s="1"/>
  <c r="BP1197" i="48" s="1"/>
  <c r="BL1197" i="48"/>
  <c r="BB1197" i="48"/>
  <c r="V1197" i="48"/>
  <c r="J1197" i="48"/>
  <c r="BM1196" i="48"/>
  <c r="BO1196" i="48" s="1"/>
  <c r="BP1196" i="48" s="1"/>
  <c r="BL1196" i="48"/>
  <c r="BB1196" i="48"/>
  <c r="V1196" i="48"/>
  <c r="J1196" i="48"/>
  <c r="BM1195" i="48"/>
  <c r="BO1195" i="48" s="1"/>
  <c r="BP1195" i="48" s="1"/>
  <c r="BL1195" i="48"/>
  <c r="BB1195" i="48"/>
  <c r="V1195" i="48"/>
  <c r="J1195" i="48"/>
  <c r="BM1194" i="48"/>
  <c r="BO1194" i="48" s="1"/>
  <c r="BP1194" i="48" s="1"/>
  <c r="BL1194" i="48"/>
  <c r="BB1194" i="48"/>
  <c r="V1194" i="48"/>
  <c r="J1194" i="48"/>
  <c r="BM1193" i="48"/>
  <c r="BO1193" i="48" s="1"/>
  <c r="BP1193" i="48" s="1"/>
  <c r="BL1193" i="48"/>
  <c r="BB1193" i="48"/>
  <c r="V1193" i="48"/>
  <c r="J1193" i="48"/>
  <c r="BM1192" i="48"/>
  <c r="BO1192" i="48" s="1"/>
  <c r="BP1192" i="48" s="1"/>
  <c r="BL1192" i="48"/>
  <c r="BB1192" i="48"/>
  <c r="V1192" i="48"/>
  <c r="J1192" i="48"/>
  <c r="BM1191" i="48"/>
  <c r="BO1191" i="48" s="1"/>
  <c r="BP1191" i="48" s="1"/>
  <c r="BL1191" i="48"/>
  <c r="BB1191" i="48"/>
  <c r="V1191" i="48"/>
  <c r="J1191" i="48"/>
  <c r="BM1190" i="48"/>
  <c r="BO1190" i="48" s="1"/>
  <c r="BP1190" i="48" s="1"/>
  <c r="BL1190" i="48"/>
  <c r="BB1190" i="48"/>
  <c r="V1190" i="48"/>
  <c r="J1190" i="48"/>
  <c r="BM1189" i="48"/>
  <c r="BO1189" i="48" s="1"/>
  <c r="BP1189" i="48" s="1"/>
  <c r="BL1189" i="48"/>
  <c r="BB1189" i="48"/>
  <c r="V1189" i="48"/>
  <c r="J1189" i="48"/>
  <c r="BM1188" i="48"/>
  <c r="BO1188" i="48" s="1"/>
  <c r="BP1188" i="48" s="1"/>
  <c r="BL1188" i="48"/>
  <c r="BB1188" i="48"/>
  <c r="V1188" i="48"/>
  <c r="J1188" i="48"/>
  <c r="BM1187" i="48"/>
  <c r="BO1187" i="48" s="1"/>
  <c r="BP1187" i="48" s="1"/>
  <c r="BL1187" i="48"/>
  <c r="BB1187" i="48"/>
  <c r="V1187" i="48"/>
  <c r="J1187" i="48"/>
  <c r="BM1186" i="48"/>
  <c r="BO1186" i="48" s="1"/>
  <c r="BP1186" i="48" s="1"/>
  <c r="BL1186" i="48"/>
  <c r="BB1186" i="48"/>
  <c r="V1186" i="48"/>
  <c r="J1186" i="48"/>
  <c r="BM1185" i="48"/>
  <c r="BO1185" i="48" s="1"/>
  <c r="BP1185" i="48" s="1"/>
  <c r="BL1185" i="48"/>
  <c r="BB1185" i="48"/>
  <c r="V1185" i="48"/>
  <c r="J1185" i="48"/>
  <c r="BM1184" i="48"/>
  <c r="BO1184" i="48" s="1"/>
  <c r="BP1184" i="48" s="1"/>
  <c r="BL1184" i="48"/>
  <c r="BB1184" i="48"/>
  <c r="V1184" i="48"/>
  <c r="J1184" i="48"/>
  <c r="BM1183" i="48"/>
  <c r="BO1183" i="48" s="1"/>
  <c r="BP1183" i="48" s="1"/>
  <c r="BL1183" i="48"/>
  <c r="BB1183" i="48"/>
  <c r="BM1182" i="48"/>
  <c r="BO1182" i="48" s="1"/>
  <c r="BP1182" i="48" s="1"/>
  <c r="BL1182" i="48"/>
  <c r="BB1182" i="48"/>
  <c r="BM1181" i="48"/>
  <c r="BO1181" i="48" s="1"/>
  <c r="BP1181" i="48" s="1"/>
  <c r="BL1181" i="48"/>
  <c r="BB1181" i="48"/>
  <c r="BM1180" i="48"/>
  <c r="BO1180" i="48" s="1"/>
  <c r="BP1180" i="48" s="1"/>
  <c r="BL1180" i="48"/>
  <c r="BB1180" i="48"/>
  <c r="BM1179" i="48"/>
  <c r="BO1179" i="48" s="1"/>
  <c r="BP1179" i="48" s="1"/>
  <c r="BL1179" i="48"/>
  <c r="BB1179" i="48"/>
  <c r="BM1178" i="48"/>
  <c r="BO1178" i="48" s="1"/>
  <c r="BP1178" i="48" s="1"/>
  <c r="BL1178" i="48"/>
  <c r="BB1178" i="48"/>
  <c r="BM1175" i="48"/>
  <c r="BO1175" i="48" s="1"/>
  <c r="BP1175" i="48" s="1"/>
  <c r="BL1175" i="48"/>
  <c r="BB1175" i="48"/>
  <c r="V1175" i="48"/>
  <c r="J1175" i="48"/>
  <c r="BM1174" i="48"/>
  <c r="BO1174" i="48" s="1"/>
  <c r="BP1174" i="48" s="1"/>
  <c r="BL1174" i="48"/>
  <c r="BB1174" i="48"/>
  <c r="V1174" i="48"/>
  <c r="J1174" i="48"/>
  <c r="BM1173" i="48"/>
  <c r="BO1173" i="48" s="1"/>
  <c r="BP1173" i="48" s="1"/>
  <c r="BL1173" i="48"/>
  <c r="BB1173" i="48"/>
  <c r="V1173" i="48"/>
  <c r="J1173" i="48"/>
  <c r="BB1172" i="48"/>
  <c r="V1172" i="48"/>
  <c r="J1172" i="48"/>
  <c r="BM1171" i="48"/>
  <c r="BO1171" i="48" s="1"/>
  <c r="BP1171" i="48" s="1"/>
  <c r="BL1171" i="48"/>
  <c r="BB1171" i="48"/>
  <c r="V1171" i="48"/>
  <c r="J1171" i="48"/>
  <c r="BM1170" i="48"/>
  <c r="BO1170" i="48" s="1"/>
  <c r="BP1170" i="48" s="1"/>
  <c r="BL1170" i="48"/>
  <c r="BB1170" i="48"/>
  <c r="V1170" i="48"/>
  <c r="J1170" i="48"/>
  <c r="BM1169" i="48"/>
  <c r="BO1169" i="48" s="1"/>
  <c r="BP1169" i="48" s="1"/>
  <c r="BL1169" i="48"/>
  <c r="BB1169" i="48"/>
  <c r="V1169" i="48"/>
  <c r="J1169" i="48"/>
  <c r="BM1168" i="48"/>
  <c r="BO1168" i="48" s="1"/>
  <c r="BP1168" i="48" s="1"/>
  <c r="BL1168" i="48"/>
  <c r="BB1168" i="48"/>
  <c r="V1168" i="48"/>
  <c r="J1168" i="48"/>
  <c r="BM1167" i="48"/>
  <c r="BO1167" i="48" s="1"/>
  <c r="BP1167" i="48" s="1"/>
  <c r="BL1167" i="48"/>
  <c r="BB1167" i="48"/>
  <c r="V1167" i="48"/>
  <c r="J1167" i="48"/>
  <c r="BM1166" i="48"/>
  <c r="BO1166" i="48" s="1"/>
  <c r="BP1166" i="48" s="1"/>
  <c r="BL1166" i="48"/>
  <c r="BB1166" i="48"/>
  <c r="V1166" i="48"/>
  <c r="J1166" i="48"/>
  <c r="BM1165" i="48"/>
  <c r="BO1165" i="48" s="1"/>
  <c r="BP1165" i="48" s="1"/>
  <c r="BL1165" i="48"/>
  <c r="BB1165" i="48"/>
  <c r="V1165" i="48"/>
  <c r="J1165" i="48"/>
  <c r="BM1164" i="48"/>
  <c r="BO1164" i="48" s="1"/>
  <c r="BP1164" i="48" s="1"/>
  <c r="BL1164" i="48"/>
  <c r="BB1164" i="48"/>
  <c r="V1164" i="48"/>
  <c r="J1164" i="48"/>
  <c r="BM1163" i="48"/>
  <c r="BO1163" i="48" s="1"/>
  <c r="BP1163" i="48" s="1"/>
  <c r="BL1163" i="48"/>
  <c r="BB1163" i="48"/>
  <c r="V1163" i="48"/>
  <c r="J1163" i="48"/>
  <c r="BM1162" i="48"/>
  <c r="BO1162" i="48" s="1"/>
  <c r="BP1162" i="48" s="1"/>
  <c r="BL1162" i="48"/>
  <c r="BB1162" i="48"/>
  <c r="V1162" i="48"/>
  <c r="J1162" i="48"/>
  <c r="BM1161" i="48"/>
  <c r="BO1161" i="48" s="1"/>
  <c r="BP1161" i="48" s="1"/>
  <c r="BL1161" i="48"/>
  <c r="BB1161" i="48"/>
  <c r="V1161" i="48"/>
  <c r="J1161" i="48"/>
  <c r="BM1160" i="48"/>
  <c r="BO1160" i="48" s="1"/>
  <c r="BP1160" i="48" s="1"/>
  <c r="BL1160" i="48"/>
  <c r="BB1160" i="48"/>
  <c r="V1160" i="48"/>
  <c r="J1160" i="48"/>
  <c r="BM1159" i="48"/>
  <c r="BO1159" i="48" s="1"/>
  <c r="BP1159" i="48" s="1"/>
  <c r="BL1159" i="48"/>
  <c r="BB1159" i="48"/>
  <c r="V1159" i="48"/>
  <c r="J1159" i="48"/>
  <c r="BM1158" i="48"/>
  <c r="BO1158" i="48" s="1"/>
  <c r="BP1158" i="48" s="1"/>
  <c r="BL1158" i="48"/>
  <c r="BB1158" i="48"/>
  <c r="BM1157" i="48"/>
  <c r="BO1157" i="48" s="1"/>
  <c r="BP1157" i="48" s="1"/>
  <c r="BL1157" i="48"/>
  <c r="BB1157" i="48"/>
  <c r="BM1156" i="48"/>
  <c r="BO1156" i="48" s="1"/>
  <c r="BP1156" i="48" s="1"/>
  <c r="BL1156" i="48"/>
  <c r="BB1156" i="48"/>
  <c r="BM1155" i="48"/>
  <c r="BO1155" i="48" s="1"/>
  <c r="BP1155" i="48" s="1"/>
  <c r="BL1155" i="48"/>
  <c r="BB1155" i="48"/>
  <c r="BM1154" i="48"/>
  <c r="BO1154" i="48" s="1"/>
  <c r="BP1154" i="48" s="1"/>
  <c r="BL1154" i="48"/>
  <c r="BB1154" i="48"/>
  <c r="BM1153" i="48"/>
  <c r="BO1153" i="48" s="1"/>
  <c r="BP1153" i="48" s="1"/>
  <c r="BL1153" i="48"/>
  <c r="BB1153" i="48"/>
  <c r="BM1150" i="48"/>
  <c r="BO1150" i="48" s="1"/>
  <c r="BP1150" i="48" s="1"/>
  <c r="BL1150" i="48"/>
  <c r="V1150" i="48"/>
  <c r="J1150" i="48"/>
  <c r="V1149" i="48"/>
  <c r="J1149" i="48"/>
  <c r="BM1148" i="48"/>
  <c r="BO1148" i="48" s="1"/>
  <c r="BP1148" i="48" s="1"/>
  <c r="BL1148" i="48"/>
  <c r="BB1148" i="48"/>
  <c r="V1148" i="48"/>
  <c r="J1148" i="48"/>
  <c r="BM1147" i="48"/>
  <c r="BO1147" i="48" s="1"/>
  <c r="BP1147" i="48" s="1"/>
  <c r="BL1147" i="48"/>
  <c r="BB1147" i="48"/>
  <c r="V1147" i="48"/>
  <c r="J1147" i="48"/>
  <c r="BM1146" i="48"/>
  <c r="BO1146" i="48" s="1"/>
  <c r="BP1146" i="48" s="1"/>
  <c r="BL1146" i="48"/>
  <c r="BB1146" i="48"/>
  <c r="V1146" i="48"/>
  <c r="J1146" i="48"/>
  <c r="BM1145" i="48"/>
  <c r="BO1145" i="48" s="1"/>
  <c r="BP1145" i="48" s="1"/>
  <c r="BL1145" i="48"/>
  <c r="BB1145" i="48"/>
  <c r="V1145" i="48"/>
  <c r="J1145" i="48"/>
  <c r="BM1144" i="48"/>
  <c r="BO1144" i="48" s="1"/>
  <c r="BP1144" i="48" s="1"/>
  <c r="BL1144" i="48"/>
  <c r="BB1144" i="48"/>
  <c r="V1144" i="48"/>
  <c r="J1144" i="48"/>
  <c r="BM1143" i="48"/>
  <c r="BO1143" i="48" s="1"/>
  <c r="BP1143" i="48" s="1"/>
  <c r="BL1143" i="48"/>
  <c r="BB1143" i="48"/>
  <c r="V1143" i="48"/>
  <c r="J1143" i="48"/>
  <c r="BM1142" i="48"/>
  <c r="BO1142" i="48" s="1"/>
  <c r="BP1142" i="48" s="1"/>
  <c r="BL1142" i="48"/>
  <c r="BB1142" i="48"/>
  <c r="V1142" i="48"/>
  <c r="J1142" i="48"/>
  <c r="BM1141" i="48"/>
  <c r="BO1141" i="48" s="1"/>
  <c r="BP1141" i="48" s="1"/>
  <c r="BL1141" i="48"/>
  <c r="BB1141" i="48"/>
  <c r="V1141" i="48"/>
  <c r="J1141" i="48"/>
  <c r="BM1140" i="48"/>
  <c r="BO1140" i="48" s="1"/>
  <c r="BP1140" i="48" s="1"/>
  <c r="BL1140" i="48"/>
  <c r="BB1140" i="48"/>
  <c r="V1140" i="48"/>
  <c r="J1140" i="48"/>
  <c r="BM1139" i="48"/>
  <c r="BO1139" i="48" s="1"/>
  <c r="BP1139" i="48" s="1"/>
  <c r="BL1139" i="48"/>
  <c r="BB1139" i="48"/>
  <c r="V1139" i="48"/>
  <c r="J1139" i="48"/>
  <c r="BM1138" i="48"/>
  <c r="BO1138" i="48" s="1"/>
  <c r="BP1138" i="48" s="1"/>
  <c r="BL1138" i="48"/>
  <c r="BB1138" i="48"/>
  <c r="V1138" i="48"/>
  <c r="J1138" i="48"/>
  <c r="BM1137" i="48"/>
  <c r="BO1137" i="48" s="1"/>
  <c r="BP1137" i="48" s="1"/>
  <c r="BL1137" i="48"/>
  <c r="BB1137" i="48"/>
  <c r="V1137" i="48"/>
  <c r="J1137" i="48"/>
  <c r="BM1136" i="48"/>
  <c r="BO1136" i="48" s="1"/>
  <c r="BP1136" i="48" s="1"/>
  <c r="BL1136" i="48"/>
  <c r="BB1136" i="48"/>
  <c r="V1136" i="48"/>
  <c r="J1136" i="48"/>
  <c r="BM1135" i="48"/>
  <c r="BO1135" i="48" s="1"/>
  <c r="BP1135" i="48" s="1"/>
  <c r="BL1135" i="48"/>
  <c r="BB1135" i="48"/>
  <c r="V1135" i="48"/>
  <c r="J1135" i="48"/>
  <c r="BM1134" i="48"/>
  <c r="BO1134" i="48" s="1"/>
  <c r="BP1134" i="48" s="1"/>
  <c r="BL1134" i="48"/>
  <c r="BB1134" i="48"/>
  <c r="V1134" i="48"/>
  <c r="J1134" i="48"/>
  <c r="BM1133" i="48"/>
  <c r="BO1133" i="48" s="1"/>
  <c r="BP1133" i="48" s="1"/>
  <c r="BL1133" i="48"/>
  <c r="BB1133" i="48"/>
  <c r="BM1132" i="48"/>
  <c r="BO1132" i="48" s="1"/>
  <c r="BP1132" i="48" s="1"/>
  <c r="BL1132" i="48"/>
  <c r="BB1132" i="48"/>
  <c r="BM1131" i="48"/>
  <c r="BO1131" i="48" s="1"/>
  <c r="BP1131" i="48" s="1"/>
  <c r="BL1131" i="48"/>
  <c r="BB1131" i="48"/>
  <c r="BM1130" i="48"/>
  <c r="BO1130" i="48" s="1"/>
  <c r="BP1130" i="48" s="1"/>
  <c r="BL1130" i="48"/>
  <c r="BB1130" i="48"/>
  <c r="BM1129" i="48"/>
  <c r="BO1129" i="48" s="1"/>
  <c r="BP1129" i="48" s="1"/>
  <c r="BL1129" i="48"/>
  <c r="BB1129" i="48"/>
  <c r="BM1128" i="48"/>
  <c r="BO1128" i="48" s="1"/>
  <c r="BP1128" i="48" s="1"/>
  <c r="BL1128" i="48"/>
  <c r="BB1128" i="48"/>
  <c r="BM1125" i="48"/>
  <c r="BO1125" i="48" s="1"/>
  <c r="BP1125" i="48" s="1"/>
  <c r="BL1125" i="48"/>
  <c r="BB1125" i="48"/>
  <c r="V1125" i="48"/>
  <c r="J1125" i="48"/>
  <c r="BB1124" i="48"/>
  <c r="V1124" i="48"/>
  <c r="J1124" i="48"/>
  <c r="BM1123" i="48"/>
  <c r="BO1123" i="48" s="1"/>
  <c r="BP1123" i="48" s="1"/>
  <c r="BL1123" i="48"/>
  <c r="BB1123" i="48"/>
  <c r="V1123" i="48"/>
  <c r="J1123" i="48"/>
  <c r="BM1122" i="48"/>
  <c r="BO1122" i="48" s="1"/>
  <c r="BP1122" i="48" s="1"/>
  <c r="BL1122" i="48"/>
  <c r="BB1122" i="48"/>
  <c r="V1122" i="48"/>
  <c r="J1122" i="48"/>
  <c r="BM1121" i="48"/>
  <c r="BO1121" i="48" s="1"/>
  <c r="BP1121" i="48" s="1"/>
  <c r="BL1121" i="48"/>
  <c r="BB1121" i="48"/>
  <c r="V1121" i="48"/>
  <c r="J1121" i="48"/>
  <c r="BM1120" i="48"/>
  <c r="BO1120" i="48" s="1"/>
  <c r="BP1120" i="48" s="1"/>
  <c r="BL1120" i="48"/>
  <c r="BB1120" i="48"/>
  <c r="V1120" i="48"/>
  <c r="J1120" i="48"/>
  <c r="BM1119" i="48"/>
  <c r="BO1119" i="48" s="1"/>
  <c r="BP1119" i="48" s="1"/>
  <c r="BL1119" i="48"/>
  <c r="BB1119" i="48"/>
  <c r="V1119" i="48"/>
  <c r="J1119" i="48"/>
  <c r="BM1118" i="48"/>
  <c r="BO1118" i="48" s="1"/>
  <c r="BP1118" i="48" s="1"/>
  <c r="BL1118" i="48"/>
  <c r="BB1118" i="48"/>
  <c r="V1118" i="48"/>
  <c r="J1118" i="48"/>
  <c r="BM1117" i="48"/>
  <c r="BO1117" i="48" s="1"/>
  <c r="BP1117" i="48" s="1"/>
  <c r="BL1117" i="48"/>
  <c r="BB1117" i="48"/>
  <c r="V1117" i="48"/>
  <c r="J1117" i="48"/>
  <c r="BM1116" i="48"/>
  <c r="BO1116" i="48" s="1"/>
  <c r="BP1116" i="48" s="1"/>
  <c r="BL1116" i="48"/>
  <c r="BB1116" i="48"/>
  <c r="V1116" i="48"/>
  <c r="J1116" i="48"/>
  <c r="BM1115" i="48"/>
  <c r="BO1115" i="48" s="1"/>
  <c r="BP1115" i="48" s="1"/>
  <c r="BL1115" i="48"/>
  <c r="BB1115" i="48"/>
  <c r="V1115" i="48"/>
  <c r="J1115" i="48"/>
  <c r="BM1114" i="48"/>
  <c r="BO1114" i="48" s="1"/>
  <c r="BP1114" i="48" s="1"/>
  <c r="BL1114" i="48"/>
  <c r="BB1114" i="48"/>
  <c r="V1114" i="48"/>
  <c r="J1114" i="48"/>
  <c r="BM1113" i="48"/>
  <c r="BO1113" i="48" s="1"/>
  <c r="BP1113" i="48" s="1"/>
  <c r="BL1113" i="48"/>
  <c r="BB1113" i="48"/>
  <c r="V1113" i="48"/>
  <c r="J1113" i="48"/>
  <c r="BM1112" i="48"/>
  <c r="BO1112" i="48" s="1"/>
  <c r="BP1112" i="48" s="1"/>
  <c r="BL1112" i="48"/>
  <c r="BB1112" i="48"/>
  <c r="V1112" i="48"/>
  <c r="J1112" i="48"/>
  <c r="BM1111" i="48"/>
  <c r="BO1111" i="48" s="1"/>
  <c r="BP1111" i="48" s="1"/>
  <c r="BL1111" i="48"/>
  <c r="BB1111" i="48"/>
  <c r="V1111" i="48"/>
  <c r="J1111" i="48"/>
  <c r="BM1110" i="48"/>
  <c r="BO1110" i="48" s="1"/>
  <c r="BP1110" i="48" s="1"/>
  <c r="BL1110" i="48"/>
  <c r="BB1110" i="48"/>
  <c r="V1110" i="48"/>
  <c r="J1110" i="48"/>
  <c r="BM1109" i="48"/>
  <c r="BO1109" i="48" s="1"/>
  <c r="BP1109" i="48" s="1"/>
  <c r="BL1109" i="48"/>
  <c r="BB1109" i="48"/>
  <c r="V1109" i="48"/>
  <c r="J1109" i="48"/>
  <c r="BM1108" i="48"/>
  <c r="BO1108" i="48" s="1"/>
  <c r="BP1108" i="48" s="1"/>
  <c r="BL1108" i="48"/>
  <c r="BB1108" i="48"/>
  <c r="BM1107" i="48"/>
  <c r="BO1107" i="48" s="1"/>
  <c r="BP1107" i="48" s="1"/>
  <c r="BL1107" i="48"/>
  <c r="BB1107" i="48"/>
  <c r="BM1106" i="48"/>
  <c r="BO1106" i="48" s="1"/>
  <c r="BP1106" i="48" s="1"/>
  <c r="BL1106" i="48"/>
  <c r="BB1106" i="48"/>
  <c r="BM1105" i="48"/>
  <c r="BO1105" i="48" s="1"/>
  <c r="BP1105" i="48" s="1"/>
  <c r="BL1105" i="48"/>
  <c r="BB1105" i="48"/>
  <c r="BM1104" i="48"/>
  <c r="BO1104" i="48" s="1"/>
  <c r="BP1104" i="48" s="1"/>
  <c r="BL1104" i="48"/>
  <c r="BB1104" i="48"/>
  <c r="BM1103" i="48"/>
  <c r="BO1103" i="48" s="1"/>
  <c r="BP1103" i="48" s="1"/>
  <c r="BL1103" i="48"/>
  <c r="BB1103" i="48"/>
  <c r="BM1100" i="48"/>
  <c r="BO1100" i="48" s="1"/>
  <c r="BP1100" i="48" s="1"/>
  <c r="BL1100" i="48"/>
  <c r="BB1100" i="48"/>
  <c r="BM1099" i="48"/>
  <c r="BO1099" i="48" s="1"/>
  <c r="BP1099" i="48" s="1"/>
  <c r="BL1099" i="48"/>
  <c r="BB1099" i="48"/>
  <c r="V1099" i="48"/>
  <c r="J1099" i="48"/>
  <c r="BM1098" i="48"/>
  <c r="BO1098" i="48" s="1"/>
  <c r="BP1098" i="48" s="1"/>
  <c r="BL1098" i="48"/>
  <c r="BB1098" i="48"/>
  <c r="V1098" i="48"/>
  <c r="J1098" i="48"/>
  <c r="BM1097" i="48"/>
  <c r="BO1097" i="48" s="1"/>
  <c r="BP1097" i="48" s="1"/>
  <c r="BL1097" i="48"/>
  <c r="BB1097" i="48"/>
  <c r="V1097" i="48"/>
  <c r="J1097" i="48"/>
  <c r="BM1096" i="48"/>
  <c r="BO1096" i="48" s="1"/>
  <c r="BP1096" i="48" s="1"/>
  <c r="BL1096" i="48"/>
  <c r="BB1096" i="48"/>
  <c r="V1096" i="48"/>
  <c r="J1096" i="48"/>
  <c r="BM1095" i="48"/>
  <c r="BO1095" i="48" s="1"/>
  <c r="BP1095" i="48" s="1"/>
  <c r="BL1095" i="48"/>
  <c r="BB1095" i="48"/>
  <c r="V1095" i="48"/>
  <c r="J1095" i="48"/>
  <c r="BM1094" i="48"/>
  <c r="BO1094" i="48" s="1"/>
  <c r="BP1094" i="48" s="1"/>
  <c r="BL1094" i="48"/>
  <c r="BB1094" i="48"/>
  <c r="V1094" i="48"/>
  <c r="J1094" i="48"/>
  <c r="BM1093" i="48"/>
  <c r="BO1093" i="48" s="1"/>
  <c r="BP1093" i="48" s="1"/>
  <c r="BL1093" i="48"/>
  <c r="BB1093" i="48"/>
  <c r="V1093" i="48"/>
  <c r="J1093" i="48"/>
  <c r="BM1092" i="48"/>
  <c r="BO1092" i="48" s="1"/>
  <c r="BP1092" i="48" s="1"/>
  <c r="BL1092" i="48"/>
  <c r="BB1092" i="48"/>
  <c r="V1092" i="48"/>
  <c r="J1092" i="48"/>
  <c r="BM1091" i="48"/>
  <c r="BO1091" i="48" s="1"/>
  <c r="BP1091" i="48" s="1"/>
  <c r="BL1091" i="48"/>
  <c r="BB1091" i="48"/>
  <c r="V1091" i="48"/>
  <c r="J1091" i="48"/>
  <c r="BM1090" i="48"/>
  <c r="BO1090" i="48" s="1"/>
  <c r="BP1090" i="48" s="1"/>
  <c r="BL1090" i="48"/>
  <c r="BB1090" i="48"/>
  <c r="V1090" i="48"/>
  <c r="J1090" i="48"/>
  <c r="BM1089" i="48"/>
  <c r="BO1089" i="48" s="1"/>
  <c r="BP1089" i="48" s="1"/>
  <c r="BL1089" i="48"/>
  <c r="BB1089" i="48"/>
  <c r="V1089" i="48"/>
  <c r="J1089" i="48"/>
  <c r="BM1088" i="48"/>
  <c r="BO1088" i="48" s="1"/>
  <c r="BP1088" i="48" s="1"/>
  <c r="BL1088" i="48"/>
  <c r="BB1088" i="48"/>
  <c r="V1088" i="48"/>
  <c r="J1088" i="48"/>
  <c r="BM1087" i="48"/>
  <c r="BO1087" i="48" s="1"/>
  <c r="BP1087" i="48" s="1"/>
  <c r="BL1087" i="48"/>
  <c r="BB1087" i="48"/>
  <c r="V1087" i="48"/>
  <c r="J1087" i="48"/>
  <c r="BM1086" i="48"/>
  <c r="BO1086" i="48" s="1"/>
  <c r="BP1086" i="48" s="1"/>
  <c r="BL1086" i="48"/>
  <c r="BB1086" i="48"/>
  <c r="V1086" i="48"/>
  <c r="J1086" i="48"/>
  <c r="BM1085" i="48"/>
  <c r="BO1085" i="48" s="1"/>
  <c r="BP1085" i="48" s="1"/>
  <c r="BL1085" i="48"/>
  <c r="BB1085" i="48"/>
  <c r="V1085" i="48"/>
  <c r="J1085" i="48"/>
  <c r="BM1084" i="48"/>
  <c r="BO1084" i="48" s="1"/>
  <c r="BP1084" i="48" s="1"/>
  <c r="BL1084" i="48"/>
  <c r="BB1084" i="48"/>
  <c r="V1084" i="48"/>
  <c r="J1084" i="48"/>
  <c r="BM1083" i="48"/>
  <c r="BO1083" i="48" s="1"/>
  <c r="BP1083" i="48" s="1"/>
  <c r="BL1083" i="48"/>
  <c r="BB1083" i="48"/>
  <c r="BM1082" i="48"/>
  <c r="BO1082" i="48" s="1"/>
  <c r="BP1082" i="48" s="1"/>
  <c r="BL1082" i="48"/>
  <c r="BB1082" i="48"/>
  <c r="BM1081" i="48"/>
  <c r="BO1081" i="48" s="1"/>
  <c r="BP1081" i="48" s="1"/>
  <c r="BL1081" i="48"/>
  <c r="BB1081" i="48"/>
  <c r="BM1080" i="48"/>
  <c r="BO1080" i="48" s="1"/>
  <c r="BP1080" i="48" s="1"/>
  <c r="BL1080" i="48"/>
  <c r="BB1080" i="48"/>
  <c r="BB1079" i="48"/>
  <c r="BM1078" i="48"/>
  <c r="BO1078" i="48" s="1"/>
  <c r="BP1078" i="48" s="1"/>
  <c r="BL1078" i="48"/>
  <c r="BM1074" i="48"/>
  <c r="BO1074" i="48" s="1"/>
  <c r="BP1074" i="48" s="1"/>
  <c r="BL1074" i="48"/>
  <c r="BB1074" i="48"/>
  <c r="V1074" i="48"/>
  <c r="BM1073" i="48"/>
  <c r="BO1073" i="48" s="1"/>
  <c r="BP1073" i="48" s="1"/>
  <c r="BL1073" i="48"/>
  <c r="BB1073" i="48"/>
  <c r="V1073" i="48"/>
  <c r="J1073" i="48"/>
  <c r="BM1072" i="48"/>
  <c r="BO1072" i="48" s="1"/>
  <c r="BP1072" i="48" s="1"/>
  <c r="BL1072" i="48"/>
  <c r="BB1072" i="48"/>
  <c r="V1072" i="48"/>
  <c r="J1072" i="48"/>
  <c r="BM1071" i="48"/>
  <c r="BO1071" i="48" s="1"/>
  <c r="BP1071" i="48" s="1"/>
  <c r="BL1071" i="48"/>
  <c r="BB1071" i="48"/>
  <c r="V1071" i="48"/>
  <c r="J1071" i="48"/>
  <c r="BM1070" i="48"/>
  <c r="BO1070" i="48" s="1"/>
  <c r="BP1070" i="48" s="1"/>
  <c r="BL1070" i="48"/>
  <c r="BB1070" i="48"/>
  <c r="V1070" i="48"/>
  <c r="J1070" i="48"/>
  <c r="BM1069" i="48"/>
  <c r="BO1069" i="48" s="1"/>
  <c r="BP1069" i="48" s="1"/>
  <c r="BL1069" i="48"/>
  <c r="BB1069" i="48"/>
  <c r="V1069" i="48"/>
  <c r="J1069" i="48"/>
  <c r="BM1068" i="48"/>
  <c r="BO1068" i="48" s="1"/>
  <c r="BP1068" i="48" s="1"/>
  <c r="BL1068" i="48"/>
  <c r="BB1068" i="48"/>
  <c r="V1068" i="48"/>
  <c r="J1068" i="48"/>
  <c r="BM1067" i="48"/>
  <c r="BO1067" i="48" s="1"/>
  <c r="BP1067" i="48" s="1"/>
  <c r="BL1067" i="48"/>
  <c r="BB1067" i="48"/>
  <c r="V1067" i="48"/>
  <c r="J1067" i="48"/>
  <c r="BM1066" i="48"/>
  <c r="BO1066" i="48" s="1"/>
  <c r="BP1066" i="48" s="1"/>
  <c r="BL1066" i="48"/>
  <c r="BB1066" i="48"/>
  <c r="V1066" i="48"/>
  <c r="J1066" i="48"/>
  <c r="BM1065" i="48"/>
  <c r="BO1065" i="48" s="1"/>
  <c r="BP1065" i="48" s="1"/>
  <c r="BL1065" i="48"/>
  <c r="BB1065" i="48"/>
  <c r="V1065" i="48"/>
  <c r="J1065" i="48"/>
  <c r="BM1064" i="48"/>
  <c r="BO1064" i="48" s="1"/>
  <c r="BP1064" i="48" s="1"/>
  <c r="BL1064" i="48"/>
  <c r="BB1064" i="48"/>
  <c r="V1064" i="48"/>
  <c r="J1064" i="48"/>
  <c r="BM1063" i="48"/>
  <c r="BO1063" i="48" s="1"/>
  <c r="BP1063" i="48" s="1"/>
  <c r="BL1063" i="48"/>
  <c r="BB1063" i="48"/>
  <c r="V1063" i="48"/>
  <c r="J1063" i="48"/>
  <c r="BM1062" i="48"/>
  <c r="BO1062" i="48" s="1"/>
  <c r="BP1062" i="48" s="1"/>
  <c r="BL1062" i="48"/>
  <c r="BB1062" i="48"/>
  <c r="V1062" i="48"/>
  <c r="J1062" i="48"/>
  <c r="BM1061" i="48"/>
  <c r="BO1061" i="48" s="1"/>
  <c r="BP1061" i="48" s="1"/>
  <c r="BL1061" i="48"/>
  <c r="BB1061" i="48"/>
  <c r="V1061" i="48"/>
  <c r="J1061" i="48"/>
  <c r="BM1060" i="48"/>
  <c r="BO1060" i="48" s="1"/>
  <c r="BP1060" i="48" s="1"/>
  <c r="BL1060" i="48"/>
  <c r="BB1060" i="48"/>
  <c r="V1060" i="48"/>
  <c r="J1060" i="48"/>
  <c r="BM1059" i="48"/>
  <c r="BO1059" i="48" s="1"/>
  <c r="BP1059" i="48" s="1"/>
  <c r="BL1059" i="48"/>
  <c r="BB1059" i="48"/>
  <c r="V1059" i="48"/>
  <c r="J1059" i="48"/>
  <c r="BM1058" i="48"/>
  <c r="BO1058" i="48" s="1"/>
  <c r="BP1058" i="48" s="1"/>
  <c r="BL1058" i="48"/>
  <c r="BB1058" i="48"/>
  <c r="BM1057" i="48"/>
  <c r="BO1057" i="48" s="1"/>
  <c r="BP1057" i="48" s="1"/>
  <c r="BL1057" i="48"/>
  <c r="BB1057" i="48"/>
  <c r="BM1056" i="48"/>
  <c r="BO1056" i="48" s="1"/>
  <c r="BP1056" i="48" s="1"/>
  <c r="BL1056" i="48"/>
  <c r="BB1056" i="48"/>
  <c r="BM1055" i="48"/>
  <c r="BO1055" i="48" s="1"/>
  <c r="BP1055" i="48" s="1"/>
  <c r="BL1055" i="48"/>
  <c r="BB1055" i="48"/>
  <c r="BM1054" i="48"/>
  <c r="BO1054" i="48" s="1"/>
  <c r="BP1054" i="48" s="1"/>
  <c r="BL1054" i="48"/>
  <c r="BB1054" i="48"/>
  <c r="BM1053" i="48"/>
  <c r="BO1053" i="48" s="1"/>
  <c r="BP1053" i="48" s="1"/>
  <c r="BL1053" i="48"/>
  <c r="BB1053" i="48"/>
  <c r="BM1049" i="48"/>
  <c r="BO1049" i="48" s="1"/>
  <c r="BP1049" i="48" s="1"/>
  <c r="BL1049" i="48"/>
  <c r="BB1049" i="48"/>
  <c r="V1049" i="48"/>
  <c r="J1049" i="48"/>
  <c r="BM1048" i="48"/>
  <c r="BO1048" i="48" s="1"/>
  <c r="BP1048" i="48" s="1"/>
  <c r="BL1048" i="48"/>
  <c r="BB1048" i="48"/>
  <c r="V1048" i="48"/>
  <c r="J1048" i="48"/>
  <c r="BM1047" i="48"/>
  <c r="BO1047" i="48" s="1"/>
  <c r="BP1047" i="48" s="1"/>
  <c r="BL1047" i="48"/>
  <c r="BB1047" i="48"/>
  <c r="V1047" i="48"/>
  <c r="J1047" i="48"/>
  <c r="BM1046" i="48"/>
  <c r="BO1046" i="48" s="1"/>
  <c r="BP1046" i="48" s="1"/>
  <c r="BL1046" i="48"/>
  <c r="BB1046" i="48"/>
  <c r="V1046" i="48"/>
  <c r="J1046" i="48"/>
  <c r="BM1045" i="48"/>
  <c r="BO1045" i="48" s="1"/>
  <c r="BP1045" i="48" s="1"/>
  <c r="BL1045" i="48"/>
  <c r="BB1045" i="48"/>
  <c r="V1045" i="48"/>
  <c r="J1045" i="48"/>
  <c r="BM1044" i="48"/>
  <c r="BO1044" i="48" s="1"/>
  <c r="BP1044" i="48" s="1"/>
  <c r="BL1044" i="48"/>
  <c r="BB1044" i="48"/>
  <c r="V1044" i="48"/>
  <c r="J1044" i="48"/>
  <c r="BM1043" i="48"/>
  <c r="BO1043" i="48" s="1"/>
  <c r="BP1043" i="48" s="1"/>
  <c r="BL1043" i="48"/>
  <c r="BB1043" i="48"/>
  <c r="V1043" i="48"/>
  <c r="J1043" i="48"/>
  <c r="BM1042" i="48"/>
  <c r="BO1042" i="48" s="1"/>
  <c r="BP1042" i="48" s="1"/>
  <c r="BL1042" i="48"/>
  <c r="BB1042" i="48"/>
  <c r="V1042" i="48"/>
  <c r="J1042" i="48"/>
  <c r="BM1041" i="48"/>
  <c r="BO1041" i="48" s="1"/>
  <c r="BP1041" i="48" s="1"/>
  <c r="BL1041" i="48"/>
  <c r="BB1041" i="48"/>
  <c r="V1041" i="48"/>
  <c r="J1041" i="48"/>
  <c r="BM1040" i="48"/>
  <c r="BO1040" i="48" s="1"/>
  <c r="BP1040" i="48" s="1"/>
  <c r="BL1040" i="48"/>
  <c r="BB1040" i="48"/>
  <c r="V1040" i="48"/>
  <c r="J1040" i="48"/>
  <c r="BM1039" i="48"/>
  <c r="BO1039" i="48" s="1"/>
  <c r="BP1039" i="48" s="1"/>
  <c r="BL1039" i="48"/>
  <c r="BB1039" i="48"/>
  <c r="V1039" i="48"/>
  <c r="J1039" i="48"/>
  <c r="BM1038" i="48"/>
  <c r="BO1038" i="48" s="1"/>
  <c r="BP1038" i="48" s="1"/>
  <c r="BL1038" i="48"/>
  <c r="BB1038" i="48"/>
  <c r="V1038" i="48"/>
  <c r="J1038" i="48"/>
  <c r="BM1037" i="48"/>
  <c r="BO1037" i="48" s="1"/>
  <c r="BP1037" i="48" s="1"/>
  <c r="BL1037" i="48"/>
  <c r="BB1037" i="48"/>
  <c r="V1037" i="48"/>
  <c r="J1037" i="48"/>
  <c r="BM1036" i="48"/>
  <c r="BO1036" i="48" s="1"/>
  <c r="BP1036" i="48" s="1"/>
  <c r="BL1036" i="48"/>
  <c r="BB1036" i="48"/>
  <c r="V1036" i="48"/>
  <c r="J1036" i="48"/>
  <c r="BM1035" i="48"/>
  <c r="BO1035" i="48" s="1"/>
  <c r="BP1035" i="48" s="1"/>
  <c r="BL1035" i="48"/>
  <c r="BB1035" i="48"/>
  <c r="BC1035" i="48" s="1"/>
  <c r="V1035" i="48"/>
  <c r="J1035" i="48"/>
  <c r="BM1034" i="48"/>
  <c r="BO1034" i="48" s="1"/>
  <c r="BP1034" i="48" s="1"/>
  <c r="BL1034" i="48"/>
  <c r="V1034" i="48"/>
  <c r="J1034" i="48"/>
  <c r="BM1033" i="48"/>
  <c r="BO1033" i="48" s="1"/>
  <c r="BP1033" i="48" s="1"/>
  <c r="BL1033" i="48"/>
  <c r="BM1032" i="48"/>
  <c r="BO1032" i="48" s="1"/>
  <c r="BP1032" i="48" s="1"/>
  <c r="BL1032" i="48"/>
  <c r="BM1031" i="48"/>
  <c r="BO1031" i="48" s="1"/>
  <c r="BP1031" i="48" s="1"/>
  <c r="BL1031" i="48"/>
  <c r="BB1031" i="48"/>
  <c r="BM1030" i="48"/>
  <c r="BO1030" i="48" s="1"/>
  <c r="BP1030" i="48" s="1"/>
  <c r="BL1030" i="48"/>
  <c r="BB1030" i="48"/>
  <c r="BM1029" i="48"/>
  <c r="BO1029" i="48" s="1"/>
  <c r="BP1029" i="48" s="1"/>
  <c r="BL1029" i="48"/>
  <c r="BB1029" i="48"/>
  <c r="BM1028" i="48"/>
  <c r="BO1028" i="48" s="1"/>
  <c r="BP1028" i="48" s="1"/>
  <c r="BL1028" i="48"/>
  <c r="BB1028" i="48"/>
  <c r="BM1025" i="48"/>
  <c r="BO1025" i="48" s="1"/>
  <c r="BP1025" i="48" s="1"/>
  <c r="BL1025" i="48"/>
  <c r="BB1025" i="48"/>
  <c r="V1025" i="48"/>
  <c r="J1025" i="48"/>
  <c r="BM1024" i="48"/>
  <c r="BO1024" i="48" s="1"/>
  <c r="BP1024" i="48" s="1"/>
  <c r="BL1024" i="48"/>
  <c r="BB1024" i="48"/>
  <c r="V1024" i="48"/>
  <c r="J1024" i="48"/>
  <c r="BM1023" i="48"/>
  <c r="BO1023" i="48" s="1"/>
  <c r="BP1023" i="48" s="1"/>
  <c r="BL1023" i="48"/>
  <c r="BB1023" i="48"/>
  <c r="V1023" i="48"/>
  <c r="J1023" i="48"/>
  <c r="BM1022" i="48"/>
  <c r="BO1022" i="48" s="1"/>
  <c r="BP1022" i="48" s="1"/>
  <c r="BL1022" i="48"/>
  <c r="BB1022" i="48"/>
  <c r="V1022" i="48"/>
  <c r="J1022" i="48"/>
  <c r="BM1021" i="48"/>
  <c r="BO1021" i="48" s="1"/>
  <c r="BP1021" i="48" s="1"/>
  <c r="BL1021" i="48"/>
  <c r="BB1021" i="48"/>
  <c r="V1021" i="48"/>
  <c r="J1021" i="48"/>
  <c r="BM1020" i="48"/>
  <c r="BO1020" i="48" s="1"/>
  <c r="BP1020" i="48" s="1"/>
  <c r="BL1020" i="48"/>
  <c r="BB1020" i="48"/>
  <c r="V1020" i="48"/>
  <c r="J1020" i="48"/>
  <c r="BM1019" i="48"/>
  <c r="BO1019" i="48" s="1"/>
  <c r="BP1019" i="48" s="1"/>
  <c r="BL1019" i="48"/>
  <c r="BB1019" i="48"/>
  <c r="V1019" i="48"/>
  <c r="J1019" i="48"/>
  <c r="BM1018" i="48"/>
  <c r="BO1018" i="48" s="1"/>
  <c r="BP1018" i="48" s="1"/>
  <c r="BL1018" i="48"/>
  <c r="BB1018" i="48"/>
  <c r="V1018" i="48"/>
  <c r="J1018" i="48"/>
  <c r="BM1017" i="48"/>
  <c r="BO1017" i="48" s="1"/>
  <c r="BP1017" i="48" s="1"/>
  <c r="BL1017" i="48"/>
  <c r="BB1017" i="48"/>
  <c r="V1017" i="48"/>
  <c r="J1017" i="48"/>
  <c r="BM1016" i="48"/>
  <c r="BO1016" i="48" s="1"/>
  <c r="BP1016" i="48" s="1"/>
  <c r="BL1016" i="48"/>
  <c r="BB1016" i="48"/>
  <c r="V1016" i="48"/>
  <c r="J1016" i="48"/>
  <c r="BM1015" i="48"/>
  <c r="BO1015" i="48" s="1"/>
  <c r="BP1015" i="48" s="1"/>
  <c r="BL1015" i="48"/>
  <c r="BB1015" i="48"/>
  <c r="V1015" i="48"/>
  <c r="J1015" i="48"/>
  <c r="BM1014" i="48"/>
  <c r="BO1014" i="48" s="1"/>
  <c r="BP1014" i="48" s="1"/>
  <c r="BL1014" i="48"/>
  <c r="BB1014" i="48"/>
  <c r="V1014" i="48"/>
  <c r="J1014" i="48"/>
  <c r="BM1013" i="48"/>
  <c r="BO1013" i="48" s="1"/>
  <c r="BP1013" i="48" s="1"/>
  <c r="BL1013" i="48"/>
  <c r="BB1013" i="48"/>
  <c r="V1013" i="48"/>
  <c r="J1013" i="48"/>
  <c r="BM1012" i="48"/>
  <c r="BO1012" i="48" s="1"/>
  <c r="BP1012" i="48" s="1"/>
  <c r="BL1012" i="48"/>
  <c r="BB1012" i="48"/>
  <c r="V1012" i="48"/>
  <c r="J1012" i="48"/>
  <c r="BM1011" i="48"/>
  <c r="BO1011" i="48" s="1"/>
  <c r="BP1011" i="48" s="1"/>
  <c r="BL1011" i="48"/>
  <c r="BB1011" i="48"/>
  <c r="V1011" i="48"/>
  <c r="J1011" i="48"/>
  <c r="BM1010" i="48"/>
  <c r="BO1010" i="48" s="1"/>
  <c r="BP1010" i="48" s="1"/>
  <c r="BL1010" i="48"/>
  <c r="BB1010" i="48"/>
  <c r="V1010" i="48"/>
  <c r="J1010" i="48"/>
  <c r="BM1009" i="48"/>
  <c r="BO1009" i="48" s="1"/>
  <c r="BP1009" i="48" s="1"/>
  <c r="BL1009" i="48"/>
  <c r="BB1009" i="48"/>
  <c r="V1009" i="48"/>
  <c r="J1009" i="48"/>
  <c r="BB1008" i="48"/>
  <c r="BB1007" i="48"/>
  <c r="BM1006" i="48"/>
  <c r="BO1006" i="48" s="1"/>
  <c r="BP1006" i="48" s="1"/>
  <c r="BL1006" i="48"/>
  <c r="BB1006" i="48"/>
  <c r="BM1005" i="48"/>
  <c r="BO1005" i="48" s="1"/>
  <c r="BP1005" i="48" s="1"/>
  <c r="BL1005" i="48"/>
  <c r="BB1005" i="48"/>
  <c r="BM1004" i="48"/>
  <c r="BO1004" i="48" s="1"/>
  <c r="BP1004" i="48" s="1"/>
  <c r="BL1004" i="48"/>
  <c r="BB1004" i="48"/>
  <c r="BM1003" i="48"/>
  <c r="BO1003" i="48" s="1"/>
  <c r="BP1003" i="48" s="1"/>
  <c r="BL1003" i="48"/>
  <c r="BB1003" i="48"/>
  <c r="BM1000" i="48"/>
  <c r="BO1000" i="48" s="1"/>
  <c r="BP1000" i="48" s="1"/>
  <c r="BL1000" i="48"/>
  <c r="V1000" i="48"/>
  <c r="J1000" i="48"/>
  <c r="BM999" i="48"/>
  <c r="BO999" i="48" s="1"/>
  <c r="BP999" i="48" s="1"/>
  <c r="BL999" i="48"/>
  <c r="V999" i="48"/>
  <c r="J999" i="48"/>
  <c r="BM998" i="48"/>
  <c r="BO998" i="48" s="1"/>
  <c r="BP998" i="48" s="1"/>
  <c r="BL998" i="48"/>
  <c r="BB998" i="48"/>
  <c r="V998" i="48"/>
  <c r="J998" i="48"/>
  <c r="BM997" i="48"/>
  <c r="BO997" i="48" s="1"/>
  <c r="BP997" i="48" s="1"/>
  <c r="BL997" i="48"/>
  <c r="BB997" i="48"/>
  <c r="V997" i="48"/>
  <c r="J997" i="48"/>
  <c r="BM996" i="48"/>
  <c r="BO996" i="48" s="1"/>
  <c r="BP996" i="48" s="1"/>
  <c r="BL996" i="48"/>
  <c r="BB996" i="48"/>
  <c r="V996" i="48"/>
  <c r="J996" i="48"/>
  <c r="BM995" i="48"/>
  <c r="BO995" i="48" s="1"/>
  <c r="BP995" i="48" s="1"/>
  <c r="BL995" i="48"/>
  <c r="BB995" i="48"/>
  <c r="V995" i="48"/>
  <c r="J995" i="48"/>
  <c r="BM994" i="48"/>
  <c r="BO994" i="48" s="1"/>
  <c r="BP994" i="48" s="1"/>
  <c r="BL994" i="48"/>
  <c r="BB994" i="48"/>
  <c r="V994" i="48"/>
  <c r="J994" i="48"/>
  <c r="BM993" i="48"/>
  <c r="BO993" i="48" s="1"/>
  <c r="BP993" i="48" s="1"/>
  <c r="BL993" i="48"/>
  <c r="BB993" i="48"/>
  <c r="V993" i="48"/>
  <c r="J993" i="48"/>
  <c r="BM992" i="48"/>
  <c r="BO992" i="48" s="1"/>
  <c r="BP992" i="48" s="1"/>
  <c r="BL992" i="48"/>
  <c r="BB992" i="48"/>
  <c r="V992" i="48"/>
  <c r="J992" i="48"/>
  <c r="BM991" i="48"/>
  <c r="BO991" i="48" s="1"/>
  <c r="BP991" i="48" s="1"/>
  <c r="BL991" i="48"/>
  <c r="BB991" i="48"/>
  <c r="V991" i="48"/>
  <c r="J991" i="48"/>
  <c r="BM990" i="48"/>
  <c r="BO990" i="48" s="1"/>
  <c r="BP990" i="48" s="1"/>
  <c r="BL990" i="48"/>
  <c r="BB990" i="48"/>
  <c r="V990" i="48"/>
  <c r="J990" i="48"/>
  <c r="BM989" i="48"/>
  <c r="BO989" i="48" s="1"/>
  <c r="BP989" i="48" s="1"/>
  <c r="BL989" i="48"/>
  <c r="BB989" i="48"/>
  <c r="V989" i="48"/>
  <c r="J989" i="48"/>
  <c r="BM988" i="48"/>
  <c r="BO988" i="48" s="1"/>
  <c r="BP988" i="48" s="1"/>
  <c r="BL988" i="48"/>
  <c r="BB988" i="48"/>
  <c r="V988" i="48"/>
  <c r="J988" i="48"/>
  <c r="BM987" i="48"/>
  <c r="BO987" i="48" s="1"/>
  <c r="BP987" i="48" s="1"/>
  <c r="BL987" i="48"/>
  <c r="BB987" i="48"/>
  <c r="V987" i="48"/>
  <c r="J987" i="48"/>
  <c r="BM986" i="48"/>
  <c r="BO986" i="48" s="1"/>
  <c r="BP986" i="48" s="1"/>
  <c r="BL986" i="48"/>
  <c r="BB986" i="48"/>
  <c r="V986" i="48"/>
  <c r="J986" i="48"/>
  <c r="BM985" i="48"/>
  <c r="BO985" i="48" s="1"/>
  <c r="BP985" i="48" s="1"/>
  <c r="BL985" i="48"/>
  <c r="BB985" i="48"/>
  <c r="V985" i="48"/>
  <c r="J985" i="48"/>
  <c r="BM984" i="48"/>
  <c r="BO984" i="48" s="1"/>
  <c r="BP984" i="48" s="1"/>
  <c r="BL984" i="48"/>
  <c r="BB984" i="48"/>
  <c r="V984" i="48"/>
  <c r="J984" i="48"/>
  <c r="BM983" i="48"/>
  <c r="BO983" i="48" s="1"/>
  <c r="BP983" i="48" s="1"/>
  <c r="BL983" i="48"/>
  <c r="BB983" i="48"/>
  <c r="BM982" i="48"/>
  <c r="BO982" i="48" s="1"/>
  <c r="BP982" i="48" s="1"/>
  <c r="BL982" i="48"/>
  <c r="BB982" i="48"/>
  <c r="BM981" i="48"/>
  <c r="BO981" i="48" s="1"/>
  <c r="BP981" i="48" s="1"/>
  <c r="BL981" i="48"/>
  <c r="BB981" i="48"/>
  <c r="BM980" i="48"/>
  <c r="BO980" i="48" s="1"/>
  <c r="BP980" i="48" s="1"/>
  <c r="BL980" i="48"/>
  <c r="BB980" i="48"/>
  <c r="BM979" i="48"/>
  <c r="BO979" i="48" s="1"/>
  <c r="BP979" i="48" s="1"/>
  <c r="BL979" i="48"/>
  <c r="BB979" i="48"/>
  <c r="BM978" i="48"/>
  <c r="BO978" i="48" s="1"/>
  <c r="BP978" i="48" s="1"/>
  <c r="BL978" i="48"/>
  <c r="BB978" i="48"/>
  <c r="BM975" i="48"/>
  <c r="BO975" i="48" s="1"/>
  <c r="BP975" i="48" s="1"/>
  <c r="BL975" i="48"/>
  <c r="V975" i="48"/>
  <c r="J975" i="48"/>
  <c r="BM974" i="48"/>
  <c r="BO974" i="48" s="1"/>
  <c r="BP974" i="48" s="1"/>
  <c r="BL974" i="48"/>
  <c r="V974" i="48"/>
  <c r="J974" i="48"/>
  <c r="BM973" i="48"/>
  <c r="BO973" i="48" s="1"/>
  <c r="BP973" i="48" s="1"/>
  <c r="BL973" i="48"/>
  <c r="BB973" i="48"/>
  <c r="V973" i="48"/>
  <c r="J973" i="48"/>
  <c r="BM972" i="48"/>
  <c r="BO972" i="48" s="1"/>
  <c r="BP972" i="48" s="1"/>
  <c r="BL972" i="48"/>
  <c r="BB972" i="48"/>
  <c r="V972" i="48"/>
  <c r="J972" i="48"/>
  <c r="BM971" i="48"/>
  <c r="BO971" i="48" s="1"/>
  <c r="BP971" i="48" s="1"/>
  <c r="BL971" i="48"/>
  <c r="BB971" i="48"/>
  <c r="V971" i="48"/>
  <c r="J971" i="48"/>
  <c r="BM970" i="48"/>
  <c r="BO970" i="48" s="1"/>
  <c r="BP970" i="48" s="1"/>
  <c r="BL970" i="48"/>
  <c r="BB970" i="48"/>
  <c r="V970" i="48"/>
  <c r="J970" i="48"/>
  <c r="BM969" i="48"/>
  <c r="BO969" i="48" s="1"/>
  <c r="BP969" i="48" s="1"/>
  <c r="BL969" i="48"/>
  <c r="BB969" i="48"/>
  <c r="V969" i="48"/>
  <c r="J969" i="48"/>
  <c r="BM968" i="48"/>
  <c r="BO968" i="48" s="1"/>
  <c r="BP968" i="48" s="1"/>
  <c r="BL968" i="48"/>
  <c r="BB968" i="48"/>
  <c r="V968" i="48"/>
  <c r="J968" i="48"/>
  <c r="BM967" i="48"/>
  <c r="BO967" i="48" s="1"/>
  <c r="BP967" i="48" s="1"/>
  <c r="BL967" i="48"/>
  <c r="BB967" i="48"/>
  <c r="V967" i="48"/>
  <c r="J967" i="48"/>
  <c r="BM966" i="48"/>
  <c r="BO966" i="48" s="1"/>
  <c r="BP966" i="48" s="1"/>
  <c r="BL966" i="48"/>
  <c r="BB966" i="48"/>
  <c r="V966" i="48"/>
  <c r="J966" i="48"/>
  <c r="BM965" i="48"/>
  <c r="BO965" i="48" s="1"/>
  <c r="BP965" i="48" s="1"/>
  <c r="BL965" i="48"/>
  <c r="BB965" i="48"/>
  <c r="V965" i="48"/>
  <c r="J965" i="48"/>
  <c r="BM964" i="48"/>
  <c r="BO964" i="48" s="1"/>
  <c r="BP964" i="48" s="1"/>
  <c r="BL964" i="48"/>
  <c r="BB964" i="48"/>
  <c r="V964" i="48"/>
  <c r="J964" i="48"/>
  <c r="BM963" i="48"/>
  <c r="BO963" i="48" s="1"/>
  <c r="BP963" i="48" s="1"/>
  <c r="BL963" i="48"/>
  <c r="BB963" i="48"/>
  <c r="V963" i="48"/>
  <c r="J963" i="48"/>
  <c r="BM962" i="48"/>
  <c r="BO962" i="48" s="1"/>
  <c r="BP962" i="48" s="1"/>
  <c r="BL962" i="48"/>
  <c r="BB962" i="48"/>
  <c r="V962" i="48"/>
  <c r="J962" i="48"/>
  <c r="BM961" i="48"/>
  <c r="BO961" i="48" s="1"/>
  <c r="BP961" i="48" s="1"/>
  <c r="BL961" i="48"/>
  <c r="BB961" i="48"/>
  <c r="V961" i="48"/>
  <c r="J961" i="48"/>
  <c r="BM960" i="48"/>
  <c r="BO960" i="48" s="1"/>
  <c r="BP960" i="48" s="1"/>
  <c r="BL960" i="48"/>
  <c r="BB960" i="48"/>
  <c r="V960" i="48"/>
  <c r="J960" i="48"/>
  <c r="BM959" i="48"/>
  <c r="BO959" i="48" s="1"/>
  <c r="BP959" i="48" s="1"/>
  <c r="BL959" i="48"/>
  <c r="BB959" i="48"/>
  <c r="V959" i="48"/>
  <c r="J959" i="48"/>
  <c r="BM958" i="48"/>
  <c r="BO958" i="48" s="1"/>
  <c r="BP958" i="48" s="1"/>
  <c r="BL958" i="48"/>
  <c r="BB958" i="48"/>
  <c r="BM957" i="48"/>
  <c r="BO957" i="48" s="1"/>
  <c r="BP957" i="48" s="1"/>
  <c r="BL957" i="48"/>
  <c r="BB957" i="48"/>
  <c r="BM956" i="48"/>
  <c r="BO956" i="48" s="1"/>
  <c r="BP956" i="48" s="1"/>
  <c r="BL956" i="48"/>
  <c r="BB956" i="48"/>
  <c r="BM955" i="48"/>
  <c r="BO955" i="48" s="1"/>
  <c r="BP955" i="48" s="1"/>
  <c r="BL955" i="48"/>
  <c r="BB955" i="48"/>
  <c r="BM954" i="48"/>
  <c r="BO954" i="48" s="1"/>
  <c r="BP954" i="48" s="1"/>
  <c r="BL954" i="48"/>
  <c r="BB954" i="48"/>
  <c r="BM953" i="48"/>
  <c r="BO953" i="48" s="1"/>
  <c r="BP953" i="48" s="1"/>
  <c r="BL953" i="48"/>
  <c r="BB953" i="48"/>
  <c r="BM949" i="48"/>
  <c r="BO949" i="48" s="1"/>
  <c r="BP949" i="48" s="1"/>
  <c r="BL949" i="48"/>
  <c r="V949" i="48"/>
  <c r="J949" i="48"/>
  <c r="BM948" i="48"/>
  <c r="BO948" i="48" s="1"/>
  <c r="BP948" i="48" s="1"/>
  <c r="BL948" i="48"/>
  <c r="BB948" i="48"/>
  <c r="V948" i="48"/>
  <c r="J948" i="48"/>
  <c r="BM947" i="48"/>
  <c r="BO947" i="48" s="1"/>
  <c r="BP947" i="48" s="1"/>
  <c r="BL947" i="48"/>
  <c r="BB947" i="48"/>
  <c r="V947" i="48"/>
  <c r="J947" i="48"/>
  <c r="BM946" i="48"/>
  <c r="BO946" i="48" s="1"/>
  <c r="BP946" i="48" s="1"/>
  <c r="BL946" i="48"/>
  <c r="BB946" i="48"/>
  <c r="V946" i="48"/>
  <c r="J946" i="48"/>
  <c r="BM945" i="48"/>
  <c r="BO945" i="48" s="1"/>
  <c r="BP945" i="48" s="1"/>
  <c r="BL945" i="48"/>
  <c r="BB945" i="48"/>
  <c r="V945" i="48"/>
  <c r="J945" i="48"/>
  <c r="BM944" i="48"/>
  <c r="BO944" i="48" s="1"/>
  <c r="BP944" i="48" s="1"/>
  <c r="BL944" i="48"/>
  <c r="BB944" i="48"/>
  <c r="V944" i="48"/>
  <c r="J944" i="48"/>
  <c r="BM943" i="48"/>
  <c r="BO943" i="48" s="1"/>
  <c r="BP943" i="48" s="1"/>
  <c r="BL943" i="48"/>
  <c r="BB943" i="48"/>
  <c r="V943" i="48"/>
  <c r="J943" i="48"/>
  <c r="BM942" i="48"/>
  <c r="BO942" i="48" s="1"/>
  <c r="BP942" i="48" s="1"/>
  <c r="BL942" i="48"/>
  <c r="BB942" i="48"/>
  <c r="V942" i="48"/>
  <c r="J942" i="48"/>
  <c r="BM941" i="48"/>
  <c r="BO941" i="48" s="1"/>
  <c r="BP941" i="48" s="1"/>
  <c r="BL941" i="48"/>
  <c r="BB941" i="48"/>
  <c r="V941" i="48"/>
  <c r="J941" i="48"/>
  <c r="BM940" i="48"/>
  <c r="BO940" i="48" s="1"/>
  <c r="BP940" i="48" s="1"/>
  <c r="BL940" i="48"/>
  <c r="BB940" i="48"/>
  <c r="V940" i="48"/>
  <c r="J940" i="48"/>
  <c r="BM939" i="48"/>
  <c r="BO939" i="48" s="1"/>
  <c r="BP939" i="48" s="1"/>
  <c r="BL939" i="48"/>
  <c r="BB939" i="48"/>
  <c r="V939" i="48"/>
  <c r="J939" i="48"/>
  <c r="BM938" i="48"/>
  <c r="BO938" i="48" s="1"/>
  <c r="BP938" i="48" s="1"/>
  <c r="BL938" i="48"/>
  <c r="BB938" i="48"/>
  <c r="V938" i="48"/>
  <c r="J938" i="48"/>
  <c r="BM937" i="48"/>
  <c r="BO937" i="48" s="1"/>
  <c r="BP937" i="48" s="1"/>
  <c r="BL937" i="48"/>
  <c r="BB937" i="48"/>
  <c r="V937" i="48"/>
  <c r="J937" i="48"/>
  <c r="BM936" i="48"/>
  <c r="BO936" i="48" s="1"/>
  <c r="BP936" i="48" s="1"/>
  <c r="BL936" i="48"/>
  <c r="BB936" i="48"/>
  <c r="V936" i="48"/>
  <c r="J936" i="48"/>
  <c r="BM935" i="48"/>
  <c r="BO935" i="48" s="1"/>
  <c r="BP935" i="48" s="1"/>
  <c r="BL935" i="48"/>
  <c r="BB935" i="48"/>
  <c r="V935" i="48"/>
  <c r="J935" i="48"/>
  <c r="BM934" i="48"/>
  <c r="BO934" i="48" s="1"/>
  <c r="BP934" i="48" s="1"/>
  <c r="BL934" i="48"/>
  <c r="BB934" i="48"/>
  <c r="V934" i="48"/>
  <c r="J934" i="48"/>
  <c r="BM933" i="48"/>
  <c r="BO933" i="48" s="1"/>
  <c r="BP933" i="48" s="1"/>
  <c r="BL933" i="48"/>
  <c r="BB933" i="48"/>
  <c r="BM932" i="48"/>
  <c r="BO932" i="48" s="1"/>
  <c r="BP932" i="48" s="1"/>
  <c r="BL932" i="48"/>
  <c r="BB932" i="48"/>
  <c r="BM931" i="48"/>
  <c r="BO931" i="48" s="1"/>
  <c r="BP931" i="48" s="1"/>
  <c r="BL931" i="48"/>
  <c r="BB931" i="48"/>
  <c r="BM930" i="48"/>
  <c r="BO930" i="48" s="1"/>
  <c r="BP930" i="48" s="1"/>
  <c r="BL930" i="48"/>
  <c r="BB930" i="48"/>
  <c r="BM929" i="48"/>
  <c r="BO929" i="48" s="1"/>
  <c r="BP929" i="48" s="1"/>
  <c r="BL929" i="48"/>
  <c r="BB929" i="48"/>
  <c r="BM928" i="48"/>
  <c r="BO928" i="48" s="1"/>
  <c r="BP928" i="48" s="1"/>
  <c r="BL928" i="48"/>
  <c r="BB928" i="48"/>
  <c r="BM925" i="48"/>
  <c r="BO925" i="48" s="1"/>
  <c r="BP925" i="48" s="1"/>
  <c r="BL925" i="48"/>
  <c r="V925" i="48"/>
  <c r="J925" i="48"/>
  <c r="BM924" i="48"/>
  <c r="BO924" i="48" s="1"/>
  <c r="BP924" i="48" s="1"/>
  <c r="BL924" i="48"/>
  <c r="BB924" i="48"/>
  <c r="V924" i="48"/>
  <c r="J924" i="48"/>
  <c r="BM923" i="48"/>
  <c r="BO923" i="48" s="1"/>
  <c r="BP923" i="48" s="1"/>
  <c r="BL923" i="48"/>
  <c r="BB923" i="48"/>
  <c r="V923" i="48"/>
  <c r="J923" i="48"/>
  <c r="BM922" i="48"/>
  <c r="BO922" i="48" s="1"/>
  <c r="BP922" i="48" s="1"/>
  <c r="BL922" i="48"/>
  <c r="BB922" i="48"/>
  <c r="V922" i="48"/>
  <c r="J922" i="48"/>
  <c r="BM921" i="48"/>
  <c r="BO921" i="48" s="1"/>
  <c r="BP921" i="48" s="1"/>
  <c r="BL921" i="48"/>
  <c r="BB921" i="48"/>
  <c r="V921" i="48"/>
  <c r="J921" i="48"/>
  <c r="BM920" i="48"/>
  <c r="BO920" i="48" s="1"/>
  <c r="BP920" i="48" s="1"/>
  <c r="BL920" i="48"/>
  <c r="BB920" i="48"/>
  <c r="V920" i="48"/>
  <c r="J920" i="48"/>
  <c r="BM919" i="48"/>
  <c r="BO919" i="48" s="1"/>
  <c r="BP919" i="48" s="1"/>
  <c r="BL919" i="48"/>
  <c r="BB919" i="48"/>
  <c r="V919" i="48"/>
  <c r="J919" i="48"/>
  <c r="BM918" i="48"/>
  <c r="BO918" i="48" s="1"/>
  <c r="BP918" i="48" s="1"/>
  <c r="BL918" i="48"/>
  <c r="BB918" i="48"/>
  <c r="V918" i="48"/>
  <c r="J918" i="48"/>
  <c r="BM917" i="48"/>
  <c r="BO917" i="48" s="1"/>
  <c r="BP917" i="48" s="1"/>
  <c r="BL917" i="48"/>
  <c r="BB917" i="48"/>
  <c r="V917" i="48"/>
  <c r="J917" i="48"/>
  <c r="BM916" i="48"/>
  <c r="BO916" i="48" s="1"/>
  <c r="BP916" i="48" s="1"/>
  <c r="BL916" i="48"/>
  <c r="BB916" i="48"/>
  <c r="V916" i="48"/>
  <c r="J916" i="48"/>
  <c r="BM915" i="48"/>
  <c r="BO915" i="48" s="1"/>
  <c r="BP915" i="48" s="1"/>
  <c r="BL915" i="48"/>
  <c r="BB915" i="48"/>
  <c r="V915" i="48"/>
  <c r="J915" i="48"/>
  <c r="BM914" i="48"/>
  <c r="BO914" i="48" s="1"/>
  <c r="BP914" i="48" s="1"/>
  <c r="BL914" i="48"/>
  <c r="BB914" i="48"/>
  <c r="V914" i="48"/>
  <c r="J914" i="48"/>
  <c r="BM913" i="48"/>
  <c r="BO913" i="48" s="1"/>
  <c r="BP913" i="48" s="1"/>
  <c r="BL913" i="48"/>
  <c r="BB913" i="48"/>
  <c r="V913" i="48"/>
  <c r="J913" i="48"/>
  <c r="BM912" i="48"/>
  <c r="BO912" i="48" s="1"/>
  <c r="BP912" i="48" s="1"/>
  <c r="BL912" i="48"/>
  <c r="BB912" i="48"/>
  <c r="V912" i="48"/>
  <c r="J912" i="48"/>
  <c r="BM911" i="48"/>
  <c r="BO911" i="48" s="1"/>
  <c r="BP911" i="48" s="1"/>
  <c r="BL911" i="48"/>
  <c r="BB911" i="48"/>
  <c r="V911" i="48"/>
  <c r="J911" i="48"/>
  <c r="BM910" i="48"/>
  <c r="BO910" i="48" s="1"/>
  <c r="BP910" i="48" s="1"/>
  <c r="BL910" i="48"/>
  <c r="BB910" i="48"/>
  <c r="V910" i="48"/>
  <c r="J910" i="48"/>
  <c r="BM909" i="48"/>
  <c r="BO909" i="48" s="1"/>
  <c r="BP909" i="48" s="1"/>
  <c r="BL909" i="48"/>
  <c r="BB909" i="48"/>
  <c r="V909" i="48"/>
  <c r="J909" i="48"/>
  <c r="BM908" i="48"/>
  <c r="BO908" i="48" s="1"/>
  <c r="BP908" i="48" s="1"/>
  <c r="BL908" i="48"/>
  <c r="BB908" i="48"/>
  <c r="BM907" i="48"/>
  <c r="BO907" i="48" s="1"/>
  <c r="BP907" i="48" s="1"/>
  <c r="BL907" i="48"/>
  <c r="BB907" i="48"/>
  <c r="BM906" i="48"/>
  <c r="BO906" i="48" s="1"/>
  <c r="BP906" i="48" s="1"/>
  <c r="BL906" i="48"/>
  <c r="BB906" i="48"/>
  <c r="BM905" i="48"/>
  <c r="BO905" i="48" s="1"/>
  <c r="BP905" i="48" s="1"/>
  <c r="BL905" i="48"/>
  <c r="BB905" i="48"/>
  <c r="BM904" i="48"/>
  <c r="BO904" i="48" s="1"/>
  <c r="BP904" i="48" s="1"/>
  <c r="BL904" i="48"/>
  <c r="BB904" i="48"/>
  <c r="BM903" i="48"/>
  <c r="BO903" i="48" s="1"/>
  <c r="BP903" i="48" s="1"/>
  <c r="BL903" i="48"/>
  <c r="BB903" i="48"/>
  <c r="BM900" i="48"/>
  <c r="BO900" i="48" s="1"/>
  <c r="BP900" i="48" s="1"/>
  <c r="BL900" i="48"/>
  <c r="BB900" i="48"/>
  <c r="V900" i="48"/>
  <c r="J900" i="48"/>
  <c r="BM899" i="48"/>
  <c r="BO899" i="48" s="1"/>
  <c r="BP899" i="48" s="1"/>
  <c r="BL899" i="48"/>
  <c r="BB899" i="48"/>
  <c r="V899" i="48"/>
  <c r="J899" i="48"/>
  <c r="BM898" i="48"/>
  <c r="BO898" i="48" s="1"/>
  <c r="BP898" i="48" s="1"/>
  <c r="BL898" i="48"/>
  <c r="BB898" i="48"/>
  <c r="V898" i="48"/>
  <c r="J898" i="48"/>
  <c r="BM897" i="48"/>
  <c r="BO897" i="48" s="1"/>
  <c r="BP897" i="48" s="1"/>
  <c r="BL897" i="48"/>
  <c r="BB897" i="48"/>
  <c r="V897" i="48"/>
  <c r="J897" i="48"/>
  <c r="BM896" i="48"/>
  <c r="BO896" i="48" s="1"/>
  <c r="BP896" i="48" s="1"/>
  <c r="BL896" i="48"/>
  <c r="BB896" i="48"/>
  <c r="V896" i="48"/>
  <c r="J896" i="48"/>
  <c r="BM895" i="48"/>
  <c r="BO895" i="48" s="1"/>
  <c r="BP895" i="48" s="1"/>
  <c r="BL895" i="48"/>
  <c r="BB895" i="48"/>
  <c r="V895" i="48"/>
  <c r="J895" i="48"/>
  <c r="BM894" i="48"/>
  <c r="BO894" i="48" s="1"/>
  <c r="BP894" i="48" s="1"/>
  <c r="BL894" i="48"/>
  <c r="BB894" i="48"/>
  <c r="V894" i="48"/>
  <c r="J894" i="48"/>
  <c r="BM893" i="48"/>
  <c r="BO893" i="48" s="1"/>
  <c r="BP893" i="48" s="1"/>
  <c r="BL893" i="48"/>
  <c r="BB893" i="48"/>
  <c r="V893" i="48"/>
  <c r="J893" i="48"/>
  <c r="BM892" i="48"/>
  <c r="BO892" i="48" s="1"/>
  <c r="BP892" i="48" s="1"/>
  <c r="BL892" i="48"/>
  <c r="BB892" i="48"/>
  <c r="V892" i="48"/>
  <c r="J892" i="48"/>
  <c r="BM891" i="48"/>
  <c r="BO891" i="48" s="1"/>
  <c r="BP891" i="48" s="1"/>
  <c r="BL891" i="48"/>
  <c r="BB891" i="48"/>
  <c r="V891" i="48"/>
  <c r="J891" i="48"/>
  <c r="BM890" i="48"/>
  <c r="BO890" i="48" s="1"/>
  <c r="BP890" i="48" s="1"/>
  <c r="BL890" i="48"/>
  <c r="BB890" i="48"/>
  <c r="V890" i="48"/>
  <c r="J890" i="48"/>
  <c r="BM889" i="48"/>
  <c r="BO889" i="48" s="1"/>
  <c r="BP889" i="48" s="1"/>
  <c r="BL889" i="48"/>
  <c r="BB889" i="48"/>
  <c r="V889" i="48"/>
  <c r="J889" i="48"/>
  <c r="BM888" i="48"/>
  <c r="BO888" i="48" s="1"/>
  <c r="BP888" i="48" s="1"/>
  <c r="BL888" i="48"/>
  <c r="BB888" i="48"/>
  <c r="V888" i="48"/>
  <c r="J888" i="48"/>
  <c r="BM887" i="48"/>
  <c r="BO887" i="48" s="1"/>
  <c r="BP887" i="48" s="1"/>
  <c r="BL887" i="48"/>
  <c r="BB887" i="48"/>
  <c r="V887" i="48"/>
  <c r="J887" i="48"/>
  <c r="BM886" i="48"/>
  <c r="BO886" i="48" s="1"/>
  <c r="BP886" i="48" s="1"/>
  <c r="BL886" i="48"/>
  <c r="BB886" i="48"/>
  <c r="V886" i="48"/>
  <c r="J886" i="48"/>
  <c r="BM885" i="48"/>
  <c r="BO885" i="48" s="1"/>
  <c r="BP885" i="48" s="1"/>
  <c r="BL885" i="48"/>
  <c r="BB885" i="48"/>
  <c r="V885" i="48"/>
  <c r="J885" i="48"/>
  <c r="BM884" i="48"/>
  <c r="BO884" i="48" s="1"/>
  <c r="BP884" i="48" s="1"/>
  <c r="BL884" i="48"/>
  <c r="BB884" i="48"/>
  <c r="V884" i="48"/>
  <c r="J884" i="48"/>
  <c r="BM883" i="48"/>
  <c r="BO883" i="48" s="1"/>
  <c r="BP883" i="48" s="1"/>
  <c r="BL883" i="48"/>
  <c r="BB883" i="48"/>
  <c r="BM882" i="48"/>
  <c r="BO882" i="48" s="1"/>
  <c r="BP882" i="48" s="1"/>
  <c r="BL882" i="48"/>
  <c r="BB882" i="48"/>
  <c r="BM881" i="48"/>
  <c r="BO881" i="48" s="1"/>
  <c r="BP881" i="48" s="1"/>
  <c r="BL881" i="48"/>
  <c r="BB881" i="48"/>
  <c r="BM880" i="48"/>
  <c r="BO880" i="48" s="1"/>
  <c r="BP880" i="48" s="1"/>
  <c r="BL880" i="48"/>
  <c r="BB880" i="48"/>
  <c r="BM879" i="48"/>
  <c r="BO879" i="48" s="1"/>
  <c r="BP879" i="48" s="1"/>
  <c r="BL879" i="48"/>
  <c r="BB879" i="48"/>
  <c r="BM878" i="48"/>
  <c r="BO878" i="48" s="1"/>
  <c r="BP878" i="48" s="1"/>
  <c r="BL878" i="48"/>
  <c r="BB878" i="48"/>
  <c r="BM875" i="48"/>
  <c r="BO875" i="48" s="1"/>
  <c r="BP875" i="48" s="1"/>
  <c r="BL875" i="48"/>
  <c r="BB875" i="48"/>
  <c r="V875" i="48"/>
  <c r="J875" i="48"/>
  <c r="BM874" i="48"/>
  <c r="BO874" i="48" s="1"/>
  <c r="BP874" i="48" s="1"/>
  <c r="BL874" i="48"/>
  <c r="BB874" i="48"/>
  <c r="V874" i="48"/>
  <c r="J874" i="48"/>
  <c r="BM873" i="48"/>
  <c r="BO873" i="48" s="1"/>
  <c r="BP873" i="48" s="1"/>
  <c r="BL873" i="48"/>
  <c r="BB873" i="48"/>
  <c r="V873" i="48"/>
  <c r="J873" i="48"/>
  <c r="BM872" i="48"/>
  <c r="BO872" i="48" s="1"/>
  <c r="BP872" i="48" s="1"/>
  <c r="BL872" i="48"/>
  <c r="BB872" i="48"/>
  <c r="V872" i="48"/>
  <c r="J872" i="48"/>
  <c r="BM871" i="48"/>
  <c r="BO871" i="48" s="1"/>
  <c r="BP871" i="48" s="1"/>
  <c r="BL871" i="48"/>
  <c r="BB871" i="48"/>
  <c r="V871" i="48"/>
  <c r="J871" i="48"/>
  <c r="BM870" i="48"/>
  <c r="BO870" i="48" s="1"/>
  <c r="BP870" i="48" s="1"/>
  <c r="BL870" i="48"/>
  <c r="BB870" i="48"/>
  <c r="V870" i="48"/>
  <c r="J870" i="48"/>
  <c r="BM869" i="48"/>
  <c r="BO869" i="48" s="1"/>
  <c r="BP869" i="48" s="1"/>
  <c r="BL869" i="48"/>
  <c r="BB869" i="48"/>
  <c r="V869" i="48"/>
  <c r="J869" i="48"/>
  <c r="BM868" i="48"/>
  <c r="BO868" i="48" s="1"/>
  <c r="BP868" i="48" s="1"/>
  <c r="BL868" i="48"/>
  <c r="BB868" i="48"/>
  <c r="V868" i="48"/>
  <c r="J868" i="48"/>
  <c r="BM867" i="48"/>
  <c r="BO867" i="48" s="1"/>
  <c r="BP867" i="48" s="1"/>
  <c r="BL867" i="48"/>
  <c r="BB867" i="48"/>
  <c r="V867" i="48"/>
  <c r="J867" i="48"/>
  <c r="BM866" i="48"/>
  <c r="BO866" i="48" s="1"/>
  <c r="BP866" i="48" s="1"/>
  <c r="BL866" i="48"/>
  <c r="BB866" i="48"/>
  <c r="V866" i="48"/>
  <c r="J866" i="48"/>
  <c r="BM865" i="48"/>
  <c r="BO865" i="48" s="1"/>
  <c r="BP865" i="48" s="1"/>
  <c r="BL865" i="48"/>
  <c r="BB865" i="48"/>
  <c r="V865" i="48"/>
  <c r="J865" i="48"/>
  <c r="BM864" i="48"/>
  <c r="BO864" i="48" s="1"/>
  <c r="BP864" i="48" s="1"/>
  <c r="BL864" i="48"/>
  <c r="BB864" i="48"/>
  <c r="V864" i="48"/>
  <c r="J864" i="48"/>
  <c r="BM863" i="48"/>
  <c r="BO863" i="48" s="1"/>
  <c r="BP863" i="48" s="1"/>
  <c r="BL863" i="48"/>
  <c r="BB863" i="48"/>
  <c r="V863" i="48"/>
  <c r="J863" i="48"/>
  <c r="BM862" i="48"/>
  <c r="BO862" i="48" s="1"/>
  <c r="BP862" i="48" s="1"/>
  <c r="BL862" i="48"/>
  <c r="BB862" i="48"/>
  <c r="V862" i="48"/>
  <c r="J862" i="48"/>
  <c r="BM861" i="48"/>
  <c r="BO861" i="48" s="1"/>
  <c r="BP861" i="48" s="1"/>
  <c r="BL861" i="48"/>
  <c r="BB861" i="48"/>
  <c r="V861" i="48"/>
  <c r="J861" i="48"/>
  <c r="BM860" i="48"/>
  <c r="BO860" i="48" s="1"/>
  <c r="BP860" i="48" s="1"/>
  <c r="BL860" i="48"/>
  <c r="BB860" i="48"/>
  <c r="V860" i="48"/>
  <c r="J860" i="48"/>
  <c r="BM859" i="48"/>
  <c r="BO859" i="48" s="1"/>
  <c r="BP859" i="48" s="1"/>
  <c r="BL859" i="48"/>
  <c r="BB859" i="48"/>
  <c r="V859" i="48"/>
  <c r="J859" i="48"/>
  <c r="BM858" i="48"/>
  <c r="BO858" i="48" s="1"/>
  <c r="BP858" i="48" s="1"/>
  <c r="BL858" i="48"/>
  <c r="BB858" i="48"/>
  <c r="BM857" i="48"/>
  <c r="BO857" i="48" s="1"/>
  <c r="BP857" i="48" s="1"/>
  <c r="BL857" i="48"/>
  <c r="BB857" i="48"/>
  <c r="BM856" i="48"/>
  <c r="BO856" i="48" s="1"/>
  <c r="BP856" i="48" s="1"/>
  <c r="BL856" i="48"/>
  <c r="BB856" i="48"/>
  <c r="BM855" i="48"/>
  <c r="BO855" i="48" s="1"/>
  <c r="BP855" i="48" s="1"/>
  <c r="BL855" i="48"/>
  <c r="BB855" i="48"/>
  <c r="BM854" i="48"/>
  <c r="BO854" i="48" s="1"/>
  <c r="BP854" i="48" s="1"/>
  <c r="BL854" i="48"/>
  <c r="BB854" i="48"/>
  <c r="BM853" i="48"/>
  <c r="BO853" i="48" s="1"/>
  <c r="BP853" i="48" s="1"/>
  <c r="BL853" i="48"/>
  <c r="BB853" i="48"/>
  <c r="BM850" i="48"/>
  <c r="BO850" i="48" s="1"/>
  <c r="BP850" i="48" s="1"/>
  <c r="BL850" i="48"/>
  <c r="V850" i="48"/>
  <c r="J850" i="48"/>
  <c r="BM849" i="48"/>
  <c r="BO849" i="48" s="1"/>
  <c r="BP849" i="48" s="1"/>
  <c r="BL849" i="48"/>
  <c r="BB849" i="48"/>
  <c r="V849" i="48"/>
  <c r="J849" i="48"/>
  <c r="BM848" i="48"/>
  <c r="BO848" i="48" s="1"/>
  <c r="BP848" i="48" s="1"/>
  <c r="BL848" i="48"/>
  <c r="BB848" i="48"/>
  <c r="V848" i="48"/>
  <c r="J848" i="48"/>
  <c r="BM847" i="48"/>
  <c r="BO847" i="48" s="1"/>
  <c r="BP847" i="48" s="1"/>
  <c r="BL847" i="48"/>
  <c r="BB847" i="48"/>
  <c r="V847" i="48"/>
  <c r="J847" i="48"/>
  <c r="BM846" i="48"/>
  <c r="BO846" i="48" s="1"/>
  <c r="BP846" i="48" s="1"/>
  <c r="BL846" i="48"/>
  <c r="BB846" i="48"/>
  <c r="V846" i="48"/>
  <c r="J846" i="48"/>
  <c r="BM845" i="48"/>
  <c r="BO845" i="48" s="1"/>
  <c r="BP845" i="48" s="1"/>
  <c r="BL845" i="48"/>
  <c r="BB845" i="48"/>
  <c r="V845" i="48"/>
  <c r="J845" i="48"/>
  <c r="BM844" i="48"/>
  <c r="BO844" i="48" s="1"/>
  <c r="BP844" i="48" s="1"/>
  <c r="BL844" i="48"/>
  <c r="BB844" i="48"/>
  <c r="V844" i="48"/>
  <c r="J844" i="48"/>
  <c r="BM843" i="48"/>
  <c r="BO843" i="48" s="1"/>
  <c r="BP843" i="48" s="1"/>
  <c r="BL843" i="48"/>
  <c r="BB843" i="48"/>
  <c r="V843" i="48"/>
  <c r="J843" i="48"/>
  <c r="BM842" i="48"/>
  <c r="BO842" i="48" s="1"/>
  <c r="BP842" i="48" s="1"/>
  <c r="BL842" i="48"/>
  <c r="BB842" i="48"/>
  <c r="V842" i="48"/>
  <c r="J842" i="48"/>
  <c r="BM841" i="48"/>
  <c r="BO841" i="48" s="1"/>
  <c r="BP841" i="48" s="1"/>
  <c r="BL841" i="48"/>
  <c r="BB841" i="48"/>
  <c r="V841" i="48"/>
  <c r="J841" i="48"/>
  <c r="BM840" i="48"/>
  <c r="BO840" i="48" s="1"/>
  <c r="BP840" i="48" s="1"/>
  <c r="BL840" i="48"/>
  <c r="BB840" i="48"/>
  <c r="V840" i="48"/>
  <c r="J840" i="48"/>
  <c r="BM839" i="48"/>
  <c r="BO839" i="48" s="1"/>
  <c r="BP839" i="48" s="1"/>
  <c r="BL839" i="48"/>
  <c r="BB839" i="48"/>
  <c r="V839" i="48"/>
  <c r="J839" i="48"/>
  <c r="BM838" i="48"/>
  <c r="BO838" i="48" s="1"/>
  <c r="BP838" i="48" s="1"/>
  <c r="BL838" i="48"/>
  <c r="BB838" i="48"/>
  <c r="V838" i="48"/>
  <c r="J838" i="48"/>
  <c r="BM837" i="48"/>
  <c r="BO837" i="48" s="1"/>
  <c r="BP837" i="48" s="1"/>
  <c r="BL837" i="48"/>
  <c r="BB837" i="48"/>
  <c r="V837" i="48"/>
  <c r="J837" i="48"/>
  <c r="BM836" i="48"/>
  <c r="BO836" i="48" s="1"/>
  <c r="BP836" i="48" s="1"/>
  <c r="BL836" i="48"/>
  <c r="BB836" i="48"/>
  <c r="V836" i="48"/>
  <c r="J836" i="48"/>
  <c r="BM835" i="48"/>
  <c r="BO835" i="48" s="1"/>
  <c r="BP835" i="48" s="1"/>
  <c r="BL835" i="48"/>
  <c r="BB835" i="48"/>
  <c r="V835" i="48"/>
  <c r="J835" i="48"/>
  <c r="BM834" i="48"/>
  <c r="BO834" i="48" s="1"/>
  <c r="BP834" i="48" s="1"/>
  <c r="BL834" i="48"/>
  <c r="BB834" i="48"/>
  <c r="V834" i="48"/>
  <c r="J834" i="48"/>
  <c r="BM833" i="48"/>
  <c r="BO833" i="48" s="1"/>
  <c r="BP833" i="48" s="1"/>
  <c r="BL833" i="48"/>
  <c r="BB833" i="48"/>
  <c r="BM832" i="48"/>
  <c r="BO832" i="48" s="1"/>
  <c r="BP832" i="48" s="1"/>
  <c r="BL832" i="48"/>
  <c r="BB832" i="48"/>
  <c r="BM831" i="48"/>
  <c r="BO831" i="48" s="1"/>
  <c r="BP831" i="48" s="1"/>
  <c r="BL831" i="48"/>
  <c r="BB831" i="48"/>
  <c r="BM830" i="48"/>
  <c r="BO830" i="48" s="1"/>
  <c r="BP830" i="48" s="1"/>
  <c r="BL830" i="48"/>
  <c r="BB830" i="48"/>
  <c r="BM829" i="48"/>
  <c r="BO829" i="48" s="1"/>
  <c r="BP829" i="48" s="1"/>
  <c r="BL829" i="48"/>
  <c r="BB829" i="48"/>
  <c r="BM828" i="48"/>
  <c r="BO828" i="48" s="1"/>
  <c r="BP828" i="48" s="1"/>
  <c r="BL828" i="48"/>
  <c r="BB828" i="48"/>
  <c r="BM825" i="48"/>
  <c r="BO825" i="48" s="1"/>
  <c r="BP825" i="48" s="1"/>
  <c r="BL825" i="48"/>
  <c r="BB825" i="48"/>
  <c r="V825" i="48"/>
  <c r="J825" i="48"/>
  <c r="BM824" i="48"/>
  <c r="BO824" i="48" s="1"/>
  <c r="BP824" i="48" s="1"/>
  <c r="BL824" i="48"/>
  <c r="BB824" i="48"/>
  <c r="V824" i="48"/>
  <c r="J824" i="48"/>
  <c r="BM823" i="48"/>
  <c r="BO823" i="48" s="1"/>
  <c r="BP823" i="48" s="1"/>
  <c r="BL823" i="48"/>
  <c r="BB823" i="48"/>
  <c r="V823" i="48"/>
  <c r="J823" i="48"/>
  <c r="BM822" i="48"/>
  <c r="BO822" i="48" s="1"/>
  <c r="BP822" i="48" s="1"/>
  <c r="BL822" i="48"/>
  <c r="BB822" i="48"/>
  <c r="V822" i="48"/>
  <c r="J822" i="48"/>
  <c r="BM821" i="48"/>
  <c r="BO821" i="48" s="1"/>
  <c r="BP821" i="48" s="1"/>
  <c r="BL821" i="48"/>
  <c r="BB821" i="48"/>
  <c r="V821" i="48"/>
  <c r="J821" i="48"/>
  <c r="BM820" i="48"/>
  <c r="BO820" i="48" s="1"/>
  <c r="BP820" i="48" s="1"/>
  <c r="BL820" i="48"/>
  <c r="BB820" i="48"/>
  <c r="V820" i="48"/>
  <c r="J820" i="48"/>
  <c r="BM819" i="48"/>
  <c r="BO819" i="48" s="1"/>
  <c r="BP819" i="48" s="1"/>
  <c r="BL819" i="48"/>
  <c r="BB819" i="48"/>
  <c r="V819" i="48"/>
  <c r="J819" i="48"/>
  <c r="BM818" i="48"/>
  <c r="BO818" i="48" s="1"/>
  <c r="BP818" i="48" s="1"/>
  <c r="BL818" i="48"/>
  <c r="BB818" i="48"/>
  <c r="V818" i="48"/>
  <c r="J818" i="48"/>
  <c r="BM817" i="48"/>
  <c r="BO817" i="48" s="1"/>
  <c r="BP817" i="48" s="1"/>
  <c r="BL817" i="48"/>
  <c r="BB817" i="48"/>
  <c r="V817" i="48"/>
  <c r="J817" i="48"/>
  <c r="BM816" i="48"/>
  <c r="BO816" i="48" s="1"/>
  <c r="BP816" i="48" s="1"/>
  <c r="BL816" i="48"/>
  <c r="BB816" i="48"/>
  <c r="V816" i="48"/>
  <c r="J816" i="48"/>
  <c r="BM815" i="48"/>
  <c r="BO815" i="48" s="1"/>
  <c r="BP815" i="48" s="1"/>
  <c r="BL815" i="48"/>
  <c r="BB815" i="48"/>
  <c r="V815" i="48"/>
  <c r="J815" i="48"/>
  <c r="BM814" i="48"/>
  <c r="BO814" i="48" s="1"/>
  <c r="BP814" i="48" s="1"/>
  <c r="BL814" i="48"/>
  <c r="BB814" i="48"/>
  <c r="V814" i="48"/>
  <c r="J814" i="48"/>
  <c r="BM813" i="48"/>
  <c r="BO813" i="48" s="1"/>
  <c r="BP813" i="48" s="1"/>
  <c r="BL813" i="48"/>
  <c r="BB813" i="48"/>
  <c r="V813" i="48"/>
  <c r="J813" i="48"/>
  <c r="BM812" i="48"/>
  <c r="BO812" i="48" s="1"/>
  <c r="BP812" i="48" s="1"/>
  <c r="BL812" i="48"/>
  <c r="BB812" i="48"/>
  <c r="V812" i="48"/>
  <c r="J812" i="48"/>
  <c r="BM811" i="48"/>
  <c r="BO811" i="48" s="1"/>
  <c r="BP811" i="48" s="1"/>
  <c r="BL811" i="48"/>
  <c r="BB811" i="48"/>
  <c r="V811" i="48"/>
  <c r="J811" i="48"/>
  <c r="BM810" i="48"/>
  <c r="BO810" i="48" s="1"/>
  <c r="BP810" i="48" s="1"/>
  <c r="BL810" i="48"/>
  <c r="BB810" i="48"/>
  <c r="V810" i="48"/>
  <c r="J810" i="48"/>
  <c r="BM809" i="48"/>
  <c r="BO809" i="48" s="1"/>
  <c r="BP809" i="48" s="1"/>
  <c r="BL809" i="48"/>
  <c r="BB809" i="48"/>
  <c r="V809" i="48"/>
  <c r="J809" i="48"/>
  <c r="BM808" i="48"/>
  <c r="BO808" i="48" s="1"/>
  <c r="BP808" i="48" s="1"/>
  <c r="BL808" i="48"/>
  <c r="BB808" i="48"/>
  <c r="BM807" i="48"/>
  <c r="BO807" i="48" s="1"/>
  <c r="BP807" i="48" s="1"/>
  <c r="BL807" i="48"/>
  <c r="BB807" i="48"/>
  <c r="BM806" i="48"/>
  <c r="BO806" i="48" s="1"/>
  <c r="BP806" i="48" s="1"/>
  <c r="BL806" i="48"/>
  <c r="BB806" i="48"/>
  <c r="BM805" i="48"/>
  <c r="BO805" i="48" s="1"/>
  <c r="BP805" i="48" s="1"/>
  <c r="BL805" i="48"/>
  <c r="BB805" i="48"/>
  <c r="BM804" i="48"/>
  <c r="BO804" i="48" s="1"/>
  <c r="BP804" i="48" s="1"/>
  <c r="BL804" i="48"/>
  <c r="BB804" i="48"/>
  <c r="BM803" i="48"/>
  <c r="BO803" i="48" s="1"/>
  <c r="BP803" i="48" s="1"/>
  <c r="BL803" i="48"/>
  <c r="BB803" i="48"/>
  <c r="BM800" i="48"/>
  <c r="BO800" i="48" s="1"/>
  <c r="BP800" i="48" s="1"/>
  <c r="BL800" i="48"/>
  <c r="BB800" i="48"/>
  <c r="V800" i="48"/>
  <c r="J800" i="48"/>
  <c r="BM799" i="48"/>
  <c r="BO799" i="48" s="1"/>
  <c r="BP799" i="48" s="1"/>
  <c r="BL799" i="48"/>
  <c r="BB799" i="48"/>
  <c r="V799" i="48"/>
  <c r="J799" i="48"/>
  <c r="BM798" i="48"/>
  <c r="BO798" i="48" s="1"/>
  <c r="BP798" i="48" s="1"/>
  <c r="BL798" i="48"/>
  <c r="BB798" i="48"/>
  <c r="V798" i="48"/>
  <c r="J798" i="48"/>
  <c r="BM797" i="48"/>
  <c r="BO797" i="48" s="1"/>
  <c r="BP797" i="48" s="1"/>
  <c r="BL797" i="48"/>
  <c r="BB797" i="48"/>
  <c r="V797" i="48"/>
  <c r="J797" i="48"/>
  <c r="BM796" i="48"/>
  <c r="BO796" i="48" s="1"/>
  <c r="BP796" i="48" s="1"/>
  <c r="BL796" i="48"/>
  <c r="BB796" i="48"/>
  <c r="V796" i="48"/>
  <c r="J796" i="48"/>
  <c r="BM795" i="48"/>
  <c r="BO795" i="48" s="1"/>
  <c r="BP795" i="48" s="1"/>
  <c r="BL795" i="48"/>
  <c r="BB795" i="48"/>
  <c r="V795" i="48"/>
  <c r="J795" i="48"/>
  <c r="BM794" i="48"/>
  <c r="BO794" i="48" s="1"/>
  <c r="BP794" i="48" s="1"/>
  <c r="BL794" i="48"/>
  <c r="BB794" i="48"/>
  <c r="V794" i="48"/>
  <c r="J794" i="48"/>
  <c r="BM793" i="48"/>
  <c r="BO793" i="48" s="1"/>
  <c r="BP793" i="48" s="1"/>
  <c r="BL793" i="48"/>
  <c r="BB793" i="48"/>
  <c r="V793" i="48"/>
  <c r="J793" i="48"/>
  <c r="BM792" i="48"/>
  <c r="BO792" i="48" s="1"/>
  <c r="BP792" i="48" s="1"/>
  <c r="BL792" i="48"/>
  <c r="BB792" i="48"/>
  <c r="V792" i="48"/>
  <c r="J792" i="48"/>
  <c r="BM791" i="48"/>
  <c r="BO791" i="48" s="1"/>
  <c r="BP791" i="48" s="1"/>
  <c r="BL791" i="48"/>
  <c r="BB791" i="48"/>
  <c r="V791" i="48"/>
  <c r="J791" i="48"/>
  <c r="BM790" i="48"/>
  <c r="BO790" i="48" s="1"/>
  <c r="BP790" i="48" s="1"/>
  <c r="BL790" i="48"/>
  <c r="BB790" i="48"/>
  <c r="V790" i="48"/>
  <c r="J790" i="48"/>
  <c r="BM789" i="48"/>
  <c r="BO789" i="48" s="1"/>
  <c r="BP789" i="48" s="1"/>
  <c r="BL789" i="48"/>
  <c r="BB789" i="48"/>
  <c r="V789" i="48"/>
  <c r="J789" i="48"/>
  <c r="BM788" i="48"/>
  <c r="BO788" i="48" s="1"/>
  <c r="BP788" i="48" s="1"/>
  <c r="BL788" i="48"/>
  <c r="BB788" i="48"/>
  <c r="V788" i="48"/>
  <c r="J788" i="48"/>
  <c r="BM787" i="48"/>
  <c r="BO787" i="48" s="1"/>
  <c r="BP787" i="48" s="1"/>
  <c r="BL787" i="48"/>
  <c r="BB787" i="48"/>
  <c r="V787" i="48"/>
  <c r="J787" i="48"/>
  <c r="BM786" i="48"/>
  <c r="BO786" i="48" s="1"/>
  <c r="BP786" i="48" s="1"/>
  <c r="BL786" i="48"/>
  <c r="BB786" i="48"/>
  <c r="V786" i="48"/>
  <c r="J786" i="48"/>
  <c r="BM785" i="48"/>
  <c r="BO785" i="48" s="1"/>
  <c r="BP785" i="48" s="1"/>
  <c r="BL785" i="48"/>
  <c r="BB785" i="48"/>
  <c r="V785" i="48"/>
  <c r="J785" i="48"/>
  <c r="BM784" i="48"/>
  <c r="BO784" i="48" s="1"/>
  <c r="BP784" i="48" s="1"/>
  <c r="BL784" i="48"/>
  <c r="BB784" i="48"/>
  <c r="V784" i="48"/>
  <c r="J784" i="48"/>
  <c r="BM783" i="48"/>
  <c r="BO783" i="48" s="1"/>
  <c r="BP783" i="48" s="1"/>
  <c r="BL783" i="48"/>
  <c r="BB783" i="48"/>
  <c r="BM782" i="48"/>
  <c r="BO782" i="48" s="1"/>
  <c r="BP782" i="48" s="1"/>
  <c r="BL782" i="48"/>
  <c r="BB782" i="48"/>
  <c r="BM781" i="48"/>
  <c r="BO781" i="48" s="1"/>
  <c r="BP781" i="48" s="1"/>
  <c r="BL781" i="48"/>
  <c r="BB781" i="48"/>
  <c r="BM780" i="48"/>
  <c r="BO780" i="48" s="1"/>
  <c r="BP780" i="48" s="1"/>
  <c r="BL780" i="48"/>
  <c r="BB780" i="48"/>
  <c r="BM779" i="48"/>
  <c r="BO779" i="48" s="1"/>
  <c r="BP779" i="48" s="1"/>
  <c r="BL779" i="48"/>
  <c r="BB779" i="48"/>
  <c r="BM778" i="48"/>
  <c r="BO778" i="48" s="1"/>
  <c r="BP778" i="48" s="1"/>
  <c r="BL778" i="48"/>
  <c r="BB778" i="48"/>
  <c r="B30" i="58" s="1"/>
  <c r="BM775" i="48"/>
  <c r="BO775" i="48" s="1"/>
  <c r="BP775" i="48" s="1"/>
  <c r="BL775" i="48"/>
  <c r="V775" i="48"/>
  <c r="BM774" i="48"/>
  <c r="BO774" i="48" s="1"/>
  <c r="BP774" i="48" s="1"/>
  <c r="BL774" i="48"/>
  <c r="V774" i="48"/>
  <c r="BM773" i="48"/>
  <c r="BO773" i="48" s="1"/>
  <c r="BP773" i="48" s="1"/>
  <c r="BL773" i="48"/>
  <c r="V773" i="48"/>
  <c r="J773" i="48"/>
  <c r="BM772" i="48"/>
  <c r="BO772" i="48" s="1"/>
  <c r="BP772" i="48" s="1"/>
  <c r="BL772" i="48"/>
  <c r="V772" i="48"/>
  <c r="J772" i="48"/>
  <c r="BM771" i="48"/>
  <c r="BO771" i="48" s="1"/>
  <c r="BP771" i="48" s="1"/>
  <c r="BL771" i="48"/>
  <c r="V771" i="48"/>
  <c r="J771" i="48"/>
  <c r="BM770" i="48"/>
  <c r="BO770" i="48" s="1"/>
  <c r="BP770" i="48" s="1"/>
  <c r="BL770" i="48"/>
  <c r="V770" i="48"/>
  <c r="J770" i="48"/>
  <c r="BM769" i="48"/>
  <c r="BO769" i="48" s="1"/>
  <c r="BP769" i="48" s="1"/>
  <c r="BL769" i="48"/>
  <c r="V769" i="48"/>
  <c r="J769" i="48"/>
  <c r="BM768" i="48"/>
  <c r="BO768" i="48" s="1"/>
  <c r="BP768" i="48" s="1"/>
  <c r="BL768" i="48"/>
  <c r="V768" i="48"/>
  <c r="J768" i="48"/>
  <c r="BM767" i="48"/>
  <c r="BO767" i="48" s="1"/>
  <c r="BP767" i="48" s="1"/>
  <c r="BL767" i="48"/>
  <c r="V767" i="48"/>
  <c r="J767" i="48"/>
  <c r="BM766" i="48"/>
  <c r="BO766" i="48" s="1"/>
  <c r="BP766" i="48" s="1"/>
  <c r="BL766" i="48"/>
  <c r="V766" i="48"/>
  <c r="J766" i="48"/>
  <c r="BM765" i="48"/>
  <c r="BO765" i="48" s="1"/>
  <c r="BP765" i="48" s="1"/>
  <c r="BL765" i="48"/>
  <c r="V765" i="48"/>
  <c r="J765" i="48"/>
  <c r="BM764" i="48"/>
  <c r="BO764" i="48" s="1"/>
  <c r="BP764" i="48" s="1"/>
  <c r="BL764" i="48"/>
  <c r="V764" i="48"/>
  <c r="J764" i="48"/>
  <c r="BM763" i="48"/>
  <c r="BO763" i="48" s="1"/>
  <c r="BP763" i="48" s="1"/>
  <c r="BL763" i="48"/>
  <c r="V763" i="48"/>
  <c r="J763" i="48"/>
  <c r="BM762" i="48"/>
  <c r="BO762" i="48" s="1"/>
  <c r="BP762" i="48" s="1"/>
  <c r="BL762" i="48"/>
  <c r="V762" i="48"/>
  <c r="J762" i="48"/>
  <c r="BM761" i="48"/>
  <c r="BO761" i="48" s="1"/>
  <c r="BP761" i="48" s="1"/>
  <c r="BL761" i="48"/>
  <c r="V761" i="48"/>
  <c r="J761" i="48"/>
  <c r="BM760" i="48"/>
  <c r="BO760" i="48" s="1"/>
  <c r="BP760" i="48" s="1"/>
  <c r="BL760" i="48"/>
  <c r="V760" i="48"/>
  <c r="J760" i="48"/>
  <c r="BM759" i="48"/>
  <c r="BO759" i="48" s="1"/>
  <c r="BP759" i="48" s="1"/>
  <c r="BL759" i="48"/>
  <c r="V759" i="48"/>
  <c r="J759" i="48"/>
  <c r="BM758" i="48"/>
  <c r="BO758" i="48" s="1"/>
  <c r="BP758" i="48" s="1"/>
  <c r="BL758" i="48"/>
  <c r="BM757" i="48"/>
  <c r="BO757" i="48" s="1"/>
  <c r="BP757" i="48" s="1"/>
  <c r="BL757" i="48"/>
  <c r="BM756" i="48"/>
  <c r="BO756" i="48" s="1"/>
  <c r="BP756" i="48" s="1"/>
  <c r="BL756" i="48"/>
  <c r="BM755" i="48"/>
  <c r="BO755" i="48" s="1"/>
  <c r="BP755" i="48" s="1"/>
  <c r="BM754" i="48"/>
  <c r="BO754" i="48" s="1"/>
  <c r="BP754" i="48" s="1"/>
  <c r="BL754" i="48"/>
  <c r="BM753" i="48"/>
  <c r="BO753" i="48" s="1"/>
  <c r="BP753" i="48" s="1"/>
  <c r="BL753" i="48"/>
  <c r="BM750" i="48"/>
  <c r="BO750" i="48" s="1"/>
  <c r="BP750" i="48" s="1"/>
  <c r="BL750" i="48"/>
  <c r="V750" i="48"/>
  <c r="J750" i="48"/>
  <c r="BM749" i="48"/>
  <c r="BO749" i="48" s="1"/>
  <c r="BP749" i="48" s="1"/>
  <c r="BL749" i="48"/>
  <c r="BB749" i="48"/>
  <c r="V749" i="48"/>
  <c r="J749" i="48"/>
  <c r="BM748" i="48"/>
  <c r="BO748" i="48" s="1"/>
  <c r="BP748" i="48" s="1"/>
  <c r="BL748" i="48"/>
  <c r="BB748" i="48"/>
  <c r="V748" i="48"/>
  <c r="J748" i="48"/>
  <c r="BM747" i="48"/>
  <c r="BO747" i="48" s="1"/>
  <c r="BP747" i="48" s="1"/>
  <c r="BL747" i="48"/>
  <c r="BB747" i="48"/>
  <c r="V747" i="48"/>
  <c r="J747" i="48"/>
  <c r="BM746" i="48"/>
  <c r="BO746" i="48" s="1"/>
  <c r="BP746" i="48" s="1"/>
  <c r="BL746" i="48"/>
  <c r="BB746" i="48"/>
  <c r="V746" i="48"/>
  <c r="J746" i="48"/>
  <c r="BM745" i="48"/>
  <c r="BO745" i="48" s="1"/>
  <c r="BP745" i="48" s="1"/>
  <c r="BL745" i="48"/>
  <c r="BB745" i="48"/>
  <c r="V745" i="48"/>
  <c r="J745" i="48"/>
  <c r="BM744" i="48"/>
  <c r="BO744" i="48" s="1"/>
  <c r="BP744" i="48" s="1"/>
  <c r="BL744" i="48"/>
  <c r="BB744" i="48"/>
  <c r="V744" i="48"/>
  <c r="J744" i="48"/>
  <c r="BM743" i="48"/>
  <c r="BO743" i="48" s="1"/>
  <c r="BP743" i="48" s="1"/>
  <c r="BL743" i="48"/>
  <c r="BB743" i="48"/>
  <c r="V743" i="48"/>
  <c r="J743" i="48"/>
  <c r="BM742" i="48"/>
  <c r="BO742" i="48" s="1"/>
  <c r="BP742" i="48" s="1"/>
  <c r="BL742" i="48"/>
  <c r="BB742" i="48"/>
  <c r="V742" i="48"/>
  <c r="J742" i="48"/>
  <c r="BM741" i="48"/>
  <c r="BO741" i="48" s="1"/>
  <c r="BP741" i="48" s="1"/>
  <c r="BL741" i="48"/>
  <c r="BB741" i="48"/>
  <c r="V741" i="48"/>
  <c r="J741" i="48"/>
  <c r="BM740" i="48"/>
  <c r="BO740" i="48" s="1"/>
  <c r="BP740" i="48" s="1"/>
  <c r="BL740" i="48"/>
  <c r="BB740" i="48"/>
  <c r="V740" i="48"/>
  <c r="J740" i="48"/>
  <c r="BM739" i="48"/>
  <c r="BO739" i="48" s="1"/>
  <c r="BP739" i="48" s="1"/>
  <c r="BL739" i="48"/>
  <c r="BB739" i="48"/>
  <c r="V739" i="48"/>
  <c r="J739" i="48"/>
  <c r="BM738" i="48"/>
  <c r="BO738" i="48" s="1"/>
  <c r="BP738" i="48" s="1"/>
  <c r="BL738" i="48"/>
  <c r="BB738" i="48"/>
  <c r="V738" i="48"/>
  <c r="J738" i="48"/>
  <c r="BM737" i="48"/>
  <c r="BO737" i="48" s="1"/>
  <c r="BP737" i="48" s="1"/>
  <c r="BL737" i="48"/>
  <c r="BB737" i="48"/>
  <c r="V737" i="48"/>
  <c r="J737" i="48"/>
  <c r="BM736" i="48"/>
  <c r="BO736" i="48" s="1"/>
  <c r="BP736" i="48" s="1"/>
  <c r="BL736" i="48"/>
  <c r="BB736" i="48"/>
  <c r="V736" i="48"/>
  <c r="J736" i="48"/>
  <c r="BM735" i="48"/>
  <c r="BO735" i="48" s="1"/>
  <c r="BP735" i="48" s="1"/>
  <c r="BL735" i="48"/>
  <c r="BB735" i="48"/>
  <c r="V735" i="48"/>
  <c r="J735" i="48"/>
  <c r="BM734" i="48"/>
  <c r="BO734" i="48" s="1"/>
  <c r="BP734" i="48" s="1"/>
  <c r="BL734" i="48"/>
  <c r="BB734" i="48"/>
  <c r="V734" i="48"/>
  <c r="J734" i="48"/>
  <c r="BM733" i="48"/>
  <c r="BO733" i="48" s="1"/>
  <c r="BP733" i="48" s="1"/>
  <c r="BL733" i="48"/>
  <c r="BB733" i="48"/>
  <c r="BM732" i="48"/>
  <c r="BO732" i="48" s="1"/>
  <c r="BP732" i="48" s="1"/>
  <c r="BL732" i="48"/>
  <c r="BB732" i="48"/>
  <c r="BM731" i="48"/>
  <c r="BO731" i="48" s="1"/>
  <c r="BP731" i="48" s="1"/>
  <c r="BL731" i="48"/>
  <c r="BB731" i="48"/>
  <c r="BM730" i="48"/>
  <c r="BO730" i="48" s="1"/>
  <c r="BP730" i="48" s="1"/>
  <c r="BL730" i="48"/>
  <c r="BB730" i="48"/>
  <c r="BM729" i="48"/>
  <c r="BO729" i="48" s="1"/>
  <c r="BP729" i="48" s="1"/>
  <c r="BL729" i="48"/>
  <c r="BB729" i="48"/>
  <c r="BM728" i="48"/>
  <c r="BO728" i="48" s="1"/>
  <c r="BP728" i="48" s="1"/>
  <c r="BL728" i="48"/>
  <c r="BB728" i="48"/>
  <c r="BM725" i="48"/>
  <c r="BO725" i="48" s="1"/>
  <c r="BP725" i="48" s="1"/>
  <c r="BL725" i="48"/>
  <c r="BB725" i="48"/>
  <c r="V725" i="48"/>
  <c r="J725" i="48"/>
  <c r="BM724" i="48"/>
  <c r="BO724" i="48" s="1"/>
  <c r="BP724" i="48" s="1"/>
  <c r="BL724" i="48"/>
  <c r="BB724" i="48"/>
  <c r="V724" i="48"/>
  <c r="J724" i="48"/>
  <c r="BM723" i="48"/>
  <c r="BO723" i="48" s="1"/>
  <c r="BP723" i="48" s="1"/>
  <c r="BL723" i="48"/>
  <c r="BB723" i="48"/>
  <c r="V723" i="48"/>
  <c r="J723" i="48"/>
  <c r="BM722" i="48"/>
  <c r="BO722" i="48" s="1"/>
  <c r="BP722" i="48" s="1"/>
  <c r="BL722" i="48"/>
  <c r="BB722" i="48"/>
  <c r="V722" i="48"/>
  <c r="J722" i="48"/>
  <c r="BM721" i="48"/>
  <c r="BO721" i="48" s="1"/>
  <c r="BP721" i="48" s="1"/>
  <c r="BL721" i="48"/>
  <c r="BB721" i="48"/>
  <c r="V721" i="48"/>
  <c r="J721" i="48"/>
  <c r="BM720" i="48"/>
  <c r="BO720" i="48" s="1"/>
  <c r="BP720" i="48" s="1"/>
  <c r="BL720" i="48"/>
  <c r="BB720" i="48"/>
  <c r="V720" i="48"/>
  <c r="J720" i="48"/>
  <c r="BM719" i="48"/>
  <c r="BO719" i="48" s="1"/>
  <c r="BP719" i="48" s="1"/>
  <c r="BL719" i="48"/>
  <c r="BB719" i="48"/>
  <c r="V719" i="48"/>
  <c r="J719" i="48"/>
  <c r="BM718" i="48"/>
  <c r="BO718" i="48" s="1"/>
  <c r="BP718" i="48" s="1"/>
  <c r="BL718" i="48"/>
  <c r="BB718" i="48"/>
  <c r="V718" i="48"/>
  <c r="J718" i="48"/>
  <c r="BM717" i="48"/>
  <c r="BO717" i="48" s="1"/>
  <c r="BP717" i="48" s="1"/>
  <c r="BL717" i="48"/>
  <c r="BB717" i="48"/>
  <c r="V717" i="48"/>
  <c r="J717" i="48"/>
  <c r="BM716" i="48"/>
  <c r="BO716" i="48" s="1"/>
  <c r="BP716" i="48" s="1"/>
  <c r="BL716" i="48"/>
  <c r="BB716" i="48"/>
  <c r="V716" i="48"/>
  <c r="J716" i="48"/>
  <c r="BM715" i="48"/>
  <c r="BO715" i="48" s="1"/>
  <c r="BP715" i="48" s="1"/>
  <c r="BL715" i="48"/>
  <c r="BB715" i="48"/>
  <c r="V715" i="48"/>
  <c r="J715" i="48"/>
  <c r="BM714" i="48"/>
  <c r="BO714" i="48" s="1"/>
  <c r="BP714" i="48" s="1"/>
  <c r="BL714" i="48"/>
  <c r="BB714" i="48"/>
  <c r="V714" i="48"/>
  <c r="J714" i="48"/>
  <c r="BM713" i="48"/>
  <c r="BO713" i="48" s="1"/>
  <c r="BP713" i="48" s="1"/>
  <c r="BL713" i="48"/>
  <c r="BB713" i="48"/>
  <c r="V713" i="48"/>
  <c r="J713" i="48"/>
  <c r="BM712" i="48"/>
  <c r="BO712" i="48" s="1"/>
  <c r="BP712" i="48" s="1"/>
  <c r="BL712" i="48"/>
  <c r="BB712" i="48"/>
  <c r="V712" i="48"/>
  <c r="J712" i="48"/>
  <c r="BM711" i="48"/>
  <c r="BO711" i="48" s="1"/>
  <c r="BP711" i="48" s="1"/>
  <c r="BL711" i="48"/>
  <c r="BB711" i="48"/>
  <c r="V711" i="48"/>
  <c r="J711" i="48"/>
  <c r="BM710" i="48"/>
  <c r="BO710" i="48" s="1"/>
  <c r="BP710" i="48" s="1"/>
  <c r="BL710" i="48"/>
  <c r="BB710" i="48"/>
  <c r="V710" i="48"/>
  <c r="J710" i="48"/>
  <c r="BM709" i="48"/>
  <c r="BO709" i="48" s="1"/>
  <c r="BP709" i="48" s="1"/>
  <c r="BL709" i="48"/>
  <c r="BB709" i="48"/>
  <c r="V709" i="48"/>
  <c r="J709" i="48"/>
  <c r="BM708" i="48"/>
  <c r="BO708" i="48" s="1"/>
  <c r="BP708" i="48" s="1"/>
  <c r="BL708" i="48"/>
  <c r="BB708" i="48"/>
  <c r="BM707" i="48"/>
  <c r="BO707" i="48" s="1"/>
  <c r="BP707" i="48" s="1"/>
  <c r="BL707" i="48"/>
  <c r="BB707" i="48"/>
  <c r="BM706" i="48"/>
  <c r="BO706" i="48" s="1"/>
  <c r="BP706" i="48" s="1"/>
  <c r="BL706" i="48"/>
  <c r="BB706" i="48"/>
  <c r="BM705" i="48"/>
  <c r="BO705" i="48" s="1"/>
  <c r="BP705" i="48" s="1"/>
  <c r="BL705" i="48"/>
  <c r="BB705" i="48"/>
  <c r="BM704" i="48"/>
  <c r="BO704" i="48" s="1"/>
  <c r="BP704" i="48" s="1"/>
  <c r="BL704" i="48"/>
  <c r="BB704" i="48"/>
  <c r="BM703" i="48"/>
  <c r="BO703" i="48" s="1"/>
  <c r="BP703" i="48" s="1"/>
  <c r="BL703" i="48"/>
  <c r="BB703" i="48"/>
  <c r="BM700" i="48"/>
  <c r="BO700" i="48" s="1"/>
  <c r="BP700" i="48" s="1"/>
  <c r="BL700" i="48"/>
  <c r="BB700" i="48"/>
  <c r="V700" i="48"/>
  <c r="J700" i="48"/>
  <c r="BM699" i="48"/>
  <c r="BO699" i="48" s="1"/>
  <c r="BP699" i="48" s="1"/>
  <c r="BL699" i="48"/>
  <c r="BB699" i="48"/>
  <c r="V699" i="48"/>
  <c r="J699" i="48"/>
  <c r="BM698" i="48"/>
  <c r="BO698" i="48" s="1"/>
  <c r="BP698" i="48" s="1"/>
  <c r="BL698" i="48"/>
  <c r="BB698" i="48"/>
  <c r="V698" i="48"/>
  <c r="J698" i="48"/>
  <c r="BM697" i="48"/>
  <c r="BO697" i="48" s="1"/>
  <c r="BP697" i="48" s="1"/>
  <c r="BL697" i="48"/>
  <c r="BB697" i="48"/>
  <c r="V697" i="48"/>
  <c r="J697" i="48"/>
  <c r="BM696" i="48"/>
  <c r="BO696" i="48" s="1"/>
  <c r="BP696" i="48" s="1"/>
  <c r="BL696" i="48"/>
  <c r="BB696" i="48"/>
  <c r="V696" i="48"/>
  <c r="J696" i="48"/>
  <c r="BM695" i="48"/>
  <c r="BO695" i="48" s="1"/>
  <c r="BP695" i="48" s="1"/>
  <c r="BL695" i="48"/>
  <c r="BB695" i="48"/>
  <c r="V695" i="48"/>
  <c r="J695" i="48"/>
  <c r="BM694" i="48"/>
  <c r="BO694" i="48" s="1"/>
  <c r="BP694" i="48" s="1"/>
  <c r="BL694" i="48"/>
  <c r="BB694" i="48"/>
  <c r="V694" i="48"/>
  <c r="J694" i="48"/>
  <c r="BM693" i="48"/>
  <c r="BO693" i="48" s="1"/>
  <c r="BP693" i="48" s="1"/>
  <c r="BL693" i="48"/>
  <c r="BB693" i="48"/>
  <c r="V693" i="48"/>
  <c r="J693" i="48"/>
  <c r="BM692" i="48"/>
  <c r="BO692" i="48" s="1"/>
  <c r="BP692" i="48" s="1"/>
  <c r="BL692" i="48"/>
  <c r="BB692" i="48"/>
  <c r="V692" i="48"/>
  <c r="J692" i="48"/>
  <c r="BM691" i="48"/>
  <c r="BO691" i="48" s="1"/>
  <c r="BP691" i="48" s="1"/>
  <c r="BL691" i="48"/>
  <c r="BB691" i="48"/>
  <c r="V691" i="48"/>
  <c r="J691" i="48"/>
  <c r="BM690" i="48"/>
  <c r="BO690" i="48" s="1"/>
  <c r="BP690" i="48" s="1"/>
  <c r="BL690" i="48"/>
  <c r="BB690" i="48"/>
  <c r="V690" i="48"/>
  <c r="J690" i="48"/>
  <c r="BM689" i="48"/>
  <c r="BO689" i="48" s="1"/>
  <c r="BP689" i="48" s="1"/>
  <c r="BL689" i="48"/>
  <c r="BB689" i="48"/>
  <c r="V689" i="48"/>
  <c r="J689" i="48"/>
  <c r="BM688" i="48"/>
  <c r="BO688" i="48" s="1"/>
  <c r="BP688" i="48" s="1"/>
  <c r="BL688" i="48"/>
  <c r="BB688" i="48"/>
  <c r="V688" i="48"/>
  <c r="J688" i="48"/>
  <c r="BM687" i="48"/>
  <c r="BO687" i="48" s="1"/>
  <c r="BP687" i="48" s="1"/>
  <c r="BL687" i="48"/>
  <c r="BB687" i="48"/>
  <c r="V687" i="48"/>
  <c r="J687" i="48"/>
  <c r="BM686" i="48"/>
  <c r="BO686" i="48" s="1"/>
  <c r="BP686" i="48" s="1"/>
  <c r="BL686" i="48"/>
  <c r="BB686" i="48"/>
  <c r="V686" i="48"/>
  <c r="J686" i="48"/>
  <c r="BM685" i="48"/>
  <c r="BO685" i="48" s="1"/>
  <c r="BP685" i="48" s="1"/>
  <c r="BL685" i="48"/>
  <c r="BB685" i="48"/>
  <c r="V685" i="48"/>
  <c r="J685" i="48"/>
  <c r="BM684" i="48"/>
  <c r="BO684" i="48" s="1"/>
  <c r="BP684" i="48" s="1"/>
  <c r="BL684" i="48"/>
  <c r="BB684" i="48"/>
  <c r="BM683" i="48"/>
  <c r="BO683" i="48" s="1"/>
  <c r="BP683" i="48" s="1"/>
  <c r="BL683" i="48"/>
  <c r="BB683" i="48"/>
  <c r="BM682" i="48"/>
  <c r="BO682" i="48" s="1"/>
  <c r="BP682" i="48" s="1"/>
  <c r="BL682" i="48"/>
  <c r="BB682" i="48"/>
  <c r="BM681" i="48"/>
  <c r="BO681" i="48" s="1"/>
  <c r="BP681" i="48" s="1"/>
  <c r="BL681" i="48"/>
  <c r="BB681" i="48"/>
  <c r="BM680" i="48"/>
  <c r="BO680" i="48" s="1"/>
  <c r="BP680" i="48" s="1"/>
  <c r="BL680" i="48"/>
  <c r="BB680" i="48"/>
  <c r="BM679" i="48"/>
  <c r="BO679" i="48" s="1"/>
  <c r="BP679" i="48" s="1"/>
  <c r="BL679" i="48"/>
  <c r="BB679" i="48"/>
  <c r="BM678" i="48"/>
  <c r="BO678" i="48" s="1"/>
  <c r="BP678" i="48" s="1"/>
  <c r="BL678" i="48"/>
  <c r="BB678" i="48"/>
  <c r="BM675" i="48"/>
  <c r="BO675" i="48" s="1"/>
  <c r="BP675" i="48" s="1"/>
  <c r="BL675" i="48"/>
  <c r="BB675" i="48"/>
  <c r="V675" i="48"/>
  <c r="J675" i="48"/>
  <c r="BM674" i="48"/>
  <c r="BO674" i="48" s="1"/>
  <c r="BP674" i="48" s="1"/>
  <c r="BL674" i="48"/>
  <c r="BB674" i="48"/>
  <c r="V674" i="48"/>
  <c r="J674" i="48"/>
  <c r="BM673" i="48"/>
  <c r="BO673" i="48" s="1"/>
  <c r="BP673" i="48" s="1"/>
  <c r="BL673" i="48"/>
  <c r="BB673" i="48"/>
  <c r="V673" i="48"/>
  <c r="J673" i="48"/>
  <c r="BM672" i="48"/>
  <c r="BO672" i="48" s="1"/>
  <c r="BP672" i="48" s="1"/>
  <c r="BL672" i="48"/>
  <c r="BB672" i="48"/>
  <c r="V672" i="48"/>
  <c r="J672" i="48"/>
  <c r="BM671" i="48"/>
  <c r="BO671" i="48" s="1"/>
  <c r="BP671" i="48" s="1"/>
  <c r="BL671" i="48"/>
  <c r="BB671" i="48"/>
  <c r="V671" i="48"/>
  <c r="J671" i="48"/>
  <c r="BM670" i="48"/>
  <c r="BO670" i="48" s="1"/>
  <c r="BP670" i="48" s="1"/>
  <c r="BL670" i="48"/>
  <c r="BB670" i="48"/>
  <c r="V670" i="48"/>
  <c r="J670" i="48"/>
  <c r="BM669" i="48"/>
  <c r="BO669" i="48" s="1"/>
  <c r="BP669" i="48" s="1"/>
  <c r="BL669" i="48"/>
  <c r="BB669" i="48"/>
  <c r="V669" i="48"/>
  <c r="J669" i="48"/>
  <c r="BM668" i="48"/>
  <c r="BO668" i="48" s="1"/>
  <c r="BP668" i="48" s="1"/>
  <c r="BL668" i="48"/>
  <c r="BB668" i="48"/>
  <c r="V668" i="48"/>
  <c r="J668" i="48"/>
  <c r="BM667" i="48"/>
  <c r="BO667" i="48" s="1"/>
  <c r="BP667" i="48" s="1"/>
  <c r="BL667" i="48"/>
  <c r="BB667" i="48"/>
  <c r="V667" i="48"/>
  <c r="J667" i="48"/>
  <c r="BM666" i="48"/>
  <c r="BO666" i="48" s="1"/>
  <c r="BP666" i="48" s="1"/>
  <c r="BL666" i="48"/>
  <c r="BB666" i="48"/>
  <c r="V666" i="48"/>
  <c r="J666" i="48"/>
  <c r="BM665" i="48"/>
  <c r="BO665" i="48" s="1"/>
  <c r="BP665" i="48" s="1"/>
  <c r="BL665" i="48"/>
  <c r="BB665" i="48"/>
  <c r="V665" i="48"/>
  <c r="J665" i="48"/>
  <c r="BM664" i="48"/>
  <c r="BO664" i="48" s="1"/>
  <c r="BP664" i="48" s="1"/>
  <c r="BL664" i="48"/>
  <c r="BB664" i="48"/>
  <c r="V664" i="48"/>
  <c r="J664" i="48"/>
  <c r="BM663" i="48"/>
  <c r="BO663" i="48" s="1"/>
  <c r="BP663" i="48" s="1"/>
  <c r="BL663" i="48"/>
  <c r="BB663" i="48"/>
  <c r="V663" i="48"/>
  <c r="J663" i="48"/>
  <c r="BM662" i="48"/>
  <c r="BO662" i="48" s="1"/>
  <c r="BP662" i="48" s="1"/>
  <c r="BL662" i="48"/>
  <c r="BB662" i="48"/>
  <c r="V662" i="48"/>
  <c r="J662" i="48"/>
  <c r="BM661" i="48"/>
  <c r="BO661" i="48" s="1"/>
  <c r="BP661" i="48" s="1"/>
  <c r="BL661" i="48"/>
  <c r="BB661" i="48"/>
  <c r="V661" i="48"/>
  <c r="J661" i="48"/>
  <c r="BM660" i="48"/>
  <c r="BO660" i="48" s="1"/>
  <c r="BP660" i="48" s="1"/>
  <c r="BL660" i="48"/>
  <c r="BB660" i="48"/>
  <c r="V660" i="48"/>
  <c r="J660" i="48"/>
  <c r="BM659" i="48"/>
  <c r="BO659" i="48" s="1"/>
  <c r="BP659" i="48" s="1"/>
  <c r="BL659" i="48"/>
  <c r="BB659" i="48"/>
  <c r="V659" i="48"/>
  <c r="J659" i="48"/>
  <c r="BM658" i="48"/>
  <c r="BO658" i="48" s="1"/>
  <c r="BP658" i="48" s="1"/>
  <c r="BL658" i="48"/>
  <c r="BB658" i="48"/>
  <c r="BM657" i="48"/>
  <c r="BO657" i="48" s="1"/>
  <c r="BP657" i="48" s="1"/>
  <c r="BL657" i="48"/>
  <c r="BB657" i="48"/>
  <c r="BM656" i="48"/>
  <c r="BO656" i="48" s="1"/>
  <c r="BP656" i="48" s="1"/>
  <c r="BL656" i="48"/>
  <c r="BB656" i="48"/>
  <c r="BM655" i="48"/>
  <c r="BO655" i="48" s="1"/>
  <c r="BP655" i="48" s="1"/>
  <c r="BL655" i="48"/>
  <c r="BB655" i="48"/>
  <c r="BM654" i="48"/>
  <c r="BO654" i="48" s="1"/>
  <c r="BP654" i="48" s="1"/>
  <c r="BL654" i="48"/>
  <c r="BB654" i="48"/>
  <c r="BM653" i="48"/>
  <c r="BO653" i="48" s="1"/>
  <c r="BP653" i="48" s="1"/>
  <c r="BL653" i="48"/>
  <c r="BB653" i="48"/>
  <c r="BM650" i="48"/>
  <c r="BO650" i="48" s="1"/>
  <c r="BP650" i="48" s="1"/>
  <c r="BL650" i="48"/>
  <c r="BB650" i="48"/>
  <c r="V650" i="48"/>
  <c r="J650" i="48"/>
  <c r="BM649" i="48"/>
  <c r="BO649" i="48" s="1"/>
  <c r="BP649" i="48" s="1"/>
  <c r="BL649" i="48"/>
  <c r="BB649" i="48"/>
  <c r="V649" i="48"/>
  <c r="J649" i="48"/>
  <c r="BM648" i="48"/>
  <c r="BO648" i="48" s="1"/>
  <c r="BP648" i="48" s="1"/>
  <c r="BL648" i="48"/>
  <c r="BB648" i="48"/>
  <c r="V648" i="48"/>
  <c r="J648" i="48"/>
  <c r="BM647" i="48"/>
  <c r="BO647" i="48" s="1"/>
  <c r="BP647" i="48" s="1"/>
  <c r="BL647" i="48"/>
  <c r="BB647" i="48"/>
  <c r="V647" i="48"/>
  <c r="J647" i="48"/>
  <c r="BM646" i="48"/>
  <c r="BO646" i="48" s="1"/>
  <c r="BP646" i="48" s="1"/>
  <c r="BL646" i="48"/>
  <c r="BB646" i="48"/>
  <c r="V646" i="48"/>
  <c r="J646" i="48"/>
  <c r="BM645" i="48"/>
  <c r="BO645" i="48" s="1"/>
  <c r="BP645" i="48" s="1"/>
  <c r="BL645" i="48"/>
  <c r="BB645" i="48"/>
  <c r="V645" i="48"/>
  <c r="J645" i="48"/>
  <c r="BM644" i="48"/>
  <c r="BO644" i="48" s="1"/>
  <c r="BP644" i="48" s="1"/>
  <c r="BL644" i="48"/>
  <c r="BB644" i="48"/>
  <c r="V644" i="48"/>
  <c r="J644" i="48"/>
  <c r="BM643" i="48"/>
  <c r="BO643" i="48" s="1"/>
  <c r="BP643" i="48" s="1"/>
  <c r="BL643" i="48"/>
  <c r="BB643" i="48"/>
  <c r="V643" i="48"/>
  <c r="J643" i="48"/>
  <c r="BM642" i="48"/>
  <c r="BO642" i="48" s="1"/>
  <c r="BP642" i="48" s="1"/>
  <c r="BL642" i="48"/>
  <c r="BB642" i="48"/>
  <c r="V642" i="48"/>
  <c r="J642" i="48"/>
  <c r="BM641" i="48"/>
  <c r="BO641" i="48" s="1"/>
  <c r="BP641" i="48" s="1"/>
  <c r="BL641" i="48"/>
  <c r="BB641" i="48"/>
  <c r="V641" i="48"/>
  <c r="J641" i="48"/>
  <c r="BM640" i="48"/>
  <c r="BO640" i="48" s="1"/>
  <c r="BP640" i="48" s="1"/>
  <c r="BL640" i="48"/>
  <c r="BB640" i="48"/>
  <c r="V640" i="48"/>
  <c r="J640" i="48"/>
  <c r="BM639" i="48"/>
  <c r="BO639" i="48" s="1"/>
  <c r="BP639" i="48" s="1"/>
  <c r="BL639" i="48"/>
  <c r="BB639" i="48"/>
  <c r="V639" i="48"/>
  <c r="J639" i="48"/>
  <c r="BM638" i="48"/>
  <c r="BO638" i="48" s="1"/>
  <c r="BP638" i="48" s="1"/>
  <c r="BL638" i="48"/>
  <c r="BB638" i="48"/>
  <c r="V638" i="48"/>
  <c r="J638" i="48"/>
  <c r="BM637" i="48"/>
  <c r="BO637" i="48" s="1"/>
  <c r="BP637" i="48" s="1"/>
  <c r="BL637" i="48"/>
  <c r="BB637" i="48"/>
  <c r="V637" i="48"/>
  <c r="J637" i="48"/>
  <c r="BM636" i="48"/>
  <c r="BO636" i="48" s="1"/>
  <c r="BP636" i="48" s="1"/>
  <c r="BL636" i="48"/>
  <c r="BB636" i="48"/>
  <c r="V636" i="48"/>
  <c r="J636" i="48"/>
  <c r="BM635" i="48"/>
  <c r="BO635" i="48" s="1"/>
  <c r="BP635" i="48" s="1"/>
  <c r="BL635" i="48"/>
  <c r="BB635" i="48"/>
  <c r="V635" i="48"/>
  <c r="J635" i="48"/>
  <c r="BM634" i="48"/>
  <c r="BO634" i="48" s="1"/>
  <c r="BP634" i="48" s="1"/>
  <c r="BL634" i="48"/>
  <c r="BB634" i="48"/>
  <c r="V634" i="48"/>
  <c r="J634" i="48"/>
  <c r="BM633" i="48"/>
  <c r="BO633" i="48" s="1"/>
  <c r="BP633" i="48" s="1"/>
  <c r="BL633" i="48"/>
  <c r="BB633" i="48"/>
  <c r="BM632" i="48"/>
  <c r="BO632" i="48" s="1"/>
  <c r="BP632" i="48" s="1"/>
  <c r="BL632" i="48"/>
  <c r="BB632" i="48"/>
  <c r="BM631" i="48"/>
  <c r="BO631" i="48" s="1"/>
  <c r="BP631" i="48" s="1"/>
  <c r="BL631" i="48"/>
  <c r="BB631" i="48"/>
  <c r="BM630" i="48"/>
  <c r="BO630" i="48" s="1"/>
  <c r="BP630" i="48" s="1"/>
  <c r="BL630" i="48"/>
  <c r="BB630" i="48"/>
  <c r="BM629" i="48"/>
  <c r="BO629" i="48" s="1"/>
  <c r="BP629" i="48" s="1"/>
  <c r="BL629" i="48"/>
  <c r="BB629" i="48"/>
  <c r="BM628" i="48"/>
  <c r="BO628" i="48" s="1"/>
  <c r="BP628" i="48" s="1"/>
  <c r="BL628" i="48"/>
  <c r="BB628" i="48"/>
  <c r="BM625" i="48"/>
  <c r="BO625" i="48" s="1"/>
  <c r="BP625" i="48" s="1"/>
  <c r="BL625" i="48"/>
  <c r="V625" i="48"/>
  <c r="J625" i="48"/>
  <c r="BM624" i="48"/>
  <c r="BO624" i="48" s="1"/>
  <c r="BP624" i="48" s="1"/>
  <c r="BL624" i="48"/>
  <c r="V624" i="48"/>
  <c r="J624" i="48"/>
  <c r="BM623" i="48"/>
  <c r="BO623" i="48" s="1"/>
  <c r="BP623" i="48" s="1"/>
  <c r="BL623" i="48"/>
  <c r="BB623" i="48"/>
  <c r="V623" i="48"/>
  <c r="J623" i="48"/>
  <c r="BM622" i="48"/>
  <c r="BO622" i="48" s="1"/>
  <c r="BP622" i="48" s="1"/>
  <c r="BL622" i="48"/>
  <c r="BB622" i="48"/>
  <c r="V622" i="48"/>
  <c r="J622" i="48"/>
  <c r="BM621" i="48"/>
  <c r="BO621" i="48" s="1"/>
  <c r="BP621" i="48" s="1"/>
  <c r="BL621" i="48"/>
  <c r="BB621" i="48"/>
  <c r="V621" i="48"/>
  <c r="J621" i="48"/>
  <c r="BM620" i="48"/>
  <c r="BO620" i="48" s="1"/>
  <c r="BP620" i="48" s="1"/>
  <c r="BL620" i="48"/>
  <c r="BB620" i="48"/>
  <c r="V620" i="48"/>
  <c r="J620" i="48"/>
  <c r="BM619" i="48"/>
  <c r="BO619" i="48" s="1"/>
  <c r="BP619" i="48" s="1"/>
  <c r="BL619" i="48"/>
  <c r="BB619" i="48"/>
  <c r="V619" i="48"/>
  <c r="J619" i="48"/>
  <c r="BM618" i="48"/>
  <c r="BO618" i="48" s="1"/>
  <c r="BP618" i="48" s="1"/>
  <c r="BL618" i="48"/>
  <c r="BB618" i="48"/>
  <c r="V618" i="48"/>
  <c r="J618" i="48"/>
  <c r="BM617" i="48"/>
  <c r="BO617" i="48" s="1"/>
  <c r="BP617" i="48" s="1"/>
  <c r="BL617" i="48"/>
  <c r="BB617" i="48"/>
  <c r="V617" i="48"/>
  <c r="J617" i="48"/>
  <c r="BM616" i="48"/>
  <c r="BO616" i="48" s="1"/>
  <c r="BP616" i="48" s="1"/>
  <c r="BL616" i="48"/>
  <c r="BB616" i="48"/>
  <c r="V616" i="48"/>
  <c r="J616" i="48"/>
  <c r="BM615" i="48"/>
  <c r="BO615" i="48" s="1"/>
  <c r="BP615" i="48" s="1"/>
  <c r="BL615" i="48"/>
  <c r="BB615" i="48"/>
  <c r="V615" i="48"/>
  <c r="J615" i="48"/>
  <c r="BM614" i="48"/>
  <c r="BO614" i="48" s="1"/>
  <c r="BP614" i="48" s="1"/>
  <c r="BL614" i="48"/>
  <c r="BB614" i="48"/>
  <c r="V614" i="48"/>
  <c r="J614" i="48"/>
  <c r="BM613" i="48"/>
  <c r="BO613" i="48" s="1"/>
  <c r="BP613" i="48" s="1"/>
  <c r="BL613" i="48"/>
  <c r="BB613" i="48"/>
  <c r="V613" i="48"/>
  <c r="J613" i="48"/>
  <c r="BM612" i="48"/>
  <c r="BO612" i="48" s="1"/>
  <c r="BP612" i="48" s="1"/>
  <c r="BL612" i="48"/>
  <c r="BB612" i="48"/>
  <c r="V612" i="48"/>
  <c r="J612" i="48"/>
  <c r="BM611" i="48"/>
  <c r="BO611" i="48" s="1"/>
  <c r="BP611" i="48" s="1"/>
  <c r="BL611" i="48"/>
  <c r="BB611" i="48"/>
  <c r="V611" i="48"/>
  <c r="J611" i="48"/>
  <c r="BM610" i="48"/>
  <c r="BO610" i="48" s="1"/>
  <c r="BP610" i="48" s="1"/>
  <c r="BL610" i="48"/>
  <c r="BB610" i="48"/>
  <c r="V610" i="48"/>
  <c r="J610" i="48"/>
  <c r="BM609" i="48"/>
  <c r="BO609" i="48" s="1"/>
  <c r="BP609" i="48" s="1"/>
  <c r="BL609" i="48"/>
  <c r="BB609" i="48"/>
  <c r="V609" i="48"/>
  <c r="J609" i="48"/>
  <c r="BM608" i="48"/>
  <c r="BO608" i="48" s="1"/>
  <c r="BP608" i="48" s="1"/>
  <c r="BL608" i="48"/>
  <c r="BB608" i="48"/>
  <c r="BM607" i="48"/>
  <c r="BO607" i="48" s="1"/>
  <c r="BP607" i="48" s="1"/>
  <c r="BL607" i="48"/>
  <c r="BB607" i="48"/>
  <c r="BM606" i="48"/>
  <c r="BO606" i="48" s="1"/>
  <c r="BP606" i="48" s="1"/>
  <c r="BL606" i="48"/>
  <c r="BB606" i="48"/>
  <c r="BM605" i="48"/>
  <c r="BO605" i="48" s="1"/>
  <c r="BP605" i="48" s="1"/>
  <c r="BL605" i="48"/>
  <c r="BB605" i="48"/>
  <c r="BM604" i="48"/>
  <c r="BO604" i="48" s="1"/>
  <c r="BP604" i="48" s="1"/>
  <c r="BL604" i="48"/>
  <c r="BB604" i="48"/>
  <c r="BM603" i="48"/>
  <c r="BO603" i="48" s="1"/>
  <c r="BP603" i="48" s="1"/>
  <c r="BL603" i="48"/>
  <c r="BB603" i="48"/>
  <c r="BM600" i="48"/>
  <c r="BO600" i="48" s="1"/>
  <c r="BP600" i="48" s="1"/>
  <c r="BL600" i="48"/>
  <c r="BB600" i="48"/>
  <c r="V600" i="48"/>
  <c r="J600" i="48"/>
  <c r="BM599" i="48"/>
  <c r="BO599" i="48" s="1"/>
  <c r="BP599" i="48" s="1"/>
  <c r="BL599" i="48"/>
  <c r="BB599" i="48"/>
  <c r="V599" i="48"/>
  <c r="J599" i="48"/>
  <c r="BM598" i="48"/>
  <c r="BO598" i="48" s="1"/>
  <c r="BP598" i="48" s="1"/>
  <c r="BL598" i="48"/>
  <c r="BB598" i="48"/>
  <c r="V598" i="48"/>
  <c r="J598" i="48"/>
  <c r="BM597" i="48"/>
  <c r="BO597" i="48" s="1"/>
  <c r="BP597" i="48" s="1"/>
  <c r="BL597" i="48"/>
  <c r="BB597" i="48"/>
  <c r="V597" i="48"/>
  <c r="J597" i="48"/>
  <c r="BM596" i="48"/>
  <c r="BO596" i="48" s="1"/>
  <c r="BP596" i="48" s="1"/>
  <c r="BL596" i="48"/>
  <c r="BB596" i="48"/>
  <c r="V596" i="48"/>
  <c r="J596" i="48"/>
  <c r="BM595" i="48"/>
  <c r="BO595" i="48" s="1"/>
  <c r="BP595" i="48" s="1"/>
  <c r="BL595" i="48"/>
  <c r="BB595" i="48"/>
  <c r="V595" i="48"/>
  <c r="J595" i="48"/>
  <c r="BM594" i="48"/>
  <c r="BO594" i="48" s="1"/>
  <c r="BP594" i="48" s="1"/>
  <c r="BL594" i="48"/>
  <c r="BB594" i="48"/>
  <c r="V594" i="48"/>
  <c r="J594" i="48"/>
  <c r="BM593" i="48"/>
  <c r="BO593" i="48" s="1"/>
  <c r="BP593" i="48" s="1"/>
  <c r="BL593" i="48"/>
  <c r="BB593" i="48"/>
  <c r="V593" i="48"/>
  <c r="J593" i="48"/>
  <c r="BM592" i="48"/>
  <c r="BO592" i="48" s="1"/>
  <c r="BP592" i="48" s="1"/>
  <c r="BL592" i="48"/>
  <c r="BB592" i="48"/>
  <c r="V592" i="48"/>
  <c r="J592" i="48"/>
  <c r="BM591" i="48"/>
  <c r="BO591" i="48" s="1"/>
  <c r="BP591" i="48" s="1"/>
  <c r="BL591" i="48"/>
  <c r="BB591" i="48"/>
  <c r="V591" i="48"/>
  <c r="J591" i="48"/>
  <c r="BM590" i="48"/>
  <c r="BO590" i="48" s="1"/>
  <c r="BP590" i="48" s="1"/>
  <c r="BL590" i="48"/>
  <c r="BB590" i="48"/>
  <c r="V590" i="48"/>
  <c r="J590" i="48"/>
  <c r="BM589" i="48"/>
  <c r="BO589" i="48" s="1"/>
  <c r="BP589" i="48" s="1"/>
  <c r="BL589" i="48"/>
  <c r="BB589" i="48"/>
  <c r="V589" i="48"/>
  <c r="J589" i="48"/>
  <c r="BM588" i="48"/>
  <c r="BO588" i="48" s="1"/>
  <c r="BP588" i="48" s="1"/>
  <c r="BL588" i="48"/>
  <c r="BB588" i="48"/>
  <c r="V588" i="48"/>
  <c r="J588" i="48"/>
  <c r="BM587" i="48"/>
  <c r="BO587" i="48" s="1"/>
  <c r="BP587" i="48" s="1"/>
  <c r="BL587" i="48"/>
  <c r="BB587" i="48"/>
  <c r="V587" i="48"/>
  <c r="J587" i="48"/>
  <c r="BM586" i="48"/>
  <c r="BO586" i="48" s="1"/>
  <c r="BP586" i="48" s="1"/>
  <c r="BL586" i="48"/>
  <c r="BB586" i="48"/>
  <c r="V586" i="48"/>
  <c r="J586" i="48"/>
  <c r="BM585" i="48"/>
  <c r="BO585" i="48" s="1"/>
  <c r="BP585" i="48" s="1"/>
  <c r="BL585" i="48"/>
  <c r="BB585" i="48"/>
  <c r="V585" i="48"/>
  <c r="J585" i="48"/>
  <c r="BM584" i="48"/>
  <c r="BO584" i="48" s="1"/>
  <c r="BP584" i="48" s="1"/>
  <c r="BL584" i="48"/>
  <c r="BB584" i="48"/>
  <c r="V584" i="48"/>
  <c r="J584" i="48"/>
  <c r="BM583" i="48"/>
  <c r="BO583" i="48" s="1"/>
  <c r="BP583" i="48" s="1"/>
  <c r="BL583" i="48"/>
  <c r="BB583" i="48"/>
  <c r="BM582" i="48"/>
  <c r="BO582" i="48" s="1"/>
  <c r="BP582" i="48" s="1"/>
  <c r="BL582" i="48"/>
  <c r="BB582" i="48"/>
  <c r="BM581" i="48"/>
  <c r="BO581" i="48" s="1"/>
  <c r="BP581" i="48" s="1"/>
  <c r="BL581" i="48"/>
  <c r="BB581" i="48"/>
  <c r="BM580" i="48"/>
  <c r="BO580" i="48" s="1"/>
  <c r="BP580" i="48" s="1"/>
  <c r="BL580" i="48"/>
  <c r="BB580" i="48"/>
  <c r="BM579" i="48"/>
  <c r="BO579" i="48" s="1"/>
  <c r="BP579" i="48" s="1"/>
  <c r="BL579" i="48"/>
  <c r="BB579" i="48"/>
  <c r="BM578" i="48"/>
  <c r="BO578" i="48" s="1"/>
  <c r="BP578" i="48" s="1"/>
  <c r="BL578" i="48"/>
  <c r="BB578" i="48"/>
  <c r="BM575" i="48"/>
  <c r="BO575" i="48" s="1"/>
  <c r="BP575" i="48" s="1"/>
  <c r="BL575" i="48"/>
  <c r="V575" i="48"/>
  <c r="J575" i="48"/>
  <c r="BM574" i="48"/>
  <c r="BO574" i="48" s="1"/>
  <c r="BP574" i="48" s="1"/>
  <c r="BL574" i="48"/>
  <c r="BB574" i="48"/>
  <c r="V574" i="48"/>
  <c r="J574" i="48"/>
  <c r="BM573" i="48"/>
  <c r="BO573" i="48" s="1"/>
  <c r="BP573" i="48" s="1"/>
  <c r="BL573" i="48"/>
  <c r="BB573" i="48"/>
  <c r="V573" i="48"/>
  <c r="J573" i="48"/>
  <c r="BM572" i="48"/>
  <c r="BO572" i="48" s="1"/>
  <c r="BP572" i="48" s="1"/>
  <c r="BL572" i="48"/>
  <c r="BB572" i="48"/>
  <c r="V572" i="48"/>
  <c r="J572" i="48"/>
  <c r="BM571" i="48"/>
  <c r="BO571" i="48" s="1"/>
  <c r="BP571" i="48" s="1"/>
  <c r="BL571" i="48"/>
  <c r="BB571" i="48"/>
  <c r="V571" i="48"/>
  <c r="J571" i="48"/>
  <c r="BM570" i="48"/>
  <c r="BO570" i="48" s="1"/>
  <c r="BP570" i="48" s="1"/>
  <c r="BL570" i="48"/>
  <c r="BB570" i="48"/>
  <c r="V570" i="48"/>
  <c r="J570" i="48"/>
  <c r="BM569" i="48"/>
  <c r="BO569" i="48" s="1"/>
  <c r="BP569" i="48" s="1"/>
  <c r="BL569" i="48"/>
  <c r="BB569" i="48"/>
  <c r="V569" i="48"/>
  <c r="J569" i="48"/>
  <c r="BM568" i="48"/>
  <c r="BO568" i="48" s="1"/>
  <c r="BP568" i="48" s="1"/>
  <c r="BL568" i="48"/>
  <c r="BB568" i="48"/>
  <c r="V568" i="48"/>
  <c r="J568" i="48"/>
  <c r="BM567" i="48"/>
  <c r="BO567" i="48" s="1"/>
  <c r="BP567" i="48" s="1"/>
  <c r="BL567" i="48"/>
  <c r="BB567" i="48"/>
  <c r="V567" i="48"/>
  <c r="J567" i="48"/>
  <c r="BM566" i="48"/>
  <c r="BO566" i="48" s="1"/>
  <c r="BP566" i="48" s="1"/>
  <c r="BL566" i="48"/>
  <c r="BB566" i="48"/>
  <c r="V566" i="48"/>
  <c r="J566" i="48"/>
  <c r="BM565" i="48"/>
  <c r="BO565" i="48" s="1"/>
  <c r="BP565" i="48" s="1"/>
  <c r="BL565" i="48"/>
  <c r="BB565" i="48"/>
  <c r="V565" i="48"/>
  <c r="J565" i="48"/>
  <c r="BM564" i="48"/>
  <c r="BO564" i="48" s="1"/>
  <c r="BP564" i="48" s="1"/>
  <c r="BL564" i="48"/>
  <c r="BB564" i="48"/>
  <c r="V564" i="48"/>
  <c r="J564" i="48"/>
  <c r="BM563" i="48"/>
  <c r="BO563" i="48" s="1"/>
  <c r="BP563" i="48" s="1"/>
  <c r="BL563" i="48"/>
  <c r="BB563" i="48"/>
  <c r="V563" i="48"/>
  <c r="J563" i="48"/>
  <c r="BM562" i="48"/>
  <c r="BO562" i="48" s="1"/>
  <c r="BP562" i="48" s="1"/>
  <c r="BL562" i="48"/>
  <c r="BB562" i="48"/>
  <c r="V562" i="48"/>
  <c r="J562" i="48"/>
  <c r="BM561" i="48"/>
  <c r="BO561" i="48" s="1"/>
  <c r="BP561" i="48" s="1"/>
  <c r="BL561" i="48"/>
  <c r="BB561" i="48"/>
  <c r="V561" i="48"/>
  <c r="J561" i="48"/>
  <c r="BM560" i="48"/>
  <c r="BO560" i="48" s="1"/>
  <c r="BP560" i="48" s="1"/>
  <c r="BL560" i="48"/>
  <c r="BB560" i="48"/>
  <c r="V560" i="48"/>
  <c r="J560" i="48"/>
  <c r="BM559" i="48"/>
  <c r="BO559" i="48" s="1"/>
  <c r="BP559" i="48" s="1"/>
  <c r="BL559" i="48"/>
  <c r="BB559" i="48"/>
  <c r="V559" i="48"/>
  <c r="J559" i="48"/>
  <c r="BM558" i="48"/>
  <c r="BO558" i="48" s="1"/>
  <c r="BP558" i="48" s="1"/>
  <c r="BL558" i="48"/>
  <c r="BB558" i="48"/>
  <c r="BM557" i="48"/>
  <c r="BO557" i="48" s="1"/>
  <c r="BP557" i="48" s="1"/>
  <c r="BL557" i="48"/>
  <c r="BB557" i="48"/>
  <c r="BM556" i="48"/>
  <c r="BO556" i="48" s="1"/>
  <c r="BP556" i="48" s="1"/>
  <c r="BL556" i="48"/>
  <c r="BB556" i="48"/>
  <c r="BM555" i="48"/>
  <c r="BO555" i="48" s="1"/>
  <c r="BP555" i="48" s="1"/>
  <c r="BL555" i="48"/>
  <c r="BB555" i="48"/>
  <c r="BM554" i="48"/>
  <c r="BO554" i="48" s="1"/>
  <c r="BP554" i="48" s="1"/>
  <c r="BL554" i="48"/>
  <c r="BB554" i="48"/>
  <c r="BM553" i="48"/>
  <c r="BO553" i="48" s="1"/>
  <c r="BP553" i="48" s="1"/>
  <c r="BL553" i="48"/>
  <c r="BB553" i="48"/>
  <c r="BM550" i="48"/>
  <c r="BO550" i="48" s="1"/>
  <c r="BP550" i="48" s="1"/>
  <c r="BL550" i="48"/>
  <c r="BB550" i="48"/>
  <c r="V550" i="48"/>
  <c r="J550" i="48"/>
  <c r="BM549" i="48"/>
  <c r="BO549" i="48" s="1"/>
  <c r="BP549" i="48" s="1"/>
  <c r="BL549" i="48"/>
  <c r="BB549" i="48"/>
  <c r="V549" i="48"/>
  <c r="J549" i="48"/>
  <c r="BM548" i="48"/>
  <c r="BO548" i="48" s="1"/>
  <c r="BP548" i="48" s="1"/>
  <c r="BL548" i="48"/>
  <c r="BB548" i="48"/>
  <c r="V548" i="48"/>
  <c r="J548" i="48"/>
  <c r="BM547" i="48"/>
  <c r="BO547" i="48" s="1"/>
  <c r="BP547" i="48" s="1"/>
  <c r="BL547" i="48"/>
  <c r="BB547" i="48"/>
  <c r="V547" i="48"/>
  <c r="J547" i="48"/>
  <c r="BM546" i="48"/>
  <c r="BO546" i="48" s="1"/>
  <c r="BP546" i="48" s="1"/>
  <c r="BL546" i="48"/>
  <c r="BB546" i="48"/>
  <c r="V546" i="48"/>
  <c r="J546" i="48"/>
  <c r="BM545" i="48"/>
  <c r="BO545" i="48" s="1"/>
  <c r="BP545" i="48" s="1"/>
  <c r="BL545" i="48"/>
  <c r="BB545" i="48"/>
  <c r="V545" i="48"/>
  <c r="J545" i="48"/>
  <c r="BM544" i="48"/>
  <c r="BO544" i="48" s="1"/>
  <c r="BP544" i="48" s="1"/>
  <c r="BL544" i="48"/>
  <c r="BB544" i="48"/>
  <c r="V544" i="48"/>
  <c r="J544" i="48"/>
  <c r="BM543" i="48"/>
  <c r="BO543" i="48" s="1"/>
  <c r="BP543" i="48" s="1"/>
  <c r="BL543" i="48"/>
  <c r="BB543" i="48"/>
  <c r="V543" i="48"/>
  <c r="J543" i="48"/>
  <c r="BM542" i="48"/>
  <c r="BO542" i="48" s="1"/>
  <c r="BP542" i="48" s="1"/>
  <c r="BL542" i="48"/>
  <c r="BB542" i="48"/>
  <c r="V542" i="48"/>
  <c r="J542" i="48"/>
  <c r="BM541" i="48"/>
  <c r="BO541" i="48" s="1"/>
  <c r="BP541" i="48" s="1"/>
  <c r="BL541" i="48"/>
  <c r="BB541" i="48"/>
  <c r="V541" i="48"/>
  <c r="J541" i="48"/>
  <c r="BM540" i="48"/>
  <c r="BO540" i="48" s="1"/>
  <c r="BP540" i="48" s="1"/>
  <c r="BL540" i="48"/>
  <c r="BB540" i="48"/>
  <c r="V540" i="48"/>
  <c r="J540" i="48"/>
  <c r="BM539" i="48"/>
  <c r="BO539" i="48" s="1"/>
  <c r="BP539" i="48" s="1"/>
  <c r="BL539" i="48"/>
  <c r="BB539" i="48"/>
  <c r="V539" i="48"/>
  <c r="J539" i="48"/>
  <c r="BM538" i="48"/>
  <c r="BO538" i="48" s="1"/>
  <c r="BP538" i="48" s="1"/>
  <c r="BL538" i="48"/>
  <c r="BB538" i="48"/>
  <c r="V538" i="48"/>
  <c r="J538" i="48"/>
  <c r="BM537" i="48"/>
  <c r="BO537" i="48" s="1"/>
  <c r="BP537" i="48" s="1"/>
  <c r="BL537" i="48"/>
  <c r="BB537" i="48"/>
  <c r="V537" i="48"/>
  <c r="J537" i="48"/>
  <c r="BM536" i="48"/>
  <c r="BO536" i="48" s="1"/>
  <c r="BP536" i="48" s="1"/>
  <c r="BL536" i="48"/>
  <c r="BB536" i="48"/>
  <c r="V536" i="48"/>
  <c r="J536" i="48"/>
  <c r="BM535" i="48"/>
  <c r="BO535" i="48" s="1"/>
  <c r="BP535" i="48" s="1"/>
  <c r="BL535" i="48"/>
  <c r="BB535" i="48"/>
  <c r="V535" i="48"/>
  <c r="J535" i="48"/>
  <c r="BM534" i="48"/>
  <c r="BO534" i="48" s="1"/>
  <c r="BP534" i="48" s="1"/>
  <c r="BL534" i="48"/>
  <c r="BB534" i="48"/>
  <c r="V534" i="48"/>
  <c r="J534" i="48"/>
  <c r="BM533" i="48"/>
  <c r="BO533" i="48" s="1"/>
  <c r="BP533" i="48" s="1"/>
  <c r="BL533" i="48"/>
  <c r="BB533" i="48"/>
  <c r="BM532" i="48"/>
  <c r="BO532" i="48" s="1"/>
  <c r="BP532" i="48" s="1"/>
  <c r="BL532" i="48"/>
  <c r="BB532" i="48"/>
  <c r="BM531" i="48"/>
  <c r="BO531" i="48" s="1"/>
  <c r="BP531" i="48" s="1"/>
  <c r="BL531" i="48"/>
  <c r="BB531" i="48"/>
  <c r="BM530" i="48"/>
  <c r="BO530" i="48" s="1"/>
  <c r="BP530" i="48" s="1"/>
  <c r="BL530" i="48"/>
  <c r="BB530" i="48"/>
  <c r="BM529" i="48"/>
  <c r="BO529" i="48" s="1"/>
  <c r="BP529" i="48" s="1"/>
  <c r="BL529" i="48"/>
  <c r="BB529" i="48"/>
  <c r="BM528" i="48"/>
  <c r="BO528" i="48" s="1"/>
  <c r="BP528" i="48" s="1"/>
  <c r="BL528" i="48"/>
  <c r="BB528" i="48"/>
  <c r="BM525" i="48"/>
  <c r="BO525" i="48" s="1"/>
  <c r="BP525" i="48" s="1"/>
  <c r="BL525" i="48"/>
  <c r="V525" i="48"/>
  <c r="J525" i="48"/>
  <c r="BM524" i="48"/>
  <c r="BO524" i="48" s="1"/>
  <c r="BP524" i="48" s="1"/>
  <c r="BL524" i="48"/>
  <c r="BB524" i="48"/>
  <c r="V524" i="48"/>
  <c r="J524" i="48"/>
  <c r="BM523" i="48"/>
  <c r="BO523" i="48" s="1"/>
  <c r="BP523" i="48" s="1"/>
  <c r="BL523" i="48"/>
  <c r="BB523" i="48"/>
  <c r="V523" i="48"/>
  <c r="J523" i="48"/>
  <c r="BM522" i="48"/>
  <c r="BO522" i="48" s="1"/>
  <c r="BP522" i="48" s="1"/>
  <c r="BL522" i="48"/>
  <c r="BB522" i="48"/>
  <c r="V522" i="48"/>
  <c r="J522" i="48"/>
  <c r="BM521" i="48"/>
  <c r="BO521" i="48" s="1"/>
  <c r="BP521" i="48" s="1"/>
  <c r="BL521" i="48"/>
  <c r="BB521" i="48"/>
  <c r="V521" i="48"/>
  <c r="J521" i="48"/>
  <c r="BM520" i="48"/>
  <c r="BO520" i="48" s="1"/>
  <c r="BP520" i="48" s="1"/>
  <c r="BL520" i="48"/>
  <c r="BB520" i="48"/>
  <c r="V520" i="48"/>
  <c r="J520" i="48"/>
  <c r="BM519" i="48"/>
  <c r="BO519" i="48" s="1"/>
  <c r="BP519" i="48" s="1"/>
  <c r="BL519" i="48"/>
  <c r="BB519" i="48"/>
  <c r="V519" i="48"/>
  <c r="J519" i="48"/>
  <c r="BM518" i="48"/>
  <c r="BO518" i="48" s="1"/>
  <c r="BP518" i="48" s="1"/>
  <c r="BL518" i="48"/>
  <c r="BB518" i="48"/>
  <c r="V518" i="48"/>
  <c r="J518" i="48"/>
  <c r="BM517" i="48"/>
  <c r="BO517" i="48" s="1"/>
  <c r="BP517" i="48" s="1"/>
  <c r="BL517" i="48"/>
  <c r="BB517" i="48"/>
  <c r="V517" i="48"/>
  <c r="J517" i="48"/>
  <c r="BM516" i="48"/>
  <c r="BO516" i="48" s="1"/>
  <c r="BP516" i="48" s="1"/>
  <c r="BL516" i="48"/>
  <c r="BB516" i="48"/>
  <c r="V516" i="48"/>
  <c r="J516" i="48"/>
  <c r="BM515" i="48"/>
  <c r="BO515" i="48" s="1"/>
  <c r="BP515" i="48" s="1"/>
  <c r="BL515" i="48"/>
  <c r="BB515" i="48"/>
  <c r="V515" i="48"/>
  <c r="J515" i="48"/>
  <c r="BM514" i="48"/>
  <c r="BO514" i="48" s="1"/>
  <c r="BP514" i="48" s="1"/>
  <c r="BL514" i="48"/>
  <c r="BB514" i="48"/>
  <c r="V514" i="48"/>
  <c r="J514" i="48"/>
  <c r="BM513" i="48"/>
  <c r="BO513" i="48" s="1"/>
  <c r="BP513" i="48" s="1"/>
  <c r="BL513" i="48"/>
  <c r="BB513" i="48"/>
  <c r="V513" i="48"/>
  <c r="J513" i="48"/>
  <c r="BM512" i="48"/>
  <c r="BO512" i="48" s="1"/>
  <c r="BP512" i="48" s="1"/>
  <c r="BL512" i="48"/>
  <c r="BB512" i="48"/>
  <c r="V512" i="48"/>
  <c r="J512" i="48"/>
  <c r="BM511" i="48"/>
  <c r="BO511" i="48" s="1"/>
  <c r="BP511" i="48" s="1"/>
  <c r="BL511" i="48"/>
  <c r="BB511" i="48"/>
  <c r="V511" i="48"/>
  <c r="J511" i="48"/>
  <c r="BM510" i="48"/>
  <c r="BO510" i="48" s="1"/>
  <c r="BP510" i="48" s="1"/>
  <c r="BL510" i="48"/>
  <c r="BB510" i="48"/>
  <c r="V510" i="48"/>
  <c r="J510" i="48"/>
  <c r="BM509" i="48"/>
  <c r="BO509" i="48" s="1"/>
  <c r="BP509" i="48" s="1"/>
  <c r="BL509" i="48"/>
  <c r="BB509" i="48"/>
  <c r="V509" i="48"/>
  <c r="J509" i="48"/>
  <c r="BM508" i="48"/>
  <c r="BO508" i="48" s="1"/>
  <c r="BP508" i="48" s="1"/>
  <c r="BL508" i="48"/>
  <c r="BB508" i="48"/>
  <c r="BM507" i="48"/>
  <c r="BO507" i="48" s="1"/>
  <c r="BP507" i="48" s="1"/>
  <c r="BL507" i="48"/>
  <c r="BB507" i="48"/>
  <c r="BM506" i="48"/>
  <c r="BO506" i="48" s="1"/>
  <c r="BP506" i="48" s="1"/>
  <c r="BL506" i="48"/>
  <c r="BB506" i="48"/>
  <c r="BM505" i="48"/>
  <c r="BO505" i="48" s="1"/>
  <c r="BP505" i="48" s="1"/>
  <c r="BL505" i="48"/>
  <c r="BB505" i="48"/>
  <c r="BM504" i="48"/>
  <c r="BO504" i="48" s="1"/>
  <c r="BP504" i="48" s="1"/>
  <c r="BL504" i="48"/>
  <c r="BB504" i="48"/>
  <c r="BM503" i="48"/>
  <c r="BO503" i="48" s="1"/>
  <c r="BP503" i="48" s="1"/>
  <c r="BL503" i="48"/>
  <c r="BB503" i="48"/>
  <c r="BM500" i="48"/>
  <c r="BO500" i="48" s="1"/>
  <c r="BP500" i="48" s="1"/>
  <c r="BL500" i="48"/>
  <c r="BB500" i="48"/>
  <c r="V500" i="48"/>
  <c r="J500" i="48"/>
  <c r="BM499" i="48"/>
  <c r="BO499" i="48" s="1"/>
  <c r="BP499" i="48" s="1"/>
  <c r="BL499" i="48"/>
  <c r="BB499" i="48"/>
  <c r="V499" i="48"/>
  <c r="J499" i="48"/>
  <c r="BM498" i="48"/>
  <c r="BO498" i="48" s="1"/>
  <c r="BP498" i="48" s="1"/>
  <c r="BL498" i="48"/>
  <c r="BB498" i="48"/>
  <c r="V498" i="48"/>
  <c r="J498" i="48"/>
  <c r="BM497" i="48"/>
  <c r="BO497" i="48" s="1"/>
  <c r="BP497" i="48" s="1"/>
  <c r="BL497" i="48"/>
  <c r="BB497" i="48"/>
  <c r="V497" i="48"/>
  <c r="J497" i="48"/>
  <c r="BM496" i="48"/>
  <c r="BO496" i="48" s="1"/>
  <c r="BP496" i="48" s="1"/>
  <c r="BL496" i="48"/>
  <c r="BB496" i="48"/>
  <c r="V496" i="48"/>
  <c r="J496" i="48"/>
  <c r="BM495" i="48"/>
  <c r="BO495" i="48" s="1"/>
  <c r="BP495" i="48" s="1"/>
  <c r="BL495" i="48"/>
  <c r="BB495" i="48"/>
  <c r="V495" i="48"/>
  <c r="J495" i="48"/>
  <c r="BM494" i="48"/>
  <c r="BO494" i="48" s="1"/>
  <c r="BP494" i="48" s="1"/>
  <c r="BL494" i="48"/>
  <c r="BB494" i="48"/>
  <c r="V494" i="48"/>
  <c r="J494" i="48"/>
  <c r="BM493" i="48"/>
  <c r="BO493" i="48" s="1"/>
  <c r="BP493" i="48" s="1"/>
  <c r="BL493" i="48"/>
  <c r="BB493" i="48"/>
  <c r="V493" i="48"/>
  <c r="J493" i="48"/>
  <c r="BM492" i="48"/>
  <c r="BO492" i="48" s="1"/>
  <c r="BP492" i="48" s="1"/>
  <c r="BL492" i="48"/>
  <c r="BB492" i="48"/>
  <c r="V492" i="48"/>
  <c r="J492" i="48"/>
  <c r="BM491" i="48"/>
  <c r="BO491" i="48" s="1"/>
  <c r="BP491" i="48" s="1"/>
  <c r="BL491" i="48"/>
  <c r="BB491" i="48"/>
  <c r="V491" i="48"/>
  <c r="J491" i="48"/>
  <c r="BM490" i="48"/>
  <c r="BO490" i="48" s="1"/>
  <c r="BP490" i="48" s="1"/>
  <c r="BL490" i="48"/>
  <c r="BB490" i="48"/>
  <c r="V490" i="48"/>
  <c r="J490" i="48"/>
  <c r="BM489" i="48"/>
  <c r="BO489" i="48" s="1"/>
  <c r="BP489" i="48" s="1"/>
  <c r="BL489" i="48"/>
  <c r="BB489" i="48"/>
  <c r="V489" i="48"/>
  <c r="J489" i="48"/>
  <c r="BM488" i="48"/>
  <c r="BO488" i="48" s="1"/>
  <c r="BP488" i="48" s="1"/>
  <c r="BL488" i="48"/>
  <c r="BB488" i="48"/>
  <c r="V488" i="48"/>
  <c r="J488" i="48"/>
  <c r="BM487" i="48"/>
  <c r="BO487" i="48" s="1"/>
  <c r="BP487" i="48" s="1"/>
  <c r="BL487" i="48"/>
  <c r="BB487" i="48"/>
  <c r="V487" i="48"/>
  <c r="J487" i="48"/>
  <c r="BM486" i="48"/>
  <c r="BO486" i="48" s="1"/>
  <c r="BP486" i="48" s="1"/>
  <c r="BL486" i="48"/>
  <c r="BB486" i="48"/>
  <c r="V486" i="48"/>
  <c r="J486" i="48"/>
  <c r="BM485" i="48"/>
  <c r="BO485" i="48" s="1"/>
  <c r="BP485" i="48" s="1"/>
  <c r="BL485" i="48"/>
  <c r="BB485" i="48"/>
  <c r="V485" i="48"/>
  <c r="J485" i="48"/>
  <c r="BM484" i="48"/>
  <c r="BO484" i="48" s="1"/>
  <c r="BP484" i="48" s="1"/>
  <c r="BL484" i="48"/>
  <c r="BB484" i="48"/>
  <c r="V484" i="48"/>
  <c r="J484" i="48"/>
  <c r="BM483" i="48"/>
  <c r="BO483" i="48" s="1"/>
  <c r="BP483" i="48" s="1"/>
  <c r="BL483" i="48"/>
  <c r="BB483" i="48"/>
  <c r="BM482" i="48"/>
  <c r="BO482" i="48" s="1"/>
  <c r="BP482" i="48" s="1"/>
  <c r="BL482" i="48"/>
  <c r="BB482" i="48"/>
  <c r="BM481" i="48"/>
  <c r="BO481" i="48" s="1"/>
  <c r="BP481" i="48" s="1"/>
  <c r="BL481" i="48"/>
  <c r="BB481" i="48"/>
  <c r="BM480" i="48"/>
  <c r="BO480" i="48" s="1"/>
  <c r="BP480" i="48" s="1"/>
  <c r="BL480" i="48"/>
  <c r="BB480" i="48"/>
  <c r="BM479" i="48"/>
  <c r="BO479" i="48" s="1"/>
  <c r="BP479" i="48" s="1"/>
  <c r="BL479" i="48"/>
  <c r="BB479" i="48"/>
  <c r="BM478" i="48"/>
  <c r="BO478" i="48" s="1"/>
  <c r="BP478" i="48" s="1"/>
  <c r="BL478" i="48"/>
  <c r="BB478" i="48"/>
  <c r="BM475" i="48"/>
  <c r="BO475" i="48" s="1"/>
  <c r="BP475" i="48" s="1"/>
  <c r="BL475" i="48"/>
  <c r="BB475" i="48"/>
  <c r="V475" i="48"/>
  <c r="J475" i="48"/>
  <c r="BM474" i="48"/>
  <c r="BO474" i="48" s="1"/>
  <c r="BP474" i="48" s="1"/>
  <c r="BL474" i="48"/>
  <c r="BB474" i="48"/>
  <c r="V474" i="48"/>
  <c r="J474" i="48"/>
  <c r="BM473" i="48"/>
  <c r="BO473" i="48" s="1"/>
  <c r="BP473" i="48" s="1"/>
  <c r="BL473" i="48"/>
  <c r="BB473" i="48"/>
  <c r="V473" i="48"/>
  <c r="J473" i="48"/>
  <c r="BM472" i="48"/>
  <c r="BO472" i="48" s="1"/>
  <c r="BP472" i="48" s="1"/>
  <c r="BL472" i="48"/>
  <c r="BB472" i="48"/>
  <c r="V472" i="48"/>
  <c r="J472" i="48"/>
  <c r="BM471" i="48"/>
  <c r="BO471" i="48" s="1"/>
  <c r="BP471" i="48" s="1"/>
  <c r="BL471" i="48"/>
  <c r="BB471" i="48"/>
  <c r="V471" i="48"/>
  <c r="J471" i="48"/>
  <c r="BM470" i="48"/>
  <c r="BO470" i="48" s="1"/>
  <c r="BP470" i="48" s="1"/>
  <c r="BL470" i="48"/>
  <c r="BB470" i="48"/>
  <c r="V470" i="48"/>
  <c r="J470" i="48"/>
  <c r="BM469" i="48"/>
  <c r="BO469" i="48" s="1"/>
  <c r="BP469" i="48" s="1"/>
  <c r="BL469" i="48"/>
  <c r="BB469" i="48"/>
  <c r="V469" i="48"/>
  <c r="J469" i="48"/>
  <c r="BM468" i="48"/>
  <c r="BO468" i="48" s="1"/>
  <c r="BP468" i="48" s="1"/>
  <c r="BL468" i="48"/>
  <c r="BB468" i="48"/>
  <c r="V468" i="48"/>
  <c r="J468" i="48"/>
  <c r="BM467" i="48"/>
  <c r="BO467" i="48" s="1"/>
  <c r="BP467" i="48" s="1"/>
  <c r="BL467" i="48"/>
  <c r="BB467" i="48"/>
  <c r="V467" i="48"/>
  <c r="J467" i="48"/>
  <c r="BM466" i="48"/>
  <c r="BO466" i="48" s="1"/>
  <c r="BP466" i="48" s="1"/>
  <c r="BL466" i="48"/>
  <c r="BB466" i="48"/>
  <c r="V466" i="48"/>
  <c r="J466" i="48"/>
  <c r="BM465" i="48"/>
  <c r="BO465" i="48" s="1"/>
  <c r="BP465" i="48" s="1"/>
  <c r="BL465" i="48"/>
  <c r="BB465" i="48"/>
  <c r="V465" i="48"/>
  <c r="J465" i="48"/>
  <c r="BM464" i="48"/>
  <c r="BO464" i="48" s="1"/>
  <c r="BP464" i="48" s="1"/>
  <c r="BL464" i="48"/>
  <c r="BB464" i="48"/>
  <c r="V464" i="48"/>
  <c r="J464" i="48"/>
  <c r="BM463" i="48"/>
  <c r="BO463" i="48" s="1"/>
  <c r="BP463" i="48" s="1"/>
  <c r="BL463" i="48"/>
  <c r="BB463" i="48"/>
  <c r="V463" i="48"/>
  <c r="J463" i="48"/>
  <c r="BM462" i="48"/>
  <c r="BO462" i="48" s="1"/>
  <c r="BP462" i="48" s="1"/>
  <c r="BL462" i="48"/>
  <c r="BB462" i="48"/>
  <c r="V462" i="48"/>
  <c r="J462" i="48"/>
  <c r="BM461" i="48"/>
  <c r="BO461" i="48" s="1"/>
  <c r="BP461" i="48" s="1"/>
  <c r="BL461" i="48"/>
  <c r="BB461" i="48"/>
  <c r="V461" i="48"/>
  <c r="J461" i="48"/>
  <c r="BM460" i="48"/>
  <c r="BO460" i="48" s="1"/>
  <c r="BP460" i="48" s="1"/>
  <c r="BL460" i="48"/>
  <c r="BB460" i="48"/>
  <c r="V460" i="48"/>
  <c r="J460" i="48"/>
  <c r="BM459" i="48"/>
  <c r="BO459" i="48" s="1"/>
  <c r="BP459" i="48" s="1"/>
  <c r="BL459" i="48"/>
  <c r="BB459" i="48"/>
  <c r="V459" i="48"/>
  <c r="J459" i="48"/>
  <c r="BM458" i="48"/>
  <c r="BO458" i="48" s="1"/>
  <c r="BP458" i="48" s="1"/>
  <c r="BL458" i="48"/>
  <c r="BB458" i="48"/>
  <c r="BM457" i="48"/>
  <c r="BO457" i="48" s="1"/>
  <c r="BP457" i="48" s="1"/>
  <c r="BL457" i="48"/>
  <c r="BB457" i="48"/>
  <c r="BM456" i="48"/>
  <c r="BO456" i="48" s="1"/>
  <c r="BP456" i="48" s="1"/>
  <c r="BL456" i="48"/>
  <c r="BB456" i="48"/>
  <c r="BM455" i="48"/>
  <c r="BO455" i="48" s="1"/>
  <c r="BP455" i="48" s="1"/>
  <c r="BL455" i="48"/>
  <c r="BB455" i="48"/>
  <c r="BM454" i="48"/>
  <c r="BO454" i="48" s="1"/>
  <c r="BP454" i="48" s="1"/>
  <c r="BL454" i="48"/>
  <c r="BB454" i="48"/>
  <c r="BM453" i="48"/>
  <c r="BO453" i="48" s="1"/>
  <c r="BP453" i="48" s="1"/>
  <c r="BL453" i="48"/>
  <c r="BB453" i="48"/>
  <c r="BM450" i="48"/>
  <c r="BO450" i="48" s="1"/>
  <c r="BP450" i="48" s="1"/>
  <c r="BL450" i="48"/>
  <c r="V450" i="48"/>
  <c r="J450" i="48"/>
  <c r="BM449" i="48"/>
  <c r="BO449" i="48" s="1"/>
  <c r="BP449" i="48" s="1"/>
  <c r="BL449" i="48"/>
  <c r="BB449" i="48"/>
  <c r="V449" i="48"/>
  <c r="J449" i="48"/>
  <c r="BM448" i="48"/>
  <c r="BO448" i="48" s="1"/>
  <c r="BP448" i="48" s="1"/>
  <c r="BL448" i="48"/>
  <c r="BB448" i="48"/>
  <c r="V448" i="48"/>
  <c r="J448" i="48"/>
  <c r="BM447" i="48"/>
  <c r="BO447" i="48" s="1"/>
  <c r="BP447" i="48" s="1"/>
  <c r="BL447" i="48"/>
  <c r="BB447" i="48"/>
  <c r="V447" i="48"/>
  <c r="J447" i="48"/>
  <c r="BM446" i="48"/>
  <c r="BO446" i="48" s="1"/>
  <c r="BP446" i="48" s="1"/>
  <c r="BL446" i="48"/>
  <c r="BB446" i="48"/>
  <c r="V446" i="48"/>
  <c r="J446" i="48"/>
  <c r="BM445" i="48"/>
  <c r="BO445" i="48" s="1"/>
  <c r="BP445" i="48" s="1"/>
  <c r="BL445" i="48"/>
  <c r="BB445" i="48"/>
  <c r="V445" i="48"/>
  <c r="J445" i="48"/>
  <c r="BM444" i="48"/>
  <c r="BO444" i="48" s="1"/>
  <c r="BP444" i="48" s="1"/>
  <c r="BL444" i="48"/>
  <c r="BB444" i="48"/>
  <c r="V444" i="48"/>
  <c r="J444" i="48"/>
  <c r="BM443" i="48"/>
  <c r="BO443" i="48" s="1"/>
  <c r="BP443" i="48" s="1"/>
  <c r="BL443" i="48"/>
  <c r="BB443" i="48"/>
  <c r="V443" i="48"/>
  <c r="J443" i="48"/>
  <c r="BM442" i="48"/>
  <c r="BO442" i="48" s="1"/>
  <c r="BP442" i="48" s="1"/>
  <c r="BL442" i="48"/>
  <c r="BB442" i="48"/>
  <c r="V442" i="48"/>
  <c r="J442" i="48"/>
  <c r="BM441" i="48"/>
  <c r="BO441" i="48" s="1"/>
  <c r="BP441" i="48" s="1"/>
  <c r="BL441" i="48"/>
  <c r="BB441" i="48"/>
  <c r="V441" i="48"/>
  <c r="J441" i="48"/>
  <c r="BM440" i="48"/>
  <c r="BO440" i="48" s="1"/>
  <c r="BP440" i="48" s="1"/>
  <c r="BL440" i="48"/>
  <c r="BB440" i="48"/>
  <c r="V440" i="48"/>
  <c r="J440" i="48"/>
  <c r="BM439" i="48"/>
  <c r="BO439" i="48" s="1"/>
  <c r="BP439" i="48" s="1"/>
  <c r="BL439" i="48"/>
  <c r="BB439" i="48"/>
  <c r="V439" i="48"/>
  <c r="J439" i="48"/>
  <c r="BM438" i="48"/>
  <c r="BO438" i="48" s="1"/>
  <c r="BP438" i="48" s="1"/>
  <c r="BL438" i="48"/>
  <c r="BB438" i="48"/>
  <c r="V438" i="48"/>
  <c r="J438" i="48"/>
  <c r="BM437" i="48"/>
  <c r="BO437" i="48" s="1"/>
  <c r="BP437" i="48" s="1"/>
  <c r="BL437" i="48"/>
  <c r="BB437" i="48"/>
  <c r="V437" i="48"/>
  <c r="J437" i="48"/>
  <c r="BM436" i="48"/>
  <c r="BO436" i="48" s="1"/>
  <c r="BP436" i="48" s="1"/>
  <c r="BL436" i="48"/>
  <c r="BB436" i="48"/>
  <c r="V436" i="48"/>
  <c r="J436" i="48"/>
  <c r="BM435" i="48"/>
  <c r="BO435" i="48" s="1"/>
  <c r="BP435" i="48" s="1"/>
  <c r="BL435" i="48"/>
  <c r="BB435" i="48"/>
  <c r="V435" i="48"/>
  <c r="J435" i="48"/>
  <c r="BM434" i="48"/>
  <c r="BO434" i="48" s="1"/>
  <c r="BP434" i="48" s="1"/>
  <c r="BL434" i="48"/>
  <c r="BB434" i="48"/>
  <c r="V434" i="48"/>
  <c r="J434" i="48"/>
  <c r="BM433" i="48"/>
  <c r="BO433" i="48" s="1"/>
  <c r="BP433" i="48" s="1"/>
  <c r="BL433" i="48"/>
  <c r="BB433" i="48"/>
  <c r="BM432" i="48"/>
  <c r="BO432" i="48" s="1"/>
  <c r="BP432" i="48" s="1"/>
  <c r="BL432" i="48"/>
  <c r="BB432" i="48"/>
  <c r="BM431" i="48"/>
  <c r="BO431" i="48" s="1"/>
  <c r="BP431" i="48" s="1"/>
  <c r="BL431" i="48"/>
  <c r="BB431" i="48"/>
  <c r="BM430" i="48"/>
  <c r="BO430" i="48" s="1"/>
  <c r="BP430" i="48" s="1"/>
  <c r="BL430" i="48"/>
  <c r="BB430" i="48"/>
  <c r="BM429" i="48"/>
  <c r="BO429" i="48" s="1"/>
  <c r="BP429" i="48" s="1"/>
  <c r="BL429" i="48"/>
  <c r="BB429" i="48"/>
  <c r="BM428" i="48"/>
  <c r="BO428" i="48" s="1"/>
  <c r="BP428" i="48" s="1"/>
  <c r="BL428" i="48"/>
  <c r="BB428" i="48"/>
  <c r="BM425" i="48"/>
  <c r="BO425" i="48" s="1"/>
  <c r="BP425" i="48" s="1"/>
  <c r="BL425" i="48"/>
  <c r="BB425" i="48"/>
  <c r="V425" i="48"/>
  <c r="J425" i="48"/>
  <c r="BM424" i="48"/>
  <c r="BO424" i="48" s="1"/>
  <c r="BP424" i="48" s="1"/>
  <c r="BL424" i="48"/>
  <c r="BB424" i="48"/>
  <c r="V424" i="48"/>
  <c r="J424" i="48"/>
  <c r="BM423" i="48"/>
  <c r="BO423" i="48" s="1"/>
  <c r="BP423" i="48" s="1"/>
  <c r="BL423" i="48"/>
  <c r="BB423" i="48"/>
  <c r="V423" i="48"/>
  <c r="J423" i="48"/>
  <c r="BM422" i="48"/>
  <c r="BO422" i="48" s="1"/>
  <c r="BP422" i="48" s="1"/>
  <c r="BL422" i="48"/>
  <c r="BB422" i="48"/>
  <c r="V422" i="48"/>
  <c r="J422" i="48"/>
  <c r="BM421" i="48"/>
  <c r="BO421" i="48" s="1"/>
  <c r="BP421" i="48" s="1"/>
  <c r="BL421" i="48"/>
  <c r="BB421" i="48"/>
  <c r="V421" i="48"/>
  <c r="J421" i="48"/>
  <c r="BM420" i="48"/>
  <c r="BO420" i="48" s="1"/>
  <c r="BP420" i="48" s="1"/>
  <c r="BL420" i="48"/>
  <c r="BB420" i="48"/>
  <c r="V420" i="48"/>
  <c r="J420" i="48"/>
  <c r="BM419" i="48"/>
  <c r="BO419" i="48" s="1"/>
  <c r="BP419" i="48" s="1"/>
  <c r="BL419" i="48"/>
  <c r="BB419" i="48"/>
  <c r="V419" i="48"/>
  <c r="J419" i="48"/>
  <c r="BM418" i="48"/>
  <c r="BO418" i="48" s="1"/>
  <c r="BP418" i="48" s="1"/>
  <c r="BL418" i="48"/>
  <c r="BB418" i="48"/>
  <c r="V418" i="48"/>
  <c r="J418" i="48"/>
  <c r="BM417" i="48"/>
  <c r="BO417" i="48" s="1"/>
  <c r="BP417" i="48" s="1"/>
  <c r="BL417" i="48"/>
  <c r="BB417" i="48"/>
  <c r="V417" i="48"/>
  <c r="J417" i="48"/>
  <c r="BM416" i="48"/>
  <c r="BO416" i="48" s="1"/>
  <c r="BP416" i="48" s="1"/>
  <c r="BL416" i="48"/>
  <c r="BB416" i="48"/>
  <c r="V416" i="48"/>
  <c r="J416" i="48"/>
  <c r="BM415" i="48"/>
  <c r="BO415" i="48" s="1"/>
  <c r="BP415" i="48" s="1"/>
  <c r="BL415" i="48"/>
  <c r="BB415" i="48"/>
  <c r="V415" i="48"/>
  <c r="J415" i="48"/>
  <c r="BM414" i="48"/>
  <c r="BO414" i="48" s="1"/>
  <c r="BP414" i="48" s="1"/>
  <c r="BL414" i="48"/>
  <c r="BB414" i="48"/>
  <c r="V414" i="48"/>
  <c r="J414" i="48"/>
  <c r="BM413" i="48"/>
  <c r="BO413" i="48" s="1"/>
  <c r="BP413" i="48" s="1"/>
  <c r="BL413" i="48"/>
  <c r="BB413" i="48"/>
  <c r="V413" i="48"/>
  <c r="J413" i="48"/>
  <c r="BM412" i="48"/>
  <c r="BO412" i="48" s="1"/>
  <c r="BP412" i="48" s="1"/>
  <c r="BL412" i="48"/>
  <c r="BB412" i="48"/>
  <c r="V412" i="48"/>
  <c r="J412" i="48"/>
  <c r="BM411" i="48"/>
  <c r="BO411" i="48" s="1"/>
  <c r="BP411" i="48" s="1"/>
  <c r="BL411" i="48"/>
  <c r="BB411" i="48"/>
  <c r="V411" i="48"/>
  <c r="J411" i="48"/>
  <c r="BM410" i="48"/>
  <c r="BO410" i="48" s="1"/>
  <c r="BP410" i="48" s="1"/>
  <c r="BL410" i="48"/>
  <c r="BB410" i="48"/>
  <c r="V410" i="48"/>
  <c r="J410" i="48"/>
  <c r="BM409" i="48"/>
  <c r="BO409" i="48" s="1"/>
  <c r="BP409" i="48" s="1"/>
  <c r="BL409" i="48"/>
  <c r="BB409" i="48"/>
  <c r="V409" i="48"/>
  <c r="J409" i="48"/>
  <c r="BM408" i="48"/>
  <c r="BO408" i="48" s="1"/>
  <c r="BP408" i="48" s="1"/>
  <c r="BL408" i="48"/>
  <c r="BB408" i="48"/>
  <c r="BM407" i="48"/>
  <c r="BO407" i="48" s="1"/>
  <c r="BP407" i="48" s="1"/>
  <c r="BL407" i="48"/>
  <c r="BB407" i="48"/>
  <c r="BM406" i="48"/>
  <c r="BO406" i="48" s="1"/>
  <c r="BP406" i="48" s="1"/>
  <c r="BL406" i="48"/>
  <c r="BB406" i="48"/>
  <c r="BM405" i="48"/>
  <c r="BO405" i="48" s="1"/>
  <c r="BP405" i="48" s="1"/>
  <c r="BL405" i="48"/>
  <c r="BB405" i="48"/>
  <c r="BM404" i="48"/>
  <c r="BO404" i="48" s="1"/>
  <c r="BP404" i="48" s="1"/>
  <c r="BL404" i="48"/>
  <c r="BB404" i="48"/>
  <c r="BM403" i="48"/>
  <c r="BO403" i="48" s="1"/>
  <c r="BP403" i="48" s="1"/>
  <c r="BL403" i="48"/>
  <c r="BB403" i="48"/>
  <c r="BM400" i="48"/>
  <c r="BO400" i="48" s="1"/>
  <c r="BP400" i="48" s="1"/>
  <c r="BL400" i="48"/>
  <c r="BB400" i="48"/>
  <c r="V400" i="48"/>
  <c r="J400" i="48"/>
  <c r="BM399" i="48"/>
  <c r="BO399" i="48" s="1"/>
  <c r="BP399" i="48" s="1"/>
  <c r="BL399" i="48"/>
  <c r="BB399" i="48"/>
  <c r="V399" i="48"/>
  <c r="J399" i="48"/>
  <c r="BM398" i="48"/>
  <c r="BO398" i="48" s="1"/>
  <c r="BP398" i="48" s="1"/>
  <c r="BL398" i="48"/>
  <c r="BB398" i="48"/>
  <c r="V398" i="48"/>
  <c r="J398" i="48"/>
  <c r="BM397" i="48"/>
  <c r="BO397" i="48" s="1"/>
  <c r="BP397" i="48" s="1"/>
  <c r="BL397" i="48"/>
  <c r="BB397" i="48"/>
  <c r="V397" i="48"/>
  <c r="J397" i="48"/>
  <c r="BM396" i="48"/>
  <c r="BO396" i="48" s="1"/>
  <c r="BP396" i="48" s="1"/>
  <c r="BL396" i="48"/>
  <c r="BB396" i="48"/>
  <c r="V396" i="48"/>
  <c r="J396" i="48"/>
  <c r="BM395" i="48"/>
  <c r="BO395" i="48" s="1"/>
  <c r="BP395" i="48" s="1"/>
  <c r="BL395" i="48"/>
  <c r="BB395" i="48"/>
  <c r="V395" i="48"/>
  <c r="J395" i="48"/>
  <c r="BM394" i="48"/>
  <c r="BO394" i="48" s="1"/>
  <c r="BP394" i="48" s="1"/>
  <c r="BL394" i="48"/>
  <c r="BB394" i="48"/>
  <c r="V394" i="48"/>
  <c r="J394" i="48"/>
  <c r="BM393" i="48"/>
  <c r="BO393" i="48" s="1"/>
  <c r="BP393" i="48" s="1"/>
  <c r="BL393" i="48"/>
  <c r="BB393" i="48"/>
  <c r="V393" i="48"/>
  <c r="J393" i="48"/>
  <c r="BM392" i="48"/>
  <c r="BO392" i="48" s="1"/>
  <c r="BP392" i="48" s="1"/>
  <c r="BL392" i="48"/>
  <c r="BB392" i="48"/>
  <c r="V392" i="48"/>
  <c r="J392" i="48"/>
  <c r="BM391" i="48"/>
  <c r="BO391" i="48" s="1"/>
  <c r="BP391" i="48" s="1"/>
  <c r="BL391" i="48"/>
  <c r="BB391" i="48"/>
  <c r="V391" i="48"/>
  <c r="J391" i="48"/>
  <c r="BM390" i="48"/>
  <c r="BO390" i="48" s="1"/>
  <c r="BP390" i="48" s="1"/>
  <c r="BL390" i="48"/>
  <c r="BB390" i="48"/>
  <c r="V390" i="48"/>
  <c r="J390" i="48"/>
  <c r="BM389" i="48"/>
  <c r="BO389" i="48" s="1"/>
  <c r="BP389" i="48" s="1"/>
  <c r="BL389" i="48"/>
  <c r="BB389" i="48"/>
  <c r="V389" i="48"/>
  <c r="J389" i="48"/>
  <c r="BM388" i="48"/>
  <c r="BO388" i="48" s="1"/>
  <c r="BP388" i="48" s="1"/>
  <c r="BL388" i="48"/>
  <c r="BB388" i="48"/>
  <c r="V388" i="48"/>
  <c r="J388" i="48"/>
  <c r="BM387" i="48"/>
  <c r="BO387" i="48" s="1"/>
  <c r="BP387" i="48" s="1"/>
  <c r="BL387" i="48"/>
  <c r="BB387" i="48"/>
  <c r="V387" i="48"/>
  <c r="J387" i="48"/>
  <c r="BM386" i="48"/>
  <c r="BO386" i="48" s="1"/>
  <c r="BP386" i="48" s="1"/>
  <c r="BL386" i="48"/>
  <c r="BB386" i="48"/>
  <c r="V386" i="48"/>
  <c r="J386" i="48"/>
  <c r="BM385" i="48"/>
  <c r="BO385" i="48" s="1"/>
  <c r="BP385" i="48" s="1"/>
  <c r="BL385" i="48"/>
  <c r="BB385" i="48"/>
  <c r="V385" i="48"/>
  <c r="J385" i="48"/>
  <c r="BM384" i="48"/>
  <c r="BO384" i="48" s="1"/>
  <c r="BP384" i="48" s="1"/>
  <c r="BL384" i="48"/>
  <c r="BB384" i="48"/>
  <c r="V384" i="48"/>
  <c r="J384" i="48"/>
  <c r="BM383" i="48"/>
  <c r="BO383" i="48" s="1"/>
  <c r="BP383" i="48" s="1"/>
  <c r="BL383" i="48"/>
  <c r="BB383" i="48"/>
  <c r="BM382" i="48"/>
  <c r="BO382" i="48" s="1"/>
  <c r="BP382" i="48" s="1"/>
  <c r="BL382" i="48"/>
  <c r="BB382" i="48"/>
  <c r="BM381" i="48"/>
  <c r="BO381" i="48" s="1"/>
  <c r="BP381" i="48" s="1"/>
  <c r="BL381" i="48"/>
  <c r="BB381" i="48"/>
  <c r="BM380" i="48"/>
  <c r="BO380" i="48" s="1"/>
  <c r="BP380" i="48" s="1"/>
  <c r="BL380" i="48"/>
  <c r="BB380" i="48"/>
  <c r="BM379" i="48"/>
  <c r="BO379" i="48" s="1"/>
  <c r="BP379" i="48" s="1"/>
  <c r="BL379" i="48"/>
  <c r="BB379" i="48"/>
  <c r="BM378" i="48"/>
  <c r="BO378" i="48" s="1"/>
  <c r="BP378" i="48" s="1"/>
  <c r="BL378" i="48"/>
  <c r="BB378" i="48"/>
  <c r="BM375" i="48"/>
  <c r="BO375" i="48" s="1"/>
  <c r="BP375" i="48" s="1"/>
  <c r="BL375" i="48"/>
  <c r="BB375" i="48"/>
  <c r="V375" i="48"/>
  <c r="J375" i="48"/>
  <c r="BM374" i="48"/>
  <c r="BL374" i="48"/>
  <c r="BB374" i="48"/>
  <c r="V374" i="48"/>
  <c r="J374" i="48"/>
  <c r="BM373" i="48"/>
  <c r="BL373" i="48"/>
  <c r="BB373" i="48"/>
  <c r="V373" i="48"/>
  <c r="J373" i="48"/>
  <c r="BM372" i="48"/>
  <c r="BL372" i="48"/>
  <c r="BB372" i="48"/>
  <c r="V372" i="48"/>
  <c r="J372" i="48"/>
  <c r="BM371" i="48"/>
  <c r="BL371" i="48"/>
  <c r="BB371" i="48"/>
  <c r="V371" i="48"/>
  <c r="J371" i="48"/>
  <c r="BM370" i="48"/>
  <c r="BL370" i="48"/>
  <c r="BB370" i="48"/>
  <c r="V370" i="48"/>
  <c r="J370" i="48"/>
  <c r="BM369" i="48"/>
  <c r="BL369" i="48"/>
  <c r="BB369" i="48"/>
  <c r="V369" i="48"/>
  <c r="J369" i="48"/>
  <c r="BM368" i="48"/>
  <c r="BL368" i="48"/>
  <c r="BB368" i="48"/>
  <c r="V368" i="48"/>
  <c r="J368" i="48"/>
  <c r="BM367" i="48"/>
  <c r="BL367" i="48"/>
  <c r="BB367" i="48"/>
  <c r="V367" i="48"/>
  <c r="J367" i="48"/>
  <c r="BM366" i="48"/>
  <c r="BO366" i="48" s="1"/>
  <c r="BP366" i="48" s="1"/>
  <c r="BL366" i="48"/>
  <c r="BB366" i="48"/>
  <c r="V366" i="48"/>
  <c r="J366" i="48"/>
  <c r="BM365" i="48"/>
  <c r="BO365" i="48" s="1"/>
  <c r="BP365" i="48" s="1"/>
  <c r="BL365" i="48"/>
  <c r="BB365" i="48"/>
  <c r="V365" i="48"/>
  <c r="J365" i="48"/>
  <c r="BM364" i="48"/>
  <c r="BO364" i="48" s="1"/>
  <c r="BP364" i="48" s="1"/>
  <c r="BL364" i="48"/>
  <c r="BB364" i="48"/>
  <c r="V364" i="48"/>
  <c r="J364" i="48"/>
  <c r="BM363" i="48"/>
  <c r="BO363" i="48" s="1"/>
  <c r="BP363" i="48" s="1"/>
  <c r="BL363" i="48"/>
  <c r="BB363" i="48"/>
  <c r="V363" i="48"/>
  <c r="J363" i="48"/>
  <c r="BM362" i="48"/>
  <c r="BO362" i="48" s="1"/>
  <c r="BP362" i="48" s="1"/>
  <c r="BL362" i="48"/>
  <c r="BB362" i="48"/>
  <c r="V362" i="48"/>
  <c r="J362" i="48"/>
  <c r="BM361" i="48"/>
  <c r="BO361" i="48" s="1"/>
  <c r="BP361" i="48" s="1"/>
  <c r="BL361" i="48"/>
  <c r="BB361" i="48"/>
  <c r="V361" i="48"/>
  <c r="J361" i="48"/>
  <c r="BM360" i="48"/>
  <c r="BO360" i="48" s="1"/>
  <c r="BP360" i="48" s="1"/>
  <c r="BL360" i="48"/>
  <c r="BB360" i="48"/>
  <c r="V360" i="48"/>
  <c r="J360" i="48"/>
  <c r="BM359" i="48"/>
  <c r="BO359" i="48" s="1"/>
  <c r="BP359" i="48" s="1"/>
  <c r="BL359" i="48"/>
  <c r="BB359" i="48"/>
  <c r="V359" i="48"/>
  <c r="J359" i="48"/>
  <c r="BM358" i="48"/>
  <c r="BO358" i="48" s="1"/>
  <c r="BP358" i="48" s="1"/>
  <c r="BL358" i="48"/>
  <c r="BB358" i="48"/>
  <c r="BM357" i="48"/>
  <c r="BO357" i="48" s="1"/>
  <c r="BP357" i="48" s="1"/>
  <c r="BL357" i="48"/>
  <c r="BB357" i="48"/>
  <c r="BM356" i="48"/>
  <c r="BO356" i="48" s="1"/>
  <c r="BP356" i="48" s="1"/>
  <c r="BL356" i="48"/>
  <c r="BB356" i="48"/>
  <c r="BM355" i="48"/>
  <c r="BO355" i="48" s="1"/>
  <c r="BP355" i="48" s="1"/>
  <c r="BL355" i="48"/>
  <c r="BB355" i="48"/>
  <c r="BM354" i="48"/>
  <c r="BO354" i="48" s="1"/>
  <c r="BP354" i="48" s="1"/>
  <c r="BL354" i="48"/>
  <c r="BB354" i="48"/>
  <c r="BM353" i="48"/>
  <c r="BO353" i="48" s="1"/>
  <c r="BP353" i="48" s="1"/>
  <c r="BL353" i="48"/>
  <c r="BB353" i="48"/>
  <c r="BM350" i="48"/>
  <c r="BO350" i="48" s="1"/>
  <c r="BP350" i="48" s="1"/>
  <c r="BL350" i="48"/>
  <c r="BB350" i="48"/>
  <c r="BM349" i="48"/>
  <c r="BO349" i="48" s="1"/>
  <c r="BP349" i="48" s="1"/>
  <c r="BL349" i="48"/>
  <c r="BB349" i="48"/>
  <c r="BM348" i="48"/>
  <c r="BO348" i="48" s="1"/>
  <c r="BP348" i="48" s="1"/>
  <c r="BL348" i="48"/>
  <c r="BB348" i="48"/>
  <c r="V348" i="48"/>
  <c r="J348" i="48"/>
  <c r="BM347" i="48"/>
  <c r="BO347" i="48" s="1"/>
  <c r="BP347" i="48" s="1"/>
  <c r="BL347" i="48"/>
  <c r="BB347" i="48"/>
  <c r="V347" i="48"/>
  <c r="J347" i="48"/>
  <c r="BM346" i="48"/>
  <c r="BO346" i="48" s="1"/>
  <c r="BP346" i="48" s="1"/>
  <c r="BL346" i="48"/>
  <c r="BB346" i="48"/>
  <c r="V346" i="48"/>
  <c r="J346" i="48"/>
  <c r="BM345" i="48"/>
  <c r="BO345" i="48" s="1"/>
  <c r="BP345" i="48" s="1"/>
  <c r="BL345" i="48"/>
  <c r="BB345" i="48"/>
  <c r="V345" i="48"/>
  <c r="J345" i="48"/>
  <c r="BM344" i="48"/>
  <c r="BO344" i="48" s="1"/>
  <c r="BP344" i="48" s="1"/>
  <c r="BL344" i="48"/>
  <c r="BB344" i="48"/>
  <c r="V344" i="48"/>
  <c r="J344" i="48"/>
  <c r="BM343" i="48"/>
  <c r="BO343" i="48" s="1"/>
  <c r="BP343" i="48" s="1"/>
  <c r="BL343" i="48"/>
  <c r="BB343" i="48"/>
  <c r="V343" i="48"/>
  <c r="J343" i="48"/>
  <c r="BM342" i="48"/>
  <c r="BO342" i="48" s="1"/>
  <c r="BP342" i="48" s="1"/>
  <c r="BL342" i="48"/>
  <c r="BB342" i="48"/>
  <c r="V342" i="48"/>
  <c r="J342" i="48"/>
  <c r="BM341" i="48"/>
  <c r="BO341" i="48" s="1"/>
  <c r="BP341" i="48" s="1"/>
  <c r="BL341" i="48"/>
  <c r="BB341" i="48"/>
  <c r="V341" i="48"/>
  <c r="J341" i="48"/>
  <c r="BM340" i="48"/>
  <c r="BO340" i="48" s="1"/>
  <c r="BP340" i="48" s="1"/>
  <c r="BL340" i="48"/>
  <c r="BB340" i="48"/>
  <c r="V340" i="48"/>
  <c r="J340" i="48"/>
  <c r="BM339" i="48"/>
  <c r="BO339" i="48" s="1"/>
  <c r="BP339" i="48" s="1"/>
  <c r="BL339" i="48"/>
  <c r="BB339" i="48"/>
  <c r="V339" i="48"/>
  <c r="J339" i="48"/>
  <c r="BM338" i="48"/>
  <c r="BO338" i="48" s="1"/>
  <c r="BP338" i="48" s="1"/>
  <c r="BL338" i="48"/>
  <c r="BB338" i="48"/>
  <c r="V338" i="48"/>
  <c r="J338" i="48"/>
  <c r="BM337" i="48"/>
  <c r="BO337" i="48" s="1"/>
  <c r="BP337" i="48" s="1"/>
  <c r="BL337" i="48"/>
  <c r="BB337" i="48"/>
  <c r="V337" i="48"/>
  <c r="J337" i="48"/>
  <c r="BM336" i="48"/>
  <c r="BO336" i="48" s="1"/>
  <c r="BP336" i="48" s="1"/>
  <c r="BL336" i="48"/>
  <c r="BB336" i="48"/>
  <c r="V336" i="48"/>
  <c r="J336" i="48"/>
  <c r="BM335" i="48"/>
  <c r="BO335" i="48" s="1"/>
  <c r="BP335" i="48" s="1"/>
  <c r="BL335" i="48"/>
  <c r="BB335" i="48"/>
  <c r="V335" i="48"/>
  <c r="J335" i="48"/>
  <c r="BM334" i="48"/>
  <c r="BO334" i="48" s="1"/>
  <c r="BP334" i="48" s="1"/>
  <c r="BL334" i="48"/>
  <c r="BB334" i="48"/>
  <c r="V334" i="48"/>
  <c r="J334" i="48"/>
  <c r="BM333" i="48"/>
  <c r="BO333" i="48" s="1"/>
  <c r="BP333" i="48" s="1"/>
  <c r="BL333" i="48"/>
  <c r="BB333" i="48"/>
  <c r="BM332" i="48"/>
  <c r="BO332" i="48" s="1"/>
  <c r="BP332" i="48" s="1"/>
  <c r="BL332" i="48"/>
  <c r="BB332" i="48"/>
  <c r="BM331" i="48"/>
  <c r="BO331" i="48" s="1"/>
  <c r="BP331" i="48" s="1"/>
  <c r="BL331" i="48"/>
  <c r="BB331" i="48"/>
  <c r="BM330" i="48"/>
  <c r="BO330" i="48" s="1"/>
  <c r="BP330" i="48" s="1"/>
  <c r="BL330" i="48"/>
  <c r="BB330" i="48"/>
  <c r="BM329" i="48"/>
  <c r="BO329" i="48" s="1"/>
  <c r="BP329" i="48" s="1"/>
  <c r="BL329" i="48"/>
  <c r="BB329" i="48"/>
  <c r="BM328" i="48"/>
  <c r="BO328" i="48" s="1"/>
  <c r="BP328" i="48" s="1"/>
  <c r="BL328" i="48"/>
  <c r="BB328" i="48"/>
  <c r="BC328" i="48" s="1"/>
  <c r="BM325" i="48"/>
  <c r="BO325" i="48" s="1"/>
  <c r="BP325" i="48" s="1"/>
  <c r="BL325" i="48"/>
  <c r="BB325" i="48"/>
  <c r="V325" i="48"/>
  <c r="J325" i="48"/>
  <c r="BM324" i="48"/>
  <c r="BO324" i="48" s="1"/>
  <c r="BP324" i="48" s="1"/>
  <c r="BL324" i="48"/>
  <c r="BB324" i="48"/>
  <c r="V324" i="48"/>
  <c r="J324" i="48"/>
  <c r="BM323" i="48"/>
  <c r="BO323" i="48" s="1"/>
  <c r="BP323" i="48" s="1"/>
  <c r="BL323" i="48"/>
  <c r="BB323" i="48"/>
  <c r="V323" i="48"/>
  <c r="J323" i="48"/>
  <c r="BM322" i="48"/>
  <c r="BO322" i="48" s="1"/>
  <c r="BP322" i="48" s="1"/>
  <c r="BL322" i="48"/>
  <c r="BB322" i="48"/>
  <c r="V322" i="48"/>
  <c r="J322" i="48"/>
  <c r="BM321" i="48"/>
  <c r="BO321" i="48" s="1"/>
  <c r="BP321" i="48" s="1"/>
  <c r="BL321" i="48"/>
  <c r="BB321" i="48"/>
  <c r="V321" i="48"/>
  <c r="J321" i="48"/>
  <c r="BM320" i="48"/>
  <c r="BO320" i="48" s="1"/>
  <c r="BP320" i="48" s="1"/>
  <c r="BL320" i="48"/>
  <c r="BB320" i="48"/>
  <c r="V320" i="48"/>
  <c r="J320" i="48"/>
  <c r="BM319" i="48"/>
  <c r="BO319" i="48" s="1"/>
  <c r="BP319" i="48" s="1"/>
  <c r="BL319" i="48"/>
  <c r="BB319" i="48"/>
  <c r="V319" i="48"/>
  <c r="J319" i="48"/>
  <c r="BM318" i="48"/>
  <c r="BO318" i="48" s="1"/>
  <c r="BP318" i="48" s="1"/>
  <c r="BL318" i="48"/>
  <c r="BB318" i="48"/>
  <c r="V318" i="48"/>
  <c r="J318" i="48"/>
  <c r="BM317" i="48"/>
  <c r="BO317" i="48" s="1"/>
  <c r="BP317" i="48" s="1"/>
  <c r="BL317" i="48"/>
  <c r="BB317" i="48"/>
  <c r="V317" i="48"/>
  <c r="J317" i="48"/>
  <c r="BM316" i="48"/>
  <c r="BO316" i="48" s="1"/>
  <c r="BP316" i="48" s="1"/>
  <c r="BL316" i="48"/>
  <c r="BB316" i="48"/>
  <c r="V316" i="48"/>
  <c r="J316" i="48"/>
  <c r="BM315" i="48"/>
  <c r="BO315" i="48" s="1"/>
  <c r="BP315" i="48" s="1"/>
  <c r="BL315" i="48"/>
  <c r="BB315" i="48"/>
  <c r="V315" i="48"/>
  <c r="J315" i="48"/>
  <c r="BM314" i="48"/>
  <c r="BO314" i="48" s="1"/>
  <c r="BP314" i="48" s="1"/>
  <c r="BL314" i="48"/>
  <c r="BB314" i="48"/>
  <c r="V314" i="48"/>
  <c r="J314" i="48"/>
  <c r="BM313" i="48"/>
  <c r="BO313" i="48" s="1"/>
  <c r="BP313" i="48" s="1"/>
  <c r="BL313" i="48"/>
  <c r="BB313" i="48"/>
  <c r="V313" i="48"/>
  <c r="J313" i="48"/>
  <c r="BM312" i="48"/>
  <c r="BO312" i="48" s="1"/>
  <c r="BP312" i="48" s="1"/>
  <c r="BL312" i="48"/>
  <c r="BB312" i="48"/>
  <c r="V312" i="48"/>
  <c r="J312" i="48"/>
  <c r="BM311" i="48"/>
  <c r="BO311" i="48" s="1"/>
  <c r="BP311" i="48" s="1"/>
  <c r="BL311" i="48"/>
  <c r="BB311" i="48"/>
  <c r="V311" i="48"/>
  <c r="J311" i="48"/>
  <c r="BM310" i="48"/>
  <c r="BO310" i="48" s="1"/>
  <c r="BP310" i="48" s="1"/>
  <c r="BL310" i="48"/>
  <c r="BB310" i="48"/>
  <c r="V310" i="48"/>
  <c r="J310" i="48"/>
  <c r="BM309" i="48"/>
  <c r="BO309" i="48" s="1"/>
  <c r="BP309" i="48" s="1"/>
  <c r="BL309" i="48"/>
  <c r="BB309" i="48"/>
  <c r="V309" i="48"/>
  <c r="J309" i="48"/>
  <c r="BM308" i="48"/>
  <c r="BO308" i="48" s="1"/>
  <c r="BP308" i="48" s="1"/>
  <c r="BL308" i="48"/>
  <c r="BB308" i="48"/>
  <c r="BM307" i="48"/>
  <c r="BO307" i="48" s="1"/>
  <c r="BP307" i="48" s="1"/>
  <c r="BL307" i="48"/>
  <c r="BB307" i="48"/>
  <c r="BM306" i="48"/>
  <c r="BO306" i="48" s="1"/>
  <c r="BP306" i="48" s="1"/>
  <c r="BL306" i="48"/>
  <c r="BB306" i="48"/>
  <c r="BM305" i="48"/>
  <c r="BO305" i="48" s="1"/>
  <c r="BP305" i="48" s="1"/>
  <c r="BL305" i="48"/>
  <c r="BB305" i="48"/>
  <c r="BM304" i="48"/>
  <c r="BO304" i="48" s="1"/>
  <c r="BP304" i="48" s="1"/>
  <c r="BL304" i="48"/>
  <c r="BB304" i="48"/>
  <c r="BM303" i="48"/>
  <c r="BO303" i="48" s="1"/>
  <c r="BP303" i="48" s="1"/>
  <c r="BL303" i="48"/>
  <c r="BB303" i="48"/>
  <c r="BM300" i="48"/>
  <c r="BO300" i="48" s="1"/>
  <c r="BP300" i="48" s="1"/>
  <c r="BL300" i="48"/>
  <c r="BM299" i="48"/>
  <c r="BO299" i="48" s="1"/>
  <c r="BP299" i="48" s="1"/>
  <c r="BL299" i="48"/>
  <c r="BB299" i="48"/>
  <c r="BM298" i="48"/>
  <c r="BO298" i="48" s="1"/>
  <c r="BP298" i="48" s="1"/>
  <c r="BL298" i="48"/>
  <c r="BB298" i="48"/>
  <c r="BM297" i="48"/>
  <c r="BO297" i="48" s="1"/>
  <c r="BP297" i="48" s="1"/>
  <c r="BL297" i="48"/>
  <c r="BB297" i="48"/>
  <c r="BM296" i="48"/>
  <c r="BO296" i="48" s="1"/>
  <c r="BP296" i="48" s="1"/>
  <c r="BL296" i="48"/>
  <c r="BB296" i="48"/>
  <c r="BM295" i="48"/>
  <c r="BO295" i="48" s="1"/>
  <c r="BP295" i="48" s="1"/>
  <c r="BL295" i="48"/>
  <c r="BB295" i="48"/>
  <c r="BM294" i="48"/>
  <c r="BO294" i="48" s="1"/>
  <c r="BP294" i="48" s="1"/>
  <c r="BL294" i="48"/>
  <c r="BB294" i="48"/>
  <c r="BM293" i="48"/>
  <c r="BO293" i="48" s="1"/>
  <c r="BP293" i="48" s="1"/>
  <c r="BL293" i="48"/>
  <c r="BB293" i="48"/>
  <c r="BM292" i="48"/>
  <c r="BO292" i="48" s="1"/>
  <c r="BP292" i="48" s="1"/>
  <c r="BL292" i="48"/>
  <c r="BB292" i="48"/>
  <c r="BM291" i="48"/>
  <c r="BO291" i="48" s="1"/>
  <c r="BP291" i="48" s="1"/>
  <c r="BL291" i="48"/>
  <c r="BB291" i="48"/>
  <c r="BM290" i="48"/>
  <c r="BO290" i="48" s="1"/>
  <c r="BP290" i="48" s="1"/>
  <c r="BL290" i="48"/>
  <c r="BB290" i="48"/>
  <c r="BM289" i="48"/>
  <c r="BO289" i="48" s="1"/>
  <c r="BP289" i="48" s="1"/>
  <c r="BL289" i="48"/>
  <c r="BB289" i="48"/>
  <c r="BM288" i="48"/>
  <c r="BO288" i="48" s="1"/>
  <c r="BP288" i="48" s="1"/>
  <c r="BL288" i="48"/>
  <c r="BB288" i="48"/>
  <c r="BM287" i="48"/>
  <c r="BO287" i="48" s="1"/>
  <c r="BP287" i="48" s="1"/>
  <c r="BL287" i="48"/>
  <c r="BB287" i="48"/>
  <c r="BM286" i="48"/>
  <c r="BO286" i="48" s="1"/>
  <c r="BP286" i="48" s="1"/>
  <c r="BL286" i="48"/>
  <c r="BB286" i="48"/>
  <c r="BM285" i="48"/>
  <c r="BO285" i="48" s="1"/>
  <c r="BP285" i="48" s="1"/>
  <c r="BL285" i="48"/>
  <c r="BB285" i="48"/>
  <c r="BM284" i="48"/>
  <c r="BO284" i="48" s="1"/>
  <c r="BP284" i="48" s="1"/>
  <c r="BL284" i="48"/>
  <c r="BB284" i="48"/>
  <c r="BM283" i="48"/>
  <c r="BO283" i="48" s="1"/>
  <c r="BP283" i="48" s="1"/>
  <c r="BL283" i="48"/>
  <c r="BB283" i="48"/>
  <c r="BM282" i="48"/>
  <c r="BO282" i="48" s="1"/>
  <c r="BP282" i="48" s="1"/>
  <c r="BL282" i="48"/>
  <c r="BB282" i="48"/>
  <c r="BM281" i="48"/>
  <c r="BO281" i="48" s="1"/>
  <c r="BP281" i="48" s="1"/>
  <c r="BL281" i="48"/>
  <c r="BB281" i="48"/>
  <c r="BM280" i="48"/>
  <c r="BO280" i="48" s="1"/>
  <c r="BP280" i="48" s="1"/>
  <c r="BL280" i="48"/>
  <c r="BB280" i="48"/>
  <c r="BM279" i="48"/>
  <c r="BO279" i="48" s="1"/>
  <c r="BP279" i="48" s="1"/>
  <c r="BL279" i="48"/>
  <c r="BB279" i="48"/>
  <c r="BM278" i="48"/>
  <c r="BO278" i="48" s="1"/>
  <c r="BP278" i="48" s="1"/>
  <c r="BL278" i="48"/>
  <c r="BB278" i="48"/>
  <c r="BM275" i="48"/>
  <c r="BO275" i="48" s="1"/>
  <c r="BP275" i="48" s="1"/>
  <c r="BL275" i="48"/>
  <c r="BB275" i="48"/>
  <c r="BM274" i="48"/>
  <c r="BO274" i="48" s="1"/>
  <c r="BP274" i="48" s="1"/>
  <c r="BL274" i="48"/>
  <c r="BB274" i="48"/>
  <c r="BM273" i="48"/>
  <c r="BO273" i="48" s="1"/>
  <c r="BP273" i="48" s="1"/>
  <c r="BL273" i="48"/>
  <c r="BB273" i="48"/>
  <c r="BM272" i="48"/>
  <c r="BO272" i="48" s="1"/>
  <c r="BP272" i="48" s="1"/>
  <c r="BL272" i="48"/>
  <c r="BB272" i="48"/>
  <c r="BM271" i="48"/>
  <c r="BO271" i="48" s="1"/>
  <c r="BP271" i="48" s="1"/>
  <c r="BL271" i="48"/>
  <c r="BB271" i="48"/>
  <c r="BM270" i="48"/>
  <c r="BO270" i="48" s="1"/>
  <c r="BP270" i="48" s="1"/>
  <c r="BL270" i="48"/>
  <c r="BB270" i="48"/>
  <c r="BM269" i="48"/>
  <c r="BO269" i="48" s="1"/>
  <c r="BP269" i="48" s="1"/>
  <c r="BL269" i="48"/>
  <c r="BB269" i="48"/>
  <c r="BM268" i="48"/>
  <c r="BO268" i="48" s="1"/>
  <c r="BP268" i="48" s="1"/>
  <c r="BL268" i="48"/>
  <c r="BB268" i="48"/>
  <c r="BM267" i="48"/>
  <c r="BO267" i="48" s="1"/>
  <c r="BP267" i="48" s="1"/>
  <c r="BL267" i="48"/>
  <c r="BB267" i="48"/>
  <c r="BM266" i="48"/>
  <c r="BO266" i="48" s="1"/>
  <c r="BP266" i="48" s="1"/>
  <c r="BL266" i="48"/>
  <c r="BB266" i="48"/>
  <c r="BM265" i="48"/>
  <c r="BO265" i="48" s="1"/>
  <c r="BP265" i="48" s="1"/>
  <c r="BL265" i="48"/>
  <c r="BB265" i="48"/>
  <c r="BM264" i="48"/>
  <c r="BO264" i="48" s="1"/>
  <c r="BP264" i="48" s="1"/>
  <c r="BL264" i="48"/>
  <c r="BB264" i="48"/>
  <c r="BM263" i="48"/>
  <c r="BO263" i="48" s="1"/>
  <c r="BP263" i="48" s="1"/>
  <c r="BL263" i="48"/>
  <c r="BB263" i="48"/>
  <c r="BM262" i="48"/>
  <c r="BO262" i="48" s="1"/>
  <c r="BP262" i="48" s="1"/>
  <c r="BL262" i="48"/>
  <c r="BB262" i="48"/>
  <c r="BM261" i="48"/>
  <c r="BO261" i="48" s="1"/>
  <c r="BP261" i="48" s="1"/>
  <c r="BL261" i="48"/>
  <c r="BB261" i="48"/>
  <c r="BM260" i="48"/>
  <c r="BO260" i="48" s="1"/>
  <c r="BP260" i="48" s="1"/>
  <c r="BL260" i="48"/>
  <c r="BB260" i="48"/>
  <c r="BM259" i="48"/>
  <c r="BO259" i="48" s="1"/>
  <c r="BP259" i="48" s="1"/>
  <c r="BL259" i="48"/>
  <c r="BB259" i="48"/>
  <c r="BM258" i="48"/>
  <c r="BO258" i="48" s="1"/>
  <c r="BP258" i="48" s="1"/>
  <c r="BL258" i="48"/>
  <c r="BB258" i="48"/>
  <c r="BM257" i="48"/>
  <c r="BO257" i="48" s="1"/>
  <c r="BP257" i="48" s="1"/>
  <c r="BL257" i="48"/>
  <c r="BB257" i="48"/>
  <c r="BM256" i="48"/>
  <c r="BO256" i="48" s="1"/>
  <c r="BP256" i="48" s="1"/>
  <c r="BL256" i="48"/>
  <c r="BB256" i="48"/>
  <c r="BM255" i="48"/>
  <c r="BO255" i="48" s="1"/>
  <c r="BP255" i="48" s="1"/>
  <c r="BL255" i="48"/>
  <c r="BB255" i="48"/>
  <c r="BM254" i="48"/>
  <c r="BO254" i="48" s="1"/>
  <c r="BP254" i="48" s="1"/>
  <c r="BL254" i="48"/>
  <c r="BB254" i="48"/>
  <c r="BM253" i="48"/>
  <c r="BO253" i="48" s="1"/>
  <c r="BP253" i="48" s="1"/>
  <c r="BL253" i="48"/>
  <c r="BB253" i="48"/>
  <c r="BC253" i="48" s="1"/>
  <c r="BM249" i="48"/>
  <c r="BL249" i="48"/>
  <c r="BB249" i="48"/>
  <c r="V249" i="48"/>
  <c r="J249" i="48"/>
  <c r="BM248" i="48"/>
  <c r="BL248" i="48"/>
  <c r="BB248" i="48"/>
  <c r="V248" i="48"/>
  <c r="J248" i="48"/>
  <c r="BM247" i="48"/>
  <c r="BL247" i="48"/>
  <c r="BB247" i="48"/>
  <c r="V247" i="48"/>
  <c r="J247" i="48"/>
  <c r="BM246" i="48"/>
  <c r="BL246" i="48"/>
  <c r="BB246" i="48"/>
  <c r="V246" i="48"/>
  <c r="J246" i="48"/>
  <c r="BM245" i="48"/>
  <c r="BL245" i="48"/>
  <c r="BB245" i="48"/>
  <c r="V245" i="48"/>
  <c r="J245" i="48"/>
  <c r="BM244" i="48"/>
  <c r="BL244" i="48"/>
  <c r="BB244" i="48"/>
  <c r="V244" i="48"/>
  <c r="J244" i="48"/>
  <c r="BM243" i="48"/>
  <c r="BL243" i="48"/>
  <c r="BB243" i="48"/>
  <c r="V243" i="48"/>
  <c r="J243" i="48"/>
  <c r="BM242" i="48"/>
  <c r="BO242" i="48" s="1"/>
  <c r="BP242" i="48" s="1"/>
  <c r="BL242" i="48"/>
  <c r="BB242" i="48"/>
  <c r="V242" i="48"/>
  <c r="J242" i="48"/>
  <c r="BM241" i="48"/>
  <c r="BO241" i="48" s="1"/>
  <c r="BP241" i="48" s="1"/>
  <c r="BL241" i="48"/>
  <c r="BB241" i="48"/>
  <c r="V241" i="48"/>
  <c r="J241" i="48"/>
  <c r="BM240" i="48"/>
  <c r="BO240" i="48" s="1"/>
  <c r="BP240" i="48" s="1"/>
  <c r="BL240" i="48"/>
  <c r="BB240" i="48"/>
  <c r="V240" i="48"/>
  <c r="J240" i="48"/>
  <c r="BM239" i="48"/>
  <c r="BO239" i="48" s="1"/>
  <c r="BP239" i="48" s="1"/>
  <c r="BL239" i="48"/>
  <c r="BB239" i="48"/>
  <c r="V239" i="48"/>
  <c r="J239" i="48"/>
  <c r="BM238" i="48"/>
  <c r="BO238" i="48" s="1"/>
  <c r="BP238" i="48" s="1"/>
  <c r="BL238" i="48"/>
  <c r="BB238" i="48"/>
  <c r="V238" i="48"/>
  <c r="J238" i="48"/>
  <c r="BM237" i="48"/>
  <c r="BO237" i="48" s="1"/>
  <c r="BP237" i="48" s="1"/>
  <c r="BL237" i="48"/>
  <c r="BB237" i="48"/>
  <c r="V237" i="48"/>
  <c r="J237" i="48"/>
  <c r="BM236" i="48"/>
  <c r="BO236" i="48" s="1"/>
  <c r="BP236" i="48" s="1"/>
  <c r="BL236" i="48"/>
  <c r="BB236" i="48"/>
  <c r="V236" i="48"/>
  <c r="J236" i="48"/>
  <c r="BM235" i="48"/>
  <c r="BO235" i="48" s="1"/>
  <c r="BP235" i="48" s="1"/>
  <c r="BL235" i="48"/>
  <c r="BB235" i="48"/>
  <c r="V235" i="48"/>
  <c r="J235" i="48"/>
  <c r="BM234" i="48"/>
  <c r="BO234" i="48" s="1"/>
  <c r="BP234" i="48" s="1"/>
  <c r="BL234" i="48"/>
  <c r="BB234" i="48"/>
  <c r="BM233" i="48"/>
  <c r="BO233" i="48" s="1"/>
  <c r="BP233" i="48" s="1"/>
  <c r="BL233" i="48"/>
  <c r="BB233" i="48"/>
  <c r="BM232" i="48"/>
  <c r="BO232" i="48" s="1"/>
  <c r="BP232" i="48" s="1"/>
  <c r="BL232" i="48"/>
  <c r="BB232" i="48"/>
  <c r="BM231" i="48"/>
  <c r="BO231" i="48" s="1"/>
  <c r="BP231" i="48" s="1"/>
  <c r="BL231" i="48"/>
  <c r="BB231" i="48"/>
  <c r="BM230" i="48"/>
  <c r="BO230" i="48" s="1"/>
  <c r="BP230" i="48" s="1"/>
  <c r="BL230" i="48"/>
  <c r="BB230" i="48"/>
  <c r="BM229" i="48"/>
  <c r="BO229" i="48" s="1"/>
  <c r="BP229" i="48" s="1"/>
  <c r="BL229" i="48"/>
  <c r="BB229" i="48"/>
  <c r="BM228" i="48"/>
  <c r="BO228" i="48" s="1"/>
  <c r="BP228" i="48" s="1"/>
  <c r="BL228" i="48"/>
  <c r="BB228" i="48"/>
  <c r="BM225" i="48"/>
  <c r="BO225" i="48" s="1"/>
  <c r="BP225" i="48" s="1"/>
  <c r="BL225" i="48"/>
  <c r="BB225" i="48"/>
  <c r="V225" i="48"/>
  <c r="J225" i="48"/>
  <c r="BM224" i="48"/>
  <c r="BO224" i="48" s="1"/>
  <c r="BP224" i="48" s="1"/>
  <c r="BL224" i="48"/>
  <c r="BB224" i="48"/>
  <c r="V224" i="48"/>
  <c r="J224" i="48"/>
  <c r="BM223" i="48"/>
  <c r="BO223" i="48" s="1"/>
  <c r="BP223" i="48" s="1"/>
  <c r="BL223" i="48"/>
  <c r="BB223" i="48"/>
  <c r="V223" i="48"/>
  <c r="J223" i="48"/>
  <c r="BM222" i="48"/>
  <c r="BO222" i="48" s="1"/>
  <c r="BP222" i="48" s="1"/>
  <c r="BL222" i="48"/>
  <c r="BB222" i="48"/>
  <c r="V222" i="48"/>
  <c r="J222" i="48"/>
  <c r="BM221" i="48"/>
  <c r="BO221" i="48" s="1"/>
  <c r="BP221" i="48" s="1"/>
  <c r="BL221" i="48"/>
  <c r="BB221" i="48"/>
  <c r="V221" i="48"/>
  <c r="J221" i="48"/>
  <c r="BM220" i="48"/>
  <c r="BO220" i="48" s="1"/>
  <c r="BP220" i="48" s="1"/>
  <c r="BL220" i="48"/>
  <c r="BB220" i="48"/>
  <c r="V220" i="48"/>
  <c r="J220" i="48"/>
  <c r="BM219" i="48"/>
  <c r="BO219" i="48" s="1"/>
  <c r="BP219" i="48" s="1"/>
  <c r="BL219" i="48"/>
  <c r="BB219" i="48"/>
  <c r="V219" i="48"/>
  <c r="J219" i="48"/>
  <c r="BM218" i="48"/>
  <c r="BO218" i="48" s="1"/>
  <c r="BP218" i="48" s="1"/>
  <c r="BL218" i="48"/>
  <c r="BB218" i="48"/>
  <c r="V218" i="48"/>
  <c r="J218" i="48"/>
  <c r="BM217" i="48"/>
  <c r="BO217" i="48" s="1"/>
  <c r="BP217" i="48" s="1"/>
  <c r="BL217" i="48"/>
  <c r="BB217" i="48"/>
  <c r="V217" i="48"/>
  <c r="J217" i="48"/>
  <c r="BM216" i="48"/>
  <c r="BO216" i="48" s="1"/>
  <c r="BP216" i="48" s="1"/>
  <c r="BL216" i="48"/>
  <c r="BB216" i="48"/>
  <c r="V216" i="48"/>
  <c r="J216" i="48"/>
  <c r="BM215" i="48"/>
  <c r="BO215" i="48" s="1"/>
  <c r="BP215" i="48" s="1"/>
  <c r="BL215" i="48"/>
  <c r="BB215" i="48"/>
  <c r="V215" i="48"/>
  <c r="J215" i="48"/>
  <c r="BM214" i="48"/>
  <c r="BO214" i="48" s="1"/>
  <c r="BP214" i="48" s="1"/>
  <c r="BL214" i="48"/>
  <c r="BB214" i="48"/>
  <c r="V214" i="48"/>
  <c r="J214" i="48"/>
  <c r="BM213" i="48"/>
  <c r="BO213" i="48" s="1"/>
  <c r="BP213" i="48" s="1"/>
  <c r="BL213" i="48"/>
  <c r="BB213" i="48"/>
  <c r="V213" i="48"/>
  <c r="J213" i="48"/>
  <c r="BM212" i="48"/>
  <c r="BO212" i="48" s="1"/>
  <c r="BP212" i="48" s="1"/>
  <c r="BL212" i="48"/>
  <c r="BB212" i="48"/>
  <c r="V212" i="48"/>
  <c r="J212" i="48"/>
  <c r="BM211" i="48"/>
  <c r="BO211" i="48" s="1"/>
  <c r="BP211" i="48" s="1"/>
  <c r="BL211" i="48"/>
  <c r="BB211" i="48"/>
  <c r="V211" i="48"/>
  <c r="J211" i="48"/>
  <c r="BM210" i="48"/>
  <c r="BO210" i="48" s="1"/>
  <c r="BP210" i="48" s="1"/>
  <c r="BL210" i="48"/>
  <c r="BB210" i="48"/>
  <c r="V210" i="48"/>
  <c r="J210" i="48"/>
  <c r="BM209" i="48"/>
  <c r="BO209" i="48" s="1"/>
  <c r="BP209" i="48" s="1"/>
  <c r="BL209" i="48"/>
  <c r="BB209" i="48"/>
  <c r="V209" i="48"/>
  <c r="J209" i="48"/>
  <c r="BM208" i="48"/>
  <c r="BO208" i="48" s="1"/>
  <c r="BP208" i="48" s="1"/>
  <c r="BL208" i="48"/>
  <c r="BB208" i="48"/>
  <c r="BM207" i="48"/>
  <c r="BO207" i="48" s="1"/>
  <c r="BP207" i="48" s="1"/>
  <c r="BL207" i="48"/>
  <c r="BB207" i="48"/>
  <c r="BM206" i="48"/>
  <c r="BO206" i="48" s="1"/>
  <c r="BP206" i="48" s="1"/>
  <c r="BL206" i="48"/>
  <c r="BB206" i="48"/>
  <c r="BM205" i="48"/>
  <c r="BO205" i="48" s="1"/>
  <c r="BP205" i="48" s="1"/>
  <c r="BL205" i="48"/>
  <c r="BB205" i="48"/>
  <c r="BM204" i="48"/>
  <c r="BO204" i="48" s="1"/>
  <c r="BP204" i="48" s="1"/>
  <c r="BL204" i="48"/>
  <c r="BB204" i="48"/>
  <c r="BM203" i="48"/>
  <c r="BO203" i="48" s="1"/>
  <c r="BP203" i="48" s="1"/>
  <c r="BL203" i="48"/>
  <c r="BB203" i="48"/>
  <c r="BM200" i="48"/>
  <c r="BO200" i="48" s="1"/>
  <c r="BP200" i="48" s="1"/>
  <c r="BL200" i="48"/>
  <c r="BB200" i="48"/>
  <c r="V200" i="48"/>
  <c r="BM199" i="48"/>
  <c r="BO199" i="48" s="1"/>
  <c r="BP199" i="48" s="1"/>
  <c r="BL199" i="48"/>
  <c r="BB199" i="48"/>
  <c r="V199" i="48"/>
  <c r="J199" i="48"/>
  <c r="BM198" i="48"/>
  <c r="BO198" i="48" s="1"/>
  <c r="BP198" i="48" s="1"/>
  <c r="BL198" i="48"/>
  <c r="BB198" i="48"/>
  <c r="V198" i="48"/>
  <c r="J198" i="48"/>
  <c r="BM197" i="48"/>
  <c r="BO197" i="48" s="1"/>
  <c r="BP197" i="48" s="1"/>
  <c r="BL197" i="48"/>
  <c r="BB197" i="48"/>
  <c r="V197" i="48"/>
  <c r="J197" i="48"/>
  <c r="BM196" i="48"/>
  <c r="BO196" i="48" s="1"/>
  <c r="BP196" i="48" s="1"/>
  <c r="BL196" i="48"/>
  <c r="BB196" i="48"/>
  <c r="V196" i="48"/>
  <c r="J196" i="48"/>
  <c r="BM195" i="48"/>
  <c r="BO195" i="48" s="1"/>
  <c r="BP195" i="48" s="1"/>
  <c r="BL195" i="48"/>
  <c r="BB195" i="48"/>
  <c r="V195" i="48"/>
  <c r="J195" i="48"/>
  <c r="BM194" i="48"/>
  <c r="BO194" i="48" s="1"/>
  <c r="BP194" i="48" s="1"/>
  <c r="BL194" i="48"/>
  <c r="BB194" i="48"/>
  <c r="V194" i="48"/>
  <c r="J194" i="48"/>
  <c r="BM193" i="48"/>
  <c r="BO193" i="48" s="1"/>
  <c r="BP193" i="48" s="1"/>
  <c r="BL193" i="48"/>
  <c r="BB193" i="48"/>
  <c r="V193" i="48"/>
  <c r="J193" i="48"/>
  <c r="BM192" i="48"/>
  <c r="BO192" i="48" s="1"/>
  <c r="BP192" i="48" s="1"/>
  <c r="BL192" i="48"/>
  <c r="BB192" i="48"/>
  <c r="V192" i="48"/>
  <c r="J192" i="48"/>
  <c r="BM191" i="48"/>
  <c r="BO191" i="48" s="1"/>
  <c r="BP191" i="48" s="1"/>
  <c r="BL191" i="48"/>
  <c r="BB191" i="48"/>
  <c r="V191" i="48"/>
  <c r="J191" i="48"/>
  <c r="BM190" i="48"/>
  <c r="BO190" i="48" s="1"/>
  <c r="BP190" i="48" s="1"/>
  <c r="BL190" i="48"/>
  <c r="BB190" i="48"/>
  <c r="V190" i="48"/>
  <c r="J190" i="48"/>
  <c r="BM189" i="48"/>
  <c r="BO189" i="48" s="1"/>
  <c r="BP189" i="48" s="1"/>
  <c r="BL189" i="48"/>
  <c r="BB189" i="48"/>
  <c r="V189" i="48"/>
  <c r="J189" i="48"/>
  <c r="BM188" i="48"/>
  <c r="BO188" i="48" s="1"/>
  <c r="BP188" i="48" s="1"/>
  <c r="BL188" i="48"/>
  <c r="BB188" i="48"/>
  <c r="V188" i="48"/>
  <c r="J188" i="48"/>
  <c r="BM187" i="48"/>
  <c r="BO187" i="48" s="1"/>
  <c r="BP187" i="48" s="1"/>
  <c r="BL187" i="48"/>
  <c r="BB187" i="48"/>
  <c r="V187" i="48"/>
  <c r="J187" i="48"/>
  <c r="BM186" i="48"/>
  <c r="BO186" i="48" s="1"/>
  <c r="BP186" i="48" s="1"/>
  <c r="BL186" i="48"/>
  <c r="BB186" i="48"/>
  <c r="V186" i="48"/>
  <c r="J186" i="48"/>
  <c r="BM185" i="48"/>
  <c r="BO185" i="48" s="1"/>
  <c r="BP185" i="48" s="1"/>
  <c r="BL185" i="48"/>
  <c r="BB185" i="48"/>
  <c r="V185" i="48"/>
  <c r="J185" i="48"/>
  <c r="BM184" i="48"/>
  <c r="BO184" i="48" s="1"/>
  <c r="BP184" i="48" s="1"/>
  <c r="BL184" i="48"/>
  <c r="BB184" i="48"/>
  <c r="V184" i="48"/>
  <c r="J184" i="48"/>
  <c r="BM183" i="48"/>
  <c r="BO183" i="48" s="1"/>
  <c r="BP183" i="48" s="1"/>
  <c r="BL183" i="48"/>
  <c r="BB183" i="48"/>
  <c r="BM182" i="48"/>
  <c r="BO182" i="48" s="1"/>
  <c r="BP182" i="48" s="1"/>
  <c r="BL182" i="48"/>
  <c r="BB182" i="48"/>
  <c r="BM181" i="48"/>
  <c r="BO181" i="48" s="1"/>
  <c r="BP181" i="48" s="1"/>
  <c r="BL181" i="48"/>
  <c r="BB181" i="48"/>
  <c r="BM180" i="48"/>
  <c r="BO180" i="48" s="1"/>
  <c r="BP180" i="48" s="1"/>
  <c r="BL180" i="48"/>
  <c r="BB180" i="48"/>
  <c r="BM179" i="48"/>
  <c r="BO179" i="48" s="1"/>
  <c r="BP179" i="48" s="1"/>
  <c r="BL179" i="48"/>
  <c r="BB179" i="48"/>
  <c r="BM178" i="48"/>
  <c r="BO178" i="48" s="1"/>
  <c r="BP178" i="48" s="1"/>
  <c r="BL178" i="48"/>
  <c r="BB178" i="48"/>
  <c r="BM175" i="48"/>
  <c r="BO175" i="48" s="1"/>
  <c r="BP175" i="48" s="1"/>
  <c r="BL175" i="48"/>
  <c r="BB175" i="48"/>
  <c r="BM174" i="48"/>
  <c r="BO174" i="48" s="1"/>
  <c r="BP174" i="48" s="1"/>
  <c r="BL174" i="48"/>
  <c r="BB174" i="48"/>
  <c r="V174" i="48"/>
  <c r="BM173" i="48"/>
  <c r="BO173" i="48" s="1"/>
  <c r="BP173" i="48" s="1"/>
  <c r="BL173" i="48"/>
  <c r="BB173" i="48"/>
  <c r="V173" i="48"/>
  <c r="BM172" i="48"/>
  <c r="BO172" i="48" s="1"/>
  <c r="BP172" i="48" s="1"/>
  <c r="BL172" i="48"/>
  <c r="BB172" i="48"/>
  <c r="V172" i="48"/>
  <c r="BM171" i="48"/>
  <c r="BO171" i="48" s="1"/>
  <c r="BP171" i="48" s="1"/>
  <c r="BL171" i="48"/>
  <c r="BB171" i="48"/>
  <c r="V171" i="48"/>
  <c r="BM170" i="48"/>
  <c r="BO170" i="48" s="1"/>
  <c r="BP170" i="48" s="1"/>
  <c r="BL170" i="48"/>
  <c r="BB170" i="48"/>
  <c r="V170" i="48"/>
  <c r="BM169" i="48"/>
  <c r="BO169" i="48" s="1"/>
  <c r="BP169" i="48" s="1"/>
  <c r="BL169" i="48"/>
  <c r="BB169" i="48"/>
  <c r="V169" i="48"/>
  <c r="BM168" i="48"/>
  <c r="BO168" i="48" s="1"/>
  <c r="BP168" i="48" s="1"/>
  <c r="BL168" i="48"/>
  <c r="BB168" i="48"/>
  <c r="V168" i="48"/>
  <c r="BM167" i="48"/>
  <c r="BO167" i="48" s="1"/>
  <c r="BP167" i="48" s="1"/>
  <c r="BL167" i="48"/>
  <c r="BB167" i="48"/>
  <c r="V167" i="48"/>
  <c r="BM166" i="48"/>
  <c r="BO166" i="48" s="1"/>
  <c r="BP166" i="48" s="1"/>
  <c r="BL166" i="48"/>
  <c r="BB166" i="48"/>
  <c r="V166" i="48"/>
  <c r="BM165" i="48"/>
  <c r="BO165" i="48" s="1"/>
  <c r="BP165" i="48" s="1"/>
  <c r="BL165" i="48"/>
  <c r="BB165" i="48"/>
  <c r="V165" i="48"/>
  <c r="BM164" i="48"/>
  <c r="BO164" i="48" s="1"/>
  <c r="BP164" i="48" s="1"/>
  <c r="BL164" i="48"/>
  <c r="BB164" i="48"/>
  <c r="V164" i="48"/>
  <c r="BM163" i="48"/>
  <c r="BO163" i="48" s="1"/>
  <c r="BP163" i="48" s="1"/>
  <c r="BL163" i="48"/>
  <c r="BB163" i="48"/>
  <c r="V163" i="48"/>
  <c r="BM162" i="48"/>
  <c r="BO162" i="48" s="1"/>
  <c r="BP162" i="48" s="1"/>
  <c r="BL162" i="48"/>
  <c r="BB162" i="48"/>
  <c r="V162" i="48"/>
  <c r="BM161" i="48"/>
  <c r="BO161" i="48" s="1"/>
  <c r="BP161" i="48" s="1"/>
  <c r="BL161" i="48"/>
  <c r="BB161" i="48"/>
  <c r="V161" i="48"/>
  <c r="BM160" i="48"/>
  <c r="BO160" i="48" s="1"/>
  <c r="BP160" i="48" s="1"/>
  <c r="BL160" i="48"/>
  <c r="BB160" i="48"/>
  <c r="V160" i="48"/>
  <c r="BM159" i="48"/>
  <c r="BO159" i="48" s="1"/>
  <c r="BP159" i="48" s="1"/>
  <c r="BL159" i="48"/>
  <c r="BB159" i="48"/>
  <c r="BM158" i="48"/>
  <c r="BO158" i="48" s="1"/>
  <c r="BP158" i="48" s="1"/>
  <c r="BL158" i="48"/>
  <c r="BB158" i="48"/>
  <c r="BM157" i="48"/>
  <c r="BO157" i="48" s="1"/>
  <c r="BP157" i="48" s="1"/>
  <c r="BL157" i="48"/>
  <c r="BB157" i="48"/>
  <c r="BM156" i="48"/>
  <c r="BO156" i="48" s="1"/>
  <c r="BP156" i="48" s="1"/>
  <c r="BL156" i="48"/>
  <c r="BB156" i="48"/>
  <c r="BM155" i="48"/>
  <c r="BO155" i="48" s="1"/>
  <c r="BP155" i="48" s="1"/>
  <c r="BL155" i="48"/>
  <c r="BB155" i="48"/>
  <c r="BM154" i="48"/>
  <c r="BO154" i="48" s="1"/>
  <c r="BP154" i="48" s="1"/>
  <c r="BL154" i="48"/>
  <c r="BB154" i="48"/>
  <c r="BM153" i="48"/>
  <c r="BO153" i="48" s="1"/>
  <c r="BP153" i="48" s="1"/>
  <c r="BL153" i="48"/>
  <c r="BB153" i="48"/>
  <c r="BM150" i="48"/>
  <c r="BO150" i="48" s="1"/>
  <c r="BP150" i="48" s="1"/>
  <c r="BL150" i="48"/>
  <c r="BB150" i="48"/>
  <c r="BM149" i="48"/>
  <c r="BO149" i="48" s="1"/>
  <c r="BP149" i="48" s="1"/>
  <c r="BL149" i="48"/>
  <c r="BB149" i="48"/>
  <c r="V149" i="48"/>
  <c r="J149" i="48"/>
  <c r="BM148" i="48"/>
  <c r="BO148" i="48" s="1"/>
  <c r="BP148" i="48" s="1"/>
  <c r="BL148" i="48"/>
  <c r="BB148" i="48"/>
  <c r="V148" i="48"/>
  <c r="J148" i="48"/>
  <c r="BM147" i="48"/>
  <c r="BO147" i="48" s="1"/>
  <c r="BP147" i="48" s="1"/>
  <c r="BL147" i="48"/>
  <c r="BB147" i="48"/>
  <c r="V147" i="48"/>
  <c r="J147" i="48"/>
  <c r="BM146" i="48"/>
  <c r="BO146" i="48" s="1"/>
  <c r="BP146" i="48" s="1"/>
  <c r="BL146" i="48"/>
  <c r="BB146" i="48"/>
  <c r="V146" i="48"/>
  <c r="J146" i="48"/>
  <c r="BM145" i="48"/>
  <c r="BO145" i="48" s="1"/>
  <c r="BP145" i="48" s="1"/>
  <c r="BL145" i="48"/>
  <c r="BB145" i="48"/>
  <c r="V145" i="48"/>
  <c r="J145" i="48"/>
  <c r="BM144" i="48"/>
  <c r="BO144" i="48" s="1"/>
  <c r="BP144" i="48" s="1"/>
  <c r="BL144" i="48"/>
  <c r="BB144" i="48"/>
  <c r="V144" i="48"/>
  <c r="J144" i="48"/>
  <c r="BM143" i="48"/>
  <c r="BO143" i="48" s="1"/>
  <c r="BP143" i="48" s="1"/>
  <c r="BL143" i="48"/>
  <c r="BB143" i="48"/>
  <c r="V143" i="48"/>
  <c r="J143" i="48"/>
  <c r="BM142" i="48"/>
  <c r="BO142" i="48" s="1"/>
  <c r="BP142" i="48" s="1"/>
  <c r="BL142" i="48"/>
  <c r="BB142" i="48"/>
  <c r="V142" i="48"/>
  <c r="J142" i="48"/>
  <c r="BM141" i="48"/>
  <c r="BO141" i="48" s="1"/>
  <c r="BP141" i="48" s="1"/>
  <c r="BL141" i="48"/>
  <c r="BB141" i="48"/>
  <c r="V141" i="48"/>
  <c r="J141" i="48"/>
  <c r="BM140" i="48"/>
  <c r="BO140" i="48" s="1"/>
  <c r="BP140" i="48" s="1"/>
  <c r="BL140" i="48"/>
  <c r="BB140" i="48"/>
  <c r="V140" i="48"/>
  <c r="J140" i="48"/>
  <c r="BM139" i="48"/>
  <c r="BO139" i="48" s="1"/>
  <c r="BP139" i="48" s="1"/>
  <c r="BL139" i="48"/>
  <c r="BB139" i="48"/>
  <c r="V139" i="48"/>
  <c r="J139" i="48"/>
  <c r="BM138" i="48"/>
  <c r="BO138" i="48" s="1"/>
  <c r="BP138" i="48" s="1"/>
  <c r="BL138" i="48"/>
  <c r="BB138" i="48"/>
  <c r="V138" i="48"/>
  <c r="J138" i="48"/>
  <c r="BM137" i="48"/>
  <c r="BO137" i="48" s="1"/>
  <c r="BP137" i="48" s="1"/>
  <c r="BL137" i="48"/>
  <c r="BB137" i="48"/>
  <c r="V137" i="48"/>
  <c r="J137" i="48"/>
  <c r="BM136" i="48"/>
  <c r="BO136" i="48" s="1"/>
  <c r="BP136" i="48" s="1"/>
  <c r="BL136" i="48"/>
  <c r="BB136" i="48"/>
  <c r="V136" i="48"/>
  <c r="J136" i="48"/>
  <c r="BM135" i="48"/>
  <c r="BO135" i="48" s="1"/>
  <c r="BP135" i="48" s="1"/>
  <c r="BL135" i="48"/>
  <c r="BB135" i="48"/>
  <c r="V135" i="48"/>
  <c r="J135" i="48"/>
  <c r="BM134" i="48"/>
  <c r="BO134" i="48" s="1"/>
  <c r="BP134" i="48" s="1"/>
  <c r="BL134" i="48"/>
  <c r="BB134" i="48"/>
  <c r="V134" i="48"/>
  <c r="J134" i="48"/>
  <c r="BM133" i="48"/>
  <c r="BO133" i="48" s="1"/>
  <c r="BP133" i="48" s="1"/>
  <c r="BL133" i="48"/>
  <c r="BB133" i="48"/>
  <c r="BM132" i="48"/>
  <c r="BO132" i="48" s="1"/>
  <c r="BP132" i="48" s="1"/>
  <c r="BL132" i="48"/>
  <c r="BB132" i="48"/>
  <c r="BM131" i="48"/>
  <c r="BO131" i="48" s="1"/>
  <c r="BP131" i="48" s="1"/>
  <c r="BL131" i="48"/>
  <c r="BB131" i="48"/>
  <c r="BM130" i="48"/>
  <c r="BO130" i="48" s="1"/>
  <c r="BP130" i="48" s="1"/>
  <c r="BL130" i="48"/>
  <c r="BB130" i="48"/>
  <c r="BM129" i="48"/>
  <c r="BO129" i="48" s="1"/>
  <c r="BP129" i="48" s="1"/>
  <c r="BL129" i="48"/>
  <c r="BB129" i="48"/>
  <c r="BM128" i="48"/>
  <c r="BO128" i="48" s="1"/>
  <c r="BP128" i="48" s="1"/>
  <c r="BL128" i="48"/>
  <c r="BB128" i="48"/>
  <c r="BM125" i="48"/>
  <c r="BO125" i="48" s="1"/>
  <c r="BP125" i="48" s="1"/>
  <c r="BL125" i="48"/>
  <c r="V125" i="48"/>
  <c r="J125" i="48"/>
  <c r="BM124" i="48"/>
  <c r="BO124" i="48" s="1"/>
  <c r="BP124" i="48" s="1"/>
  <c r="BL124" i="48"/>
  <c r="BB124" i="48"/>
  <c r="V124" i="48"/>
  <c r="J124" i="48"/>
  <c r="BM123" i="48"/>
  <c r="BO123" i="48" s="1"/>
  <c r="BP123" i="48" s="1"/>
  <c r="BL123" i="48"/>
  <c r="BB123" i="48"/>
  <c r="V123" i="48"/>
  <c r="J123" i="48"/>
  <c r="BM122" i="48"/>
  <c r="BO122" i="48" s="1"/>
  <c r="BP122" i="48" s="1"/>
  <c r="BL122" i="48"/>
  <c r="BB122" i="48"/>
  <c r="V122" i="48"/>
  <c r="J122" i="48"/>
  <c r="BM121" i="48"/>
  <c r="BO121" i="48" s="1"/>
  <c r="BP121" i="48" s="1"/>
  <c r="BL121" i="48"/>
  <c r="BB121" i="48"/>
  <c r="V121" i="48"/>
  <c r="J121" i="48"/>
  <c r="BM120" i="48"/>
  <c r="BO120" i="48" s="1"/>
  <c r="BP120" i="48" s="1"/>
  <c r="BL120" i="48"/>
  <c r="BB120" i="48"/>
  <c r="V120" i="48"/>
  <c r="J120" i="48"/>
  <c r="BM119" i="48"/>
  <c r="BO119" i="48" s="1"/>
  <c r="BP119" i="48" s="1"/>
  <c r="BL119" i="48"/>
  <c r="BB119" i="48"/>
  <c r="V119" i="48"/>
  <c r="J119" i="48"/>
  <c r="BM118" i="48"/>
  <c r="BO118" i="48" s="1"/>
  <c r="BP118" i="48" s="1"/>
  <c r="BL118" i="48"/>
  <c r="BB118" i="48"/>
  <c r="V118" i="48"/>
  <c r="J118" i="48"/>
  <c r="BM117" i="48"/>
  <c r="BO117" i="48" s="1"/>
  <c r="BP117" i="48" s="1"/>
  <c r="BL117" i="48"/>
  <c r="BB117" i="48"/>
  <c r="V117" i="48"/>
  <c r="J117" i="48"/>
  <c r="BM116" i="48"/>
  <c r="BO116" i="48" s="1"/>
  <c r="BP116" i="48" s="1"/>
  <c r="BL116" i="48"/>
  <c r="BB116" i="48"/>
  <c r="V116" i="48"/>
  <c r="J116" i="48"/>
  <c r="BM115" i="48"/>
  <c r="BO115" i="48" s="1"/>
  <c r="BP115" i="48" s="1"/>
  <c r="BL115" i="48"/>
  <c r="BB115" i="48"/>
  <c r="V115" i="48"/>
  <c r="J115" i="48"/>
  <c r="BM114" i="48"/>
  <c r="BO114" i="48" s="1"/>
  <c r="BP114" i="48" s="1"/>
  <c r="BL114" i="48"/>
  <c r="BB114" i="48"/>
  <c r="V114" i="48"/>
  <c r="J114" i="48"/>
  <c r="BM113" i="48"/>
  <c r="BO113" i="48" s="1"/>
  <c r="BP113" i="48" s="1"/>
  <c r="BL113" i="48"/>
  <c r="BB113" i="48"/>
  <c r="V113" i="48"/>
  <c r="J113" i="48"/>
  <c r="BM112" i="48"/>
  <c r="BO112" i="48" s="1"/>
  <c r="BP112" i="48" s="1"/>
  <c r="BL112" i="48"/>
  <c r="BB112" i="48"/>
  <c r="V112" i="48"/>
  <c r="J112" i="48"/>
  <c r="BM111" i="48"/>
  <c r="BO111" i="48" s="1"/>
  <c r="BP111" i="48" s="1"/>
  <c r="BL111" i="48"/>
  <c r="BB111" i="48"/>
  <c r="V111" i="48"/>
  <c r="J111" i="48"/>
  <c r="BM110" i="48"/>
  <c r="BO110" i="48" s="1"/>
  <c r="BP110" i="48" s="1"/>
  <c r="BL110" i="48"/>
  <c r="BB110" i="48"/>
  <c r="V110" i="48"/>
  <c r="J110" i="48"/>
  <c r="BM109" i="48"/>
  <c r="BO109" i="48" s="1"/>
  <c r="BP109" i="48" s="1"/>
  <c r="BL109" i="48"/>
  <c r="BB109" i="48"/>
  <c r="BM108" i="48"/>
  <c r="BO108" i="48" s="1"/>
  <c r="BP108" i="48" s="1"/>
  <c r="BL108" i="48"/>
  <c r="BB108" i="48"/>
  <c r="BM107" i="48"/>
  <c r="BO107" i="48" s="1"/>
  <c r="BP107" i="48" s="1"/>
  <c r="BL107" i="48"/>
  <c r="BB107" i="48"/>
  <c r="BM106" i="48"/>
  <c r="BO106" i="48" s="1"/>
  <c r="BP106" i="48" s="1"/>
  <c r="BL106" i="48"/>
  <c r="BB106" i="48"/>
  <c r="BM105" i="48"/>
  <c r="BO105" i="48" s="1"/>
  <c r="BP105" i="48" s="1"/>
  <c r="BL105" i="48"/>
  <c r="BB105" i="48"/>
  <c r="BM104" i="48"/>
  <c r="BO104" i="48" s="1"/>
  <c r="BP104" i="48" s="1"/>
  <c r="BL104" i="48"/>
  <c r="BB104" i="48"/>
  <c r="BM103" i="48"/>
  <c r="BO103" i="48" s="1"/>
  <c r="BP103" i="48" s="1"/>
  <c r="BL103" i="48"/>
  <c r="BB103" i="48"/>
  <c r="BM100" i="48"/>
  <c r="BO100" i="48" s="1"/>
  <c r="BP100" i="48" s="1"/>
  <c r="BL100" i="48"/>
  <c r="V100" i="48"/>
  <c r="J100" i="48"/>
  <c r="BM99" i="48"/>
  <c r="BO99" i="48" s="1"/>
  <c r="BP99" i="48" s="1"/>
  <c r="BL99" i="48"/>
  <c r="BB99" i="48"/>
  <c r="V99" i="48"/>
  <c r="J99" i="48"/>
  <c r="BM98" i="48"/>
  <c r="BO98" i="48" s="1"/>
  <c r="BP98" i="48" s="1"/>
  <c r="BL98" i="48"/>
  <c r="BB98" i="48"/>
  <c r="V98" i="48"/>
  <c r="J98" i="48"/>
  <c r="BM97" i="48"/>
  <c r="BO97" i="48" s="1"/>
  <c r="BP97" i="48" s="1"/>
  <c r="BL97" i="48"/>
  <c r="BB97" i="48"/>
  <c r="V97" i="48"/>
  <c r="J97" i="48"/>
  <c r="BM96" i="48"/>
  <c r="BO96" i="48" s="1"/>
  <c r="BP96" i="48" s="1"/>
  <c r="BL96" i="48"/>
  <c r="BB96" i="48"/>
  <c r="V96" i="48"/>
  <c r="J96" i="48"/>
  <c r="BM95" i="48"/>
  <c r="BO95" i="48" s="1"/>
  <c r="BP95" i="48" s="1"/>
  <c r="BL95" i="48"/>
  <c r="BB95" i="48"/>
  <c r="V95" i="48"/>
  <c r="J95" i="48"/>
  <c r="BM94" i="48"/>
  <c r="BO94" i="48" s="1"/>
  <c r="BP94" i="48" s="1"/>
  <c r="BL94" i="48"/>
  <c r="BB94" i="48"/>
  <c r="V94" i="48"/>
  <c r="J94" i="48"/>
  <c r="BM93" i="48"/>
  <c r="BO93" i="48" s="1"/>
  <c r="BP93" i="48" s="1"/>
  <c r="BL93" i="48"/>
  <c r="BB93" i="48"/>
  <c r="V93" i="48"/>
  <c r="J93" i="48"/>
  <c r="BM92" i="48"/>
  <c r="BO92" i="48" s="1"/>
  <c r="BP92" i="48" s="1"/>
  <c r="BL92" i="48"/>
  <c r="BB92" i="48"/>
  <c r="V92" i="48"/>
  <c r="J92" i="48"/>
  <c r="BM91" i="48"/>
  <c r="BO91" i="48" s="1"/>
  <c r="BP91" i="48" s="1"/>
  <c r="BL91" i="48"/>
  <c r="BB91" i="48"/>
  <c r="V91" i="48"/>
  <c r="J91" i="48"/>
  <c r="BM90" i="48"/>
  <c r="BO90" i="48" s="1"/>
  <c r="BP90" i="48" s="1"/>
  <c r="BL90" i="48"/>
  <c r="BB90" i="48"/>
  <c r="V90" i="48"/>
  <c r="J90" i="48"/>
  <c r="BM89" i="48"/>
  <c r="BO89" i="48" s="1"/>
  <c r="BP89" i="48" s="1"/>
  <c r="BL89" i="48"/>
  <c r="BB89" i="48"/>
  <c r="V89" i="48"/>
  <c r="J89" i="48"/>
  <c r="BM88" i="48"/>
  <c r="BO88" i="48" s="1"/>
  <c r="BP88" i="48" s="1"/>
  <c r="BL88" i="48"/>
  <c r="BB88" i="48"/>
  <c r="V88" i="48"/>
  <c r="J88" i="48"/>
  <c r="BM87" i="48"/>
  <c r="BO87" i="48" s="1"/>
  <c r="BP87" i="48" s="1"/>
  <c r="BL87" i="48"/>
  <c r="BB87" i="48"/>
  <c r="V87" i="48"/>
  <c r="J87" i="48"/>
  <c r="BM86" i="48"/>
  <c r="BO86" i="48" s="1"/>
  <c r="BP86" i="48" s="1"/>
  <c r="BL86" i="48"/>
  <c r="BB86" i="48"/>
  <c r="V86" i="48"/>
  <c r="J86" i="48"/>
  <c r="BM85" i="48"/>
  <c r="BO85" i="48" s="1"/>
  <c r="BP85" i="48" s="1"/>
  <c r="BL85" i="48"/>
  <c r="BB85" i="48"/>
  <c r="V85" i="48"/>
  <c r="J85" i="48"/>
  <c r="BM84" i="48"/>
  <c r="BO84" i="48" s="1"/>
  <c r="BP84" i="48" s="1"/>
  <c r="BL84" i="48"/>
  <c r="BB84" i="48"/>
  <c r="V84" i="48"/>
  <c r="J84" i="48"/>
  <c r="BM83" i="48"/>
  <c r="BO83" i="48" s="1"/>
  <c r="BP83" i="48" s="1"/>
  <c r="BL83" i="48"/>
  <c r="BB83" i="48"/>
  <c r="BM82" i="48"/>
  <c r="BO82" i="48" s="1"/>
  <c r="BP82" i="48" s="1"/>
  <c r="BL82" i="48"/>
  <c r="BB82" i="48"/>
  <c r="BM81" i="48"/>
  <c r="BO81" i="48" s="1"/>
  <c r="BP81" i="48" s="1"/>
  <c r="BL81" i="48"/>
  <c r="BB81" i="48"/>
  <c r="BM80" i="48"/>
  <c r="BO80" i="48" s="1"/>
  <c r="BP80" i="48" s="1"/>
  <c r="BL80" i="48"/>
  <c r="BB80" i="48"/>
  <c r="BM79" i="48"/>
  <c r="BO79" i="48" s="1"/>
  <c r="BP79" i="48" s="1"/>
  <c r="BL79" i="48"/>
  <c r="BB79" i="48"/>
  <c r="BM78" i="48"/>
  <c r="BO78" i="48" s="1"/>
  <c r="BP78" i="48" s="1"/>
  <c r="BL78" i="48"/>
  <c r="BB78" i="48"/>
  <c r="BM75" i="48"/>
  <c r="BO75" i="48" s="1"/>
  <c r="BP75" i="48" s="1"/>
  <c r="BL75" i="48"/>
  <c r="J75" i="48"/>
  <c r="BM74" i="48"/>
  <c r="BO74" i="48" s="1"/>
  <c r="BP74" i="48" s="1"/>
  <c r="BL74" i="48"/>
  <c r="BB74" i="48"/>
  <c r="J74" i="48"/>
  <c r="BM73" i="48"/>
  <c r="BO73" i="48" s="1"/>
  <c r="BP73" i="48" s="1"/>
  <c r="BL73" i="48"/>
  <c r="BB73" i="48"/>
  <c r="J73" i="48"/>
  <c r="BM72" i="48"/>
  <c r="BO72" i="48" s="1"/>
  <c r="BP72" i="48" s="1"/>
  <c r="BL72" i="48"/>
  <c r="BB72" i="48"/>
  <c r="J72" i="48"/>
  <c r="BM71" i="48"/>
  <c r="BO71" i="48" s="1"/>
  <c r="BP71" i="48" s="1"/>
  <c r="BL71" i="48"/>
  <c r="BB71" i="48"/>
  <c r="J71" i="48"/>
  <c r="BM70" i="48"/>
  <c r="BO70" i="48" s="1"/>
  <c r="BP70" i="48" s="1"/>
  <c r="BL70" i="48"/>
  <c r="BB70" i="48"/>
  <c r="J70" i="48"/>
  <c r="BM69" i="48"/>
  <c r="BO69" i="48" s="1"/>
  <c r="BP69" i="48" s="1"/>
  <c r="BL69" i="48"/>
  <c r="BB69" i="48"/>
  <c r="J69" i="48"/>
  <c r="BM68" i="48"/>
  <c r="BO68" i="48" s="1"/>
  <c r="BP68" i="48" s="1"/>
  <c r="BL68" i="48"/>
  <c r="BB68" i="48"/>
  <c r="J68" i="48"/>
  <c r="BM67" i="48"/>
  <c r="BO67" i="48" s="1"/>
  <c r="BP67" i="48" s="1"/>
  <c r="BL67" i="48"/>
  <c r="BB67" i="48"/>
  <c r="J67" i="48"/>
  <c r="BM66" i="48"/>
  <c r="BO66" i="48" s="1"/>
  <c r="BP66" i="48" s="1"/>
  <c r="BL66" i="48"/>
  <c r="BB66" i="48"/>
  <c r="J66" i="48"/>
  <c r="BM65" i="48"/>
  <c r="BO65" i="48" s="1"/>
  <c r="BP65" i="48" s="1"/>
  <c r="BL65" i="48"/>
  <c r="BB65" i="48"/>
  <c r="J65" i="48"/>
  <c r="BM64" i="48"/>
  <c r="BO64" i="48" s="1"/>
  <c r="BP64" i="48" s="1"/>
  <c r="BL64" i="48"/>
  <c r="BB64" i="48"/>
  <c r="J64" i="48"/>
  <c r="BM63" i="48"/>
  <c r="BO63" i="48" s="1"/>
  <c r="BP63" i="48" s="1"/>
  <c r="BL63" i="48"/>
  <c r="BB63" i="48"/>
  <c r="J63" i="48"/>
  <c r="BM62" i="48"/>
  <c r="BO62" i="48" s="1"/>
  <c r="BP62" i="48" s="1"/>
  <c r="BL62" i="48"/>
  <c r="BB62" i="48"/>
  <c r="J62" i="48"/>
  <c r="BM61" i="48"/>
  <c r="BO61" i="48" s="1"/>
  <c r="BP61" i="48" s="1"/>
  <c r="BL61" i="48"/>
  <c r="BB61" i="48"/>
  <c r="J61" i="48"/>
  <c r="BM60" i="48"/>
  <c r="BO60" i="48" s="1"/>
  <c r="BP60" i="48" s="1"/>
  <c r="BL60" i="48"/>
  <c r="BB60" i="48"/>
  <c r="J60" i="48"/>
  <c r="BM59" i="48"/>
  <c r="BO59" i="48" s="1"/>
  <c r="BP59" i="48" s="1"/>
  <c r="BL59" i="48"/>
  <c r="BB59" i="48"/>
  <c r="J59" i="48"/>
  <c r="BM58" i="48"/>
  <c r="BO58" i="48" s="1"/>
  <c r="BP58" i="48" s="1"/>
  <c r="BL58" i="48"/>
  <c r="BB58" i="48"/>
  <c r="BM57" i="48"/>
  <c r="BO57" i="48" s="1"/>
  <c r="BP57" i="48" s="1"/>
  <c r="BL57" i="48"/>
  <c r="BB57" i="48"/>
  <c r="BM56" i="48"/>
  <c r="BO56" i="48" s="1"/>
  <c r="BP56" i="48" s="1"/>
  <c r="BL56" i="48"/>
  <c r="BB56" i="48"/>
  <c r="BM55" i="48"/>
  <c r="BO55" i="48" s="1"/>
  <c r="BP55" i="48" s="1"/>
  <c r="BL55" i="48"/>
  <c r="BB55" i="48"/>
  <c r="BM54" i="48"/>
  <c r="BO54" i="48" s="1"/>
  <c r="BP54" i="48" s="1"/>
  <c r="BL54" i="48"/>
  <c r="BB54" i="48"/>
  <c r="BM53" i="48"/>
  <c r="BO53" i="48" s="1"/>
  <c r="BP53" i="48" s="1"/>
  <c r="BL53" i="48"/>
  <c r="BB53" i="48"/>
  <c r="BM50" i="48"/>
  <c r="BO50" i="48" s="1"/>
  <c r="BP50" i="48" s="1"/>
  <c r="BL50" i="48"/>
  <c r="BM49" i="48"/>
  <c r="BO49" i="48" s="1"/>
  <c r="BP49" i="48" s="1"/>
  <c r="BL49" i="48"/>
  <c r="BB49" i="48"/>
  <c r="J49" i="48"/>
  <c r="BM48" i="48"/>
  <c r="BO48" i="48" s="1"/>
  <c r="BP48" i="48" s="1"/>
  <c r="BL48" i="48"/>
  <c r="BB48" i="48"/>
  <c r="J48" i="48"/>
  <c r="BM47" i="48"/>
  <c r="BO47" i="48" s="1"/>
  <c r="BP47" i="48" s="1"/>
  <c r="BL47" i="48"/>
  <c r="BB47" i="48"/>
  <c r="J47" i="48"/>
  <c r="BM46" i="48"/>
  <c r="BO46" i="48" s="1"/>
  <c r="BP46" i="48" s="1"/>
  <c r="BL46" i="48"/>
  <c r="BB46" i="48"/>
  <c r="J46" i="48"/>
  <c r="BM45" i="48"/>
  <c r="BO45" i="48" s="1"/>
  <c r="BP45" i="48" s="1"/>
  <c r="BL45" i="48"/>
  <c r="BB45" i="48"/>
  <c r="J45" i="48"/>
  <c r="BM44" i="48"/>
  <c r="BO44" i="48" s="1"/>
  <c r="BP44" i="48" s="1"/>
  <c r="BL44" i="48"/>
  <c r="BB44" i="48"/>
  <c r="J44" i="48"/>
  <c r="BM43" i="48"/>
  <c r="BO43" i="48" s="1"/>
  <c r="BP43" i="48" s="1"/>
  <c r="BL43" i="48"/>
  <c r="BB43" i="48"/>
  <c r="J43" i="48"/>
  <c r="BM42" i="48"/>
  <c r="BO42" i="48" s="1"/>
  <c r="BP42" i="48" s="1"/>
  <c r="BL42" i="48"/>
  <c r="BB42" i="48"/>
  <c r="J42" i="48"/>
  <c r="BM41" i="48"/>
  <c r="BO41" i="48" s="1"/>
  <c r="BP41" i="48" s="1"/>
  <c r="BL41" i="48"/>
  <c r="BB41" i="48"/>
  <c r="J41" i="48"/>
  <c r="BM40" i="48"/>
  <c r="BO40" i="48" s="1"/>
  <c r="BP40" i="48" s="1"/>
  <c r="BL40" i="48"/>
  <c r="BB40" i="48"/>
  <c r="J40" i="48"/>
  <c r="BM39" i="48"/>
  <c r="BO39" i="48" s="1"/>
  <c r="BP39" i="48" s="1"/>
  <c r="BL39" i="48"/>
  <c r="BB39" i="48"/>
  <c r="J39" i="48"/>
  <c r="BM38" i="48"/>
  <c r="BO38" i="48" s="1"/>
  <c r="BP38" i="48" s="1"/>
  <c r="BL38" i="48"/>
  <c r="BB38" i="48"/>
  <c r="J38" i="48"/>
  <c r="BM37" i="48"/>
  <c r="BO37" i="48" s="1"/>
  <c r="BP37" i="48" s="1"/>
  <c r="BL37" i="48"/>
  <c r="BB37" i="48"/>
  <c r="J37" i="48"/>
  <c r="BM36" i="48"/>
  <c r="BO36" i="48" s="1"/>
  <c r="BP36" i="48" s="1"/>
  <c r="BL36" i="48"/>
  <c r="BB36" i="48"/>
  <c r="J36" i="48"/>
  <c r="BM35" i="48"/>
  <c r="BO35" i="48" s="1"/>
  <c r="BP35" i="48" s="1"/>
  <c r="BL35" i="48"/>
  <c r="BB35" i="48"/>
  <c r="J35" i="48"/>
  <c r="BM34" i="48"/>
  <c r="BO34" i="48" s="1"/>
  <c r="BP34" i="48" s="1"/>
  <c r="BL34" i="48"/>
  <c r="BB34" i="48"/>
  <c r="J34" i="48"/>
  <c r="BM33" i="48"/>
  <c r="BO33" i="48" s="1"/>
  <c r="BP33" i="48" s="1"/>
  <c r="BL33" i="48"/>
  <c r="BB33" i="48"/>
  <c r="BM32" i="48"/>
  <c r="BO32" i="48" s="1"/>
  <c r="BP32" i="48" s="1"/>
  <c r="BL32" i="48"/>
  <c r="BB32" i="48"/>
  <c r="BM31" i="48"/>
  <c r="BO31" i="48" s="1"/>
  <c r="BP31" i="48" s="1"/>
  <c r="BL31" i="48"/>
  <c r="BB31" i="48"/>
  <c r="BM30" i="48"/>
  <c r="BO30" i="48" s="1"/>
  <c r="BP30" i="48" s="1"/>
  <c r="BL30" i="48"/>
  <c r="BB30" i="48"/>
  <c r="BM29" i="48"/>
  <c r="BO29" i="48" s="1"/>
  <c r="BP29" i="48" s="1"/>
  <c r="BL29" i="48"/>
  <c r="BB29" i="48"/>
  <c r="BM28" i="48"/>
  <c r="BO28" i="48" s="1"/>
  <c r="BP28" i="48" s="1"/>
  <c r="BL28" i="48"/>
  <c r="BB28" i="48"/>
  <c r="BM25" i="48"/>
  <c r="BO25" i="48" s="1"/>
  <c r="BP25" i="48" s="1"/>
  <c r="BL25" i="48"/>
  <c r="V25" i="48"/>
  <c r="J25" i="48"/>
  <c r="BM24" i="48"/>
  <c r="BO24" i="48" s="1"/>
  <c r="BP24" i="48" s="1"/>
  <c r="BL24" i="48"/>
  <c r="BB24" i="48"/>
  <c r="V24" i="48"/>
  <c r="J24" i="48"/>
  <c r="BM23" i="48"/>
  <c r="BO23" i="48" s="1"/>
  <c r="BP23" i="48" s="1"/>
  <c r="BL23" i="48"/>
  <c r="BB23" i="48"/>
  <c r="V23" i="48"/>
  <c r="J23" i="48"/>
  <c r="BM22" i="48"/>
  <c r="BO22" i="48" s="1"/>
  <c r="BP22" i="48" s="1"/>
  <c r="BL22" i="48"/>
  <c r="BB22" i="48"/>
  <c r="V22" i="48"/>
  <c r="J22" i="48"/>
  <c r="BM21" i="48"/>
  <c r="BO21" i="48" s="1"/>
  <c r="BP21" i="48" s="1"/>
  <c r="BL21" i="48"/>
  <c r="BB21" i="48"/>
  <c r="V21" i="48"/>
  <c r="J21" i="48"/>
  <c r="BM20" i="48"/>
  <c r="BO20" i="48" s="1"/>
  <c r="BP20" i="48" s="1"/>
  <c r="BL20" i="48"/>
  <c r="BB20" i="48"/>
  <c r="V20" i="48"/>
  <c r="J20" i="48"/>
  <c r="BM19" i="48"/>
  <c r="BO19" i="48" s="1"/>
  <c r="BP19" i="48" s="1"/>
  <c r="BL19" i="48"/>
  <c r="BB19" i="48"/>
  <c r="V19" i="48"/>
  <c r="J19" i="48"/>
  <c r="BM18" i="48"/>
  <c r="BO18" i="48" s="1"/>
  <c r="BP18" i="48" s="1"/>
  <c r="BL18" i="48"/>
  <c r="BB18" i="48"/>
  <c r="V18" i="48"/>
  <c r="J18" i="48"/>
  <c r="BM17" i="48"/>
  <c r="BO17" i="48" s="1"/>
  <c r="BP17" i="48" s="1"/>
  <c r="BL17" i="48"/>
  <c r="BB17" i="48"/>
  <c r="V17" i="48"/>
  <c r="J17" i="48"/>
  <c r="BM16" i="48"/>
  <c r="BO16" i="48" s="1"/>
  <c r="BP16" i="48" s="1"/>
  <c r="BL16" i="48"/>
  <c r="BB16" i="48"/>
  <c r="V16" i="48"/>
  <c r="J16" i="48"/>
  <c r="BM15" i="48"/>
  <c r="BO15" i="48" s="1"/>
  <c r="BP15" i="48" s="1"/>
  <c r="BL15" i="48"/>
  <c r="BB15" i="48"/>
  <c r="V15" i="48"/>
  <c r="J15" i="48"/>
  <c r="BM14" i="48"/>
  <c r="BO14" i="48" s="1"/>
  <c r="BP14" i="48" s="1"/>
  <c r="BL14" i="48"/>
  <c r="BB14" i="48"/>
  <c r="V14" i="48"/>
  <c r="J14" i="48"/>
  <c r="BM13" i="48"/>
  <c r="BO13" i="48" s="1"/>
  <c r="BP13" i="48" s="1"/>
  <c r="BL13" i="48"/>
  <c r="BB13" i="48"/>
  <c r="V13" i="48"/>
  <c r="J13" i="48"/>
  <c r="BM12" i="48"/>
  <c r="BO12" i="48" s="1"/>
  <c r="BP12" i="48" s="1"/>
  <c r="BL12" i="48"/>
  <c r="BB12" i="48"/>
  <c r="V12" i="48"/>
  <c r="J12" i="48"/>
  <c r="BM11" i="48"/>
  <c r="BO11" i="48" s="1"/>
  <c r="BP11" i="48" s="1"/>
  <c r="BL11" i="48"/>
  <c r="BB11" i="48"/>
  <c r="V11" i="48"/>
  <c r="J11" i="48"/>
  <c r="BM10" i="48"/>
  <c r="BO10" i="48" s="1"/>
  <c r="BP10" i="48" s="1"/>
  <c r="BL10" i="48"/>
  <c r="BB10" i="48"/>
  <c r="V10" i="48"/>
  <c r="J10" i="48"/>
  <c r="BM9" i="48"/>
  <c r="BO9" i="48" s="1"/>
  <c r="BP9" i="48" s="1"/>
  <c r="BL9" i="48"/>
  <c r="BB9" i="48"/>
  <c r="V9" i="48"/>
  <c r="J9" i="48"/>
  <c r="BM8" i="48"/>
  <c r="BO8" i="48" s="1"/>
  <c r="BP8" i="48" s="1"/>
  <c r="BL8" i="48"/>
  <c r="BB8" i="48"/>
  <c r="BM7" i="48"/>
  <c r="BO7" i="48" s="1"/>
  <c r="BP7" i="48" s="1"/>
  <c r="BL7" i="48"/>
  <c r="BB7" i="48"/>
  <c r="BM6" i="48"/>
  <c r="BO6" i="48" s="1"/>
  <c r="BP6" i="48" s="1"/>
  <c r="BL6" i="48"/>
  <c r="BB6" i="48"/>
  <c r="BM5" i="48"/>
  <c r="BO5" i="48" s="1"/>
  <c r="BP5" i="48" s="1"/>
  <c r="BL5" i="48"/>
  <c r="BB5" i="48"/>
  <c r="BM4" i="48"/>
  <c r="BO4" i="48" s="1"/>
  <c r="BP4" i="48" s="1"/>
  <c r="BL4" i="48"/>
  <c r="BB4" i="48"/>
  <c r="BC4" i="48" s="1"/>
  <c r="CY2" i="48" l="1"/>
  <c r="E15" i="58"/>
  <c r="E23" i="58"/>
  <c r="E19" i="58"/>
  <c r="E27" i="58"/>
  <c r="E18" i="58"/>
  <c r="E26" i="58"/>
  <c r="B17" i="58"/>
  <c r="B25" i="58"/>
  <c r="E14" i="58"/>
  <c r="E22" i="58"/>
  <c r="B11" i="58"/>
  <c r="B19" i="58"/>
  <c r="B27" i="58"/>
  <c r="E16" i="58"/>
  <c r="E24" i="58"/>
  <c r="E28" i="58"/>
  <c r="B8" i="58"/>
  <c r="B22" i="58"/>
  <c r="B16" i="58"/>
  <c r="B24" i="58"/>
  <c r="E13" i="58"/>
  <c r="E21" i="58"/>
  <c r="B14" i="58"/>
  <c r="B9" i="58"/>
  <c r="B13" i="58"/>
  <c r="B21" i="58"/>
  <c r="B18" i="58"/>
  <c r="B26" i="58"/>
  <c r="B15" i="58"/>
  <c r="B23" i="58"/>
  <c r="E12" i="58"/>
  <c r="E20" i="58"/>
  <c r="B28" i="58"/>
  <c r="B10" i="58"/>
  <c r="B12" i="58"/>
  <c r="B20" i="58"/>
  <c r="C20" i="58" s="1"/>
  <c r="Q11" i="58" s="1"/>
  <c r="E17" i="58"/>
  <c r="E25" i="58"/>
  <c r="BC1019" i="48"/>
  <c r="BC258" i="48"/>
  <c r="BC262" i="48"/>
  <c r="BC209" i="48"/>
  <c r="BC213" i="48"/>
  <c r="BC217" i="48"/>
  <c r="BC221" i="48"/>
  <c r="BC236" i="48"/>
  <c r="BC240" i="48"/>
  <c r="BC244" i="48"/>
  <c r="BC248" i="48"/>
  <c r="BC311" i="48"/>
  <c r="BC315" i="48"/>
  <c r="BC319" i="48"/>
  <c r="BC323" i="48"/>
  <c r="BC336" i="48"/>
  <c r="BC340" i="48"/>
  <c r="BC344" i="48"/>
  <c r="BC348" i="48"/>
  <c r="BC361" i="48"/>
  <c r="BC365" i="48"/>
  <c r="BC369" i="48"/>
  <c r="BC373" i="48"/>
  <c r="BC386" i="48"/>
  <c r="BC390" i="48"/>
  <c r="BC394" i="48"/>
  <c r="BC398" i="48"/>
  <c r="BC411" i="48"/>
  <c r="BC415" i="48"/>
  <c r="BC419" i="48"/>
  <c r="BC423" i="48"/>
  <c r="BC436" i="48"/>
  <c r="BC440" i="48"/>
  <c r="BC470" i="48"/>
  <c r="BC474" i="48"/>
  <c r="BC1011" i="48"/>
  <c r="BC1015" i="48"/>
  <c r="BC1023" i="48"/>
  <c r="BC149" i="48"/>
  <c r="BC205" i="48"/>
  <c r="BC230" i="48"/>
  <c r="BC234" i="48"/>
  <c r="BC266" i="48"/>
  <c r="BC270" i="48"/>
  <c r="BC274" i="48"/>
  <c r="BC281" i="48"/>
  <c r="BC285" i="48"/>
  <c r="BC289" i="48"/>
  <c r="BC293" i="48"/>
  <c r="BC297" i="48"/>
  <c r="BC307" i="48"/>
  <c r="BC332" i="48"/>
  <c r="BC357" i="48"/>
  <c r="BC883" i="48"/>
  <c r="BC997" i="48"/>
  <c r="BC1039" i="48"/>
  <c r="BC1043" i="48"/>
  <c r="BC1047" i="48"/>
  <c r="BC1059" i="48"/>
  <c r="BC1063" i="48"/>
  <c r="BC1067" i="48"/>
  <c r="BC1071" i="48"/>
  <c r="BC1084" i="48"/>
  <c r="BC1088" i="48"/>
  <c r="BC1092" i="48"/>
  <c r="BC1096" i="48"/>
  <c r="BC1111" i="48"/>
  <c r="BC1115" i="48"/>
  <c r="BC1119" i="48"/>
  <c r="BC1123" i="48"/>
  <c r="BC1136" i="48"/>
  <c r="BC1140" i="48"/>
  <c r="BC1144" i="48"/>
  <c r="BC1148" i="48"/>
  <c r="BC1165" i="48"/>
  <c r="BC1169" i="48"/>
  <c r="BC1345" i="48"/>
  <c r="BC56" i="48"/>
  <c r="BC180" i="48"/>
  <c r="BC1332" i="48"/>
  <c r="BC82" i="48"/>
  <c r="BC106" i="48"/>
  <c r="BC132" i="48"/>
  <c r="BC154" i="48"/>
  <c r="BC158" i="48"/>
  <c r="BC585" i="48"/>
  <c r="BC589" i="48"/>
  <c r="BC593" i="48"/>
  <c r="BC597" i="48"/>
  <c r="BC805" i="48"/>
  <c r="BC830" i="48"/>
  <c r="BC858" i="48"/>
  <c r="BC86" i="48"/>
  <c r="BC94" i="48"/>
  <c r="BC110" i="48"/>
  <c r="BC114" i="48"/>
  <c r="BC118" i="48"/>
  <c r="BC122" i="48"/>
  <c r="BC136" i="48"/>
  <c r="BC140" i="48"/>
  <c r="BC144" i="48"/>
  <c r="BC148" i="48"/>
  <c r="BC184" i="48"/>
  <c r="BC188" i="48"/>
  <c r="BC192" i="48"/>
  <c r="BC196" i="48"/>
  <c r="BC14" i="48"/>
  <c r="BC18" i="48"/>
  <c r="BC22" i="48"/>
  <c r="BC30" i="48"/>
  <c r="BC84" i="48"/>
  <c r="BC88" i="48"/>
  <c r="BC92" i="48"/>
  <c r="BC96" i="48"/>
  <c r="BC112" i="48"/>
  <c r="BC116" i="48"/>
  <c r="BC120" i="48"/>
  <c r="BC134" i="48"/>
  <c r="BC138" i="48"/>
  <c r="BC142" i="48"/>
  <c r="BC146" i="48"/>
  <c r="BC186" i="48"/>
  <c r="BC190" i="48"/>
  <c r="BC194" i="48"/>
  <c r="BC198" i="48"/>
  <c r="BC211" i="48"/>
  <c r="BC215" i="48"/>
  <c r="BC219" i="48"/>
  <c r="BC223" i="48"/>
  <c r="BC238" i="48"/>
  <c r="BC242" i="48"/>
  <c r="BC246" i="48"/>
  <c r="BC309" i="48"/>
  <c r="BC313" i="48"/>
  <c r="BC317" i="48"/>
  <c r="BC321" i="48"/>
  <c r="BC334" i="48"/>
  <c r="BC338" i="48"/>
  <c r="BC342" i="48"/>
  <c r="BC346" i="48"/>
  <c r="BC359" i="48"/>
  <c r="BC363" i="48"/>
  <c r="BC367" i="48"/>
  <c r="BC371" i="48"/>
  <c r="BC382" i="48"/>
  <c r="BC384" i="48"/>
  <c r="BC388" i="48"/>
  <c r="BC392" i="48"/>
  <c r="BC396" i="48"/>
  <c r="BC407" i="48"/>
  <c r="BC409" i="48"/>
  <c r="BC413" i="48"/>
  <c r="BC417" i="48"/>
  <c r="BC421" i="48"/>
  <c r="BC432" i="48"/>
  <c r="BC434" i="48"/>
  <c r="BC438" i="48"/>
  <c r="BC442" i="48"/>
  <c r="BC446" i="48"/>
  <c r="BC456" i="48"/>
  <c r="BC460" i="48"/>
  <c r="BC464" i="48"/>
  <c r="BC468" i="48"/>
  <c r="BC472" i="48"/>
  <c r="BC481" i="48"/>
  <c r="BC485" i="48"/>
  <c r="BC489" i="48"/>
  <c r="BC493" i="48"/>
  <c r="BC497" i="48"/>
  <c r="BC506" i="48"/>
  <c r="BC510" i="48"/>
  <c r="BC514" i="48"/>
  <c r="BC518" i="48"/>
  <c r="BC522" i="48"/>
  <c r="BC530" i="48"/>
  <c r="BC536" i="48"/>
  <c r="BC540" i="48"/>
  <c r="BC544" i="48"/>
  <c r="BC548" i="48"/>
  <c r="BC555" i="48"/>
  <c r="BC561" i="48"/>
  <c r="BC565" i="48"/>
  <c r="BC569" i="48"/>
  <c r="BC573" i="48"/>
  <c r="BC583" i="48"/>
  <c r="BC587" i="48"/>
  <c r="BC591" i="48"/>
  <c r="BC595" i="48"/>
  <c r="BC599" i="48"/>
  <c r="BC604" i="48"/>
  <c r="BC608" i="48"/>
  <c r="BC612" i="48"/>
  <c r="BC616" i="48"/>
  <c r="BC620" i="48"/>
  <c r="BC624" i="48"/>
  <c r="BC633" i="48"/>
  <c r="BC637" i="48"/>
  <c r="BC641" i="48"/>
  <c r="BC645" i="48"/>
  <c r="BC649" i="48"/>
  <c r="BC654" i="48"/>
  <c r="BC658" i="48"/>
  <c r="BC662" i="48"/>
  <c r="BC666" i="48"/>
  <c r="BC670" i="48"/>
  <c r="BC674" i="48"/>
  <c r="BC683" i="48"/>
  <c r="BC685" i="48"/>
  <c r="BC689" i="48"/>
  <c r="BC693" i="48"/>
  <c r="BC697" i="48"/>
  <c r="BC706" i="48"/>
  <c r="BC710" i="48"/>
  <c r="BC714" i="48"/>
  <c r="BC718" i="48"/>
  <c r="BC722" i="48"/>
  <c r="BC731" i="48"/>
  <c r="BC735" i="48"/>
  <c r="BC739" i="48"/>
  <c r="BC743" i="48"/>
  <c r="BC747" i="48"/>
  <c r="BC780" i="48"/>
  <c r="BC786" i="48"/>
  <c r="BC790" i="48"/>
  <c r="BC794" i="48"/>
  <c r="BC798" i="48"/>
  <c r="BC811" i="48"/>
  <c r="BC815" i="48"/>
  <c r="BC819" i="48"/>
  <c r="BC823" i="48"/>
  <c r="BC836" i="48"/>
  <c r="BC840" i="48"/>
  <c r="BC844" i="48"/>
  <c r="BC848" i="48"/>
  <c r="BC854" i="48"/>
  <c r="BC862" i="48"/>
  <c r="BC866" i="48"/>
  <c r="BC870" i="48"/>
  <c r="BC874" i="48"/>
  <c r="BC879" i="48"/>
  <c r="BC887" i="48"/>
  <c r="BC891" i="48"/>
  <c r="BC895" i="48"/>
  <c r="BC899" i="48"/>
  <c r="BC16" i="48"/>
  <c r="BC20" i="48"/>
  <c r="BC58" i="48"/>
  <c r="BC90" i="48"/>
  <c r="BC98" i="48"/>
  <c r="BC260" i="48"/>
  <c r="BC264" i="48"/>
  <c r="BC268" i="48"/>
  <c r="BC272" i="48"/>
  <c r="BC444" i="48"/>
  <c r="BC448" i="48"/>
  <c r="BC462" i="48"/>
  <c r="BC466" i="48"/>
  <c r="BC487" i="48"/>
  <c r="BC491" i="48"/>
  <c r="BC495" i="48"/>
  <c r="BC499" i="48"/>
  <c r="BC512" i="48"/>
  <c r="BC516" i="48"/>
  <c r="BC520" i="48"/>
  <c r="BC534" i="48"/>
  <c r="BC538" i="48"/>
  <c r="BC542" i="48"/>
  <c r="BC546" i="48"/>
  <c r="BC559" i="48"/>
  <c r="BC563" i="48"/>
  <c r="BC567" i="48"/>
  <c r="BC571" i="48"/>
  <c r="BC610" i="48"/>
  <c r="BC614" i="48"/>
  <c r="BC618" i="48"/>
  <c r="BC622" i="48"/>
  <c r="BC635" i="48"/>
  <c r="BC639" i="48"/>
  <c r="BC643" i="48"/>
  <c r="BC647" i="48"/>
  <c r="BC660" i="48"/>
  <c r="BC664" i="48"/>
  <c r="BC668" i="48"/>
  <c r="BC672" i="48"/>
  <c r="BC687" i="48"/>
  <c r="BC691" i="48"/>
  <c r="BC695" i="48"/>
  <c r="BC699" i="48"/>
  <c r="BC712" i="48"/>
  <c r="BC716" i="48"/>
  <c r="BC720" i="48"/>
  <c r="BC724" i="48"/>
  <c r="BC737" i="48"/>
  <c r="BC741" i="48"/>
  <c r="BC745" i="48"/>
  <c r="BC784" i="48"/>
  <c r="BC788" i="48"/>
  <c r="BC792" i="48"/>
  <c r="BC796" i="48"/>
  <c r="BC809" i="48"/>
  <c r="BC813" i="48"/>
  <c r="BC817" i="48"/>
  <c r="BC821" i="48"/>
  <c r="BC834" i="48"/>
  <c r="BC838" i="48"/>
  <c r="BC842" i="48"/>
  <c r="BC846" i="48"/>
  <c r="BC860" i="48"/>
  <c r="BC864" i="48"/>
  <c r="BC868" i="48"/>
  <c r="BC872" i="48"/>
  <c r="BC885" i="48"/>
  <c r="BC889" i="48"/>
  <c r="BC893" i="48"/>
  <c r="BC908" i="48"/>
  <c r="BC912" i="48"/>
  <c r="BC916" i="48"/>
  <c r="BC920" i="48"/>
  <c r="BC932" i="48"/>
  <c r="BC934" i="48"/>
  <c r="BC938" i="48"/>
  <c r="BC942" i="48"/>
  <c r="BC946" i="48"/>
  <c r="BC958" i="48"/>
  <c r="BC962" i="48"/>
  <c r="BC966" i="48"/>
  <c r="BC970" i="48"/>
  <c r="BC974" i="48"/>
  <c r="BC983" i="48"/>
  <c r="BC987" i="48"/>
  <c r="BC991" i="48"/>
  <c r="BC995" i="48"/>
  <c r="BC1007" i="48"/>
  <c r="BC1009" i="48"/>
  <c r="BC1013" i="48"/>
  <c r="BC1017" i="48"/>
  <c r="BC1021" i="48"/>
  <c r="BC1037" i="48"/>
  <c r="BC1041" i="48"/>
  <c r="BC1045" i="48"/>
  <c r="BC1055" i="48"/>
  <c r="BC1061" i="48"/>
  <c r="BC1065" i="48"/>
  <c r="BC1069" i="48"/>
  <c r="BC1073" i="48"/>
  <c r="BC1080" i="48"/>
  <c r="BC1086" i="48"/>
  <c r="BC1090" i="48"/>
  <c r="BC1094" i="48"/>
  <c r="BC1098" i="48"/>
  <c r="BC1107" i="48"/>
  <c r="BC1109" i="48"/>
  <c r="BC1113" i="48"/>
  <c r="BC1117" i="48"/>
  <c r="BC1121" i="48"/>
  <c r="BC1132" i="48"/>
  <c r="BC1134" i="48"/>
  <c r="BC1138" i="48"/>
  <c r="BC1142" i="48"/>
  <c r="BC1146" i="48"/>
  <c r="BC1157" i="48"/>
  <c r="BC1159" i="48"/>
  <c r="BC1163" i="48"/>
  <c r="BC1167" i="48"/>
  <c r="BC1171" i="48"/>
  <c r="BC1182" i="48"/>
  <c r="BC1184" i="48"/>
  <c r="BC1188" i="48"/>
  <c r="BC1192" i="48"/>
  <c r="BC1196" i="48"/>
  <c r="BC1207" i="48"/>
  <c r="BC1209" i="48"/>
  <c r="BC1213" i="48"/>
  <c r="BC1217" i="48"/>
  <c r="BC1221" i="48"/>
  <c r="BC1232" i="48"/>
  <c r="BC1234" i="48"/>
  <c r="BC1238" i="48"/>
  <c r="BC1242" i="48"/>
  <c r="BC1246" i="48"/>
  <c r="BC1256" i="48"/>
  <c r="BC1260" i="48"/>
  <c r="BC1264" i="48"/>
  <c r="BC1268" i="48"/>
  <c r="BC1272" i="48"/>
  <c r="BC1280" i="48"/>
  <c r="BC1286" i="48"/>
  <c r="BC1290" i="48"/>
  <c r="BC1294" i="48"/>
  <c r="BC1298" i="48"/>
  <c r="BC1305" i="48"/>
  <c r="BC1311" i="48"/>
  <c r="BC1313" i="48"/>
  <c r="BC1317" i="48"/>
  <c r="BC1321" i="48"/>
  <c r="BC1334" i="48"/>
  <c r="BC1338" i="48"/>
  <c r="BC1342" i="48"/>
  <c r="BC1346" i="48"/>
  <c r="BC1308" i="48"/>
  <c r="BC1331" i="48"/>
  <c r="BC897" i="48"/>
  <c r="BC910" i="48"/>
  <c r="BC914" i="48"/>
  <c r="BC918" i="48"/>
  <c r="BC922" i="48"/>
  <c r="BC936" i="48"/>
  <c r="BC940" i="48"/>
  <c r="BC944" i="48"/>
  <c r="BC948" i="48"/>
  <c r="BC960" i="48"/>
  <c r="BC964" i="48"/>
  <c r="BC968" i="48"/>
  <c r="BC972" i="48"/>
  <c r="BC985" i="48"/>
  <c r="BC989" i="48"/>
  <c r="BC993" i="48"/>
  <c r="BC1161" i="48"/>
  <c r="BC1173" i="48"/>
  <c r="BC1186" i="48"/>
  <c r="BC1190" i="48"/>
  <c r="BC1194" i="48"/>
  <c r="BC1198" i="48"/>
  <c r="BC1211" i="48"/>
  <c r="BC1215" i="48"/>
  <c r="BC1219" i="48"/>
  <c r="BC1223" i="48"/>
  <c r="BC1236" i="48"/>
  <c r="BC1240" i="48"/>
  <c r="BC1244" i="48"/>
  <c r="BC1248" i="48"/>
  <c r="BC1262" i="48"/>
  <c r="BC1266" i="48"/>
  <c r="BC1270" i="48"/>
  <c r="BC1284" i="48"/>
  <c r="BC1288" i="48"/>
  <c r="BC1292" i="48"/>
  <c r="BC954" i="48"/>
  <c r="BC1000" i="48"/>
  <c r="BC999" i="48"/>
  <c r="BC1100" i="48"/>
  <c r="BC1101" i="48"/>
  <c r="BC1125" i="48"/>
  <c r="BC1126" i="48"/>
  <c r="BC1150" i="48"/>
  <c r="BC1151" i="48"/>
  <c r="BC1225" i="48"/>
  <c r="BC1226" i="48"/>
  <c r="BC1325" i="48"/>
  <c r="BC1326" i="48"/>
  <c r="BC15" i="48"/>
  <c r="BC19" i="48"/>
  <c r="BC23" i="48"/>
  <c r="BC29" i="48"/>
  <c r="BC33" i="48"/>
  <c r="BC34" i="48"/>
  <c r="BC35" i="48"/>
  <c r="BC36" i="48"/>
  <c r="BC37" i="48"/>
  <c r="BC38" i="48"/>
  <c r="BC39" i="48"/>
  <c r="BC40" i="48"/>
  <c r="BC41" i="48"/>
  <c r="BC42" i="48"/>
  <c r="BC43" i="48"/>
  <c r="BC44" i="48"/>
  <c r="BC45" i="48"/>
  <c r="BC46" i="48"/>
  <c r="BC47" i="48"/>
  <c r="BC48" i="48"/>
  <c r="BC49" i="48"/>
  <c r="BC50" i="48"/>
  <c r="BC55" i="48"/>
  <c r="BC81" i="48"/>
  <c r="BC85" i="48"/>
  <c r="BC89" i="48"/>
  <c r="BC93" i="48"/>
  <c r="BC97" i="48"/>
  <c r="BC105" i="48"/>
  <c r="BC109" i="48"/>
  <c r="BC113" i="48"/>
  <c r="BC117" i="48"/>
  <c r="BC121" i="48"/>
  <c r="BC131" i="48"/>
  <c r="BC135" i="48"/>
  <c r="BC139" i="48"/>
  <c r="BC143" i="48"/>
  <c r="BC147" i="48"/>
  <c r="BC157" i="48"/>
  <c r="BC179" i="48"/>
  <c r="BC183" i="48"/>
  <c r="BC187" i="48"/>
  <c r="BC191" i="48"/>
  <c r="BC195" i="48"/>
  <c r="BC199" i="48"/>
  <c r="BC204" i="48"/>
  <c r="BC208" i="48"/>
  <c r="BC212" i="48"/>
  <c r="BC216" i="48"/>
  <c r="BC220" i="48"/>
  <c r="BC224" i="48"/>
  <c r="BC229" i="48"/>
  <c r="BC233" i="48"/>
  <c r="BC235" i="48"/>
  <c r="BC239" i="48"/>
  <c r="BC243" i="48"/>
  <c r="BC247" i="48"/>
  <c r="BC257" i="48"/>
  <c r="BC261" i="48"/>
  <c r="BC265" i="48"/>
  <c r="BC269" i="48"/>
  <c r="BC273" i="48"/>
  <c r="BC280" i="48"/>
  <c r="BC284" i="48"/>
  <c r="BC288" i="48"/>
  <c r="BC292" i="48"/>
  <c r="BC296" i="48"/>
  <c r="BC306" i="48"/>
  <c r="BC310" i="48"/>
  <c r="BC314" i="48"/>
  <c r="BC318" i="48"/>
  <c r="BC322" i="48"/>
  <c r="BC331" i="48"/>
  <c r="BC335" i="48"/>
  <c r="BC339" i="48"/>
  <c r="BC343" i="48"/>
  <c r="BC347" i="48"/>
  <c r="BC349" i="48"/>
  <c r="BC356" i="48"/>
  <c r="BC360" i="48"/>
  <c r="BC364" i="48"/>
  <c r="BC368" i="48"/>
  <c r="BC372" i="48"/>
  <c r="BC381" i="48"/>
  <c r="BC385" i="48"/>
  <c r="BC389" i="48"/>
  <c r="BC393" i="48"/>
  <c r="BC397" i="48"/>
  <c r="BC406" i="48"/>
  <c r="BC410" i="48"/>
  <c r="BC414" i="48"/>
  <c r="BC418" i="48"/>
  <c r="BC422" i="48"/>
  <c r="BC431" i="48"/>
  <c r="BC435" i="48"/>
  <c r="BC439" i="48"/>
  <c r="BC443" i="48"/>
  <c r="BC447" i="48"/>
  <c r="BC455" i="48"/>
  <c r="BC461" i="48"/>
  <c r="BC465" i="48"/>
  <c r="BC469" i="48"/>
  <c r="BC473" i="48"/>
  <c r="BC480" i="48"/>
  <c r="BC486" i="48"/>
  <c r="BC490" i="48"/>
  <c r="BC494" i="48"/>
  <c r="BC498" i="48"/>
  <c r="BC505" i="48"/>
  <c r="BC511" i="48"/>
  <c r="BC515" i="48"/>
  <c r="BC519" i="48"/>
  <c r="BC523" i="48"/>
  <c r="BC529" i="48"/>
  <c r="BC533" i="48"/>
  <c r="BC537" i="48"/>
  <c r="BC541" i="48"/>
  <c r="BC545" i="48"/>
  <c r="BC549" i="48"/>
  <c r="BC554" i="48"/>
  <c r="BC558" i="48"/>
  <c r="BC562" i="48"/>
  <c r="BC566" i="48"/>
  <c r="BC570" i="48"/>
  <c r="BC574" i="48"/>
  <c r="BC575" i="48"/>
  <c r="BC582" i="48"/>
  <c r="BC584" i="48"/>
  <c r="BC588" i="48"/>
  <c r="BC592" i="48"/>
  <c r="BC596" i="48"/>
  <c r="BC600" i="48"/>
  <c r="BC601" i="48"/>
  <c r="BC607" i="48"/>
  <c r="BC609" i="48"/>
  <c r="BC613" i="48"/>
  <c r="BC617" i="48"/>
  <c r="BC621" i="48"/>
  <c r="BC625" i="48"/>
  <c r="BC626" i="48"/>
  <c r="BC632" i="48"/>
  <c r="BC634" i="48"/>
  <c r="BC638" i="48"/>
  <c r="BC642" i="48"/>
  <c r="BC646" i="48"/>
  <c r="BC650" i="48"/>
  <c r="BC651" i="48"/>
  <c r="BC657" i="48"/>
  <c r="BC659" i="48"/>
  <c r="BC663" i="48"/>
  <c r="BC667" i="48"/>
  <c r="BC671" i="48"/>
  <c r="BC675" i="48"/>
  <c r="BC676" i="48"/>
  <c r="BC682" i="48"/>
  <c r="BC686" i="48"/>
  <c r="BC690" i="48"/>
  <c r="BC694" i="48"/>
  <c r="BC698" i="48"/>
  <c r="BC705" i="48"/>
  <c r="BC711" i="48"/>
  <c r="BC715" i="48"/>
  <c r="BC719" i="48"/>
  <c r="BC723" i="48"/>
  <c r="BC730" i="48"/>
  <c r="BC736" i="48"/>
  <c r="BC740" i="48"/>
  <c r="BC744" i="48"/>
  <c r="BC748" i="48"/>
  <c r="BC779" i="48"/>
  <c r="BC783" i="48"/>
  <c r="BC787" i="48"/>
  <c r="BC791" i="48"/>
  <c r="BC795" i="48"/>
  <c r="BC799" i="48"/>
  <c r="BC804" i="48"/>
  <c r="BC808" i="48"/>
  <c r="BC812" i="48"/>
  <c r="BC816" i="48"/>
  <c r="BC820" i="48"/>
  <c r="BC824" i="48"/>
  <c r="BC829" i="48"/>
  <c r="BC833" i="48"/>
  <c r="BC837" i="48"/>
  <c r="BC841" i="48"/>
  <c r="BC845" i="48"/>
  <c r="BC850" i="48"/>
  <c r="BC849" i="48"/>
  <c r="BC857" i="48"/>
  <c r="BC859" i="48"/>
  <c r="BC863" i="48"/>
  <c r="BC867" i="48"/>
  <c r="BC871" i="48"/>
  <c r="BC875" i="48"/>
  <c r="BC876" i="48"/>
  <c r="BC882" i="48"/>
  <c r="BC884" i="48"/>
  <c r="BC888" i="48"/>
  <c r="BC892" i="48"/>
  <c r="BC896" i="48"/>
  <c r="BC900" i="48"/>
  <c r="BC901" i="48"/>
  <c r="BC907" i="48"/>
  <c r="BC909" i="48"/>
  <c r="BC913" i="48"/>
  <c r="BC917" i="48"/>
  <c r="BC921" i="48"/>
  <c r="BC931" i="48"/>
  <c r="BC935" i="48"/>
  <c r="BC939" i="48"/>
  <c r="BC943" i="48"/>
  <c r="BC947" i="48"/>
  <c r="BC957" i="48"/>
  <c r="BC959" i="48"/>
  <c r="BC963" i="48"/>
  <c r="BC967" i="48"/>
  <c r="BC971" i="48"/>
  <c r="BC975" i="48"/>
  <c r="BC976" i="48"/>
  <c r="BC982" i="48"/>
  <c r="BC984" i="48"/>
  <c r="BC988" i="48"/>
  <c r="BC992" i="48"/>
  <c r="BC996" i="48"/>
  <c r="BC1006" i="48"/>
  <c r="BC1010" i="48"/>
  <c r="BC1014" i="48"/>
  <c r="BC1018" i="48"/>
  <c r="BC1022" i="48"/>
  <c r="BC1031" i="48"/>
  <c r="BC1032" i="48"/>
  <c r="BC1038" i="48"/>
  <c r="BC1042" i="48"/>
  <c r="BC1046" i="48"/>
  <c r="BC1054" i="48"/>
  <c r="BC1058" i="48"/>
  <c r="BC1062" i="48"/>
  <c r="BC1066" i="48"/>
  <c r="BC1070" i="48"/>
  <c r="BC1079" i="48"/>
  <c r="BC1083" i="48"/>
  <c r="BC1087" i="48"/>
  <c r="BC1091" i="48"/>
  <c r="BC1095" i="48"/>
  <c r="BC1099" i="48"/>
  <c r="BC1106" i="48"/>
  <c r="BC1110" i="48"/>
  <c r="BC1114" i="48"/>
  <c r="BC1118" i="48"/>
  <c r="BC1122" i="48"/>
  <c r="BC1131" i="48"/>
  <c r="BC1135" i="48"/>
  <c r="BC1139" i="48"/>
  <c r="BC1143" i="48"/>
  <c r="BC1147" i="48"/>
  <c r="BC1156" i="48"/>
  <c r="BC1160" i="48"/>
  <c r="BC1164" i="48"/>
  <c r="BC1168" i="48"/>
  <c r="BC1172" i="48"/>
  <c r="BC1181" i="48"/>
  <c r="BC1185" i="48"/>
  <c r="BC1189" i="48"/>
  <c r="BC1193" i="48"/>
  <c r="BC1197" i="48"/>
  <c r="BC1206" i="48"/>
  <c r="BC1210" i="48"/>
  <c r="BC1214" i="48"/>
  <c r="BC1218" i="48"/>
  <c r="BC1222" i="48"/>
  <c r="BC1231" i="48"/>
  <c r="BC1235" i="48"/>
  <c r="BC1239" i="48"/>
  <c r="BC1243" i="48"/>
  <c r="BC1247" i="48"/>
  <c r="BC1255" i="48"/>
  <c r="BC1261" i="48"/>
  <c r="BC1265" i="48"/>
  <c r="BC1269" i="48"/>
  <c r="BC1273" i="48"/>
  <c r="BC1279" i="48"/>
  <c r="BC1283" i="48"/>
  <c r="BC1287" i="48"/>
  <c r="BC1291" i="48"/>
  <c r="BC1295" i="48"/>
  <c r="BC1299" i="48"/>
  <c r="BC1304" i="48"/>
  <c r="BC1314" i="48"/>
  <c r="BC1318" i="48"/>
  <c r="BC1322" i="48"/>
  <c r="BC1335" i="48"/>
  <c r="BC1339" i="48"/>
  <c r="BC1343" i="48"/>
  <c r="BC1347" i="48"/>
  <c r="BC1350" i="48"/>
  <c r="BC1349" i="48"/>
  <c r="BC124" i="48"/>
  <c r="BC125" i="48"/>
  <c r="BC679" i="48"/>
  <c r="BC1175" i="48"/>
  <c r="BC1176" i="48"/>
  <c r="BC1200" i="48"/>
  <c r="BC1201" i="48"/>
  <c r="BC24" i="48"/>
  <c r="BC25" i="48"/>
  <c r="BC32" i="48"/>
  <c r="BC54" i="48"/>
  <c r="BC59" i="48"/>
  <c r="BC60" i="48"/>
  <c r="BC61" i="48"/>
  <c r="BC62" i="48"/>
  <c r="BC63" i="48"/>
  <c r="BC64" i="48"/>
  <c r="BC65" i="48"/>
  <c r="BC66" i="48"/>
  <c r="BC67" i="48"/>
  <c r="BC68" i="48"/>
  <c r="BC69" i="48"/>
  <c r="BC70" i="48"/>
  <c r="BC71" i="48"/>
  <c r="BC72" i="48"/>
  <c r="BC73" i="48"/>
  <c r="BC75" i="48"/>
  <c r="BB76" i="48" s="1"/>
  <c r="B29" i="58" s="1"/>
  <c r="BC74" i="48"/>
  <c r="BC80" i="48"/>
  <c r="BC104" i="48"/>
  <c r="BC108" i="48"/>
  <c r="BC130" i="48"/>
  <c r="BC150" i="48"/>
  <c r="BC151" i="48"/>
  <c r="BC156" i="48"/>
  <c r="BC175" i="48"/>
  <c r="BC176" i="48"/>
  <c r="BC182" i="48"/>
  <c r="BC200" i="48"/>
  <c r="BC201" i="48"/>
  <c r="BC207" i="48"/>
  <c r="BC225" i="48"/>
  <c r="BC226" i="48"/>
  <c r="BC232" i="48"/>
  <c r="BC256" i="48"/>
  <c r="BC279" i="48"/>
  <c r="BC283" i="48"/>
  <c r="BC287" i="48"/>
  <c r="BC291" i="48"/>
  <c r="BC295" i="48"/>
  <c r="BC300" i="48"/>
  <c r="BC299" i="48"/>
  <c r="BC305" i="48"/>
  <c r="BC330" i="48"/>
  <c r="BC355" i="48"/>
  <c r="BC380" i="48"/>
  <c r="BC405" i="48"/>
  <c r="BC430" i="48"/>
  <c r="BC454" i="48"/>
  <c r="BC458" i="48"/>
  <c r="BC479" i="48"/>
  <c r="BC483" i="48"/>
  <c r="BC504" i="48"/>
  <c r="BC508" i="48"/>
  <c r="BC524" i="48"/>
  <c r="BC525" i="48"/>
  <c r="BC532" i="48"/>
  <c r="BC550" i="48"/>
  <c r="BC551" i="48"/>
  <c r="BC557" i="48"/>
  <c r="BC581" i="48"/>
  <c r="BC606" i="48"/>
  <c r="BC631" i="48"/>
  <c r="BC656" i="48"/>
  <c r="BC681" i="48"/>
  <c r="BC704" i="48"/>
  <c r="BC708" i="48"/>
  <c r="BC729" i="48"/>
  <c r="BC733" i="48"/>
  <c r="BC750" i="48"/>
  <c r="BC749" i="48"/>
  <c r="BC782" i="48"/>
  <c r="BC800" i="48"/>
  <c r="BC801" i="48"/>
  <c r="BC807" i="48"/>
  <c r="BC825" i="48"/>
  <c r="BC826" i="48"/>
  <c r="BC832" i="48"/>
  <c r="BC856" i="48"/>
  <c r="BC881" i="48"/>
  <c r="BC906" i="48"/>
  <c r="BC930" i="48"/>
  <c r="BC956" i="48"/>
  <c r="BC981" i="48"/>
  <c r="BC1005" i="48"/>
  <c r="BC1030" i="48"/>
  <c r="BC1057" i="48"/>
  <c r="BC1082" i="48"/>
  <c r="BC1105" i="48"/>
  <c r="BC1130" i="48"/>
  <c r="BC1155" i="48"/>
  <c r="BC1180" i="48"/>
  <c r="BC1205" i="48"/>
  <c r="BC1230" i="48"/>
  <c r="BC1254" i="48"/>
  <c r="BC1258" i="48"/>
  <c r="BC1275" i="48"/>
  <c r="BC1274" i="48"/>
  <c r="BC1282" i="48"/>
  <c r="BC1296" i="48"/>
  <c r="BC1300" i="48"/>
  <c r="BC1301" i="48"/>
  <c r="BC1307" i="48"/>
  <c r="BC1309" i="48"/>
  <c r="BC1315" i="48"/>
  <c r="BC1319" i="48"/>
  <c r="BC1323" i="48"/>
  <c r="BC1330" i="48"/>
  <c r="BC1336" i="48"/>
  <c r="BC1340" i="48"/>
  <c r="BC1344" i="48"/>
  <c r="BC1348" i="48"/>
  <c r="BC254" i="48"/>
  <c r="BC325" i="48"/>
  <c r="BC326" i="48"/>
  <c r="BC350" i="48"/>
  <c r="BC351" i="48"/>
  <c r="BC375" i="48"/>
  <c r="BC376" i="48"/>
  <c r="BC400" i="48"/>
  <c r="BC401" i="48"/>
  <c r="BC425" i="48"/>
  <c r="BC426" i="48"/>
  <c r="BC579" i="48"/>
  <c r="BC629" i="48"/>
  <c r="BC904" i="48"/>
  <c r="BC925" i="48"/>
  <c r="BC924" i="48"/>
  <c r="BC979" i="48"/>
  <c r="BC1025" i="48"/>
  <c r="BC1026" i="48"/>
  <c r="BC1050" i="48"/>
  <c r="BC1049" i="48"/>
  <c r="BC1075" i="48"/>
  <c r="BC1074" i="48"/>
  <c r="BC17" i="48"/>
  <c r="BC21" i="48"/>
  <c r="BC31" i="48"/>
  <c r="BC57" i="48"/>
  <c r="BC79" i="48"/>
  <c r="BC83" i="48"/>
  <c r="BC87" i="48"/>
  <c r="BC91" i="48"/>
  <c r="BC95" i="48"/>
  <c r="BC99" i="48"/>
  <c r="BC100" i="48"/>
  <c r="BC107" i="48"/>
  <c r="BC111" i="48"/>
  <c r="BC115" i="48"/>
  <c r="BC119" i="48"/>
  <c r="BC123" i="48"/>
  <c r="BC129" i="48"/>
  <c r="BC133" i="48"/>
  <c r="BC137" i="48"/>
  <c r="BC141" i="48"/>
  <c r="BC145" i="48"/>
  <c r="BC155" i="48"/>
  <c r="BC159" i="48"/>
  <c r="BC160" i="48"/>
  <c r="BC161" i="48"/>
  <c r="BC162" i="48"/>
  <c r="BC163" i="48"/>
  <c r="BC164" i="48"/>
  <c r="BC165" i="48"/>
  <c r="BC166" i="48"/>
  <c r="BC167" i="48"/>
  <c r="BC168" i="48"/>
  <c r="BC169" i="48"/>
  <c r="BC170" i="48"/>
  <c r="BC171" i="48"/>
  <c r="BC172" i="48"/>
  <c r="BC173" i="48"/>
  <c r="BC174" i="48"/>
  <c r="BC181" i="48"/>
  <c r="BC185" i="48"/>
  <c r="BC189" i="48"/>
  <c r="BC193" i="48"/>
  <c r="BC197" i="48"/>
  <c r="BC206" i="48"/>
  <c r="BC210" i="48"/>
  <c r="BC214" i="48"/>
  <c r="BC218" i="48"/>
  <c r="BC222" i="48"/>
  <c r="BC231" i="48"/>
  <c r="BC237" i="48"/>
  <c r="BC241" i="48"/>
  <c r="BC245" i="48"/>
  <c r="BC249" i="48"/>
  <c r="BC250" i="48"/>
  <c r="BC255" i="48"/>
  <c r="BC259" i="48"/>
  <c r="BC263" i="48"/>
  <c r="BC267" i="48"/>
  <c r="BC271" i="48"/>
  <c r="BC275" i="48"/>
  <c r="BC282" i="48"/>
  <c r="BC286" i="48"/>
  <c r="BC290" i="48"/>
  <c r="BC294" i="48"/>
  <c r="BC298" i="48"/>
  <c r="BC304" i="48"/>
  <c r="BC308" i="48"/>
  <c r="BC312" i="48"/>
  <c r="BC316" i="48"/>
  <c r="BC320" i="48"/>
  <c r="BC324" i="48"/>
  <c r="BC329" i="48"/>
  <c r="BC333" i="48"/>
  <c r="BC337" i="48"/>
  <c r="BC341" i="48"/>
  <c r="BC345" i="48"/>
  <c r="BC354" i="48"/>
  <c r="BC358" i="48"/>
  <c r="BC362" i="48"/>
  <c r="BC366" i="48"/>
  <c r="BC370" i="48"/>
  <c r="BC374" i="48"/>
  <c r="BC379" i="48"/>
  <c r="BC383" i="48"/>
  <c r="BC387" i="48"/>
  <c r="BC391" i="48"/>
  <c r="BC395" i="48"/>
  <c r="BC399" i="48"/>
  <c r="BC404" i="48"/>
  <c r="BC408" i="48"/>
  <c r="BC412" i="48"/>
  <c r="BC416" i="48"/>
  <c r="BC420" i="48"/>
  <c r="BC424" i="48"/>
  <c r="BC429" i="48"/>
  <c r="BC433" i="48"/>
  <c r="BC437" i="48"/>
  <c r="BC441" i="48"/>
  <c r="BC445" i="48"/>
  <c r="BC449" i="48"/>
  <c r="BC450" i="48"/>
  <c r="BC457" i="48"/>
  <c r="BC459" i="48"/>
  <c r="BC463" i="48"/>
  <c r="BC467" i="48"/>
  <c r="BC471" i="48"/>
  <c r="BC475" i="48"/>
  <c r="BC476" i="48"/>
  <c r="BC482" i="48"/>
  <c r="BC484" i="48"/>
  <c r="BC488" i="48"/>
  <c r="BC492" i="48"/>
  <c r="BC496" i="48"/>
  <c r="BC500" i="48"/>
  <c r="BC501" i="48"/>
  <c r="BC507" i="48"/>
  <c r="BC509" i="48"/>
  <c r="BC513" i="48"/>
  <c r="BC517" i="48"/>
  <c r="BC521" i="48"/>
  <c r="BC531" i="48"/>
  <c r="BC535" i="48"/>
  <c r="BC539" i="48"/>
  <c r="BC543" i="48"/>
  <c r="BC547" i="48"/>
  <c r="BC556" i="48"/>
  <c r="BC560" i="48"/>
  <c r="BC564" i="48"/>
  <c r="BC568" i="48"/>
  <c r="BC572" i="48"/>
  <c r="BC580" i="48"/>
  <c r="BC586" i="48"/>
  <c r="BC590" i="48"/>
  <c r="BC594" i="48"/>
  <c r="BC598" i="48"/>
  <c r="BC605" i="48"/>
  <c r="BC611" i="48"/>
  <c r="BC615" i="48"/>
  <c r="BC619" i="48"/>
  <c r="BC623" i="48"/>
  <c r="BC630" i="48"/>
  <c r="BC636" i="48"/>
  <c r="BC640" i="48"/>
  <c r="BC644" i="48"/>
  <c r="BC648" i="48"/>
  <c r="BC655" i="48"/>
  <c r="BC661" i="48"/>
  <c r="BC665" i="48"/>
  <c r="BC669" i="48"/>
  <c r="BC673" i="48"/>
  <c r="BC680" i="48"/>
  <c r="BC684" i="48"/>
  <c r="BC688" i="48"/>
  <c r="BC692" i="48"/>
  <c r="BC696" i="48"/>
  <c r="BC700" i="48"/>
  <c r="BC701" i="48"/>
  <c r="BC707" i="48"/>
  <c r="BC709" i="48"/>
  <c r="BC713" i="48"/>
  <c r="BC717" i="48"/>
  <c r="BC721" i="48"/>
  <c r="BC725" i="48"/>
  <c r="BC726" i="48"/>
  <c r="BC732" i="48"/>
  <c r="BC734" i="48"/>
  <c r="BC738" i="48"/>
  <c r="BC742" i="48"/>
  <c r="BC746" i="48"/>
  <c r="BC781" i="48"/>
  <c r="BC785" i="48"/>
  <c r="BC789" i="48"/>
  <c r="BC793" i="48"/>
  <c r="BC797" i="48"/>
  <c r="BC806" i="48"/>
  <c r="BC810" i="48"/>
  <c r="BC814" i="48"/>
  <c r="BC818" i="48"/>
  <c r="BC822" i="48"/>
  <c r="BC831" i="48"/>
  <c r="BC835" i="48"/>
  <c r="BC839" i="48"/>
  <c r="BC843" i="48"/>
  <c r="BC847" i="48"/>
  <c r="BC855" i="48"/>
  <c r="BC861" i="48"/>
  <c r="BC865" i="48"/>
  <c r="BC869" i="48"/>
  <c r="BC873" i="48"/>
  <c r="BC880" i="48"/>
  <c r="BC886" i="48"/>
  <c r="BC890" i="48"/>
  <c r="BC894" i="48"/>
  <c r="BC898" i="48"/>
  <c r="BC905" i="48"/>
  <c r="BC911" i="48"/>
  <c r="BC915" i="48"/>
  <c r="BC919" i="48"/>
  <c r="BC923" i="48"/>
  <c r="BC929" i="48"/>
  <c r="BC933" i="48"/>
  <c r="BC937" i="48"/>
  <c r="BC941" i="48"/>
  <c r="BC945" i="48"/>
  <c r="BC950" i="48"/>
  <c r="BC949" i="48"/>
  <c r="BC955" i="48"/>
  <c r="BC961" i="48"/>
  <c r="BC965" i="48"/>
  <c r="BC969" i="48"/>
  <c r="BC973" i="48"/>
  <c r="BC980" i="48"/>
  <c r="BC986" i="48"/>
  <c r="BC990" i="48"/>
  <c r="BC994" i="48"/>
  <c r="BC998" i="48"/>
  <c r="BC1004" i="48"/>
  <c r="BC1008" i="48"/>
  <c r="BC1012" i="48"/>
  <c r="BC1016" i="48"/>
  <c r="BC1020" i="48"/>
  <c r="BC1024" i="48"/>
  <c r="BC1029" i="48"/>
  <c r="BC1036" i="48"/>
  <c r="BC1040" i="48"/>
  <c r="BC1044" i="48"/>
  <c r="BC1048" i="48"/>
  <c r="BC1056" i="48"/>
  <c r="BC1060" i="48"/>
  <c r="BC1064" i="48"/>
  <c r="BC1068" i="48"/>
  <c r="BC1072" i="48"/>
  <c r="BC1081" i="48"/>
  <c r="BC1085" i="48"/>
  <c r="BC1089" i="48"/>
  <c r="BC1093" i="48"/>
  <c r="BC1097" i="48"/>
  <c r="BC1104" i="48"/>
  <c r="BC1108" i="48"/>
  <c r="BC1112" i="48"/>
  <c r="BC1116" i="48"/>
  <c r="BC1120" i="48"/>
  <c r="BC1124" i="48"/>
  <c r="BC1129" i="48"/>
  <c r="BC1133" i="48"/>
  <c r="BC1137" i="48"/>
  <c r="BC1141" i="48"/>
  <c r="BC1145" i="48"/>
  <c r="BC1149" i="48"/>
  <c r="BC1154" i="48"/>
  <c r="BC1158" i="48"/>
  <c r="BC1162" i="48"/>
  <c r="BC1166" i="48"/>
  <c r="BC1170" i="48"/>
  <c r="BC1174" i="48"/>
  <c r="BC1179" i="48"/>
  <c r="BC1183" i="48"/>
  <c r="BC1187" i="48"/>
  <c r="BC1191" i="48"/>
  <c r="BC1195" i="48"/>
  <c r="BC1199" i="48"/>
  <c r="BC1204" i="48"/>
  <c r="BC1208" i="48"/>
  <c r="BC1212" i="48"/>
  <c r="BC1216" i="48"/>
  <c r="BC1220" i="48"/>
  <c r="BC1224" i="48"/>
  <c r="BC1229" i="48"/>
  <c r="BC1233" i="48"/>
  <c r="BC1237" i="48"/>
  <c r="BC1241" i="48"/>
  <c r="BC1245" i="48"/>
  <c r="BC1250" i="48"/>
  <c r="BC1249" i="48"/>
  <c r="BC1257" i="48"/>
  <c r="BC1259" i="48"/>
  <c r="BC1263" i="48"/>
  <c r="BC1267" i="48"/>
  <c r="BC1271" i="48"/>
  <c r="BC1281" i="48"/>
  <c r="BC1285" i="48"/>
  <c r="BC1289" i="48"/>
  <c r="BC1293" i="48"/>
  <c r="BC1297" i="48"/>
  <c r="BC1306" i="48"/>
  <c r="BC1310" i="48"/>
  <c r="BC1312" i="48"/>
  <c r="BC1316" i="48"/>
  <c r="BC1320" i="48"/>
  <c r="BC1324" i="48"/>
  <c r="BC1329" i="48"/>
  <c r="BC1333" i="48"/>
  <c r="BC1337" i="48"/>
  <c r="BC1341" i="48"/>
  <c r="DL23" i="48"/>
  <c r="DL10" i="48"/>
  <c r="DL24" i="48"/>
  <c r="DL14" i="48"/>
  <c r="DL8" i="48"/>
  <c r="DL12" i="48"/>
  <c r="DL18" i="48"/>
  <c r="DL20" i="48"/>
  <c r="DL22" i="48"/>
  <c r="DL7" i="48"/>
  <c r="DL11" i="48"/>
  <c r="DL15" i="48"/>
  <c r="DL19" i="48"/>
  <c r="DL16" i="48"/>
  <c r="DL9" i="48"/>
  <c r="DL13" i="48"/>
  <c r="DL17" i="48"/>
  <c r="DL21" i="48"/>
  <c r="DL26" i="48"/>
  <c r="DL25" i="48"/>
  <c r="BC6" i="48"/>
  <c r="BC10" i="48"/>
  <c r="BC5" i="48"/>
  <c r="BC8" i="48"/>
  <c r="X275" i="48"/>
  <c r="BC11" i="48"/>
  <c r="BC12" i="48"/>
  <c r="BC7" i="48"/>
  <c r="BC9" i="48"/>
  <c r="BC13" i="48"/>
  <c r="W889" i="48"/>
  <c r="W24" i="48"/>
  <c r="W97" i="48"/>
  <c r="W125" i="48"/>
  <c r="W147" i="48"/>
  <c r="W191" i="48"/>
  <c r="W199" i="48"/>
  <c r="W243" i="48"/>
  <c r="W322" i="48"/>
  <c r="W397" i="48"/>
  <c r="W414" i="48"/>
  <c r="W16" i="48"/>
  <c r="W89" i="48"/>
  <c r="W121" i="48"/>
  <c r="W212" i="48"/>
  <c r="W220" i="48"/>
  <c r="W235" i="48"/>
  <c r="W310" i="48"/>
  <c r="W318" i="48"/>
  <c r="W335" i="48"/>
  <c r="W343" i="48"/>
  <c r="W364" i="48"/>
  <c r="W372" i="48"/>
  <c r="W389" i="48"/>
  <c r="W439" i="48"/>
  <c r="W447" i="48"/>
  <c r="W461" i="48"/>
  <c r="W469" i="48"/>
  <c r="W490" i="48"/>
  <c r="W498" i="48"/>
  <c r="W511" i="48"/>
  <c r="W519" i="48"/>
  <c r="W537" i="48"/>
  <c r="W549" i="48"/>
  <c r="W566" i="48"/>
  <c r="W574" i="48"/>
  <c r="W584" i="48"/>
  <c r="W592" i="48"/>
  <c r="W617" i="48"/>
  <c r="W625" i="48"/>
  <c r="W638" i="48"/>
  <c r="W650" i="48"/>
  <c r="W659" i="48"/>
  <c r="W671" i="48"/>
  <c r="W698" i="48"/>
  <c r="W711" i="48"/>
  <c r="W719" i="48"/>
  <c r="W744" i="48"/>
  <c r="W766" i="48"/>
  <c r="W784" i="48"/>
  <c r="W788" i="48"/>
  <c r="W813" i="48"/>
  <c r="W817" i="48"/>
  <c r="W842" i="48"/>
  <c r="W850" i="48"/>
  <c r="W860" i="48"/>
  <c r="W872" i="48"/>
  <c r="W12" i="48"/>
  <c r="W20" i="48"/>
  <c r="W85" i="48"/>
  <c r="W93" i="48"/>
  <c r="W113" i="48"/>
  <c r="W117" i="48"/>
  <c r="W135" i="48"/>
  <c r="W139" i="48"/>
  <c r="W143" i="48"/>
  <c r="W187" i="48"/>
  <c r="W195" i="48"/>
  <c r="W216" i="48"/>
  <c r="W224" i="48"/>
  <c r="W239" i="48"/>
  <c r="W247" i="48"/>
  <c r="W314" i="48"/>
  <c r="W339" i="48"/>
  <c r="W347" i="48"/>
  <c r="W360" i="48"/>
  <c r="W368" i="48"/>
  <c r="W385" i="48"/>
  <c r="W393" i="48"/>
  <c r="W410" i="48"/>
  <c r="W418" i="48"/>
  <c r="W422" i="48"/>
  <c r="W435" i="48"/>
  <c r="W443" i="48"/>
  <c r="W465" i="48"/>
  <c r="W473" i="48"/>
  <c r="W486" i="48"/>
  <c r="W494" i="48"/>
  <c r="W515" i="48"/>
  <c r="W523" i="48"/>
  <c r="W541" i="48"/>
  <c r="W545" i="48"/>
  <c r="W562" i="48"/>
  <c r="W570" i="48"/>
  <c r="W588" i="48"/>
  <c r="W596" i="48"/>
  <c r="W600" i="48"/>
  <c r="W609" i="48"/>
  <c r="W613" i="48"/>
  <c r="W621" i="48"/>
  <c r="W634" i="48"/>
  <c r="W642" i="48"/>
  <c r="W646" i="48"/>
  <c r="W663" i="48"/>
  <c r="W667" i="48"/>
  <c r="W675" i="48"/>
  <c r="W686" i="48"/>
  <c r="W690" i="48"/>
  <c r="W694" i="48"/>
  <c r="W715" i="48"/>
  <c r="W723" i="48"/>
  <c r="W736" i="48"/>
  <c r="W740" i="48"/>
  <c r="W748" i="48"/>
  <c r="W762" i="48"/>
  <c r="W770" i="48"/>
  <c r="W774" i="48"/>
  <c r="W792" i="48"/>
  <c r="W796" i="48"/>
  <c r="W800" i="48"/>
  <c r="W809" i="48"/>
  <c r="W821" i="48"/>
  <c r="W825" i="48"/>
  <c r="W834" i="48"/>
  <c r="W838" i="48"/>
  <c r="W846" i="48"/>
  <c r="W864" i="48"/>
  <c r="W868" i="48"/>
  <c r="W885" i="48"/>
  <c r="W893" i="48"/>
  <c r="W936" i="48"/>
  <c r="W940" i="48"/>
  <c r="W972" i="48"/>
  <c r="W989" i="48"/>
  <c r="W993" i="48"/>
  <c r="W997" i="48"/>
  <c r="W1011" i="48"/>
  <c r="W1015" i="48"/>
  <c r="W1023" i="48"/>
  <c r="W1043" i="48"/>
  <c r="W1071" i="48"/>
  <c r="W1088" i="48"/>
  <c r="W1092" i="48"/>
  <c r="W1096" i="48"/>
  <c r="W1140" i="48"/>
  <c r="W1148" i="48"/>
  <c r="W1186" i="48"/>
  <c r="W1190" i="48"/>
  <c r="W1211" i="48"/>
  <c r="W1236" i="48"/>
  <c r="W1248" i="48"/>
  <c r="W1270" i="48"/>
  <c r="W1274" i="48"/>
  <c r="W1284" i="48"/>
  <c r="W1292" i="48"/>
  <c r="W1309" i="48"/>
  <c r="W1336" i="48"/>
  <c r="W1348" i="48"/>
  <c r="X1349" i="48" s="1"/>
  <c r="W184" i="48"/>
  <c r="W192" i="48"/>
  <c r="W213" i="48"/>
  <c r="W221" i="48"/>
  <c r="W225" i="48"/>
  <c r="W236" i="48"/>
  <c r="W240" i="48"/>
  <c r="W244" i="48"/>
  <c r="W248" i="48"/>
  <c r="W311" i="48"/>
  <c r="W315" i="48"/>
  <c r="W319" i="48"/>
  <c r="W323" i="48"/>
  <c r="W336" i="48"/>
  <c r="W340" i="48"/>
  <c r="W344" i="48"/>
  <c r="W348" i="48"/>
  <c r="X349" i="48" s="1"/>
  <c r="W361" i="48"/>
  <c r="W365" i="48"/>
  <c r="W369" i="48"/>
  <c r="W373" i="48"/>
  <c r="W386" i="48"/>
  <c r="W390" i="48"/>
  <c r="W394" i="48"/>
  <c r="W398" i="48"/>
  <c r="W411" i="48"/>
  <c r="W415" i="48"/>
  <c r="W419" i="48"/>
  <c r="W423" i="48"/>
  <c r="W436" i="48"/>
  <c r="W440" i="48"/>
  <c r="W444" i="48"/>
  <c r="W448" i="48"/>
  <c r="W462" i="48"/>
  <c r="W466" i="48"/>
  <c r="W470" i="48"/>
  <c r="W474" i="48"/>
  <c r="W487" i="48"/>
  <c r="W491" i="48"/>
  <c r="W495" i="48"/>
  <c r="W499" i="48"/>
  <c r="W512" i="48"/>
  <c r="W516" i="48"/>
  <c r="W520" i="48"/>
  <c r="W524" i="48"/>
  <c r="W534" i="48"/>
  <c r="W538" i="48"/>
  <c r="W542" i="48"/>
  <c r="W546" i="48"/>
  <c r="W550" i="48"/>
  <c r="W559" i="48"/>
  <c r="W563" i="48"/>
  <c r="W567" i="48"/>
  <c r="W571" i="48"/>
  <c r="W575" i="48"/>
  <c r="W585" i="48"/>
  <c r="W589" i="48"/>
  <c r="W593" i="48"/>
  <c r="W597" i="48"/>
  <c r="W610" i="48"/>
  <c r="W614" i="48"/>
  <c r="W618" i="48"/>
  <c r="W622" i="48"/>
  <c r="W635" i="48"/>
  <c r="W639" i="48"/>
  <c r="W643" i="48"/>
  <c r="W647" i="48"/>
  <c r="W660" i="48"/>
  <c r="W664" i="48"/>
  <c r="W668" i="48"/>
  <c r="W672" i="48"/>
  <c r="W687" i="48"/>
  <c r="W691" i="48"/>
  <c r="W695" i="48"/>
  <c r="W699" i="48"/>
  <c r="W712" i="48"/>
  <c r="W716" i="48"/>
  <c r="W720" i="48"/>
  <c r="W724" i="48"/>
  <c r="W737" i="48"/>
  <c r="W741" i="48"/>
  <c r="W745" i="48"/>
  <c r="W749" i="48"/>
  <c r="W759" i="48"/>
  <c r="W763" i="48"/>
  <c r="W767" i="48"/>
  <c r="W771" i="48"/>
  <c r="W775" i="48"/>
  <c r="W785" i="48"/>
  <c r="W789" i="48"/>
  <c r="W793" i="48"/>
  <c r="W797" i="48"/>
  <c r="W810" i="48"/>
  <c r="W814" i="48"/>
  <c r="W818" i="48"/>
  <c r="W822" i="48"/>
  <c r="W835" i="48"/>
  <c r="W839" i="48"/>
  <c r="W843" i="48"/>
  <c r="W847" i="48"/>
  <c r="W861" i="48"/>
  <c r="W865" i="48"/>
  <c r="W869" i="48"/>
  <c r="W873" i="48"/>
  <c r="W886" i="48"/>
  <c r="W890" i="48"/>
  <c r="W894" i="48"/>
  <c r="W898" i="48"/>
  <c r="W911" i="48"/>
  <c r="W915" i="48"/>
  <c r="W919" i="48"/>
  <c r="W923" i="48"/>
  <c r="W937" i="48"/>
  <c r="W941" i="48"/>
  <c r="W945" i="48"/>
  <c r="W949" i="48"/>
  <c r="W961" i="48"/>
  <c r="W965" i="48"/>
  <c r="W969" i="48"/>
  <c r="W973" i="48"/>
  <c r="W986" i="48"/>
  <c r="W990" i="48"/>
  <c r="W994" i="48"/>
  <c r="W998" i="48"/>
  <c r="W1012" i="48"/>
  <c r="W1016" i="48"/>
  <c r="W1020" i="48"/>
  <c r="W1024" i="48"/>
  <c r="W1036" i="48"/>
  <c r="W1040" i="48"/>
  <c r="W1044" i="48"/>
  <c r="W1048" i="48"/>
  <c r="W1060" i="48"/>
  <c r="W1064" i="48"/>
  <c r="W1068" i="48"/>
  <c r="W1072" i="48"/>
  <c r="W1085" i="48"/>
  <c r="W1089" i="48"/>
  <c r="W1093" i="48"/>
  <c r="W1097" i="48"/>
  <c r="W1112" i="48"/>
  <c r="W1116" i="48"/>
  <c r="W1120" i="48"/>
  <c r="W1124" i="48"/>
  <c r="W1137" i="48"/>
  <c r="W1141" i="48"/>
  <c r="W1145" i="48"/>
  <c r="W1149" i="48"/>
  <c r="W1162" i="48"/>
  <c r="W1166" i="48"/>
  <c r="W1170" i="48"/>
  <c r="W1174" i="48"/>
  <c r="W1187" i="48"/>
  <c r="W1191" i="48"/>
  <c r="W1195" i="48"/>
  <c r="W1199" i="48"/>
  <c r="W1212" i="48"/>
  <c r="W1216" i="48"/>
  <c r="W1220" i="48"/>
  <c r="W1224" i="48"/>
  <c r="W1237" i="48"/>
  <c r="W1241" i="48"/>
  <c r="W1245" i="48"/>
  <c r="W1249" i="48"/>
  <c r="W1259" i="48"/>
  <c r="W1263" i="48"/>
  <c r="W1267" i="48"/>
  <c r="W1271" i="48"/>
  <c r="W1275" i="48"/>
  <c r="W1285" i="48"/>
  <c r="W1289" i="48"/>
  <c r="W1293" i="48"/>
  <c r="W1297" i="48"/>
  <c r="W1310" i="48"/>
  <c r="W1312" i="48"/>
  <c r="W1316" i="48"/>
  <c r="W1320" i="48"/>
  <c r="W1324" i="48"/>
  <c r="W1337" i="48"/>
  <c r="W1341" i="48"/>
  <c r="W1345" i="48"/>
  <c r="W897" i="48"/>
  <c r="W922" i="48"/>
  <c r="W944" i="48"/>
  <c r="W948" i="48"/>
  <c r="W964" i="48"/>
  <c r="W1034" i="48"/>
  <c r="W1047" i="48"/>
  <c r="W1063" i="48"/>
  <c r="W1084" i="48"/>
  <c r="W1123" i="48"/>
  <c r="W1161" i="48"/>
  <c r="W1165" i="48"/>
  <c r="W1169" i="48"/>
  <c r="W1173" i="48"/>
  <c r="W1194" i="48"/>
  <c r="W1198" i="48"/>
  <c r="W1240" i="48"/>
  <c r="W1244" i="48"/>
  <c r="W1262" i="48"/>
  <c r="W1300" i="48"/>
  <c r="W1323" i="48"/>
  <c r="W122" i="48"/>
  <c r="W188" i="48"/>
  <c r="W196" i="48"/>
  <c r="W200" i="48"/>
  <c r="W10" i="48"/>
  <c r="W14" i="48"/>
  <c r="W18" i="48"/>
  <c r="W87" i="48"/>
  <c r="W91" i="48"/>
  <c r="W95" i="48"/>
  <c r="W99" i="48"/>
  <c r="W111" i="48"/>
  <c r="W115" i="48"/>
  <c r="W119" i="48"/>
  <c r="W123" i="48"/>
  <c r="W137" i="48"/>
  <c r="W141" i="48"/>
  <c r="W145" i="48"/>
  <c r="W149" i="48"/>
  <c r="X150" i="48" s="1"/>
  <c r="W160" i="48"/>
  <c r="W161" i="48"/>
  <c r="W162" i="48"/>
  <c r="W163" i="48"/>
  <c r="W164" i="48"/>
  <c r="W165" i="48"/>
  <c r="W166" i="48"/>
  <c r="W167" i="48"/>
  <c r="W168" i="48"/>
  <c r="W169" i="48"/>
  <c r="W170" i="48"/>
  <c r="W171" i="48"/>
  <c r="W172" i="48"/>
  <c r="W173" i="48"/>
  <c r="W174" i="48"/>
  <c r="W185" i="48"/>
  <c r="W189" i="48"/>
  <c r="W193" i="48"/>
  <c r="W197" i="48"/>
  <c r="W210" i="48"/>
  <c r="W214" i="48"/>
  <c r="W218" i="48"/>
  <c r="W222" i="48"/>
  <c r="X222" i="48" s="1"/>
  <c r="W237" i="48"/>
  <c r="W241" i="48"/>
  <c r="W245" i="48"/>
  <c r="W249" i="48"/>
  <c r="W312" i="48"/>
  <c r="W316" i="48"/>
  <c r="W320" i="48"/>
  <c r="W324" i="48"/>
  <c r="W337" i="48"/>
  <c r="W341" i="48"/>
  <c r="W345" i="48"/>
  <c r="W362" i="48"/>
  <c r="W366" i="48"/>
  <c r="W370" i="48"/>
  <c r="W374" i="48"/>
  <c r="W387" i="48"/>
  <c r="W391" i="48"/>
  <c r="W395" i="48"/>
  <c r="W399" i="48"/>
  <c r="W412" i="48"/>
  <c r="W416" i="48"/>
  <c r="W420" i="48"/>
  <c r="W424" i="48"/>
  <c r="W437" i="48"/>
  <c r="W441" i="48"/>
  <c r="W445" i="48"/>
  <c r="W449" i="48"/>
  <c r="W459" i="48"/>
  <c r="W463" i="48"/>
  <c r="W467" i="48"/>
  <c r="W471" i="48"/>
  <c r="W475" i="48"/>
  <c r="W484" i="48"/>
  <c r="W488" i="48"/>
  <c r="X488" i="48" s="1"/>
  <c r="W492" i="48"/>
  <c r="X492" i="48" s="1"/>
  <c r="W496" i="48"/>
  <c r="X496" i="48" s="1"/>
  <c r="W500" i="48"/>
  <c r="W509" i="48"/>
  <c r="W513" i="48"/>
  <c r="W517" i="48"/>
  <c r="W521" i="48"/>
  <c r="W525" i="48"/>
  <c r="W535" i="48"/>
  <c r="W539" i="48"/>
  <c r="W543" i="48"/>
  <c r="W547" i="48"/>
  <c r="W560" i="48"/>
  <c r="X560" i="48" s="1"/>
  <c r="W564" i="48"/>
  <c r="W568" i="48"/>
  <c r="W572" i="48"/>
  <c r="X572" i="48" s="1"/>
  <c r="W586" i="48"/>
  <c r="W590" i="48"/>
  <c r="W594" i="48"/>
  <c r="W598" i="48"/>
  <c r="W611" i="48"/>
  <c r="W615" i="48"/>
  <c r="W619" i="48"/>
  <c r="W623" i="48"/>
  <c r="W636" i="48"/>
  <c r="W640" i="48"/>
  <c r="W644" i="48"/>
  <c r="W648" i="48"/>
  <c r="W661" i="48"/>
  <c r="W665" i="48"/>
  <c r="W669" i="48"/>
  <c r="W673" i="48"/>
  <c r="W688" i="48"/>
  <c r="W692" i="48"/>
  <c r="W696" i="48"/>
  <c r="W700" i="48"/>
  <c r="W709" i="48"/>
  <c r="W713" i="48"/>
  <c r="X713" i="48" s="1"/>
  <c r="W717" i="48"/>
  <c r="X717" i="48" s="1"/>
  <c r="W721" i="48"/>
  <c r="X721" i="48" s="1"/>
  <c r="W725" i="48"/>
  <c r="W734" i="48"/>
  <c r="W738" i="48"/>
  <c r="W742" i="48"/>
  <c r="W746" i="48"/>
  <c r="W750" i="48"/>
  <c r="W760" i="48"/>
  <c r="W764" i="48"/>
  <c r="W768" i="48"/>
  <c r="W772" i="48"/>
  <c r="W786" i="48"/>
  <c r="W790" i="48"/>
  <c r="X790" i="48" s="1"/>
  <c r="W794" i="48"/>
  <c r="X794" i="48" s="1"/>
  <c r="W798" i="48"/>
  <c r="X798" i="48" s="1"/>
  <c r="W811" i="48"/>
  <c r="X811" i="48" s="1"/>
  <c r="W815" i="48"/>
  <c r="X815" i="48" s="1"/>
  <c r="W819" i="48"/>
  <c r="X819" i="48" s="1"/>
  <c r="W823" i="48"/>
  <c r="X823" i="48" s="1"/>
  <c r="W836" i="48"/>
  <c r="X836" i="48" s="1"/>
  <c r="W840" i="48"/>
  <c r="X840" i="48" s="1"/>
  <c r="W844" i="48"/>
  <c r="X844" i="48" s="1"/>
  <c r="W848" i="48"/>
  <c r="X848" i="48" s="1"/>
  <c r="W862" i="48"/>
  <c r="W866" i="48"/>
  <c r="X866" i="48" s="1"/>
  <c r="W870" i="48"/>
  <c r="X870" i="48" s="1"/>
  <c r="W874" i="48"/>
  <c r="X874" i="48" s="1"/>
  <c r="W887" i="48"/>
  <c r="X887" i="48" s="1"/>
  <c r="W891" i="48"/>
  <c r="X891" i="48" s="1"/>
  <c r="W895" i="48"/>
  <c r="X895" i="48" s="1"/>
  <c r="W899" i="48"/>
  <c r="W912" i="48"/>
  <c r="X912" i="48" s="1"/>
  <c r="W916" i="48"/>
  <c r="X916" i="48" s="1"/>
  <c r="W920" i="48"/>
  <c r="W924" i="48"/>
  <c r="X924" i="48" s="1"/>
  <c r="W934" i="48"/>
  <c r="W938" i="48"/>
  <c r="W942" i="48"/>
  <c r="W946" i="48"/>
  <c r="W962" i="48"/>
  <c r="X962" i="48" s="1"/>
  <c r="W966" i="48"/>
  <c r="X966" i="48" s="1"/>
  <c r="W970" i="48"/>
  <c r="X970" i="48" s="1"/>
  <c r="W974" i="48"/>
  <c r="X974" i="48" s="1"/>
  <c r="W987" i="48"/>
  <c r="X987" i="48" s="1"/>
  <c r="W991" i="48"/>
  <c r="X991" i="48" s="1"/>
  <c r="W995" i="48"/>
  <c r="X995" i="48" s="1"/>
  <c r="W999" i="48"/>
  <c r="X999" i="48" s="1"/>
  <c r="W1009" i="48"/>
  <c r="W1013" i="48"/>
  <c r="W1017" i="48"/>
  <c r="W1021" i="48"/>
  <c r="W1025" i="48"/>
  <c r="W1037" i="48"/>
  <c r="W1041" i="48"/>
  <c r="W1045" i="48"/>
  <c r="W1049" i="48"/>
  <c r="X1050" i="48" s="1"/>
  <c r="W1061" i="48"/>
  <c r="W1065" i="48"/>
  <c r="W1069" i="48"/>
  <c r="W1073" i="48"/>
  <c r="W1074" i="48"/>
  <c r="X1075" i="48" s="1"/>
  <c r="W1086" i="48"/>
  <c r="W1090" i="48"/>
  <c r="W1094" i="48"/>
  <c r="W1098" i="48"/>
  <c r="W1109" i="48"/>
  <c r="W1113" i="48"/>
  <c r="W1117" i="48"/>
  <c r="W1121" i="48"/>
  <c r="W1125" i="48"/>
  <c r="W1134" i="48"/>
  <c r="W1138" i="48"/>
  <c r="W1142" i="48"/>
  <c r="W1146" i="48"/>
  <c r="W1150" i="48"/>
  <c r="W1159" i="48"/>
  <c r="W1163" i="48"/>
  <c r="W1167" i="48"/>
  <c r="W1171" i="48"/>
  <c r="W1175" i="48"/>
  <c r="W1184" i="48"/>
  <c r="W1188" i="48"/>
  <c r="W1192" i="48"/>
  <c r="W1196" i="48"/>
  <c r="W1200" i="48"/>
  <c r="W1209" i="48"/>
  <c r="W1213" i="48"/>
  <c r="W1217" i="48"/>
  <c r="W1221" i="48"/>
  <c r="W1225" i="48"/>
  <c r="W1234" i="48"/>
  <c r="W1238" i="48"/>
  <c r="X1238" i="48" s="1"/>
  <c r="W1242" i="48"/>
  <c r="X1242" i="48" s="1"/>
  <c r="W1246" i="48"/>
  <c r="X1246" i="48" s="1"/>
  <c r="W1250" i="48"/>
  <c r="W1260" i="48"/>
  <c r="X1260" i="48" s="1"/>
  <c r="W1264" i="48"/>
  <c r="W1268" i="48"/>
  <c r="X1268" i="48" s="1"/>
  <c r="W1272" i="48"/>
  <c r="W1286" i="48"/>
  <c r="W1290" i="48"/>
  <c r="W1294" i="48"/>
  <c r="W1298" i="48"/>
  <c r="W1311" i="48"/>
  <c r="W1313" i="48"/>
  <c r="W1317" i="48"/>
  <c r="W1321" i="48"/>
  <c r="W1325" i="48"/>
  <c r="W1334" i="48"/>
  <c r="W1338" i="48"/>
  <c r="X1338" i="48" s="1"/>
  <c r="W1342" i="48"/>
  <c r="W1346" i="48"/>
  <c r="X1346" i="48" s="1"/>
  <c r="X299" i="48"/>
  <c r="W910" i="48"/>
  <c r="W914" i="48"/>
  <c r="W918" i="48"/>
  <c r="W960" i="48"/>
  <c r="W968" i="48"/>
  <c r="W985" i="48"/>
  <c r="W1019" i="48"/>
  <c r="W1035" i="48"/>
  <c r="W1039" i="48"/>
  <c r="W1059" i="48"/>
  <c r="W1067" i="48"/>
  <c r="W1111" i="48"/>
  <c r="W1115" i="48"/>
  <c r="W1119" i="48"/>
  <c r="W1136" i="48"/>
  <c r="W1144" i="48"/>
  <c r="W1215" i="48"/>
  <c r="W1219" i="48"/>
  <c r="W1223" i="48"/>
  <c r="W1266" i="48"/>
  <c r="W1288" i="48"/>
  <c r="W1296" i="48"/>
  <c r="W1315" i="48"/>
  <c r="W1319" i="48"/>
  <c r="W1340" i="48"/>
  <c r="W1344" i="48"/>
  <c r="W13" i="48"/>
  <c r="W17" i="48"/>
  <c r="W21" i="48"/>
  <c r="W25" i="48"/>
  <c r="W86" i="48"/>
  <c r="W90" i="48"/>
  <c r="W94" i="48"/>
  <c r="W98" i="48"/>
  <c r="W110" i="48"/>
  <c r="W114" i="48"/>
  <c r="W118" i="48"/>
  <c r="W136" i="48"/>
  <c r="W140" i="48"/>
  <c r="W144" i="48"/>
  <c r="W148" i="48"/>
  <c r="W209" i="48"/>
  <c r="W217" i="48"/>
  <c r="W22" i="48"/>
  <c r="W11" i="48"/>
  <c r="W15" i="48"/>
  <c r="W19" i="48"/>
  <c r="W23" i="48"/>
  <c r="W84" i="48"/>
  <c r="W88" i="48"/>
  <c r="W92" i="48"/>
  <c r="W96" i="48"/>
  <c r="W100" i="48"/>
  <c r="W112" i="48"/>
  <c r="W116" i="48"/>
  <c r="W120" i="48"/>
  <c r="W124" i="48"/>
  <c r="W134" i="48"/>
  <c r="W138" i="48"/>
  <c r="W142" i="48"/>
  <c r="W146" i="48"/>
  <c r="W186" i="48"/>
  <c r="W190" i="48"/>
  <c r="W194" i="48"/>
  <c r="W198" i="48"/>
  <c r="W211" i="48"/>
  <c r="W215" i="48"/>
  <c r="W219" i="48"/>
  <c r="W223" i="48"/>
  <c r="W238" i="48"/>
  <c r="W242" i="48"/>
  <c r="W246" i="48"/>
  <c r="W309" i="48"/>
  <c r="W313" i="48"/>
  <c r="W317" i="48"/>
  <c r="W321" i="48"/>
  <c r="W325" i="48"/>
  <c r="W334" i="48"/>
  <c r="W338" i="48"/>
  <c r="W342" i="48"/>
  <c r="W346" i="48"/>
  <c r="W359" i="48"/>
  <c r="W363" i="48"/>
  <c r="W367" i="48"/>
  <c r="W371" i="48"/>
  <c r="W375" i="48"/>
  <c r="W384" i="48"/>
  <c r="W388" i="48"/>
  <c r="W392" i="48"/>
  <c r="W396" i="48"/>
  <c r="W400" i="48"/>
  <c r="W409" i="48"/>
  <c r="W413" i="48"/>
  <c r="W417" i="48"/>
  <c r="W421" i="48"/>
  <c r="W425" i="48"/>
  <c r="W434" i="48"/>
  <c r="W438" i="48"/>
  <c r="W442" i="48"/>
  <c r="W446" i="48"/>
  <c r="W450" i="48"/>
  <c r="W460" i="48"/>
  <c r="W464" i="48"/>
  <c r="W468" i="48"/>
  <c r="W472" i="48"/>
  <c r="W485" i="48"/>
  <c r="W489" i="48"/>
  <c r="W493" i="48"/>
  <c r="W497" i="48"/>
  <c r="W510" i="48"/>
  <c r="W514" i="48"/>
  <c r="W518" i="48"/>
  <c r="W522" i="48"/>
  <c r="W536" i="48"/>
  <c r="W540" i="48"/>
  <c r="W544" i="48"/>
  <c r="W548" i="48"/>
  <c r="W561" i="48"/>
  <c r="W565" i="48"/>
  <c r="W569" i="48"/>
  <c r="W573" i="48"/>
  <c r="W587" i="48"/>
  <c r="W591" i="48"/>
  <c r="W595" i="48"/>
  <c r="W599" i="48"/>
  <c r="W612" i="48"/>
  <c r="W616" i="48"/>
  <c r="W620" i="48"/>
  <c r="W624" i="48"/>
  <c r="W637" i="48"/>
  <c r="W641" i="48"/>
  <c r="W645" i="48"/>
  <c r="W649" i="48"/>
  <c r="W662" i="48"/>
  <c r="W666" i="48"/>
  <c r="W670" i="48"/>
  <c r="W674" i="48"/>
  <c r="W685" i="48"/>
  <c r="W689" i="48"/>
  <c r="W693" i="48"/>
  <c r="W697" i="48"/>
  <c r="W710" i="48"/>
  <c r="W714" i="48"/>
  <c r="W718" i="48"/>
  <c r="W722" i="48"/>
  <c r="W735" i="48"/>
  <c r="W739" i="48"/>
  <c r="W743" i="48"/>
  <c r="W747" i="48"/>
  <c r="W761" i="48"/>
  <c r="W765" i="48"/>
  <c r="W769" i="48"/>
  <c r="W773" i="48"/>
  <c r="W787" i="48"/>
  <c r="W791" i="48"/>
  <c r="W795" i="48"/>
  <c r="W799" i="48"/>
  <c r="W812" i="48"/>
  <c r="W816" i="48"/>
  <c r="W820" i="48"/>
  <c r="W824" i="48"/>
  <c r="W837" i="48"/>
  <c r="W841" i="48"/>
  <c r="W845" i="48"/>
  <c r="W849" i="48"/>
  <c r="W859" i="48"/>
  <c r="W863" i="48"/>
  <c r="W867" i="48"/>
  <c r="W871" i="48"/>
  <c r="W875" i="48"/>
  <c r="W884" i="48"/>
  <c r="W888" i="48"/>
  <c r="W892" i="48"/>
  <c r="W896" i="48"/>
  <c r="W900" i="48"/>
  <c r="W909" i="48"/>
  <c r="W913" i="48"/>
  <c r="W917" i="48"/>
  <c r="W921" i="48"/>
  <c r="W925" i="48"/>
  <c r="W935" i="48"/>
  <c r="W939" i="48"/>
  <c r="W943" i="48"/>
  <c r="W947" i="48"/>
  <c r="W959" i="48"/>
  <c r="W963" i="48"/>
  <c r="W967" i="48"/>
  <c r="W971" i="48"/>
  <c r="W975" i="48"/>
  <c r="W984" i="48"/>
  <c r="W988" i="48"/>
  <c r="W992" i="48"/>
  <c r="W996" i="48"/>
  <c r="W1000" i="48"/>
  <c r="W1010" i="48"/>
  <c r="W1014" i="48"/>
  <c r="W1018" i="48"/>
  <c r="W1022" i="48"/>
  <c r="W1038" i="48"/>
  <c r="W1042" i="48"/>
  <c r="W1046" i="48"/>
  <c r="W1062" i="48"/>
  <c r="W1066" i="48"/>
  <c r="W1070" i="48"/>
  <c r="W1087" i="48"/>
  <c r="W1091" i="48"/>
  <c r="W1095" i="48"/>
  <c r="W1099" i="48"/>
  <c r="W1110" i="48"/>
  <c r="W1114" i="48"/>
  <c r="W1118" i="48"/>
  <c r="W1122" i="48"/>
  <c r="W1135" i="48"/>
  <c r="W1139" i="48"/>
  <c r="W1143" i="48"/>
  <c r="W1147" i="48"/>
  <c r="W1160" i="48"/>
  <c r="W1164" i="48"/>
  <c r="W1168" i="48"/>
  <c r="W1172" i="48"/>
  <c r="W1185" i="48"/>
  <c r="W1189" i="48"/>
  <c r="W1193" i="48"/>
  <c r="W1197" i="48"/>
  <c r="W1210" i="48"/>
  <c r="W1214" i="48"/>
  <c r="W1218" i="48"/>
  <c r="W1222" i="48"/>
  <c r="W1235" i="48"/>
  <c r="W1239" i="48"/>
  <c r="W1243" i="48"/>
  <c r="W1247" i="48"/>
  <c r="W1261" i="48"/>
  <c r="W1265" i="48"/>
  <c r="W1269" i="48"/>
  <c r="W1273" i="48"/>
  <c r="W1287" i="48"/>
  <c r="W1291" i="48"/>
  <c r="W1295" i="48"/>
  <c r="W1299" i="48"/>
  <c r="W1314" i="48"/>
  <c r="W1318" i="48"/>
  <c r="W1322" i="48"/>
  <c r="W1335" i="48"/>
  <c r="W1339" i="48"/>
  <c r="W1343" i="48"/>
  <c r="W1347" i="48"/>
  <c r="X290" i="48"/>
  <c r="X296" i="48"/>
  <c r="X300" i="48"/>
  <c r="X263" i="48"/>
  <c r="X267" i="48"/>
  <c r="X271" i="48"/>
  <c r="X285" i="48"/>
  <c r="X289" i="48"/>
  <c r="X293" i="48"/>
  <c r="X297" i="48"/>
  <c r="X1350" i="48"/>
  <c r="X260" i="48"/>
  <c r="X264" i="48"/>
  <c r="X268" i="48"/>
  <c r="X272" i="48"/>
  <c r="X286" i="48"/>
  <c r="X294" i="48"/>
  <c r="X298" i="48"/>
  <c r="X350" i="48"/>
  <c r="X261" i="48"/>
  <c r="X265" i="48"/>
  <c r="X269" i="48"/>
  <c r="X273" i="48"/>
  <c r="X287" i="48"/>
  <c r="X291" i="48"/>
  <c r="X295" i="48"/>
  <c r="X262" i="48"/>
  <c r="X266" i="48"/>
  <c r="X270" i="48"/>
  <c r="X274" i="48"/>
  <c r="X288" i="48"/>
  <c r="X292" i="48"/>
  <c r="CD1328" i="48"/>
  <c r="CF1328" i="48" s="1"/>
  <c r="CG1328" i="48" s="1"/>
  <c r="CH1225" i="48"/>
  <c r="CI1225" i="48" s="1"/>
  <c r="CJ1225" i="48" s="1"/>
  <c r="CH425" i="48"/>
  <c r="CI425" i="48" s="1"/>
  <c r="CJ425" i="48" s="1"/>
  <c r="CH600" i="48"/>
  <c r="CI600" i="48" s="1"/>
  <c r="CJ600" i="48" s="1"/>
  <c r="CH800" i="48"/>
  <c r="CI800" i="48" s="1"/>
  <c r="CJ800" i="48" s="1"/>
  <c r="CH1100" i="48"/>
  <c r="CI1100" i="48" s="1"/>
  <c r="CJ1100" i="48" s="1"/>
  <c r="CH1275" i="48"/>
  <c r="CI1275" i="48" s="1"/>
  <c r="CJ1275" i="48" s="1"/>
  <c r="CH375" i="48"/>
  <c r="CI375" i="48" s="1"/>
  <c r="CJ375" i="48" s="1"/>
  <c r="CH150" i="48"/>
  <c r="CI150" i="48" s="1"/>
  <c r="CJ150" i="48" s="1"/>
  <c r="CH700" i="48"/>
  <c r="CI700" i="48" s="1"/>
  <c r="CJ700" i="48" s="1"/>
  <c r="CH175" i="48"/>
  <c r="CI175" i="48" s="1"/>
  <c r="CJ175" i="48" s="1"/>
  <c r="CH350" i="48"/>
  <c r="CI350" i="48" s="1"/>
  <c r="CJ350" i="48" s="1"/>
  <c r="CH525" i="48"/>
  <c r="CI525" i="48" s="1"/>
  <c r="CJ525" i="48" s="1"/>
  <c r="CH725" i="48"/>
  <c r="CI725" i="48" s="1"/>
  <c r="CJ725" i="48" s="1"/>
  <c r="CH975" i="48"/>
  <c r="CI975" i="48" s="1"/>
  <c r="CJ975" i="48" s="1"/>
  <c r="CH1150" i="48"/>
  <c r="CI1150" i="48" s="1"/>
  <c r="CJ1150" i="48" s="1"/>
  <c r="CH550" i="48"/>
  <c r="CI550" i="48" s="1"/>
  <c r="CJ550" i="48" s="1"/>
  <c r="CH900" i="48"/>
  <c r="CI900" i="48" s="1"/>
  <c r="CJ900" i="48" s="1"/>
  <c r="CH75" i="48"/>
  <c r="CI75" i="48" s="1"/>
  <c r="CJ75" i="48" s="1"/>
  <c r="CH125" i="48"/>
  <c r="CI125" i="48" s="1"/>
  <c r="CJ125" i="48" s="1"/>
  <c r="CH325" i="48"/>
  <c r="CI325" i="48" s="1"/>
  <c r="CJ325" i="48" s="1"/>
  <c r="CH500" i="48"/>
  <c r="CI500" i="48" s="1"/>
  <c r="CJ500" i="48" s="1"/>
  <c r="CH675" i="48"/>
  <c r="CI675" i="48" s="1"/>
  <c r="CJ675" i="48" s="1"/>
  <c r="CH850" i="48"/>
  <c r="CI850" i="48" s="1"/>
  <c r="CJ850" i="48" s="1"/>
  <c r="CH1025" i="48"/>
  <c r="CI1025" i="48" s="1"/>
  <c r="CJ1025" i="48" s="1"/>
  <c r="CH1200" i="48"/>
  <c r="CI1200" i="48" s="1"/>
  <c r="CJ1200" i="48" s="1"/>
  <c r="CH100" i="48"/>
  <c r="CI100" i="48" s="1"/>
  <c r="CJ100" i="48" s="1"/>
  <c r="CH300" i="48"/>
  <c r="CI300" i="48" s="1"/>
  <c r="CJ300" i="48" s="1"/>
  <c r="CH475" i="48"/>
  <c r="CI475" i="48" s="1"/>
  <c r="CJ475" i="48" s="1"/>
  <c r="CH650" i="48"/>
  <c r="CI650" i="48" s="1"/>
  <c r="CJ650" i="48" s="1"/>
  <c r="CH825" i="48"/>
  <c r="CI825" i="48" s="1"/>
  <c r="CJ825" i="48" s="1"/>
  <c r="CH1000" i="48"/>
  <c r="CI1000" i="48" s="1"/>
  <c r="CJ1000" i="48" s="1"/>
  <c r="CH1175" i="48"/>
  <c r="CI1175" i="48" s="1"/>
  <c r="CJ1175" i="48" s="1"/>
  <c r="CH275" i="48"/>
  <c r="CI275" i="48" s="1"/>
  <c r="CJ275" i="48" s="1"/>
  <c r="CH450" i="48"/>
  <c r="CI450" i="48" s="1"/>
  <c r="CJ450" i="48" s="1"/>
  <c r="CH625" i="48"/>
  <c r="CI625" i="48" s="1"/>
  <c r="CJ625" i="48" s="1"/>
  <c r="CH1350" i="48"/>
  <c r="CI1350" i="48" s="1"/>
  <c r="CJ1350" i="48" s="1"/>
  <c r="CH1325" i="48"/>
  <c r="CI1325" i="48" s="1"/>
  <c r="CJ1325" i="48" s="1"/>
  <c r="CH50" i="48"/>
  <c r="CI50" i="48" s="1"/>
  <c r="CJ50" i="48" s="1"/>
  <c r="CH225" i="48"/>
  <c r="CI225" i="48" s="1"/>
  <c r="CJ225" i="48" s="1"/>
  <c r="CH400" i="48"/>
  <c r="CI400" i="48" s="1"/>
  <c r="CJ400" i="48" s="1"/>
  <c r="CH575" i="48"/>
  <c r="CI575" i="48" s="1"/>
  <c r="CJ575" i="48" s="1"/>
  <c r="CH775" i="48"/>
  <c r="CI775" i="48" s="1"/>
  <c r="CJ775" i="48" s="1"/>
  <c r="CH925" i="48"/>
  <c r="CI925" i="48" s="1"/>
  <c r="CJ925" i="48" s="1"/>
  <c r="CH1125" i="48"/>
  <c r="CI1125" i="48" s="1"/>
  <c r="CJ1125" i="48" s="1"/>
  <c r="CH1300" i="48"/>
  <c r="CI1300" i="48" s="1"/>
  <c r="CJ1300" i="48" s="1"/>
  <c r="CH25" i="48"/>
  <c r="CI25" i="48" s="1"/>
  <c r="CJ25" i="48" s="1"/>
  <c r="CH200" i="48"/>
  <c r="CI200" i="48" s="1"/>
  <c r="CJ200" i="48" s="1"/>
  <c r="CH750" i="48"/>
  <c r="CI750" i="48" s="1"/>
  <c r="CJ750" i="48" s="1"/>
  <c r="CH875" i="48"/>
  <c r="CI875" i="48" s="1"/>
  <c r="CJ875" i="48" s="1"/>
  <c r="CH1250" i="48"/>
  <c r="CI1250" i="48" s="1"/>
  <c r="CJ1250" i="48" s="1"/>
  <c r="CH1249" i="48"/>
  <c r="CI1249" i="48" s="1"/>
  <c r="CJ1249" i="48" s="1"/>
  <c r="CH749" i="48"/>
  <c r="CI749" i="48" s="1"/>
  <c r="CJ749" i="48" s="1"/>
  <c r="CH899" i="48"/>
  <c r="CI899" i="48" s="1"/>
  <c r="CJ899" i="48" s="1"/>
  <c r="CH174" i="48"/>
  <c r="CI174" i="48" s="1"/>
  <c r="CJ174" i="48" s="1"/>
  <c r="CH349" i="48"/>
  <c r="CI349" i="48" s="1"/>
  <c r="CJ349" i="48" s="1"/>
  <c r="CH524" i="48"/>
  <c r="CI524" i="48" s="1"/>
  <c r="CJ524" i="48" s="1"/>
  <c r="CH724" i="48"/>
  <c r="CI724" i="48" s="1"/>
  <c r="CJ724" i="48" s="1"/>
  <c r="CH874" i="48"/>
  <c r="CI874" i="48" s="1"/>
  <c r="CJ874" i="48" s="1"/>
  <c r="CH1074" i="48"/>
  <c r="CI1074" i="48" s="1"/>
  <c r="CJ1074" i="48" s="1"/>
  <c r="CH1099" i="48"/>
  <c r="CI1099" i="48" s="1"/>
  <c r="CJ1099" i="48" s="1"/>
  <c r="CH1274" i="48"/>
  <c r="CI1274" i="48" s="1"/>
  <c r="CJ1274" i="48" s="1"/>
  <c r="CH199" i="48"/>
  <c r="CI199" i="48" s="1"/>
  <c r="CJ199" i="48" s="1"/>
  <c r="CH374" i="48"/>
  <c r="CI374" i="48" s="1"/>
  <c r="CJ374" i="48" s="1"/>
  <c r="CH549" i="48"/>
  <c r="CI549" i="48" s="1"/>
  <c r="CJ549" i="48" s="1"/>
  <c r="CH49" i="48"/>
  <c r="CI49" i="48" s="1"/>
  <c r="CJ49" i="48" s="1"/>
  <c r="CH224" i="48"/>
  <c r="CI224" i="48" s="1"/>
  <c r="CJ224" i="48" s="1"/>
  <c r="CH399" i="48"/>
  <c r="CI399" i="48" s="1"/>
  <c r="CJ399" i="48" s="1"/>
  <c r="CH574" i="48"/>
  <c r="CI574" i="48" s="1"/>
  <c r="CJ574" i="48" s="1"/>
  <c r="CH774" i="48"/>
  <c r="CI774" i="48" s="1"/>
  <c r="CJ774" i="48" s="1"/>
  <c r="CH924" i="48"/>
  <c r="CI924" i="48" s="1"/>
  <c r="CJ924" i="48" s="1"/>
  <c r="CH1299" i="48"/>
  <c r="CI1299" i="48" s="1"/>
  <c r="CJ1299" i="48" s="1"/>
  <c r="CH74" i="48"/>
  <c r="CI74" i="48" s="1"/>
  <c r="CJ74" i="48" s="1"/>
  <c r="CH249" i="48"/>
  <c r="CI249" i="48" s="1"/>
  <c r="CJ249" i="48" s="1"/>
  <c r="CH424" i="48"/>
  <c r="CI424" i="48" s="1"/>
  <c r="CJ424" i="48" s="1"/>
  <c r="CH599" i="48"/>
  <c r="CI599" i="48" s="1"/>
  <c r="CJ599" i="48" s="1"/>
  <c r="CH799" i="48"/>
  <c r="CI799" i="48" s="1"/>
  <c r="CJ799" i="48" s="1"/>
  <c r="CH949" i="48"/>
  <c r="CI949" i="48" s="1"/>
  <c r="CJ949" i="48" s="1"/>
  <c r="CH1324" i="48"/>
  <c r="CI1324" i="48" s="1"/>
  <c r="CJ1324" i="48" s="1"/>
  <c r="CH274" i="48"/>
  <c r="CI274" i="48" s="1"/>
  <c r="CJ274" i="48" s="1"/>
  <c r="CH449" i="48"/>
  <c r="CI449" i="48" s="1"/>
  <c r="CJ449" i="48" s="1"/>
  <c r="CH624" i="48"/>
  <c r="CI624" i="48" s="1"/>
  <c r="CJ624" i="48" s="1"/>
  <c r="CH974" i="48"/>
  <c r="CI974" i="48" s="1"/>
  <c r="CJ974" i="48" s="1"/>
  <c r="CH1349" i="48"/>
  <c r="CI1349" i="48" s="1"/>
  <c r="CJ1349" i="48" s="1"/>
  <c r="CH99" i="48"/>
  <c r="CI99" i="48" s="1"/>
  <c r="CJ99" i="48" s="1"/>
  <c r="CH299" i="48"/>
  <c r="CI299" i="48" s="1"/>
  <c r="CJ299" i="48" s="1"/>
  <c r="CH474" i="48"/>
  <c r="CI474" i="48" s="1"/>
  <c r="CJ474" i="48" s="1"/>
  <c r="CH649" i="48"/>
  <c r="CI649" i="48" s="1"/>
  <c r="CJ649" i="48" s="1"/>
  <c r="CH824" i="48"/>
  <c r="CI824" i="48" s="1"/>
  <c r="CJ824" i="48" s="1"/>
  <c r="CH999" i="48"/>
  <c r="CI999" i="48" s="1"/>
  <c r="CJ999" i="48" s="1"/>
  <c r="CH1174" i="48"/>
  <c r="CI1174" i="48" s="1"/>
  <c r="CJ1174" i="48" s="1"/>
  <c r="CH124" i="48"/>
  <c r="CI124" i="48" s="1"/>
  <c r="CJ124" i="48" s="1"/>
  <c r="CH324" i="48"/>
  <c r="CI324" i="48" s="1"/>
  <c r="CJ324" i="48" s="1"/>
  <c r="CH499" i="48"/>
  <c r="CI499" i="48" s="1"/>
  <c r="CJ499" i="48" s="1"/>
  <c r="CH674" i="48"/>
  <c r="CI674" i="48" s="1"/>
  <c r="CJ674" i="48" s="1"/>
  <c r="CH849" i="48"/>
  <c r="CI849" i="48" s="1"/>
  <c r="CJ849" i="48" s="1"/>
  <c r="CH1024" i="48"/>
  <c r="CI1024" i="48" s="1"/>
  <c r="CJ1024" i="48" s="1"/>
  <c r="CH1199" i="48"/>
  <c r="CI1199" i="48" s="1"/>
  <c r="CJ1199" i="48" s="1"/>
  <c r="CH149" i="48"/>
  <c r="CI149" i="48" s="1"/>
  <c r="CJ149" i="48" s="1"/>
  <c r="CH699" i="48"/>
  <c r="CI699" i="48" s="1"/>
  <c r="CJ699" i="48" s="1"/>
  <c r="CH1049" i="48"/>
  <c r="CI1049" i="48" s="1"/>
  <c r="CJ1049" i="48" s="1"/>
  <c r="CH1224" i="48"/>
  <c r="CI1224" i="48" s="1"/>
  <c r="CJ1224" i="48" s="1"/>
  <c r="CH24" i="48"/>
  <c r="CI24" i="48" s="1"/>
  <c r="CJ24" i="48" s="1"/>
  <c r="C30" i="58" l="1"/>
  <c r="Q21" i="58" s="1"/>
  <c r="AQ952" i="48"/>
  <c r="C10" i="58"/>
  <c r="C26" i="58"/>
  <c r="Q17" i="58" s="1"/>
  <c r="C9" i="58"/>
  <c r="C24" i="58"/>
  <c r="Q15" i="58" s="1"/>
  <c r="C16" i="58"/>
  <c r="Q7" i="58" s="1"/>
  <c r="C22" i="58"/>
  <c r="Q13" i="58" s="1"/>
  <c r="C11" i="58"/>
  <c r="C13" i="58"/>
  <c r="C14" i="58"/>
  <c r="C23" i="58"/>
  <c r="Q14" i="58" s="1"/>
  <c r="C25" i="58"/>
  <c r="Q16" i="58" s="1"/>
  <c r="C15" i="58"/>
  <c r="Q6" i="58" s="1"/>
  <c r="C29" i="58"/>
  <c r="Q20" i="58" s="1"/>
  <c r="C12" i="58"/>
  <c r="C19" i="58"/>
  <c r="Q10" i="58" s="1"/>
  <c r="C18" i="58"/>
  <c r="Q9" i="58" s="1"/>
  <c r="C28" i="58"/>
  <c r="Q19" i="58" s="1"/>
  <c r="C27" i="58"/>
  <c r="Q18" i="58" s="1"/>
  <c r="C21" i="58"/>
  <c r="Q12" i="58" s="1"/>
  <c r="C17" i="58"/>
  <c r="Q8" i="58" s="1"/>
  <c r="AQ163" i="48"/>
  <c r="AQ992" i="48"/>
  <c r="AQ197" i="48"/>
  <c r="AQ91" i="48"/>
  <c r="AQ86" i="48"/>
  <c r="AQ1046" i="48"/>
  <c r="AQ723" i="48"/>
  <c r="AQ193" i="48"/>
  <c r="AQ74" i="48"/>
  <c r="AQ687" i="48"/>
  <c r="AQ27" i="48"/>
  <c r="AQ90" i="48"/>
  <c r="AQ94" i="48"/>
  <c r="AQ64" i="48"/>
  <c r="AQ495" i="48"/>
  <c r="BC77" i="48"/>
  <c r="BC76" i="48"/>
  <c r="AQ1316" i="48"/>
  <c r="AQ1241" i="48"/>
  <c r="AQ1141" i="48"/>
  <c r="AQ1016" i="48"/>
  <c r="AQ839" i="48"/>
  <c r="AQ1344" i="48"/>
  <c r="AQ1270" i="48"/>
  <c r="AQ1211" i="48"/>
  <c r="AQ1161" i="48"/>
  <c r="AQ1111" i="48"/>
  <c r="AQ922" i="48"/>
  <c r="AQ741" i="48"/>
  <c r="AQ1247" i="48"/>
  <c r="AQ1147" i="48"/>
  <c r="AQ1042" i="48"/>
  <c r="AQ867" i="48"/>
  <c r="AQ816" i="48"/>
  <c r="AQ744" i="48"/>
  <c r="AQ1286" i="48"/>
  <c r="AQ836" i="48"/>
  <c r="AQ739" i="48"/>
  <c r="AQ644" i="48"/>
  <c r="AQ564" i="48"/>
  <c r="AQ395" i="48"/>
  <c r="AQ286" i="48"/>
  <c r="AQ189" i="48"/>
  <c r="AQ695" i="48"/>
  <c r="AQ411" i="48"/>
  <c r="AQ1297" i="48"/>
  <c r="AQ1216" i="48"/>
  <c r="AQ1116" i="48"/>
  <c r="AQ941" i="48"/>
  <c r="AQ1336" i="48"/>
  <c r="AQ1244" i="48"/>
  <c r="AQ1194" i="48"/>
  <c r="AQ1144" i="48"/>
  <c r="AQ1092" i="48"/>
  <c r="AQ914" i="48"/>
  <c r="AQ1347" i="48"/>
  <c r="AQ1239" i="48"/>
  <c r="AQ1139" i="48"/>
  <c r="AQ1022" i="48"/>
  <c r="AQ917" i="48"/>
  <c r="AQ841" i="48"/>
  <c r="AQ736" i="48"/>
  <c r="AQ1017" i="48"/>
  <c r="AQ619" i="48"/>
  <c r="AQ567" i="48"/>
  <c r="AQ386" i="48"/>
  <c r="AQ1289" i="48"/>
  <c r="AQ1191" i="48"/>
  <c r="AQ1097" i="48"/>
  <c r="AQ919" i="48"/>
  <c r="AQ1319" i="48"/>
  <c r="AQ1236" i="48"/>
  <c r="AQ1186" i="48"/>
  <c r="AQ1136" i="48"/>
  <c r="AQ997" i="48"/>
  <c r="AQ897" i="48"/>
  <c r="AQ817" i="48"/>
  <c r="AQ1339" i="48"/>
  <c r="AQ1197" i="48"/>
  <c r="AQ1091" i="48"/>
  <c r="AQ1014" i="48"/>
  <c r="AQ820" i="48"/>
  <c r="AQ1342" i="48"/>
  <c r="AQ991" i="48"/>
  <c r="AQ811" i="48"/>
  <c r="AQ692" i="48"/>
  <c r="AQ611" i="48"/>
  <c r="AQ166" i="48"/>
  <c r="AQ361" i="48"/>
  <c r="AQ1341" i="48"/>
  <c r="AQ1267" i="48"/>
  <c r="AQ1166" i="48"/>
  <c r="AQ1089" i="48"/>
  <c r="AQ847" i="48"/>
  <c r="AQ1219" i="48"/>
  <c r="AQ1169" i="48"/>
  <c r="AQ1119" i="48"/>
  <c r="AQ989" i="48"/>
  <c r="AQ889" i="48"/>
  <c r="AQ1291" i="48"/>
  <c r="AQ1189" i="48"/>
  <c r="AQ1070" i="48"/>
  <c r="AQ791" i="48"/>
  <c r="AQ1061" i="48"/>
  <c r="AQ966" i="48"/>
  <c r="AQ786" i="48"/>
  <c r="AQ669" i="48"/>
  <c r="AQ594" i="48"/>
  <c r="AQ445" i="48"/>
  <c r="AQ164" i="48"/>
  <c r="AQ720" i="48"/>
  <c r="AQ436" i="48"/>
  <c r="AQ311" i="48"/>
  <c r="AQ17" i="48"/>
  <c r="AQ767" i="48"/>
  <c r="AQ242" i="48"/>
  <c r="AQ442" i="48"/>
  <c r="AQ117" i="48"/>
  <c r="AQ292" i="48"/>
  <c r="AQ642" i="48"/>
  <c r="AQ417" i="48"/>
  <c r="AQ42" i="48"/>
  <c r="AQ667" i="48"/>
  <c r="AQ192" i="48"/>
  <c r="AQ267" i="48"/>
  <c r="AQ467" i="48"/>
  <c r="AQ717" i="48"/>
  <c r="AQ942" i="48"/>
  <c r="AQ1142" i="48"/>
  <c r="AQ1242" i="48"/>
  <c r="AQ342" i="48"/>
  <c r="AQ392" i="48"/>
  <c r="AQ592" i="48"/>
  <c r="AQ92" i="48"/>
  <c r="AQ142" i="48"/>
  <c r="AQ317" i="48"/>
  <c r="AQ367" i="48"/>
  <c r="AQ617" i="48"/>
  <c r="AQ67" i="48"/>
  <c r="AQ542" i="48"/>
  <c r="AQ517" i="48"/>
  <c r="AQ1192" i="48"/>
  <c r="AQ22" i="48"/>
  <c r="AQ772" i="48"/>
  <c r="AQ472" i="48"/>
  <c r="AQ147" i="48"/>
  <c r="AQ322" i="48"/>
  <c r="AQ297" i="48"/>
  <c r="AQ697" i="48"/>
  <c r="AQ397" i="48"/>
  <c r="AQ122" i="48"/>
  <c r="AQ272" i="48"/>
  <c r="AQ622" i="48"/>
  <c r="AQ672" i="48"/>
  <c r="AQ222" i="48"/>
  <c r="AQ1272" i="48"/>
  <c r="AQ522" i="48"/>
  <c r="AQ47" i="48"/>
  <c r="AQ97" i="48"/>
  <c r="AQ247" i="48"/>
  <c r="AQ347" i="48"/>
  <c r="AQ372" i="48"/>
  <c r="AQ447" i="48"/>
  <c r="AQ497" i="48"/>
  <c r="AQ422" i="48"/>
  <c r="AQ597" i="48"/>
  <c r="AQ647" i="48"/>
  <c r="AQ547" i="48"/>
  <c r="AQ722" i="48"/>
  <c r="AQ16" i="48"/>
  <c r="AQ766" i="48"/>
  <c r="AQ41" i="48"/>
  <c r="AQ191" i="48"/>
  <c r="AQ541" i="48"/>
  <c r="AQ566" i="48"/>
  <c r="AQ241" i="48"/>
  <c r="AQ341" i="48"/>
  <c r="AQ391" i="48"/>
  <c r="AQ441" i="48"/>
  <c r="AQ866" i="48"/>
  <c r="AQ891" i="48"/>
  <c r="AQ1041" i="48"/>
  <c r="AQ266" i="48"/>
  <c r="AQ591" i="48"/>
  <c r="AQ616" i="48"/>
  <c r="AQ641" i="48"/>
  <c r="AQ666" i="48"/>
  <c r="AQ216" i="48"/>
  <c r="AQ116" i="48"/>
  <c r="AQ291" i="48"/>
  <c r="AQ466" i="48"/>
  <c r="AQ491" i="48"/>
  <c r="AQ516" i="48"/>
  <c r="AQ691" i="48"/>
  <c r="AQ716" i="48"/>
  <c r="AQ316" i="48"/>
  <c r="AQ366" i="48"/>
  <c r="AQ416" i="48"/>
  <c r="AQ916" i="48"/>
  <c r="AQ11" i="48"/>
  <c r="AQ261" i="48"/>
  <c r="AQ186" i="48"/>
  <c r="AQ211" i="48"/>
  <c r="AQ61" i="48"/>
  <c r="AQ236" i="48"/>
  <c r="AQ111" i="48"/>
  <c r="AQ1086" i="48"/>
  <c r="AQ536" i="48"/>
  <c r="AQ561" i="48"/>
  <c r="AQ461" i="48"/>
  <c r="AQ486" i="48"/>
  <c r="AQ511" i="48"/>
  <c r="AQ686" i="48"/>
  <c r="AQ711" i="48"/>
  <c r="AQ36" i="48"/>
  <c r="AQ336" i="48"/>
  <c r="AQ586" i="48"/>
  <c r="AQ636" i="48"/>
  <c r="AQ661" i="48"/>
  <c r="AQ761" i="48"/>
  <c r="AQ13" i="48"/>
  <c r="AQ1345" i="48"/>
  <c r="AQ1320" i="48"/>
  <c r="AQ1293" i="48"/>
  <c r="AQ1263" i="48"/>
  <c r="AQ1237" i="48"/>
  <c r="AQ1212" i="48"/>
  <c r="AQ1187" i="48"/>
  <c r="AQ1162" i="48"/>
  <c r="AQ1137" i="48"/>
  <c r="AQ1112" i="48"/>
  <c r="AQ1072" i="48"/>
  <c r="AQ1044" i="48"/>
  <c r="AQ1020" i="48"/>
  <c r="AQ994" i="48"/>
  <c r="AQ969" i="48"/>
  <c r="AQ945" i="48"/>
  <c r="AQ915" i="48"/>
  <c r="AQ894" i="48"/>
  <c r="AQ869" i="48"/>
  <c r="AQ843" i="48"/>
  <c r="AQ818" i="48"/>
  <c r="AQ797" i="48"/>
  <c r="AQ742" i="48"/>
  <c r="AQ1348" i="48"/>
  <c r="AQ1323" i="48"/>
  <c r="AQ1274" i="48"/>
  <c r="AQ1248" i="48"/>
  <c r="AQ1223" i="48"/>
  <c r="AQ1198" i="48"/>
  <c r="AQ1173" i="48"/>
  <c r="AQ1148" i="48"/>
  <c r="AQ1123" i="48"/>
  <c r="AQ1096" i="48"/>
  <c r="AQ1067" i="48"/>
  <c r="AQ1039" i="48"/>
  <c r="AQ1011" i="48"/>
  <c r="AQ972" i="48"/>
  <c r="AQ944" i="48"/>
  <c r="AQ872" i="48"/>
  <c r="AQ842" i="48"/>
  <c r="AQ774" i="48"/>
  <c r="AQ737" i="48"/>
  <c r="AQ1343" i="48"/>
  <c r="AQ1314" i="48"/>
  <c r="AQ1287" i="48"/>
  <c r="AQ1261" i="48"/>
  <c r="AQ1222" i="48"/>
  <c r="AQ1193" i="48"/>
  <c r="AQ1164" i="48"/>
  <c r="AQ1122" i="48"/>
  <c r="AQ1095" i="48"/>
  <c r="AQ1066" i="48"/>
  <c r="AQ1038" i="48"/>
  <c r="AQ996" i="48"/>
  <c r="AQ947" i="48"/>
  <c r="AQ892" i="48"/>
  <c r="AQ871" i="48"/>
  <c r="AQ845" i="48"/>
  <c r="AQ795" i="48"/>
  <c r="AQ748" i="48"/>
  <c r="AQ1346" i="48"/>
  <c r="AQ1311" i="48"/>
  <c r="AQ1268" i="48"/>
  <c r="AQ1217" i="48"/>
  <c r="AQ1188" i="48"/>
  <c r="AQ1117" i="48"/>
  <c r="AQ1090" i="48"/>
  <c r="AQ1045" i="48"/>
  <c r="AQ999" i="48"/>
  <c r="AQ946" i="48"/>
  <c r="AQ870" i="48"/>
  <c r="AQ794" i="48"/>
  <c r="AQ721" i="48"/>
  <c r="AQ673" i="48"/>
  <c r="AQ648" i="48"/>
  <c r="AQ623" i="48"/>
  <c r="AQ598" i="48"/>
  <c r="AQ572" i="48"/>
  <c r="AQ513" i="48"/>
  <c r="AQ437" i="48"/>
  <c r="AQ294" i="48"/>
  <c r="AQ172" i="48"/>
  <c r="AQ169" i="48"/>
  <c r="AQ165" i="48"/>
  <c r="AQ161" i="48"/>
  <c r="AQ115" i="48"/>
  <c r="AQ546" i="48"/>
  <c r="AQ444" i="48"/>
  <c r="AQ319" i="48"/>
  <c r="AQ217" i="48"/>
  <c r="AQ98" i="48"/>
  <c r="AQ66" i="48"/>
  <c r="AQ198" i="48"/>
  <c r="AQ223" i="48"/>
  <c r="AQ73" i="48"/>
  <c r="AQ148" i="48"/>
  <c r="AQ323" i="48"/>
  <c r="AQ348" i="48"/>
  <c r="AQ373" i="48"/>
  <c r="AQ398" i="48"/>
  <c r="AQ423" i="48"/>
  <c r="AQ448" i="48"/>
  <c r="AQ298" i="48"/>
  <c r="AQ548" i="48"/>
  <c r="AQ573" i="48"/>
  <c r="AQ273" i="48"/>
  <c r="AQ473" i="48"/>
  <c r="AQ498" i="48"/>
  <c r="AQ523" i="48"/>
  <c r="AQ48" i="48"/>
  <c r="AQ248" i="48"/>
  <c r="AQ798" i="48"/>
  <c r="AQ823" i="48"/>
  <c r="AQ848" i="48"/>
  <c r="AQ1073" i="48"/>
  <c r="AQ18" i="48"/>
  <c r="AQ768" i="48"/>
  <c r="AQ293" i="48"/>
  <c r="AQ693" i="48"/>
  <c r="AQ93" i="48"/>
  <c r="AQ243" i="48"/>
  <c r="AQ343" i="48"/>
  <c r="AQ368" i="48"/>
  <c r="AQ393" i="48"/>
  <c r="AQ518" i="48"/>
  <c r="AQ418" i="48"/>
  <c r="AQ443" i="48"/>
  <c r="AQ593" i="48"/>
  <c r="AQ643" i="48"/>
  <c r="AQ568" i="48"/>
  <c r="AQ743" i="48"/>
  <c r="AQ493" i="48"/>
  <c r="AQ43" i="48"/>
  <c r="AQ468" i="48"/>
  <c r="AQ718" i="48"/>
  <c r="AQ143" i="48"/>
  <c r="AQ318" i="48"/>
  <c r="AQ268" i="48"/>
  <c r="AQ618" i="48"/>
  <c r="AQ668" i="48"/>
  <c r="AQ49" i="48"/>
  <c r="AQ199" i="48"/>
  <c r="AQ224" i="48"/>
  <c r="AQ349" i="48"/>
  <c r="AQ124" i="48"/>
  <c r="AQ299" i="48"/>
  <c r="AQ474" i="48"/>
  <c r="AQ499" i="48"/>
  <c r="AQ524" i="48"/>
  <c r="AQ699" i="48"/>
  <c r="AQ249" i="48"/>
  <c r="AQ324" i="48"/>
  <c r="AQ274" i="48"/>
  <c r="AQ599" i="48"/>
  <c r="AQ624" i="48"/>
  <c r="AQ649" i="48"/>
  <c r="AQ674" i="48"/>
  <c r="AQ549" i="48"/>
  <c r="AQ574" i="48"/>
  <c r="AQ374" i="48"/>
  <c r="AQ399" i="48"/>
  <c r="AQ424" i="48"/>
  <c r="AQ449" i="48"/>
  <c r="AQ874" i="48"/>
  <c r="AQ899" i="48"/>
  <c r="AQ924" i="48"/>
  <c r="AQ1049" i="48"/>
  <c r="AQ762" i="48"/>
  <c r="AQ262" i="48"/>
  <c r="AQ587" i="48"/>
  <c r="AQ612" i="48"/>
  <c r="AQ637" i="48"/>
  <c r="AQ662" i="48"/>
  <c r="AQ37" i="48"/>
  <c r="AQ212" i="48"/>
  <c r="AQ137" i="48"/>
  <c r="AQ362" i="48"/>
  <c r="AQ412" i="48"/>
  <c r="AQ912" i="48"/>
  <c r="AQ112" i="48"/>
  <c r="AQ187" i="48"/>
  <c r="AQ537" i="48"/>
  <c r="AQ562" i="48"/>
  <c r="AQ87" i="48"/>
  <c r="AQ237" i="48"/>
  <c r="AQ337" i="48"/>
  <c r="AQ962" i="48"/>
  <c r="AQ987" i="48"/>
  <c r="AQ24" i="48"/>
  <c r="AQ1249" i="48"/>
  <c r="AQ1224" i="48"/>
  <c r="AQ1199" i="48"/>
  <c r="AQ1174" i="48"/>
  <c r="AQ1149" i="48"/>
  <c r="AQ1124" i="48"/>
  <c r="AQ1068" i="48"/>
  <c r="AQ1040" i="48"/>
  <c r="AQ990" i="48"/>
  <c r="AQ965" i="48"/>
  <c r="AQ890" i="48"/>
  <c r="AQ865" i="48"/>
  <c r="AQ793" i="48"/>
  <c r="AQ738" i="48"/>
  <c r="AQ1296" i="48"/>
  <c r="AQ1063" i="48"/>
  <c r="AQ1023" i="48"/>
  <c r="AQ968" i="48"/>
  <c r="AQ940" i="48"/>
  <c r="AQ918" i="48"/>
  <c r="AQ868" i="48"/>
  <c r="AQ838" i="48"/>
  <c r="AQ821" i="48"/>
  <c r="AQ813" i="48"/>
  <c r="AQ796" i="48"/>
  <c r="AQ749" i="48"/>
  <c r="AQ724" i="48"/>
  <c r="AQ1299" i="48"/>
  <c r="AQ1273" i="48"/>
  <c r="AQ1218" i="48"/>
  <c r="AQ1118" i="48"/>
  <c r="AQ1062" i="48"/>
  <c r="AQ971" i="48"/>
  <c r="AQ943" i="48"/>
  <c r="AQ888" i="48"/>
  <c r="AQ812" i="48"/>
  <c r="AQ1321" i="48"/>
  <c r="AQ1298" i="48"/>
  <c r="AQ1246" i="48"/>
  <c r="AQ1146" i="48"/>
  <c r="AQ1074" i="48"/>
  <c r="AQ1037" i="48"/>
  <c r="AQ938" i="48"/>
  <c r="AQ862" i="48"/>
  <c r="AQ713" i="48"/>
  <c r="AQ471" i="48"/>
  <c r="AQ171" i="48"/>
  <c r="AQ168" i="48"/>
  <c r="AQ149" i="48"/>
  <c r="AQ99" i="48"/>
  <c r="AQ538" i="48"/>
  <c r="AQ487" i="48"/>
  <c r="AQ144" i="48"/>
  <c r="AQ72" i="48"/>
  <c r="AQ715" i="48"/>
  <c r="AQ19" i="48"/>
  <c r="AQ769" i="48"/>
  <c r="AQ269" i="48"/>
  <c r="AQ544" i="48"/>
  <c r="AQ569" i="48"/>
  <c r="AQ469" i="48"/>
  <c r="AQ494" i="48"/>
  <c r="AQ519" i="48"/>
  <c r="AQ694" i="48"/>
  <c r="AQ719" i="48"/>
  <c r="AQ69" i="48"/>
  <c r="AQ244" i="48"/>
  <c r="AQ819" i="48"/>
  <c r="AQ194" i="48"/>
  <c r="AQ219" i="48"/>
  <c r="AQ44" i="48"/>
  <c r="AQ344" i="48"/>
  <c r="AQ369" i="48"/>
  <c r="AQ419" i="48"/>
  <c r="AQ119" i="48"/>
  <c r="AQ1094" i="48"/>
  <c r="AQ14" i="48"/>
  <c r="AQ764" i="48"/>
  <c r="AQ514" i="48"/>
  <c r="AQ439" i="48"/>
  <c r="AQ489" i="48"/>
  <c r="AQ264" i="48"/>
  <c r="AQ614" i="48"/>
  <c r="AQ664" i="48"/>
  <c r="AQ539" i="48"/>
  <c r="AQ464" i="48"/>
  <c r="AQ714" i="48"/>
  <c r="AQ39" i="48"/>
  <c r="AQ89" i="48"/>
  <c r="AQ139" i="48"/>
  <c r="AQ239" i="48"/>
  <c r="AQ314" i="48"/>
  <c r="AQ339" i="48"/>
  <c r="AQ364" i="48"/>
  <c r="AQ289" i="48"/>
  <c r="AQ689" i="48"/>
  <c r="AQ389" i="48"/>
  <c r="AQ414" i="48"/>
  <c r="AQ114" i="48"/>
  <c r="AQ589" i="48"/>
  <c r="AQ639" i="48"/>
  <c r="AQ214" i="48"/>
  <c r="AQ1264" i="48"/>
  <c r="AQ20" i="48"/>
  <c r="AQ770" i="48"/>
  <c r="AQ120" i="48"/>
  <c r="AQ270" i="48"/>
  <c r="AQ595" i="48"/>
  <c r="AQ620" i="48"/>
  <c r="AQ645" i="48"/>
  <c r="AQ670" i="48"/>
  <c r="AQ45" i="48"/>
  <c r="AQ545" i="48"/>
  <c r="AQ570" i="48"/>
  <c r="AQ95" i="48"/>
  <c r="AQ370" i="48"/>
  <c r="AQ420" i="48"/>
  <c r="AQ920" i="48"/>
  <c r="AQ970" i="48"/>
  <c r="AQ995" i="48"/>
  <c r="AQ195" i="48"/>
  <c r="AQ220" i="48"/>
  <c r="AQ145" i="48"/>
  <c r="AQ245" i="48"/>
  <c r="AQ345" i="48"/>
  <c r="AQ12" i="48"/>
  <c r="AQ1337" i="48"/>
  <c r="AQ1312" i="48"/>
  <c r="AQ1271" i="48"/>
  <c r="AQ1245" i="48"/>
  <c r="AQ1220" i="48"/>
  <c r="AQ1195" i="48"/>
  <c r="AQ1170" i="48"/>
  <c r="AQ1145" i="48"/>
  <c r="AQ1120" i="48"/>
  <c r="AQ1093" i="48"/>
  <c r="AQ1064" i="48"/>
  <c r="AQ1036" i="48"/>
  <c r="AQ1012" i="48"/>
  <c r="AQ986" i="48"/>
  <c r="AQ961" i="48"/>
  <c r="AQ937" i="48"/>
  <c r="AQ911" i="48"/>
  <c r="AQ886" i="48"/>
  <c r="AQ861" i="48"/>
  <c r="AQ822" i="48"/>
  <c r="AQ814" i="48"/>
  <c r="AQ789" i="48"/>
  <c r="AQ1340" i="48"/>
  <c r="AQ1315" i="48"/>
  <c r="AQ1292" i="48"/>
  <c r="AQ1266" i="48"/>
  <c r="AQ1240" i="48"/>
  <c r="AQ1215" i="48"/>
  <c r="AQ1190" i="48"/>
  <c r="AQ1165" i="48"/>
  <c r="AQ1140" i="48"/>
  <c r="AQ1115" i="48"/>
  <c r="AQ1088" i="48"/>
  <c r="AQ1047" i="48"/>
  <c r="AQ1019" i="48"/>
  <c r="AQ993" i="48"/>
  <c r="AQ964" i="48"/>
  <c r="AQ936" i="48"/>
  <c r="AQ893" i="48"/>
  <c r="AQ864" i="48"/>
  <c r="AQ792" i="48"/>
  <c r="AQ745" i="48"/>
  <c r="AQ1349" i="48"/>
  <c r="AQ1322" i="48"/>
  <c r="AQ1295" i="48"/>
  <c r="AQ1269" i="48"/>
  <c r="AQ1243" i="48"/>
  <c r="AQ1214" i="48"/>
  <c r="AQ1172" i="48"/>
  <c r="AQ1143" i="48"/>
  <c r="AQ1114" i="48"/>
  <c r="AQ1087" i="48"/>
  <c r="AQ1018" i="48"/>
  <c r="AQ988" i="48"/>
  <c r="AQ967" i="48"/>
  <c r="AQ939" i="48"/>
  <c r="AQ863" i="48"/>
  <c r="AQ837" i="48"/>
  <c r="AQ787" i="48"/>
  <c r="AQ740" i="48"/>
  <c r="AQ1338" i="48"/>
  <c r="AQ1317" i="48"/>
  <c r="AQ1294" i="48"/>
  <c r="AQ1238" i="48"/>
  <c r="AQ1167" i="48"/>
  <c r="AQ1138" i="48"/>
  <c r="AQ1069" i="48"/>
  <c r="AQ974" i="48"/>
  <c r="AQ895" i="48"/>
  <c r="AQ844" i="48"/>
  <c r="AQ815" i="48"/>
  <c r="AQ747" i="48"/>
  <c r="AQ665" i="48"/>
  <c r="AQ640" i="48"/>
  <c r="AQ615" i="48"/>
  <c r="AQ590" i="48"/>
  <c r="AQ543" i="48"/>
  <c r="AQ492" i="48"/>
  <c r="AQ463" i="48"/>
  <c r="AQ387" i="48"/>
  <c r="AQ320" i="48"/>
  <c r="AQ218" i="48"/>
  <c r="AQ174" i="48"/>
  <c r="AQ170" i="48"/>
  <c r="AQ167" i="48"/>
  <c r="AQ141" i="48"/>
  <c r="AQ712" i="48"/>
  <c r="AQ520" i="48"/>
  <c r="AQ470" i="48"/>
  <c r="AQ394" i="48"/>
  <c r="AQ295" i="48"/>
  <c r="AQ136" i="48"/>
  <c r="AQ70" i="48"/>
  <c r="AQ62" i="48"/>
  <c r="AQ698" i="48"/>
  <c r="AQ21" i="48"/>
  <c r="AQ771" i="48"/>
  <c r="AQ146" i="48"/>
  <c r="AQ321" i="48"/>
  <c r="AQ346" i="48"/>
  <c r="AQ596" i="48"/>
  <c r="AQ96" i="48"/>
  <c r="AQ371" i="48"/>
  <c r="AQ446" i="48"/>
  <c r="AQ46" i="48"/>
  <c r="AQ121" i="48"/>
  <c r="AQ296" i="48"/>
  <c r="AQ621" i="48"/>
  <c r="AQ221" i="48"/>
  <c r="AQ571" i="48"/>
  <c r="AQ696" i="48"/>
  <c r="AQ1021" i="48"/>
  <c r="AQ1121" i="48"/>
  <c r="AQ1221" i="48"/>
  <c r="AQ246" i="48"/>
  <c r="AQ646" i="48"/>
  <c r="AQ396" i="48"/>
  <c r="AQ421" i="48"/>
  <c r="AQ671" i="48"/>
  <c r="AQ71" i="48"/>
  <c r="AQ196" i="48"/>
  <c r="AQ271" i="48"/>
  <c r="AQ496" i="48"/>
  <c r="AQ1171" i="48"/>
  <c r="AQ15" i="48"/>
  <c r="AQ765" i="48"/>
  <c r="AQ190" i="48"/>
  <c r="AQ540" i="48"/>
  <c r="AQ565" i="48"/>
  <c r="AQ465" i="48"/>
  <c r="AQ490" i="48"/>
  <c r="AQ515" i="48"/>
  <c r="AQ65" i="48"/>
  <c r="AQ340" i="48"/>
  <c r="AQ365" i="48"/>
  <c r="AQ415" i="48"/>
  <c r="AQ790" i="48"/>
  <c r="AQ840" i="48"/>
  <c r="AQ1065" i="48"/>
  <c r="AQ215" i="48"/>
  <c r="AQ265" i="48"/>
  <c r="AQ40" i="48"/>
  <c r="AQ140" i="48"/>
  <c r="AQ240" i="48"/>
  <c r="AQ315" i="48"/>
  <c r="AQ390" i="48"/>
  <c r="AQ440" i="48"/>
  <c r="AQ290" i="48"/>
  <c r="AQ1290" i="48"/>
  <c r="AQ763" i="48"/>
  <c r="AQ338" i="48"/>
  <c r="AQ588" i="48"/>
  <c r="AQ88" i="48"/>
  <c r="AQ363" i="48"/>
  <c r="AQ388" i="48"/>
  <c r="AQ613" i="48"/>
  <c r="AQ488" i="48"/>
  <c r="AQ1163" i="48"/>
  <c r="AQ138" i="48"/>
  <c r="AQ238" i="48"/>
  <c r="AQ313" i="48"/>
  <c r="AQ638" i="48"/>
  <c r="AQ413" i="48"/>
  <c r="AQ438" i="48"/>
  <c r="AQ113" i="48"/>
  <c r="AQ288" i="48"/>
  <c r="AQ663" i="48"/>
  <c r="AQ63" i="48"/>
  <c r="AQ188" i="48"/>
  <c r="AQ213" i="48"/>
  <c r="AQ563" i="48"/>
  <c r="AQ263" i="48"/>
  <c r="AQ688" i="48"/>
  <c r="AQ1013" i="48"/>
  <c r="AQ1113" i="48"/>
  <c r="AQ1213" i="48"/>
  <c r="AQ23" i="48"/>
  <c r="AQ1324" i="48"/>
  <c r="AQ1048" i="48"/>
  <c r="AQ1024" i="48"/>
  <c r="AQ998" i="48"/>
  <c r="AQ973" i="48"/>
  <c r="AQ949" i="48"/>
  <c r="AQ923" i="48"/>
  <c r="AQ898" i="48"/>
  <c r="AQ873" i="48"/>
  <c r="AQ746" i="48"/>
  <c r="AQ1288" i="48"/>
  <c r="AQ1262" i="48"/>
  <c r="AQ1071" i="48"/>
  <c r="AQ1043" i="48"/>
  <c r="AQ1015" i="48"/>
  <c r="AQ948" i="48"/>
  <c r="AQ846" i="48"/>
  <c r="AQ788" i="48"/>
  <c r="AQ1318" i="48"/>
  <c r="AQ1265" i="48"/>
  <c r="AQ1168" i="48"/>
  <c r="AQ1099" i="48"/>
  <c r="AQ963" i="48"/>
  <c r="AQ921" i="48"/>
  <c r="AQ913" i="48"/>
  <c r="AQ896" i="48"/>
  <c r="AQ849" i="48"/>
  <c r="AQ824" i="48"/>
  <c r="AQ799" i="48"/>
  <c r="AQ773" i="48"/>
  <c r="AQ1313" i="48"/>
  <c r="AQ1196" i="48"/>
  <c r="AQ1098" i="48"/>
  <c r="AQ887" i="48"/>
  <c r="AQ521" i="48"/>
  <c r="AQ312" i="48"/>
  <c r="AQ173" i="48"/>
  <c r="AQ162" i="48"/>
  <c r="AQ123" i="48"/>
  <c r="AQ512" i="48"/>
  <c r="AQ462" i="48"/>
  <c r="AQ287" i="48"/>
  <c r="AQ118" i="48"/>
  <c r="AQ68" i="48"/>
  <c r="AQ38" i="48"/>
  <c r="AQ690" i="48"/>
  <c r="X1323" i="48"/>
  <c r="X1169" i="48"/>
  <c r="X98" i="48"/>
  <c r="X1138" i="48"/>
  <c r="X185" i="48"/>
  <c r="X725" i="48"/>
  <c r="X325" i="48"/>
  <c r="X1250" i="48"/>
  <c r="X360" i="48"/>
  <c r="X135" i="48"/>
  <c r="X1243" i="48"/>
  <c r="X1038" i="48"/>
  <c r="X421" i="48"/>
  <c r="X1239" i="48"/>
  <c r="X1147" i="48"/>
  <c r="X910" i="48"/>
  <c r="X820" i="48"/>
  <c r="X769" i="48"/>
  <c r="X246" i="48"/>
  <c r="X194" i="48"/>
  <c r="X425" i="48"/>
  <c r="X971" i="48"/>
  <c r="X493" i="48"/>
  <c r="X1247" i="48"/>
  <c r="X1042" i="48"/>
  <c r="X845" i="48"/>
  <c r="X321" i="48"/>
  <c r="X219" i="48"/>
  <c r="X142" i="48"/>
  <c r="X1144" i="48"/>
  <c r="X816" i="48"/>
  <c r="X765" i="48"/>
  <c r="X242" i="48"/>
  <c r="X190" i="48"/>
  <c r="X196" i="48"/>
  <c r="X835" i="48"/>
  <c r="X691" i="48"/>
  <c r="X546" i="48"/>
  <c r="X824" i="48"/>
  <c r="X1142" i="48"/>
  <c r="X761" i="48"/>
  <c r="X238" i="48"/>
  <c r="X186" i="48"/>
  <c r="X975" i="48"/>
  <c r="X317" i="48"/>
  <c r="X215" i="48"/>
  <c r="X138" i="48"/>
  <c r="X837" i="48"/>
  <c r="X1150" i="48"/>
  <c r="X1046" i="48"/>
  <c r="X1146" i="48"/>
  <c r="X672" i="48"/>
  <c r="X390" i="48"/>
  <c r="X664" i="48"/>
  <c r="X248" i="48"/>
  <c r="X1011" i="48"/>
  <c r="X885" i="48"/>
  <c r="X740" i="48"/>
  <c r="X217" i="48"/>
  <c r="X140" i="48"/>
  <c r="X873" i="48"/>
  <c r="X585" i="48"/>
  <c r="X344" i="48"/>
  <c r="X617" i="48"/>
  <c r="X789" i="48"/>
  <c r="X720" i="48"/>
  <c r="X618" i="48"/>
  <c r="X512" i="48"/>
  <c r="X462" i="48"/>
  <c r="X118" i="48"/>
  <c r="X188" i="48"/>
  <c r="X1293" i="48"/>
  <c r="X797" i="48"/>
  <c r="X394" i="48"/>
  <c r="X1141" i="48"/>
  <c r="X890" i="48"/>
  <c r="X839" i="48"/>
  <c r="X695" i="48"/>
  <c r="X668" i="48"/>
  <c r="X570" i="48"/>
  <c r="X144" i="48"/>
  <c r="X114" i="48"/>
  <c r="X894" i="48"/>
  <c r="X793" i="48"/>
  <c r="X749" i="48"/>
  <c r="X340" i="48"/>
  <c r="X785" i="48"/>
  <c r="X499" i="48"/>
  <c r="X448" i="48"/>
  <c r="X23" i="48"/>
  <c r="X920" i="48"/>
  <c r="X965" i="48"/>
  <c r="X489" i="48"/>
  <c r="X786" i="48"/>
  <c r="X942" i="48"/>
  <c r="X213" i="48"/>
  <c r="X1098" i="48"/>
  <c r="X888" i="48"/>
  <c r="X1095" i="48"/>
  <c r="X1163" i="48"/>
  <c r="X343" i="48"/>
  <c r="X1313" i="48"/>
  <c r="X846" i="48"/>
  <c r="X792" i="48"/>
  <c r="X385" i="48"/>
  <c r="X648" i="48"/>
  <c r="X214" i="48"/>
  <c r="X990" i="48"/>
  <c r="X814" i="48"/>
  <c r="X745" i="48"/>
  <c r="X571" i="48"/>
  <c r="X191" i="48"/>
  <c r="X92" i="48"/>
  <c r="X1035" i="48"/>
  <c r="X1121" i="48"/>
  <c r="X700" i="48"/>
  <c r="X673" i="48"/>
  <c r="X165" i="48"/>
  <c r="X641" i="48"/>
  <c r="X541" i="48"/>
  <c r="X735" i="48"/>
  <c r="X486" i="48"/>
  <c r="X1085" i="48"/>
  <c r="X1216" i="48"/>
  <c r="X1116" i="48"/>
  <c r="X1040" i="48"/>
  <c r="X487" i="48"/>
  <c r="X516" i="48"/>
  <c r="X318" i="48"/>
  <c r="X14" i="48"/>
  <c r="X936" i="48"/>
  <c r="X1143" i="48"/>
  <c r="X1335" i="48"/>
  <c r="X1274" i="48"/>
  <c r="X1222" i="48"/>
  <c r="X1122" i="48"/>
  <c r="X1099" i="48"/>
  <c r="X1071" i="48"/>
  <c r="X1014" i="48"/>
  <c r="X992" i="48"/>
  <c r="X867" i="48"/>
  <c r="X743" i="48"/>
  <c r="X544" i="48"/>
  <c r="X468" i="48"/>
  <c r="X342" i="48"/>
  <c r="X195" i="48"/>
  <c r="X17" i="48"/>
  <c r="X1167" i="48"/>
  <c r="X1065" i="48"/>
  <c r="X1041" i="48"/>
  <c r="X1017" i="48"/>
  <c r="X768" i="48"/>
  <c r="X746" i="48"/>
  <c r="X586" i="48"/>
  <c r="X535" i="48"/>
  <c r="X513" i="48"/>
  <c r="X193" i="48"/>
  <c r="X173" i="48"/>
  <c r="X169" i="48"/>
  <c r="X1337" i="48"/>
  <c r="X771" i="48"/>
  <c r="X699" i="48"/>
  <c r="X415" i="48"/>
  <c r="X315" i="48"/>
  <c r="X662" i="48"/>
  <c r="X400" i="48"/>
  <c r="X375" i="48"/>
  <c r="X218" i="48"/>
  <c r="X141" i="48"/>
  <c r="X1267" i="48"/>
  <c r="X1245" i="48"/>
  <c r="X1221" i="48"/>
  <c r="X1170" i="48"/>
  <c r="X1145" i="48"/>
  <c r="X969" i="48"/>
  <c r="X623" i="48"/>
  <c r="X1285" i="48"/>
  <c r="X1089" i="48"/>
  <c r="X1015" i="48"/>
  <c r="X715" i="48"/>
  <c r="X642" i="48"/>
  <c r="X339" i="48"/>
  <c r="X519" i="48"/>
  <c r="X389" i="48"/>
  <c r="X24" i="48"/>
  <c r="X1265" i="48"/>
  <c r="X111" i="48"/>
  <c r="X1324" i="48"/>
  <c r="X1117" i="48"/>
  <c r="X1336" i="48"/>
  <c r="X1072" i="48"/>
  <c r="X694" i="48"/>
  <c r="X515" i="48"/>
  <c r="X368" i="48"/>
  <c r="X243" i="48"/>
  <c r="X889" i="48"/>
  <c r="X143" i="48"/>
  <c r="X322" i="48"/>
  <c r="X1016" i="48"/>
  <c r="X643" i="48"/>
  <c r="X1295" i="48"/>
  <c r="X1269" i="48"/>
  <c r="X1244" i="48"/>
  <c r="X1066" i="48"/>
  <c r="X989" i="48"/>
  <c r="X968" i="48"/>
  <c r="X943" i="48"/>
  <c r="X921" i="48"/>
  <c r="X689" i="48"/>
  <c r="X514" i="48"/>
  <c r="X116" i="48"/>
  <c r="X598" i="48"/>
  <c r="X467" i="48"/>
  <c r="X341" i="48"/>
  <c r="X316" i="48"/>
  <c r="X241" i="48"/>
  <c r="X87" i="48"/>
  <c r="X386" i="48"/>
  <c r="X336" i="48"/>
  <c r="X972" i="48"/>
  <c r="X667" i="48"/>
  <c r="X465" i="48"/>
  <c r="X216" i="48"/>
  <c r="X139" i="48"/>
  <c r="X93" i="48"/>
  <c r="X719" i="48"/>
  <c r="X566" i="48"/>
  <c r="X91" i="48"/>
  <c r="X1123" i="48"/>
  <c r="X671" i="48"/>
  <c r="X469" i="48"/>
  <c r="X220" i="48"/>
  <c r="X1100" i="48"/>
  <c r="X1273" i="48"/>
  <c r="X1264" i="48"/>
  <c r="X117" i="48"/>
  <c r="X115" i="48"/>
  <c r="X1148" i="48"/>
  <c r="X744" i="48"/>
  <c r="X1070" i="48"/>
  <c r="X1270" i="48"/>
  <c r="X1318" i="48"/>
  <c r="X1291" i="48"/>
  <c r="X1266" i="48"/>
  <c r="X1215" i="48"/>
  <c r="X1189" i="48"/>
  <c r="X1164" i="48"/>
  <c r="X1140" i="48"/>
  <c r="X1115" i="48"/>
  <c r="X1062" i="48"/>
  <c r="X964" i="48"/>
  <c r="X939" i="48"/>
  <c r="X917" i="48"/>
  <c r="X896" i="48"/>
  <c r="X788" i="48"/>
  <c r="X710" i="48"/>
  <c r="X637" i="48"/>
  <c r="X612" i="48"/>
  <c r="X587" i="48"/>
  <c r="X536" i="48"/>
  <c r="X461" i="48"/>
  <c r="X418" i="48"/>
  <c r="X396" i="48"/>
  <c r="X335" i="48"/>
  <c r="X16" i="48"/>
  <c r="X25" i="48"/>
  <c r="X1020" i="48"/>
  <c r="X919" i="48"/>
  <c r="X1325" i="48"/>
  <c r="X1312" i="48"/>
  <c r="X1286" i="48"/>
  <c r="X1094" i="48"/>
  <c r="X696" i="48"/>
  <c r="X669" i="48"/>
  <c r="X619" i="48"/>
  <c r="X594" i="48"/>
  <c r="X463" i="48"/>
  <c r="X391" i="48"/>
  <c r="X312" i="48"/>
  <c r="X237" i="48"/>
  <c r="X172" i="48"/>
  <c r="X168" i="48"/>
  <c r="X164" i="48"/>
  <c r="X123" i="48"/>
  <c r="X1275" i="48"/>
  <c r="X1237" i="48"/>
  <c r="X1212" i="48"/>
  <c r="X886" i="48"/>
  <c r="X810" i="48"/>
  <c r="X567" i="48"/>
  <c r="X474" i="48"/>
  <c r="X373" i="48"/>
  <c r="X323" i="48"/>
  <c r="X225" i="48"/>
  <c r="X1211" i="48"/>
  <c r="X1185" i="48"/>
  <c r="X1111" i="48"/>
  <c r="X1087" i="48"/>
  <c r="X960" i="48"/>
  <c r="X893" i="48"/>
  <c r="X871" i="48"/>
  <c r="X722" i="48"/>
  <c r="X625" i="48"/>
  <c r="X599" i="48"/>
  <c r="X573" i="48"/>
  <c r="X523" i="48"/>
  <c r="X450" i="48"/>
  <c r="X346" i="48"/>
  <c r="X94" i="48"/>
  <c r="X1192" i="48"/>
  <c r="X1069" i="48"/>
  <c r="X1045" i="48"/>
  <c r="X772" i="48"/>
  <c r="X750" i="48"/>
  <c r="X539" i="48"/>
  <c r="X412" i="48"/>
  <c r="X387" i="48"/>
  <c r="X362" i="48"/>
  <c r="X1263" i="48"/>
  <c r="X1195" i="48"/>
  <c r="X1149" i="48"/>
  <c r="X973" i="48"/>
  <c r="X847" i="48"/>
  <c r="X775" i="48"/>
  <c r="X563" i="48"/>
  <c r="X419" i="48"/>
  <c r="X369" i="48"/>
  <c r="X319" i="48"/>
  <c r="X244" i="48"/>
  <c r="X221" i="48"/>
  <c r="X1168" i="48"/>
  <c r="X967" i="48"/>
  <c r="X1039" i="48"/>
  <c r="X22" i="48"/>
  <c r="X161" i="48"/>
  <c r="X922" i="48"/>
  <c r="X1347" i="48"/>
  <c r="X1218" i="48"/>
  <c r="X1197" i="48"/>
  <c r="X1118" i="48"/>
  <c r="X1010" i="48"/>
  <c r="X718" i="48"/>
  <c r="X522" i="48"/>
  <c r="X442" i="48"/>
  <c r="X367" i="48"/>
  <c r="X1300" i="48"/>
  <c r="X948" i="48"/>
  <c r="X1320" i="48"/>
  <c r="X1188" i="48"/>
  <c r="X1137" i="48"/>
  <c r="X1112" i="48"/>
  <c r="X1086" i="48"/>
  <c r="X1061" i="48"/>
  <c r="X1036" i="48"/>
  <c r="X961" i="48"/>
  <c r="X938" i="48"/>
  <c r="X911" i="48"/>
  <c r="X764" i="48"/>
  <c r="X742" i="48"/>
  <c r="X1310" i="48"/>
  <c r="X1191" i="48"/>
  <c r="X1096" i="48"/>
  <c r="X1043" i="48"/>
  <c r="X941" i="48"/>
  <c r="X868" i="48"/>
  <c r="X770" i="48"/>
  <c r="X690" i="48"/>
  <c r="X622" i="48"/>
  <c r="X597" i="48"/>
  <c r="X545" i="48"/>
  <c r="X443" i="48"/>
  <c r="X361" i="48"/>
  <c r="X247" i="48"/>
  <c r="X13" i="48"/>
  <c r="X592" i="48"/>
  <c r="X550" i="48"/>
  <c r="X311" i="48"/>
  <c r="X200" i="48"/>
  <c r="X97" i="48"/>
  <c r="X1174" i="48"/>
  <c r="X1124" i="48"/>
  <c r="X923" i="48"/>
  <c r="X898" i="48"/>
  <c r="X1139" i="48"/>
  <c r="X1217" i="48"/>
  <c r="X1037" i="48"/>
  <c r="X593" i="48"/>
  <c r="X897" i="48"/>
  <c r="X621" i="48"/>
  <c r="X314" i="48"/>
  <c r="X313" i="48"/>
  <c r="X113" i="48"/>
  <c r="X112" i="48"/>
  <c r="X862" i="48"/>
  <c r="X863" i="48"/>
  <c r="X337" i="48"/>
  <c r="X338" i="48"/>
  <c r="X210" i="48"/>
  <c r="X1063" i="48"/>
  <c r="X525" i="48"/>
  <c r="X524" i="48"/>
  <c r="X663" i="48"/>
  <c r="X843" i="48"/>
  <c r="X842" i="48"/>
  <c r="X364" i="48"/>
  <c r="X365" i="48"/>
  <c r="X963" i="48"/>
  <c r="X787" i="48"/>
  <c r="X620" i="48"/>
  <c r="X417" i="48"/>
  <c r="X1196" i="48"/>
  <c r="X1064" i="48"/>
  <c r="X940" i="48"/>
  <c r="X547" i="48"/>
  <c r="X813" i="48"/>
  <c r="X812" i="48"/>
  <c r="X561" i="48"/>
  <c r="X562" i="48"/>
  <c r="X510" i="48"/>
  <c r="X511" i="48"/>
  <c r="X212" i="48"/>
  <c r="X211" i="48"/>
  <c r="X89" i="48"/>
  <c r="X88" i="48"/>
  <c r="X137" i="48"/>
  <c r="X136" i="48"/>
  <c r="X1068" i="48"/>
  <c r="X1067" i="48"/>
  <c r="X918" i="48"/>
  <c r="X644" i="48"/>
  <c r="X645" i="48"/>
  <c r="X569" i="48"/>
  <c r="X568" i="48"/>
  <c r="X18" i="48"/>
  <c r="X19" i="48"/>
  <c r="X1165" i="48"/>
  <c r="X1166" i="48"/>
  <c r="X1012" i="48"/>
  <c r="X1013" i="48"/>
  <c r="X736" i="48"/>
  <c r="X410" i="48"/>
  <c r="X411" i="48"/>
  <c r="X711" i="48"/>
  <c r="X122" i="48"/>
  <c r="X121" i="48"/>
  <c r="X988" i="48"/>
  <c r="X670" i="48"/>
  <c r="X485" i="48"/>
  <c r="X1311" i="48"/>
  <c r="X1044" i="48"/>
  <c r="X869" i="48"/>
  <c r="X741" i="48"/>
  <c r="X1315" i="48"/>
  <c r="X1287" i="48"/>
  <c r="X1261" i="48"/>
  <c r="X1160" i="48"/>
  <c r="X1019" i="48"/>
  <c r="X997" i="48"/>
  <c r="X935" i="48"/>
  <c r="X913" i="48"/>
  <c r="X697" i="48"/>
  <c r="X310" i="48"/>
  <c r="X100" i="48"/>
  <c r="X12" i="48"/>
  <c r="X149" i="48"/>
  <c r="X1345" i="48"/>
  <c r="X1297" i="48"/>
  <c r="X1060" i="48"/>
  <c r="X986" i="48"/>
  <c r="X1113" i="48"/>
  <c r="X665" i="48"/>
  <c r="X640" i="48"/>
  <c r="X475" i="48"/>
  <c r="X460" i="48"/>
  <c r="X324" i="48"/>
  <c r="X197" i="48"/>
  <c r="X145" i="48"/>
  <c r="X96" i="48"/>
  <c r="X15" i="48"/>
  <c r="X944" i="48"/>
  <c r="X1341" i="48"/>
  <c r="X1317" i="48"/>
  <c r="X1294" i="48"/>
  <c r="X1225" i="48"/>
  <c r="X1200" i="48"/>
  <c r="X1097" i="48"/>
  <c r="X1073" i="48"/>
  <c r="X1049" i="48"/>
  <c r="X1025" i="48"/>
  <c r="X998" i="48"/>
  <c r="X949" i="48"/>
  <c r="X760" i="48"/>
  <c r="X738" i="48"/>
  <c r="X712" i="48"/>
  <c r="X543" i="48"/>
  <c r="X495" i="48"/>
  <c r="X444" i="48"/>
  <c r="X1292" i="48"/>
  <c r="X1248" i="48"/>
  <c r="X993" i="48"/>
  <c r="X937" i="48"/>
  <c r="X762" i="48"/>
  <c r="X686" i="48"/>
  <c r="X646" i="48"/>
  <c r="X614" i="48"/>
  <c r="X187" i="48"/>
  <c r="X638" i="48"/>
  <c r="X439" i="48"/>
  <c r="X236" i="48"/>
  <c r="X90" i="48"/>
  <c r="X398" i="48"/>
  <c r="X192" i="48"/>
  <c r="X1262" i="48"/>
  <c r="X1223" i="48"/>
  <c r="X1198" i="48"/>
  <c r="X596" i="48"/>
  <c r="X447" i="48"/>
  <c r="X449" i="48"/>
  <c r="X424" i="48"/>
  <c r="X399" i="48"/>
  <c r="X374" i="48"/>
  <c r="X739" i="48"/>
  <c r="X464" i="48"/>
  <c r="X388" i="48"/>
  <c r="X950" i="48"/>
  <c r="X1048" i="48"/>
  <c r="X945" i="48"/>
  <c r="X763" i="48"/>
  <c r="X737" i="48"/>
  <c r="X647" i="48"/>
  <c r="X148" i="48"/>
  <c r="X1339" i="48"/>
  <c r="X1340" i="48"/>
  <c r="X1236" i="48"/>
  <c r="X1235" i="48"/>
  <c r="X1136" i="48"/>
  <c r="X1135" i="48"/>
  <c r="X850" i="48"/>
  <c r="X849" i="48"/>
  <c r="X799" i="48"/>
  <c r="X800" i="48"/>
  <c r="X774" i="48"/>
  <c r="X773" i="48"/>
  <c r="X747" i="48"/>
  <c r="X748" i="48"/>
  <c r="X674" i="48"/>
  <c r="X675" i="48"/>
  <c r="X649" i="48"/>
  <c r="X650" i="48"/>
  <c r="X549" i="48"/>
  <c r="X548" i="48"/>
  <c r="X498" i="48"/>
  <c r="X497" i="48"/>
  <c r="X472" i="48"/>
  <c r="X473" i="48"/>
  <c r="X413" i="48"/>
  <c r="X414" i="48"/>
  <c r="X371" i="48"/>
  <c r="X372" i="48"/>
  <c r="X224" i="48"/>
  <c r="X223" i="48"/>
  <c r="X199" i="48"/>
  <c r="X198" i="48"/>
  <c r="X147" i="48"/>
  <c r="X146" i="48"/>
  <c r="X125" i="48"/>
  <c r="X124" i="48"/>
  <c r="X1220" i="48"/>
  <c r="X1219" i="48"/>
  <c r="X1120" i="48"/>
  <c r="X1119" i="48"/>
  <c r="X915" i="48"/>
  <c r="X914" i="48"/>
  <c r="X1343" i="48"/>
  <c r="X1342" i="48"/>
  <c r="X1321" i="48"/>
  <c r="X1322" i="48"/>
  <c r="X1298" i="48"/>
  <c r="X1299" i="48"/>
  <c r="X1214" i="48"/>
  <c r="X1213" i="48"/>
  <c r="X1172" i="48"/>
  <c r="X1171" i="48"/>
  <c r="X1090" i="48"/>
  <c r="X1091" i="48"/>
  <c r="X1021" i="48"/>
  <c r="X1022" i="48"/>
  <c r="X946" i="48"/>
  <c r="X947" i="48"/>
  <c r="X900" i="48"/>
  <c r="X899" i="48"/>
  <c r="X692" i="48"/>
  <c r="X693" i="48"/>
  <c r="X616" i="48"/>
  <c r="X615" i="48"/>
  <c r="X591" i="48"/>
  <c r="X590" i="48"/>
  <c r="X565" i="48"/>
  <c r="X564" i="48"/>
  <c r="X518" i="48"/>
  <c r="X517" i="48"/>
  <c r="X437" i="48"/>
  <c r="X438" i="48"/>
  <c r="X249" i="48"/>
  <c r="X250" i="48"/>
  <c r="X175" i="48"/>
  <c r="X174" i="48"/>
  <c r="X171" i="48"/>
  <c r="X170" i="48"/>
  <c r="X167" i="48"/>
  <c r="X166" i="48"/>
  <c r="X163" i="48"/>
  <c r="X162" i="48"/>
  <c r="X120" i="48"/>
  <c r="X119" i="48"/>
  <c r="X1161" i="48"/>
  <c r="X1162" i="48"/>
  <c r="X1047" i="48"/>
  <c r="X1272" i="48"/>
  <c r="X1271" i="48"/>
  <c r="X688" i="48"/>
  <c r="X687" i="48"/>
  <c r="X661" i="48"/>
  <c r="X660" i="48"/>
  <c r="X635" i="48"/>
  <c r="X636" i="48"/>
  <c r="X610" i="48"/>
  <c r="X611" i="48"/>
  <c r="X521" i="48"/>
  <c r="X520" i="48"/>
  <c r="X471" i="48"/>
  <c r="X470" i="48"/>
  <c r="X1186" i="48"/>
  <c r="X1187" i="48"/>
  <c r="X1093" i="48"/>
  <c r="X1092" i="48"/>
  <c r="X1024" i="48"/>
  <c r="X864" i="48"/>
  <c r="X865" i="48"/>
  <c r="X724" i="48"/>
  <c r="X723" i="48"/>
  <c r="X588" i="48"/>
  <c r="X589" i="48"/>
  <c r="X436" i="48"/>
  <c r="X435" i="48"/>
  <c r="X393" i="48"/>
  <c r="X348" i="48"/>
  <c r="X347" i="48"/>
  <c r="X240" i="48"/>
  <c r="X239" i="48"/>
  <c r="X872" i="48"/>
  <c r="X818" i="48"/>
  <c r="X817" i="48"/>
  <c r="X766" i="48"/>
  <c r="X767" i="48"/>
  <c r="X698" i="48"/>
  <c r="X537" i="48"/>
  <c r="X538" i="48"/>
  <c r="X490" i="48"/>
  <c r="X491" i="48"/>
  <c r="X1314" i="48"/>
  <c r="X1114" i="48"/>
  <c r="X666" i="48"/>
  <c r="X1125" i="48"/>
  <c r="X1316" i="48"/>
  <c r="X1199" i="48"/>
  <c r="X542" i="48"/>
  <c r="X1296" i="48"/>
  <c r="X189" i="48"/>
  <c r="X95" i="48"/>
  <c r="X996" i="48"/>
  <c r="X1224" i="48"/>
  <c r="X994" i="48"/>
  <c r="X613" i="48"/>
  <c r="X11" i="48"/>
  <c r="X1344" i="48"/>
  <c r="X1000" i="48"/>
  <c r="X985" i="48"/>
  <c r="X875" i="48"/>
  <c r="X397" i="48"/>
  <c r="X1175" i="48"/>
  <c r="X1074" i="48"/>
  <c r="X99" i="48"/>
  <c r="X494" i="48"/>
  <c r="X86" i="48"/>
  <c r="X925" i="48"/>
  <c r="X796" i="48"/>
  <c r="X1210" i="48"/>
  <c r="X1110" i="48"/>
  <c r="X345" i="48"/>
  <c r="X1289" i="48"/>
  <c r="X440" i="48"/>
  <c r="X821" i="48"/>
  <c r="X716" i="48"/>
  <c r="X423" i="48"/>
  <c r="X861" i="48"/>
  <c r="X575" i="48"/>
  <c r="X714" i="48"/>
  <c r="X540" i="48"/>
  <c r="X791" i="48"/>
  <c r="X445" i="48"/>
  <c r="X420" i="48"/>
  <c r="X395" i="48"/>
  <c r="X370" i="48"/>
  <c r="X1240" i="48"/>
  <c r="X600" i="48"/>
  <c r="X466" i="48"/>
  <c r="X20" i="48"/>
  <c r="X1193" i="48"/>
  <c r="X892" i="48"/>
  <c r="X841" i="48"/>
  <c r="X795" i="48"/>
  <c r="X446" i="48"/>
  <c r="X392" i="48"/>
  <c r="X1290" i="48"/>
  <c r="X1241" i="48"/>
  <c r="X639" i="48"/>
  <c r="X1319" i="48"/>
  <c r="X860" i="48"/>
  <c r="X838" i="48"/>
  <c r="X363" i="48"/>
  <c r="X21" i="48"/>
  <c r="X85" i="48"/>
  <c r="X624" i="48"/>
  <c r="X1288" i="48"/>
  <c r="X1088" i="48"/>
  <c r="X1023" i="48"/>
  <c r="X825" i="48"/>
  <c r="X574" i="48"/>
  <c r="X422" i="48"/>
  <c r="X500" i="48"/>
  <c r="X1018" i="48"/>
  <c r="X595" i="48"/>
  <c r="X1249" i="48"/>
  <c r="X822" i="48"/>
  <c r="X366" i="48"/>
  <c r="X320" i="48"/>
  <c r="X245" i="48"/>
  <c r="X1348" i="48"/>
  <c r="X1190" i="48"/>
  <c r="X441" i="48"/>
  <c r="X416" i="48"/>
  <c r="X1194" i="48"/>
  <c r="X1173" i="48"/>
  <c r="DN63" i="48"/>
  <c r="C6" i="58" l="1"/>
  <c r="AQ26" i="48"/>
  <c r="AQ25" i="48"/>
  <c r="AQ1350" i="48"/>
  <c r="AQ1275" i="48"/>
  <c r="AQ1250" i="48"/>
  <c r="AQ1075" i="48"/>
  <c r="AQ1050" i="48"/>
  <c r="AQ1000" i="48"/>
  <c r="AQ950" i="48"/>
  <c r="AQ925" i="48"/>
  <c r="AQ850" i="48"/>
  <c r="AQ750" i="48"/>
  <c r="AQ575" i="48"/>
  <c r="AQ525" i="48"/>
  <c r="AQ450" i="48"/>
  <c r="AQ300" i="48"/>
  <c r="AQ250" i="48"/>
  <c r="AQ125" i="48"/>
  <c r="AQ100" i="48"/>
  <c r="AQ75" i="48"/>
  <c r="AQ50" i="48"/>
  <c r="AQ375" i="48"/>
  <c r="AQ625" i="48"/>
  <c r="AQ400" i="48"/>
  <c r="AQ650" i="48"/>
  <c r="AQ175" i="48"/>
  <c r="AQ275" i="48"/>
  <c r="AQ500" i="48"/>
  <c r="AQ1175" i="48"/>
  <c r="AQ325" i="48"/>
  <c r="AQ425" i="48"/>
  <c r="AQ675" i="48"/>
  <c r="AQ350" i="48"/>
  <c r="AQ600" i="48"/>
  <c r="AQ150" i="48"/>
  <c r="AQ225" i="48"/>
  <c r="AQ700" i="48"/>
  <c r="AQ1025" i="48"/>
  <c r="AQ1125" i="48"/>
  <c r="AQ1225" i="48"/>
  <c r="AQ475" i="48"/>
  <c r="AQ1150" i="48"/>
  <c r="AQ1325" i="48"/>
  <c r="AQ975" i="48"/>
  <c r="AQ800" i="48"/>
  <c r="AQ1300" i="48"/>
  <c r="AQ550" i="48"/>
  <c r="AQ875" i="48"/>
  <c r="AQ825" i="48"/>
  <c r="AQ725" i="48"/>
  <c r="AQ200" i="48"/>
  <c r="AQ1100" i="48"/>
  <c r="AQ1200" i="48"/>
  <c r="AQ900" i="48"/>
  <c r="AQ775" i="48"/>
  <c r="DN65" i="48"/>
  <c r="I9" i="58" l="1"/>
  <c r="Q5" i="58"/>
  <c r="AQ76" i="48"/>
  <c r="AQ101" i="48"/>
  <c r="AQ776" i="48"/>
  <c r="AQ626" i="48"/>
  <c r="AQ826" i="48"/>
  <c r="AQ326" i="48"/>
  <c r="AQ901" i="48"/>
  <c r="AQ1176" i="48"/>
  <c r="AQ801" i="48"/>
  <c r="AQ1351" i="48"/>
  <c r="AQ651" i="48"/>
  <c r="AQ726" i="48"/>
  <c r="AQ226" i="48"/>
  <c r="AQ1051" i="48"/>
  <c r="AQ1076" i="48"/>
  <c r="AQ926" i="48"/>
  <c r="AQ576" i="48"/>
  <c r="AQ526" i="48"/>
  <c r="AQ501" i="48"/>
  <c r="AQ1151" i="48"/>
  <c r="AQ251" i="48"/>
  <c r="AQ1026" i="48"/>
  <c r="AQ301" i="48"/>
  <c r="AQ1101" i="48"/>
  <c r="AQ126" i="48"/>
  <c r="AQ451" i="48"/>
  <c r="AQ1251" i="48"/>
  <c r="AQ976" i="48"/>
  <c r="AQ1226" i="48"/>
  <c r="AQ176" i="48"/>
  <c r="AQ376" i="48"/>
  <c r="AQ951" i="48"/>
  <c r="AQ1276" i="48"/>
  <c r="AQ1326" i="48"/>
  <c r="AQ751" i="48"/>
  <c r="AQ676" i="48"/>
  <c r="AQ151" i="48"/>
  <c r="AQ51" i="48"/>
  <c r="AQ851" i="48"/>
  <c r="AQ876" i="48"/>
  <c r="AQ1301" i="48"/>
  <c r="AQ1001" i="48"/>
  <c r="AQ201" i="48"/>
  <c r="AQ1126" i="48"/>
  <c r="AQ601" i="48"/>
  <c r="AQ1201" i="48"/>
  <c r="AQ476" i="48"/>
  <c r="AQ401" i="48"/>
  <c r="AQ426" i="48"/>
  <c r="AQ701" i="48"/>
  <c r="AQ551" i="48"/>
  <c r="DN69" i="48"/>
  <c r="DN68" i="48"/>
  <c r="DN66" i="48"/>
  <c r="DN67" i="48"/>
  <c r="BM3" i="48" l="1"/>
  <c r="BO3" i="48" s="1"/>
  <c r="BP3" i="48" s="1"/>
  <c r="BL3" i="48"/>
  <c r="DK3" i="48" l="1"/>
  <c r="CH1345" i="48"/>
  <c r="CI1345" i="48" s="1"/>
  <c r="CJ1345" i="48" s="1"/>
  <c r="CH1343" i="48"/>
  <c r="CI1343" i="48" s="1"/>
  <c r="CJ1343" i="48" s="1"/>
  <c r="CH1341" i="48"/>
  <c r="CI1341" i="48" s="1"/>
  <c r="CJ1341" i="48" s="1"/>
  <c r="CH1339" i="48"/>
  <c r="CI1339" i="48" s="1"/>
  <c r="CJ1339" i="48" s="1"/>
  <c r="CH1337" i="48"/>
  <c r="CI1337" i="48" s="1"/>
  <c r="CJ1337" i="48" s="1"/>
  <c r="CH1333" i="48"/>
  <c r="CI1333" i="48" s="1"/>
  <c r="CJ1333" i="48" s="1"/>
  <c r="CH1329" i="48"/>
  <c r="CI1329" i="48" s="1"/>
  <c r="CJ1329" i="48" s="1"/>
  <c r="CL1328" i="48"/>
  <c r="AC1329" i="48" s="1"/>
  <c r="CH1323" i="48"/>
  <c r="CI1323" i="48" s="1"/>
  <c r="CJ1323" i="48" s="1"/>
  <c r="CH1322" i="48"/>
  <c r="CI1322" i="48" s="1"/>
  <c r="CJ1322" i="48" s="1"/>
  <c r="CH1319" i="48"/>
  <c r="CI1319" i="48" s="1"/>
  <c r="CJ1319" i="48" s="1"/>
  <c r="CH1318" i="48"/>
  <c r="CI1318" i="48" s="1"/>
  <c r="CJ1318" i="48" s="1"/>
  <c r="CH1315" i="48"/>
  <c r="CI1315" i="48" s="1"/>
  <c r="CJ1315" i="48" s="1"/>
  <c r="CH1314" i="48"/>
  <c r="CI1314" i="48" s="1"/>
  <c r="CJ1314" i="48" s="1"/>
  <c r="CH1311" i="48"/>
  <c r="CI1311" i="48" s="1"/>
  <c r="CJ1311" i="48" s="1"/>
  <c r="CH1310" i="48"/>
  <c r="CI1310" i="48" s="1"/>
  <c r="CJ1310" i="48" s="1"/>
  <c r="CH1309" i="48"/>
  <c r="CI1309" i="48" s="1"/>
  <c r="CJ1309" i="48" s="1"/>
  <c r="CH1306" i="48"/>
  <c r="CI1306" i="48" s="1"/>
  <c r="CJ1306" i="48" s="1"/>
  <c r="CH1305" i="48"/>
  <c r="CI1305" i="48" s="1"/>
  <c r="CJ1305" i="48" s="1"/>
  <c r="CL1303" i="48"/>
  <c r="AC1304" i="48" s="1"/>
  <c r="CH1297" i="48"/>
  <c r="CI1297" i="48" s="1"/>
  <c r="CJ1297" i="48" s="1"/>
  <c r="CH1293" i="48"/>
  <c r="CI1293" i="48" s="1"/>
  <c r="CJ1293" i="48" s="1"/>
  <c r="CH1289" i="48"/>
  <c r="CI1289" i="48" s="1"/>
  <c r="CJ1289" i="48" s="1"/>
  <c r="CH1285" i="48"/>
  <c r="CI1285" i="48" s="1"/>
  <c r="CJ1285" i="48" s="1"/>
  <c r="CH1282" i="48"/>
  <c r="CI1282" i="48" s="1"/>
  <c r="CJ1282" i="48" s="1"/>
  <c r="CH1281" i="48"/>
  <c r="CI1281" i="48" s="1"/>
  <c r="CJ1281" i="48" s="1"/>
  <c r="CL1278" i="48"/>
  <c r="AC1279" i="48" s="1"/>
  <c r="CH1272" i="48"/>
  <c r="CI1272" i="48" s="1"/>
  <c r="CJ1272" i="48" s="1"/>
  <c r="CH1271" i="48"/>
  <c r="CI1271" i="48" s="1"/>
  <c r="CJ1271" i="48" s="1"/>
  <c r="CH1268" i="48"/>
  <c r="CI1268" i="48" s="1"/>
  <c r="CJ1268" i="48" s="1"/>
  <c r="CH1267" i="48"/>
  <c r="CI1267" i="48" s="1"/>
  <c r="CJ1267" i="48" s="1"/>
  <c r="CH1264" i="48"/>
  <c r="CI1264" i="48" s="1"/>
  <c r="CJ1264" i="48" s="1"/>
  <c r="CH1263" i="48"/>
  <c r="CI1263" i="48" s="1"/>
  <c r="CJ1263" i="48" s="1"/>
  <c r="CH1260" i="48"/>
  <c r="CI1260" i="48" s="1"/>
  <c r="CJ1260" i="48" s="1"/>
  <c r="CH1259" i="48"/>
  <c r="CI1259" i="48" s="1"/>
  <c r="CJ1259" i="48" s="1"/>
  <c r="CH1255" i="48"/>
  <c r="CI1255" i="48" s="1"/>
  <c r="CJ1255" i="48" s="1"/>
  <c r="CL1253" i="48"/>
  <c r="AC1254" i="48" s="1"/>
  <c r="CH1246" i="48"/>
  <c r="CI1246" i="48" s="1"/>
  <c r="CJ1246" i="48" s="1"/>
  <c r="CH1245" i="48"/>
  <c r="CI1245" i="48" s="1"/>
  <c r="CJ1245" i="48" s="1"/>
  <c r="CH1243" i="48"/>
  <c r="CI1243" i="48" s="1"/>
  <c r="CJ1243" i="48" s="1"/>
  <c r="CH1242" i="48"/>
  <c r="CI1242" i="48" s="1"/>
  <c r="CJ1242" i="48" s="1"/>
  <c r="CH1238" i="48"/>
  <c r="CI1238" i="48" s="1"/>
  <c r="CJ1238" i="48" s="1"/>
  <c r="CH1235" i="48"/>
  <c r="CI1235" i="48" s="1"/>
  <c r="CJ1235" i="48" s="1"/>
  <c r="CH1234" i="48"/>
  <c r="CI1234" i="48" s="1"/>
  <c r="CJ1234" i="48" s="1"/>
  <c r="CH1231" i="48"/>
  <c r="CI1231" i="48" s="1"/>
  <c r="CJ1231" i="48" s="1"/>
  <c r="CH1230" i="48"/>
  <c r="CI1230" i="48" s="1"/>
  <c r="CJ1230" i="48" s="1"/>
  <c r="CL1228" i="48"/>
  <c r="AC1229" i="48" s="1"/>
  <c r="CH1222" i="48"/>
  <c r="CI1222" i="48" s="1"/>
  <c r="CJ1222" i="48" s="1"/>
  <c r="CH1220" i="48"/>
  <c r="CI1220" i="48" s="1"/>
  <c r="CJ1220" i="48" s="1"/>
  <c r="CH1218" i="48"/>
  <c r="CI1218" i="48" s="1"/>
  <c r="CJ1218" i="48" s="1"/>
  <c r="CH1215" i="48"/>
  <c r="CI1215" i="48" s="1"/>
  <c r="CJ1215" i="48" s="1"/>
  <c r="CH1214" i="48"/>
  <c r="CI1214" i="48" s="1"/>
  <c r="CJ1214" i="48" s="1"/>
  <c r="CH1206" i="48"/>
  <c r="CI1206" i="48" s="1"/>
  <c r="CJ1206" i="48" s="1"/>
  <c r="CL1203" i="48"/>
  <c r="AC1204" i="48" s="1"/>
  <c r="CH1180" i="48"/>
  <c r="CI1180" i="48" s="1"/>
  <c r="CJ1180" i="48" s="1"/>
  <c r="CL1178" i="48"/>
  <c r="AC1179" i="48" s="1"/>
  <c r="CH1173" i="48"/>
  <c r="CI1173" i="48" s="1"/>
  <c r="CJ1173" i="48" s="1"/>
  <c r="CH1169" i="48"/>
  <c r="CI1169" i="48" s="1"/>
  <c r="CJ1169" i="48" s="1"/>
  <c r="CH1168" i="48"/>
  <c r="CI1168" i="48" s="1"/>
  <c r="CJ1168" i="48" s="1"/>
  <c r="CH1165" i="48"/>
  <c r="CI1165" i="48" s="1"/>
  <c r="CJ1165" i="48" s="1"/>
  <c r="CH1164" i="48"/>
  <c r="CI1164" i="48" s="1"/>
  <c r="CJ1164" i="48" s="1"/>
  <c r="CH1161" i="48"/>
  <c r="CI1161" i="48" s="1"/>
  <c r="CJ1161" i="48" s="1"/>
  <c r="CH1160" i="48"/>
  <c r="CI1160" i="48" s="1"/>
  <c r="CJ1160" i="48" s="1"/>
  <c r="CH1157" i="48"/>
  <c r="CI1157" i="48" s="1"/>
  <c r="CJ1157" i="48" s="1"/>
  <c r="CH1156" i="48"/>
  <c r="CI1156" i="48" s="1"/>
  <c r="CJ1156" i="48" s="1"/>
  <c r="CL1153" i="48"/>
  <c r="AC1154" i="48" s="1"/>
  <c r="CH1148" i="48"/>
  <c r="CI1148" i="48" s="1"/>
  <c r="CJ1148" i="48" s="1"/>
  <c r="CH1145" i="48"/>
  <c r="CI1145" i="48" s="1"/>
  <c r="CJ1145" i="48" s="1"/>
  <c r="CH1144" i="48"/>
  <c r="CI1144" i="48" s="1"/>
  <c r="CJ1144" i="48" s="1"/>
  <c r="CH1141" i="48"/>
  <c r="CI1141" i="48" s="1"/>
  <c r="CJ1141" i="48" s="1"/>
  <c r="CH1140" i="48"/>
  <c r="CI1140" i="48" s="1"/>
  <c r="CJ1140" i="48" s="1"/>
  <c r="CH1137" i="48"/>
  <c r="CI1137" i="48" s="1"/>
  <c r="CJ1137" i="48" s="1"/>
  <c r="CH1136" i="48"/>
  <c r="CI1136" i="48" s="1"/>
  <c r="CJ1136" i="48" s="1"/>
  <c r="CH1133" i="48"/>
  <c r="CI1133" i="48" s="1"/>
  <c r="CJ1133" i="48" s="1"/>
  <c r="CH1132" i="48"/>
  <c r="CI1132" i="48" s="1"/>
  <c r="CJ1132" i="48" s="1"/>
  <c r="CH1129" i="48"/>
  <c r="CI1129" i="48" s="1"/>
  <c r="CJ1129" i="48" s="1"/>
  <c r="CL1128" i="48"/>
  <c r="AC1129" i="48" s="1"/>
  <c r="CH1123" i="48"/>
  <c r="CI1123" i="48" s="1"/>
  <c r="CJ1123" i="48" s="1"/>
  <c r="CH1121" i="48"/>
  <c r="CI1121" i="48" s="1"/>
  <c r="CJ1121" i="48" s="1"/>
  <c r="CH1119" i="48"/>
  <c r="CI1119" i="48" s="1"/>
  <c r="CJ1119" i="48" s="1"/>
  <c r="CH1117" i="48"/>
  <c r="CI1117" i="48" s="1"/>
  <c r="CJ1117" i="48" s="1"/>
  <c r="CH1115" i="48"/>
  <c r="CI1115" i="48" s="1"/>
  <c r="CJ1115" i="48" s="1"/>
  <c r="CH1113" i="48"/>
  <c r="CI1113" i="48" s="1"/>
  <c r="CJ1113" i="48" s="1"/>
  <c r="CH1111" i="48"/>
  <c r="CI1111" i="48" s="1"/>
  <c r="CJ1111" i="48" s="1"/>
  <c r="CH1109" i="48"/>
  <c r="CI1109" i="48" s="1"/>
  <c r="CJ1109" i="48" s="1"/>
  <c r="CH1107" i="48"/>
  <c r="CI1107" i="48" s="1"/>
  <c r="CJ1107" i="48" s="1"/>
  <c r="CH1105" i="48"/>
  <c r="CI1105" i="48" s="1"/>
  <c r="CJ1105" i="48" s="1"/>
  <c r="CL1103" i="48"/>
  <c r="AC1104" i="48" s="1"/>
  <c r="CH1097" i="48"/>
  <c r="CI1097" i="48" s="1"/>
  <c r="CJ1097" i="48" s="1"/>
  <c r="CH1095" i="48"/>
  <c r="CI1095" i="48" s="1"/>
  <c r="CJ1095" i="48" s="1"/>
  <c r="CH1094" i="48"/>
  <c r="CI1094" i="48" s="1"/>
  <c r="CJ1094" i="48" s="1"/>
  <c r="CH1093" i="48"/>
  <c r="CI1093" i="48" s="1"/>
  <c r="CJ1093" i="48" s="1"/>
  <c r="CH1090" i="48"/>
  <c r="CI1090" i="48" s="1"/>
  <c r="CJ1090" i="48" s="1"/>
  <c r="CH1088" i="48"/>
  <c r="CI1088" i="48" s="1"/>
  <c r="CJ1088" i="48" s="1"/>
  <c r="CH1086" i="48"/>
  <c r="CI1086" i="48" s="1"/>
  <c r="CJ1086" i="48" s="1"/>
  <c r="CL1078" i="48"/>
  <c r="AC1079" i="48" s="1"/>
  <c r="CL1053" i="48"/>
  <c r="AC1054" i="48" s="1"/>
  <c r="CL1028" i="48"/>
  <c r="AC1029" i="48" s="1"/>
  <c r="CL1003" i="48"/>
  <c r="AC1004" i="48" s="1"/>
  <c r="CH997" i="48"/>
  <c r="CI997" i="48" s="1"/>
  <c r="CJ997" i="48" s="1"/>
  <c r="CH993" i="48"/>
  <c r="CI993" i="48" s="1"/>
  <c r="CJ993" i="48" s="1"/>
  <c r="CH991" i="48"/>
  <c r="CI991" i="48" s="1"/>
  <c r="CJ991" i="48" s="1"/>
  <c r="CH987" i="48"/>
  <c r="CI987" i="48" s="1"/>
  <c r="CJ987" i="48" s="1"/>
  <c r="CH983" i="48"/>
  <c r="CI983" i="48" s="1"/>
  <c r="CJ983" i="48" s="1"/>
  <c r="CH979" i="48"/>
  <c r="CI979" i="48" s="1"/>
  <c r="CJ979" i="48" s="1"/>
  <c r="CL978" i="48"/>
  <c r="AC979" i="48" s="1"/>
  <c r="CH971" i="48"/>
  <c r="CI971" i="48" s="1"/>
  <c r="CJ971" i="48" s="1"/>
  <c r="CH967" i="48"/>
  <c r="CI967" i="48" s="1"/>
  <c r="CJ967" i="48" s="1"/>
  <c r="CH963" i="48"/>
  <c r="CI963" i="48" s="1"/>
  <c r="CJ963" i="48" s="1"/>
  <c r="CH959" i="48"/>
  <c r="CI959" i="48" s="1"/>
  <c r="CJ959" i="48" s="1"/>
  <c r="CH955" i="48"/>
  <c r="CI955" i="48" s="1"/>
  <c r="CJ955" i="48" s="1"/>
  <c r="CL953" i="48"/>
  <c r="AC954" i="48" s="1"/>
  <c r="CH947" i="48"/>
  <c r="CI947" i="48" s="1"/>
  <c r="CJ947" i="48" s="1"/>
  <c r="CH943" i="48"/>
  <c r="CI943" i="48" s="1"/>
  <c r="CJ943" i="48" s="1"/>
  <c r="CH939" i="48"/>
  <c r="CI939" i="48" s="1"/>
  <c r="CJ939" i="48" s="1"/>
  <c r="CH936" i="48"/>
  <c r="CI936" i="48" s="1"/>
  <c r="CJ936" i="48" s="1"/>
  <c r="CH935" i="48"/>
  <c r="CI935" i="48" s="1"/>
  <c r="CJ935" i="48" s="1"/>
  <c r="CH931" i="48"/>
  <c r="CI931" i="48" s="1"/>
  <c r="CJ931" i="48" s="1"/>
  <c r="CH929" i="48"/>
  <c r="CI929" i="48" s="1"/>
  <c r="CJ929" i="48" s="1"/>
  <c r="CL928" i="48"/>
  <c r="AC929" i="48" s="1"/>
  <c r="CL903" i="48"/>
  <c r="AC904" i="48" s="1"/>
  <c r="CL878" i="48"/>
  <c r="AC879" i="48" s="1"/>
  <c r="CL853" i="48"/>
  <c r="AC854" i="48" s="1"/>
  <c r="CH848" i="48"/>
  <c r="CI848" i="48" s="1"/>
  <c r="CJ848" i="48" s="1"/>
  <c r="CH845" i="48"/>
  <c r="CI845" i="48" s="1"/>
  <c r="CJ845" i="48" s="1"/>
  <c r="CH844" i="48"/>
  <c r="CI844" i="48" s="1"/>
  <c r="CJ844" i="48" s="1"/>
  <c r="CH841" i="48"/>
  <c r="CI841" i="48" s="1"/>
  <c r="CJ841" i="48" s="1"/>
  <c r="CH840" i="48"/>
  <c r="CI840" i="48" s="1"/>
  <c r="CJ840" i="48" s="1"/>
  <c r="CH837" i="48"/>
  <c r="CI837" i="48" s="1"/>
  <c r="CJ837" i="48" s="1"/>
  <c r="CH836" i="48"/>
  <c r="CI836" i="48" s="1"/>
  <c r="CJ836" i="48" s="1"/>
  <c r="CH833" i="48"/>
  <c r="CI833" i="48" s="1"/>
  <c r="CJ833" i="48" s="1"/>
  <c r="CH832" i="48"/>
  <c r="CI832" i="48" s="1"/>
  <c r="CJ832" i="48" s="1"/>
  <c r="CH829" i="48"/>
  <c r="CI829" i="48" s="1"/>
  <c r="CJ829" i="48" s="1"/>
  <c r="CL828" i="48"/>
  <c r="AC829" i="48" s="1"/>
  <c r="CH821" i="48"/>
  <c r="CI821" i="48" s="1"/>
  <c r="CJ821" i="48" s="1"/>
  <c r="CH819" i="48"/>
  <c r="CI819" i="48" s="1"/>
  <c r="CJ819" i="48" s="1"/>
  <c r="CH817" i="48"/>
  <c r="CI817" i="48" s="1"/>
  <c r="CJ817" i="48" s="1"/>
  <c r="CH815" i="48"/>
  <c r="CI815" i="48" s="1"/>
  <c r="CJ815" i="48" s="1"/>
  <c r="CH813" i="48"/>
  <c r="CI813" i="48" s="1"/>
  <c r="CJ813" i="48" s="1"/>
  <c r="CH811" i="48"/>
  <c r="CI811" i="48" s="1"/>
  <c r="CJ811" i="48" s="1"/>
  <c r="CH809" i="48"/>
  <c r="CI809" i="48" s="1"/>
  <c r="CJ809" i="48" s="1"/>
  <c r="CH807" i="48"/>
  <c r="CI807" i="48" s="1"/>
  <c r="CJ807" i="48" s="1"/>
  <c r="CH805" i="48"/>
  <c r="CI805" i="48" s="1"/>
  <c r="CJ805" i="48" s="1"/>
  <c r="CL803" i="48"/>
  <c r="AC804" i="48" s="1"/>
  <c r="CH797" i="48"/>
  <c r="CI797" i="48" s="1"/>
  <c r="CJ797" i="48" s="1"/>
  <c r="CH795" i="48"/>
  <c r="CI795" i="48" s="1"/>
  <c r="CJ795" i="48" s="1"/>
  <c r="CH793" i="48"/>
  <c r="CI793" i="48" s="1"/>
  <c r="CJ793" i="48" s="1"/>
  <c r="CH791" i="48"/>
  <c r="CI791" i="48" s="1"/>
  <c r="CJ791" i="48" s="1"/>
  <c r="CH789" i="48"/>
  <c r="CI789" i="48" s="1"/>
  <c r="CJ789" i="48" s="1"/>
  <c r="CH787" i="48"/>
  <c r="CI787" i="48" s="1"/>
  <c r="CJ787" i="48" s="1"/>
  <c r="CH785" i="48"/>
  <c r="CI785" i="48" s="1"/>
  <c r="CJ785" i="48" s="1"/>
  <c r="CH783" i="48"/>
  <c r="CI783" i="48" s="1"/>
  <c r="CJ783" i="48" s="1"/>
  <c r="CH781" i="48"/>
  <c r="CI781" i="48" s="1"/>
  <c r="CJ781" i="48" s="1"/>
  <c r="CL778" i="48"/>
  <c r="AC779" i="48" s="1"/>
  <c r="CH767" i="48"/>
  <c r="CI767" i="48" s="1"/>
  <c r="CJ767" i="48" s="1"/>
  <c r="CH763" i="48"/>
  <c r="CI763" i="48" s="1"/>
  <c r="CJ763" i="48" s="1"/>
  <c r="CH759" i="48"/>
  <c r="CI759" i="48" s="1"/>
  <c r="CJ759" i="48" s="1"/>
  <c r="CH755" i="48"/>
  <c r="CI755" i="48" s="1"/>
  <c r="CJ755" i="48" s="1"/>
  <c r="CL753" i="48"/>
  <c r="AC754" i="48" s="1"/>
  <c r="CH747" i="48"/>
  <c r="CI747" i="48" s="1"/>
  <c r="CJ747" i="48" s="1"/>
  <c r="CH743" i="48"/>
  <c r="CI743" i="48" s="1"/>
  <c r="CJ743" i="48" s="1"/>
  <c r="CH739" i="48"/>
  <c r="CI739" i="48" s="1"/>
  <c r="CJ739" i="48" s="1"/>
  <c r="CH735" i="48"/>
  <c r="CI735" i="48" s="1"/>
  <c r="CJ735" i="48" s="1"/>
  <c r="CH731" i="48"/>
  <c r="CI731" i="48" s="1"/>
  <c r="CJ731" i="48" s="1"/>
  <c r="CL728" i="48"/>
  <c r="AC729" i="48" s="1"/>
  <c r="CH723" i="48"/>
  <c r="CI723" i="48" s="1"/>
  <c r="CJ723" i="48" s="1"/>
  <c r="CL703" i="48"/>
  <c r="AC704" i="48" s="1"/>
  <c r="CL678" i="48"/>
  <c r="AC679" i="48" s="1"/>
  <c r="CH671" i="48"/>
  <c r="CI671" i="48" s="1"/>
  <c r="CJ671" i="48" s="1"/>
  <c r="CH670" i="48"/>
  <c r="CI670" i="48" s="1"/>
  <c r="CJ670" i="48" s="1"/>
  <c r="CH667" i="48"/>
  <c r="CI667" i="48" s="1"/>
  <c r="CJ667" i="48" s="1"/>
  <c r="CH666" i="48"/>
  <c r="CI666" i="48" s="1"/>
  <c r="CJ666" i="48" s="1"/>
  <c r="CH664" i="48"/>
  <c r="CI664" i="48" s="1"/>
  <c r="CJ664" i="48" s="1"/>
  <c r="CH663" i="48"/>
  <c r="CI663" i="48" s="1"/>
  <c r="CJ663" i="48" s="1"/>
  <c r="CH659" i="48"/>
  <c r="CI659" i="48" s="1"/>
  <c r="CJ659" i="48" s="1"/>
  <c r="CH656" i="48"/>
  <c r="CI656" i="48" s="1"/>
  <c r="CJ656" i="48" s="1"/>
  <c r="CH655" i="48"/>
  <c r="CI655" i="48" s="1"/>
  <c r="CJ655" i="48" s="1"/>
  <c r="CH648" i="48"/>
  <c r="CI648" i="48" s="1"/>
  <c r="CJ648" i="48" s="1"/>
  <c r="CH647" i="48"/>
  <c r="CI647" i="48" s="1"/>
  <c r="CJ647" i="48" s="1"/>
  <c r="CH643" i="48"/>
  <c r="CI643" i="48" s="1"/>
  <c r="CJ643" i="48" s="1"/>
  <c r="CH640" i="48"/>
  <c r="CI640" i="48" s="1"/>
  <c r="CJ640" i="48" s="1"/>
  <c r="CH639" i="48"/>
  <c r="CI639" i="48" s="1"/>
  <c r="CJ639" i="48" s="1"/>
  <c r="CH636" i="48"/>
  <c r="CI636" i="48" s="1"/>
  <c r="CJ636" i="48" s="1"/>
  <c r="CH635" i="48"/>
  <c r="CI635" i="48" s="1"/>
  <c r="CJ635" i="48" s="1"/>
  <c r="CH632" i="48"/>
  <c r="CI632" i="48" s="1"/>
  <c r="CJ632" i="48" s="1"/>
  <c r="CH631" i="48"/>
  <c r="CI631" i="48" s="1"/>
  <c r="CJ631" i="48" s="1"/>
  <c r="CL628" i="48"/>
  <c r="AC629" i="48" s="1"/>
  <c r="CH623" i="48"/>
  <c r="CI623" i="48" s="1"/>
  <c r="CJ623" i="48" s="1"/>
  <c r="CH619" i="48"/>
  <c r="CI619" i="48" s="1"/>
  <c r="CJ619" i="48" s="1"/>
  <c r="CH615" i="48"/>
  <c r="CI615" i="48" s="1"/>
  <c r="CJ615" i="48" s="1"/>
  <c r="CH611" i="48"/>
  <c r="CI611" i="48" s="1"/>
  <c r="CJ611" i="48" s="1"/>
  <c r="CH607" i="48"/>
  <c r="CI607" i="48" s="1"/>
  <c r="CJ607" i="48" s="1"/>
  <c r="CL603" i="48"/>
  <c r="AC604" i="48" s="1"/>
  <c r="CH595" i="48"/>
  <c r="CI595" i="48" s="1"/>
  <c r="CJ595" i="48" s="1"/>
  <c r="CH591" i="48"/>
  <c r="CI591" i="48" s="1"/>
  <c r="CJ591" i="48" s="1"/>
  <c r="CH587" i="48"/>
  <c r="CI587" i="48" s="1"/>
  <c r="CJ587" i="48" s="1"/>
  <c r="CH583" i="48"/>
  <c r="CI583" i="48" s="1"/>
  <c r="CJ583" i="48" s="1"/>
  <c r="CL578" i="48"/>
  <c r="AC579" i="48" s="1"/>
  <c r="CL553" i="48"/>
  <c r="AC554" i="48" s="1"/>
  <c r="CH533" i="48"/>
  <c r="CI533" i="48" s="1"/>
  <c r="CJ533" i="48" s="1"/>
  <c r="CL528" i="48"/>
  <c r="AC529" i="48" s="1"/>
  <c r="CL503" i="48"/>
  <c r="AC504" i="48" s="1"/>
  <c r="CH498" i="48"/>
  <c r="CI498" i="48" s="1"/>
  <c r="CJ498" i="48" s="1"/>
  <c r="CH496" i="48"/>
  <c r="CI496" i="48" s="1"/>
  <c r="CJ496" i="48" s="1"/>
  <c r="CH494" i="48"/>
  <c r="CI494" i="48" s="1"/>
  <c r="CJ494" i="48" s="1"/>
  <c r="CH492" i="48"/>
  <c r="CI492" i="48" s="1"/>
  <c r="CJ492" i="48" s="1"/>
  <c r="CH490" i="48"/>
  <c r="CI490" i="48" s="1"/>
  <c r="CJ490" i="48" s="1"/>
  <c r="CH488" i="48"/>
  <c r="CI488" i="48" s="1"/>
  <c r="CJ488" i="48" s="1"/>
  <c r="CH486" i="48"/>
  <c r="CI486" i="48" s="1"/>
  <c r="CJ486" i="48" s="1"/>
  <c r="CH484" i="48"/>
  <c r="CI484" i="48" s="1"/>
  <c r="CJ484" i="48" s="1"/>
  <c r="CH482" i="48"/>
  <c r="CI482" i="48" s="1"/>
  <c r="CJ482" i="48" s="1"/>
  <c r="CH480" i="48"/>
  <c r="CI480" i="48" s="1"/>
  <c r="CJ480" i="48" s="1"/>
  <c r="CL478" i="48"/>
  <c r="AC479" i="48" s="1"/>
  <c r="CH473" i="48"/>
  <c r="CI473" i="48" s="1"/>
  <c r="CJ473" i="48" s="1"/>
  <c r="CH471" i="48"/>
  <c r="CI471" i="48" s="1"/>
  <c r="CJ471" i="48" s="1"/>
  <c r="CH469" i="48"/>
  <c r="CI469" i="48" s="1"/>
  <c r="CJ469" i="48" s="1"/>
  <c r="CH467" i="48"/>
  <c r="CI467" i="48" s="1"/>
  <c r="CJ467" i="48" s="1"/>
  <c r="CH465" i="48"/>
  <c r="CI465" i="48" s="1"/>
  <c r="CJ465" i="48" s="1"/>
  <c r="CH463" i="48"/>
  <c r="CI463" i="48" s="1"/>
  <c r="CJ463" i="48" s="1"/>
  <c r="CH461" i="48"/>
  <c r="CI461" i="48" s="1"/>
  <c r="CJ461" i="48" s="1"/>
  <c r="CH459" i="48"/>
  <c r="CI459" i="48" s="1"/>
  <c r="CJ459" i="48" s="1"/>
  <c r="CH457" i="48"/>
  <c r="CI457" i="48" s="1"/>
  <c r="CJ457" i="48" s="1"/>
  <c r="CH455" i="48"/>
  <c r="CI455" i="48" s="1"/>
  <c r="CJ455" i="48" s="1"/>
  <c r="CL453" i="48"/>
  <c r="AC454" i="48" s="1"/>
  <c r="CH447" i="48"/>
  <c r="CI447" i="48" s="1"/>
  <c r="CJ447" i="48" s="1"/>
  <c r="CH445" i="48"/>
  <c r="CI445" i="48" s="1"/>
  <c r="CJ445" i="48" s="1"/>
  <c r="CH443" i="48"/>
  <c r="CI443" i="48" s="1"/>
  <c r="CJ443" i="48" s="1"/>
  <c r="CH441" i="48"/>
  <c r="CI441" i="48" s="1"/>
  <c r="CJ441" i="48" s="1"/>
  <c r="CH439" i="48"/>
  <c r="CI439" i="48" s="1"/>
  <c r="CJ439" i="48" s="1"/>
  <c r="CH437" i="48"/>
  <c r="CI437" i="48" s="1"/>
  <c r="CJ437" i="48" s="1"/>
  <c r="CH435" i="48"/>
  <c r="CI435" i="48" s="1"/>
  <c r="CJ435" i="48" s="1"/>
  <c r="CH433" i="48"/>
  <c r="CI433" i="48" s="1"/>
  <c r="CJ433" i="48" s="1"/>
  <c r="CH431" i="48"/>
  <c r="CI431" i="48" s="1"/>
  <c r="CJ431" i="48" s="1"/>
  <c r="CH429" i="48"/>
  <c r="CI429" i="48" s="1"/>
  <c r="CJ429" i="48" s="1"/>
  <c r="CL428" i="48"/>
  <c r="AC429" i="48" s="1"/>
  <c r="CH423" i="48"/>
  <c r="CI423" i="48" s="1"/>
  <c r="CJ423" i="48" s="1"/>
  <c r="CH421" i="48"/>
  <c r="CI421" i="48" s="1"/>
  <c r="CJ421" i="48" s="1"/>
  <c r="CH419" i="48"/>
  <c r="CI419" i="48" s="1"/>
  <c r="CJ419" i="48" s="1"/>
  <c r="CH416" i="48"/>
  <c r="CI416" i="48" s="1"/>
  <c r="CJ416" i="48" s="1"/>
  <c r="CH415" i="48"/>
  <c r="CI415" i="48" s="1"/>
  <c r="CJ415" i="48" s="1"/>
  <c r="CH411" i="48"/>
  <c r="CI411" i="48" s="1"/>
  <c r="CJ411" i="48" s="1"/>
  <c r="CH407" i="48"/>
  <c r="CI407" i="48" s="1"/>
  <c r="CJ407" i="48" s="1"/>
  <c r="CL403" i="48"/>
  <c r="AC404" i="48" s="1"/>
  <c r="CH395" i="48"/>
  <c r="CI395" i="48" s="1"/>
  <c r="CJ395" i="48" s="1"/>
  <c r="CH391" i="48"/>
  <c r="CI391" i="48" s="1"/>
  <c r="CJ391" i="48" s="1"/>
  <c r="CH387" i="48"/>
  <c r="CI387" i="48" s="1"/>
  <c r="CJ387" i="48" s="1"/>
  <c r="CH382" i="48"/>
  <c r="CI382" i="48" s="1"/>
  <c r="CJ382" i="48" s="1"/>
  <c r="CL378" i="48"/>
  <c r="AC379" i="48" s="1"/>
  <c r="CH370" i="48"/>
  <c r="CI370" i="48" s="1"/>
  <c r="CJ370" i="48" s="1"/>
  <c r="CH366" i="48"/>
  <c r="CI366" i="48" s="1"/>
  <c r="CJ366" i="48" s="1"/>
  <c r="CH362" i="48"/>
  <c r="CI362" i="48" s="1"/>
  <c r="CJ362" i="48" s="1"/>
  <c r="CH358" i="48"/>
  <c r="CI358" i="48" s="1"/>
  <c r="CJ358" i="48" s="1"/>
  <c r="CH354" i="48"/>
  <c r="CI354" i="48" s="1"/>
  <c r="CJ354" i="48" s="1"/>
  <c r="CL353" i="48"/>
  <c r="AC354" i="48" s="1"/>
  <c r="CH346" i="48"/>
  <c r="CI346" i="48" s="1"/>
  <c r="CJ346" i="48" s="1"/>
  <c r="CH342" i="48"/>
  <c r="CI342" i="48" s="1"/>
  <c r="CJ342" i="48" s="1"/>
  <c r="CH339" i="48"/>
  <c r="CI339" i="48" s="1"/>
  <c r="CJ339" i="48" s="1"/>
  <c r="CH338" i="48"/>
  <c r="CI338" i="48" s="1"/>
  <c r="CJ338" i="48" s="1"/>
  <c r="CH334" i="48"/>
  <c r="CI334" i="48" s="1"/>
  <c r="CJ334" i="48" s="1"/>
  <c r="CH330" i="48"/>
  <c r="CI330" i="48" s="1"/>
  <c r="CJ330" i="48" s="1"/>
  <c r="CL328" i="48"/>
  <c r="AC329" i="48" s="1"/>
  <c r="CH322" i="48"/>
  <c r="CI322" i="48" s="1"/>
  <c r="CJ322" i="48" s="1"/>
  <c r="CH321" i="48"/>
  <c r="CI321" i="48" s="1"/>
  <c r="CJ321" i="48" s="1"/>
  <c r="CH320" i="48"/>
  <c r="CI320" i="48" s="1"/>
  <c r="CJ320" i="48" s="1"/>
  <c r="CH318" i="48"/>
  <c r="CI318" i="48" s="1"/>
  <c r="CJ318" i="48" s="1"/>
  <c r="CH317" i="48"/>
  <c r="CI317" i="48" s="1"/>
  <c r="CJ317" i="48" s="1"/>
  <c r="CH316" i="48"/>
  <c r="CI316" i="48" s="1"/>
  <c r="CJ316" i="48" s="1"/>
  <c r="CH314" i="48"/>
  <c r="CI314" i="48" s="1"/>
  <c r="CJ314" i="48" s="1"/>
  <c r="CH313" i="48"/>
  <c r="CI313" i="48" s="1"/>
  <c r="CJ313" i="48" s="1"/>
  <c r="CH312" i="48"/>
  <c r="CI312" i="48" s="1"/>
  <c r="CJ312" i="48" s="1"/>
  <c r="CH310" i="48"/>
  <c r="CI310" i="48" s="1"/>
  <c r="CJ310" i="48" s="1"/>
  <c r="CH309" i="48"/>
  <c r="CI309" i="48" s="1"/>
  <c r="CJ309" i="48" s="1"/>
  <c r="CH308" i="48"/>
  <c r="CI308" i="48" s="1"/>
  <c r="CJ308" i="48" s="1"/>
  <c r="CH306" i="48"/>
  <c r="CI306" i="48" s="1"/>
  <c r="CJ306" i="48" s="1"/>
  <c r="CH305" i="48"/>
  <c r="CI305" i="48" s="1"/>
  <c r="CJ305" i="48" s="1"/>
  <c r="CH304" i="48"/>
  <c r="CI304" i="48" s="1"/>
  <c r="CJ304" i="48" s="1"/>
  <c r="CL303" i="48"/>
  <c r="AC304" i="48" s="1"/>
  <c r="CH298" i="48"/>
  <c r="CI298" i="48" s="1"/>
  <c r="CJ298" i="48" s="1"/>
  <c r="CH297" i="48"/>
  <c r="CI297" i="48" s="1"/>
  <c r="CJ297" i="48" s="1"/>
  <c r="CH294" i="48"/>
  <c r="CI294" i="48" s="1"/>
  <c r="CJ294" i="48" s="1"/>
  <c r="CH293" i="48"/>
  <c r="CI293" i="48" s="1"/>
  <c r="CJ293" i="48" s="1"/>
  <c r="CH290" i="48"/>
  <c r="CI290" i="48" s="1"/>
  <c r="CJ290" i="48" s="1"/>
  <c r="CH289" i="48"/>
  <c r="CI289" i="48" s="1"/>
  <c r="CJ289" i="48" s="1"/>
  <c r="CH286" i="48"/>
  <c r="CI286" i="48" s="1"/>
  <c r="CJ286" i="48" s="1"/>
  <c r="CH285" i="48"/>
  <c r="CI285" i="48" s="1"/>
  <c r="CJ285" i="48" s="1"/>
  <c r="CH282" i="48"/>
  <c r="CI282" i="48" s="1"/>
  <c r="CJ282" i="48" s="1"/>
  <c r="CH281" i="48"/>
  <c r="CI281" i="48" s="1"/>
  <c r="CJ281" i="48" s="1"/>
  <c r="CL278" i="48"/>
  <c r="AC279" i="48" s="1"/>
  <c r="CH273" i="48"/>
  <c r="CI273" i="48" s="1"/>
  <c r="CJ273" i="48" s="1"/>
  <c r="CH270" i="48"/>
  <c r="CI270" i="48" s="1"/>
  <c r="CJ270" i="48" s="1"/>
  <c r="CH269" i="48"/>
  <c r="CI269" i="48" s="1"/>
  <c r="CJ269" i="48" s="1"/>
  <c r="CH266" i="48"/>
  <c r="CI266" i="48" s="1"/>
  <c r="CJ266" i="48" s="1"/>
  <c r="CH265" i="48"/>
  <c r="CI265" i="48" s="1"/>
  <c r="CJ265" i="48" s="1"/>
  <c r="CH262" i="48"/>
  <c r="CI262" i="48" s="1"/>
  <c r="CJ262" i="48" s="1"/>
  <c r="CH261" i="48"/>
  <c r="CI261" i="48" s="1"/>
  <c r="CJ261" i="48" s="1"/>
  <c r="CH258" i="48"/>
  <c r="CI258" i="48" s="1"/>
  <c r="CJ258" i="48" s="1"/>
  <c r="CH257" i="48"/>
  <c r="CI257" i="48" s="1"/>
  <c r="CJ257" i="48" s="1"/>
  <c r="CH254" i="48"/>
  <c r="CI254" i="48" s="1"/>
  <c r="CJ254" i="48" s="1"/>
  <c r="CL228" i="48"/>
  <c r="AC229" i="48" s="1"/>
  <c r="CL203" i="48"/>
  <c r="AC204" i="48" s="1"/>
  <c r="CL178" i="48"/>
  <c r="AC179" i="48" s="1"/>
  <c r="CL153" i="48"/>
  <c r="AC154" i="48" s="1"/>
  <c r="CL128" i="48"/>
  <c r="AC129" i="48" s="1"/>
  <c r="CH116" i="48"/>
  <c r="CI116" i="48" s="1"/>
  <c r="CJ116" i="48" s="1"/>
  <c r="CH112" i="48"/>
  <c r="CI112" i="48" s="1"/>
  <c r="CJ112" i="48" s="1"/>
  <c r="CH108" i="48"/>
  <c r="CI108" i="48" s="1"/>
  <c r="CJ108" i="48" s="1"/>
  <c r="CH104" i="48"/>
  <c r="CI104" i="48" s="1"/>
  <c r="CJ104" i="48" s="1"/>
  <c r="CL103" i="48"/>
  <c r="AC104" i="48" s="1"/>
  <c r="CH96" i="48"/>
  <c r="CI96" i="48" s="1"/>
  <c r="CJ96" i="48" s="1"/>
  <c r="CL78" i="48"/>
  <c r="AC79" i="48" s="1"/>
  <c r="CL53" i="48"/>
  <c r="AC54" i="48" s="1"/>
  <c r="CH45" i="48"/>
  <c r="CI45" i="48" s="1"/>
  <c r="CJ45" i="48" s="1"/>
  <c r="CH21" i="48"/>
  <c r="CI21" i="48" s="1"/>
  <c r="CJ21" i="48" s="1"/>
  <c r="CH17" i="48"/>
  <c r="CI17" i="48" s="1"/>
  <c r="CJ17" i="48" s="1"/>
  <c r="CH13" i="48"/>
  <c r="CI13" i="48" s="1"/>
  <c r="CJ13" i="48" s="1"/>
  <c r="CH9" i="48"/>
  <c r="CI9" i="48" s="1"/>
  <c r="CJ9" i="48" s="1"/>
  <c r="CH5" i="48"/>
  <c r="CI5" i="48" s="1"/>
  <c r="CJ5" i="48" s="1"/>
  <c r="CL3" i="48"/>
  <c r="AC4" i="48" l="1"/>
  <c r="CL1329" i="48"/>
  <c r="AC1330" i="48" s="1"/>
  <c r="CL1129" i="48"/>
  <c r="AC1130" i="48" s="1"/>
  <c r="CL979" i="48"/>
  <c r="AC980" i="48" s="1"/>
  <c r="CL929" i="48"/>
  <c r="AC930" i="48" s="1"/>
  <c r="CL829" i="48"/>
  <c r="AC830" i="48" s="1"/>
  <c r="CL429" i="48"/>
  <c r="AC430" i="48" s="1"/>
  <c r="CL354" i="48"/>
  <c r="AC355" i="48" s="1"/>
  <c r="CL306" i="48"/>
  <c r="CL305" i="48"/>
  <c r="CL304" i="48"/>
  <c r="AC305" i="48" s="1"/>
  <c r="CL254" i="48"/>
  <c r="AC255" i="48" s="1"/>
  <c r="CL104" i="48"/>
  <c r="AC105" i="48" s="1"/>
  <c r="CH11" i="48"/>
  <c r="CI11" i="48" s="1"/>
  <c r="CJ11" i="48" s="1"/>
  <c r="CH23" i="48"/>
  <c r="CI23" i="48" s="1"/>
  <c r="CJ23" i="48" s="1"/>
  <c r="CH55" i="48"/>
  <c r="CI55" i="48" s="1"/>
  <c r="CJ55" i="48" s="1"/>
  <c r="CH71" i="48"/>
  <c r="CI71" i="48" s="1"/>
  <c r="CJ71" i="48" s="1"/>
  <c r="CH7" i="48"/>
  <c r="CI7" i="48" s="1"/>
  <c r="CJ7" i="48" s="1"/>
  <c r="CH35" i="48"/>
  <c r="CI35" i="48" s="1"/>
  <c r="CJ35" i="48" s="1"/>
  <c r="CH94" i="48"/>
  <c r="CI94" i="48" s="1"/>
  <c r="CJ94" i="48" s="1"/>
  <c r="CH16" i="48"/>
  <c r="CI16" i="48" s="1"/>
  <c r="CJ16" i="48" s="1"/>
  <c r="CH47" i="48"/>
  <c r="CI47" i="48" s="1"/>
  <c r="CJ47" i="48" s="1"/>
  <c r="CH59" i="48"/>
  <c r="CI59" i="48" s="1"/>
  <c r="CJ59" i="48" s="1"/>
  <c r="CH12" i="48"/>
  <c r="CI12" i="48" s="1"/>
  <c r="CJ12" i="48" s="1"/>
  <c r="CH39" i="48"/>
  <c r="CI39" i="48" s="1"/>
  <c r="CJ39" i="48" s="1"/>
  <c r="CH82" i="48"/>
  <c r="CI82" i="48" s="1"/>
  <c r="CJ82" i="48" s="1"/>
  <c r="CH8" i="48"/>
  <c r="CI8" i="48" s="1"/>
  <c r="CJ8" i="48" s="1"/>
  <c r="CH63" i="48"/>
  <c r="CI63" i="48" s="1"/>
  <c r="CJ63" i="48" s="1"/>
  <c r="CH4" i="48"/>
  <c r="CI4" i="48" s="1"/>
  <c r="CJ4" i="48" s="1"/>
  <c r="CL27" i="48" s="1"/>
  <c r="CH43" i="48"/>
  <c r="CI43" i="48" s="1"/>
  <c r="CJ43" i="48" s="1"/>
  <c r="CH86" i="48"/>
  <c r="CI86" i="48" s="1"/>
  <c r="CJ86" i="48" s="1"/>
  <c r="CH19" i="48"/>
  <c r="CI19" i="48" s="1"/>
  <c r="CJ19" i="48" s="1"/>
  <c r="CH67" i="48"/>
  <c r="CI67" i="48" s="1"/>
  <c r="CJ67" i="48" s="1"/>
  <c r="CH15" i="48"/>
  <c r="CI15" i="48" s="1"/>
  <c r="CJ15" i="48" s="1"/>
  <c r="CH31" i="48"/>
  <c r="CI31" i="48" s="1"/>
  <c r="CJ31" i="48" s="1"/>
  <c r="CH90" i="48"/>
  <c r="CI90" i="48" s="1"/>
  <c r="CJ90" i="48" s="1"/>
  <c r="CH29" i="48"/>
  <c r="CI29" i="48" s="1"/>
  <c r="CJ29" i="48" s="1"/>
  <c r="CH33" i="48"/>
  <c r="CI33" i="48" s="1"/>
  <c r="CJ33" i="48" s="1"/>
  <c r="CH37" i="48"/>
  <c r="CI37" i="48" s="1"/>
  <c r="CJ37" i="48" s="1"/>
  <c r="CH41" i="48"/>
  <c r="CI41" i="48" s="1"/>
  <c r="CJ41" i="48" s="1"/>
  <c r="CH57" i="48"/>
  <c r="CI57" i="48" s="1"/>
  <c r="CJ57" i="48" s="1"/>
  <c r="CH61" i="48"/>
  <c r="CI61" i="48" s="1"/>
  <c r="CJ61" i="48" s="1"/>
  <c r="CH65" i="48"/>
  <c r="CI65" i="48" s="1"/>
  <c r="CJ65" i="48" s="1"/>
  <c r="CH69" i="48"/>
  <c r="CI69" i="48" s="1"/>
  <c r="CJ69" i="48" s="1"/>
  <c r="CH73" i="48"/>
  <c r="CI73" i="48" s="1"/>
  <c r="CJ73" i="48" s="1"/>
  <c r="CH80" i="48"/>
  <c r="CI80" i="48" s="1"/>
  <c r="CJ80" i="48" s="1"/>
  <c r="CH84" i="48"/>
  <c r="CI84" i="48" s="1"/>
  <c r="CJ84" i="48" s="1"/>
  <c r="CH88" i="48"/>
  <c r="CI88" i="48" s="1"/>
  <c r="CJ88" i="48" s="1"/>
  <c r="CH92" i="48"/>
  <c r="CI92" i="48" s="1"/>
  <c r="CJ92" i="48" s="1"/>
  <c r="CH120" i="48"/>
  <c r="CI120" i="48" s="1"/>
  <c r="CJ120" i="48" s="1"/>
  <c r="CH132" i="48"/>
  <c r="CI132" i="48" s="1"/>
  <c r="CJ132" i="48" s="1"/>
  <c r="CH136" i="48"/>
  <c r="CI136" i="48" s="1"/>
  <c r="CJ136" i="48" s="1"/>
  <c r="CH140" i="48"/>
  <c r="CI140" i="48" s="1"/>
  <c r="CJ140" i="48" s="1"/>
  <c r="CH144" i="48"/>
  <c r="CI144" i="48" s="1"/>
  <c r="CJ144" i="48" s="1"/>
  <c r="CH148" i="48"/>
  <c r="CI148" i="48" s="1"/>
  <c r="CJ148" i="48" s="1"/>
  <c r="CH156" i="48"/>
  <c r="CI156" i="48" s="1"/>
  <c r="CJ156" i="48" s="1"/>
  <c r="CH160" i="48"/>
  <c r="CI160" i="48" s="1"/>
  <c r="CJ160" i="48" s="1"/>
  <c r="CH164" i="48"/>
  <c r="CI164" i="48" s="1"/>
  <c r="CJ164" i="48" s="1"/>
  <c r="CH168" i="48"/>
  <c r="CI168" i="48" s="1"/>
  <c r="CJ168" i="48" s="1"/>
  <c r="CH172" i="48"/>
  <c r="CI172" i="48" s="1"/>
  <c r="CJ172" i="48" s="1"/>
  <c r="CH180" i="48"/>
  <c r="CI180" i="48" s="1"/>
  <c r="CJ180" i="48" s="1"/>
  <c r="CH184" i="48"/>
  <c r="CI184" i="48" s="1"/>
  <c r="CJ184" i="48" s="1"/>
  <c r="CH188" i="48"/>
  <c r="CI188" i="48" s="1"/>
  <c r="CJ188" i="48" s="1"/>
  <c r="CH192" i="48"/>
  <c r="CI192" i="48" s="1"/>
  <c r="CJ192" i="48" s="1"/>
  <c r="CH196" i="48"/>
  <c r="CI196" i="48" s="1"/>
  <c r="CJ196" i="48" s="1"/>
  <c r="CH204" i="48"/>
  <c r="CI204" i="48" s="1"/>
  <c r="CJ204" i="48" s="1"/>
  <c r="CH208" i="48"/>
  <c r="CI208" i="48" s="1"/>
  <c r="CJ208" i="48" s="1"/>
  <c r="CH212" i="48"/>
  <c r="CI212" i="48" s="1"/>
  <c r="CJ212" i="48" s="1"/>
  <c r="CH216" i="48"/>
  <c r="CI216" i="48" s="1"/>
  <c r="CJ216" i="48" s="1"/>
  <c r="CH220" i="48"/>
  <c r="CI220" i="48" s="1"/>
  <c r="CJ220" i="48" s="1"/>
  <c r="CH232" i="48"/>
  <c r="CI232" i="48" s="1"/>
  <c r="CJ232" i="48" s="1"/>
  <c r="CH236" i="48"/>
  <c r="CI236" i="48" s="1"/>
  <c r="CJ236" i="48" s="1"/>
  <c r="CH240" i="48"/>
  <c r="CI240" i="48" s="1"/>
  <c r="CJ240" i="48" s="1"/>
  <c r="CH244" i="48"/>
  <c r="CI244" i="48" s="1"/>
  <c r="CJ244" i="48" s="1"/>
  <c r="CH6" i="48"/>
  <c r="CI6" i="48" s="1"/>
  <c r="CJ6" i="48" s="1"/>
  <c r="CH10" i="48"/>
  <c r="CI10" i="48" s="1"/>
  <c r="CJ10" i="48" s="1"/>
  <c r="CH14" i="48"/>
  <c r="CI14" i="48" s="1"/>
  <c r="CJ14" i="48" s="1"/>
  <c r="CH18" i="48"/>
  <c r="CI18" i="48" s="1"/>
  <c r="CJ18" i="48" s="1"/>
  <c r="CH22" i="48"/>
  <c r="CI22" i="48" s="1"/>
  <c r="CJ22" i="48" s="1"/>
  <c r="CH30" i="48"/>
  <c r="CI30" i="48" s="1"/>
  <c r="CJ30" i="48" s="1"/>
  <c r="CH34" i="48"/>
  <c r="CI34" i="48" s="1"/>
  <c r="CJ34" i="48" s="1"/>
  <c r="CH38" i="48"/>
  <c r="CI38" i="48" s="1"/>
  <c r="CJ38" i="48" s="1"/>
  <c r="CH42" i="48"/>
  <c r="CI42" i="48" s="1"/>
  <c r="CJ42" i="48" s="1"/>
  <c r="CH46" i="48"/>
  <c r="CI46" i="48" s="1"/>
  <c r="CJ46" i="48" s="1"/>
  <c r="CH54" i="48"/>
  <c r="CI54" i="48" s="1"/>
  <c r="CJ54" i="48" s="1"/>
  <c r="CH58" i="48"/>
  <c r="CI58" i="48" s="1"/>
  <c r="CJ58" i="48" s="1"/>
  <c r="CH62" i="48"/>
  <c r="CI62" i="48" s="1"/>
  <c r="CJ62" i="48" s="1"/>
  <c r="CH66" i="48"/>
  <c r="CI66" i="48" s="1"/>
  <c r="CJ66" i="48" s="1"/>
  <c r="CH70" i="48"/>
  <c r="CI70" i="48" s="1"/>
  <c r="CJ70" i="48" s="1"/>
  <c r="CH81" i="48"/>
  <c r="CI81" i="48" s="1"/>
  <c r="CJ81" i="48" s="1"/>
  <c r="CH85" i="48"/>
  <c r="CI85" i="48" s="1"/>
  <c r="CJ85" i="48" s="1"/>
  <c r="CH89" i="48"/>
  <c r="CI89" i="48" s="1"/>
  <c r="CJ89" i="48" s="1"/>
  <c r="CH93" i="48"/>
  <c r="CI93" i="48" s="1"/>
  <c r="CJ93" i="48" s="1"/>
  <c r="CH97" i="48"/>
  <c r="CI97" i="48" s="1"/>
  <c r="CJ97" i="48" s="1"/>
  <c r="CH105" i="48"/>
  <c r="CI105" i="48" s="1"/>
  <c r="CJ105" i="48" s="1"/>
  <c r="CH109" i="48"/>
  <c r="CI109" i="48" s="1"/>
  <c r="CJ109" i="48" s="1"/>
  <c r="CH113" i="48"/>
  <c r="CI113" i="48" s="1"/>
  <c r="CJ113" i="48" s="1"/>
  <c r="CH117" i="48"/>
  <c r="CI117" i="48" s="1"/>
  <c r="CJ117" i="48" s="1"/>
  <c r="CH121" i="48"/>
  <c r="CI121" i="48" s="1"/>
  <c r="CJ121" i="48" s="1"/>
  <c r="CH129" i="48"/>
  <c r="CI129" i="48" s="1"/>
  <c r="CJ129" i="48" s="1"/>
  <c r="CH133" i="48"/>
  <c r="CI133" i="48" s="1"/>
  <c r="CJ133" i="48" s="1"/>
  <c r="CH137" i="48"/>
  <c r="CI137" i="48" s="1"/>
  <c r="CJ137" i="48" s="1"/>
  <c r="CH141" i="48"/>
  <c r="CI141" i="48" s="1"/>
  <c r="CJ141" i="48" s="1"/>
  <c r="CH145" i="48"/>
  <c r="CI145" i="48" s="1"/>
  <c r="CJ145" i="48" s="1"/>
  <c r="CH157" i="48"/>
  <c r="CI157" i="48" s="1"/>
  <c r="CJ157" i="48" s="1"/>
  <c r="CH161" i="48"/>
  <c r="CI161" i="48" s="1"/>
  <c r="CJ161" i="48" s="1"/>
  <c r="CH165" i="48"/>
  <c r="CI165" i="48" s="1"/>
  <c r="CJ165" i="48" s="1"/>
  <c r="CH169" i="48"/>
  <c r="CI169" i="48" s="1"/>
  <c r="CJ169" i="48" s="1"/>
  <c r="CH173" i="48"/>
  <c r="CI173" i="48" s="1"/>
  <c r="CJ173" i="48" s="1"/>
  <c r="CH181" i="48"/>
  <c r="CI181" i="48" s="1"/>
  <c r="CJ181" i="48" s="1"/>
  <c r="CH185" i="48"/>
  <c r="CI185" i="48" s="1"/>
  <c r="CJ185" i="48" s="1"/>
  <c r="CH189" i="48"/>
  <c r="CI189" i="48" s="1"/>
  <c r="CJ189" i="48" s="1"/>
  <c r="CH193" i="48"/>
  <c r="CI193" i="48" s="1"/>
  <c r="CJ193" i="48" s="1"/>
  <c r="CH197" i="48"/>
  <c r="CI197" i="48" s="1"/>
  <c r="CJ197" i="48" s="1"/>
  <c r="CH205" i="48"/>
  <c r="CI205" i="48" s="1"/>
  <c r="CJ205" i="48" s="1"/>
  <c r="CH209" i="48"/>
  <c r="CI209" i="48" s="1"/>
  <c r="CJ209" i="48" s="1"/>
  <c r="CH213" i="48"/>
  <c r="CI213" i="48" s="1"/>
  <c r="CJ213" i="48" s="1"/>
  <c r="CH217" i="48"/>
  <c r="CI217" i="48" s="1"/>
  <c r="CJ217" i="48" s="1"/>
  <c r="CH221" i="48"/>
  <c r="CI221" i="48" s="1"/>
  <c r="CJ221" i="48" s="1"/>
  <c r="CH229" i="48"/>
  <c r="CI229" i="48" s="1"/>
  <c r="CJ229" i="48" s="1"/>
  <c r="CH233" i="48"/>
  <c r="CI233" i="48" s="1"/>
  <c r="CJ233" i="48" s="1"/>
  <c r="CH237" i="48"/>
  <c r="CI237" i="48" s="1"/>
  <c r="CJ237" i="48" s="1"/>
  <c r="CH241" i="48"/>
  <c r="CI241" i="48" s="1"/>
  <c r="CJ241" i="48" s="1"/>
  <c r="CH245" i="48"/>
  <c r="CI245" i="48" s="1"/>
  <c r="CJ245" i="48" s="1"/>
  <c r="CH98" i="48"/>
  <c r="CI98" i="48" s="1"/>
  <c r="CJ98" i="48" s="1"/>
  <c r="CH106" i="48"/>
  <c r="CI106" i="48" s="1"/>
  <c r="CJ106" i="48" s="1"/>
  <c r="CH110" i="48"/>
  <c r="CI110" i="48" s="1"/>
  <c r="CJ110" i="48" s="1"/>
  <c r="CH114" i="48"/>
  <c r="CI114" i="48" s="1"/>
  <c r="CJ114" i="48" s="1"/>
  <c r="CH118" i="48"/>
  <c r="CI118" i="48" s="1"/>
  <c r="CJ118" i="48" s="1"/>
  <c r="CH122" i="48"/>
  <c r="CI122" i="48" s="1"/>
  <c r="CJ122" i="48" s="1"/>
  <c r="CH130" i="48"/>
  <c r="CI130" i="48" s="1"/>
  <c r="CJ130" i="48" s="1"/>
  <c r="CH134" i="48"/>
  <c r="CI134" i="48" s="1"/>
  <c r="CJ134" i="48" s="1"/>
  <c r="CH138" i="48"/>
  <c r="CI138" i="48" s="1"/>
  <c r="CJ138" i="48" s="1"/>
  <c r="CH142" i="48"/>
  <c r="CI142" i="48" s="1"/>
  <c r="CJ142" i="48" s="1"/>
  <c r="CH146" i="48"/>
  <c r="CI146" i="48" s="1"/>
  <c r="CJ146" i="48" s="1"/>
  <c r="CH154" i="48"/>
  <c r="CI154" i="48" s="1"/>
  <c r="CJ154" i="48" s="1"/>
  <c r="CH158" i="48"/>
  <c r="CI158" i="48" s="1"/>
  <c r="CJ158" i="48" s="1"/>
  <c r="CH162" i="48"/>
  <c r="CI162" i="48" s="1"/>
  <c r="CJ162" i="48" s="1"/>
  <c r="CH166" i="48"/>
  <c r="CI166" i="48" s="1"/>
  <c r="CJ166" i="48" s="1"/>
  <c r="CH170" i="48"/>
  <c r="CI170" i="48" s="1"/>
  <c r="CJ170" i="48" s="1"/>
  <c r="CH182" i="48"/>
  <c r="CI182" i="48" s="1"/>
  <c r="CJ182" i="48" s="1"/>
  <c r="CH186" i="48"/>
  <c r="CI186" i="48" s="1"/>
  <c r="CJ186" i="48" s="1"/>
  <c r="CH190" i="48"/>
  <c r="CI190" i="48" s="1"/>
  <c r="CJ190" i="48" s="1"/>
  <c r="CH194" i="48"/>
  <c r="CI194" i="48" s="1"/>
  <c r="CJ194" i="48" s="1"/>
  <c r="CH198" i="48"/>
  <c r="CI198" i="48" s="1"/>
  <c r="CJ198" i="48" s="1"/>
  <c r="CH206" i="48"/>
  <c r="CI206" i="48" s="1"/>
  <c r="CJ206" i="48" s="1"/>
  <c r="CH210" i="48"/>
  <c r="CI210" i="48" s="1"/>
  <c r="CJ210" i="48" s="1"/>
  <c r="CH214" i="48"/>
  <c r="CI214" i="48" s="1"/>
  <c r="CJ214" i="48" s="1"/>
  <c r="CH218" i="48"/>
  <c r="CI218" i="48" s="1"/>
  <c r="CJ218" i="48" s="1"/>
  <c r="CH222" i="48"/>
  <c r="CI222" i="48" s="1"/>
  <c r="CJ222" i="48" s="1"/>
  <c r="CH230" i="48"/>
  <c r="CI230" i="48" s="1"/>
  <c r="CJ230" i="48" s="1"/>
  <c r="CH234" i="48"/>
  <c r="CI234" i="48" s="1"/>
  <c r="CJ234" i="48" s="1"/>
  <c r="CH238" i="48"/>
  <c r="CI238" i="48" s="1"/>
  <c r="CJ238" i="48" s="1"/>
  <c r="CH242" i="48"/>
  <c r="CI242" i="48" s="1"/>
  <c r="CJ242" i="48" s="1"/>
  <c r="CH246" i="48"/>
  <c r="CI246" i="48" s="1"/>
  <c r="CJ246" i="48" s="1"/>
  <c r="CH20" i="48"/>
  <c r="CI20" i="48" s="1"/>
  <c r="CJ20" i="48" s="1"/>
  <c r="CH32" i="48"/>
  <c r="CI32" i="48" s="1"/>
  <c r="CJ32" i="48" s="1"/>
  <c r="CH36" i="48"/>
  <c r="CI36" i="48" s="1"/>
  <c r="CJ36" i="48" s="1"/>
  <c r="CH40" i="48"/>
  <c r="CI40" i="48" s="1"/>
  <c r="CJ40" i="48" s="1"/>
  <c r="CH44" i="48"/>
  <c r="CI44" i="48" s="1"/>
  <c r="CJ44" i="48" s="1"/>
  <c r="CH48" i="48"/>
  <c r="CI48" i="48" s="1"/>
  <c r="CJ48" i="48" s="1"/>
  <c r="CH56" i="48"/>
  <c r="CI56" i="48" s="1"/>
  <c r="CJ56" i="48" s="1"/>
  <c r="CH60" i="48"/>
  <c r="CI60" i="48" s="1"/>
  <c r="CJ60" i="48" s="1"/>
  <c r="CH64" i="48"/>
  <c r="CI64" i="48" s="1"/>
  <c r="CJ64" i="48" s="1"/>
  <c r="CH68" i="48"/>
  <c r="CI68" i="48" s="1"/>
  <c r="CJ68" i="48" s="1"/>
  <c r="CH72" i="48"/>
  <c r="CI72" i="48" s="1"/>
  <c r="CJ72" i="48" s="1"/>
  <c r="CH79" i="48"/>
  <c r="CI79" i="48" s="1"/>
  <c r="CJ79" i="48" s="1"/>
  <c r="CH83" i="48"/>
  <c r="CI83" i="48" s="1"/>
  <c r="CJ83" i="48" s="1"/>
  <c r="CH87" i="48"/>
  <c r="CI87" i="48" s="1"/>
  <c r="CJ87" i="48" s="1"/>
  <c r="CH91" i="48"/>
  <c r="CI91" i="48" s="1"/>
  <c r="CJ91" i="48" s="1"/>
  <c r="CH95" i="48"/>
  <c r="CI95" i="48" s="1"/>
  <c r="CJ95" i="48" s="1"/>
  <c r="CH107" i="48"/>
  <c r="CI107" i="48" s="1"/>
  <c r="CJ107" i="48" s="1"/>
  <c r="CH111" i="48"/>
  <c r="CI111" i="48" s="1"/>
  <c r="CJ111" i="48" s="1"/>
  <c r="CH115" i="48"/>
  <c r="CI115" i="48" s="1"/>
  <c r="CJ115" i="48" s="1"/>
  <c r="CH119" i="48"/>
  <c r="CI119" i="48" s="1"/>
  <c r="CJ119" i="48" s="1"/>
  <c r="CH123" i="48"/>
  <c r="CI123" i="48" s="1"/>
  <c r="CJ123" i="48" s="1"/>
  <c r="CH131" i="48"/>
  <c r="CI131" i="48" s="1"/>
  <c r="CJ131" i="48" s="1"/>
  <c r="CH135" i="48"/>
  <c r="CI135" i="48" s="1"/>
  <c r="CJ135" i="48" s="1"/>
  <c r="CH139" i="48"/>
  <c r="CI139" i="48" s="1"/>
  <c r="CJ139" i="48" s="1"/>
  <c r="CH143" i="48"/>
  <c r="CI143" i="48" s="1"/>
  <c r="CJ143" i="48" s="1"/>
  <c r="CH147" i="48"/>
  <c r="CI147" i="48" s="1"/>
  <c r="CJ147" i="48" s="1"/>
  <c r="CH155" i="48"/>
  <c r="CI155" i="48" s="1"/>
  <c r="CJ155" i="48" s="1"/>
  <c r="CH159" i="48"/>
  <c r="CI159" i="48" s="1"/>
  <c r="CJ159" i="48" s="1"/>
  <c r="CH163" i="48"/>
  <c r="CI163" i="48" s="1"/>
  <c r="CJ163" i="48" s="1"/>
  <c r="CH167" i="48"/>
  <c r="CI167" i="48" s="1"/>
  <c r="CJ167" i="48" s="1"/>
  <c r="CH171" i="48"/>
  <c r="CI171" i="48" s="1"/>
  <c r="CJ171" i="48" s="1"/>
  <c r="CH179" i="48"/>
  <c r="CI179" i="48" s="1"/>
  <c r="CJ179" i="48" s="1"/>
  <c r="CH183" i="48"/>
  <c r="CI183" i="48" s="1"/>
  <c r="CJ183" i="48" s="1"/>
  <c r="CH187" i="48"/>
  <c r="CI187" i="48" s="1"/>
  <c r="CJ187" i="48" s="1"/>
  <c r="CH191" i="48"/>
  <c r="CI191" i="48" s="1"/>
  <c r="CJ191" i="48" s="1"/>
  <c r="CH195" i="48"/>
  <c r="CI195" i="48" s="1"/>
  <c r="CJ195" i="48" s="1"/>
  <c r="CH207" i="48"/>
  <c r="CI207" i="48" s="1"/>
  <c r="CJ207" i="48" s="1"/>
  <c r="CH211" i="48"/>
  <c r="CI211" i="48" s="1"/>
  <c r="CJ211" i="48" s="1"/>
  <c r="CH215" i="48"/>
  <c r="CI215" i="48" s="1"/>
  <c r="CJ215" i="48" s="1"/>
  <c r="CH219" i="48"/>
  <c r="CI219" i="48" s="1"/>
  <c r="CJ219" i="48" s="1"/>
  <c r="CH223" i="48"/>
  <c r="CI223" i="48" s="1"/>
  <c r="CJ223" i="48" s="1"/>
  <c r="CH231" i="48"/>
  <c r="CI231" i="48" s="1"/>
  <c r="CJ231" i="48" s="1"/>
  <c r="CH235" i="48"/>
  <c r="CI235" i="48" s="1"/>
  <c r="CJ235" i="48" s="1"/>
  <c r="CH239" i="48"/>
  <c r="CI239" i="48" s="1"/>
  <c r="CJ239" i="48" s="1"/>
  <c r="CH243" i="48"/>
  <c r="CI243" i="48" s="1"/>
  <c r="CJ243" i="48" s="1"/>
  <c r="CH247" i="48"/>
  <c r="CI247" i="48" s="1"/>
  <c r="CJ247" i="48" s="1"/>
  <c r="CH248" i="48"/>
  <c r="CI248" i="48" s="1"/>
  <c r="CJ248" i="48" s="1"/>
  <c r="CH255" i="48"/>
  <c r="CI255" i="48" s="1"/>
  <c r="CJ255" i="48" s="1"/>
  <c r="CH259" i="48"/>
  <c r="CI259" i="48" s="1"/>
  <c r="CJ259" i="48" s="1"/>
  <c r="CH263" i="48"/>
  <c r="CI263" i="48" s="1"/>
  <c r="CJ263" i="48" s="1"/>
  <c r="CH267" i="48"/>
  <c r="CI267" i="48" s="1"/>
  <c r="CJ267" i="48" s="1"/>
  <c r="CH271" i="48"/>
  <c r="CI271" i="48" s="1"/>
  <c r="CJ271" i="48" s="1"/>
  <c r="CH279" i="48"/>
  <c r="CI279" i="48" s="1"/>
  <c r="CJ279" i="48" s="1"/>
  <c r="CH283" i="48"/>
  <c r="CI283" i="48" s="1"/>
  <c r="CJ283" i="48" s="1"/>
  <c r="CH287" i="48"/>
  <c r="CI287" i="48" s="1"/>
  <c r="CJ287" i="48" s="1"/>
  <c r="CH291" i="48"/>
  <c r="CI291" i="48" s="1"/>
  <c r="CJ291" i="48" s="1"/>
  <c r="CH295" i="48"/>
  <c r="CI295" i="48" s="1"/>
  <c r="CJ295" i="48" s="1"/>
  <c r="CH307" i="48"/>
  <c r="CI307" i="48" s="1"/>
  <c r="CJ307" i="48" s="1"/>
  <c r="CH311" i="48"/>
  <c r="CI311" i="48" s="1"/>
  <c r="CJ311" i="48" s="1"/>
  <c r="CH315" i="48"/>
  <c r="CI315" i="48" s="1"/>
  <c r="CJ315" i="48" s="1"/>
  <c r="CH319" i="48"/>
  <c r="CI319" i="48" s="1"/>
  <c r="CJ319" i="48" s="1"/>
  <c r="CH323" i="48"/>
  <c r="CI323" i="48" s="1"/>
  <c r="CJ323" i="48" s="1"/>
  <c r="CH256" i="48"/>
  <c r="CI256" i="48" s="1"/>
  <c r="CJ256" i="48" s="1"/>
  <c r="CH260" i="48"/>
  <c r="CI260" i="48" s="1"/>
  <c r="CJ260" i="48" s="1"/>
  <c r="CH264" i="48"/>
  <c r="CI264" i="48" s="1"/>
  <c r="CJ264" i="48" s="1"/>
  <c r="CH268" i="48"/>
  <c r="CI268" i="48" s="1"/>
  <c r="CJ268" i="48" s="1"/>
  <c r="CH272" i="48"/>
  <c r="CI272" i="48" s="1"/>
  <c r="CJ272" i="48" s="1"/>
  <c r="CH280" i="48"/>
  <c r="CI280" i="48" s="1"/>
  <c r="CJ280" i="48" s="1"/>
  <c r="CH284" i="48"/>
  <c r="CI284" i="48" s="1"/>
  <c r="CJ284" i="48" s="1"/>
  <c r="CH288" i="48"/>
  <c r="CI288" i="48" s="1"/>
  <c r="CJ288" i="48" s="1"/>
  <c r="CH292" i="48"/>
  <c r="CI292" i="48" s="1"/>
  <c r="CJ292" i="48" s="1"/>
  <c r="CH296" i="48"/>
  <c r="CI296" i="48" s="1"/>
  <c r="CJ296" i="48" s="1"/>
  <c r="CH329" i="48"/>
  <c r="CI329" i="48" s="1"/>
  <c r="CJ329" i="48" s="1"/>
  <c r="CH333" i="48"/>
  <c r="CI333" i="48" s="1"/>
  <c r="CJ333" i="48" s="1"/>
  <c r="CH337" i="48"/>
  <c r="CI337" i="48" s="1"/>
  <c r="CJ337" i="48" s="1"/>
  <c r="CH341" i="48"/>
  <c r="CI341" i="48" s="1"/>
  <c r="CJ341" i="48" s="1"/>
  <c r="CH345" i="48"/>
  <c r="CI345" i="48" s="1"/>
  <c r="CJ345" i="48" s="1"/>
  <c r="CH357" i="48"/>
  <c r="CI357" i="48" s="1"/>
  <c r="CJ357" i="48" s="1"/>
  <c r="CH361" i="48"/>
  <c r="CI361" i="48" s="1"/>
  <c r="CJ361" i="48" s="1"/>
  <c r="CH365" i="48"/>
  <c r="CI365" i="48" s="1"/>
  <c r="CJ365" i="48" s="1"/>
  <c r="CH369" i="48"/>
  <c r="CI369" i="48" s="1"/>
  <c r="CJ369" i="48" s="1"/>
  <c r="CH373" i="48"/>
  <c r="CI373" i="48" s="1"/>
  <c r="CJ373" i="48" s="1"/>
  <c r="CH381" i="48"/>
  <c r="CI381" i="48" s="1"/>
  <c r="CJ381" i="48" s="1"/>
  <c r="CH385" i="48"/>
  <c r="CI385" i="48" s="1"/>
  <c r="CJ385" i="48" s="1"/>
  <c r="CH389" i="48"/>
  <c r="CI389" i="48" s="1"/>
  <c r="CJ389" i="48" s="1"/>
  <c r="CH393" i="48"/>
  <c r="CI393" i="48" s="1"/>
  <c r="CJ393" i="48" s="1"/>
  <c r="CH397" i="48"/>
  <c r="CI397" i="48" s="1"/>
  <c r="CJ397" i="48" s="1"/>
  <c r="CH405" i="48"/>
  <c r="CI405" i="48" s="1"/>
  <c r="CJ405" i="48" s="1"/>
  <c r="CH409" i="48"/>
  <c r="CI409" i="48" s="1"/>
  <c r="CJ409" i="48" s="1"/>
  <c r="CH413" i="48"/>
  <c r="CI413" i="48" s="1"/>
  <c r="CJ413" i="48" s="1"/>
  <c r="CH417" i="48"/>
  <c r="CI417" i="48" s="1"/>
  <c r="CJ417" i="48" s="1"/>
  <c r="CH386" i="48"/>
  <c r="CI386" i="48" s="1"/>
  <c r="CJ386" i="48" s="1"/>
  <c r="CH390" i="48"/>
  <c r="CI390" i="48" s="1"/>
  <c r="CJ390" i="48" s="1"/>
  <c r="CH394" i="48"/>
  <c r="CI394" i="48" s="1"/>
  <c r="CJ394" i="48" s="1"/>
  <c r="CH398" i="48"/>
  <c r="CI398" i="48" s="1"/>
  <c r="CJ398" i="48" s="1"/>
  <c r="CH406" i="48"/>
  <c r="CI406" i="48" s="1"/>
  <c r="CJ406" i="48" s="1"/>
  <c r="CH410" i="48"/>
  <c r="CI410" i="48" s="1"/>
  <c r="CJ410" i="48" s="1"/>
  <c r="CH414" i="48"/>
  <c r="CI414" i="48" s="1"/>
  <c r="CJ414" i="48" s="1"/>
  <c r="CH418" i="48"/>
  <c r="CI418" i="48" s="1"/>
  <c r="CJ418" i="48" s="1"/>
  <c r="CH331" i="48"/>
  <c r="CI331" i="48" s="1"/>
  <c r="CJ331" i="48" s="1"/>
  <c r="CH335" i="48"/>
  <c r="CI335" i="48" s="1"/>
  <c r="CJ335" i="48" s="1"/>
  <c r="CH343" i="48"/>
  <c r="CI343" i="48" s="1"/>
  <c r="CJ343" i="48" s="1"/>
  <c r="CH347" i="48"/>
  <c r="CI347" i="48" s="1"/>
  <c r="CJ347" i="48" s="1"/>
  <c r="CH355" i="48"/>
  <c r="CI355" i="48" s="1"/>
  <c r="CJ355" i="48" s="1"/>
  <c r="CH359" i="48"/>
  <c r="CI359" i="48" s="1"/>
  <c r="CJ359" i="48" s="1"/>
  <c r="CH363" i="48"/>
  <c r="CI363" i="48" s="1"/>
  <c r="CJ363" i="48" s="1"/>
  <c r="CH367" i="48"/>
  <c r="CI367" i="48" s="1"/>
  <c r="CJ367" i="48" s="1"/>
  <c r="CH371" i="48"/>
  <c r="CI371" i="48" s="1"/>
  <c r="CJ371" i="48" s="1"/>
  <c r="CH379" i="48"/>
  <c r="CI379" i="48" s="1"/>
  <c r="CJ379" i="48" s="1"/>
  <c r="CH383" i="48"/>
  <c r="CI383" i="48" s="1"/>
  <c r="CJ383" i="48" s="1"/>
  <c r="CH332" i="48"/>
  <c r="CI332" i="48" s="1"/>
  <c r="CJ332" i="48" s="1"/>
  <c r="CH336" i="48"/>
  <c r="CI336" i="48" s="1"/>
  <c r="CJ336" i="48" s="1"/>
  <c r="CH340" i="48"/>
  <c r="CI340" i="48" s="1"/>
  <c r="CJ340" i="48" s="1"/>
  <c r="CH344" i="48"/>
  <c r="CI344" i="48" s="1"/>
  <c r="CJ344" i="48" s="1"/>
  <c r="CH348" i="48"/>
  <c r="CI348" i="48" s="1"/>
  <c r="CJ348" i="48" s="1"/>
  <c r="CH356" i="48"/>
  <c r="CI356" i="48" s="1"/>
  <c r="CJ356" i="48" s="1"/>
  <c r="CH360" i="48"/>
  <c r="CI360" i="48" s="1"/>
  <c r="CJ360" i="48" s="1"/>
  <c r="CH364" i="48"/>
  <c r="CI364" i="48" s="1"/>
  <c r="CJ364" i="48" s="1"/>
  <c r="CH368" i="48"/>
  <c r="CI368" i="48" s="1"/>
  <c r="CJ368" i="48" s="1"/>
  <c r="CH372" i="48"/>
  <c r="CI372" i="48" s="1"/>
  <c r="CJ372" i="48" s="1"/>
  <c r="CH380" i="48"/>
  <c r="CI380" i="48" s="1"/>
  <c r="CJ380" i="48" s="1"/>
  <c r="CH384" i="48"/>
  <c r="CI384" i="48" s="1"/>
  <c r="CJ384" i="48" s="1"/>
  <c r="CH388" i="48"/>
  <c r="CI388" i="48" s="1"/>
  <c r="CJ388" i="48" s="1"/>
  <c r="CH392" i="48"/>
  <c r="CI392" i="48" s="1"/>
  <c r="CJ392" i="48" s="1"/>
  <c r="CH396" i="48"/>
  <c r="CI396" i="48" s="1"/>
  <c r="CJ396" i="48" s="1"/>
  <c r="CH404" i="48"/>
  <c r="CI404" i="48" s="1"/>
  <c r="CJ404" i="48" s="1"/>
  <c r="CH408" i="48"/>
  <c r="CI408" i="48" s="1"/>
  <c r="CJ408" i="48" s="1"/>
  <c r="CH412" i="48"/>
  <c r="CI412" i="48" s="1"/>
  <c r="CJ412" i="48" s="1"/>
  <c r="CH422" i="48"/>
  <c r="CI422" i="48" s="1"/>
  <c r="CJ422" i="48" s="1"/>
  <c r="CH430" i="48"/>
  <c r="CI430" i="48" s="1"/>
  <c r="CJ430" i="48" s="1"/>
  <c r="CH434" i="48"/>
  <c r="CI434" i="48" s="1"/>
  <c r="CJ434" i="48" s="1"/>
  <c r="CH438" i="48"/>
  <c r="CI438" i="48" s="1"/>
  <c r="CJ438" i="48" s="1"/>
  <c r="CH442" i="48"/>
  <c r="CI442" i="48" s="1"/>
  <c r="CJ442" i="48" s="1"/>
  <c r="CH446" i="48"/>
  <c r="CI446" i="48" s="1"/>
  <c r="CJ446" i="48" s="1"/>
  <c r="CH454" i="48"/>
  <c r="CI454" i="48" s="1"/>
  <c r="CJ454" i="48" s="1"/>
  <c r="CH458" i="48"/>
  <c r="CI458" i="48" s="1"/>
  <c r="CJ458" i="48" s="1"/>
  <c r="CH462" i="48"/>
  <c r="CI462" i="48" s="1"/>
  <c r="CJ462" i="48" s="1"/>
  <c r="CH466" i="48"/>
  <c r="CI466" i="48" s="1"/>
  <c r="CJ466" i="48" s="1"/>
  <c r="CH470" i="48"/>
  <c r="CI470" i="48" s="1"/>
  <c r="CJ470" i="48" s="1"/>
  <c r="CH481" i="48"/>
  <c r="CI481" i="48" s="1"/>
  <c r="CJ481" i="48" s="1"/>
  <c r="CH485" i="48"/>
  <c r="CI485" i="48" s="1"/>
  <c r="CJ485" i="48" s="1"/>
  <c r="CH489" i="48"/>
  <c r="CI489" i="48" s="1"/>
  <c r="CJ489" i="48" s="1"/>
  <c r="CH493" i="48"/>
  <c r="CI493" i="48" s="1"/>
  <c r="CJ493" i="48" s="1"/>
  <c r="CH497" i="48"/>
  <c r="CI497" i="48" s="1"/>
  <c r="CJ497" i="48" s="1"/>
  <c r="CH420" i="48"/>
  <c r="CI420" i="48" s="1"/>
  <c r="CJ420" i="48" s="1"/>
  <c r="CH432" i="48"/>
  <c r="CI432" i="48" s="1"/>
  <c r="CJ432" i="48" s="1"/>
  <c r="CH436" i="48"/>
  <c r="CI436" i="48" s="1"/>
  <c r="CJ436" i="48" s="1"/>
  <c r="CH440" i="48"/>
  <c r="CI440" i="48" s="1"/>
  <c r="CJ440" i="48" s="1"/>
  <c r="CH444" i="48"/>
  <c r="CI444" i="48" s="1"/>
  <c r="CJ444" i="48" s="1"/>
  <c r="CH448" i="48"/>
  <c r="CI448" i="48" s="1"/>
  <c r="CJ448" i="48" s="1"/>
  <c r="CH456" i="48"/>
  <c r="CI456" i="48" s="1"/>
  <c r="CJ456" i="48" s="1"/>
  <c r="CH460" i="48"/>
  <c r="CI460" i="48" s="1"/>
  <c r="CJ460" i="48" s="1"/>
  <c r="CH464" i="48"/>
  <c r="CI464" i="48" s="1"/>
  <c r="CJ464" i="48" s="1"/>
  <c r="CH468" i="48"/>
  <c r="CI468" i="48" s="1"/>
  <c r="CJ468" i="48" s="1"/>
  <c r="CH472" i="48"/>
  <c r="CI472" i="48" s="1"/>
  <c r="CJ472" i="48" s="1"/>
  <c r="CH479" i="48"/>
  <c r="CI479" i="48" s="1"/>
  <c r="CJ479" i="48" s="1"/>
  <c r="CH483" i="48"/>
  <c r="CI483" i="48" s="1"/>
  <c r="CJ483" i="48" s="1"/>
  <c r="CH487" i="48"/>
  <c r="CI487" i="48" s="1"/>
  <c r="CJ487" i="48" s="1"/>
  <c r="CH491" i="48"/>
  <c r="CI491" i="48" s="1"/>
  <c r="CJ491" i="48" s="1"/>
  <c r="CH495" i="48"/>
  <c r="CI495" i="48" s="1"/>
  <c r="CJ495" i="48" s="1"/>
  <c r="CH506" i="48"/>
  <c r="CI506" i="48" s="1"/>
  <c r="CJ506" i="48" s="1"/>
  <c r="CH510" i="48"/>
  <c r="CI510" i="48" s="1"/>
  <c r="CJ510" i="48" s="1"/>
  <c r="CH514" i="48"/>
  <c r="CI514" i="48" s="1"/>
  <c r="CJ514" i="48" s="1"/>
  <c r="CH518" i="48"/>
  <c r="CI518" i="48" s="1"/>
  <c r="CJ518" i="48" s="1"/>
  <c r="CH522" i="48"/>
  <c r="CI522" i="48" s="1"/>
  <c r="CJ522" i="48" s="1"/>
  <c r="CH530" i="48"/>
  <c r="CI530" i="48" s="1"/>
  <c r="CJ530" i="48" s="1"/>
  <c r="CH546" i="48"/>
  <c r="CI546" i="48" s="1"/>
  <c r="CJ546" i="48" s="1"/>
  <c r="CH534" i="48"/>
  <c r="CI534" i="48" s="1"/>
  <c r="CJ534" i="48" s="1"/>
  <c r="CH507" i="48"/>
  <c r="CI507" i="48" s="1"/>
  <c r="CJ507" i="48" s="1"/>
  <c r="CH511" i="48"/>
  <c r="CI511" i="48" s="1"/>
  <c r="CJ511" i="48" s="1"/>
  <c r="CH515" i="48"/>
  <c r="CI515" i="48" s="1"/>
  <c r="CJ515" i="48" s="1"/>
  <c r="CH519" i="48"/>
  <c r="CI519" i="48" s="1"/>
  <c r="CJ519" i="48" s="1"/>
  <c r="CH523" i="48"/>
  <c r="CI523" i="48" s="1"/>
  <c r="CJ523" i="48" s="1"/>
  <c r="CH531" i="48"/>
  <c r="CI531" i="48" s="1"/>
  <c r="CJ531" i="48" s="1"/>
  <c r="CH535" i="48"/>
  <c r="CI535" i="48" s="1"/>
  <c r="CJ535" i="48" s="1"/>
  <c r="CH536" i="48"/>
  <c r="CI536" i="48" s="1"/>
  <c r="CJ536" i="48" s="1"/>
  <c r="CH537" i="48"/>
  <c r="CI537" i="48" s="1"/>
  <c r="CJ537" i="48" s="1"/>
  <c r="CH538" i="48"/>
  <c r="CI538" i="48" s="1"/>
  <c r="CJ538" i="48" s="1"/>
  <c r="CH539" i="48"/>
  <c r="CI539" i="48" s="1"/>
  <c r="CJ539" i="48" s="1"/>
  <c r="CH540" i="48"/>
  <c r="CI540" i="48" s="1"/>
  <c r="CJ540" i="48" s="1"/>
  <c r="CH541" i="48"/>
  <c r="CI541" i="48" s="1"/>
  <c r="CJ541" i="48" s="1"/>
  <c r="CH542" i="48"/>
  <c r="CI542" i="48" s="1"/>
  <c r="CJ542" i="48" s="1"/>
  <c r="CH543" i="48"/>
  <c r="CI543" i="48" s="1"/>
  <c r="CJ543" i="48" s="1"/>
  <c r="CH544" i="48"/>
  <c r="CI544" i="48" s="1"/>
  <c r="CJ544" i="48" s="1"/>
  <c r="CH545" i="48"/>
  <c r="CI545" i="48" s="1"/>
  <c r="CJ545" i="48" s="1"/>
  <c r="CH548" i="48"/>
  <c r="CI548" i="48" s="1"/>
  <c r="CJ548" i="48" s="1"/>
  <c r="CH504" i="48"/>
  <c r="CI504" i="48" s="1"/>
  <c r="CJ504" i="48" s="1"/>
  <c r="CH508" i="48"/>
  <c r="CI508" i="48" s="1"/>
  <c r="CJ508" i="48" s="1"/>
  <c r="CH512" i="48"/>
  <c r="CI512" i="48" s="1"/>
  <c r="CJ512" i="48" s="1"/>
  <c r="CH516" i="48"/>
  <c r="CI516" i="48" s="1"/>
  <c r="CJ516" i="48" s="1"/>
  <c r="CH520" i="48"/>
  <c r="CI520" i="48" s="1"/>
  <c r="CJ520" i="48" s="1"/>
  <c r="CH532" i="48"/>
  <c r="CI532" i="48" s="1"/>
  <c r="CJ532" i="48" s="1"/>
  <c r="CH505" i="48"/>
  <c r="CI505" i="48" s="1"/>
  <c r="CJ505" i="48" s="1"/>
  <c r="CH509" i="48"/>
  <c r="CI509" i="48" s="1"/>
  <c r="CJ509" i="48" s="1"/>
  <c r="CH513" i="48"/>
  <c r="CI513" i="48" s="1"/>
  <c r="CJ513" i="48" s="1"/>
  <c r="CH517" i="48"/>
  <c r="CI517" i="48" s="1"/>
  <c r="CJ517" i="48" s="1"/>
  <c r="CH521" i="48"/>
  <c r="CI521" i="48" s="1"/>
  <c r="CJ521" i="48" s="1"/>
  <c r="CH529" i="48"/>
  <c r="CI529" i="48" s="1"/>
  <c r="CJ529" i="48" s="1"/>
  <c r="CH556" i="48"/>
  <c r="CI556" i="48" s="1"/>
  <c r="CJ556" i="48" s="1"/>
  <c r="CH560" i="48"/>
  <c r="CI560" i="48" s="1"/>
  <c r="CJ560" i="48" s="1"/>
  <c r="CH564" i="48"/>
  <c r="CI564" i="48" s="1"/>
  <c r="CJ564" i="48" s="1"/>
  <c r="CH568" i="48"/>
  <c r="CI568" i="48" s="1"/>
  <c r="CJ568" i="48" s="1"/>
  <c r="CH572" i="48"/>
  <c r="CI572" i="48" s="1"/>
  <c r="CJ572" i="48" s="1"/>
  <c r="CH580" i="48"/>
  <c r="CI580" i="48" s="1"/>
  <c r="CJ580" i="48" s="1"/>
  <c r="CH584" i="48"/>
  <c r="CI584" i="48" s="1"/>
  <c r="CJ584" i="48" s="1"/>
  <c r="CH588" i="48"/>
  <c r="CI588" i="48" s="1"/>
  <c r="CJ588" i="48" s="1"/>
  <c r="CH592" i="48"/>
  <c r="CI592" i="48" s="1"/>
  <c r="CJ592" i="48" s="1"/>
  <c r="CH596" i="48"/>
  <c r="CI596" i="48" s="1"/>
  <c r="CJ596" i="48" s="1"/>
  <c r="CH604" i="48"/>
  <c r="CI604" i="48" s="1"/>
  <c r="CJ604" i="48" s="1"/>
  <c r="CH608" i="48"/>
  <c r="CI608" i="48" s="1"/>
  <c r="CJ608" i="48" s="1"/>
  <c r="CH612" i="48"/>
  <c r="CI612" i="48" s="1"/>
  <c r="CJ612" i="48" s="1"/>
  <c r="CH616" i="48"/>
  <c r="CI616" i="48" s="1"/>
  <c r="CJ616" i="48" s="1"/>
  <c r="CH620" i="48"/>
  <c r="CI620" i="48" s="1"/>
  <c r="CJ620" i="48" s="1"/>
  <c r="CH668" i="48"/>
  <c r="CI668" i="48" s="1"/>
  <c r="CJ668" i="48" s="1"/>
  <c r="CH716" i="48"/>
  <c r="CI716" i="48" s="1"/>
  <c r="CJ716" i="48" s="1"/>
  <c r="CH547" i="48"/>
  <c r="CI547" i="48" s="1"/>
  <c r="CJ547" i="48" s="1"/>
  <c r="CH557" i="48"/>
  <c r="CI557" i="48" s="1"/>
  <c r="CJ557" i="48" s="1"/>
  <c r="CH561" i="48"/>
  <c r="CI561" i="48" s="1"/>
  <c r="CJ561" i="48" s="1"/>
  <c r="CH565" i="48"/>
  <c r="CI565" i="48" s="1"/>
  <c r="CJ565" i="48" s="1"/>
  <c r="CH569" i="48"/>
  <c r="CI569" i="48" s="1"/>
  <c r="CJ569" i="48" s="1"/>
  <c r="CH573" i="48"/>
  <c r="CI573" i="48" s="1"/>
  <c r="CJ573" i="48" s="1"/>
  <c r="CH581" i="48"/>
  <c r="CI581" i="48" s="1"/>
  <c r="CJ581" i="48" s="1"/>
  <c r="CH585" i="48"/>
  <c r="CI585" i="48" s="1"/>
  <c r="CJ585" i="48" s="1"/>
  <c r="CH589" i="48"/>
  <c r="CI589" i="48" s="1"/>
  <c r="CJ589" i="48" s="1"/>
  <c r="CH593" i="48"/>
  <c r="CI593" i="48" s="1"/>
  <c r="CJ593" i="48" s="1"/>
  <c r="CH597" i="48"/>
  <c r="CI597" i="48" s="1"/>
  <c r="CJ597" i="48" s="1"/>
  <c r="CH605" i="48"/>
  <c r="CI605" i="48" s="1"/>
  <c r="CJ605" i="48" s="1"/>
  <c r="CH609" i="48"/>
  <c r="CI609" i="48" s="1"/>
  <c r="CJ609" i="48" s="1"/>
  <c r="CH613" i="48"/>
  <c r="CI613" i="48" s="1"/>
  <c r="CJ613" i="48" s="1"/>
  <c r="CH617" i="48"/>
  <c r="CI617" i="48" s="1"/>
  <c r="CJ617" i="48" s="1"/>
  <c r="CH621" i="48"/>
  <c r="CI621" i="48" s="1"/>
  <c r="CJ621" i="48" s="1"/>
  <c r="CH629" i="48"/>
  <c r="CI629" i="48" s="1"/>
  <c r="CJ629" i="48" s="1"/>
  <c r="CH633" i="48"/>
  <c r="CI633" i="48" s="1"/>
  <c r="CJ633" i="48" s="1"/>
  <c r="CH693" i="48"/>
  <c r="CI693" i="48" s="1"/>
  <c r="CJ693" i="48" s="1"/>
  <c r="CH644" i="48"/>
  <c r="CI644" i="48" s="1"/>
  <c r="CJ644" i="48" s="1"/>
  <c r="CH660" i="48"/>
  <c r="CI660" i="48" s="1"/>
  <c r="CJ660" i="48" s="1"/>
  <c r="CH554" i="48"/>
  <c r="CI554" i="48" s="1"/>
  <c r="CJ554" i="48" s="1"/>
  <c r="CH558" i="48"/>
  <c r="CI558" i="48" s="1"/>
  <c r="CJ558" i="48" s="1"/>
  <c r="CH562" i="48"/>
  <c r="CI562" i="48" s="1"/>
  <c r="CJ562" i="48" s="1"/>
  <c r="CH566" i="48"/>
  <c r="CI566" i="48" s="1"/>
  <c r="CJ566" i="48" s="1"/>
  <c r="CH570" i="48"/>
  <c r="CI570" i="48" s="1"/>
  <c r="CJ570" i="48" s="1"/>
  <c r="CH582" i="48"/>
  <c r="CI582" i="48" s="1"/>
  <c r="CJ582" i="48" s="1"/>
  <c r="CH586" i="48"/>
  <c r="CI586" i="48" s="1"/>
  <c r="CJ586" i="48" s="1"/>
  <c r="CH590" i="48"/>
  <c r="CI590" i="48" s="1"/>
  <c r="CJ590" i="48" s="1"/>
  <c r="CH594" i="48"/>
  <c r="CI594" i="48" s="1"/>
  <c r="CJ594" i="48" s="1"/>
  <c r="CH598" i="48"/>
  <c r="CI598" i="48" s="1"/>
  <c r="CJ598" i="48" s="1"/>
  <c r="CH606" i="48"/>
  <c r="CI606" i="48" s="1"/>
  <c r="CJ606" i="48" s="1"/>
  <c r="CH610" i="48"/>
  <c r="CI610" i="48" s="1"/>
  <c r="CJ610" i="48" s="1"/>
  <c r="CH614" i="48"/>
  <c r="CI614" i="48" s="1"/>
  <c r="CJ614" i="48" s="1"/>
  <c r="CH618" i="48"/>
  <c r="CI618" i="48" s="1"/>
  <c r="CJ618" i="48" s="1"/>
  <c r="CH622" i="48"/>
  <c r="CI622" i="48" s="1"/>
  <c r="CJ622" i="48" s="1"/>
  <c r="CH680" i="48"/>
  <c r="CI680" i="48" s="1"/>
  <c r="CJ680" i="48" s="1"/>
  <c r="CH689" i="48"/>
  <c r="CI689" i="48" s="1"/>
  <c r="CJ689" i="48" s="1"/>
  <c r="CH555" i="48"/>
  <c r="CI555" i="48" s="1"/>
  <c r="CJ555" i="48" s="1"/>
  <c r="CH559" i="48"/>
  <c r="CI559" i="48" s="1"/>
  <c r="CJ559" i="48" s="1"/>
  <c r="CH563" i="48"/>
  <c r="CI563" i="48" s="1"/>
  <c r="CJ563" i="48" s="1"/>
  <c r="CH567" i="48"/>
  <c r="CI567" i="48" s="1"/>
  <c r="CJ567" i="48" s="1"/>
  <c r="CH571" i="48"/>
  <c r="CI571" i="48" s="1"/>
  <c r="CJ571" i="48" s="1"/>
  <c r="CH579" i="48"/>
  <c r="CI579" i="48" s="1"/>
  <c r="CJ579" i="48" s="1"/>
  <c r="CH696" i="48"/>
  <c r="CI696" i="48" s="1"/>
  <c r="CJ696" i="48" s="1"/>
  <c r="CH634" i="48"/>
  <c r="CI634" i="48" s="1"/>
  <c r="CJ634" i="48" s="1"/>
  <c r="CH630" i="48"/>
  <c r="CI630" i="48" s="1"/>
  <c r="CJ630" i="48" s="1"/>
  <c r="CH638" i="48"/>
  <c r="CI638" i="48" s="1"/>
  <c r="CJ638" i="48" s="1"/>
  <c r="CH642" i="48"/>
  <c r="CI642" i="48" s="1"/>
  <c r="CJ642" i="48" s="1"/>
  <c r="CH646" i="48"/>
  <c r="CI646" i="48" s="1"/>
  <c r="CJ646" i="48" s="1"/>
  <c r="CH654" i="48"/>
  <c r="CI654" i="48" s="1"/>
  <c r="CJ654" i="48" s="1"/>
  <c r="CH658" i="48"/>
  <c r="CI658" i="48" s="1"/>
  <c r="CJ658" i="48" s="1"/>
  <c r="CH662" i="48"/>
  <c r="CI662" i="48" s="1"/>
  <c r="CJ662" i="48" s="1"/>
  <c r="CH681" i="48"/>
  <c r="CI681" i="48" s="1"/>
  <c r="CJ681" i="48" s="1"/>
  <c r="CH684" i="48"/>
  <c r="CI684" i="48" s="1"/>
  <c r="CJ684" i="48" s="1"/>
  <c r="CH697" i="48"/>
  <c r="CI697" i="48" s="1"/>
  <c r="CJ697" i="48" s="1"/>
  <c r="CH706" i="48"/>
  <c r="CI706" i="48" s="1"/>
  <c r="CJ706" i="48" s="1"/>
  <c r="CH748" i="48"/>
  <c r="CI748" i="48" s="1"/>
  <c r="CJ748" i="48" s="1"/>
  <c r="CH690" i="48"/>
  <c r="CI690" i="48" s="1"/>
  <c r="CJ690" i="48" s="1"/>
  <c r="CH709" i="48"/>
  <c r="CI709" i="48" s="1"/>
  <c r="CJ709" i="48" s="1"/>
  <c r="CH712" i="48"/>
  <c r="CI712" i="48" s="1"/>
  <c r="CJ712" i="48" s="1"/>
  <c r="CH736" i="48"/>
  <c r="CI736" i="48" s="1"/>
  <c r="CJ736" i="48" s="1"/>
  <c r="CH760" i="48"/>
  <c r="CI760" i="48" s="1"/>
  <c r="CJ760" i="48" s="1"/>
  <c r="CH788" i="48"/>
  <c r="CI788" i="48" s="1"/>
  <c r="CJ788" i="48" s="1"/>
  <c r="CH672" i="48"/>
  <c r="CI672" i="48" s="1"/>
  <c r="CJ672" i="48" s="1"/>
  <c r="CH686" i="48"/>
  <c r="CI686" i="48" s="1"/>
  <c r="CJ686" i="48" s="1"/>
  <c r="CH705" i="48"/>
  <c r="CI705" i="48" s="1"/>
  <c r="CJ705" i="48" s="1"/>
  <c r="CH708" i="48"/>
  <c r="CI708" i="48" s="1"/>
  <c r="CJ708" i="48" s="1"/>
  <c r="CH744" i="48"/>
  <c r="CI744" i="48" s="1"/>
  <c r="CJ744" i="48" s="1"/>
  <c r="CH768" i="48"/>
  <c r="CI768" i="48" s="1"/>
  <c r="CJ768" i="48" s="1"/>
  <c r="CH692" i="48"/>
  <c r="CI692" i="48" s="1"/>
  <c r="CJ692" i="48" s="1"/>
  <c r="CH714" i="48"/>
  <c r="CI714" i="48" s="1"/>
  <c r="CJ714" i="48" s="1"/>
  <c r="CH720" i="48"/>
  <c r="CI720" i="48" s="1"/>
  <c r="CJ720" i="48" s="1"/>
  <c r="CH732" i="48"/>
  <c r="CI732" i="48" s="1"/>
  <c r="CJ732" i="48" s="1"/>
  <c r="CH756" i="48"/>
  <c r="CI756" i="48" s="1"/>
  <c r="CJ756" i="48" s="1"/>
  <c r="CH682" i="48"/>
  <c r="CI682" i="48" s="1"/>
  <c r="CJ682" i="48" s="1"/>
  <c r="CH698" i="48"/>
  <c r="CI698" i="48" s="1"/>
  <c r="CJ698" i="48" s="1"/>
  <c r="CH704" i="48"/>
  <c r="CI704" i="48" s="1"/>
  <c r="CJ704" i="48" s="1"/>
  <c r="CH772" i="48"/>
  <c r="CI772" i="48" s="1"/>
  <c r="CJ772" i="48" s="1"/>
  <c r="CH782" i="48"/>
  <c r="CI782" i="48" s="1"/>
  <c r="CJ782" i="48" s="1"/>
  <c r="CH637" i="48"/>
  <c r="CI637" i="48" s="1"/>
  <c r="CJ637" i="48" s="1"/>
  <c r="CH641" i="48"/>
  <c r="CI641" i="48" s="1"/>
  <c r="CJ641" i="48" s="1"/>
  <c r="CH645" i="48"/>
  <c r="CI645" i="48" s="1"/>
  <c r="CJ645" i="48" s="1"/>
  <c r="CH657" i="48"/>
  <c r="CI657" i="48" s="1"/>
  <c r="CJ657" i="48" s="1"/>
  <c r="CH661" i="48"/>
  <c r="CI661" i="48" s="1"/>
  <c r="CJ661" i="48" s="1"/>
  <c r="CH665" i="48"/>
  <c r="CI665" i="48" s="1"/>
  <c r="CJ665" i="48" s="1"/>
  <c r="CH669" i="48"/>
  <c r="CI669" i="48" s="1"/>
  <c r="CJ669" i="48" s="1"/>
  <c r="CH685" i="48"/>
  <c r="CI685" i="48" s="1"/>
  <c r="CJ685" i="48" s="1"/>
  <c r="CH688" i="48"/>
  <c r="CI688" i="48" s="1"/>
  <c r="CJ688" i="48" s="1"/>
  <c r="CH710" i="48"/>
  <c r="CI710" i="48" s="1"/>
  <c r="CJ710" i="48" s="1"/>
  <c r="CH740" i="48"/>
  <c r="CI740" i="48" s="1"/>
  <c r="CJ740" i="48" s="1"/>
  <c r="CH764" i="48"/>
  <c r="CI764" i="48" s="1"/>
  <c r="CJ764" i="48" s="1"/>
  <c r="CH673" i="48"/>
  <c r="CI673" i="48" s="1"/>
  <c r="CJ673" i="48" s="1"/>
  <c r="CH694" i="48"/>
  <c r="CI694" i="48" s="1"/>
  <c r="CJ694" i="48" s="1"/>
  <c r="CH713" i="48"/>
  <c r="CI713" i="48" s="1"/>
  <c r="CJ713" i="48" s="1"/>
  <c r="CH718" i="48"/>
  <c r="CI718" i="48" s="1"/>
  <c r="CJ718" i="48" s="1"/>
  <c r="CH722" i="48"/>
  <c r="CI722" i="48" s="1"/>
  <c r="CJ722" i="48" s="1"/>
  <c r="CH730" i="48"/>
  <c r="CI730" i="48" s="1"/>
  <c r="CJ730" i="48" s="1"/>
  <c r="CH734" i="48"/>
  <c r="CI734" i="48" s="1"/>
  <c r="CJ734" i="48" s="1"/>
  <c r="CH738" i="48"/>
  <c r="CI738" i="48" s="1"/>
  <c r="CJ738" i="48" s="1"/>
  <c r="CH742" i="48"/>
  <c r="CI742" i="48" s="1"/>
  <c r="CJ742" i="48" s="1"/>
  <c r="CH746" i="48"/>
  <c r="CI746" i="48" s="1"/>
  <c r="CJ746" i="48" s="1"/>
  <c r="CH754" i="48"/>
  <c r="CI754" i="48" s="1"/>
  <c r="CJ754" i="48" s="1"/>
  <c r="CH758" i="48"/>
  <c r="CI758" i="48" s="1"/>
  <c r="CJ758" i="48" s="1"/>
  <c r="CH762" i="48"/>
  <c r="CI762" i="48" s="1"/>
  <c r="CJ762" i="48" s="1"/>
  <c r="CH766" i="48"/>
  <c r="CI766" i="48" s="1"/>
  <c r="CJ766" i="48" s="1"/>
  <c r="CH770" i="48"/>
  <c r="CI770" i="48" s="1"/>
  <c r="CJ770" i="48" s="1"/>
  <c r="CH784" i="48"/>
  <c r="CI784" i="48" s="1"/>
  <c r="CJ784" i="48" s="1"/>
  <c r="CH796" i="48"/>
  <c r="CI796" i="48" s="1"/>
  <c r="CJ796" i="48" s="1"/>
  <c r="CH679" i="48"/>
  <c r="CI679" i="48" s="1"/>
  <c r="CJ679" i="48" s="1"/>
  <c r="CH683" i="48"/>
  <c r="CI683" i="48" s="1"/>
  <c r="CJ683" i="48" s="1"/>
  <c r="CH687" i="48"/>
  <c r="CI687" i="48" s="1"/>
  <c r="CJ687" i="48" s="1"/>
  <c r="CH691" i="48"/>
  <c r="CI691" i="48" s="1"/>
  <c r="CJ691" i="48" s="1"/>
  <c r="CH695" i="48"/>
  <c r="CI695" i="48" s="1"/>
  <c r="CJ695" i="48" s="1"/>
  <c r="CH707" i="48"/>
  <c r="CI707" i="48" s="1"/>
  <c r="CJ707" i="48" s="1"/>
  <c r="CH711" i="48"/>
  <c r="CI711" i="48" s="1"/>
  <c r="CJ711" i="48" s="1"/>
  <c r="CH715" i="48"/>
  <c r="CI715" i="48" s="1"/>
  <c r="CJ715" i="48" s="1"/>
  <c r="CH719" i="48"/>
  <c r="CI719" i="48" s="1"/>
  <c r="CJ719" i="48" s="1"/>
  <c r="CH771" i="48"/>
  <c r="CI771" i="48" s="1"/>
  <c r="CJ771" i="48" s="1"/>
  <c r="CH779" i="48"/>
  <c r="CI779" i="48" s="1"/>
  <c r="CJ779" i="48" s="1"/>
  <c r="CH792" i="48"/>
  <c r="CI792" i="48" s="1"/>
  <c r="CJ792" i="48" s="1"/>
  <c r="CH780" i="48"/>
  <c r="CI780" i="48" s="1"/>
  <c r="CJ780" i="48" s="1"/>
  <c r="CH717" i="48"/>
  <c r="CI717" i="48" s="1"/>
  <c r="CJ717" i="48" s="1"/>
  <c r="CH721" i="48"/>
  <c r="CI721" i="48" s="1"/>
  <c r="CJ721" i="48" s="1"/>
  <c r="CH729" i="48"/>
  <c r="CI729" i="48" s="1"/>
  <c r="CJ729" i="48" s="1"/>
  <c r="CH733" i="48"/>
  <c r="CI733" i="48" s="1"/>
  <c r="CJ733" i="48" s="1"/>
  <c r="CH737" i="48"/>
  <c r="CI737" i="48" s="1"/>
  <c r="CJ737" i="48" s="1"/>
  <c r="CH741" i="48"/>
  <c r="CI741" i="48" s="1"/>
  <c r="CJ741" i="48" s="1"/>
  <c r="CH745" i="48"/>
  <c r="CI745" i="48" s="1"/>
  <c r="CJ745" i="48" s="1"/>
  <c r="CH757" i="48"/>
  <c r="CI757" i="48" s="1"/>
  <c r="CJ757" i="48" s="1"/>
  <c r="CH761" i="48"/>
  <c r="CI761" i="48" s="1"/>
  <c r="CJ761" i="48" s="1"/>
  <c r="CH765" i="48"/>
  <c r="CI765" i="48" s="1"/>
  <c r="CJ765" i="48" s="1"/>
  <c r="CH769" i="48"/>
  <c r="CI769" i="48" s="1"/>
  <c r="CJ769" i="48" s="1"/>
  <c r="CH773" i="48"/>
  <c r="CI773" i="48" s="1"/>
  <c r="CJ773" i="48" s="1"/>
  <c r="CH872" i="48"/>
  <c r="CI872" i="48" s="1"/>
  <c r="CJ872" i="48" s="1"/>
  <c r="CH786" i="48"/>
  <c r="CI786" i="48" s="1"/>
  <c r="CJ786" i="48" s="1"/>
  <c r="CH790" i="48"/>
  <c r="CI790" i="48" s="1"/>
  <c r="CJ790" i="48" s="1"/>
  <c r="CH794" i="48"/>
  <c r="CI794" i="48" s="1"/>
  <c r="CJ794" i="48" s="1"/>
  <c r="CH798" i="48"/>
  <c r="CI798" i="48" s="1"/>
  <c r="CJ798" i="48" s="1"/>
  <c r="CH804" i="48"/>
  <c r="CI804" i="48" s="1"/>
  <c r="CJ804" i="48" s="1"/>
  <c r="CH808" i="48"/>
  <c r="CI808" i="48" s="1"/>
  <c r="CJ808" i="48" s="1"/>
  <c r="CH812" i="48"/>
  <c r="CI812" i="48" s="1"/>
  <c r="CJ812" i="48" s="1"/>
  <c r="CH816" i="48"/>
  <c r="CI816" i="48" s="1"/>
  <c r="CJ816" i="48" s="1"/>
  <c r="CH820" i="48"/>
  <c r="CI820" i="48" s="1"/>
  <c r="CJ820" i="48" s="1"/>
  <c r="CH856" i="48"/>
  <c r="CI856" i="48" s="1"/>
  <c r="CJ856" i="48" s="1"/>
  <c r="CH884" i="48"/>
  <c r="CI884" i="48" s="1"/>
  <c r="CJ884" i="48" s="1"/>
  <c r="CH854" i="48"/>
  <c r="CI854" i="48" s="1"/>
  <c r="CJ854" i="48" s="1"/>
  <c r="CH855" i="48"/>
  <c r="CI855" i="48" s="1"/>
  <c r="CJ855" i="48" s="1"/>
  <c r="CH860" i="48"/>
  <c r="CI860" i="48" s="1"/>
  <c r="CJ860" i="48" s="1"/>
  <c r="CH888" i="48"/>
  <c r="CI888" i="48" s="1"/>
  <c r="CJ888" i="48" s="1"/>
  <c r="CH864" i="48"/>
  <c r="CI864" i="48" s="1"/>
  <c r="CJ864" i="48" s="1"/>
  <c r="CH806" i="48"/>
  <c r="CI806" i="48" s="1"/>
  <c r="CJ806" i="48" s="1"/>
  <c r="CH810" i="48"/>
  <c r="CI810" i="48" s="1"/>
  <c r="CJ810" i="48" s="1"/>
  <c r="CH814" i="48"/>
  <c r="CI814" i="48" s="1"/>
  <c r="CJ814" i="48" s="1"/>
  <c r="CH818" i="48"/>
  <c r="CI818" i="48" s="1"/>
  <c r="CJ818" i="48" s="1"/>
  <c r="CH822" i="48"/>
  <c r="CI822" i="48" s="1"/>
  <c r="CJ822" i="48" s="1"/>
  <c r="CH830" i="48"/>
  <c r="CI830" i="48" s="1"/>
  <c r="CJ830" i="48" s="1"/>
  <c r="CH834" i="48"/>
  <c r="CI834" i="48" s="1"/>
  <c r="CJ834" i="48" s="1"/>
  <c r="CH838" i="48"/>
  <c r="CI838" i="48" s="1"/>
  <c r="CJ838" i="48" s="1"/>
  <c r="CH842" i="48"/>
  <c r="CI842" i="48" s="1"/>
  <c r="CJ842" i="48" s="1"/>
  <c r="CH846" i="48"/>
  <c r="CI846" i="48" s="1"/>
  <c r="CJ846" i="48" s="1"/>
  <c r="CH861" i="48"/>
  <c r="CI861" i="48" s="1"/>
  <c r="CJ861" i="48" s="1"/>
  <c r="CH868" i="48"/>
  <c r="CI868" i="48" s="1"/>
  <c r="CJ868" i="48" s="1"/>
  <c r="CH823" i="48"/>
  <c r="CI823" i="48" s="1"/>
  <c r="CJ823" i="48" s="1"/>
  <c r="CH831" i="48"/>
  <c r="CI831" i="48" s="1"/>
  <c r="CJ831" i="48" s="1"/>
  <c r="CH835" i="48"/>
  <c r="CI835" i="48" s="1"/>
  <c r="CJ835" i="48" s="1"/>
  <c r="CH839" i="48"/>
  <c r="CI839" i="48" s="1"/>
  <c r="CJ839" i="48" s="1"/>
  <c r="CH843" i="48"/>
  <c r="CI843" i="48" s="1"/>
  <c r="CJ843" i="48" s="1"/>
  <c r="CH847" i="48"/>
  <c r="CI847" i="48" s="1"/>
  <c r="CJ847" i="48" s="1"/>
  <c r="CH857" i="48"/>
  <c r="CI857" i="48" s="1"/>
  <c r="CJ857" i="48" s="1"/>
  <c r="CH880" i="48"/>
  <c r="CI880" i="48" s="1"/>
  <c r="CJ880" i="48" s="1"/>
  <c r="CH858" i="48"/>
  <c r="CI858" i="48" s="1"/>
  <c r="CJ858" i="48" s="1"/>
  <c r="CH862" i="48"/>
  <c r="CI862" i="48" s="1"/>
  <c r="CJ862" i="48" s="1"/>
  <c r="CH866" i="48"/>
  <c r="CI866" i="48" s="1"/>
  <c r="CJ866" i="48" s="1"/>
  <c r="CH870" i="48"/>
  <c r="CI870" i="48" s="1"/>
  <c r="CJ870" i="48" s="1"/>
  <c r="CH882" i="48"/>
  <c r="CI882" i="48" s="1"/>
  <c r="CJ882" i="48" s="1"/>
  <c r="CH886" i="48"/>
  <c r="CI886" i="48" s="1"/>
  <c r="CJ886" i="48" s="1"/>
  <c r="CH890" i="48"/>
  <c r="CI890" i="48" s="1"/>
  <c r="CJ890" i="48" s="1"/>
  <c r="CH894" i="48"/>
  <c r="CI894" i="48" s="1"/>
  <c r="CJ894" i="48" s="1"/>
  <c r="CH898" i="48"/>
  <c r="CI898" i="48" s="1"/>
  <c r="CJ898" i="48" s="1"/>
  <c r="CH859" i="48"/>
  <c r="CI859" i="48" s="1"/>
  <c r="CJ859" i="48" s="1"/>
  <c r="CH863" i="48"/>
  <c r="CI863" i="48" s="1"/>
  <c r="CJ863" i="48" s="1"/>
  <c r="CH867" i="48"/>
  <c r="CI867" i="48" s="1"/>
  <c r="CJ867" i="48" s="1"/>
  <c r="CH871" i="48"/>
  <c r="CI871" i="48" s="1"/>
  <c r="CJ871" i="48" s="1"/>
  <c r="CH879" i="48"/>
  <c r="CI879" i="48" s="1"/>
  <c r="CJ879" i="48" s="1"/>
  <c r="CH883" i="48"/>
  <c r="CI883" i="48" s="1"/>
  <c r="CJ883" i="48" s="1"/>
  <c r="CH887" i="48"/>
  <c r="CI887" i="48" s="1"/>
  <c r="CJ887" i="48" s="1"/>
  <c r="CH891" i="48"/>
  <c r="CI891" i="48" s="1"/>
  <c r="CJ891" i="48" s="1"/>
  <c r="CH895" i="48"/>
  <c r="CI895" i="48" s="1"/>
  <c r="CJ895" i="48" s="1"/>
  <c r="CH892" i="48"/>
  <c r="CI892" i="48" s="1"/>
  <c r="CJ892" i="48" s="1"/>
  <c r="CH896" i="48"/>
  <c r="CI896" i="48" s="1"/>
  <c r="CJ896" i="48" s="1"/>
  <c r="CH865" i="48"/>
  <c r="CI865" i="48" s="1"/>
  <c r="CJ865" i="48" s="1"/>
  <c r="CH869" i="48"/>
  <c r="CI869" i="48" s="1"/>
  <c r="CJ869" i="48" s="1"/>
  <c r="CH873" i="48"/>
  <c r="CI873" i="48" s="1"/>
  <c r="CJ873" i="48" s="1"/>
  <c r="CH881" i="48"/>
  <c r="CI881" i="48" s="1"/>
  <c r="CJ881" i="48" s="1"/>
  <c r="CH885" i="48"/>
  <c r="CI885" i="48" s="1"/>
  <c r="CJ885" i="48" s="1"/>
  <c r="CH889" i="48"/>
  <c r="CI889" i="48" s="1"/>
  <c r="CJ889" i="48" s="1"/>
  <c r="CH893" i="48"/>
  <c r="CI893" i="48" s="1"/>
  <c r="CJ893" i="48" s="1"/>
  <c r="CH897" i="48"/>
  <c r="CI897" i="48" s="1"/>
  <c r="CJ897" i="48" s="1"/>
  <c r="CH907" i="48"/>
  <c r="CI907" i="48" s="1"/>
  <c r="CJ907" i="48" s="1"/>
  <c r="CH911" i="48"/>
  <c r="CI911" i="48" s="1"/>
  <c r="CJ911" i="48" s="1"/>
  <c r="CH915" i="48"/>
  <c r="CI915" i="48" s="1"/>
  <c r="CJ915" i="48" s="1"/>
  <c r="CH919" i="48"/>
  <c r="CI919" i="48" s="1"/>
  <c r="CJ919" i="48" s="1"/>
  <c r="CH923" i="48"/>
  <c r="CI923" i="48" s="1"/>
  <c r="CJ923" i="48" s="1"/>
  <c r="CH930" i="48"/>
  <c r="CI930" i="48" s="1"/>
  <c r="CJ930" i="48" s="1"/>
  <c r="CH938" i="48"/>
  <c r="CI938" i="48" s="1"/>
  <c r="CJ938" i="48" s="1"/>
  <c r="CH933" i="48"/>
  <c r="CI933" i="48" s="1"/>
  <c r="CJ933" i="48" s="1"/>
  <c r="CH904" i="48"/>
  <c r="CI904" i="48" s="1"/>
  <c r="CJ904" i="48" s="1"/>
  <c r="CH908" i="48"/>
  <c r="CI908" i="48" s="1"/>
  <c r="CJ908" i="48" s="1"/>
  <c r="CH912" i="48"/>
  <c r="CI912" i="48" s="1"/>
  <c r="CJ912" i="48" s="1"/>
  <c r="CH916" i="48"/>
  <c r="CI916" i="48" s="1"/>
  <c r="CJ916" i="48" s="1"/>
  <c r="CH920" i="48"/>
  <c r="CI920" i="48" s="1"/>
  <c r="CJ920" i="48" s="1"/>
  <c r="CH934" i="48"/>
  <c r="CI934" i="48" s="1"/>
  <c r="CJ934" i="48" s="1"/>
  <c r="CH905" i="48"/>
  <c r="CI905" i="48" s="1"/>
  <c r="CJ905" i="48" s="1"/>
  <c r="CH909" i="48"/>
  <c r="CI909" i="48" s="1"/>
  <c r="CJ909" i="48" s="1"/>
  <c r="CH913" i="48"/>
  <c r="CI913" i="48" s="1"/>
  <c r="CJ913" i="48" s="1"/>
  <c r="CH917" i="48"/>
  <c r="CI917" i="48" s="1"/>
  <c r="CJ917" i="48" s="1"/>
  <c r="CH921" i="48"/>
  <c r="CI921" i="48" s="1"/>
  <c r="CJ921" i="48" s="1"/>
  <c r="CH906" i="48"/>
  <c r="CI906" i="48" s="1"/>
  <c r="CJ906" i="48" s="1"/>
  <c r="CH910" i="48"/>
  <c r="CI910" i="48" s="1"/>
  <c r="CJ910" i="48" s="1"/>
  <c r="CH914" i="48"/>
  <c r="CI914" i="48" s="1"/>
  <c r="CJ914" i="48" s="1"/>
  <c r="CH918" i="48"/>
  <c r="CI918" i="48" s="1"/>
  <c r="CJ918" i="48" s="1"/>
  <c r="CH922" i="48"/>
  <c r="CI922" i="48" s="1"/>
  <c r="CJ922" i="48" s="1"/>
  <c r="CH932" i="48"/>
  <c r="CI932" i="48" s="1"/>
  <c r="CJ932" i="48" s="1"/>
  <c r="CH994" i="48"/>
  <c r="CI994" i="48" s="1"/>
  <c r="CJ994" i="48" s="1"/>
  <c r="CH1018" i="48"/>
  <c r="CI1018" i="48" s="1"/>
  <c r="CJ1018" i="48" s="1"/>
  <c r="CH940" i="48"/>
  <c r="CI940" i="48" s="1"/>
  <c r="CJ940" i="48" s="1"/>
  <c r="CH944" i="48"/>
  <c r="CI944" i="48" s="1"/>
  <c r="CJ944" i="48" s="1"/>
  <c r="CH948" i="48"/>
  <c r="CI948" i="48" s="1"/>
  <c r="CJ948" i="48" s="1"/>
  <c r="CH956" i="48"/>
  <c r="CI956" i="48" s="1"/>
  <c r="CJ956" i="48" s="1"/>
  <c r="CH960" i="48"/>
  <c r="CI960" i="48" s="1"/>
  <c r="CJ960" i="48" s="1"/>
  <c r="CH964" i="48"/>
  <c r="CI964" i="48" s="1"/>
  <c r="CJ964" i="48" s="1"/>
  <c r="CH968" i="48"/>
  <c r="CI968" i="48" s="1"/>
  <c r="CJ968" i="48" s="1"/>
  <c r="CH972" i="48"/>
  <c r="CI972" i="48" s="1"/>
  <c r="CJ972" i="48" s="1"/>
  <c r="CH980" i="48"/>
  <c r="CI980" i="48" s="1"/>
  <c r="CJ980" i="48" s="1"/>
  <c r="CH984" i="48"/>
  <c r="CI984" i="48" s="1"/>
  <c r="CJ984" i="48" s="1"/>
  <c r="CH988" i="48"/>
  <c r="CI988" i="48" s="1"/>
  <c r="CJ988" i="48" s="1"/>
  <c r="CH992" i="48"/>
  <c r="CI992" i="48" s="1"/>
  <c r="CJ992" i="48" s="1"/>
  <c r="CH996" i="48"/>
  <c r="CI996" i="48" s="1"/>
  <c r="CJ996" i="48" s="1"/>
  <c r="CH998" i="48"/>
  <c r="CI998" i="48" s="1"/>
  <c r="CJ998" i="48" s="1"/>
  <c r="CH1017" i="48"/>
  <c r="CI1017" i="48" s="1"/>
  <c r="CJ1017" i="48" s="1"/>
  <c r="CH937" i="48"/>
  <c r="CI937" i="48" s="1"/>
  <c r="CJ937" i="48" s="1"/>
  <c r="CH941" i="48"/>
  <c r="CI941" i="48" s="1"/>
  <c r="CJ941" i="48" s="1"/>
  <c r="CH945" i="48"/>
  <c r="CI945" i="48" s="1"/>
  <c r="CJ945" i="48" s="1"/>
  <c r="CH957" i="48"/>
  <c r="CI957" i="48" s="1"/>
  <c r="CJ957" i="48" s="1"/>
  <c r="CH961" i="48"/>
  <c r="CI961" i="48" s="1"/>
  <c r="CJ961" i="48" s="1"/>
  <c r="CH965" i="48"/>
  <c r="CI965" i="48" s="1"/>
  <c r="CJ965" i="48" s="1"/>
  <c r="CH969" i="48"/>
  <c r="CI969" i="48" s="1"/>
  <c r="CJ969" i="48" s="1"/>
  <c r="CH973" i="48"/>
  <c r="CI973" i="48" s="1"/>
  <c r="CJ973" i="48" s="1"/>
  <c r="CH981" i="48"/>
  <c r="CI981" i="48" s="1"/>
  <c r="CJ981" i="48" s="1"/>
  <c r="CH985" i="48"/>
  <c r="CI985" i="48" s="1"/>
  <c r="CJ985" i="48" s="1"/>
  <c r="CH989" i="48"/>
  <c r="CI989" i="48" s="1"/>
  <c r="CJ989" i="48" s="1"/>
  <c r="CH1004" i="48"/>
  <c r="CI1004" i="48" s="1"/>
  <c r="CJ1004" i="48" s="1"/>
  <c r="CH1005" i="48"/>
  <c r="CI1005" i="48" s="1"/>
  <c r="CJ1005" i="48" s="1"/>
  <c r="CH1006" i="48"/>
  <c r="CI1006" i="48" s="1"/>
  <c r="CJ1006" i="48" s="1"/>
  <c r="CH1009" i="48"/>
  <c r="CI1009" i="48" s="1"/>
  <c r="CJ1009" i="48" s="1"/>
  <c r="CH1010" i="48"/>
  <c r="CI1010" i="48" s="1"/>
  <c r="CJ1010" i="48" s="1"/>
  <c r="CH1011" i="48"/>
  <c r="CI1011" i="48" s="1"/>
  <c r="CJ1011" i="48" s="1"/>
  <c r="CH1012" i="48"/>
  <c r="CI1012" i="48" s="1"/>
  <c r="CJ1012" i="48" s="1"/>
  <c r="CH1013" i="48"/>
  <c r="CI1013" i="48" s="1"/>
  <c r="CJ1013" i="48" s="1"/>
  <c r="CH1014" i="48"/>
  <c r="CI1014" i="48" s="1"/>
  <c r="CJ1014" i="48" s="1"/>
  <c r="CH1015" i="48"/>
  <c r="CI1015" i="48" s="1"/>
  <c r="CJ1015" i="48" s="1"/>
  <c r="CH1019" i="48"/>
  <c r="CI1019" i="48" s="1"/>
  <c r="CJ1019" i="48" s="1"/>
  <c r="CH942" i="48"/>
  <c r="CI942" i="48" s="1"/>
  <c r="CJ942" i="48" s="1"/>
  <c r="CH946" i="48"/>
  <c r="CI946" i="48" s="1"/>
  <c r="CJ946" i="48" s="1"/>
  <c r="CH954" i="48"/>
  <c r="CI954" i="48" s="1"/>
  <c r="CJ954" i="48" s="1"/>
  <c r="CH958" i="48"/>
  <c r="CI958" i="48" s="1"/>
  <c r="CJ958" i="48" s="1"/>
  <c r="CH962" i="48"/>
  <c r="CI962" i="48" s="1"/>
  <c r="CJ962" i="48" s="1"/>
  <c r="CH966" i="48"/>
  <c r="CI966" i="48" s="1"/>
  <c r="CJ966" i="48" s="1"/>
  <c r="CH970" i="48"/>
  <c r="CI970" i="48" s="1"/>
  <c r="CJ970" i="48" s="1"/>
  <c r="CH982" i="48"/>
  <c r="CI982" i="48" s="1"/>
  <c r="CJ982" i="48" s="1"/>
  <c r="CH986" i="48"/>
  <c r="CI986" i="48" s="1"/>
  <c r="CJ986" i="48" s="1"/>
  <c r="CH990" i="48"/>
  <c r="CI990" i="48" s="1"/>
  <c r="CJ990" i="48" s="1"/>
  <c r="CH995" i="48"/>
  <c r="CI995" i="48" s="1"/>
  <c r="CJ995" i="48" s="1"/>
  <c r="CH1022" i="48"/>
  <c r="CI1022" i="48" s="1"/>
  <c r="CJ1022" i="48" s="1"/>
  <c r="CH1016" i="48"/>
  <c r="CI1016" i="48" s="1"/>
  <c r="CJ1016" i="48" s="1"/>
  <c r="CH1020" i="48"/>
  <c r="CI1020" i="48" s="1"/>
  <c r="CJ1020" i="48" s="1"/>
  <c r="CH1031" i="48"/>
  <c r="CI1031" i="48" s="1"/>
  <c r="CJ1031" i="48" s="1"/>
  <c r="CH1033" i="48"/>
  <c r="CI1033" i="48" s="1"/>
  <c r="CJ1033" i="48" s="1"/>
  <c r="CH1037" i="48"/>
  <c r="CI1037" i="48" s="1"/>
  <c r="CJ1037" i="48" s="1"/>
  <c r="CH1021" i="48"/>
  <c r="CI1021" i="48" s="1"/>
  <c r="CJ1021" i="48" s="1"/>
  <c r="CH1041" i="48"/>
  <c r="CI1041" i="48" s="1"/>
  <c r="CJ1041" i="48" s="1"/>
  <c r="CH1030" i="48"/>
  <c r="CI1030" i="48" s="1"/>
  <c r="CJ1030" i="48" s="1"/>
  <c r="CH1045" i="48"/>
  <c r="CI1045" i="48" s="1"/>
  <c r="CJ1045" i="48" s="1"/>
  <c r="CH1023" i="48"/>
  <c r="CI1023" i="48" s="1"/>
  <c r="CJ1023" i="48" s="1"/>
  <c r="CH1029" i="48"/>
  <c r="CI1029" i="48" s="1"/>
  <c r="CJ1029" i="48" s="1"/>
  <c r="CH1035" i="48"/>
  <c r="CI1035" i="48" s="1"/>
  <c r="CJ1035" i="48" s="1"/>
  <c r="CH1039" i="48"/>
  <c r="CI1039" i="48" s="1"/>
  <c r="CJ1039" i="48" s="1"/>
  <c r="CH1043" i="48"/>
  <c r="CI1043" i="48" s="1"/>
  <c r="CJ1043" i="48" s="1"/>
  <c r="CH1047" i="48"/>
  <c r="CI1047" i="48" s="1"/>
  <c r="CJ1047" i="48" s="1"/>
  <c r="CH1055" i="48"/>
  <c r="CI1055" i="48" s="1"/>
  <c r="CJ1055" i="48" s="1"/>
  <c r="CH1059" i="48"/>
  <c r="CI1059" i="48" s="1"/>
  <c r="CJ1059" i="48" s="1"/>
  <c r="CH1063" i="48"/>
  <c r="CI1063" i="48" s="1"/>
  <c r="CJ1063" i="48" s="1"/>
  <c r="CH1067" i="48"/>
  <c r="CI1067" i="48" s="1"/>
  <c r="CJ1067" i="48" s="1"/>
  <c r="CH1071" i="48"/>
  <c r="CI1071" i="48" s="1"/>
  <c r="CJ1071" i="48" s="1"/>
  <c r="CH1085" i="48"/>
  <c r="CI1085" i="48" s="1"/>
  <c r="CJ1085" i="48" s="1"/>
  <c r="CH1118" i="48"/>
  <c r="CI1118" i="48" s="1"/>
  <c r="CJ1118" i="48" s="1"/>
  <c r="CH1092" i="48"/>
  <c r="CI1092" i="48" s="1"/>
  <c r="CJ1092" i="48" s="1"/>
  <c r="CH1114" i="48"/>
  <c r="CI1114" i="48" s="1"/>
  <c r="CJ1114" i="48" s="1"/>
  <c r="CH1032" i="48"/>
  <c r="CI1032" i="48" s="1"/>
  <c r="CJ1032" i="48" s="1"/>
  <c r="CH1036" i="48"/>
  <c r="CI1036" i="48" s="1"/>
  <c r="CJ1036" i="48" s="1"/>
  <c r="CH1040" i="48"/>
  <c r="CI1040" i="48" s="1"/>
  <c r="CJ1040" i="48" s="1"/>
  <c r="CH1044" i="48"/>
  <c r="CI1044" i="48" s="1"/>
  <c r="CJ1044" i="48" s="1"/>
  <c r="CH1048" i="48"/>
  <c r="CI1048" i="48" s="1"/>
  <c r="CJ1048" i="48" s="1"/>
  <c r="CH1056" i="48"/>
  <c r="CI1056" i="48" s="1"/>
  <c r="CJ1056" i="48" s="1"/>
  <c r="CH1060" i="48"/>
  <c r="CI1060" i="48" s="1"/>
  <c r="CJ1060" i="48" s="1"/>
  <c r="CH1064" i="48"/>
  <c r="CI1064" i="48" s="1"/>
  <c r="CJ1064" i="48" s="1"/>
  <c r="CH1068" i="48"/>
  <c r="CI1068" i="48" s="1"/>
  <c r="CJ1068" i="48" s="1"/>
  <c r="CH1072" i="48"/>
  <c r="CI1072" i="48" s="1"/>
  <c r="CJ1072" i="48" s="1"/>
  <c r="CH1080" i="48"/>
  <c r="CI1080" i="48" s="1"/>
  <c r="CJ1080" i="48" s="1"/>
  <c r="CH1087" i="48"/>
  <c r="CI1087" i="48" s="1"/>
  <c r="CJ1087" i="48" s="1"/>
  <c r="CH1110" i="48"/>
  <c r="CI1110" i="48" s="1"/>
  <c r="CJ1110" i="48" s="1"/>
  <c r="CH1084" i="48"/>
  <c r="CI1084" i="48" s="1"/>
  <c r="CJ1084" i="48" s="1"/>
  <c r="CH1098" i="48"/>
  <c r="CI1098" i="48" s="1"/>
  <c r="CJ1098" i="48" s="1"/>
  <c r="CH1106" i="48"/>
  <c r="CI1106" i="48" s="1"/>
  <c r="CJ1106" i="48" s="1"/>
  <c r="CH1057" i="48"/>
  <c r="CI1057" i="48" s="1"/>
  <c r="CJ1057" i="48" s="1"/>
  <c r="CH1061" i="48"/>
  <c r="CI1061" i="48" s="1"/>
  <c r="CJ1061" i="48" s="1"/>
  <c r="CH1065" i="48"/>
  <c r="CI1065" i="48" s="1"/>
  <c r="CJ1065" i="48" s="1"/>
  <c r="CH1069" i="48"/>
  <c r="CI1069" i="48" s="1"/>
  <c r="CJ1069" i="48" s="1"/>
  <c r="CH1073" i="48"/>
  <c r="CI1073" i="48" s="1"/>
  <c r="CJ1073" i="48" s="1"/>
  <c r="CH1081" i="48"/>
  <c r="CI1081" i="48" s="1"/>
  <c r="CJ1081" i="48" s="1"/>
  <c r="CH1089" i="48"/>
  <c r="CI1089" i="48" s="1"/>
  <c r="CJ1089" i="48" s="1"/>
  <c r="CH1096" i="48"/>
  <c r="CI1096" i="48" s="1"/>
  <c r="CJ1096" i="48" s="1"/>
  <c r="CH1034" i="48"/>
  <c r="CI1034" i="48" s="1"/>
  <c r="CJ1034" i="48" s="1"/>
  <c r="CH1038" i="48"/>
  <c r="CI1038" i="48" s="1"/>
  <c r="CJ1038" i="48" s="1"/>
  <c r="CH1042" i="48"/>
  <c r="CI1042" i="48" s="1"/>
  <c r="CJ1042" i="48" s="1"/>
  <c r="CH1046" i="48"/>
  <c r="CI1046" i="48" s="1"/>
  <c r="CJ1046" i="48" s="1"/>
  <c r="CH1054" i="48"/>
  <c r="CI1054" i="48" s="1"/>
  <c r="CJ1054" i="48" s="1"/>
  <c r="CH1058" i="48"/>
  <c r="CI1058" i="48" s="1"/>
  <c r="CJ1058" i="48" s="1"/>
  <c r="CH1062" i="48"/>
  <c r="CI1062" i="48" s="1"/>
  <c r="CJ1062" i="48" s="1"/>
  <c r="CH1066" i="48"/>
  <c r="CI1066" i="48" s="1"/>
  <c r="CJ1066" i="48" s="1"/>
  <c r="CH1070" i="48"/>
  <c r="CI1070" i="48" s="1"/>
  <c r="CJ1070" i="48" s="1"/>
  <c r="CH1082" i="48"/>
  <c r="CI1082" i="48" s="1"/>
  <c r="CJ1082" i="48" s="1"/>
  <c r="CH1083" i="48"/>
  <c r="CI1083" i="48" s="1"/>
  <c r="CJ1083" i="48" s="1"/>
  <c r="CH1091" i="48"/>
  <c r="CI1091" i="48" s="1"/>
  <c r="CJ1091" i="48" s="1"/>
  <c r="CH1104" i="48"/>
  <c r="CI1104" i="48" s="1"/>
  <c r="CJ1104" i="48" s="1"/>
  <c r="CH1108" i="48"/>
  <c r="CI1108" i="48" s="1"/>
  <c r="CJ1108" i="48" s="1"/>
  <c r="CH1112" i="48"/>
  <c r="CI1112" i="48" s="1"/>
  <c r="CJ1112" i="48" s="1"/>
  <c r="CH1116" i="48"/>
  <c r="CI1116" i="48" s="1"/>
  <c r="CJ1116" i="48" s="1"/>
  <c r="CH1120" i="48"/>
  <c r="CI1120" i="48" s="1"/>
  <c r="CJ1120" i="48" s="1"/>
  <c r="CH1122" i="48"/>
  <c r="CI1122" i="48" s="1"/>
  <c r="CJ1122" i="48" s="1"/>
  <c r="CH1130" i="48"/>
  <c r="CI1130" i="48" s="1"/>
  <c r="CJ1130" i="48" s="1"/>
  <c r="CH1134" i="48"/>
  <c r="CI1134" i="48" s="1"/>
  <c r="CJ1134" i="48" s="1"/>
  <c r="CH1138" i="48"/>
  <c r="CI1138" i="48" s="1"/>
  <c r="CJ1138" i="48" s="1"/>
  <c r="CH1142" i="48"/>
  <c r="CI1142" i="48" s="1"/>
  <c r="CJ1142" i="48" s="1"/>
  <c r="CH1146" i="48"/>
  <c r="CI1146" i="48" s="1"/>
  <c r="CJ1146" i="48" s="1"/>
  <c r="CH1154" i="48"/>
  <c r="CI1154" i="48" s="1"/>
  <c r="CJ1154" i="48" s="1"/>
  <c r="CH1158" i="48"/>
  <c r="CI1158" i="48" s="1"/>
  <c r="CJ1158" i="48" s="1"/>
  <c r="CH1162" i="48"/>
  <c r="CI1162" i="48" s="1"/>
  <c r="CJ1162" i="48" s="1"/>
  <c r="CH1166" i="48"/>
  <c r="CI1166" i="48" s="1"/>
  <c r="CJ1166" i="48" s="1"/>
  <c r="CH1170" i="48"/>
  <c r="CI1170" i="48" s="1"/>
  <c r="CJ1170" i="48" s="1"/>
  <c r="CH1186" i="48"/>
  <c r="CI1186" i="48" s="1"/>
  <c r="CJ1186" i="48" s="1"/>
  <c r="CH1131" i="48"/>
  <c r="CI1131" i="48" s="1"/>
  <c r="CJ1131" i="48" s="1"/>
  <c r="CH1135" i="48"/>
  <c r="CI1135" i="48" s="1"/>
  <c r="CJ1135" i="48" s="1"/>
  <c r="CH1139" i="48"/>
  <c r="CI1139" i="48" s="1"/>
  <c r="CJ1139" i="48" s="1"/>
  <c r="CH1143" i="48"/>
  <c r="CI1143" i="48" s="1"/>
  <c r="CJ1143" i="48" s="1"/>
  <c r="CH1147" i="48"/>
  <c r="CI1147" i="48" s="1"/>
  <c r="CJ1147" i="48" s="1"/>
  <c r="CH1155" i="48"/>
  <c r="CI1155" i="48" s="1"/>
  <c r="CJ1155" i="48" s="1"/>
  <c r="CH1159" i="48"/>
  <c r="CI1159" i="48" s="1"/>
  <c r="CJ1159" i="48" s="1"/>
  <c r="CH1163" i="48"/>
  <c r="CI1163" i="48" s="1"/>
  <c r="CJ1163" i="48" s="1"/>
  <c r="CH1167" i="48"/>
  <c r="CI1167" i="48" s="1"/>
  <c r="CJ1167" i="48" s="1"/>
  <c r="CH1171" i="48"/>
  <c r="CI1171" i="48" s="1"/>
  <c r="CJ1171" i="48" s="1"/>
  <c r="CH1179" i="48"/>
  <c r="CI1179" i="48" s="1"/>
  <c r="CJ1179" i="48" s="1"/>
  <c r="CH1185" i="48"/>
  <c r="CI1185" i="48" s="1"/>
  <c r="CJ1185" i="48" s="1"/>
  <c r="CH1181" i="48"/>
  <c r="CI1181" i="48" s="1"/>
  <c r="CJ1181" i="48" s="1"/>
  <c r="CH1182" i="48"/>
  <c r="CI1182" i="48" s="1"/>
  <c r="CJ1182" i="48" s="1"/>
  <c r="CH1183" i="48"/>
  <c r="CI1183" i="48" s="1"/>
  <c r="CJ1183" i="48" s="1"/>
  <c r="CH1184" i="48"/>
  <c r="CI1184" i="48" s="1"/>
  <c r="CJ1184" i="48" s="1"/>
  <c r="CH1187" i="48"/>
  <c r="CI1187" i="48" s="1"/>
  <c r="CJ1187" i="48" s="1"/>
  <c r="CH1191" i="48"/>
  <c r="CI1191" i="48" s="1"/>
  <c r="CJ1191" i="48" s="1"/>
  <c r="CH1195" i="48"/>
  <c r="CI1195" i="48" s="1"/>
  <c r="CJ1195" i="48" s="1"/>
  <c r="CH1207" i="48"/>
  <c r="CI1207" i="48" s="1"/>
  <c r="CJ1207" i="48" s="1"/>
  <c r="CH1210" i="48"/>
  <c r="CI1210" i="48" s="1"/>
  <c r="CJ1210" i="48" s="1"/>
  <c r="CH1216" i="48"/>
  <c r="CI1216" i="48" s="1"/>
  <c r="CJ1216" i="48" s="1"/>
  <c r="CH1219" i="48"/>
  <c r="CI1219" i="48" s="1"/>
  <c r="CJ1219" i="48" s="1"/>
  <c r="CH1188" i="48"/>
  <c r="CI1188" i="48" s="1"/>
  <c r="CJ1188" i="48" s="1"/>
  <c r="CH1192" i="48"/>
  <c r="CI1192" i="48" s="1"/>
  <c r="CJ1192" i="48" s="1"/>
  <c r="CH1196" i="48"/>
  <c r="CI1196" i="48" s="1"/>
  <c r="CJ1196" i="48" s="1"/>
  <c r="CH1204" i="48"/>
  <c r="CI1204" i="48" s="1"/>
  <c r="CH1208" i="48"/>
  <c r="CI1208" i="48" s="1"/>
  <c r="CJ1208" i="48" s="1"/>
  <c r="CH1212" i="48"/>
  <c r="CI1212" i="48" s="1"/>
  <c r="CJ1212" i="48" s="1"/>
  <c r="CH1213" i="48"/>
  <c r="CI1213" i="48" s="1"/>
  <c r="CJ1213" i="48" s="1"/>
  <c r="CH1209" i="48"/>
  <c r="CI1209" i="48" s="1"/>
  <c r="CJ1209" i="48" s="1"/>
  <c r="CH1217" i="48"/>
  <c r="CI1217" i="48" s="1"/>
  <c r="CJ1217" i="48" s="1"/>
  <c r="CH1189" i="48"/>
  <c r="CI1189" i="48" s="1"/>
  <c r="CJ1189" i="48" s="1"/>
  <c r="CH1193" i="48"/>
  <c r="CI1193" i="48" s="1"/>
  <c r="CJ1193" i="48" s="1"/>
  <c r="CH1197" i="48"/>
  <c r="CI1197" i="48" s="1"/>
  <c r="CJ1197" i="48" s="1"/>
  <c r="CH1205" i="48"/>
  <c r="CI1205" i="48" s="1"/>
  <c r="CJ1205" i="48" s="1"/>
  <c r="CH1211" i="48"/>
  <c r="CI1211" i="48" s="1"/>
  <c r="CJ1211" i="48" s="1"/>
  <c r="CH1190" i="48"/>
  <c r="CI1190" i="48" s="1"/>
  <c r="CJ1190" i="48" s="1"/>
  <c r="CH1194" i="48"/>
  <c r="CI1194" i="48" s="1"/>
  <c r="CJ1194" i="48" s="1"/>
  <c r="CH1198" i="48"/>
  <c r="CI1198" i="48" s="1"/>
  <c r="CJ1198" i="48" s="1"/>
  <c r="CH1221" i="48"/>
  <c r="CI1221" i="48" s="1"/>
  <c r="CJ1221" i="48" s="1"/>
  <c r="CH1223" i="48"/>
  <c r="CI1223" i="48" s="1"/>
  <c r="CJ1223" i="48" s="1"/>
  <c r="CH1257" i="48"/>
  <c r="CI1257" i="48" s="1"/>
  <c r="CJ1257" i="48" s="1"/>
  <c r="CH1244" i="48"/>
  <c r="CI1244" i="48" s="1"/>
  <c r="CJ1244" i="48" s="1"/>
  <c r="CH1248" i="48"/>
  <c r="CI1248" i="48" s="1"/>
  <c r="CJ1248" i="48" s="1"/>
  <c r="CH1239" i="48"/>
  <c r="CI1239" i="48" s="1"/>
  <c r="CJ1239" i="48" s="1"/>
  <c r="CH1240" i="48"/>
  <c r="CI1240" i="48" s="1"/>
  <c r="CJ1240" i="48" s="1"/>
  <c r="CH1286" i="48"/>
  <c r="CI1286" i="48" s="1"/>
  <c r="CJ1286" i="48" s="1"/>
  <c r="CH1232" i="48"/>
  <c r="CI1232" i="48" s="1"/>
  <c r="CJ1232" i="48" s="1"/>
  <c r="CH1236" i="48"/>
  <c r="CI1236" i="48" s="1"/>
  <c r="CJ1236" i="48" s="1"/>
  <c r="CH1254" i="48"/>
  <c r="CI1254" i="48" s="1"/>
  <c r="CH1256" i="48"/>
  <c r="CI1256" i="48" s="1"/>
  <c r="CJ1256" i="48" s="1"/>
  <c r="CH1283" i="48"/>
  <c r="CI1283" i="48" s="1"/>
  <c r="CJ1283" i="48" s="1"/>
  <c r="CH1247" i="48"/>
  <c r="CI1247" i="48" s="1"/>
  <c r="CJ1247" i="48" s="1"/>
  <c r="CH1273" i="48"/>
  <c r="CI1273" i="48" s="1"/>
  <c r="CJ1273" i="48" s="1"/>
  <c r="CH1229" i="48"/>
  <c r="CI1229" i="48" s="1"/>
  <c r="CJ1229" i="48" s="1"/>
  <c r="CH1233" i="48"/>
  <c r="CI1233" i="48" s="1"/>
  <c r="CJ1233" i="48" s="1"/>
  <c r="CH1237" i="48"/>
  <c r="CI1237" i="48" s="1"/>
  <c r="CJ1237" i="48" s="1"/>
  <c r="CH1241" i="48"/>
  <c r="CI1241" i="48" s="1"/>
  <c r="CJ1241" i="48" s="1"/>
  <c r="CH1261" i="48"/>
  <c r="CI1261" i="48" s="1"/>
  <c r="CJ1261" i="48" s="1"/>
  <c r="CH1269" i="48"/>
  <c r="CI1269" i="48" s="1"/>
  <c r="CJ1269" i="48" s="1"/>
  <c r="CH1265" i="48"/>
  <c r="CI1265" i="48" s="1"/>
  <c r="CJ1265" i="48" s="1"/>
  <c r="CH1295" i="48"/>
  <c r="CI1295" i="48" s="1"/>
  <c r="CJ1295" i="48" s="1"/>
  <c r="CH1291" i="48"/>
  <c r="CI1291" i="48" s="1"/>
  <c r="CJ1291" i="48" s="1"/>
  <c r="CH1258" i="48"/>
  <c r="CI1258" i="48" s="1"/>
  <c r="CJ1258" i="48" s="1"/>
  <c r="CH1262" i="48"/>
  <c r="CI1262" i="48" s="1"/>
  <c r="CJ1262" i="48" s="1"/>
  <c r="CH1266" i="48"/>
  <c r="CI1266" i="48" s="1"/>
  <c r="CJ1266" i="48" s="1"/>
  <c r="CH1270" i="48"/>
  <c r="CI1270" i="48" s="1"/>
  <c r="CJ1270" i="48" s="1"/>
  <c r="CH1287" i="48"/>
  <c r="CI1287" i="48" s="1"/>
  <c r="CJ1287" i="48" s="1"/>
  <c r="CH1279" i="48"/>
  <c r="CI1279" i="48" s="1"/>
  <c r="CJ1279" i="48" s="1"/>
  <c r="CH1313" i="48"/>
  <c r="CI1313" i="48" s="1"/>
  <c r="CJ1313" i="48" s="1"/>
  <c r="CH1308" i="48"/>
  <c r="CI1308" i="48" s="1"/>
  <c r="CJ1308" i="48" s="1"/>
  <c r="CH1312" i="48"/>
  <c r="CI1312" i="48" s="1"/>
  <c r="CJ1312" i="48" s="1"/>
  <c r="CH1320" i="48"/>
  <c r="CI1320" i="48" s="1"/>
  <c r="CJ1320" i="48" s="1"/>
  <c r="CH1280" i="48"/>
  <c r="CI1280" i="48" s="1"/>
  <c r="CJ1280" i="48" s="1"/>
  <c r="CH1284" i="48"/>
  <c r="CI1284" i="48" s="1"/>
  <c r="CJ1284" i="48" s="1"/>
  <c r="CH1288" i="48"/>
  <c r="CI1288" i="48" s="1"/>
  <c r="CJ1288" i="48" s="1"/>
  <c r="CH1292" i="48"/>
  <c r="CI1292" i="48" s="1"/>
  <c r="CJ1292" i="48" s="1"/>
  <c r="CH1296" i="48"/>
  <c r="CI1296" i="48" s="1"/>
  <c r="CJ1296" i="48" s="1"/>
  <c r="CH1304" i="48"/>
  <c r="CI1304" i="48" s="1"/>
  <c r="CJ1304" i="48" s="1"/>
  <c r="CH1316" i="48"/>
  <c r="CI1316" i="48" s="1"/>
  <c r="CJ1316" i="48" s="1"/>
  <c r="CH1307" i="48"/>
  <c r="CI1307" i="48" s="1"/>
  <c r="CJ1307" i="48" s="1"/>
  <c r="CH1290" i="48"/>
  <c r="CI1290" i="48" s="1"/>
  <c r="CJ1290" i="48" s="1"/>
  <c r="CH1294" i="48"/>
  <c r="CI1294" i="48" s="1"/>
  <c r="CJ1294" i="48" s="1"/>
  <c r="CH1298" i="48"/>
  <c r="CI1298" i="48" s="1"/>
  <c r="CJ1298" i="48" s="1"/>
  <c r="CH1346" i="48"/>
  <c r="CI1346" i="48" s="1"/>
  <c r="CJ1346" i="48" s="1"/>
  <c r="CH1317" i="48"/>
  <c r="CI1317" i="48" s="1"/>
  <c r="CJ1317" i="48" s="1"/>
  <c r="CH1321" i="48"/>
  <c r="CI1321" i="48" s="1"/>
  <c r="CJ1321" i="48" s="1"/>
  <c r="CH1330" i="48"/>
  <c r="CI1330" i="48" s="1"/>
  <c r="CJ1330" i="48" s="1"/>
  <c r="CH1334" i="48"/>
  <c r="CI1334" i="48" s="1"/>
  <c r="CJ1334" i="48" s="1"/>
  <c r="CH1338" i="48"/>
  <c r="CI1338" i="48" s="1"/>
  <c r="CJ1338" i="48" s="1"/>
  <c r="CH1342" i="48"/>
  <c r="CI1342" i="48" s="1"/>
  <c r="CJ1342" i="48" s="1"/>
  <c r="CH1331" i="48"/>
  <c r="CI1331" i="48" s="1"/>
  <c r="CJ1331" i="48" s="1"/>
  <c r="CH1335" i="48"/>
  <c r="CI1335" i="48" s="1"/>
  <c r="CJ1335" i="48" s="1"/>
  <c r="CH1347" i="48"/>
  <c r="CI1347" i="48" s="1"/>
  <c r="CJ1347" i="48" s="1"/>
  <c r="CH1332" i="48"/>
  <c r="CI1332" i="48" s="1"/>
  <c r="CJ1332" i="48" s="1"/>
  <c r="CH1336" i="48"/>
  <c r="CI1336" i="48" s="1"/>
  <c r="CJ1336" i="48" s="1"/>
  <c r="CH1340" i="48"/>
  <c r="CI1340" i="48" s="1"/>
  <c r="CJ1340" i="48" s="1"/>
  <c r="CH1344" i="48"/>
  <c r="CI1344" i="48" s="1"/>
  <c r="CJ1344" i="48" s="1"/>
  <c r="CH1348" i="48"/>
  <c r="CI1348" i="48" s="1"/>
  <c r="CJ1348" i="48" s="1"/>
  <c r="CL4" i="48" l="1"/>
  <c r="CL1131" i="48"/>
  <c r="CL852" i="48"/>
  <c r="CL26" i="48"/>
  <c r="CL24" i="48"/>
  <c r="CL5" i="48"/>
  <c r="CL952" i="48"/>
  <c r="CL1152" i="48"/>
  <c r="CL377" i="48"/>
  <c r="CL124" i="48"/>
  <c r="CL1137" i="48"/>
  <c r="CL1147" i="48"/>
  <c r="CL1002" i="48"/>
  <c r="CL452" i="48"/>
  <c r="CL327" i="48"/>
  <c r="AC5" i="48"/>
  <c r="CL1130" i="48"/>
  <c r="CL25" i="48"/>
  <c r="CL931" i="48"/>
  <c r="CL1352" i="48"/>
  <c r="CL1151" i="48"/>
  <c r="CL947" i="48"/>
  <c r="CL362" i="48"/>
  <c r="CL22" i="48"/>
  <c r="CL358" i="48"/>
  <c r="CL1330" i="48"/>
  <c r="CL1346" i="48"/>
  <c r="CL1335" i="48"/>
  <c r="CL1351" i="48"/>
  <c r="CL1340" i="48"/>
  <c r="CL1333" i="48"/>
  <c r="CL1334" i="48"/>
  <c r="CL1350" i="48"/>
  <c r="CL1339" i="48"/>
  <c r="CL1345" i="48"/>
  <c r="CL1344" i="48"/>
  <c r="CL1337" i="48"/>
  <c r="CL1338" i="48"/>
  <c r="CL1341" i="48"/>
  <c r="CL1343" i="48"/>
  <c r="CL1332" i="48"/>
  <c r="CL1348" i="48"/>
  <c r="CL1349" i="48"/>
  <c r="CL1342" i="48"/>
  <c r="CL1331" i="48"/>
  <c r="CL1347" i="48"/>
  <c r="CL1336" i="48"/>
  <c r="CL1327" i="48"/>
  <c r="CL1323" i="48"/>
  <c r="CL1319" i="48"/>
  <c r="CL1315" i="48"/>
  <c r="CL1311" i="48"/>
  <c r="CL1307" i="48"/>
  <c r="CL1324" i="48"/>
  <c r="CL1316" i="48"/>
  <c r="CL1308" i="48"/>
  <c r="CL1304" i="48"/>
  <c r="AC1305" i="48" s="1"/>
  <c r="CL1326" i="48"/>
  <c r="CL1322" i="48"/>
  <c r="CL1318" i="48"/>
  <c r="CL1314" i="48"/>
  <c r="CL1310" i="48"/>
  <c r="CL1306" i="48"/>
  <c r="CL1325" i="48"/>
  <c r="CL1321" i="48"/>
  <c r="CL1317" i="48"/>
  <c r="CL1313" i="48"/>
  <c r="CL1309" i="48"/>
  <c r="CL1305" i="48"/>
  <c r="CL1320" i="48"/>
  <c r="CL1312" i="48"/>
  <c r="CL1302" i="48"/>
  <c r="CL1298" i="48"/>
  <c r="CL1294" i="48"/>
  <c r="CL1290" i="48"/>
  <c r="CL1286" i="48"/>
  <c r="CL1282" i="48"/>
  <c r="CL1301" i="48"/>
  <c r="CL1297" i="48"/>
  <c r="CL1293" i="48"/>
  <c r="CL1289" i="48"/>
  <c r="CL1285" i="48"/>
  <c r="CL1281" i="48"/>
  <c r="CL1279" i="48"/>
  <c r="AC1280" i="48" s="1"/>
  <c r="CL1300" i="48"/>
  <c r="CL1296" i="48"/>
  <c r="CL1292" i="48"/>
  <c r="CL1288" i="48"/>
  <c r="CL1284" i="48"/>
  <c r="CL1280" i="48"/>
  <c r="CL1299" i="48"/>
  <c r="CL1295" i="48"/>
  <c r="CL1291" i="48"/>
  <c r="CL1287" i="48"/>
  <c r="CL1283" i="48"/>
  <c r="CL1277" i="48"/>
  <c r="CL1273" i="48"/>
  <c r="CL1269" i="48"/>
  <c r="CL1265" i="48"/>
  <c r="CL1261" i="48"/>
  <c r="CL1257" i="48"/>
  <c r="CL1274" i="48"/>
  <c r="CL1258" i="48"/>
  <c r="CL1254" i="48"/>
  <c r="AC1255" i="48" s="1"/>
  <c r="CL1276" i="48"/>
  <c r="CL1272" i="48"/>
  <c r="CL1268" i="48"/>
  <c r="CL1264" i="48"/>
  <c r="CL1260" i="48"/>
  <c r="CL1256" i="48"/>
  <c r="CL1270" i="48"/>
  <c r="CL1262" i="48"/>
  <c r="CL1275" i="48"/>
  <c r="CL1271" i="48"/>
  <c r="CL1267" i="48"/>
  <c r="CL1263" i="48"/>
  <c r="CL1259" i="48"/>
  <c r="CL1255" i="48"/>
  <c r="CL1266" i="48"/>
  <c r="CL1252" i="48"/>
  <c r="CL1248" i="48"/>
  <c r="CL1244" i="48"/>
  <c r="CL1240" i="48"/>
  <c r="CL1236" i="48"/>
  <c r="CL1232" i="48"/>
  <c r="CL1251" i="48"/>
  <c r="CL1247" i="48"/>
  <c r="CL1243" i="48"/>
  <c r="CL1239" i="48"/>
  <c r="CL1235" i="48"/>
  <c r="CL1231" i="48"/>
  <c r="CL1250" i="48"/>
  <c r="CL1246" i="48"/>
  <c r="CL1242" i="48"/>
  <c r="CL1238" i="48"/>
  <c r="CL1234" i="48"/>
  <c r="CL1230" i="48"/>
  <c r="CL1249" i="48"/>
  <c r="CL1245" i="48"/>
  <c r="CL1241" i="48"/>
  <c r="CL1237" i="48"/>
  <c r="CL1233" i="48"/>
  <c r="CL1229" i="48"/>
  <c r="AC1230" i="48" s="1"/>
  <c r="CL1226" i="48"/>
  <c r="CL1222" i="48"/>
  <c r="CL1218" i="48"/>
  <c r="CL1214" i="48"/>
  <c r="CL1210" i="48"/>
  <c r="CL1206" i="48"/>
  <c r="CL1219" i="48"/>
  <c r="CL1225" i="48"/>
  <c r="CL1221" i="48"/>
  <c r="CL1217" i="48"/>
  <c r="CL1213" i="48"/>
  <c r="CL1209" i="48"/>
  <c r="CL1205" i="48"/>
  <c r="CL1223" i="48"/>
  <c r="CL1211" i="48"/>
  <c r="CL1207" i="48"/>
  <c r="CL1224" i="48"/>
  <c r="CL1220" i="48"/>
  <c r="CL1216" i="48"/>
  <c r="CL1212" i="48"/>
  <c r="CL1208" i="48"/>
  <c r="CL1204" i="48"/>
  <c r="AC1205" i="48" s="1"/>
  <c r="CL1215" i="48"/>
  <c r="CL1227" i="48"/>
  <c r="CL1202" i="48"/>
  <c r="CL1198" i="48"/>
  <c r="CL1194" i="48"/>
  <c r="CL1190" i="48"/>
  <c r="CL1186" i="48"/>
  <c r="CL1182" i="48"/>
  <c r="CL1201" i="48"/>
  <c r="CL1197" i="48"/>
  <c r="CL1193" i="48"/>
  <c r="CL1189" i="48"/>
  <c r="CL1185" i="48"/>
  <c r="CL1181" i="48"/>
  <c r="CL1200" i="48"/>
  <c r="CL1196" i="48"/>
  <c r="CL1192" i="48"/>
  <c r="CL1188" i="48"/>
  <c r="CL1184" i="48"/>
  <c r="CL1180" i="48"/>
  <c r="CL1199" i="48"/>
  <c r="CL1195" i="48"/>
  <c r="CL1191" i="48"/>
  <c r="CL1187" i="48"/>
  <c r="CL1183" i="48"/>
  <c r="CL1179" i="48"/>
  <c r="AC1180" i="48" s="1"/>
  <c r="CL1177" i="48"/>
  <c r="CL1173" i="48"/>
  <c r="CL1169" i="48"/>
  <c r="CL1165" i="48"/>
  <c r="CL1161" i="48"/>
  <c r="CL1157" i="48"/>
  <c r="CL1174" i="48"/>
  <c r="CL1162" i="48"/>
  <c r="CL1158" i="48"/>
  <c r="CL1176" i="48"/>
  <c r="CL1172" i="48"/>
  <c r="CL1168" i="48"/>
  <c r="CL1164" i="48"/>
  <c r="CL1160" i="48"/>
  <c r="CL1156" i="48"/>
  <c r="CL1175" i="48"/>
  <c r="CL1171" i="48"/>
  <c r="CL1167" i="48"/>
  <c r="CL1163" i="48"/>
  <c r="CL1159" i="48"/>
  <c r="CL1155" i="48"/>
  <c r="CL1170" i="48"/>
  <c r="CL1166" i="48"/>
  <c r="CL1154" i="48"/>
  <c r="AC1155" i="48" s="1"/>
  <c r="CL1146" i="48"/>
  <c r="CL1140" i="48"/>
  <c r="CL1150" i="48"/>
  <c r="CL1135" i="48"/>
  <c r="CL1144" i="48"/>
  <c r="CL1138" i="48"/>
  <c r="CL1145" i="48"/>
  <c r="CL1139" i="48"/>
  <c r="CL1132" i="48"/>
  <c r="CL1148" i="48"/>
  <c r="CL1134" i="48"/>
  <c r="CL1141" i="48"/>
  <c r="CL1142" i="48"/>
  <c r="CL1133" i="48"/>
  <c r="CL1149" i="48"/>
  <c r="CL1143" i="48"/>
  <c r="CL1136" i="48"/>
  <c r="CL1127" i="48"/>
  <c r="CL1123" i="48"/>
  <c r="CL1119" i="48"/>
  <c r="CL1115" i="48"/>
  <c r="CL1111" i="48"/>
  <c r="CL1107" i="48"/>
  <c r="CL1120" i="48"/>
  <c r="CL1112" i="48"/>
  <c r="CL1104" i="48"/>
  <c r="AC1105" i="48" s="1"/>
  <c r="CL1126" i="48"/>
  <c r="CL1122" i="48"/>
  <c r="CL1118" i="48"/>
  <c r="CL1114" i="48"/>
  <c r="CL1110" i="48"/>
  <c r="CL1106" i="48"/>
  <c r="CL1124" i="48"/>
  <c r="CL1116" i="48"/>
  <c r="CL1108" i="48"/>
  <c r="CL1125" i="48"/>
  <c r="CL1121" i="48"/>
  <c r="CL1117" i="48"/>
  <c r="CL1113" i="48"/>
  <c r="CL1109" i="48"/>
  <c r="CL1105" i="48"/>
  <c r="CL1102" i="48"/>
  <c r="CL1098" i="48"/>
  <c r="CL1094" i="48"/>
  <c r="CL1090" i="48"/>
  <c r="CL1086" i="48"/>
  <c r="CL1082" i="48"/>
  <c r="CL1095" i="48"/>
  <c r="CL1087" i="48"/>
  <c r="CL1079" i="48"/>
  <c r="AC1080" i="48" s="1"/>
  <c r="CL1101" i="48"/>
  <c r="CL1097" i="48"/>
  <c r="CL1093" i="48"/>
  <c r="CL1089" i="48"/>
  <c r="CL1085" i="48"/>
  <c r="CL1081" i="48"/>
  <c r="CL1099" i="48"/>
  <c r="CL1091" i="48"/>
  <c r="CL1083" i="48"/>
  <c r="CL1100" i="48"/>
  <c r="CL1096" i="48"/>
  <c r="CL1092" i="48"/>
  <c r="CL1088" i="48"/>
  <c r="CL1084" i="48"/>
  <c r="CL1080" i="48"/>
  <c r="CL1077" i="48"/>
  <c r="CL1073" i="48"/>
  <c r="CL1069" i="48"/>
  <c r="CL1065" i="48"/>
  <c r="CL1061" i="48"/>
  <c r="CL1057" i="48"/>
  <c r="CL1075" i="48"/>
  <c r="CL1063" i="48"/>
  <c r="CL1055" i="48"/>
  <c r="CL1070" i="48"/>
  <c r="CL1062" i="48"/>
  <c r="CL1054" i="48"/>
  <c r="AC1055" i="48" s="1"/>
  <c r="CL1076" i="48"/>
  <c r="CL1072" i="48"/>
  <c r="CL1068" i="48"/>
  <c r="CL1064" i="48"/>
  <c r="CL1060" i="48"/>
  <c r="CL1056" i="48"/>
  <c r="CL1071" i="48"/>
  <c r="CL1067" i="48"/>
  <c r="CL1059" i="48"/>
  <c r="CL1074" i="48"/>
  <c r="CL1066" i="48"/>
  <c r="CL1058" i="48"/>
  <c r="CL1052" i="48"/>
  <c r="CL1048" i="48"/>
  <c r="CL1044" i="48"/>
  <c r="CL1040" i="48"/>
  <c r="CL1036" i="48"/>
  <c r="CL1032" i="48"/>
  <c r="CL1050" i="48"/>
  <c r="CL1046" i="48"/>
  <c r="CL1042" i="48"/>
  <c r="CL1038" i="48"/>
  <c r="CL1034" i="48"/>
  <c r="CL1030" i="48"/>
  <c r="CL1033" i="48"/>
  <c r="CL1051" i="48"/>
  <c r="CL1047" i="48"/>
  <c r="CL1043" i="48"/>
  <c r="CL1039" i="48"/>
  <c r="CL1035" i="48"/>
  <c r="CL1031" i="48"/>
  <c r="CL1049" i="48"/>
  <c r="CL1045" i="48"/>
  <c r="CL1041" i="48"/>
  <c r="CL1037" i="48"/>
  <c r="CL1029" i="48"/>
  <c r="AC1030" i="48" s="1"/>
  <c r="CL1027" i="48"/>
  <c r="CL1023" i="48"/>
  <c r="CL1019" i="48"/>
  <c r="CL1015" i="48"/>
  <c r="CL1011" i="48"/>
  <c r="CL1007" i="48"/>
  <c r="CL1026" i="48"/>
  <c r="CL1022" i="48"/>
  <c r="CL1018" i="48"/>
  <c r="CL1014" i="48"/>
  <c r="CL1010" i="48"/>
  <c r="CL1006" i="48"/>
  <c r="CL1025" i="48"/>
  <c r="CL1021" i="48"/>
  <c r="CL1017" i="48"/>
  <c r="CL1013" i="48"/>
  <c r="CL1009" i="48"/>
  <c r="CL1005" i="48"/>
  <c r="CL1024" i="48"/>
  <c r="CL1020" i="48"/>
  <c r="CL1016" i="48"/>
  <c r="CL1012" i="48"/>
  <c r="CL1008" i="48"/>
  <c r="CL1004" i="48"/>
  <c r="AC1005" i="48" s="1"/>
  <c r="CL987" i="48"/>
  <c r="CL988" i="48"/>
  <c r="CL981" i="48"/>
  <c r="CL997" i="48"/>
  <c r="CL991" i="48"/>
  <c r="CL990" i="48"/>
  <c r="CL995" i="48"/>
  <c r="CL992" i="48"/>
  <c r="CL985" i="48"/>
  <c r="CL1001" i="48"/>
  <c r="CL999" i="48"/>
  <c r="CL994" i="48"/>
  <c r="CL980" i="48"/>
  <c r="CL996" i="48"/>
  <c r="CL989" i="48"/>
  <c r="CL982" i="48"/>
  <c r="CL998" i="48"/>
  <c r="CL984" i="48"/>
  <c r="CL1000" i="48"/>
  <c r="CL993" i="48"/>
  <c r="CL983" i="48"/>
  <c r="CL986" i="48"/>
  <c r="CL977" i="48"/>
  <c r="CL973" i="48"/>
  <c r="CL969" i="48"/>
  <c r="CL965" i="48"/>
  <c r="CL961" i="48"/>
  <c r="CL957" i="48"/>
  <c r="CL976" i="48"/>
  <c r="CL972" i="48"/>
  <c r="CL968" i="48"/>
  <c r="CL964" i="48"/>
  <c r="CL960" i="48"/>
  <c r="CL956" i="48"/>
  <c r="CL975" i="48"/>
  <c r="CL971" i="48"/>
  <c r="CL967" i="48"/>
  <c r="CL963" i="48"/>
  <c r="CL959" i="48"/>
  <c r="CL955" i="48"/>
  <c r="CL974" i="48"/>
  <c r="CL970" i="48"/>
  <c r="CL966" i="48"/>
  <c r="CL962" i="48"/>
  <c r="CL958" i="48"/>
  <c r="CL954" i="48"/>
  <c r="AC955" i="48" s="1"/>
  <c r="CL938" i="48"/>
  <c r="CL940" i="48"/>
  <c r="CL933" i="48"/>
  <c r="CL949" i="48"/>
  <c r="CL942" i="48"/>
  <c r="CL935" i="48"/>
  <c r="CL951" i="48"/>
  <c r="CL944" i="48"/>
  <c r="CL945" i="48"/>
  <c r="CL937" i="48"/>
  <c r="CL930" i="48"/>
  <c r="CL946" i="48"/>
  <c r="CL939" i="48"/>
  <c r="CL932" i="48"/>
  <c r="CL948" i="48"/>
  <c r="CL941" i="48"/>
  <c r="CL934" i="48"/>
  <c r="CL950" i="48"/>
  <c r="CL943" i="48"/>
  <c r="CL936" i="48"/>
  <c r="CL926" i="48"/>
  <c r="CL922" i="48"/>
  <c r="CL918" i="48"/>
  <c r="CL914" i="48"/>
  <c r="CL910" i="48"/>
  <c r="CL906" i="48"/>
  <c r="CL920" i="48"/>
  <c r="CL912" i="48"/>
  <c r="CL904" i="48"/>
  <c r="AC905" i="48" s="1"/>
  <c r="CL927" i="48"/>
  <c r="CL919" i="48"/>
  <c r="CL907" i="48"/>
  <c r="CL925" i="48"/>
  <c r="CL921" i="48"/>
  <c r="CL917" i="48"/>
  <c r="CL913" i="48"/>
  <c r="CL909" i="48"/>
  <c r="CL905" i="48"/>
  <c r="CL924" i="48"/>
  <c r="CL916" i="48"/>
  <c r="CL908" i="48"/>
  <c r="CL923" i="48"/>
  <c r="CL915" i="48"/>
  <c r="CL911" i="48"/>
  <c r="CL902" i="48"/>
  <c r="CL898" i="48"/>
  <c r="CL894" i="48"/>
  <c r="CL890" i="48"/>
  <c r="CL886" i="48"/>
  <c r="CL882" i="48"/>
  <c r="CL901" i="48"/>
  <c r="CL897" i="48"/>
  <c r="CL893" i="48"/>
  <c r="CL889" i="48"/>
  <c r="CL885" i="48"/>
  <c r="CL881" i="48"/>
  <c r="CL900" i="48"/>
  <c r="CL896" i="48"/>
  <c r="CL892" i="48"/>
  <c r="CL888" i="48"/>
  <c r="CL884" i="48"/>
  <c r="CL880" i="48"/>
  <c r="CL899" i="48"/>
  <c r="CL895" i="48"/>
  <c r="CL891" i="48"/>
  <c r="CL887" i="48"/>
  <c r="CL883" i="48"/>
  <c r="CL879" i="48"/>
  <c r="AC880" i="48" s="1"/>
  <c r="CL877" i="48"/>
  <c r="CL873" i="48"/>
  <c r="CL869" i="48"/>
  <c r="CL865" i="48"/>
  <c r="CL861" i="48"/>
  <c r="CL857" i="48"/>
  <c r="CL876" i="48"/>
  <c r="CL872" i="48"/>
  <c r="CL868" i="48"/>
  <c r="CL864" i="48"/>
  <c r="CL860" i="48"/>
  <c r="CL856" i="48"/>
  <c r="CL874" i="48"/>
  <c r="CL870" i="48"/>
  <c r="CL866" i="48"/>
  <c r="CL862" i="48"/>
  <c r="CL858" i="48"/>
  <c r="CL854" i="48"/>
  <c r="AC855" i="48" s="1"/>
  <c r="CL875" i="48"/>
  <c r="CL871" i="48"/>
  <c r="CL867" i="48"/>
  <c r="CL863" i="48"/>
  <c r="CL859" i="48"/>
  <c r="CL855" i="48"/>
  <c r="CL842" i="48"/>
  <c r="AC843" i="48" s="1"/>
  <c r="CL841" i="48"/>
  <c r="AC842" i="48" s="1"/>
  <c r="CL835" i="48"/>
  <c r="AC836" i="48" s="1"/>
  <c r="CL851" i="48"/>
  <c r="CM852" i="48" s="1"/>
  <c r="CL840" i="48"/>
  <c r="AC841" i="48" s="1"/>
  <c r="CL830" i="48"/>
  <c r="AC831" i="48" s="1"/>
  <c r="CL846" i="48"/>
  <c r="AC847" i="48" s="1"/>
  <c r="CL845" i="48"/>
  <c r="AC846" i="48" s="1"/>
  <c r="CL839" i="48"/>
  <c r="AC840" i="48" s="1"/>
  <c r="CL833" i="48"/>
  <c r="AC834" i="48" s="1"/>
  <c r="CL844" i="48"/>
  <c r="AC845" i="48" s="1"/>
  <c r="CL834" i="48"/>
  <c r="AC835" i="48" s="1"/>
  <c r="CL850" i="48"/>
  <c r="AC851" i="48" s="1"/>
  <c r="CL849" i="48"/>
  <c r="AC850" i="48" s="1"/>
  <c r="CL843" i="48"/>
  <c r="AC844" i="48" s="1"/>
  <c r="CL832" i="48"/>
  <c r="AC833" i="48" s="1"/>
  <c r="CL848" i="48"/>
  <c r="AC849" i="48" s="1"/>
  <c r="CL838" i="48"/>
  <c r="AC839" i="48" s="1"/>
  <c r="CL837" i="48"/>
  <c r="AC838" i="48" s="1"/>
  <c r="CL831" i="48"/>
  <c r="AC832" i="48" s="1"/>
  <c r="CL847" i="48"/>
  <c r="AC848" i="48" s="1"/>
  <c r="CL836" i="48"/>
  <c r="AC837" i="48" s="1"/>
  <c r="CL827" i="48"/>
  <c r="CL823" i="48"/>
  <c r="CL819" i="48"/>
  <c r="CL815" i="48"/>
  <c r="CL811" i="48"/>
  <c r="CL807" i="48"/>
  <c r="CL820" i="48"/>
  <c r="CL808" i="48"/>
  <c r="CL826" i="48"/>
  <c r="CL822" i="48"/>
  <c r="CL818" i="48"/>
  <c r="CL814" i="48"/>
  <c r="CL810" i="48"/>
  <c r="CL806" i="48"/>
  <c r="CL824" i="48"/>
  <c r="CL816" i="48"/>
  <c r="CL804" i="48"/>
  <c r="AC805" i="48" s="1"/>
  <c r="CL825" i="48"/>
  <c r="CL821" i="48"/>
  <c r="CL817" i="48"/>
  <c r="CL813" i="48"/>
  <c r="CL809" i="48"/>
  <c r="CL805" i="48"/>
  <c r="CL812" i="48"/>
  <c r="CL802" i="48"/>
  <c r="CL798" i="48"/>
  <c r="CL794" i="48"/>
  <c r="CL790" i="48"/>
  <c r="CL786" i="48"/>
  <c r="CL782" i="48"/>
  <c r="CL801" i="48"/>
  <c r="CL797" i="48"/>
  <c r="CL793" i="48"/>
  <c r="CL789" i="48"/>
  <c r="CL785" i="48"/>
  <c r="CL781" i="48"/>
  <c r="CL800" i="48"/>
  <c r="CL796" i="48"/>
  <c r="CL792" i="48"/>
  <c r="CL788" i="48"/>
  <c r="CL784" i="48"/>
  <c r="CL780" i="48"/>
  <c r="CL799" i="48"/>
  <c r="CL795" i="48"/>
  <c r="CL791" i="48"/>
  <c r="CL787" i="48"/>
  <c r="CL783" i="48"/>
  <c r="CL779" i="48"/>
  <c r="AC780" i="48" s="1"/>
  <c r="CL777" i="48"/>
  <c r="CL773" i="48"/>
  <c r="CL769" i="48"/>
  <c r="CL765" i="48"/>
  <c r="CL761" i="48"/>
  <c r="CL757" i="48"/>
  <c r="CL776" i="48"/>
  <c r="CL772" i="48"/>
  <c r="CL768" i="48"/>
  <c r="CL764" i="48"/>
  <c r="CL760" i="48"/>
  <c r="CL756" i="48"/>
  <c r="CL775" i="48"/>
  <c r="CL771" i="48"/>
  <c r="CL767" i="48"/>
  <c r="CL763" i="48"/>
  <c r="CL759" i="48"/>
  <c r="CL755" i="48"/>
  <c r="CL774" i="48"/>
  <c r="CL770" i="48"/>
  <c r="CL766" i="48"/>
  <c r="CL762" i="48"/>
  <c r="CL758" i="48"/>
  <c r="CL754" i="48"/>
  <c r="AC755" i="48" s="1"/>
  <c r="CL752" i="48"/>
  <c r="CL748" i="48"/>
  <c r="CL744" i="48"/>
  <c r="CL740" i="48"/>
  <c r="CL736" i="48"/>
  <c r="CL732" i="48"/>
  <c r="CL749" i="48"/>
  <c r="CL741" i="48"/>
  <c r="CL733" i="48"/>
  <c r="CL751" i="48"/>
  <c r="CL747" i="48"/>
  <c r="CL743" i="48"/>
  <c r="CL739" i="48"/>
  <c r="CL735" i="48"/>
  <c r="CL731" i="48"/>
  <c r="CL750" i="48"/>
  <c r="CL746" i="48"/>
  <c r="CL742" i="48"/>
  <c r="CL738" i="48"/>
  <c r="CL734" i="48"/>
  <c r="CL730" i="48"/>
  <c r="CL745" i="48"/>
  <c r="CL737" i="48"/>
  <c r="CL729" i="48"/>
  <c r="AC730" i="48" s="1"/>
  <c r="CL727" i="48"/>
  <c r="CL723" i="48"/>
  <c r="CL719" i="48"/>
  <c r="CL715" i="48"/>
  <c r="CL711" i="48"/>
  <c r="CL707" i="48"/>
  <c r="CL724" i="48"/>
  <c r="CL712" i="48"/>
  <c r="CL704" i="48"/>
  <c r="AC705" i="48" s="1"/>
  <c r="CL726" i="48"/>
  <c r="CL722" i="48"/>
  <c r="CL718" i="48"/>
  <c r="CL714" i="48"/>
  <c r="CL710" i="48"/>
  <c r="CL706" i="48"/>
  <c r="CL720" i="48"/>
  <c r="CL716" i="48"/>
  <c r="CL708" i="48"/>
  <c r="CL725" i="48"/>
  <c r="CL721" i="48"/>
  <c r="CL717" i="48"/>
  <c r="CL713" i="48"/>
  <c r="CL709" i="48"/>
  <c r="CL705" i="48"/>
  <c r="CL702" i="48"/>
  <c r="CL698" i="48"/>
  <c r="CL694" i="48"/>
  <c r="CL690" i="48"/>
  <c r="CL686" i="48"/>
  <c r="CL682" i="48"/>
  <c r="CL700" i="48"/>
  <c r="CL692" i="48"/>
  <c r="CL684" i="48"/>
  <c r="CL695" i="48"/>
  <c r="CL687" i="48"/>
  <c r="CL679" i="48"/>
  <c r="AC680" i="48" s="1"/>
  <c r="CL701" i="48"/>
  <c r="CL697" i="48"/>
  <c r="CL693" i="48"/>
  <c r="CL689" i="48"/>
  <c r="CL685" i="48"/>
  <c r="CL681" i="48"/>
  <c r="CL696" i="48"/>
  <c r="CL688" i="48"/>
  <c r="CL680" i="48"/>
  <c r="CL699" i="48"/>
  <c r="CL691" i="48"/>
  <c r="CL683" i="48"/>
  <c r="CL652" i="48"/>
  <c r="CL648" i="48"/>
  <c r="CL644" i="48"/>
  <c r="CL640" i="48"/>
  <c r="CL636" i="48"/>
  <c r="CL632" i="48"/>
  <c r="CL651" i="48"/>
  <c r="CL647" i="48"/>
  <c r="CL643" i="48"/>
  <c r="CL639" i="48"/>
  <c r="CL635" i="48"/>
  <c r="CL631" i="48"/>
  <c r="CL649" i="48"/>
  <c r="CL637" i="48"/>
  <c r="CL629" i="48"/>
  <c r="AC630" i="48" s="1"/>
  <c r="CL650" i="48"/>
  <c r="CL646" i="48"/>
  <c r="CL642" i="48"/>
  <c r="CL638" i="48"/>
  <c r="CL634" i="48"/>
  <c r="CL630" i="48"/>
  <c r="CL645" i="48"/>
  <c r="CL641" i="48"/>
  <c r="CL633" i="48"/>
  <c r="CL627" i="48"/>
  <c r="CL623" i="48"/>
  <c r="CL619" i="48"/>
  <c r="CL615" i="48"/>
  <c r="CL611" i="48"/>
  <c r="CL607" i="48"/>
  <c r="CL626" i="48"/>
  <c r="CL622" i="48"/>
  <c r="CL618" i="48"/>
  <c r="CL614" i="48"/>
  <c r="CL610" i="48"/>
  <c r="CL606" i="48"/>
  <c r="CL625" i="48"/>
  <c r="CL621" i="48"/>
  <c r="CL617" i="48"/>
  <c r="CL613" i="48"/>
  <c r="CL609" i="48"/>
  <c r="CL605" i="48"/>
  <c r="CL624" i="48"/>
  <c r="CL620" i="48"/>
  <c r="CL616" i="48"/>
  <c r="CL612" i="48"/>
  <c r="CL608" i="48"/>
  <c r="CL604" i="48"/>
  <c r="AC605" i="48" s="1"/>
  <c r="CL602" i="48"/>
  <c r="CL598" i="48"/>
  <c r="CL594" i="48"/>
  <c r="CL590" i="48"/>
  <c r="CL586" i="48"/>
  <c r="CL582" i="48"/>
  <c r="CL595" i="48"/>
  <c r="CL591" i="48"/>
  <c r="CL583" i="48"/>
  <c r="CL601" i="48"/>
  <c r="CL597" i="48"/>
  <c r="CL593" i="48"/>
  <c r="CL589" i="48"/>
  <c r="CL585" i="48"/>
  <c r="CL581" i="48"/>
  <c r="CL599" i="48"/>
  <c r="CL587" i="48"/>
  <c r="CL579" i="48"/>
  <c r="AC580" i="48" s="1"/>
  <c r="CL600" i="48"/>
  <c r="CL596" i="48"/>
  <c r="CL592" i="48"/>
  <c r="CL588" i="48"/>
  <c r="CL584" i="48"/>
  <c r="CL580" i="48"/>
  <c r="CL577" i="48"/>
  <c r="CL573" i="48"/>
  <c r="CL569" i="48"/>
  <c r="CL565" i="48"/>
  <c r="CL561" i="48"/>
  <c r="CL557" i="48"/>
  <c r="CL575" i="48"/>
  <c r="CL571" i="48"/>
  <c r="CL567" i="48"/>
  <c r="CL563" i="48"/>
  <c r="CL559" i="48"/>
  <c r="CL555" i="48"/>
  <c r="CL574" i="48"/>
  <c r="CL570" i="48"/>
  <c r="CL566" i="48"/>
  <c r="CL558" i="48"/>
  <c r="CL554" i="48"/>
  <c r="AC555" i="48" s="1"/>
  <c r="CL576" i="48"/>
  <c r="CL572" i="48"/>
  <c r="CL568" i="48"/>
  <c r="CL564" i="48"/>
  <c r="CL560" i="48"/>
  <c r="CL556" i="48"/>
  <c r="CL562" i="48"/>
  <c r="CL552" i="48"/>
  <c r="CL548" i="48"/>
  <c r="CL544" i="48"/>
  <c r="CL540" i="48"/>
  <c r="CL536" i="48"/>
  <c r="CL532" i="48"/>
  <c r="CL545" i="48"/>
  <c r="CL537" i="48"/>
  <c r="CL529" i="48"/>
  <c r="AC530" i="48" s="1"/>
  <c r="CL551" i="48"/>
  <c r="CL547" i="48"/>
  <c r="CL543" i="48"/>
  <c r="CL539" i="48"/>
  <c r="CL535" i="48"/>
  <c r="CL531" i="48"/>
  <c r="CL550" i="48"/>
  <c r="CL546" i="48"/>
  <c r="CL542" i="48"/>
  <c r="CL538" i="48"/>
  <c r="CL534" i="48"/>
  <c r="CL530" i="48"/>
  <c r="CL549" i="48"/>
  <c r="CL541" i="48"/>
  <c r="CL533" i="48"/>
  <c r="CL527" i="48"/>
  <c r="CL523" i="48"/>
  <c r="CL519" i="48"/>
  <c r="CL515" i="48"/>
  <c r="CL511" i="48"/>
  <c r="CL507" i="48"/>
  <c r="CL526" i="48"/>
  <c r="CL522" i="48"/>
  <c r="CL518" i="48"/>
  <c r="CL514" i="48"/>
  <c r="CL510" i="48"/>
  <c r="CL506" i="48"/>
  <c r="CL525" i="48"/>
  <c r="CL521" i="48"/>
  <c r="CL517" i="48"/>
  <c r="CL513" i="48"/>
  <c r="CL509" i="48"/>
  <c r="CL505" i="48"/>
  <c r="CL524" i="48"/>
  <c r="CL520" i="48"/>
  <c r="CL516" i="48"/>
  <c r="CL512" i="48"/>
  <c r="CL508" i="48"/>
  <c r="CL504" i="48"/>
  <c r="AC505" i="48" s="1"/>
  <c r="CL502" i="48"/>
  <c r="CL498" i="48"/>
  <c r="CL494" i="48"/>
  <c r="CL490" i="48"/>
  <c r="CL486" i="48"/>
  <c r="CL482" i="48"/>
  <c r="CL480" i="48"/>
  <c r="CL499" i="48"/>
  <c r="CL495" i="48"/>
  <c r="CL491" i="48"/>
  <c r="CL487" i="48"/>
  <c r="CL483" i="48"/>
  <c r="CL479" i="48"/>
  <c r="AC480" i="48" s="1"/>
  <c r="CL501" i="48"/>
  <c r="CL497" i="48"/>
  <c r="CL493" i="48"/>
  <c r="CL489" i="48"/>
  <c r="CL485" i="48"/>
  <c r="CL481" i="48"/>
  <c r="CL500" i="48"/>
  <c r="CL496" i="48"/>
  <c r="CL492" i="48"/>
  <c r="CL488" i="48"/>
  <c r="CL484" i="48"/>
  <c r="CL477" i="48"/>
  <c r="CL473" i="48"/>
  <c r="CL469" i="48"/>
  <c r="CL465" i="48"/>
  <c r="CL461" i="48"/>
  <c r="CL457" i="48"/>
  <c r="CL470" i="48"/>
  <c r="CL466" i="48"/>
  <c r="CL454" i="48"/>
  <c r="AC455" i="48" s="1"/>
  <c r="CL476" i="48"/>
  <c r="CL472" i="48"/>
  <c r="CL468" i="48"/>
  <c r="CL464" i="48"/>
  <c r="CL460" i="48"/>
  <c r="CL456" i="48"/>
  <c r="CL475" i="48"/>
  <c r="CL471" i="48"/>
  <c r="CL467" i="48"/>
  <c r="CL463" i="48"/>
  <c r="CL459" i="48"/>
  <c r="CL455" i="48"/>
  <c r="CL474" i="48"/>
  <c r="CL462" i="48"/>
  <c r="CL458" i="48"/>
  <c r="CL445" i="48"/>
  <c r="CL438" i="48"/>
  <c r="CL431" i="48"/>
  <c r="CL447" i="48"/>
  <c r="CL440" i="48"/>
  <c r="CL433" i="48"/>
  <c r="CL449" i="48"/>
  <c r="CL442" i="48"/>
  <c r="CL435" i="48"/>
  <c r="CL451" i="48"/>
  <c r="CL444" i="48"/>
  <c r="CL437" i="48"/>
  <c r="CL430" i="48"/>
  <c r="CL446" i="48"/>
  <c r="CL439" i="48"/>
  <c r="CL432" i="48"/>
  <c r="CL448" i="48"/>
  <c r="CL441" i="48"/>
  <c r="CL434" i="48"/>
  <c r="CL450" i="48"/>
  <c r="CL443" i="48"/>
  <c r="CL436" i="48"/>
  <c r="CL427" i="48"/>
  <c r="CL423" i="48"/>
  <c r="CL419" i="48"/>
  <c r="CL415" i="48"/>
  <c r="CL411" i="48"/>
  <c r="CL407" i="48"/>
  <c r="CL426" i="48"/>
  <c r="AC427" i="48" s="1"/>
  <c r="AJ427" i="48" s="1"/>
  <c r="AP427" i="48" s="1"/>
  <c r="CL422" i="48"/>
  <c r="CL418" i="48"/>
  <c r="CL414" i="48"/>
  <c r="CL410" i="48"/>
  <c r="CL406" i="48"/>
  <c r="CL425" i="48"/>
  <c r="CL421" i="48"/>
  <c r="CL417" i="48"/>
  <c r="CL413" i="48"/>
  <c r="CL409" i="48"/>
  <c r="CL405" i="48"/>
  <c r="CL424" i="48"/>
  <c r="CL420" i="48"/>
  <c r="CL416" i="48"/>
  <c r="CL412" i="48"/>
  <c r="CL408" i="48"/>
  <c r="CL404" i="48"/>
  <c r="AC405" i="48" s="1"/>
  <c r="CL402" i="48"/>
  <c r="CL398" i="48"/>
  <c r="CL394" i="48"/>
  <c r="CL390" i="48"/>
  <c r="CL386" i="48"/>
  <c r="CL382" i="48"/>
  <c r="CL399" i="48"/>
  <c r="CL387" i="48"/>
  <c r="CL379" i="48"/>
  <c r="AC380" i="48" s="1"/>
  <c r="CL401" i="48"/>
  <c r="CL397" i="48"/>
  <c r="CL393" i="48"/>
  <c r="CL389" i="48"/>
  <c r="CL385" i="48"/>
  <c r="CL381" i="48"/>
  <c r="CL395" i="48"/>
  <c r="CL391" i="48"/>
  <c r="CL383" i="48"/>
  <c r="CL400" i="48"/>
  <c r="CL396" i="48"/>
  <c r="CL392" i="48"/>
  <c r="CL388" i="48"/>
  <c r="CL384" i="48"/>
  <c r="CL380" i="48"/>
  <c r="CL359" i="48"/>
  <c r="CL365" i="48"/>
  <c r="CL366" i="48"/>
  <c r="CL363" i="48"/>
  <c r="CL356" i="48"/>
  <c r="CL372" i="48"/>
  <c r="CL370" i="48"/>
  <c r="CL369" i="48"/>
  <c r="CL368" i="48"/>
  <c r="CL374" i="48"/>
  <c r="CL367" i="48"/>
  <c r="CL360" i="48"/>
  <c r="CL376" i="48"/>
  <c r="CM377" i="48" s="1"/>
  <c r="CL357" i="48"/>
  <c r="CL373" i="48"/>
  <c r="CL375" i="48"/>
  <c r="CL355" i="48"/>
  <c r="CL371" i="48"/>
  <c r="CL364" i="48"/>
  <c r="CL361" i="48"/>
  <c r="CL352" i="48"/>
  <c r="CL348" i="48"/>
  <c r="CL344" i="48"/>
  <c r="CL340" i="48"/>
  <c r="CL336" i="48"/>
  <c r="CL332" i="48"/>
  <c r="CL350" i="48"/>
  <c r="CL346" i="48"/>
  <c r="CL342" i="48"/>
  <c r="CL338" i="48"/>
  <c r="CL334" i="48"/>
  <c r="CL330" i="48"/>
  <c r="CL349" i="48"/>
  <c r="CL341" i="48"/>
  <c r="CL337" i="48"/>
  <c r="CL333" i="48"/>
  <c r="CL329" i="48"/>
  <c r="AC330" i="48" s="1"/>
  <c r="CL351" i="48"/>
  <c r="CL347" i="48"/>
  <c r="CL343" i="48"/>
  <c r="CL339" i="48"/>
  <c r="CL335" i="48"/>
  <c r="CL331" i="48"/>
  <c r="CL345" i="48"/>
  <c r="CL313" i="48"/>
  <c r="CL320" i="48"/>
  <c r="CL317" i="48"/>
  <c r="CL314" i="48"/>
  <c r="CL315" i="48"/>
  <c r="CL310" i="48"/>
  <c r="CL308" i="48"/>
  <c r="CL324" i="48"/>
  <c r="CL321" i="48"/>
  <c r="CL326" i="48"/>
  <c r="CL319" i="48"/>
  <c r="CL318" i="48"/>
  <c r="CL312" i="48"/>
  <c r="CL325" i="48"/>
  <c r="CL307" i="48"/>
  <c r="CL323" i="48"/>
  <c r="CL322" i="48"/>
  <c r="CL316" i="48"/>
  <c r="CL309" i="48"/>
  <c r="CL311" i="48"/>
  <c r="CL302" i="48"/>
  <c r="CL298" i="48"/>
  <c r="CL294" i="48"/>
  <c r="CL290" i="48"/>
  <c r="CL286" i="48"/>
  <c r="CL282" i="48"/>
  <c r="CL295" i="48"/>
  <c r="CL291" i="48"/>
  <c r="CL283" i="48"/>
  <c r="CL301" i="48"/>
  <c r="CL297" i="48"/>
  <c r="CL293" i="48"/>
  <c r="CL289" i="48"/>
  <c r="CL285" i="48"/>
  <c r="CL281" i="48"/>
  <c r="CL300" i="48"/>
  <c r="CL296" i="48"/>
  <c r="CL292" i="48"/>
  <c r="CL288" i="48"/>
  <c r="CL284" i="48"/>
  <c r="CL280" i="48"/>
  <c r="CL299" i="48"/>
  <c r="CL287" i="48"/>
  <c r="CL279" i="48"/>
  <c r="AC280" i="48" s="1"/>
  <c r="CL267" i="48"/>
  <c r="CL264" i="48"/>
  <c r="CL258" i="48"/>
  <c r="CL263" i="48"/>
  <c r="CL265" i="48"/>
  <c r="CL262" i="48"/>
  <c r="CL271" i="48"/>
  <c r="CL268" i="48"/>
  <c r="CL266" i="48"/>
  <c r="CL275" i="48"/>
  <c r="CL269" i="48"/>
  <c r="CL274" i="48"/>
  <c r="CL256" i="48"/>
  <c r="CL272" i="48"/>
  <c r="CL270" i="48"/>
  <c r="CL257" i="48"/>
  <c r="CL273" i="48"/>
  <c r="CL259" i="48"/>
  <c r="CL260" i="48"/>
  <c r="CL255" i="48"/>
  <c r="CL261" i="48"/>
  <c r="CL249" i="48"/>
  <c r="CL245" i="48"/>
  <c r="CL241" i="48"/>
  <c r="CL237" i="48"/>
  <c r="CL233" i="48"/>
  <c r="CL229" i="48"/>
  <c r="AC230" i="48" s="1"/>
  <c r="CL246" i="48"/>
  <c r="CL238" i="48"/>
  <c r="CL230" i="48"/>
  <c r="CL252" i="48"/>
  <c r="CL248" i="48"/>
  <c r="CL244" i="48"/>
  <c r="CL240" i="48"/>
  <c r="CL236" i="48"/>
  <c r="CL232" i="48"/>
  <c r="CL250" i="48"/>
  <c r="CL242" i="48"/>
  <c r="CL234" i="48"/>
  <c r="CL251" i="48"/>
  <c r="CL247" i="48"/>
  <c r="CL243" i="48"/>
  <c r="CL239" i="48"/>
  <c r="CL235" i="48"/>
  <c r="CL231" i="48"/>
  <c r="CL224" i="48"/>
  <c r="CL220" i="48"/>
  <c r="CL216" i="48"/>
  <c r="CL212" i="48"/>
  <c r="CL208" i="48"/>
  <c r="CL204" i="48"/>
  <c r="AC205" i="48" s="1"/>
  <c r="CL226" i="48"/>
  <c r="CL218" i="48"/>
  <c r="CL210" i="48"/>
  <c r="CL225" i="48"/>
  <c r="CL213" i="48"/>
  <c r="CL205" i="48"/>
  <c r="CL227" i="48"/>
  <c r="CL223" i="48"/>
  <c r="CL219" i="48"/>
  <c r="CL215" i="48"/>
  <c r="CL211" i="48"/>
  <c r="CL207" i="48"/>
  <c r="CL222" i="48"/>
  <c r="CL214" i="48"/>
  <c r="CL206" i="48"/>
  <c r="CL221" i="48"/>
  <c r="CL217" i="48"/>
  <c r="CL209" i="48"/>
  <c r="CL199" i="48"/>
  <c r="CL195" i="48"/>
  <c r="CL191" i="48"/>
  <c r="CL187" i="48"/>
  <c r="CL183" i="48"/>
  <c r="CL179" i="48"/>
  <c r="AC180" i="48" s="1"/>
  <c r="CL200" i="48"/>
  <c r="CL188" i="48"/>
  <c r="CL180" i="48"/>
  <c r="CL202" i="48"/>
  <c r="CL198" i="48"/>
  <c r="CL194" i="48"/>
  <c r="CL190" i="48"/>
  <c r="CL186" i="48"/>
  <c r="CL182" i="48"/>
  <c r="CL201" i="48"/>
  <c r="CL197" i="48"/>
  <c r="CL193" i="48"/>
  <c r="CL189" i="48"/>
  <c r="CL185" i="48"/>
  <c r="CL181" i="48"/>
  <c r="CL196" i="48"/>
  <c r="CL192" i="48"/>
  <c r="CL184" i="48"/>
  <c r="CL174" i="48"/>
  <c r="CL170" i="48"/>
  <c r="CL166" i="48"/>
  <c r="CL162" i="48"/>
  <c r="CL158" i="48"/>
  <c r="CL154" i="48"/>
  <c r="AC155" i="48" s="1"/>
  <c r="CL176" i="48"/>
  <c r="CL172" i="48"/>
  <c r="CL168" i="48"/>
  <c r="CL164" i="48"/>
  <c r="CL160" i="48"/>
  <c r="CL156" i="48"/>
  <c r="CL175" i="48"/>
  <c r="CL171" i="48"/>
  <c r="CL167" i="48"/>
  <c r="CL163" i="48"/>
  <c r="CL159" i="48"/>
  <c r="CL155" i="48"/>
  <c r="CL177" i="48"/>
  <c r="CL173" i="48"/>
  <c r="CL169" i="48"/>
  <c r="CL165" i="48"/>
  <c r="CL161" i="48"/>
  <c r="CL157" i="48"/>
  <c r="CL149" i="48"/>
  <c r="CL145" i="48"/>
  <c r="CL141" i="48"/>
  <c r="CL137" i="48"/>
  <c r="CL133" i="48"/>
  <c r="CL129" i="48"/>
  <c r="AC130" i="48" s="1"/>
  <c r="CL150" i="48"/>
  <c r="CL138" i="48"/>
  <c r="CL130" i="48"/>
  <c r="CL152" i="48"/>
  <c r="CL148" i="48"/>
  <c r="CL144" i="48"/>
  <c r="CL140" i="48"/>
  <c r="CL136" i="48"/>
  <c r="CL132" i="48"/>
  <c r="CL146" i="48"/>
  <c r="CL142" i="48"/>
  <c r="CL134" i="48"/>
  <c r="CL151" i="48"/>
  <c r="CL147" i="48"/>
  <c r="CL143" i="48"/>
  <c r="CL139" i="48"/>
  <c r="CL135" i="48"/>
  <c r="CL131" i="48"/>
  <c r="CL117" i="48"/>
  <c r="CL118" i="48"/>
  <c r="CL109" i="48"/>
  <c r="CL115" i="48"/>
  <c r="CL113" i="48"/>
  <c r="CL112" i="48"/>
  <c r="CL106" i="48"/>
  <c r="CL122" i="48"/>
  <c r="CL125" i="48"/>
  <c r="CL119" i="48"/>
  <c r="CL121" i="48"/>
  <c r="CL116" i="48"/>
  <c r="CL110" i="48"/>
  <c r="CL126" i="48"/>
  <c r="CL107" i="48"/>
  <c r="CL123" i="48"/>
  <c r="CL120" i="48"/>
  <c r="CL114" i="48"/>
  <c r="CL105" i="48"/>
  <c r="CL111" i="48"/>
  <c r="CL127" i="48"/>
  <c r="CL108" i="48"/>
  <c r="CL102" i="48"/>
  <c r="CL98" i="48"/>
  <c r="CL94" i="48"/>
  <c r="CL90" i="48"/>
  <c r="CL86" i="48"/>
  <c r="CL82" i="48"/>
  <c r="CL95" i="48"/>
  <c r="CL91" i="48"/>
  <c r="CL83" i="48"/>
  <c r="CL101" i="48"/>
  <c r="CL97" i="48"/>
  <c r="CL93" i="48"/>
  <c r="CL89" i="48"/>
  <c r="CL85" i="48"/>
  <c r="CL81" i="48"/>
  <c r="CL100" i="48"/>
  <c r="CL96" i="48"/>
  <c r="CL92" i="48"/>
  <c r="CL88" i="48"/>
  <c r="CL84" i="48"/>
  <c r="CL80" i="48"/>
  <c r="CL99" i="48"/>
  <c r="CL87" i="48"/>
  <c r="CL79" i="48"/>
  <c r="AC80" i="48" s="1"/>
  <c r="CL77" i="48"/>
  <c r="CL73" i="48"/>
  <c r="CL69" i="48"/>
  <c r="CL65" i="48"/>
  <c r="CL61" i="48"/>
  <c r="CL57" i="48"/>
  <c r="CL70" i="48"/>
  <c r="CL76" i="48"/>
  <c r="CL72" i="48"/>
  <c r="CL68" i="48"/>
  <c r="CL64" i="48"/>
  <c r="CL60" i="48"/>
  <c r="CL56" i="48"/>
  <c r="CL66" i="48"/>
  <c r="CL75" i="48"/>
  <c r="CL71" i="48"/>
  <c r="CL67" i="48"/>
  <c r="CL63" i="48"/>
  <c r="CL59" i="48"/>
  <c r="CL55" i="48"/>
  <c r="CL74" i="48"/>
  <c r="CL62" i="48"/>
  <c r="CL58" i="48"/>
  <c r="CL54" i="48"/>
  <c r="AC55" i="48" s="1"/>
  <c r="CL52" i="48"/>
  <c r="CL48" i="48"/>
  <c r="CL44" i="48"/>
  <c r="CL40" i="48"/>
  <c r="CL36" i="48"/>
  <c r="CL32" i="48"/>
  <c r="CL45" i="48"/>
  <c r="CL51" i="48"/>
  <c r="CL47" i="48"/>
  <c r="CL43" i="48"/>
  <c r="CL39" i="48"/>
  <c r="CL35" i="48"/>
  <c r="CL31" i="48"/>
  <c r="CL49" i="48"/>
  <c r="CL37" i="48"/>
  <c r="CL33" i="48"/>
  <c r="CL29" i="48"/>
  <c r="AC30" i="48" s="1"/>
  <c r="CL50" i="48"/>
  <c r="CL46" i="48"/>
  <c r="CL42" i="48"/>
  <c r="CL38" i="48"/>
  <c r="CL34" i="48"/>
  <c r="CL30" i="48"/>
  <c r="CL41" i="48"/>
  <c r="CM902" i="48"/>
  <c r="CM702" i="48"/>
  <c r="CM552" i="48"/>
  <c r="CM1002" i="48"/>
  <c r="CM1102" i="48"/>
  <c r="AJ1104" i="48"/>
  <c r="AJ954" i="48"/>
  <c r="AJ804" i="48"/>
  <c r="AJ429" i="48"/>
  <c r="AJ204" i="48"/>
  <c r="AJ1279" i="48"/>
  <c r="AJ1054" i="48"/>
  <c r="AJ179" i="48"/>
  <c r="AJ1029" i="48"/>
  <c r="AJ879" i="48"/>
  <c r="AJ704" i="48"/>
  <c r="AJ479" i="48"/>
  <c r="AJ154" i="48"/>
  <c r="AJ1254" i="48"/>
  <c r="AJ854" i="48"/>
  <c r="AJ554" i="48"/>
  <c r="AJ279" i="48"/>
  <c r="AJ54" i="48"/>
  <c r="AJ229" i="48"/>
  <c r="AJ1129" i="48"/>
  <c r="AJ529" i="48"/>
  <c r="AJ379" i="48"/>
  <c r="AJ1329" i="48"/>
  <c r="AJ829" i="48"/>
  <c r="AJ254" i="48"/>
  <c r="AJ1103" i="48"/>
  <c r="AJ953" i="48"/>
  <c r="AJ803" i="48"/>
  <c r="AJ428" i="48"/>
  <c r="AJ203" i="48"/>
  <c r="AJ1278" i="48"/>
  <c r="AJ178" i="48"/>
  <c r="AJ1028" i="48"/>
  <c r="AJ878" i="48"/>
  <c r="AJ703" i="48"/>
  <c r="AJ478" i="48"/>
  <c r="AJ153" i="48"/>
  <c r="AJ1253" i="48"/>
  <c r="AJ853" i="48"/>
  <c r="AJ553" i="48"/>
  <c r="AJ278" i="48"/>
  <c r="AJ53" i="48"/>
  <c r="AJ228" i="48"/>
  <c r="AJ1128" i="48"/>
  <c r="AJ528" i="48"/>
  <c r="AJ378" i="48"/>
  <c r="AJ1328" i="48"/>
  <c r="AJ828" i="48"/>
  <c r="AJ253" i="48"/>
  <c r="AJ1079" i="48"/>
  <c r="AJ929" i="48"/>
  <c r="AJ729" i="48"/>
  <c r="AJ404" i="48"/>
  <c r="AJ304" i="48"/>
  <c r="AJ104" i="48"/>
  <c r="AJ1154" i="48"/>
  <c r="AJ904" i="48"/>
  <c r="AJ1304" i="48"/>
  <c r="AJ979" i="48"/>
  <c r="AJ754" i="48"/>
  <c r="AJ579" i="48"/>
  <c r="AJ329" i="48"/>
  <c r="AJ79" i="48"/>
  <c r="AJ1004" i="48"/>
  <c r="AJ679" i="48"/>
  <c r="AJ354" i="48"/>
  <c r="AJ129" i="48"/>
  <c r="AJ1204" i="48"/>
  <c r="AJ1229" i="48"/>
  <c r="AJ779" i="48"/>
  <c r="AJ604" i="48"/>
  <c r="AJ454" i="48"/>
  <c r="AJ1179" i="48"/>
  <c r="AJ504" i="48"/>
  <c r="AJ629" i="48"/>
  <c r="AJ1078" i="48"/>
  <c r="AJ928" i="48"/>
  <c r="AJ728" i="48"/>
  <c r="AJ403" i="48"/>
  <c r="AJ303" i="48"/>
  <c r="AJ103" i="48"/>
  <c r="AJ1153" i="48"/>
  <c r="AJ903" i="48"/>
  <c r="AJ1303" i="48"/>
  <c r="AJ978" i="48"/>
  <c r="AJ753" i="48"/>
  <c r="AJ578" i="48"/>
  <c r="AJ328" i="48"/>
  <c r="AJ78" i="48"/>
  <c r="AJ1003" i="48"/>
  <c r="AJ678" i="48"/>
  <c r="AJ353" i="48"/>
  <c r="AJ128" i="48"/>
  <c r="AJ1203" i="48"/>
  <c r="AJ1228" i="48"/>
  <c r="AJ778" i="48"/>
  <c r="AJ603" i="48"/>
  <c r="AJ453" i="48"/>
  <c r="AJ1178" i="48"/>
  <c r="AJ503" i="48"/>
  <c r="AJ628" i="48"/>
  <c r="CM27" i="48" l="1"/>
  <c r="CM452" i="48"/>
  <c r="CM227" i="48"/>
  <c r="CM152" i="48"/>
  <c r="CM927" i="48"/>
  <c r="CM127" i="48"/>
  <c r="CM1152" i="48"/>
  <c r="CM202" i="48"/>
  <c r="CM977" i="48"/>
  <c r="CM1327" i="48"/>
  <c r="CM1352" i="48"/>
  <c r="CN302" i="48"/>
  <c r="CN327" i="48"/>
  <c r="CN402" i="48"/>
  <c r="CM327" i="48"/>
  <c r="CN377" i="48"/>
  <c r="CN527" i="48"/>
  <c r="CN627" i="48"/>
  <c r="CN652" i="48"/>
  <c r="CN802" i="48"/>
  <c r="CN1027" i="48"/>
  <c r="CN1227" i="48"/>
  <c r="CN452" i="48"/>
  <c r="CN477" i="48"/>
  <c r="CN502" i="48"/>
  <c r="CN552" i="48"/>
  <c r="CN727" i="48"/>
  <c r="CN752" i="48"/>
  <c r="CN852" i="48"/>
  <c r="CN1002" i="48"/>
  <c r="CN1102" i="48"/>
  <c r="CN1127" i="48"/>
  <c r="CN1202" i="48"/>
  <c r="CN1252" i="48"/>
  <c r="CN1302" i="48"/>
  <c r="CN1327" i="48"/>
  <c r="CM1227" i="48"/>
  <c r="AT427" i="48"/>
  <c r="AR427" i="48"/>
  <c r="AS427" i="48"/>
  <c r="CN702" i="48"/>
  <c r="CN827" i="48"/>
  <c r="CN877" i="48"/>
  <c r="CN902" i="48"/>
  <c r="CN952" i="48"/>
  <c r="CN977" i="48"/>
  <c r="CN1077" i="48"/>
  <c r="CN1177" i="48"/>
  <c r="CN1277" i="48"/>
  <c r="CN1352" i="48"/>
  <c r="CN1152" i="48"/>
  <c r="CN27" i="48"/>
  <c r="CN1125" i="48"/>
  <c r="CN1052" i="48"/>
  <c r="AC1053" i="48"/>
  <c r="AJ1053" i="48" s="1"/>
  <c r="CM952" i="48"/>
  <c r="CN927" i="48"/>
  <c r="CN825" i="48"/>
  <c r="CN776" i="48"/>
  <c r="CN777" i="48"/>
  <c r="CN451" i="48"/>
  <c r="CN426" i="48"/>
  <c r="CN352" i="48"/>
  <c r="CN252" i="48"/>
  <c r="CN227" i="48"/>
  <c r="CN202" i="48"/>
  <c r="CN177" i="48"/>
  <c r="CN152" i="48"/>
  <c r="CN127" i="48"/>
  <c r="CM126" i="48"/>
  <c r="CN102" i="48"/>
  <c r="CM101" i="48"/>
  <c r="CN77" i="48"/>
  <c r="CN52" i="48"/>
  <c r="CM1302" i="48"/>
  <c r="CM1277" i="48"/>
  <c r="CM1252" i="48"/>
  <c r="CM1202" i="48"/>
  <c r="CM1177" i="48"/>
  <c r="CM1127" i="48"/>
  <c r="CM1077" i="48"/>
  <c r="CM1052" i="48"/>
  <c r="CM1027" i="48"/>
  <c r="CM877" i="48"/>
  <c r="CM827" i="48"/>
  <c r="CM802" i="48"/>
  <c r="CM777" i="48"/>
  <c r="CM752" i="48"/>
  <c r="CM727" i="48"/>
  <c r="CM652" i="48"/>
  <c r="CM627" i="48"/>
  <c r="CM602" i="48"/>
  <c r="CM577" i="48"/>
  <c r="CM527" i="48"/>
  <c r="CM502" i="48"/>
  <c r="CM477" i="48"/>
  <c r="CM427" i="48"/>
  <c r="CM402" i="48"/>
  <c r="CM352" i="48"/>
  <c r="CM302" i="48"/>
  <c r="CM252" i="48"/>
  <c r="CM177" i="48"/>
  <c r="CM77" i="48"/>
  <c r="CM52" i="48"/>
  <c r="CM102" i="48"/>
  <c r="CM430" i="48"/>
  <c r="CM306" i="48"/>
  <c r="CM305" i="48"/>
  <c r="AJ355" i="48"/>
  <c r="CM354" i="48"/>
  <c r="AJ830" i="48"/>
  <c r="CM829" i="48"/>
  <c r="CM980" i="48"/>
  <c r="AJ105" i="48"/>
  <c r="CM104" i="48"/>
  <c r="AJ1130" i="48"/>
  <c r="CM1129" i="48"/>
  <c r="AJ930" i="48"/>
  <c r="CM929" i="48"/>
  <c r="AJ1330" i="48"/>
  <c r="CM1329" i="48"/>
  <c r="CM979" i="48"/>
  <c r="AJ255" i="48"/>
  <c r="CM254" i="48"/>
  <c r="CM304" i="48"/>
  <c r="AJ430" i="48"/>
  <c r="CM429" i="48"/>
  <c r="CN306" i="48"/>
  <c r="CN1129" i="48"/>
  <c r="CN305" i="48"/>
  <c r="CN304" i="48"/>
  <c r="CN430" i="48"/>
  <c r="CN429" i="48"/>
  <c r="CN929" i="48"/>
  <c r="CN980" i="48"/>
  <c r="CN979" i="48"/>
  <c r="CN1329" i="48"/>
  <c r="CN354" i="48"/>
  <c r="CN829" i="48"/>
  <c r="CN104" i="48"/>
  <c r="CN254" i="48"/>
  <c r="CM307" i="48"/>
  <c r="CM830" i="48"/>
  <c r="CM34" i="48"/>
  <c r="CM30" i="48"/>
  <c r="CM35" i="48"/>
  <c r="CM956" i="48"/>
  <c r="CM959" i="48"/>
  <c r="CM606" i="48"/>
  <c r="CM1032" i="48"/>
  <c r="CM1232" i="48"/>
  <c r="CM1130" i="48"/>
  <c r="CM385" i="48"/>
  <c r="CM355" i="48"/>
  <c r="CM105" i="48"/>
  <c r="CM482" i="48"/>
  <c r="CM483" i="48"/>
  <c r="CM255" i="48"/>
  <c r="CL17" i="48"/>
  <c r="CL12" i="48"/>
  <c r="CL20" i="48"/>
  <c r="CL15" i="48"/>
  <c r="CL10" i="48"/>
  <c r="CL23" i="48"/>
  <c r="CL18" i="48"/>
  <c r="CL13" i="48"/>
  <c r="CL8" i="48"/>
  <c r="CL11" i="48"/>
  <c r="CL21" i="48"/>
  <c r="CL16" i="48"/>
  <c r="CL19" i="48"/>
  <c r="CL6" i="48"/>
  <c r="CL14" i="48"/>
  <c r="CL9" i="48"/>
  <c r="CL7" i="48"/>
  <c r="CM155" i="48"/>
  <c r="CM156" i="48"/>
  <c r="CM505" i="48"/>
  <c r="CM930" i="48"/>
  <c r="CM1306" i="48"/>
  <c r="CM533" i="48"/>
  <c r="CM757" i="48"/>
  <c r="CM1330" i="48"/>
  <c r="CM410" i="48"/>
  <c r="CM981" i="48"/>
  <c r="CM1332" i="48"/>
  <c r="CM431" i="48"/>
  <c r="CN20" i="48" l="1"/>
  <c r="CM380" i="48"/>
  <c r="CM26" i="48"/>
  <c r="CN851" i="48"/>
  <c r="CN51" i="48"/>
  <c r="CM205" i="48"/>
  <c r="CM207" i="48"/>
  <c r="CM210" i="48"/>
  <c r="CO430" i="48"/>
  <c r="CO306" i="48"/>
  <c r="CS306" i="48" s="1"/>
  <c r="CM51" i="48"/>
  <c r="CM282" i="48"/>
  <c r="CM233" i="48"/>
  <c r="CM856" i="48"/>
  <c r="CN326" i="48"/>
  <c r="CN126" i="48"/>
  <c r="CN1051" i="48"/>
  <c r="CN1151" i="48"/>
  <c r="CN626" i="48"/>
  <c r="CN1226" i="48"/>
  <c r="CN76" i="48"/>
  <c r="CN101" i="48"/>
  <c r="CN301" i="48"/>
  <c r="CM409" i="48"/>
  <c r="CM708" i="48"/>
  <c r="CM583" i="48"/>
  <c r="CM160" i="48"/>
  <c r="CM557" i="48"/>
  <c r="CM234" i="48"/>
  <c r="CM383" i="48"/>
  <c r="CM480" i="48"/>
  <c r="CM1108" i="48"/>
  <c r="CM208" i="48"/>
  <c r="CM1156" i="48"/>
  <c r="CM1281" i="48"/>
  <c r="CM1258" i="48"/>
  <c r="CM834" i="48"/>
  <c r="CM185" i="48"/>
  <c r="CM1257" i="48"/>
  <c r="CN1301" i="48"/>
  <c r="CN876" i="48"/>
  <c r="CN226" i="48"/>
  <c r="CN501" i="48"/>
  <c r="CN951" i="48"/>
  <c r="CN351" i="48"/>
  <c r="CN926" i="48"/>
  <c r="CM1255" i="48"/>
  <c r="CM560" i="48"/>
  <c r="CM909" i="48"/>
  <c r="CN601" i="48"/>
  <c r="CN976" i="48"/>
  <c r="CN476" i="48"/>
  <c r="CN526" i="48"/>
  <c r="CN651" i="48"/>
  <c r="CN201" i="48"/>
  <c r="CN826" i="48"/>
  <c r="CO827" i="48" s="1"/>
  <c r="CS827" i="48" s="1"/>
  <c r="DB827" i="48" s="1"/>
  <c r="CN1326" i="48"/>
  <c r="CN1276" i="48"/>
  <c r="CN151" i="48"/>
  <c r="CN1001" i="48"/>
  <c r="CN751" i="48"/>
  <c r="CN551" i="48"/>
  <c r="CN1201" i="48"/>
  <c r="CN1126" i="48"/>
  <c r="CO1127" i="48" s="1"/>
  <c r="CS1127" i="48" s="1"/>
  <c r="DB1127" i="48" s="1"/>
  <c r="CN701" i="48"/>
  <c r="CN251" i="48"/>
  <c r="CN726" i="48"/>
  <c r="CN576" i="48"/>
  <c r="CN1176" i="48"/>
  <c r="CN1026" i="48"/>
  <c r="CN1351" i="48"/>
  <c r="CN176" i="48"/>
  <c r="CN1251" i="48"/>
  <c r="CN901" i="48"/>
  <c r="CN1101" i="48"/>
  <c r="CN1076" i="48"/>
  <c r="CN401" i="48"/>
  <c r="CN801" i="48"/>
  <c r="CN376" i="48"/>
  <c r="CM331" i="48"/>
  <c r="CM688" i="48"/>
  <c r="CM100" i="48"/>
  <c r="CM268" i="48"/>
  <c r="CM771" i="48"/>
  <c r="CM538" i="48"/>
  <c r="CM246" i="48"/>
  <c r="CM1314" i="48"/>
  <c r="CM163" i="48"/>
  <c r="CM487" i="48"/>
  <c r="CM223" i="48"/>
  <c r="CM964" i="48"/>
  <c r="CM961" i="48"/>
  <c r="CM37" i="48"/>
  <c r="CM912" i="48"/>
  <c r="CM625" i="48"/>
  <c r="CM450" i="48"/>
  <c r="CM113" i="48"/>
  <c r="CM274" i="48"/>
  <c r="CM1166" i="48"/>
  <c r="CM418" i="48"/>
  <c r="CM1222" i="48"/>
  <c r="CM768" i="48"/>
  <c r="CM767" i="48"/>
  <c r="CM545" i="48"/>
  <c r="CM243" i="48"/>
  <c r="CM1145" i="48"/>
  <c r="CM295" i="48"/>
  <c r="CM562" i="48"/>
  <c r="CM1196" i="48"/>
  <c r="CM523" i="48"/>
  <c r="CM339" i="48"/>
  <c r="CM465" i="48"/>
  <c r="CM24" i="48"/>
  <c r="CM719" i="48"/>
  <c r="CM493" i="48"/>
  <c r="CM490" i="48"/>
  <c r="CM492" i="48"/>
  <c r="CM1021" i="48"/>
  <c r="CM641" i="48"/>
  <c r="CM1037" i="48"/>
  <c r="CM65" i="48"/>
  <c r="CM969" i="48"/>
  <c r="CM966" i="48"/>
  <c r="CM75" i="48"/>
  <c r="CM265" i="48"/>
  <c r="CM770" i="48"/>
  <c r="CM1268" i="48"/>
  <c r="CM349" i="48"/>
  <c r="CM488" i="48"/>
  <c r="CM1016" i="48"/>
  <c r="CM1043" i="48"/>
  <c r="CM1117" i="48"/>
  <c r="CM1225" i="48"/>
  <c r="CM1150" i="48"/>
  <c r="CM300" i="48"/>
  <c r="CM840" i="48"/>
  <c r="CM1147" i="48"/>
  <c r="CM270" i="48"/>
  <c r="CM423" i="48"/>
  <c r="CM773" i="48"/>
  <c r="CM237" i="48"/>
  <c r="CM249" i="48"/>
  <c r="CM248" i="48"/>
  <c r="CM1321" i="48"/>
  <c r="CM293" i="48"/>
  <c r="CM596" i="48"/>
  <c r="CM173" i="48"/>
  <c r="CM498" i="48"/>
  <c r="CM497" i="48"/>
  <c r="CM1024" i="48"/>
  <c r="CM646" i="48"/>
  <c r="CM645" i="48"/>
  <c r="CM119" i="48"/>
  <c r="CM1041" i="48"/>
  <c r="CM213" i="48"/>
  <c r="CM90" i="48"/>
  <c r="CM614" i="48"/>
  <c r="CM974" i="48"/>
  <c r="CM971" i="48"/>
  <c r="CM40" i="48"/>
  <c r="CM696" i="48"/>
  <c r="CM541" i="48"/>
  <c r="CM540" i="48"/>
  <c r="CM287" i="48"/>
  <c r="CM514" i="48"/>
  <c r="CM398" i="48"/>
  <c r="CM38" i="48"/>
  <c r="CM325" i="48"/>
  <c r="CM125" i="48"/>
  <c r="CM1050" i="48"/>
  <c r="CM945" i="48"/>
  <c r="CM437" i="48"/>
  <c r="CM412" i="48"/>
  <c r="CM874" i="48"/>
  <c r="CM593" i="48"/>
  <c r="CM590" i="48"/>
  <c r="CM341" i="48"/>
  <c r="CM393" i="48"/>
  <c r="CM390" i="48"/>
  <c r="CM1294" i="48"/>
  <c r="CM1293" i="48"/>
  <c r="CM1292" i="48"/>
  <c r="CM1047" i="48"/>
  <c r="CM1046" i="48"/>
  <c r="CM218" i="48"/>
  <c r="CM215" i="48"/>
  <c r="CM95" i="48"/>
  <c r="CM1120" i="48"/>
  <c r="CM49" i="48"/>
  <c r="CM415" i="48"/>
  <c r="CM598" i="48"/>
  <c r="CM580" i="48"/>
  <c r="CM825" i="48"/>
  <c r="CM335" i="48"/>
  <c r="CM485" i="48"/>
  <c r="CM284" i="48"/>
  <c r="CM588" i="48"/>
  <c r="CM640" i="48"/>
  <c r="CM875" i="48"/>
  <c r="CM1100" i="48"/>
  <c r="CM925" i="48"/>
  <c r="CM1157" i="48"/>
  <c r="CM795" i="48"/>
  <c r="CM448" i="48"/>
  <c r="CM1334" i="48"/>
  <c r="CM1059" i="48"/>
  <c r="CM1066" i="48"/>
  <c r="CM188" i="48"/>
  <c r="CM195" i="48"/>
  <c r="CM111" i="48"/>
  <c r="CM258" i="48"/>
  <c r="CM1207" i="48"/>
  <c r="CM871" i="48"/>
  <c r="CM130" i="48"/>
  <c r="CM137" i="48"/>
  <c r="CM312" i="48"/>
  <c r="CM356" i="48"/>
  <c r="CM11" i="48"/>
  <c r="CM374" i="48"/>
  <c r="CM475" i="48"/>
  <c r="CM525" i="48"/>
  <c r="CM650" i="48"/>
  <c r="CM400" i="48"/>
  <c r="CM71" i="48"/>
  <c r="CM55" i="48"/>
  <c r="CM620" i="48"/>
  <c r="CM609" i="48"/>
  <c r="CM957" i="48"/>
  <c r="CM1109" i="48"/>
  <c r="CM1114" i="48"/>
  <c r="CM907" i="48"/>
  <c r="CM575" i="48"/>
  <c r="CM700" i="48"/>
  <c r="CM943" i="48"/>
  <c r="CM1346" i="48"/>
  <c r="CM998" i="48"/>
  <c r="CM936" i="48"/>
  <c r="CM1140" i="48"/>
  <c r="CM1075" i="48"/>
  <c r="CM800" i="48"/>
  <c r="CM425" i="48"/>
  <c r="CM994" i="48"/>
  <c r="CM807" i="48"/>
  <c r="CM361" i="48"/>
  <c r="CM1205" i="48"/>
  <c r="CM1212" i="48"/>
  <c r="CM762" i="48"/>
  <c r="CM531" i="48"/>
  <c r="CM543" i="48"/>
  <c r="CM534" i="48"/>
  <c r="CM1320" i="48"/>
  <c r="CM370" i="48"/>
  <c r="CM292" i="48"/>
  <c r="CM887" i="48"/>
  <c r="CM899" i="48"/>
  <c r="CM573" i="48"/>
  <c r="CM564" i="48"/>
  <c r="CM1180" i="48"/>
  <c r="CM507" i="48"/>
  <c r="CM347" i="48"/>
  <c r="CM167" i="48"/>
  <c r="CM472" i="48"/>
  <c r="CM1019" i="48"/>
  <c r="CM216" i="48"/>
  <c r="CM92" i="48"/>
  <c r="CM89" i="48"/>
  <c r="CM611" i="48"/>
  <c r="CM42" i="48"/>
  <c r="CM275" i="48"/>
  <c r="CM546" i="48"/>
  <c r="CM1175" i="48"/>
  <c r="CM781" i="48"/>
  <c r="CM788" i="48"/>
  <c r="CM940" i="48"/>
  <c r="CM1056" i="48"/>
  <c r="CM192" i="48"/>
  <c r="CM190" i="48"/>
  <c r="CM813" i="48"/>
  <c r="CM810" i="48"/>
  <c r="CM470" i="48"/>
  <c r="CM241" i="48"/>
  <c r="CM1214" i="48"/>
  <c r="CM760" i="48"/>
  <c r="CM239" i="48"/>
  <c r="CM149" i="48"/>
  <c r="CM1309" i="48"/>
  <c r="CM338" i="48"/>
  <c r="CM706" i="48"/>
  <c r="CM585" i="48"/>
  <c r="CM388" i="48"/>
  <c r="CM1023" i="48"/>
  <c r="CM595" i="48"/>
  <c r="CM413" i="48"/>
  <c r="CM44" i="48"/>
  <c r="CM1318" i="48"/>
  <c r="CM764" i="48"/>
  <c r="CM1343" i="48"/>
  <c r="CM1013" i="48"/>
  <c r="CM1034" i="48"/>
  <c r="CM308" i="48"/>
  <c r="CM920" i="48"/>
  <c r="CM685" i="48"/>
  <c r="CM695" i="48"/>
  <c r="CM369" i="48"/>
  <c r="CM363" i="48"/>
  <c r="CM1125" i="48"/>
  <c r="CM837" i="48"/>
  <c r="CM986" i="48"/>
  <c r="CM967" i="48"/>
  <c r="CM1116" i="48"/>
  <c r="CM32" i="48"/>
  <c r="CM375" i="48"/>
  <c r="CM114" i="48"/>
  <c r="CM796" i="48"/>
  <c r="CM798" i="48"/>
  <c r="CM441" i="48"/>
  <c r="CM1069" i="48"/>
  <c r="CM182" i="48"/>
  <c r="CM823" i="48"/>
  <c r="CM821" i="48"/>
  <c r="CM1208" i="48"/>
  <c r="CM864" i="48"/>
  <c r="CM755" i="48"/>
  <c r="CM548" i="48"/>
  <c r="CM138" i="48"/>
  <c r="CM143" i="48"/>
  <c r="CM1325" i="48"/>
  <c r="CM844" i="48"/>
  <c r="CM1146" i="48"/>
  <c r="CM988" i="48"/>
  <c r="CM1256" i="48"/>
  <c r="CM893" i="48"/>
  <c r="CM1198" i="48"/>
  <c r="CM333" i="48"/>
  <c r="CM171" i="48"/>
  <c r="CM7" i="48"/>
  <c r="CM5" i="48"/>
  <c r="CM724" i="48"/>
  <c r="CM494" i="48"/>
  <c r="CM1338" i="48"/>
  <c r="CM735" i="48"/>
  <c r="CM384" i="48"/>
  <c r="CM1095" i="48"/>
  <c r="CM1091" i="48"/>
  <c r="CM1245" i="48"/>
  <c r="CM1231" i="48"/>
  <c r="CM1298" i="48"/>
  <c r="CM1038" i="48"/>
  <c r="CM1040" i="48"/>
  <c r="CM209" i="48"/>
  <c r="CM1275" i="48"/>
  <c r="CM1300" i="48"/>
  <c r="CM1250" i="48"/>
  <c r="CM600" i="48"/>
  <c r="CM1142" i="48"/>
  <c r="CM1340" i="48"/>
  <c r="CM25" i="48"/>
  <c r="CN26" i="48"/>
  <c r="CM550" i="48"/>
  <c r="CM357" i="48"/>
  <c r="CM261" i="48"/>
  <c r="CM850" i="48"/>
  <c r="CM371" i="48"/>
  <c r="CM992" i="48"/>
  <c r="CM939" i="48"/>
  <c r="CM1138" i="48"/>
  <c r="CM360" i="48"/>
  <c r="CM1131" i="48"/>
  <c r="CM886" i="48"/>
  <c r="CM717" i="48"/>
  <c r="CM1005" i="48"/>
  <c r="CM1018" i="48"/>
  <c r="CM1022" i="48"/>
  <c r="CM643" i="48"/>
  <c r="CM648" i="48"/>
  <c r="CM1336" i="48"/>
  <c r="CM740" i="48"/>
  <c r="CM1093" i="48"/>
  <c r="CM1090" i="48"/>
  <c r="CM1242" i="48"/>
  <c r="CM1284" i="48"/>
  <c r="CM1200" i="48"/>
  <c r="CM900" i="48"/>
  <c r="CM775" i="48"/>
  <c r="CM975" i="48"/>
  <c r="CM725" i="48"/>
  <c r="CM1169" i="48"/>
  <c r="CM1136" i="48"/>
  <c r="CM420" i="48"/>
  <c r="CM183" i="48"/>
  <c r="CM817" i="48"/>
  <c r="CM1133" i="48"/>
  <c r="CM120" i="48"/>
  <c r="CM1216" i="48"/>
  <c r="CM244" i="48"/>
  <c r="CM147" i="48"/>
  <c r="CM131" i="48"/>
  <c r="CM1313" i="48"/>
  <c r="CM1316" i="48"/>
  <c r="CM296" i="48"/>
  <c r="CM889" i="48"/>
  <c r="CM1182" i="48"/>
  <c r="CM1192" i="48"/>
  <c r="CM520" i="48"/>
  <c r="CM509" i="48"/>
  <c r="CM511" i="48"/>
  <c r="CM165" i="48"/>
  <c r="CM721" i="48"/>
  <c r="CM637" i="48"/>
  <c r="CM933" i="48"/>
  <c r="CM732" i="48"/>
  <c r="CM737" i="48"/>
  <c r="CM749" i="48"/>
  <c r="CM381" i="48"/>
  <c r="CM395" i="48"/>
  <c r="CM1084" i="48"/>
  <c r="CM1081" i="48"/>
  <c r="CM1237" i="48"/>
  <c r="CM1287" i="48"/>
  <c r="CM1031" i="48"/>
  <c r="CM211" i="48"/>
  <c r="CM220" i="48"/>
  <c r="CM82" i="48"/>
  <c r="CM99" i="48"/>
  <c r="CM67" i="48"/>
  <c r="CM62" i="48"/>
  <c r="CM680" i="48"/>
  <c r="CM1350" i="48"/>
  <c r="CM500" i="48"/>
  <c r="CM322" i="48"/>
  <c r="CM366" i="48"/>
  <c r="CM417" i="48"/>
  <c r="CM822" i="48"/>
  <c r="CM549" i="48"/>
  <c r="CM467" i="48"/>
  <c r="CM6" i="48"/>
  <c r="CM848" i="48"/>
  <c r="CM623" i="48"/>
  <c r="CM225" i="48"/>
  <c r="CM950" i="48"/>
  <c r="CM175" i="48"/>
  <c r="CM350" i="48"/>
  <c r="CM1164" i="48"/>
  <c r="CM785" i="48"/>
  <c r="CM197" i="48"/>
  <c r="CM818" i="48"/>
  <c r="CM815" i="48"/>
  <c r="CM820" i="48"/>
  <c r="CM867" i="48"/>
  <c r="CM765" i="48"/>
  <c r="CM1265" i="48"/>
  <c r="CM1272" i="48"/>
  <c r="CM568" i="48"/>
  <c r="CM559" i="48"/>
  <c r="CM463" i="48"/>
  <c r="CM23" i="48"/>
  <c r="CM1141" i="48"/>
  <c r="CM256" i="48"/>
  <c r="CM722" i="48"/>
  <c r="CM638" i="48"/>
  <c r="CM1241" i="48"/>
  <c r="CM368" i="48"/>
  <c r="CM59" i="48"/>
  <c r="CM61" i="48"/>
  <c r="CM612" i="48"/>
  <c r="CM972" i="48"/>
  <c r="CM1112" i="48"/>
  <c r="CM1124" i="48"/>
  <c r="CM1106" i="48"/>
  <c r="CM45" i="48"/>
  <c r="CM921" i="48"/>
  <c r="CM689" i="48"/>
  <c r="CM682" i="48"/>
  <c r="CM862" i="48"/>
  <c r="CM200" i="48"/>
  <c r="CM1161" i="48"/>
  <c r="CM1170" i="48"/>
  <c r="CM789" i="48"/>
  <c r="CM791" i="48"/>
  <c r="CM108" i="48"/>
  <c r="CM1064" i="48"/>
  <c r="CM1071" i="48"/>
  <c r="CM1062" i="48"/>
  <c r="CM421" i="48"/>
  <c r="CM184" i="48"/>
  <c r="CM811" i="48"/>
  <c r="CM435" i="48"/>
  <c r="CM317" i="48"/>
  <c r="CM1217" i="48"/>
  <c r="CM1220" i="48"/>
  <c r="CM857" i="48"/>
  <c r="CM860" i="48"/>
  <c r="CM236" i="48"/>
  <c r="CM247" i="48"/>
  <c r="CM134" i="48"/>
  <c r="CM141" i="48"/>
  <c r="CM132" i="48"/>
  <c r="CM1323" i="48"/>
  <c r="CM297" i="48"/>
  <c r="CM299" i="48"/>
  <c r="CM288" i="48"/>
  <c r="CM581" i="48"/>
  <c r="CM1269" i="48"/>
  <c r="CM896" i="48"/>
  <c r="CM890" i="48"/>
  <c r="CM558" i="48"/>
  <c r="CM1193" i="48"/>
  <c r="CM521" i="48"/>
  <c r="CM344" i="48"/>
  <c r="CM460" i="48"/>
  <c r="CM469" i="48"/>
  <c r="CM19" i="48"/>
  <c r="CM934" i="48"/>
  <c r="CM1349" i="48"/>
  <c r="CM365" i="48"/>
  <c r="CM1017" i="48"/>
  <c r="CM635" i="48"/>
  <c r="CM1149" i="48"/>
  <c r="CM744" i="48"/>
  <c r="CM387" i="48"/>
  <c r="CM1248" i="48"/>
  <c r="CM1234" i="48"/>
  <c r="CM1044" i="48"/>
  <c r="CM86" i="48"/>
  <c r="CM83" i="48"/>
  <c r="CM80" i="48"/>
  <c r="CM1111" i="48"/>
  <c r="CM39" i="48"/>
  <c r="CM913" i="48"/>
  <c r="CM150" i="48"/>
  <c r="CM50" i="48"/>
  <c r="CM750" i="48"/>
  <c r="CM1000" i="48"/>
  <c r="CM1158" i="48"/>
  <c r="CM1172" i="48"/>
  <c r="CM793" i="48"/>
  <c r="CM831" i="48"/>
  <c r="CM1060" i="48"/>
  <c r="CM1067" i="48"/>
  <c r="CM1074" i="48"/>
  <c r="CM405" i="48"/>
  <c r="CM407" i="48"/>
  <c r="CM444" i="48"/>
  <c r="CM1211" i="48"/>
  <c r="CM863" i="48"/>
  <c r="CM872" i="48"/>
  <c r="CM869" i="48"/>
  <c r="CM759" i="48"/>
  <c r="CM145" i="48"/>
  <c r="CM1308" i="48"/>
  <c r="CM1319" i="48"/>
  <c r="CM290" i="48"/>
  <c r="CM281" i="48"/>
  <c r="CM285" i="48"/>
  <c r="CM592" i="48"/>
  <c r="CM589" i="48"/>
  <c r="CM1266" i="48"/>
  <c r="CM1262" i="48"/>
  <c r="CM1260" i="48"/>
  <c r="CM1273" i="48"/>
  <c r="CM884" i="48"/>
  <c r="CM881" i="48"/>
  <c r="CM898" i="48"/>
  <c r="CM570" i="48"/>
  <c r="CM565" i="48"/>
  <c r="CM555" i="48"/>
  <c r="CM572" i="48"/>
  <c r="CM1186" i="48"/>
  <c r="CM1188" i="48"/>
  <c r="CM1184" i="48"/>
  <c r="CM515" i="48"/>
  <c r="CM512" i="48"/>
  <c r="CM524" i="48"/>
  <c r="CM518" i="48"/>
  <c r="CM346" i="48"/>
  <c r="CM340" i="48"/>
  <c r="CM168" i="48"/>
  <c r="CM166" i="48"/>
  <c r="CM473" i="48"/>
  <c r="CM457" i="48"/>
  <c r="CM9" i="48"/>
  <c r="CM16" i="48"/>
  <c r="CM13" i="48"/>
  <c r="CM711" i="48"/>
  <c r="CM713" i="48"/>
  <c r="CM1010" i="48"/>
  <c r="CM1012" i="48"/>
  <c r="CM632" i="48"/>
  <c r="CM747" i="48"/>
  <c r="CM738" i="48"/>
  <c r="CM399" i="48"/>
  <c r="CM396" i="48"/>
  <c r="CM1087" i="48"/>
  <c r="CM1099" i="48"/>
  <c r="CM1096" i="48"/>
  <c r="CM373" i="48"/>
  <c r="CM1235" i="48"/>
  <c r="CM1239" i="48"/>
  <c r="CM1288" i="48"/>
  <c r="CM1291" i="48"/>
  <c r="CM1049" i="48"/>
  <c r="CM221" i="48"/>
  <c r="CM97" i="48"/>
  <c r="CM94" i="48"/>
  <c r="CM88" i="48"/>
  <c r="CM70" i="48"/>
  <c r="CM57" i="48"/>
  <c r="CM617" i="48"/>
  <c r="CM622" i="48"/>
  <c r="CM619" i="48"/>
  <c r="CM608" i="48"/>
  <c r="CM962" i="48"/>
  <c r="CM1122" i="48"/>
  <c r="CM1119" i="48"/>
  <c r="CM1107" i="48"/>
  <c r="CM47" i="48"/>
  <c r="CM922" i="48"/>
  <c r="CM917" i="48"/>
  <c r="CM924" i="48"/>
  <c r="CM915" i="48"/>
  <c r="CM906" i="48"/>
  <c r="CM697" i="48"/>
  <c r="CM692" i="48"/>
  <c r="CM683" i="48"/>
  <c r="CM690" i="48"/>
  <c r="CM699" i="48"/>
  <c r="CM250" i="48"/>
  <c r="CM1162" i="48"/>
  <c r="CM1159" i="48"/>
  <c r="CM1163" i="48"/>
  <c r="CM1160" i="48"/>
  <c r="CM783" i="48"/>
  <c r="CM790" i="48"/>
  <c r="CM784" i="48"/>
  <c r="CM1072" i="48"/>
  <c r="CM1070" i="48"/>
  <c r="AJ1055" i="48"/>
  <c r="CM1054" i="48"/>
  <c r="CM1063" i="48"/>
  <c r="CM406" i="48"/>
  <c r="CM408" i="48"/>
  <c r="CM199" i="48"/>
  <c r="CM196" i="48"/>
  <c r="CM814" i="48"/>
  <c r="CM819" i="48"/>
  <c r="CM841" i="48"/>
  <c r="CM1344" i="48"/>
  <c r="CM999" i="48"/>
  <c r="CM1223" i="48"/>
  <c r="CM1210" i="48"/>
  <c r="CM1219" i="48"/>
  <c r="CM861" i="48"/>
  <c r="CM866" i="48"/>
  <c r="CM855" i="48"/>
  <c r="CM769" i="48"/>
  <c r="CM758" i="48"/>
  <c r="CM537" i="48"/>
  <c r="CM539" i="48"/>
  <c r="CM235" i="48"/>
  <c r="CM245" i="48"/>
  <c r="CM140" i="48"/>
  <c r="CM133" i="48"/>
  <c r="CM1310" i="48"/>
  <c r="CM1307" i="48"/>
  <c r="CM438" i="48"/>
  <c r="CM1331" i="48"/>
  <c r="CM319" i="48"/>
  <c r="CM121" i="48"/>
  <c r="CM298" i="48"/>
  <c r="CM289" i="48"/>
  <c r="CM286" i="48"/>
  <c r="CM586" i="48"/>
  <c r="CM597" i="48"/>
  <c r="AJ580" i="48"/>
  <c r="CM579" i="48"/>
  <c r="CM591" i="48"/>
  <c r="CM1263" i="48"/>
  <c r="CM1264" i="48"/>
  <c r="CM1267" i="48"/>
  <c r="CM1271" i="48"/>
  <c r="CM894" i="48"/>
  <c r="CM883" i="48"/>
  <c r="CM880" i="48"/>
  <c r="CM895" i="48"/>
  <c r="CM569" i="48"/>
  <c r="CM571" i="48"/>
  <c r="AJ555" i="48"/>
  <c r="CM554" i="48"/>
  <c r="CM556" i="48"/>
  <c r="CM1194" i="48"/>
  <c r="CM1185" i="48"/>
  <c r="CM1187" i="48"/>
  <c r="CM1183" i="48"/>
  <c r="CM513" i="48"/>
  <c r="CM343" i="48"/>
  <c r="CM330" i="48"/>
  <c r="CM348" i="48"/>
  <c r="CM161" i="48"/>
  <c r="CM162" i="48"/>
  <c r="CM174" i="48"/>
  <c r="CM458" i="48"/>
  <c r="CM455" i="48"/>
  <c r="CM462" i="48"/>
  <c r="CM459" i="48"/>
  <c r="CM456" i="48"/>
  <c r="CM468" i="48"/>
  <c r="CM14" i="48"/>
  <c r="CM21" i="48"/>
  <c r="CM18" i="48"/>
  <c r="CM15" i="48"/>
  <c r="CM22" i="48"/>
  <c r="CM931" i="48"/>
  <c r="CM443" i="48"/>
  <c r="CM116" i="48"/>
  <c r="CM989" i="48"/>
  <c r="CM714" i="48"/>
  <c r="CM710" i="48"/>
  <c r="CM715" i="48"/>
  <c r="CM712" i="48"/>
  <c r="CM484" i="48"/>
  <c r="CM486" i="48"/>
  <c r="CM1007" i="48"/>
  <c r="CM1025" i="48"/>
  <c r="CM1011" i="48"/>
  <c r="CM1015" i="48"/>
  <c r="CM1009" i="48"/>
  <c r="CM633" i="48"/>
  <c r="CM630" i="48"/>
  <c r="CM634" i="48"/>
  <c r="CM631" i="48"/>
  <c r="CM446" i="48"/>
  <c r="CM1143" i="48"/>
  <c r="CM122" i="48"/>
  <c r="CM364" i="48"/>
  <c r="CM746" i="48"/>
  <c r="CM743" i="48"/>
  <c r="CM386" i="48"/>
  <c r="CM397" i="48"/>
  <c r="AJ1080" i="48"/>
  <c r="CM1079" i="48"/>
  <c r="CM1086" i="48"/>
  <c r="CM1098" i="48"/>
  <c r="CM1082" i="48"/>
  <c r="CM846" i="48"/>
  <c r="CM1348" i="48"/>
  <c r="CM313" i="48"/>
  <c r="CM123" i="48"/>
  <c r="CM358" i="48"/>
  <c r="CM996" i="48"/>
  <c r="CM1233" i="48"/>
  <c r="CM1240" i="48"/>
  <c r="CM1247" i="48"/>
  <c r="CM1238" i="48"/>
  <c r="CM1290" i="48"/>
  <c r="CM1296" i="48"/>
  <c r="CM1280" i="48"/>
  <c r="AJ1030" i="48"/>
  <c r="CM1029" i="48"/>
  <c r="CM1048" i="48"/>
  <c r="CM1042" i="48"/>
  <c r="CM222" i="48"/>
  <c r="CM224" i="48"/>
  <c r="AJ80" i="48"/>
  <c r="CM79" i="48"/>
  <c r="CM96" i="48"/>
  <c r="CM85" i="48"/>
  <c r="CM949" i="48"/>
  <c r="CM434" i="48"/>
  <c r="CM1148" i="48"/>
  <c r="CM315" i="48"/>
  <c r="CM367" i="48"/>
  <c r="CM264" i="48"/>
  <c r="CM68" i="48"/>
  <c r="CM74" i="48"/>
  <c r="CM56" i="48"/>
  <c r="CM60" i="48"/>
  <c r="CM615" i="48"/>
  <c r="AJ605" i="48"/>
  <c r="CM604" i="48"/>
  <c r="CM616" i="48"/>
  <c r="CM621" i="48"/>
  <c r="CM607" i="48"/>
  <c r="CM963" i="48"/>
  <c r="CM960" i="48"/>
  <c r="AJ1105" i="48"/>
  <c r="CM1104" i="48"/>
  <c r="CM1121" i="48"/>
  <c r="CM1110" i="48"/>
  <c r="CM36" i="48"/>
  <c r="CM48" i="48"/>
  <c r="CM910" i="48"/>
  <c r="CM905" i="48"/>
  <c r="CM914" i="48"/>
  <c r="CM911" i="48"/>
  <c r="CM687" i="48"/>
  <c r="CM693" i="48"/>
  <c r="CM681" i="48"/>
  <c r="CM107" i="48"/>
  <c r="CM316" i="48"/>
  <c r="CM267" i="48"/>
  <c r="CM1171" i="48"/>
  <c r="CM1168" i="48"/>
  <c r="CM1165" i="48"/>
  <c r="CM792" i="48"/>
  <c r="CM786" i="48"/>
  <c r="CM797" i="48"/>
  <c r="CM946" i="48"/>
  <c r="CM1061" i="48"/>
  <c r="CM1057" i="48"/>
  <c r="CM1068" i="48"/>
  <c r="CM414" i="48"/>
  <c r="CM419" i="48"/>
  <c r="AJ180" i="48"/>
  <c r="CM179" i="48"/>
  <c r="CM181" i="48"/>
  <c r="CM193" i="48"/>
  <c r="CM816" i="48"/>
  <c r="CM842" i="48"/>
  <c r="CM1137" i="48"/>
  <c r="CM982" i="48"/>
  <c r="CM1218" i="48"/>
  <c r="CM1221" i="48"/>
  <c r="CM1215" i="48"/>
  <c r="CM858" i="48"/>
  <c r="CM859" i="48"/>
  <c r="CM868" i="48"/>
  <c r="AJ755" i="48"/>
  <c r="CM754" i="48"/>
  <c r="CM766" i="48"/>
  <c r="CM535" i="48"/>
  <c r="CM547" i="48"/>
  <c r="CM544" i="48"/>
  <c r="AJ230" i="48"/>
  <c r="CM229" i="48"/>
  <c r="CM240" i="48"/>
  <c r="CM242" i="48"/>
  <c r="CM139" i="48"/>
  <c r="CM144" i="48"/>
  <c r="CM146" i="48"/>
  <c r="CM1322" i="48"/>
  <c r="CM1324" i="48"/>
  <c r="CM1317" i="48"/>
  <c r="CM1315" i="48"/>
  <c r="CM1312" i="48"/>
  <c r="CM838" i="48"/>
  <c r="CM439" i="48"/>
  <c r="CM259" i="48"/>
  <c r="CM280" i="48"/>
  <c r="CM294" i="48"/>
  <c r="CM283" i="48"/>
  <c r="CM582" i="48"/>
  <c r="CM587" i="48"/>
  <c r="CM599" i="48"/>
  <c r="CM1261" i="48"/>
  <c r="AJ1255" i="48"/>
  <c r="CM1254" i="48"/>
  <c r="CM1274" i="48"/>
  <c r="AJ880" i="48"/>
  <c r="CM879" i="48"/>
  <c r="CM891" i="48"/>
  <c r="CM888" i="48"/>
  <c r="CM885" i="48"/>
  <c r="CM892" i="48"/>
  <c r="CM561" i="48"/>
  <c r="CM1190" i="48"/>
  <c r="CM1197" i="48"/>
  <c r="CM1195" i="48"/>
  <c r="CM1191" i="48"/>
  <c r="CM517" i="48"/>
  <c r="CM522" i="48"/>
  <c r="CM519" i="48"/>
  <c r="CM508" i="48"/>
  <c r="CM510" i="48"/>
  <c r="CM336" i="48"/>
  <c r="CM332" i="48"/>
  <c r="CM337" i="48"/>
  <c r="CM158" i="48"/>
  <c r="CM170" i="48"/>
  <c r="CM159" i="48"/>
  <c r="CM164" i="48"/>
  <c r="CM464" i="48"/>
  <c r="CM461" i="48"/>
  <c r="CM20" i="48"/>
  <c r="CM449" i="48"/>
  <c r="CM718" i="48"/>
  <c r="CM723" i="48"/>
  <c r="CM720" i="48"/>
  <c r="CM716" i="48"/>
  <c r="CM489" i="48"/>
  <c r="CM491" i="48"/>
  <c r="AJ1005" i="48"/>
  <c r="CM1004" i="48"/>
  <c r="CM1014" i="48"/>
  <c r="CM1008" i="48"/>
  <c r="CM1020" i="48"/>
  <c r="CM642" i="48"/>
  <c r="CM639" i="48"/>
  <c r="CM636" i="48"/>
  <c r="CM843" i="48"/>
  <c r="CM1337" i="48"/>
  <c r="CM1144" i="48"/>
  <c r="CM273" i="48"/>
  <c r="CM984" i="48"/>
  <c r="CM745" i="48"/>
  <c r="CM734" i="48"/>
  <c r="CM731" i="48"/>
  <c r="CM736" i="48"/>
  <c r="CM748" i="48"/>
  <c r="CM394" i="48"/>
  <c r="CM382" i="48"/>
  <c r="AJ380" i="48"/>
  <c r="CM379" i="48"/>
  <c r="CM1092" i="48"/>
  <c r="CM1089" i="48"/>
  <c r="CM1094" i="48"/>
  <c r="CM1083" i="48"/>
  <c r="CM1080" i="48"/>
  <c r="CM932" i="48"/>
  <c r="CM440" i="48"/>
  <c r="CM1339" i="48"/>
  <c r="CM314" i="48"/>
  <c r="CM106" i="48"/>
  <c r="CM260" i="48"/>
  <c r="CM987" i="48"/>
  <c r="CM1236" i="48"/>
  <c r="CM1230" i="48"/>
  <c r="CM1244" i="48"/>
  <c r="CM1249" i="48"/>
  <c r="CM1282" i="48"/>
  <c r="CM1286" i="48"/>
  <c r="CM1297" i="48"/>
  <c r="CM1283" i="48"/>
  <c r="CM1299" i="48"/>
  <c r="CM1039" i="48"/>
  <c r="CM1036" i="48"/>
  <c r="CM1033" i="48"/>
  <c r="CM1030" i="48"/>
  <c r="CM219" i="48"/>
  <c r="AJ205" i="48"/>
  <c r="CM204" i="48"/>
  <c r="CM206" i="48"/>
  <c r="CM87" i="48"/>
  <c r="CM84" i="48"/>
  <c r="CM81" i="48"/>
  <c r="CM93" i="48"/>
  <c r="CM98" i="48"/>
  <c r="CM833" i="48"/>
  <c r="CM1342" i="48"/>
  <c r="CM1134" i="48"/>
  <c r="CM112" i="48"/>
  <c r="CM985" i="48"/>
  <c r="CM73" i="48"/>
  <c r="CM64" i="48"/>
  <c r="CM624" i="48"/>
  <c r="CM618" i="48"/>
  <c r="CM605" i="48"/>
  <c r="CM968" i="48"/>
  <c r="CM965" i="48"/>
  <c r="CM1118" i="48"/>
  <c r="CM1115" i="48"/>
  <c r="CM31" i="48"/>
  <c r="CM33" i="48"/>
  <c r="CM918" i="48"/>
  <c r="CM923" i="48"/>
  <c r="CM919" i="48"/>
  <c r="CM908" i="48"/>
  <c r="CM684" i="48"/>
  <c r="CM698" i="48"/>
  <c r="CM694" i="48"/>
  <c r="CM362" i="48"/>
  <c r="CM836" i="48"/>
  <c r="AJ1155" i="48"/>
  <c r="CM1154" i="48"/>
  <c r="CM1167" i="48"/>
  <c r="CM1173" i="48"/>
  <c r="CM782" i="48"/>
  <c r="AJ780" i="48"/>
  <c r="CM779" i="48"/>
  <c r="CM995" i="48"/>
  <c r="CM1073" i="48"/>
  <c r="CM422" i="48"/>
  <c r="AJ405" i="48"/>
  <c r="CM404" i="48"/>
  <c r="CM416" i="48"/>
  <c r="CM198" i="48"/>
  <c r="CM186" i="48"/>
  <c r="AJ805" i="48"/>
  <c r="CM804" i="48"/>
  <c r="CM824" i="48"/>
  <c r="CM272" i="48"/>
  <c r="CM1224" i="48"/>
  <c r="AJ855" i="48"/>
  <c r="CM854" i="48"/>
  <c r="CM865" i="48"/>
  <c r="CM774" i="48"/>
  <c r="CM772" i="48"/>
  <c r="AJ530" i="48"/>
  <c r="CM529" i="48"/>
  <c r="CM230" i="48"/>
  <c r="AJ1305" i="48"/>
  <c r="CM1304" i="48"/>
  <c r="CM947" i="48"/>
  <c r="CM1347" i="48"/>
  <c r="CM318" i="48"/>
  <c r="CM584" i="48"/>
  <c r="CM1259" i="48"/>
  <c r="CM897" i="48"/>
  <c r="CM566" i="48"/>
  <c r="CM567" i="48"/>
  <c r="CM1199" i="48"/>
  <c r="CM1181" i="48"/>
  <c r="AJ505" i="48"/>
  <c r="CM504" i="48"/>
  <c r="CM516" i="48"/>
  <c r="CM345" i="48"/>
  <c r="CM334" i="48"/>
  <c r="CM172" i="48"/>
  <c r="CM169" i="48"/>
  <c r="CM466" i="48"/>
  <c r="CM8" i="48"/>
  <c r="CM12" i="48"/>
  <c r="CM839" i="48"/>
  <c r="CM1132" i="48"/>
  <c r="CM262" i="48"/>
  <c r="AJ705" i="48"/>
  <c r="CM704" i="48"/>
  <c r="CM705" i="48"/>
  <c r="CM709" i="48"/>
  <c r="CM495" i="48"/>
  <c r="CM499" i="48"/>
  <c r="CM496" i="48"/>
  <c r="CM647" i="48"/>
  <c r="CM644" i="48"/>
  <c r="CM937" i="48"/>
  <c r="CM849" i="48"/>
  <c r="CM266" i="48"/>
  <c r="CM742" i="48"/>
  <c r="CM739" i="48"/>
  <c r="CM733" i="48"/>
  <c r="CM730" i="48"/>
  <c r="CM391" i="48"/>
  <c r="CM1097" i="48"/>
  <c r="CM1088" i="48"/>
  <c r="CM1085" i="48"/>
  <c r="CM938" i="48"/>
  <c r="CM433" i="48"/>
  <c r="CM320" i="48"/>
  <c r="CM372" i="48"/>
  <c r="CM269" i="48"/>
  <c r="AJ1230" i="48"/>
  <c r="CM1229" i="48"/>
  <c r="AJ1280" i="48"/>
  <c r="CM1279" i="48"/>
  <c r="CM1285" i="48"/>
  <c r="CM1289" i="48"/>
  <c r="CM1295" i="48"/>
  <c r="CM212" i="48"/>
  <c r="CM847" i="48"/>
  <c r="CM1335" i="48"/>
  <c r="CM118" i="48"/>
  <c r="CM359" i="48"/>
  <c r="CM991" i="48"/>
  <c r="CM72" i="48"/>
  <c r="CM69" i="48"/>
  <c r="CM58" i="48"/>
  <c r="CM613" i="48"/>
  <c r="AJ955" i="48"/>
  <c r="CM954" i="48"/>
  <c r="CM973" i="48"/>
  <c r="CM970" i="48"/>
  <c r="CM1123" i="48"/>
  <c r="CM1105" i="48"/>
  <c r="CM46" i="48"/>
  <c r="AJ905" i="48"/>
  <c r="CM904" i="48"/>
  <c r="CM916" i="48"/>
  <c r="CM686" i="48"/>
  <c r="AJ680" i="48"/>
  <c r="CM679" i="48"/>
  <c r="CM691" i="48"/>
  <c r="CM310" i="48"/>
  <c r="CM1135" i="48"/>
  <c r="CM321" i="48"/>
  <c r="CM1174" i="48"/>
  <c r="CM1155" i="48"/>
  <c r="CM799" i="48"/>
  <c r="CM780" i="48"/>
  <c r="CM794" i="48"/>
  <c r="CM787" i="48"/>
  <c r="CM432" i="48"/>
  <c r="CM109" i="48"/>
  <c r="CM271" i="48"/>
  <c r="CM1065" i="48"/>
  <c r="CM1058" i="48"/>
  <c r="CM1055" i="48"/>
  <c r="CM424" i="48"/>
  <c r="CM411" i="48"/>
  <c r="CM189" i="48"/>
  <c r="CM180" i="48"/>
  <c r="CM187" i="48"/>
  <c r="CM194" i="48"/>
  <c r="CM191" i="48"/>
  <c r="CM808" i="48"/>
  <c r="CM805" i="48"/>
  <c r="CM812" i="48"/>
  <c r="CM809" i="48"/>
  <c r="CM806" i="48"/>
  <c r="CM941" i="48"/>
  <c r="CM323" i="48"/>
  <c r="CM993" i="48"/>
  <c r="AJ1205" i="48"/>
  <c r="CM1204" i="48"/>
  <c r="CM1209" i="48"/>
  <c r="CM1206" i="48"/>
  <c r="CM1213" i="48"/>
  <c r="CM873" i="48"/>
  <c r="CM870" i="48"/>
  <c r="CM763" i="48"/>
  <c r="CM756" i="48"/>
  <c r="CM761" i="48"/>
  <c r="CM536" i="48"/>
  <c r="CM530" i="48"/>
  <c r="CM532" i="48"/>
  <c r="CM542" i="48"/>
  <c r="CM231" i="48"/>
  <c r="CM238" i="48"/>
  <c r="CM232" i="48"/>
  <c r="CM135" i="48"/>
  <c r="CM142" i="48"/>
  <c r="AJ130" i="48"/>
  <c r="CM129" i="48"/>
  <c r="CM136" i="48"/>
  <c r="CM148" i="48"/>
  <c r="CM1305" i="48"/>
  <c r="CM1311" i="48"/>
  <c r="CM845" i="48"/>
  <c r="CM115" i="48"/>
  <c r="CM291" i="48"/>
  <c r="AJ280" i="48"/>
  <c r="CM279" i="48"/>
  <c r="CM594" i="48"/>
  <c r="CM1270" i="48"/>
  <c r="CM882" i="48"/>
  <c r="CM574" i="48"/>
  <c r="CM563" i="48"/>
  <c r="CM1189" i="48"/>
  <c r="AJ1180" i="48"/>
  <c r="CM1179" i="48"/>
  <c r="CM506" i="48"/>
  <c r="AJ330" i="48"/>
  <c r="CM329" i="48"/>
  <c r="CM342" i="48"/>
  <c r="CM157" i="48"/>
  <c r="AJ155" i="48"/>
  <c r="CM154" i="48"/>
  <c r="AJ455" i="48"/>
  <c r="CM454" i="48"/>
  <c r="CM474" i="48"/>
  <c r="CM471" i="48"/>
  <c r="CM10" i="48"/>
  <c r="CM17" i="48"/>
  <c r="CM948" i="48"/>
  <c r="CM442" i="48"/>
  <c r="CM1333" i="48"/>
  <c r="CM110" i="48"/>
  <c r="CM983" i="48"/>
  <c r="CM707" i="48"/>
  <c r="AJ480" i="48"/>
  <c r="CM479" i="48"/>
  <c r="CM481" i="48"/>
  <c r="CM1006" i="48"/>
  <c r="AJ630" i="48"/>
  <c r="CM629" i="48"/>
  <c r="CM649" i="48"/>
  <c r="CM935" i="48"/>
  <c r="CM445" i="48"/>
  <c r="CM324" i="48"/>
  <c r="CM257" i="48"/>
  <c r="AJ730" i="48"/>
  <c r="CM729" i="48"/>
  <c r="CM741" i="48"/>
  <c r="CM392" i="48"/>
  <c r="CM389" i="48"/>
  <c r="CM832" i="48"/>
  <c r="CM447" i="48"/>
  <c r="CM1139" i="48"/>
  <c r="CM117" i="48"/>
  <c r="CM990" i="48"/>
  <c r="CM1243" i="48"/>
  <c r="CM1246" i="48"/>
  <c r="CM1035" i="48"/>
  <c r="CM1045" i="48"/>
  <c r="CM217" i="48"/>
  <c r="CM214" i="48"/>
  <c r="CM91" i="48"/>
  <c r="CM942" i="48"/>
  <c r="CM436" i="48"/>
  <c r="CM1341" i="48"/>
  <c r="CM309" i="48"/>
  <c r="CM124" i="48"/>
  <c r="CM263" i="48"/>
  <c r="CM997" i="48"/>
  <c r="AJ55" i="48"/>
  <c r="CM54" i="48"/>
  <c r="CM66" i="48"/>
  <c r="CM63" i="48"/>
  <c r="CM610" i="48"/>
  <c r="CM958" i="48"/>
  <c r="CM955" i="48"/>
  <c r="CM1113" i="48"/>
  <c r="AJ30" i="48"/>
  <c r="CM29" i="48"/>
  <c r="CM41" i="48"/>
  <c r="CM43" i="48"/>
  <c r="CM944" i="48"/>
  <c r="CM835" i="48"/>
  <c r="CM1345" i="48"/>
  <c r="CM311" i="48"/>
  <c r="CN1165" i="48"/>
  <c r="CN786" i="48"/>
  <c r="CN982" i="48"/>
  <c r="CN419" i="48"/>
  <c r="CN816" i="48"/>
  <c r="CN843" i="48"/>
  <c r="CN112" i="48"/>
  <c r="CN868" i="48"/>
  <c r="CN859" i="48"/>
  <c r="CN766" i="48"/>
  <c r="CN547" i="48"/>
  <c r="CN260" i="48"/>
  <c r="CN892" i="48"/>
  <c r="CN561" i="48"/>
  <c r="CN1197" i="48"/>
  <c r="CN242" i="48"/>
  <c r="CN440" i="48"/>
  <c r="CN1191" i="48"/>
  <c r="CN337" i="48"/>
  <c r="CN723" i="48"/>
  <c r="CN491" i="48"/>
  <c r="CN642" i="48"/>
  <c r="CN106" i="48"/>
  <c r="CN985" i="48"/>
  <c r="CN318" i="48"/>
  <c r="CN362" i="48"/>
  <c r="CN544" i="48"/>
  <c r="CN294" i="48"/>
  <c r="CN888" i="48"/>
  <c r="CN334" i="48"/>
  <c r="CN496" i="48"/>
  <c r="CN1339" i="48"/>
  <c r="CN736" i="48"/>
  <c r="CN1130" i="48"/>
  <c r="CN321" i="48"/>
  <c r="CN72" i="48"/>
  <c r="CN908" i="48"/>
  <c r="CN686" i="48"/>
  <c r="CN159" i="48"/>
  <c r="CN464" i="48"/>
  <c r="CN720" i="48"/>
  <c r="CN995" i="48"/>
  <c r="CN1259" i="48"/>
  <c r="CN1181" i="48"/>
  <c r="CN345" i="48"/>
  <c r="CN647" i="48"/>
  <c r="CN636" i="48"/>
  <c r="CN938" i="48"/>
  <c r="CN946" i="48"/>
  <c r="CN438" i="48"/>
  <c r="CN993" i="48"/>
  <c r="CN1159" i="48"/>
  <c r="CN794" i="48"/>
  <c r="CN795" i="48"/>
  <c r="CN940" i="48"/>
  <c r="CN832" i="48"/>
  <c r="CN1139" i="48"/>
  <c r="CN110" i="48"/>
  <c r="CN1061" i="48"/>
  <c r="CN1068" i="48"/>
  <c r="CN406" i="48"/>
  <c r="CN408" i="48"/>
  <c r="CN809" i="48"/>
  <c r="CN806" i="48"/>
  <c r="CN813" i="48"/>
  <c r="CN942" i="48"/>
  <c r="CN445" i="48"/>
  <c r="CN1143" i="48"/>
  <c r="CN1210" i="48"/>
  <c r="CN1207" i="48"/>
  <c r="CN1214" i="48"/>
  <c r="CN873" i="48"/>
  <c r="CN870" i="48"/>
  <c r="CN764" i="48"/>
  <c r="CN758" i="48"/>
  <c r="CN537" i="48"/>
  <c r="CN232" i="48"/>
  <c r="CN136" i="48"/>
  <c r="CN1309" i="48"/>
  <c r="CN1307" i="48"/>
  <c r="CN1312" i="48"/>
  <c r="CN931" i="48"/>
  <c r="CN846" i="48"/>
  <c r="CN1341" i="48"/>
  <c r="CN283" i="48"/>
  <c r="CN286" i="48"/>
  <c r="CN594" i="48"/>
  <c r="CN591" i="48"/>
  <c r="CN1267" i="48"/>
  <c r="CN1263" i="48"/>
  <c r="CN1261" i="48"/>
  <c r="CN1271" i="48"/>
  <c r="CN885" i="48"/>
  <c r="CN883" i="48"/>
  <c r="CN571" i="48"/>
  <c r="CN556" i="48"/>
  <c r="CN1187" i="48"/>
  <c r="CN1189" i="48"/>
  <c r="CN513" i="48"/>
  <c r="CN342" i="48"/>
  <c r="CN157" i="48"/>
  <c r="CN443" i="48"/>
  <c r="CN364" i="48"/>
  <c r="CN984" i="48"/>
  <c r="CN712" i="48"/>
  <c r="CN484" i="48"/>
  <c r="CN481" i="48"/>
  <c r="CN446" i="48"/>
  <c r="CN1337" i="48"/>
  <c r="CN741" i="48"/>
  <c r="CN748" i="48"/>
  <c r="CN397" i="48"/>
  <c r="CN394" i="48"/>
  <c r="CN1094" i="48"/>
  <c r="CN833" i="48"/>
  <c r="CN1243" i="48"/>
  <c r="CN1244" i="48"/>
  <c r="CN1236" i="48"/>
  <c r="CN1247" i="48"/>
  <c r="CN1048" i="48"/>
  <c r="CN1036" i="48"/>
  <c r="CN98" i="48"/>
  <c r="CN1342" i="48"/>
  <c r="CN618" i="48"/>
  <c r="CN963" i="48"/>
  <c r="CN960" i="48"/>
  <c r="CN1121" i="48"/>
  <c r="CN923" i="48"/>
  <c r="CN698" i="48"/>
  <c r="CN693" i="48"/>
  <c r="CN639" i="48"/>
  <c r="CN1283" i="48"/>
  <c r="CN206" i="48"/>
  <c r="CN919" i="48"/>
  <c r="CN431" i="48"/>
  <c r="CN273" i="48"/>
  <c r="CN865" i="48"/>
  <c r="CN897" i="48"/>
  <c r="CN508" i="48"/>
  <c r="CN172" i="48"/>
  <c r="CN495" i="48"/>
  <c r="CN1020" i="48"/>
  <c r="CN1163" i="48"/>
  <c r="CN1160" i="48"/>
  <c r="CN784" i="48"/>
  <c r="CN838" i="48"/>
  <c r="CN1137" i="48"/>
  <c r="CN358" i="48"/>
  <c r="CN814" i="48"/>
  <c r="CN1134" i="48"/>
  <c r="CN121" i="48"/>
  <c r="CN539" i="48"/>
  <c r="CN245" i="48"/>
  <c r="CN1310" i="48"/>
  <c r="CN439" i="48"/>
  <c r="CN122" i="48"/>
  <c r="CN587" i="48"/>
  <c r="CN1264" i="48"/>
  <c r="CN895" i="48"/>
  <c r="CN1195" i="48"/>
  <c r="CN1183" i="48"/>
  <c r="CN510" i="48"/>
  <c r="CN162" i="48"/>
  <c r="CN459" i="48"/>
  <c r="CN456" i="48"/>
  <c r="CN932" i="48"/>
  <c r="CN715" i="48"/>
  <c r="CN489" i="48"/>
  <c r="CN486" i="48"/>
  <c r="CN634" i="48"/>
  <c r="CN631" i="48"/>
  <c r="CN1144" i="48"/>
  <c r="CN123" i="48"/>
  <c r="CN987" i="48"/>
  <c r="CN382" i="48"/>
  <c r="CN1082" i="48"/>
  <c r="CN314" i="48"/>
  <c r="CN1238" i="48"/>
  <c r="CN1033" i="48"/>
  <c r="CN224" i="48"/>
  <c r="CN316" i="48"/>
  <c r="CN68" i="48"/>
  <c r="CN616" i="48"/>
  <c r="CN911" i="48"/>
  <c r="CN681" i="48"/>
  <c r="CN1011" i="48"/>
  <c r="CN1006" i="48"/>
  <c r="CN367" i="48"/>
  <c r="CN1331" i="48"/>
  <c r="CN313" i="48"/>
  <c r="CN315" i="48"/>
  <c r="CN841" i="48"/>
  <c r="CN1148" i="48"/>
  <c r="CN996" i="48"/>
  <c r="CN1063" i="48"/>
  <c r="CN1070" i="48"/>
  <c r="CN1348" i="48"/>
  <c r="CN989" i="48"/>
  <c r="CN434" i="48"/>
  <c r="CN422" i="48"/>
  <c r="CN1157" i="48"/>
  <c r="CN781" i="48"/>
  <c r="CN1007" i="48"/>
  <c r="CN633" i="48"/>
  <c r="CN1240" i="48"/>
  <c r="CN623" i="48"/>
  <c r="CN1175" i="48"/>
  <c r="CN788" i="48"/>
  <c r="CN1066" i="48"/>
  <c r="CN1185" i="48"/>
  <c r="CN519" i="48"/>
  <c r="CN343" i="48"/>
  <c r="CN458" i="48"/>
  <c r="CN714" i="48"/>
  <c r="CN718" i="48"/>
  <c r="CN918" i="48"/>
  <c r="CN836" i="48"/>
  <c r="CN1059" i="48"/>
  <c r="CN1056" i="48"/>
  <c r="CN413" i="48"/>
  <c r="CN810" i="48"/>
  <c r="CN871" i="48"/>
  <c r="CN760" i="48"/>
  <c r="CN1190" i="48"/>
  <c r="CN684" i="48"/>
  <c r="CN882" i="48"/>
  <c r="CN291" i="48"/>
  <c r="CN790" i="48"/>
  <c r="CN1072" i="48"/>
  <c r="CN597" i="48"/>
  <c r="CN348" i="48"/>
  <c r="CN743" i="48"/>
  <c r="CN1098" i="48"/>
  <c r="CN1315" i="48"/>
  <c r="CN332" i="48"/>
  <c r="CN1322" i="48"/>
  <c r="CN461" i="48"/>
  <c r="CN800" i="48"/>
  <c r="CN186" i="48"/>
  <c r="CN567" i="48"/>
  <c r="CN361" i="48"/>
  <c r="CN1212" i="48"/>
  <c r="CN864" i="48"/>
  <c r="CN762" i="48"/>
  <c r="CN534" i="48"/>
  <c r="CN543" i="48"/>
  <c r="CN1132" i="48"/>
  <c r="CN370" i="48"/>
  <c r="CN292" i="48"/>
  <c r="CN887" i="48"/>
  <c r="CN566" i="48"/>
  <c r="CN347" i="48"/>
  <c r="CN472" i="48"/>
  <c r="CN709" i="48"/>
  <c r="CN644" i="48"/>
  <c r="CN739" i="48"/>
  <c r="CN391" i="48"/>
  <c r="CN1088" i="48"/>
  <c r="CN991" i="48"/>
  <c r="CN1285" i="48"/>
  <c r="CN1295" i="48"/>
  <c r="CN1289" i="48"/>
  <c r="CN609" i="48"/>
  <c r="CN957" i="48"/>
  <c r="CN1123" i="48"/>
  <c r="CN1114" i="48"/>
  <c r="CN907" i="48"/>
  <c r="CN691" i="48"/>
  <c r="CN1347" i="48"/>
  <c r="CN320" i="48"/>
  <c r="CN372" i="48"/>
  <c r="CN433" i="48"/>
  <c r="CN807" i="48"/>
  <c r="CN531" i="48"/>
  <c r="CN1320" i="48"/>
  <c r="CN595" i="48"/>
  <c r="CN573" i="48"/>
  <c r="CN564" i="48"/>
  <c r="CN516" i="48"/>
  <c r="CN507" i="48"/>
  <c r="CN1019" i="48"/>
  <c r="CN1023" i="48"/>
  <c r="CN1013" i="48"/>
  <c r="CN742" i="48"/>
  <c r="CN1097" i="48"/>
  <c r="CN1091" i="48"/>
  <c r="CN310" i="48"/>
  <c r="CN620" i="48"/>
  <c r="CN611" i="48"/>
  <c r="CN1109" i="48"/>
  <c r="CN916" i="48"/>
  <c r="CN1335" i="48"/>
  <c r="CN1135" i="48"/>
  <c r="CN1115" i="48"/>
  <c r="CN1173" i="48"/>
  <c r="CN1075" i="48"/>
  <c r="CN425" i="48"/>
  <c r="CN994" i="48"/>
  <c r="CN575" i="48"/>
  <c r="CN525" i="48"/>
  <c r="CN475" i="48"/>
  <c r="CN1334" i="48"/>
  <c r="CN650" i="48"/>
  <c r="CN936" i="48"/>
  <c r="CN325" i="48"/>
  <c r="CN356" i="48"/>
  <c r="CN400" i="48"/>
  <c r="CN448" i="48"/>
  <c r="CN1140" i="48"/>
  <c r="CN1050" i="48"/>
  <c r="CN943" i="48"/>
  <c r="CN998" i="48"/>
  <c r="CN1346" i="48"/>
  <c r="CN312" i="48"/>
  <c r="CN1215" i="48"/>
  <c r="CN1317" i="48"/>
  <c r="CN1265" i="48"/>
  <c r="CN1272" i="48"/>
  <c r="CN716" i="48"/>
  <c r="CN1008" i="48"/>
  <c r="CN638" i="48"/>
  <c r="CN1083" i="48"/>
  <c r="CN1241" i="48"/>
  <c r="CN1282" i="48"/>
  <c r="CN1297" i="48"/>
  <c r="CN368" i="48"/>
  <c r="CN968" i="48"/>
  <c r="CN965" i="48"/>
  <c r="CN1118" i="48"/>
  <c r="CN689" i="48"/>
  <c r="CN694" i="48"/>
  <c r="CN682" i="48"/>
  <c r="CN700" i="48"/>
  <c r="CN1170" i="48"/>
  <c r="CN782" i="48"/>
  <c r="CN1073" i="48"/>
  <c r="CN1220" i="48"/>
  <c r="CN772" i="48"/>
  <c r="CN937" i="48"/>
  <c r="CN297" i="48"/>
  <c r="CN288" i="48"/>
  <c r="CN581" i="48"/>
  <c r="CN1269" i="48"/>
  <c r="CN890" i="48"/>
  <c r="CN896" i="48"/>
  <c r="CN558" i="48"/>
  <c r="CN1193" i="48"/>
  <c r="CN521" i="48"/>
  <c r="CN1017" i="48"/>
  <c r="CN733" i="48"/>
  <c r="CN744" i="48"/>
  <c r="CN387" i="48"/>
  <c r="CN1085" i="48"/>
  <c r="CN847" i="48"/>
  <c r="CN359" i="48"/>
  <c r="CN1234" i="48"/>
  <c r="CN1248" i="48"/>
  <c r="CN1044" i="48"/>
  <c r="CN1111" i="48"/>
  <c r="CN913" i="48"/>
  <c r="CN593" i="48"/>
  <c r="CN1167" i="48"/>
  <c r="CN1169" i="48"/>
  <c r="CN796" i="48"/>
  <c r="CN798" i="48"/>
  <c r="CN947" i="48"/>
  <c r="CN1062" i="48"/>
  <c r="CN1069" i="48"/>
  <c r="CN416" i="48"/>
  <c r="CN420" i="48"/>
  <c r="CN819" i="48"/>
  <c r="CN823" i="48"/>
  <c r="CN821" i="48"/>
  <c r="CN817" i="48"/>
  <c r="CN1223" i="48"/>
  <c r="CN1208" i="48"/>
  <c r="CN1219" i="48"/>
  <c r="CN1216" i="48"/>
  <c r="CN860" i="48"/>
  <c r="CN769" i="48"/>
  <c r="CN1323" i="48"/>
  <c r="CN839" i="48"/>
  <c r="CN584" i="48"/>
  <c r="CN466" i="48"/>
  <c r="CN468" i="48"/>
  <c r="CN1015" i="48"/>
  <c r="CN1009" i="48"/>
  <c r="CN1338" i="48"/>
  <c r="CN384" i="48"/>
  <c r="CN1231" i="48"/>
  <c r="CN1038" i="48"/>
  <c r="CN1040" i="48"/>
  <c r="CN613" i="48"/>
  <c r="CN973" i="48"/>
  <c r="CN970" i="48"/>
  <c r="CN1330" i="48"/>
  <c r="CN1156" i="48"/>
  <c r="CN412" i="48"/>
  <c r="CN875" i="48"/>
  <c r="CN874" i="48"/>
  <c r="CN1306" i="48"/>
  <c r="CN1274" i="48"/>
  <c r="CN474" i="48"/>
  <c r="CN483" i="48"/>
  <c r="CN482" i="48"/>
  <c r="CN649" i="48"/>
  <c r="CN630" i="48"/>
  <c r="CN629" i="48"/>
  <c r="CN730" i="48"/>
  <c r="CN729" i="48"/>
  <c r="CN393" i="48"/>
  <c r="CN1046" i="48"/>
  <c r="CN959" i="48"/>
  <c r="CN956" i="48"/>
  <c r="CN1120" i="48"/>
  <c r="CN945" i="48"/>
  <c r="CN944" i="48"/>
  <c r="CN1164" i="48"/>
  <c r="CN1161" i="48"/>
  <c r="CN789" i="48"/>
  <c r="CN791" i="48"/>
  <c r="CN785" i="48"/>
  <c r="CN941" i="48"/>
  <c r="CN1333" i="48"/>
  <c r="CN999" i="48"/>
  <c r="CN1057" i="48"/>
  <c r="CN1071" i="48"/>
  <c r="CN1055" i="48"/>
  <c r="CN1054" i="48"/>
  <c r="CN1064" i="48"/>
  <c r="CN414" i="48"/>
  <c r="CN411" i="48"/>
  <c r="CN421" i="48"/>
  <c r="CN410" i="48"/>
  <c r="CN407" i="48"/>
  <c r="CN409" i="48"/>
  <c r="CN811" i="48"/>
  <c r="CN818" i="48"/>
  <c r="CN815" i="48"/>
  <c r="CN820" i="48"/>
  <c r="CN842" i="48"/>
  <c r="CN1345" i="48"/>
  <c r="CN1000" i="48"/>
  <c r="CN1224" i="48"/>
  <c r="CN1217" i="48"/>
  <c r="CN1211" i="48"/>
  <c r="CN863" i="48"/>
  <c r="CN862" i="48"/>
  <c r="CN857" i="48"/>
  <c r="CN867" i="48"/>
  <c r="CN856" i="48"/>
  <c r="CN761" i="48"/>
  <c r="CN771" i="48"/>
  <c r="CN765" i="48"/>
  <c r="CN770" i="48"/>
  <c r="CN759" i="48"/>
  <c r="CN542" i="48"/>
  <c r="CN541" i="48"/>
  <c r="CN538" i="48"/>
  <c r="CN540" i="48"/>
  <c r="CN1311" i="48"/>
  <c r="CN1314" i="48"/>
  <c r="CN1308" i="48"/>
  <c r="CN1332" i="48"/>
  <c r="CN299" i="48"/>
  <c r="CN290" i="48"/>
  <c r="CN287" i="48"/>
  <c r="CN599" i="48"/>
  <c r="CN598" i="48"/>
  <c r="CN580" i="48"/>
  <c r="CN579" i="48"/>
  <c r="CN592" i="48"/>
  <c r="CN1268" i="48"/>
  <c r="CN884" i="48"/>
  <c r="CN881" i="48"/>
  <c r="CN570" i="48"/>
  <c r="CN572" i="48"/>
  <c r="CN555" i="48"/>
  <c r="CN554" i="48"/>
  <c r="CN557" i="48"/>
  <c r="CN1186" i="48"/>
  <c r="CN1188" i="48"/>
  <c r="CN1184" i="48"/>
  <c r="CN515" i="48"/>
  <c r="CN512" i="48"/>
  <c r="CN514" i="48"/>
  <c r="CN350" i="48"/>
  <c r="CN344" i="48"/>
  <c r="CN331" i="48"/>
  <c r="CN349" i="48"/>
  <c r="CN463" i="48"/>
  <c r="CN460" i="48"/>
  <c r="CN457" i="48"/>
  <c r="CN469" i="48"/>
  <c r="CN444" i="48"/>
  <c r="CN1141" i="48"/>
  <c r="CN990" i="48"/>
  <c r="CN722" i="48"/>
  <c r="CN711" i="48"/>
  <c r="CN713" i="48"/>
  <c r="CN488" i="48"/>
  <c r="CN485" i="48"/>
  <c r="CN487" i="48"/>
  <c r="CN1012" i="48"/>
  <c r="CN1016" i="48"/>
  <c r="CN1010" i="48"/>
  <c r="CN635" i="48"/>
  <c r="CN632" i="48"/>
  <c r="CN934" i="48"/>
  <c r="CN447" i="48"/>
  <c r="CN365" i="48"/>
  <c r="CN738" i="48"/>
  <c r="CN750" i="48"/>
  <c r="CN747" i="48"/>
  <c r="CN399" i="48"/>
  <c r="CN396" i="48"/>
  <c r="CN398" i="48"/>
  <c r="CN1080" i="48"/>
  <c r="CN1079" i="48"/>
  <c r="CN1087" i="48"/>
  <c r="CN1099" i="48"/>
  <c r="CN1349" i="48"/>
  <c r="CN997" i="48"/>
  <c r="CN1239" i="48"/>
  <c r="CN1288" i="48"/>
  <c r="CN1291" i="48"/>
  <c r="CN1281" i="48"/>
  <c r="CN1030" i="48"/>
  <c r="CN1029" i="48"/>
  <c r="CN1032" i="48"/>
  <c r="CN1049" i="48"/>
  <c r="CN1043" i="48"/>
  <c r="CN950" i="48"/>
  <c r="CN435" i="48"/>
  <c r="CN1149" i="48"/>
  <c r="CN605" i="48"/>
  <c r="CN604" i="48"/>
  <c r="CN617" i="48"/>
  <c r="CN622" i="48"/>
  <c r="CN608" i="48"/>
  <c r="CN962" i="48"/>
  <c r="CN964" i="48"/>
  <c r="CN961" i="48"/>
  <c r="CN1105" i="48"/>
  <c r="CN1104" i="48"/>
  <c r="CN1117" i="48"/>
  <c r="CN1122" i="48"/>
  <c r="CN906" i="48"/>
  <c r="CN915" i="48"/>
  <c r="CN912" i="48"/>
  <c r="CN688" i="48"/>
  <c r="CN831" i="48"/>
  <c r="CN317" i="48"/>
  <c r="CN355" i="48"/>
  <c r="CN324" i="48"/>
  <c r="CN1205" i="48"/>
  <c r="CN1204" i="48"/>
  <c r="CN533" i="48"/>
  <c r="CN330" i="48"/>
  <c r="CN329" i="48"/>
  <c r="CN455" i="48"/>
  <c r="CN454" i="48"/>
  <c r="CN480" i="48"/>
  <c r="CN479" i="48"/>
  <c r="CN1294" i="48"/>
  <c r="CN1292" i="48"/>
  <c r="CN1047" i="48"/>
  <c r="CN1108" i="48"/>
  <c r="CN835" i="48"/>
  <c r="CN1158" i="48"/>
  <c r="CN1172" i="48"/>
  <c r="CN1166" i="48"/>
  <c r="CN793" i="48"/>
  <c r="CN787" i="48"/>
  <c r="CN449" i="48"/>
  <c r="CN323" i="48"/>
  <c r="CN1060" i="48"/>
  <c r="CN1067" i="48"/>
  <c r="CN1058" i="48"/>
  <c r="CN418" i="48"/>
  <c r="CN415" i="48"/>
  <c r="CN1138" i="48"/>
  <c r="CN983" i="48"/>
  <c r="CN1222" i="48"/>
  <c r="CN872" i="48"/>
  <c r="CN869" i="48"/>
  <c r="CN768" i="48"/>
  <c r="CN755" i="48"/>
  <c r="CN754" i="48"/>
  <c r="CN767" i="48"/>
  <c r="CN550" i="48"/>
  <c r="CN536" i="48"/>
  <c r="CN546" i="48"/>
  <c r="CN548" i="48"/>
  <c r="CN545" i="48"/>
  <c r="CN1319" i="48"/>
  <c r="CN1325" i="48"/>
  <c r="CN1318" i="48"/>
  <c r="CN1316" i="48"/>
  <c r="CN1313" i="48"/>
  <c r="CN1146" i="48"/>
  <c r="CN357" i="48"/>
  <c r="CN296" i="48"/>
  <c r="CN281" i="48"/>
  <c r="CN285" i="48"/>
  <c r="CN295" i="48"/>
  <c r="CN284" i="48"/>
  <c r="CN589" i="48"/>
  <c r="CN583" i="48"/>
  <c r="CN588" i="48"/>
  <c r="CN600" i="48"/>
  <c r="CN1266" i="48"/>
  <c r="CN1262" i="48"/>
  <c r="CN1273" i="48"/>
  <c r="CN1256" i="48"/>
  <c r="CN1255" i="48"/>
  <c r="CN1254" i="48"/>
  <c r="CN1275" i="48"/>
  <c r="CN880" i="48"/>
  <c r="CN879" i="48"/>
  <c r="CN889" i="48"/>
  <c r="CN886" i="48"/>
  <c r="CN893" i="48"/>
  <c r="CN569" i="48"/>
  <c r="CN563" i="48"/>
  <c r="CN560" i="48"/>
  <c r="CN562" i="48"/>
  <c r="CN1198" i="48"/>
  <c r="CN1196" i="48"/>
  <c r="CN1192" i="48"/>
  <c r="CN524" i="48"/>
  <c r="CN518" i="48"/>
  <c r="CN523" i="48"/>
  <c r="CN520" i="48"/>
  <c r="CN509" i="48"/>
  <c r="CN511" i="48"/>
  <c r="CN340" i="48"/>
  <c r="CN339" i="48"/>
  <c r="CN333" i="48"/>
  <c r="CN338" i="48"/>
  <c r="CN465" i="48"/>
  <c r="CN462" i="48"/>
  <c r="CN849" i="48"/>
  <c r="CN450" i="48"/>
  <c r="CO452" i="48" s="1"/>
  <c r="CS452" i="48" s="1"/>
  <c r="DB452" i="48" s="1"/>
  <c r="AC452" i="48" s="1"/>
  <c r="AJ452" i="48" s="1"/>
  <c r="AP452" i="48" s="1"/>
  <c r="CN1142" i="48"/>
  <c r="CN375" i="48"/>
  <c r="CN719" i="48"/>
  <c r="CN724" i="48"/>
  <c r="CN721" i="48"/>
  <c r="CN717" i="48"/>
  <c r="CN494" i="48"/>
  <c r="CN493" i="48"/>
  <c r="CN490" i="48"/>
  <c r="CN492" i="48"/>
  <c r="CN1005" i="48"/>
  <c r="CN1004" i="48"/>
  <c r="CN1022" i="48"/>
  <c r="CN1021" i="48"/>
  <c r="CN641" i="48"/>
  <c r="CN643" i="48"/>
  <c r="CN640" i="48"/>
  <c r="CN637" i="48"/>
  <c r="CN844" i="48"/>
  <c r="CN1145" i="48"/>
  <c r="CN746" i="48"/>
  <c r="CN735" i="48"/>
  <c r="CN732" i="48"/>
  <c r="CN737" i="48"/>
  <c r="CN749" i="48"/>
  <c r="CN395" i="48"/>
  <c r="CN381" i="48"/>
  <c r="CN383" i="48"/>
  <c r="CN380" i="48"/>
  <c r="CN379" i="48"/>
  <c r="CN1093" i="48"/>
  <c r="CN1090" i="48"/>
  <c r="CN1095" i="48"/>
  <c r="CN1084" i="48"/>
  <c r="CN1081" i="48"/>
  <c r="CN933" i="48"/>
  <c r="CN441" i="48"/>
  <c r="CN1340" i="48"/>
  <c r="CN988" i="48"/>
  <c r="CN1242" i="48"/>
  <c r="CN1237" i="48"/>
  <c r="CN1245" i="48"/>
  <c r="CN1250" i="48"/>
  <c r="CN1287" i="48"/>
  <c r="CN1298" i="48"/>
  <c r="CN1284" i="48"/>
  <c r="CN1300" i="48"/>
  <c r="CN1037" i="48"/>
  <c r="CN1034" i="48"/>
  <c r="CN1031" i="48"/>
  <c r="CN834" i="48"/>
  <c r="CN1343" i="48"/>
  <c r="CN369" i="48"/>
  <c r="CN986" i="48"/>
  <c r="CN624" i="48"/>
  <c r="CN625" i="48"/>
  <c r="CN607" i="48"/>
  <c r="CN619" i="48"/>
  <c r="CN606" i="48"/>
  <c r="CN967" i="48"/>
  <c r="CN969" i="48"/>
  <c r="CN966" i="48"/>
  <c r="CN1113" i="48"/>
  <c r="CN1107" i="48"/>
  <c r="CN1119" i="48"/>
  <c r="CN1116" i="48"/>
  <c r="CN922" i="48"/>
  <c r="CN910" i="48"/>
  <c r="CN924" i="48"/>
  <c r="CN920" i="48"/>
  <c r="CN909" i="48"/>
  <c r="CN690" i="48"/>
  <c r="CN685" i="48"/>
  <c r="CN699" i="48"/>
  <c r="CN683" i="48"/>
  <c r="CN695" i="48"/>
  <c r="CN308" i="48"/>
  <c r="CN363" i="48"/>
  <c r="CN837" i="48"/>
  <c r="CN830" i="48"/>
  <c r="CN757" i="48"/>
  <c r="CN280" i="48"/>
  <c r="CN279" i="48"/>
  <c r="CN282" i="48"/>
  <c r="CN590" i="48"/>
  <c r="CN899" i="48"/>
  <c r="CN1180" i="48"/>
  <c r="CN1179" i="48"/>
  <c r="CN341" i="48"/>
  <c r="CN949" i="48"/>
  <c r="CN708" i="48"/>
  <c r="CN390" i="48"/>
  <c r="CN1100" i="48"/>
  <c r="CN374" i="48"/>
  <c r="CN1293" i="48"/>
  <c r="CN437" i="48"/>
  <c r="CN925" i="48"/>
  <c r="CN930" i="48"/>
  <c r="CN432" i="48"/>
  <c r="CN115" i="48"/>
  <c r="CN1155" i="48"/>
  <c r="CN1154" i="48"/>
  <c r="CN1162" i="48"/>
  <c r="CN1168" i="48"/>
  <c r="CN1171" i="48"/>
  <c r="CN1174" i="48"/>
  <c r="CN797" i="48"/>
  <c r="CN792" i="48"/>
  <c r="CN799" i="48"/>
  <c r="CN783" i="48"/>
  <c r="CN780" i="48"/>
  <c r="CN779" i="48"/>
  <c r="CN442" i="48"/>
  <c r="CN109" i="48"/>
  <c r="CN1065" i="48"/>
  <c r="CN1074" i="48"/>
  <c r="CN424" i="48"/>
  <c r="CN423" i="48"/>
  <c r="CN405" i="48"/>
  <c r="CN404" i="48"/>
  <c r="CN417" i="48"/>
  <c r="CN812" i="48"/>
  <c r="CN824" i="48"/>
  <c r="CN808" i="48"/>
  <c r="CN805" i="48"/>
  <c r="CN804" i="48"/>
  <c r="CN822" i="48"/>
  <c r="CN436" i="48"/>
  <c r="CN1344" i="48"/>
  <c r="CN1218" i="48"/>
  <c r="CN1206" i="48"/>
  <c r="CN1213" i="48"/>
  <c r="CN1209" i="48"/>
  <c r="CN1225" i="48"/>
  <c r="CN1221" i="48"/>
  <c r="CN855" i="48"/>
  <c r="CN854" i="48"/>
  <c r="CN858" i="48"/>
  <c r="CN861" i="48"/>
  <c r="CN866" i="48"/>
  <c r="CN774" i="48"/>
  <c r="CN756" i="48"/>
  <c r="CN763" i="48"/>
  <c r="CN775" i="48"/>
  <c r="CN773" i="48"/>
  <c r="CN532" i="48"/>
  <c r="CN549" i="48"/>
  <c r="CN535" i="48"/>
  <c r="CN530" i="48"/>
  <c r="CN529" i="48"/>
  <c r="CN1305" i="48"/>
  <c r="CN1304" i="48"/>
  <c r="CN1324" i="48"/>
  <c r="CN1321" i="48"/>
  <c r="CN948" i="48"/>
  <c r="CN845" i="48"/>
  <c r="CN1147" i="48"/>
  <c r="CN319" i="48"/>
  <c r="CN371" i="48"/>
  <c r="CN293" i="48"/>
  <c r="CN298" i="48"/>
  <c r="CN300" i="48"/>
  <c r="CN289" i="48"/>
  <c r="CN586" i="48"/>
  <c r="CN596" i="48"/>
  <c r="CN585" i="48"/>
  <c r="CN582" i="48"/>
  <c r="CN1270" i="48"/>
  <c r="CN1258" i="48"/>
  <c r="CN1257" i="48"/>
  <c r="CN1260" i="48"/>
  <c r="CN900" i="48"/>
  <c r="CN894" i="48"/>
  <c r="CN891" i="48"/>
  <c r="CN898" i="48"/>
  <c r="CN574" i="48"/>
  <c r="CN568" i="48"/>
  <c r="CN565" i="48"/>
  <c r="CN559" i="48"/>
  <c r="CN1199" i="48"/>
  <c r="CN1194" i="48"/>
  <c r="CN1200" i="48"/>
  <c r="CN1182" i="48"/>
  <c r="CN506" i="48"/>
  <c r="CN505" i="48"/>
  <c r="CN504" i="48"/>
  <c r="CN517" i="48"/>
  <c r="CN522" i="48"/>
  <c r="CN336" i="48"/>
  <c r="CN346" i="48"/>
  <c r="CN335" i="48"/>
  <c r="CN471" i="48"/>
  <c r="CN473" i="48"/>
  <c r="CN470" i="48"/>
  <c r="CN467" i="48"/>
  <c r="CN935" i="48"/>
  <c r="CN840" i="48"/>
  <c r="CN1350" i="48"/>
  <c r="CN1133" i="48"/>
  <c r="CN366" i="48"/>
  <c r="CN263" i="48"/>
  <c r="CN705" i="48"/>
  <c r="CN704" i="48"/>
  <c r="CN707" i="48"/>
  <c r="CN725" i="48"/>
  <c r="CN706" i="48"/>
  <c r="CN710" i="48"/>
  <c r="CN499" i="48"/>
  <c r="CN498" i="48"/>
  <c r="CN500" i="48"/>
  <c r="CN497" i="48"/>
  <c r="CN1025" i="48"/>
  <c r="CN1024" i="48"/>
  <c r="CN1014" i="48"/>
  <c r="CN1018" i="48"/>
  <c r="CN646" i="48"/>
  <c r="CN648" i="48"/>
  <c r="CN645" i="48"/>
  <c r="CN850" i="48"/>
  <c r="CN1150" i="48"/>
  <c r="CN740" i="48"/>
  <c r="CN745" i="48"/>
  <c r="CN734" i="48"/>
  <c r="CN731" i="48"/>
  <c r="CN392" i="48"/>
  <c r="CN389" i="48"/>
  <c r="CN386" i="48"/>
  <c r="CN388" i="48"/>
  <c r="CN385" i="48"/>
  <c r="CN1096" i="48"/>
  <c r="CN1092" i="48"/>
  <c r="CN1089" i="48"/>
  <c r="CN1086" i="48"/>
  <c r="CN939" i="48"/>
  <c r="CN1131" i="48"/>
  <c r="CN373" i="48"/>
  <c r="CN1246" i="48"/>
  <c r="CN1230" i="48"/>
  <c r="CN1229" i="48"/>
  <c r="CN1249" i="48"/>
  <c r="CN1233" i="48"/>
  <c r="CN1235" i="48"/>
  <c r="CN1232" i="48"/>
  <c r="CN1280" i="48"/>
  <c r="CN1279" i="48"/>
  <c r="CN1299" i="48"/>
  <c r="CN1286" i="48"/>
  <c r="CN1290" i="48"/>
  <c r="CN1296" i="48"/>
  <c r="CN1035" i="48"/>
  <c r="CN1045" i="48"/>
  <c r="CN1042" i="48"/>
  <c r="CN1039" i="48"/>
  <c r="CN1041" i="48"/>
  <c r="CN848" i="48"/>
  <c r="CN1336" i="48"/>
  <c r="CN309" i="48"/>
  <c r="CN360" i="48"/>
  <c r="CN992" i="48"/>
  <c r="CN621" i="48"/>
  <c r="CN610" i="48"/>
  <c r="CN615" i="48"/>
  <c r="CN612" i="48"/>
  <c r="CN614" i="48"/>
  <c r="CN958" i="48"/>
  <c r="CN955" i="48"/>
  <c r="CN954" i="48"/>
  <c r="CN975" i="48"/>
  <c r="CN972" i="48"/>
  <c r="CN974" i="48"/>
  <c r="CN971" i="48"/>
  <c r="CN1110" i="48"/>
  <c r="CN1112" i="48"/>
  <c r="CN1124" i="48"/>
  <c r="CN1106" i="48"/>
  <c r="CN914" i="48"/>
  <c r="CN921" i="48"/>
  <c r="CN905" i="48"/>
  <c r="CN904" i="48"/>
  <c r="CN917" i="48"/>
  <c r="CN697" i="48"/>
  <c r="CN696" i="48"/>
  <c r="CN687" i="48"/>
  <c r="CN680" i="48"/>
  <c r="CN679" i="48"/>
  <c r="CN692" i="48"/>
  <c r="CN311" i="48"/>
  <c r="CN1136" i="48"/>
  <c r="CN322" i="48"/>
  <c r="CN307" i="48"/>
  <c r="CN981" i="48"/>
  <c r="CN193" i="48"/>
  <c r="CN181" i="48"/>
  <c r="CN146" i="48"/>
  <c r="CN219" i="48"/>
  <c r="CN196" i="48"/>
  <c r="CN140" i="48"/>
  <c r="CN131" i="48"/>
  <c r="CN107" i="48"/>
  <c r="CN199" i="48"/>
  <c r="CN133" i="48"/>
  <c r="CN174" i="48"/>
  <c r="CN267" i="48"/>
  <c r="CN56" i="48"/>
  <c r="CN190" i="48"/>
  <c r="CN235" i="48"/>
  <c r="CN239" i="48"/>
  <c r="CN149" i="48"/>
  <c r="CN116" i="48"/>
  <c r="CN222" i="48"/>
  <c r="CN96" i="48"/>
  <c r="CN264" i="48"/>
  <c r="CN67" i="48"/>
  <c r="CN188" i="48"/>
  <c r="CN195" i="48"/>
  <c r="CN192" i="48"/>
  <c r="CN234" i="48"/>
  <c r="CN137" i="48"/>
  <c r="CN158" i="48"/>
  <c r="CN111" i="48"/>
  <c r="CN64" i="48"/>
  <c r="CN240" i="48"/>
  <c r="CN164" i="48"/>
  <c r="CN61" i="48"/>
  <c r="CN185" i="48"/>
  <c r="CN183" i="48"/>
  <c r="CN187" i="48"/>
  <c r="CN238" i="48"/>
  <c r="CN249" i="48"/>
  <c r="CN231" i="48"/>
  <c r="CN139" i="48"/>
  <c r="CN135" i="48"/>
  <c r="CN142" i="48"/>
  <c r="CN144" i="48"/>
  <c r="CN168" i="48"/>
  <c r="CN170" i="48"/>
  <c r="CN120" i="48"/>
  <c r="CN217" i="48"/>
  <c r="CN214" i="48"/>
  <c r="CN211" i="48"/>
  <c r="CN91" i="48"/>
  <c r="CN93" i="48"/>
  <c r="CN87" i="48"/>
  <c r="CN84" i="48"/>
  <c r="CN81" i="48"/>
  <c r="CN73" i="48"/>
  <c r="CN70" i="48"/>
  <c r="CN59" i="48"/>
  <c r="CN90" i="48"/>
  <c r="CN169" i="48"/>
  <c r="CN156" i="48"/>
  <c r="CN155" i="48"/>
  <c r="CN154" i="48"/>
  <c r="CN167" i="48"/>
  <c r="CN118" i="48"/>
  <c r="CN216" i="48"/>
  <c r="CN218" i="48"/>
  <c r="CN215" i="48"/>
  <c r="CN95" i="48"/>
  <c r="CN92" i="48"/>
  <c r="CN89" i="48"/>
  <c r="CN125" i="48"/>
  <c r="CN71" i="48"/>
  <c r="CN58" i="48"/>
  <c r="CN54" i="48"/>
  <c r="CN55" i="48"/>
  <c r="CN250" i="48"/>
  <c r="CN173" i="48"/>
  <c r="CN213" i="48"/>
  <c r="CN210" i="48"/>
  <c r="CN269" i="48"/>
  <c r="CN184" i="48"/>
  <c r="CN191" i="48"/>
  <c r="CN200" i="48"/>
  <c r="CN197" i="48"/>
  <c r="CN266" i="48"/>
  <c r="CN247" i="48"/>
  <c r="CN236" i="48"/>
  <c r="CN246" i="48"/>
  <c r="CN148" i="48"/>
  <c r="CN132" i="48"/>
  <c r="CN150" i="48"/>
  <c r="CN141" i="48"/>
  <c r="CN134" i="48"/>
  <c r="CN262" i="48"/>
  <c r="CN166" i="48"/>
  <c r="CN163" i="48"/>
  <c r="CN175" i="48"/>
  <c r="CN117" i="48"/>
  <c r="CN124" i="48"/>
  <c r="CN212" i="48"/>
  <c r="CN221" i="48"/>
  <c r="CN223" i="48"/>
  <c r="CN225" i="48"/>
  <c r="CN83" i="48"/>
  <c r="CN79" i="48"/>
  <c r="CN80" i="48"/>
  <c r="CN100" i="48"/>
  <c r="CN97" i="48"/>
  <c r="CN86" i="48"/>
  <c r="CN69" i="48"/>
  <c r="CN63" i="48"/>
  <c r="CN75" i="48"/>
  <c r="CN57" i="48"/>
  <c r="CN108" i="48"/>
  <c r="CN237" i="48"/>
  <c r="CN248" i="48"/>
  <c r="CN119" i="48"/>
  <c r="CN233" i="48"/>
  <c r="CN143" i="48"/>
  <c r="CN129" i="48"/>
  <c r="CN130" i="48"/>
  <c r="CN114" i="48"/>
  <c r="CN198" i="48"/>
  <c r="CN189" i="48"/>
  <c r="CN180" i="48"/>
  <c r="CN179" i="48"/>
  <c r="CN182" i="48"/>
  <c r="CN194" i="48"/>
  <c r="CN229" i="48"/>
  <c r="CN230" i="48"/>
  <c r="CN244" i="48"/>
  <c r="CN241" i="48"/>
  <c r="CN243" i="48"/>
  <c r="CN138" i="48"/>
  <c r="CN145" i="48"/>
  <c r="CN147" i="48"/>
  <c r="CN161" i="48"/>
  <c r="CN171" i="48"/>
  <c r="CN160" i="48"/>
  <c r="CN165" i="48"/>
  <c r="CN257" i="48"/>
  <c r="CN220" i="48"/>
  <c r="CN209" i="48"/>
  <c r="CN208" i="48"/>
  <c r="CN205" i="48"/>
  <c r="CN204" i="48"/>
  <c r="CN207" i="48"/>
  <c r="CN88" i="48"/>
  <c r="CN85" i="48"/>
  <c r="CN82" i="48"/>
  <c r="CN94" i="48"/>
  <c r="CN99" i="48"/>
  <c r="CN113" i="48"/>
  <c r="CN66" i="48"/>
  <c r="CN74" i="48"/>
  <c r="CN60" i="48"/>
  <c r="CN65" i="48"/>
  <c r="CN62" i="48"/>
  <c r="CN105" i="48"/>
  <c r="CN275" i="48"/>
  <c r="CN271" i="48"/>
  <c r="CN274" i="48"/>
  <c r="CN261" i="48"/>
  <c r="CN270" i="48"/>
  <c r="CN259" i="48"/>
  <c r="CN272" i="48"/>
  <c r="CN258" i="48"/>
  <c r="CN256" i="48"/>
  <c r="CN265" i="48"/>
  <c r="CN268" i="48"/>
  <c r="CN255" i="48"/>
  <c r="CN36" i="48"/>
  <c r="CN48" i="48"/>
  <c r="CN31" i="48"/>
  <c r="CN42" i="48"/>
  <c r="CN39" i="48"/>
  <c r="CN46" i="48"/>
  <c r="CN44" i="48"/>
  <c r="CN32" i="48"/>
  <c r="CN41" i="48"/>
  <c r="CN43" i="48"/>
  <c r="CN40" i="48"/>
  <c r="CN45" i="48"/>
  <c r="CN47" i="48"/>
  <c r="CN30" i="48"/>
  <c r="CN29" i="48"/>
  <c r="CN33" i="48"/>
  <c r="CN38" i="48"/>
  <c r="CN50" i="48"/>
  <c r="CN37" i="48"/>
  <c r="CN49" i="48"/>
  <c r="CN35" i="48"/>
  <c r="CN34" i="48"/>
  <c r="CN25" i="48"/>
  <c r="CN19" i="48"/>
  <c r="CN7" i="48"/>
  <c r="CN12" i="48"/>
  <c r="CN24" i="48"/>
  <c r="CN21" i="48"/>
  <c r="CN5" i="48"/>
  <c r="CN4" i="48"/>
  <c r="CN22" i="48"/>
  <c r="CN23" i="48"/>
  <c r="CN8" i="48"/>
  <c r="CN9" i="48"/>
  <c r="CN6" i="48"/>
  <c r="CN13" i="48"/>
  <c r="CN15" i="48"/>
  <c r="CN16" i="48"/>
  <c r="CN10" i="48"/>
  <c r="CN17" i="48"/>
  <c r="CN14" i="48"/>
  <c r="CN11" i="48"/>
  <c r="CN18" i="48"/>
  <c r="AJ980" i="48"/>
  <c r="AJ305" i="48"/>
  <c r="CM4" i="48"/>
  <c r="DB277" i="48" l="1"/>
  <c r="CO127" i="48"/>
  <c r="CS127" i="48" s="1"/>
  <c r="DB127" i="48" s="1"/>
  <c r="AC127" i="48" s="1"/>
  <c r="AJ127" i="48" s="1"/>
  <c r="AR127" i="48" s="1"/>
  <c r="CO27" i="48"/>
  <c r="CS27" i="48" s="1"/>
  <c r="DB27" i="48" s="1"/>
  <c r="AC27" i="48" s="1"/>
  <c r="AJ27" i="48" s="1"/>
  <c r="CO426" i="48"/>
  <c r="CS426" i="48" s="1"/>
  <c r="DB426" i="48" s="1"/>
  <c r="AC426" i="48" s="1"/>
  <c r="AC1127" i="48"/>
  <c r="AJ1127" i="48" s="1"/>
  <c r="AP1127" i="48" s="1"/>
  <c r="AC826" i="48"/>
  <c r="AC827" i="48"/>
  <c r="AJ827" i="48" s="1"/>
  <c r="AP827" i="48" s="1"/>
  <c r="CO776" i="48"/>
  <c r="CS776" i="48" s="1"/>
  <c r="DB776" i="48" s="1"/>
  <c r="AC776" i="48" s="1"/>
  <c r="AT452" i="48"/>
  <c r="AS452" i="48"/>
  <c r="AR452" i="48"/>
  <c r="CO152" i="48"/>
  <c r="CS152" i="48" s="1"/>
  <c r="DB152" i="48" s="1"/>
  <c r="AC152" i="48" s="1"/>
  <c r="AJ152" i="48" s="1"/>
  <c r="AP152" i="48" s="1"/>
  <c r="CO202" i="48"/>
  <c r="CS202" i="48" s="1"/>
  <c r="DB202" i="48" s="1"/>
  <c r="AC202" i="48" s="1"/>
  <c r="AJ202" i="48" s="1"/>
  <c r="AP202" i="48" s="1"/>
  <c r="CO252" i="48"/>
  <c r="CS252" i="48" s="1"/>
  <c r="DB252" i="48" s="1"/>
  <c r="AC252" i="48" s="1"/>
  <c r="AJ252" i="48" s="1"/>
  <c r="AP252" i="48" s="1"/>
  <c r="CO927" i="48"/>
  <c r="CS927" i="48" s="1"/>
  <c r="DB927" i="48" s="1"/>
  <c r="CO227" i="48"/>
  <c r="CS227" i="48" s="1"/>
  <c r="DB227" i="48" s="1"/>
  <c r="AC227" i="48" s="1"/>
  <c r="AJ227" i="48" s="1"/>
  <c r="AP227" i="48" s="1"/>
  <c r="CO102" i="48"/>
  <c r="CS102" i="48" s="1"/>
  <c r="DB102" i="48" s="1"/>
  <c r="AC102" i="48" s="1"/>
  <c r="AJ102" i="48" s="1"/>
  <c r="CO1125" i="48"/>
  <c r="CS1125" i="48" s="1"/>
  <c r="CO177" i="48"/>
  <c r="CS177" i="48" s="1"/>
  <c r="DB177" i="48" s="1"/>
  <c r="AC177" i="48" s="1"/>
  <c r="AJ177" i="48" s="1"/>
  <c r="AP177" i="48" s="1"/>
  <c r="CO527" i="48"/>
  <c r="CS527" i="48" s="1"/>
  <c r="DB527" i="48" s="1"/>
  <c r="AC527" i="48" s="1"/>
  <c r="AJ527" i="48" s="1"/>
  <c r="AP527" i="48" s="1"/>
  <c r="CO352" i="48"/>
  <c r="CS352" i="48" s="1"/>
  <c r="DB352" i="48" s="1"/>
  <c r="AC352" i="48" s="1"/>
  <c r="AJ352" i="48" s="1"/>
  <c r="AP352" i="48" s="1"/>
  <c r="CO77" i="48"/>
  <c r="CS77" i="48" s="1"/>
  <c r="DB77" i="48" s="1"/>
  <c r="AC77" i="48" s="1"/>
  <c r="AJ77" i="48" s="1"/>
  <c r="AP77" i="48" s="1"/>
  <c r="CO1052" i="48"/>
  <c r="CS1052" i="48" s="1"/>
  <c r="DB1052" i="48" s="1"/>
  <c r="CO52" i="48"/>
  <c r="CS52" i="48" s="1"/>
  <c r="DB52" i="48" s="1"/>
  <c r="AC52" i="48" s="1"/>
  <c r="AJ52" i="48" s="1"/>
  <c r="AP52" i="48" s="1"/>
  <c r="CO1352" i="48"/>
  <c r="CS1352" i="48" s="1"/>
  <c r="DB1352" i="48" s="1"/>
  <c r="CO1327" i="48"/>
  <c r="CS1327" i="48" s="1"/>
  <c r="DB1327" i="48" s="1"/>
  <c r="CO1302" i="48"/>
  <c r="CS1302" i="48" s="1"/>
  <c r="DB1302" i="48" s="1"/>
  <c r="CO1277" i="48"/>
  <c r="CS1277" i="48" s="1"/>
  <c r="DB1277" i="48" s="1"/>
  <c r="CO1252" i="48"/>
  <c r="CS1252" i="48" s="1"/>
  <c r="DB1252" i="48" s="1"/>
  <c r="CO1227" i="48"/>
  <c r="CS1227" i="48" s="1"/>
  <c r="DB1227" i="48" s="1"/>
  <c r="CO1202" i="48"/>
  <c r="CS1202" i="48" s="1"/>
  <c r="DB1202" i="48" s="1"/>
  <c r="CO1177" i="48"/>
  <c r="CS1177" i="48" s="1"/>
  <c r="DB1177" i="48" s="1"/>
  <c r="CO1152" i="48"/>
  <c r="CS1152" i="48" s="1"/>
  <c r="DB1152" i="48" s="1"/>
  <c r="CO1102" i="48"/>
  <c r="CS1102" i="48" s="1"/>
  <c r="DB1102" i="48" s="1"/>
  <c r="CO1077" i="48"/>
  <c r="CS1077" i="48" s="1"/>
  <c r="DB1077" i="48" s="1"/>
  <c r="CO1027" i="48"/>
  <c r="CS1027" i="48" s="1"/>
  <c r="DB1027" i="48" s="1"/>
  <c r="CO1002" i="48"/>
  <c r="CS1002" i="48" s="1"/>
  <c r="DB1002" i="48" s="1"/>
  <c r="CO977" i="48"/>
  <c r="CS977" i="48" s="1"/>
  <c r="DB977" i="48" s="1"/>
  <c r="CO952" i="48"/>
  <c r="CS952" i="48" s="1"/>
  <c r="DB952" i="48" s="1"/>
  <c r="CO902" i="48"/>
  <c r="CS902" i="48" s="1"/>
  <c r="DB902" i="48" s="1"/>
  <c r="CO877" i="48"/>
  <c r="CS877" i="48" s="1"/>
  <c r="DB877" i="48" s="1"/>
  <c r="CO852" i="48"/>
  <c r="CS852" i="48" s="1"/>
  <c r="DB852" i="48" s="1"/>
  <c r="CO802" i="48"/>
  <c r="CS802" i="48" s="1"/>
  <c r="DB802" i="48" s="1"/>
  <c r="AC802" i="48" s="1"/>
  <c r="AJ802" i="48" s="1"/>
  <c r="AP802" i="48" s="1"/>
  <c r="CO777" i="48"/>
  <c r="CS777" i="48" s="1"/>
  <c r="DB777" i="48" s="1"/>
  <c r="CO752" i="48"/>
  <c r="CS752" i="48" s="1"/>
  <c r="DB752" i="48" s="1"/>
  <c r="CO727" i="48"/>
  <c r="CS727" i="48" s="1"/>
  <c r="DB727" i="48" s="1"/>
  <c r="AC727" i="48" s="1"/>
  <c r="AJ727" i="48" s="1"/>
  <c r="AP727" i="48" s="1"/>
  <c r="CO702" i="48"/>
  <c r="CS702" i="48" s="1"/>
  <c r="DB702" i="48" s="1"/>
  <c r="AC702" i="48" s="1"/>
  <c r="AJ702" i="48" s="1"/>
  <c r="AP702" i="48" s="1"/>
  <c r="CO652" i="48"/>
  <c r="CS652" i="48" s="1"/>
  <c r="DB652" i="48" s="1"/>
  <c r="AC652" i="48" s="1"/>
  <c r="AJ652" i="48" s="1"/>
  <c r="AP652" i="48" s="1"/>
  <c r="CO627" i="48"/>
  <c r="CS627" i="48" s="1"/>
  <c r="DB627" i="48" s="1"/>
  <c r="AC627" i="48" s="1"/>
  <c r="AJ627" i="48" s="1"/>
  <c r="AP627" i="48" s="1"/>
  <c r="CO602" i="48"/>
  <c r="CS602" i="48" s="1"/>
  <c r="DB602" i="48" s="1"/>
  <c r="AC602" i="48" s="1"/>
  <c r="AJ602" i="48" s="1"/>
  <c r="AP602" i="48" s="1"/>
  <c r="CO577" i="48"/>
  <c r="CS577" i="48" s="1"/>
  <c r="DB577" i="48" s="1"/>
  <c r="AC577" i="48" s="1"/>
  <c r="AJ577" i="48" s="1"/>
  <c r="AP577" i="48" s="1"/>
  <c r="CO552" i="48"/>
  <c r="CS552" i="48" s="1"/>
  <c r="DB552" i="48" s="1"/>
  <c r="AC552" i="48" s="1"/>
  <c r="AJ552" i="48" s="1"/>
  <c r="AP552" i="48" s="1"/>
  <c r="CO502" i="48"/>
  <c r="CS502" i="48" s="1"/>
  <c r="DB502" i="48" s="1"/>
  <c r="AC502" i="48" s="1"/>
  <c r="AJ502" i="48" s="1"/>
  <c r="AP502" i="48" s="1"/>
  <c r="CO477" i="48"/>
  <c r="CS477" i="48" s="1"/>
  <c r="DB477" i="48" s="1"/>
  <c r="AC477" i="48" s="1"/>
  <c r="AJ477" i="48" s="1"/>
  <c r="AP477" i="48" s="1"/>
  <c r="CO451" i="48"/>
  <c r="CS451" i="48" s="1"/>
  <c r="DB451" i="48" s="1"/>
  <c r="AC451" i="48" s="1"/>
  <c r="CO402" i="48"/>
  <c r="CS402" i="48" s="1"/>
  <c r="DB402" i="48" s="1"/>
  <c r="AC402" i="48" s="1"/>
  <c r="AJ402" i="48" s="1"/>
  <c r="AP402" i="48" s="1"/>
  <c r="N47" i="58" s="1"/>
  <c r="CO377" i="48"/>
  <c r="CS377" i="48" s="1"/>
  <c r="DB377" i="48" s="1"/>
  <c r="AC377" i="48" s="1"/>
  <c r="AJ377" i="48" s="1"/>
  <c r="AP377" i="48" s="1"/>
  <c r="I47" i="58" s="1"/>
  <c r="CO327" i="48"/>
  <c r="CS327" i="48" s="1"/>
  <c r="DB327" i="48" s="1"/>
  <c r="AC327" i="48" s="1"/>
  <c r="AJ327" i="48" s="1"/>
  <c r="AP327" i="48" s="1"/>
  <c r="CO302" i="48"/>
  <c r="CS302" i="48" s="1"/>
  <c r="DB302" i="48" s="1"/>
  <c r="AC302" i="48" s="1"/>
  <c r="AJ302" i="48" s="1"/>
  <c r="AP302" i="48" s="1"/>
  <c r="DB306" i="48"/>
  <c r="CO16" i="48"/>
  <c r="CS16" i="48" s="1"/>
  <c r="DB16" i="48" s="1"/>
  <c r="AC16" i="48" s="1"/>
  <c r="CO9" i="48"/>
  <c r="CS9" i="48" s="1"/>
  <c r="DB9" i="48" s="1"/>
  <c r="AC9" i="48" s="1"/>
  <c r="CO851" i="48"/>
  <c r="CS851" i="48" s="1"/>
  <c r="CO18" i="48"/>
  <c r="CS18" i="48" s="1"/>
  <c r="DB18" i="48" s="1"/>
  <c r="AC18" i="48" s="1"/>
  <c r="CO10" i="48"/>
  <c r="CS10" i="48" s="1"/>
  <c r="DB10" i="48" s="1"/>
  <c r="AC10" i="48" s="1"/>
  <c r="CO23" i="48"/>
  <c r="CS23" i="48" s="1"/>
  <c r="DB23" i="48" s="1"/>
  <c r="AC23" i="48" s="1"/>
  <c r="CO21" i="48"/>
  <c r="CS21" i="48" s="1"/>
  <c r="DB21" i="48" s="1"/>
  <c r="AC21" i="48" s="1"/>
  <c r="CO33" i="48"/>
  <c r="CS33" i="48" s="1"/>
  <c r="CO42" i="48"/>
  <c r="CS42" i="48" s="1"/>
  <c r="CO261" i="48"/>
  <c r="CS261" i="48" s="1"/>
  <c r="CO94" i="48"/>
  <c r="CS94" i="48" s="1"/>
  <c r="CO145" i="48"/>
  <c r="CS145" i="48" s="1"/>
  <c r="DB145" i="48" s="1"/>
  <c r="AC145" i="48" s="1"/>
  <c r="CO198" i="48"/>
  <c r="CS198" i="48" s="1"/>
  <c r="CO63" i="48"/>
  <c r="CS63" i="48" s="1"/>
  <c r="CO124" i="48"/>
  <c r="CS124" i="48" s="1"/>
  <c r="CO200" i="48"/>
  <c r="CS200" i="48" s="1"/>
  <c r="DB200" i="48" s="1"/>
  <c r="AC200" i="48" s="1"/>
  <c r="CO125" i="48"/>
  <c r="CS125" i="48" s="1"/>
  <c r="DB125" i="48" s="1"/>
  <c r="AC125" i="48" s="1"/>
  <c r="CO169" i="48"/>
  <c r="CS169" i="48" s="1"/>
  <c r="CO217" i="48"/>
  <c r="CS217" i="48" s="1"/>
  <c r="CO240" i="48"/>
  <c r="CS240" i="48" s="1"/>
  <c r="CO222" i="48"/>
  <c r="CS222" i="48" s="1"/>
  <c r="CO131" i="48"/>
  <c r="CS131" i="48" s="1"/>
  <c r="DB131" i="48" s="1"/>
  <c r="AC131" i="48" s="1"/>
  <c r="CO307" i="48"/>
  <c r="CS307" i="48" s="1"/>
  <c r="CO1124" i="48"/>
  <c r="CS1124" i="48" s="1"/>
  <c r="CO360" i="48"/>
  <c r="CS360" i="48" s="1"/>
  <c r="CO1299" i="48"/>
  <c r="CS1299" i="48" s="1"/>
  <c r="DB1299" i="48" s="1"/>
  <c r="CO939" i="48"/>
  <c r="CS939" i="48" s="1"/>
  <c r="CO389" i="48"/>
  <c r="CS389" i="48" s="1"/>
  <c r="CO1014" i="48"/>
  <c r="CS1014" i="48" s="1"/>
  <c r="CO1350" i="48"/>
  <c r="CS1350" i="48" s="1"/>
  <c r="DB1350" i="48" s="1"/>
  <c r="CO1200" i="48"/>
  <c r="CS1200" i="48" s="1"/>
  <c r="DB1200" i="48" s="1"/>
  <c r="CO1257" i="48"/>
  <c r="CS1257" i="48" s="1"/>
  <c r="DB1257" i="48" s="1"/>
  <c r="CO319" i="48"/>
  <c r="CS319" i="48" s="1"/>
  <c r="CO756" i="48"/>
  <c r="CS756" i="48" s="1"/>
  <c r="CO1218" i="48"/>
  <c r="CS1218" i="48" s="1"/>
  <c r="DB1218" i="48" s="1"/>
  <c r="CO797" i="48"/>
  <c r="CS797" i="48" s="1"/>
  <c r="CO1293" i="48"/>
  <c r="CS1293" i="48" s="1"/>
  <c r="DB1293" i="48" s="1"/>
  <c r="CO909" i="48"/>
  <c r="CS909" i="48" s="1"/>
  <c r="CO625" i="48"/>
  <c r="CS625" i="48" s="1"/>
  <c r="CO1287" i="48"/>
  <c r="CS1287" i="48" s="1"/>
  <c r="DB1287" i="48" s="1"/>
  <c r="CO1090" i="48"/>
  <c r="CS1090" i="48" s="1"/>
  <c r="CO1145" i="48"/>
  <c r="CS1145" i="48" s="1"/>
  <c r="CO493" i="48"/>
  <c r="CS493" i="48" s="1"/>
  <c r="CO338" i="48"/>
  <c r="CS338" i="48" s="1"/>
  <c r="CO1198" i="48"/>
  <c r="CS1198" i="48" s="1"/>
  <c r="CO589" i="48"/>
  <c r="CS589" i="48" s="1"/>
  <c r="CO1319" i="48"/>
  <c r="CS1319" i="48" s="1"/>
  <c r="DB1319" i="48" s="1"/>
  <c r="CO1222" i="48"/>
  <c r="CS1222" i="48" s="1"/>
  <c r="DB1222" i="48" s="1"/>
  <c r="CO323" i="48"/>
  <c r="CS323" i="48" s="1"/>
  <c r="CO906" i="48"/>
  <c r="CS906" i="48" s="1"/>
  <c r="CO1043" i="48"/>
  <c r="CS1043" i="48" s="1"/>
  <c r="CO1087" i="48"/>
  <c r="CS1087" i="48" s="1"/>
  <c r="CO632" i="48"/>
  <c r="CS632" i="48" s="1"/>
  <c r="CO1141" i="48"/>
  <c r="CS1141" i="48" s="1"/>
  <c r="CO515" i="48"/>
  <c r="CS515" i="48" s="1"/>
  <c r="CO570" i="48"/>
  <c r="CS570" i="48" s="1"/>
  <c r="CO1332" i="48"/>
  <c r="CS1332" i="48" s="1"/>
  <c r="DB1332" i="48" s="1"/>
  <c r="CO761" i="48"/>
  <c r="CS761" i="48" s="1"/>
  <c r="CO820" i="48"/>
  <c r="CS820" i="48" s="1"/>
  <c r="CO1333" i="48"/>
  <c r="CS1333" i="48" s="1"/>
  <c r="DB1333" i="48" s="1"/>
  <c r="CO1046" i="48"/>
  <c r="CS1046" i="48" s="1"/>
  <c r="CO874" i="48"/>
  <c r="CS874" i="48" s="1"/>
  <c r="CO1338" i="48"/>
  <c r="CS1338" i="48" s="1"/>
  <c r="DB1338" i="48" s="1"/>
  <c r="CO1208" i="48"/>
  <c r="CS1208" i="48" s="1"/>
  <c r="DB1208" i="48" s="1"/>
  <c r="CO796" i="48"/>
  <c r="CS796" i="48" s="1"/>
  <c r="CO387" i="48"/>
  <c r="CS387" i="48" s="1"/>
  <c r="CO297" i="48"/>
  <c r="CS297" i="48" s="1"/>
  <c r="CO1282" i="48"/>
  <c r="CS1282" i="48" s="1"/>
  <c r="DB1282" i="48" s="1"/>
  <c r="CO998" i="48"/>
  <c r="CS998" i="48" s="1"/>
  <c r="CO525" i="48"/>
  <c r="CS525" i="48" s="1"/>
  <c r="CO620" i="48"/>
  <c r="CS620" i="48" s="1"/>
  <c r="CO595" i="48"/>
  <c r="CS595" i="48" s="1"/>
  <c r="CO957" i="48"/>
  <c r="CS957" i="48" s="1"/>
  <c r="CO370" i="48"/>
  <c r="CS370" i="48" s="1"/>
  <c r="CO1322" i="48"/>
  <c r="CS1322" i="48" s="1"/>
  <c r="DB1322" i="48" s="1"/>
  <c r="CO1190" i="48"/>
  <c r="CS1190" i="48" s="1"/>
  <c r="CO343" i="48"/>
  <c r="CS343" i="48" s="1"/>
  <c r="CO422" i="48"/>
  <c r="CS422" i="48" s="1"/>
  <c r="DB422" i="48" s="1"/>
  <c r="AC422" i="48" s="1"/>
  <c r="CO367" i="48"/>
  <c r="CS367" i="48" s="1"/>
  <c r="CO1144" i="48"/>
  <c r="CS1144" i="48" s="1"/>
  <c r="CO1195" i="48"/>
  <c r="CS1195" i="48" s="1"/>
  <c r="CO358" i="48"/>
  <c r="CS358" i="48" s="1"/>
  <c r="CO273" i="48"/>
  <c r="CS273" i="48" s="1"/>
  <c r="CO618" i="48"/>
  <c r="CS618" i="48" s="1"/>
  <c r="CO397" i="48"/>
  <c r="CS397" i="48" s="1"/>
  <c r="CO342" i="48"/>
  <c r="CS342" i="48" s="1"/>
  <c r="CO591" i="48"/>
  <c r="CS591" i="48" s="1"/>
  <c r="CO537" i="48"/>
  <c r="CS537" i="48" s="1"/>
  <c r="CO1068" i="48"/>
  <c r="CS1068" i="48" s="1"/>
  <c r="CO938" i="48"/>
  <c r="CS938" i="48" s="1"/>
  <c r="CO1339" i="48"/>
  <c r="CS1339" i="48" s="1"/>
  <c r="DB1339" i="48" s="1"/>
  <c r="CO723" i="48"/>
  <c r="CS723" i="48" s="1"/>
  <c r="CO419" i="48"/>
  <c r="CS419" i="48" s="1"/>
  <c r="DB419" i="48" s="1"/>
  <c r="AC419" i="48" s="1"/>
  <c r="CO201" i="48"/>
  <c r="CS201" i="48" s="1"/>
  <c r="CO976" i="48"/>
  <c r="CS976" i="48" s="1"/>
  <c r="DB976" i="48" s="1"/>
  <c r="AC976" i="48" s="1"/>
  <c r="CO11" i="48"/>
  <c r="CS11" i="48" s="1"/>
  <c r="DB11" i="48" s="1"/>
  <c r="AC11" i="48" s="1"/>
  <c r="CO22" i="48"/>
  <c r="CS22" i="48" s="1"/>
  <c r="DB22" i="48" s="1"/>
  <c r="AC22" i="48" s="1"/>
  <c r="CO24" i="48"/>
  <c r="CS24" i="48" s="1"/>
  <c r="DB24" i="48" s="1"/>
  <c r="AC24" i="48" s="1"/>
  <c r="CO25" i="48"/>
  <c r="CS25" i="48" s="1"/>
  <c r="DB25" i="48" s="1"/>
  <c r="AC25" i="48" s="1"/>
  <c r="CO37" i="48"/>
  <c r="CS37" i="48" s="1"/>
  <c r="CO40" i="48"/>
  <c r="CS40" i="48" s="1"/>
  <c r="CO44" i="48"/>
  <c r="CS44" i="48" s="1"/>
  <c r="CO31" i="48"/>
  <c r="CS31" i="48" s="1"/>
  <c r="CO268" i="48"/>
  <c r="CS268" i="48" s="1"/>
  <c r="CO272" i="48"/>
  <c r="CS272" i="48" s="1"/>
  <c r="CO274" i="48"/>
  <c r="CS274" i="48" s="1"/>
  <c r="CO62" i="48"/>
  <c r="CS62" i="48" s="1"/>
  <c r="CO66" i="48"/>
  <c r="CS66" i="48" s="1"/>
  <c r="CO82" i="48"/>
  <c r="CS82" i="48" s="1"/>
  <c r="CO220" i="48"/>
  <c r="CS220" i="48" s="1"/>
  <c r="CO171" i="48"/>
  <c r="CS171" i="48" s="1"/>
  <c r="CO138" i="48"/>
  <c r="CS138" i="48" s="1"/>
  <c r="DB138" i="48" s="1"/>
  <c r="AC138" i="48" s="1"/>
  <c r="CO114" i="48"/>
  <c r="CS114" i="48" s="1"/>
  <c r="CO233" i="48"/>
  <c r="CS233" i="48" s="1"/>
  <c r="CO108" i="48"/>
  <c r="CS108" i="48" s="1"/>
  <c r="CO69" i="48"/>
  <c r="CS69" i="48" s="1"/>
  <c r="CO223" i="48"/>
  <c r="CS223" i="48" s="1"/>
  <c r="CO117" i="48"/>
  <c r="CS117" i="48" s="1"/>
  <c r="CO262" i="48"/>
  <c r="CS262" i="48" s="1"/>
  <c r="CO132" i="48"/>
  <c r="CS132" i="48" s="1"/>
  <c r="DB132" i="48" s="1"/>
  <c r="CO247" i="48"/>
  <c r="CS247" i="48" s="1"/>
  <c r="CO191" i="48"/>
  <c r="CS191" i="48" s="1"/>
  <c r="CO213" i="48"/>
  <c r="CS213" i="48" s="1"/>
  <c r="CO89" i="48"/>
  <c r="CS89" i="48" s="1"/>
  <c r="CO218" i="48"/>
  <c r="CS218" i="48" s="1"/>
  <c r="CO90" i="48"/>
  <c r="CS90" i="48" s="1"/>
  <c r="CO81" i="48"/>
  <c r="CS81" i="48" s="1"/>
  <c r="CO91" i="48"/>
  <c r="CS91" i="48" s="1"/>
  <c r="CO120" i="48"/>
  <c r="CS120" i="48" s="1"/>
  <c r="CO142" i="48"/>
  <c r="CS142" i="48" s="1"/>
  <c r="DB142" i="48" s="1"/>
  <c r="AC142" i="48" s="1"/>
  <c r="CO249" i="48"/>
  <c r="CS249" i="48" s="1"/>
  <c r="CO185" i="48"/>
  <c r="CS185" i="48" s="1"/>
  <c r="CO64" i="48"/>
  <c r="CS64" i="48" s="1"/>
  <c r="CO234" i="48"/>
  <c r="CS234" i="48" s="1"/>
  <c r="CO67" i="48"/>
  <c r="CS67" i="48" s="1"/>
  <c r="CO116" i="48"/>
  <c r="CS116" i="48" s="1"/>
  <c r="CO190" i="48"/>
  <c r="CS190" i="48" s="1"/>
  <c r="CO133" i="48"/>
  <c r="CS133" i="48" s="1"/>
  <c r="DB133" i="48" s="1"/>
  <c r="AC133" i="48" s="1"/>
  <c r="CO140" i="48"/>
  <c r="CS140" i="48" s="1"/>
  <c r="DB140" i="48" s="1"/>
  <c r="AC140" i="48" s="1"/>
  <c r="CO181" i="48"/>
  <c r="CS181" i="48" s="1"/>
  <c r="CO322" i="48"/>
  <c r="CS322" i="48" s="1"/>
  <c r="CO697" i="48"/>
  <c r="CS697" i="48" s="1"/>
  <c r="CO921" i="48"/>
  <c r="CS921" i="48" s="1"/>
  <c r="CO1112" i="48"/>
  <c r="CS1112" i="48" s="1"/>
  <c r="CO972" i="48"/>
  <c r="CS972" i="48" s="1"/>
  <c r="CO958" i="48"/>
  <c r="CS958" i="48" s="1"/>
  <c r="CO610" i="48"/>
  <c r="CS610" i="48" s="1"/>
  <c r="CO309" i="48"/>
  <c r="CS309" i="48" s="1"/>
  <c r="CO1039" i="48"/>
  <c r="CS1039" i="48" s="1"/>
  <c r="CO1296" i="48"/>
  <c r="CS1296" i="48" s="1"/>
  <c r="DB1296" i="48" s="1"/>
  <c r="CO1233" i="48"/>
  <c r="CS1233" i="48" s="1"/>
  <c r="DB1233" i="48" s="1"/>
  <c r="CO1246" i="48"/>
  <c r="CS1246" i="48" s="1"/>
  <c r="DB1246" i="48" s="1"/>
  <c r="CO1086" i="48"/>
  <c r="CS1086" i="48" s="1"/>
  <c r="CO385" i="48"/>
  <c r="CS385" i="48" s="1"/>
  <c r="CO392" i="48"/>
  <c r="CS392" i="48" s="1"/>
  <c r="CO740" i="48"/>
  <c r="CS740" i="48" s="1"/>
  <c r="CO648" i="48"/>
  <c r="CS648" i="48" s="1"/>
  <c r="CO1024" i="48"/>
  <c r="CS1024" i="48" s="1"/>
  <c r="CO498" i="48"/>
  <c r="CS498" i="48" s="1"/>
  <c r="CO725" i="48"/>
  <c r="CS725" i="48" s="1"/>
  <c r="CO263" i="48"/>
  <c r="CS263" i="48" s="1"/>
  <c r="CO840" i="48"/>
  <c r="CS840" i="48" s="1"/>
  <c r="CO473" i="48"/>
  <c r="CS473" i="48" s="1"/>
  <c r="CO336" i="48"/>
  <c r="CS336" i="48" s="1"/>
  <c r="CO1194" i="48"/>
  <c r="CS1194" i="48" s="1"/>
  <c r="CO568" i="48"/>
  <c r="CS568" i="48" s="1"/>
  <c r="CO894" i="48"/>
  <c r="CS894" i="48" s="1"/>
  <c r="CO1258" i="48"/>
  <c r="CS1258" i="48" s="1"/>
  <c r="DB1258" i="48" s="1"/>
  <c r="DC1258" i="48" s="1"/>
  <c r="CO596" i="48"/>
  <c r="CS596" i="48" s="1"/>
  <c r="CO298" i="48"/>
  <c r="CS298" i="48" s="1"/>
  <c r="CO1147" i="48"/>
  <c r="CS1147" i="48" s="1"/>
  <c r="CO1324" i="48"/>
  <c r="CS1324" i="48" s="1"/>
  <c r="DB1324" i="48" s="1"/>
  <c r="CO773" i="48"/>
  <c r="CS773" i="48" s="1"/>
  <c r="CO774" i="48"/>
  <c r="CS774" i="48" s="1"/>
  <c r="CO1209" i="48"/>
  <c r="CS1209" i="48" s="1"/>
  <c r="DB1209" i="48" s="1"/>
  <c r="CO1344" i="48"/>
  <c r="CS1344" i="48" s="1"/>
  <c r="DB1344" i="48" s="1"/>
  <c r="CO812" i="48"/>
  <c r="CS812" i="48" s="1"/>
  <c r="CO423" i="48"/>
  <c r="CS423" i="48" s="1"/>
  <c r="DB423" i="48" s="1"/>
  <c r="CO109" i="48"/>
  <c r="CS109" i="48" s="1"/>
  <c r="CO783" i="48"/>
  <c r="CS783" i="48" s="1"/>
  <c r="CO1174" i="48"/>
  <c r="CS1174" i="48" s="1"/>
  <c r="CO374" i="48"/>
  <c r="CS374" i="48" s="1"/>
  <c r="CO949" i="48"/>
  <c r="CS949" i="48" s="1"/>
  <c r="CO899" i="48"/>
  <c r="CS899" i="48" s="1"/>
  <c r="CO363" i="48"/>
  <c r="CS363" i="48" s="1"/>
  <c r="CO699" i="48"/>
  <c r="CS699" i="48" s="1"/>
  <c r="CO920" i="48"/>
  <c r="CS920" i="48" s="1"/>
  <c r="CO1116" i="48"/>
  <c r="CS1116" i="48" s="1"/>
  <c r="CO1113" i="48"/>
  <c r="CS1113" i="48" s="1"/>
  <c r="CO606" i="48"/>
  <c r="CS606" i="48" s="1"/>
  <c r="CO624" i="48"/>
  <c r="CS624" i="48" s="1"/>
  <c r="CO834" i="48"/>
  <c r="CS834" i="48" s="1"/>
  <c r="CO1300" i="48"/>
  <c r="CS1300" i="48" s="1"/>
  <c r="DB1300" i="48" s="1"/>
  <c r="CO1250" i="48"/>
  <c r="CS1250" i="48" s="1"/>
  <c r="CO988" i="48"/>
  <c r="CS988" i="48" s="1"/>
  <c r="CO1081" i="48"/>
  <c r="CS1081" i="48" s="1"/>
  <c r="CO1093" i="48"/>
  <c r="CS1093" i="48" s="1"/>
  <c r="CO381" i="48"/>
  <c r="CS381" i="48" s="1"/>
  <c r="CO732" i="48"/>
  <c r="CS732" i="48" s="1"/>
  <c r="CO844" i="48"/>
  <c r="CS844" i="48" s="1"/>
  <c r="CO641" i="48"/>
  <c r="CS641" i="48" s="1"/>
  <c r="CO494" i="48"/>
  <c r="CS494" i="48" s="1"/>
  <c r="CO719" i="48"/>
  <c r="CS719" i="48" s="1"/>
  <c r="CO849" i="48"/>
  <c r="CS849" i="48" s="1"/>
  <c r="CO333" i="48"/>
  <c r="CS333" i="48" s="1"/>
  <c r="CO509" i="48"/>
  <c r="CS509" i="48" s="1"/>
  <c r="CO524" i="48"/>
  <c r="CS524" i="48" s="1"/>
  <c r="CO562" i="48"/>
  <c r="CS562" i="48" s="1"/>
  <c r="CO893" i="48"/>
  <c r="CS893" i="48" s="1"/>
  <c r="CO1256" i="48"/>
  <c r="CS1256" i="48" s="1"/>
  <c r="DB1256" i="48" s="1"/>
  <c r="CO600" i="48"/>
  <c r="CS600" i="48" s="1"/>
  <c r="CO284" i="48"/>
  <c r="CS284" i="48" s="1"/>
  <c r="CO296" i="48"/>
  <c r="CS296" i="48" s="1"/>
  <c r="CO1316" i="48"/>
  <c r="CS1316" i="48" s="1"/>
  <c r="DB1316" i="48" s="1"/>
  <c r="CO545" i="48"/>
  <c r="CS545" i="48" s="1"/>
  <c r="CO550" i="48"/>
  <c r="CS550" i="48" s="1"/>
  <c r="CO768" i="48"/>
  <c r="CS768" i="48" s="1"/>
  <c r="CO983" i="48"/>
  <c r="CS983" i="48" s="1"/>
  <c r="CO1058" i="48"/>
  <c r="CS1058" i="48" s="1"/>
  <c r="CO449" i="48"/>
  <c r="CS449" i="48" s="1"/>
  <c r="CO1172" i="48"/>
  <c r="CS1172" i="48" s="1"/>
  <c r="CO1047" i="48"/>
  <c r="CS1047" i="48" s="1"/>
  <c r="CO324" i="48"/>
  <c r="CS324" i="48" s="1"/>
  <c r="CO688" i="48"/>
  <c r="CS688" i="48" s="1"/>
  <c r="CO1122" i="48"/>
  <c r="CS1122" i="48" s="1"/>
  <c r="CO961" i="48"/>
  <c r="CS961" i="48" s="1"/>
  <c r="CO622" i="48"/>
  <c r="CS622" i="48" s="1"/>
  <c r="CO1149" i="48"/>
  <c r="CS1149" i="48" s="1"/>
  <c r="CO1049" i="48"/>
  <c r="CS1049" i="48" s="1"/>
  <c r="CO1281" i="48"/>
  <c r="CS1281" i="48" s="1"/>
  <c r="DB1281" i="48" s="1"/>
  <c r="CO997" i="48"/>
  <c r="CS997" i="48" s="1"/>
  <c r="CO399" i="48"/>
  <c r="CS399" i="48" s="1"/>
  <c r="CO365" i="48"/>
  <c r="CS365" i="48" s="1"/>
  <c r="CO635" i="48"/>
  <c r="CS635" i="48" s="1"/>
  <c r="CO487" i="48"/>
  <c r="CS487" i="48" s="1"/>
  <c r="CO711" i="48"/>
  <c r="CS711" i="48" s="1"/>
  <c r="CO444" i="48"/>
  <c r="CS444" i="48" s="1"/>
  <c r="CO463" i="48"/>
  <c r="CS463" i="48" s="1"/>
  <c r="CO350" i="48"/>
  <c r="CS350" i="48" s="1"/>
  <c r="DB350" i="48" s="1"/>
  <c r="AC350" i="48" s="1"/>
  <c r="CO1184" i="48"/>
  <c r="CS1184" i="48" s="1"/>
  <c r="CO881" i="48"/>
  <c r="CS881" i="48" s="1"/>
  <c r="CO287" i="48"/>
  <c r="CS287" i="48" s="1"/>
  <c r="CO1308" i="48"/>
  <c r="CS1308" i="48" s="1"/>
  <c r="DB1308" i="48" s="1"/>
  <c r="CO538" i="48"/>
  <c r="CS538" i="48" s="1"/>
  <c r="CO770" i="48"/>
  <c r="CS770" i="48" s="1"/>
  <c r="CO856" i="48"/>
  <c r="CS856" i="48" s="1"/>
  <c r="CO863" i="48"/>
  <c r="CS863" i="48" s="1"/>
  <c r="CO1000" i="48"/>
  <c r="CS1000" i="48" s="1"/>
  <c r="CO815" i="48"/>
  <c r="CS815" i="48" s="1"/>
  <c r="CO407" i="48"/>
  <c r="CS407" i="48" s="1"/>
  <c r="DB407" i="48" s="1"/>
  <c r="AC407" i="48" s="1"/>
  <c r="CO414" i="48"/>
  <c r="CS414" i="48" s="1"/>
  <c r="DB414" i="48" s="1"/>
  <c r="AC414" i="48" s="1"/>
  <c r="CO1071" i="48"/>
  <c r="CS1071" i="48" s="1"/>
  <c r="CO941" i="48"/>
  <c r="CS941" i="48" s="1"/>
  <c r="CO1161" i="48"/>
  <c r="CS1161" i="48" s="1"/>
  <c r="CO1120" i="48"/>
  <c r="CS1120" i="48" s="1"/>
  <c r="CO393" i="48"/>
  <c r="CS393" i="48" s="1"/>
  <c r="CO474" i="48"/>
  <c r="CS474" i="48" s="1"/>
  <c r="CO875" i="48"/>
  <c r="CS875" i="48" s="1"/>
  <c r="CO970" i="48"/>
  <c r="CS970" i="48" s="1"/>
  <c r="CO1038" i="48"/>
  <c r="CS1038" i="48" s="1"/>
  <c r="CO1009" i="48"/>
  <c r="CS1009" i="48" s="1"/>
  <c r="CO584" i="48"/>
  <c r="CS584" i="48" s="1"/>
  <c r="CO860" i="48"/>
  <c r="CS860" i="48" s="1"/>
  <c r="CO1223" i="48"/>
  <c r="CS1223" i="48" s="1"/>
  <c r="DB1223" i="48" s="1"/>
  <c r="DC1223" i="48" s="1"/>
  <c r="CO819" i="48"/>
  <c r="CS819" i="48" s="1"/>
  <c r="CO1062" i="48"/>
  <c r="CS1062" i="48" s="1"/>
  <c r="CO1169" i="48"/>
  <c r="CS1169" i="48" s="1"/>
  <c r="CO1111" i="48"/>
  <c r="CS1111" i="48" s="1"/>
  <c r="CO359" i="48"/>
  <c r="CS359" i="48" s="1"/>
  <c r="CO744" i="48"/>
  <c r="CS744" i="48" s="1"/>
  <c r="CO1193" i="48"/>
  <c r="CS1193" i="48" s="1"/>
  <c r="CO1269" i="48"/>
  <c r="CS1269" i="48" s="1"/>
  <c r="DB1269" i="48" s="1"/>
  <c r="CO937" i="48"/>
  <c r="CS937" i="48" s="1"/>
  <c r="CO782" i="48"/>
  <c r="CS782" i="48" s="1"/>
  <c r="CO694" i="48"/>
  <c r="CS694" i="48" s="1"/>
  <c r="CO968" i="48"/>
  <c r="CS968" i="48" s="1"/>
  <c r="CO1241" i="48"/>
  <c r="CS1241" i="48" s="1"/>
  <c r="DB1241" i="48" s="1"/>
  <c r="CO716" i="48"/>
  <c r="CS716" i="48" s="1"/>
  <c r="CO1215" i="48"/>
  <c r="CS1215" i="48" s="1"/>
  <c r="DB1215" i="48" s="1"/>
  <c r="CO943" i="48"/>
  <c r="CS943" i="48" s="1"/>
  <c r="CO400" i="48"/>
  <c r="CS400" i="48" s="1"/>
  <c r="CO650" i="48"/>
  <c r="CS650" i="48" s="1"/>
  <c r="CO575" i="48"/>
  <c r="CS575" i="48" s="1"/>
  <c r="CO1173" i="48"/>
  <c r="CS1173" i="48" s="1"/>
  <c r="CO916" i="48"/>
  <c r="CS916" i="48" s="1"/>
  <c r="CO310" i="48"/>
  <c r="CS310" i="48" s="1"/>
  <c r="CO1013" i="48"/>
  <c r="CS1013" i="48" s="1"/>
  <c r="CO516" i="48"/>
  <c r="CS516" i="48" s="1"/>
  <c r="CO1320" i="48"/>
  <c r="CS1320" i="48" s="1"/>
  <c r="DB1320" i="48" s="1"/>
  <c r="CO372" i="48"/>
  <c r="CS372" i="48" s="1"/>
  <c r="CO907" i="48"/>
  <c r="CS907" i="48" s="1"/>
  <c r="CO609" i="48"/>
  <c r="CS609" i="48" s="1"/>
  <c r="CO991" i="48"/>
  <c r="CS991" i="48" s="1"/>
  <c r="CO644" i="48"/>
  <c r="CS644" i="48" s="1"/>
  <c r="CO566" i="48"/>
  <c r="CS566" i="48" s="1"/>
  <c r="CO1132" i="48"/>
  <c r="CS1132" i="48" s="1"/>
  <c r="CO864" i="48"/>
  <c r="CS864" i="48" s="1"/>
  <c r="CO186" i="48"/>
  <c r="CS186" i="48" s="1"/>
  <c r="CO332" i="48"/>
  <c r="CS332" i="48" s="1"/>
  <c r="CO348" i="48"/>
  <c r="CS348" i="48" s="1"/>
  <c r="CO291" i="48"/>
  <c r="CS291" i="48" s="1"/>
  <c r="CO760" i="48"/>
  <c r="CS760" i="48" s="1"/>
  <c r="CO1056" i="48"/>
  <c r="CS1056" i="48" s="1"/>
  <c r="CO718" i="48"/>
  <c r="CS718" i="48" s="1"/>
  <c r="CO519" i="48"/>
  <c r="CS519" i="48" s="1"/>
  <c r="CO1175" i="48"/>
  <c r="CS1175" i="48" s="1"/>
  <c r="CO1007" i="48"/>
  <c r="CS1007" i="48" s="1"/>
  <c r="CO434" i="48"/>
  <c r="CS434" i="48" s="1"/>
  <c r="CO1063" i="48"/>
  <c r="CS1063" i="48" s="1"/>
  <c r="CO315" i="48"/>
  <c r="CS315" i="48" s="1"/>
  <c r="CO1006" i="48"/>
  <c r="CS1006" i="48" s="1"/>
  <c r="CO616" i="48"/>
  <c r="CS616" i="48" s="1"/>
  <c r="CO1033" i="48"/>
  <c r="CS1033" i="48" s="1"/>
  <c r="CO382" i="48"/>
  <c r="CS382" i="48" s="1"/>
  <c r="CO631" i="48"/>
  <c r="CS631" i="48" s="1"/>
  <c r="CO715" i="48"/>
  <c r="CS715" i="48" s="1"/>
  <c r="CO162" i="48"/>
  <c r="CS162" i="48" s="1"/>
  <c r="CO895" i="48"/>
  <c r="CS895" i="48" s="1"/>
  <c r="CO439" i="48"/>
  <c r="CS439" i="48" s="1"/>
  <c r="CO121" i="48"/>
  <c r="CS121" i="48" s="1"/>
  <c r="CO1137" i="48"/>
  <c r="CS1137" i="48" s="1"/>
  <c r="CO1163" i="48"/>
  <c r="CS1163" i="48" s="1"/>
  <c r="CO508" i="48"/>
  <c r="CS508" i="48" s="1"/>
  <c r="CO431" i="48"/>
  <c r="CS431" i="48" s="1"/>
  <c r="CO639" i="48"/>
  <c r="CS639" i="48" s="1"/>
  <c r="CO1121" i="48"/>
  <c r="CS1121" i="48" s="1"/>
  <c r="CO1342" i="48"/>
  <c r="CS1342" i="48" s="1"/>
  <c r="DB1342" i="48" s="1"/>
  <c r="CO1247" i="48"/>
  <c r="CS1247" i="48" s="1"/>
  <c r="DB1247" i="48" s="1"/>
  <c r="DC1247" i="48" s="1"/>
  <c r="CO833" i="48"/>
  <c r="CS833" i="48" s="1"/>
  <c r="CO748" i="48"/>
  <c r="CS748" i="48" s="1"/>
  <c r="CO481" i="48"/>
  <c r="CS481" i="48" s="1"/>
  <c r="CO364" i="48"/>
  <c r="CS364" i="48" s="1"/>
  <c r="CO513" i="48"/>
  <c r="CS513" i="48" s="1"/>
  <c r="CO571" i="48"/>
  <c r="CS571" i="48" s="1"/>
  <c r="CO1261" i="48"/>
  <c r="CS1261" i="48" s="1"/>
  <c r="DB1261" i="48" s="1"/>
  <c r="CO594" i="48"/>
  <c r="CS594" i="48" s="1"/>
  <c r="CO846" i="48"/>
  <c r="CS846" i="48" s="1"/>
  <c r="CO1309" i="48"/>
  <c r="CS1309" i="48" s="1"/>
  <c r="DB1309" i="48" s="1"/>
  <c r="CO758" i="48"/>
  <c r="CS758" i="48" s="1"/>
  <c r="CO1214" i="48"/>
  <c r="CS1214" i="48" s="1"/>
  <c r="DB1214" i="48" s="1"/>
  <c r="CO445" i="48"/>
  <c r="CS445" i="48" s="1"/>
  <c r="CO809" i="48"/>
  <c r="CS809" i="48" s="1"/>
  <c r="CO1061" i="48"/>
  <c r="CS1061" i="48" s="1"/>
  <c r="CO940" i="48"/>
  <c r="CS940" i="48" s="1"/>
  <c r="CO993" i="48"/>
  <c r="CS993" i="48" s="1"/>
  <c r="CO636" i="48"/>
  <c r="CS636" i="48" s="1"/>
  <c r="CO1259" i="48"/>
  <c r="CS1259" i="48" s="1"/>
  <c r="DB1259" i="48" s="1"/>
  <c r="CO159" i="48"/>
  <c r="CS159" i="48" s="1"/>
  <c r="CO321" i="48"/>
  <c r="CS321" i="48" s="1"/>
  <c r="CO496" i="48"/>
  <c r="CS496" i="48" s="1"/>
  <c r="CO544" i="48"/>
  <c r="CS544" i="48" s="1"/>
  <c r="CO106" i="48"/>
  <c r="CS106" i="48" s="1"/>
  <c r="CO337" i="48"/>
  <c r="CS337" i="48" s="1"/>
  <c r="CO1197" i="48"/>
  <c r="CS1197" i="48" s="1"/>
  <c r="CO547" i="48"/>
  <c r="CS547" i="48" s="1"/>
  <c r="CO112" i="48"/>
  <c r="CS112" i="48" s="1"/>
  <c r="CO982" i="48"/>
  <c r="CS982" i="48" s="1"/>
  <c r="CO401" i="48"/>
  <c r="CS401" i="48" s="1"/>
  <c r="DB401" i="48" s="1"/>
  <c r="AC401" i="48" s="1"/>
  <c r="CO1101" i="48"/>
  <c r="CS1101" i="48" s="1"/>
  <c r="CO1251" i="48"/>
  <c r="CS1251" i="48" s="1"/>
  <c r="DB1251" i="48" s="1"/>
  <c r="CO1026" i="48"/>
  <c r="CS1026" i="48" s="1"/>
  <c r="CO576" i="48"/>
  <c r="CS576" i="48" s="1"/>
  <c r="CO726" i="48"/>
  <c r="CS726" i="48" s="1"/>
  <c r="CO701" i="48"/>
  <c r="CS701" i="48" s="1"/>
  <c r="CO1201" i="48"/>
  <c r="CS1201" i="48" s="1"/>
  <c r="CO751" i="48"/>
  <c r="CS751" i="48" s="1"/>
  <c r="DB751" i="48" s="1"/>
  <c r="AC751" i="48" s="1"/>
  <c r="CO151" i="48"/>
  <c r="CS151" i="48" s="1"/>
  <c r="DB151" i="48" s="1"/>
  <c r="AC151" i="48" s="1"/>
  <c r="CO351" i="48"/>
  <c r="CS351" i="48" s="1"/>
  <c r="CO501" i="48"/>
  <c r="CS501" i="48" s="1"/>
  <c r="CO876" i="48"/>
  <c r="CS876" i="48" s="1"/>
  <c r="CO301" i="48"/>
  <c r="CS301" i="48" s="1"/>
  <c r="DB301" i="48" s="1"/>
  <c r="AC301" i="48" s="1"/>
  <c r="CO126" i="48"/>
  <c r="CS126" i="48" s="1"/>
  <c r="CO49" i="48"/>
  <c r="CS49" i="48" s="1"/>
  <c r="CO32" i="48"/>
  <c r="CS32" i="48" s="1"/>
  <c r="CO258" i="48"/>
  <c r="CS258" i="48" s="1"/>
  <c r="CO207" i="48"/>
  <c r="CS207" i="48" s="1"/>
  <c r="CO160" i="48"/>
  <c r="CS160" i="48" s="1"/>
  <c r="CO182" i="48"/>
  <c r="CS182" i="48" s="1"/>
  <c r="CO237" i="48"/>
  <c r="CS237" i="48" s="1"/>
  <c r="CO225" i="48"/>
  <c r="CS225" i="48" s="1"/>
  <c r="CO150" i="48"/>
  <c r="CS150" i="48" s="1"/>
  <c r="DB150" i="48" s="1"/>
  <c r="AC150" i="48" s="1"/>
  <c r="CO210" i="48"/>
  <c r="CS210" i="48" s="1"/>
  <c r="CO215" i="48"/>
  <c r="CS215" i="48" s="1"/>
  <c r="CO73" i="48"/>
  <c r="CS73" i="48" s="1"/>
  <c r="CO144" i="48"/>
  <c r="CS144" i="48" s="1"/>
  <c r="DB144" i="48" s="1"/>
  <c r="AC144" i="48" s="1"/>
  <c r="CO183" i="48"/>
  <c r="CS183" i="48" s="1"/>
  <c r="CO137" i="48"/>
  <c r="CS137" i="48" s="1"/>
  <c r="DB137" i="48" s="1"/>
  <c r="AC137" i="48" s="1"/>
  <c r="CO235" i="48"/>
  <c r="CS235" i="48" s="1"/>
  <c r="CO146" i="48"/>
  <c r="CS146" i="48" s="1"/>
  <c r="DB146" i="48" s="1"/>
  <c r="CO696" i="48"/>
  <c r="CS696" i="48" s="1"/>
  <c r="CO974" i="48"/>
  <c r="CS974" i="48" s="1"/>
  <c r="CO1041" i="48"/>
  <c r="CS1041" i="48" s="1"/>
  <c r="CO1235" i="48"/>
  <c r="CS1235" i="48" s="1"/>
  <c r="DB1235" i="48" s="1"/>
  <c r="CO1096" i="48"/>
  <c r="CS1096" i="48" s="1"/>
  <c r="CO645" i="48"/>
  <c r="CS645" i="48" s="1"/>
  <c r="CO706" i="48"/>
  <c r="CS706" i="48" s="1"/>
  <c r="CO346" i="48"/>
  <c r="CS346" i="48" s="1"/>
  <c r="CO565" i="48"/>
  <c r="CS565" i="48" s="1"/>
  <c r="CO585" i="48"/>
  <c r="CS585" i="48" s="1"/>
  <c r="CO1321" i="48"/>
  <c r="CS1321" i="48" s="1"/>
  <c r="DB1321" i="48" s="1"/>
  <c r="CO532" i="48"/>
  <c r="CS532" i="48" s="1"/>
  <c r="CO1225" i="48"/>
  <c r="CS1225" i="48" s="1"/>
  <c r="DB1225" i="48" s="1"/>
  <c r="CO825" i="48"/>
  <c r="CS825" i="48" s="1"/>
  <c r="CO1065" i="48"/>
  <c r="CS1065" i="48" s="1"/>
  <c r="CO1162" i="48"/>
  <c r="CS1162" i="48" s="1"/>
  <c r="CO708" i="48"/>
  <c r="CS708" i="48" s="1"/>
  <c r="CO837" i="48"/>
  <c r="CS837" i="48" s="1"/>
  <c r="CO922" i="48"/>
  <c r="CS922" i="48" s="1"/>
  <c r="CO967" i="48"/>
  <c r="CS967" i="48" s="1"/>
  <c r="CO1037" i="48"/>
  <c r="CS1037" i="48" s="1"/>
  <c r="CO933" i="48"/>
  <c r="CS933" i="48" s="1"/>
  <c r="CO737" i="48"/>
  <c r="CS737" i="48" s="1"/>
  <c r="CO724" i="48"/>
  <c r="CS724" i="48" s="1"/>
  <c r="CO511" i="48"/>
  <c r="CS511" i="48" s="1"/>
  <c r="CO569" i="48"/>
  <c r="CS569" i="48" s="1"/>
  <c r="CO281" i="48"/>
  <c r="CS281" i="48" s="1"/>
  <c r="CO536" i="48"/>
  <c r="CS536" i="48" s="1"/>
  <c r="CO418" i="48"/>
  <c r="CS418" i="48" s="1"/>
  <c r="DB418" i="48" s="1"/>
  <c r="AC418" i="48" s="1"/>
  <c r="CO1108" i="48"/>
  <c r="CS1108" i="48" s="1"/>
  <c r="CO396" i="48"/>
  <c r="CS396" i="48" s="1"/>
  <c r="CO1012" i="48"/>
  <c r="CS1012" i="48" s="1"/>
  <c r="CO460" i="48"/>
  <c r="CS460" i="48" s="1"/>
  <c r="CO557" i="48"/>
  <c r="CS557" i="48" s="1"/>
  <c r="CO599" i="48"/>
  <c r="CS599" i="48" s="1"/>
  <c r="CO540" i="48"/>
  <c r="CS540" i="48" s="1"/>
  <c r="CO1224" i="48"/>
  <c r="CS1224" i="48" s="1"/>
  <c r="DB1224" i="48" s="1"/>
  <c r="CO409" i="48"/>
  <c r="CS409" i="48" s="1"/>
  <c r="DB409" i="48" s="1"/>
  <c r="AC409" i="48" s="1"/>
  <c r="CO789" i="48"/>
  <c r="CS789" i="48" s="1"/>
  <c r="CO466" i="48"/>
  <c r="CS466" i="48" s="1"/>
  <c r="CO823" i="48"/>
  <c r="CS823" i="48" s="1"/>
  <c r="CO913" i="48"/>
  <c r="CS913" i="48" s="1"/>
  <c r="CO521" i="48"/>
  <c r="CS521" i="48" s="1"/>
  <c r="CO1073" i="48"/>
  <c r="CS1073" i="48" s="1"/>
  <c r="CO965" i="48"/>
  <c r="CS965" i="48" s="1"/>
  <c r="CO1317" i="48"/>
  <c r="CS1317" i="48" s="1"/>
  <c r="DB1317" i="48" s="1"/>
  <c r="CO936" i="48"/>
  <c r="CS936" i="48" s="1"/>
  <c r="CO1335" i="48"/>
  <c r="CS1335" i="48" s="1"/>
  <c r="DB1335" i="48" s="1"/>
  <c r="CO507" i="48"/>
  <c r="CS507" i="48" s="1"/>
  <c r="CO691" i="48"/>
  <c r="CS691" i="48" s="1"/>
  <c r="CO347" i="48"/>
  <c r="CS347" i="48" s="1"/>
  <c r="CO762" i="48"/>
  <c r="CS762" i="48" s="1"/>
  <c r="CO743" i="48"/>
  <c r="CS743" i="48" s="1"/>
  <c r="CO413" i="48"/>
  <c r="CS413" i="48" s="1"/>
  <c r="DB413" i="48" s="1"/>
  <c r="AC413" i="48" s="1"/>
  <c r="CO788" i="48"/>
  <c r="CS788" i="48" s="1"/>
  <c r="CO1070" i="48"/>
  <c r="CS1070" i="48" s="1"/>
  <c r="CO911" i="48"/>
  <c r="CS911" i="48" s="1"/>
  <c r="CO1082" i="48"/>
  <c r="CS1082" i="48" s="1"/>
  <c r="CO459" i="48"/>
  <c r="CS459" i="48" s="1"/>
  <c r="CO539" i="48"/>
  <c r="CS539" i="48" s="1"/>
  <c r="CO172" i="48"/>
  <c r="CS172" i="48" s="1"/>
  <c r="CO923" i="48"/>
  <c r="CS923" i="48" s="1"/>
  <c r="CO1243" i="48"/>
  <c r="CS1243" i="48" s="1"/>
  <c r="DB1243" i="48" s="1"/>
  <c r="CO984" i="48"/>
  <c r="CS984" i="48" s="1"/>
  <c r="CO1271" i="48"/>
  <c r="CS1271" i="48" s="1"/>
  <c r="DB1271" i="48" s="1"/>
  <c r="CO1307" i="48"/>
  <c r="CS1307" i="48" s="1"/>
  <c r="DB1307" i="48" s="1"/>
  <c r="CO873" i="48"/>
  <c r="CS873" i="48" s="1"/>
  <c r="CO806" i="48"/>
  <c r="CS806" i="48" s="1"/>
  <c r="CO1159" i="48"/>
  <c r="CS1159" i="48" s="1"/>
  <c r="CO464" i="48"/>
  <c r="CS464" i="48" s="1"/>
  <c r="CO294" i="48"/>
  <c r="CS294" i="48" s="1"/>
  <c r="CO242" i="48"/>
  <c r="CS242" i="48" s="1"/>
  <c r="CO260" i="48"/>
  <c r="CS260" i="48" s="1"/>
  <c r="CO1226" i="48"/>
  <c r="CS1226" i="48" s="1"/>
  <c r="DB1226" i="48" s="1"/>
  <c r="AC1226" i="48" s="1"/>
  <c r="CO14" i="48"/>
  <c r="CS14" i="48" s="1"/>
  <c r="DB14" i="48" s="1"/>
  <c r="AC14" i="48" s="1"/>
  <c r="CO15" i="48"/>
  <c r="CS15" i="48" s="1"/>
  <c r="DB15" i="48" s="1"/>
  <c r="AC15" i="48" s="1"/>
  <c r="CO20" i="48"/>
  <c r="CS20" i="48" s="1"/>
  <c r="DB20" i="48" s="1"/>
  <c r="AC20" i="48" s="1"/>
  <c r="CO12" i="48"/>
  <c r="CS12" i="48" s="1"/>
  <c r="DB12" i="48" s="1"/>
  <c r="AC12" i="48" s="1"/>
  <c r="CO34" i="48"/>
  <c r="CS34" i="48" s="1"/>
  <c r="CO50" i="48"/>
  <c r="CS50" i="48" s="1"/>
  <c r="DB50" i="48" s="1"/>
  <c r="AC50" i="48" s="1"/>
  <c r="CO43" i="48"/>
  <c r="CS43" i="48" s="1"/>
  <c r="CO46" i="48"/>
  <c r="CS46" i="48" s="1"/>
  <c r="CO48" i="48"/>
  <c r="CS48" i="48" s="1"/>
  <c r="CO265" i="48"/>
  <c r="CS265" i="48" s="1"/>
  <c r="CO259" i="48"/>
  <c r="CS259" i="48" s="1"/>
  <c r="CO271" i="48"/>
  <c r="CS271" i="48" s="1"/>
  <c r="CO65" i="48"/>
  <c r="CS65" i="48" s="1"/>
  <c r="CO113" i="48"/>
  <c r="CS113" i="48" s="1"/>
  <c r="CO85" i="48"/>
  <c r="CS85" i="48" s="1"/>
  <c r="CO257" i="48"/>
  <c r="CS257" i="48" s="1"/>
  <c r="CO161" i="48"/>
  <c r="CS161" i="48" s="1"/>
  <c r="CO243" i="48"/>
  <c r="CS243" i="48" s="1"/>
  <c r="CO119" i="48"/>
  <c r="CS119" i="48" s="1"/>
  <c r="CO57" i="48"/>
  <c r="CS57" i="48" s="1"/>
  <c r="CO86" i="48"/>
  <c r="CS86" i="48" s="1"/>
  <c r="CO221" i="48"/>
  <c r="CS221" i="48" s="1"/>
  <c r="CO175" i="48"/>
  <c r="CS175" i="48" s="1"/>
  <c r="CO134" i="48"/>
  <c r="CS134" i="48" s="1"/>
  <c r="DB134" i="48" s="1"/>
  <c r="CO148" i="48"/>
  <c r="CS148" i="48" s="1"/>
  <c r="DB148" i="48" s="1"/>
  <c r="AC148" i="48" s="1"/>
  <c r="CO266" i="48"/>
  <c r="CS266" i="48" s="1"/>
  <c r="CO184" i="48"/>
  <c r="CS184" i="48" s="1"/>
  <c r="CO173" i="48"/>
  <c r="CS173" i="48" s="1"/>
  <c r="CO58" i="48"/>
  <c r="CS58" i="48" s="1"/>
  <c r="CO92" i="48"/>
  <c r="CS92" i="48" s="1"/>
  <c r="CO216" i="48"/>
  <c r="CS216" i="48" s="1"/>
  <c r="CO59" i="48"/>
  <c r="CS59" i="48" s="1"/>
  <c r="CO84" i="48"/>
  <c r="CS84" i="48" s="1"/>
  <c r="CO211" i="48"/>
  <c r="CS211" i="48" s="1"/>
  <c r="CO170" i="48"/>
  <c r="CS170" i="48" s="1"/>
  <c r="CO135" i="48"/>
  <c r="CS135" i="48" s="1"/>
  <c r="DB135" i="48" s="1"/>
  <c r="CO238" i="48"/>
  <c r="CS238" i="48" s="1"/>
  <c r="CO61" i="48"/>
  <c r="CS61" i="48" s="1"/>
  <c r="CO111" i="48"/>
  <c r="CS111" i="48" s="1"/>
  <c r="CO192" i="48"/>
  <c r="CS192" i="48" s="1"/>
  <c r="CO264" i="48"/>
  <c r="CS264" i="48" s="1"/>
  <c r="CO149" i="48"/>
  <c r="CS149" i="48" s="1"/>
  <c r="DB149" i="48" s="1"/>
  <c r="AC149" i="48" s="1"/>
  <c r="CO56" i="48"/>
  <c r="CS56" i="48" s="1"/>
  <c r="CO199" i="48"/>
  <c r="CS199" i="48" s="1"/>
  <c r="CO196" i="48"/>
  <c r="CS196" i="48" s="1"/>
  <c r="CO193" i="48"/>
  <c r="CS193" i="48" s="1"/>
  <c r="CO1136" i="48"/>
  <c r="CS1136" i="48" s="1"/>
  <c r="CO917" i="48"/>
  <c r="CS917" i="48" s="1"/>
  <c r="CO914" i="48"/>
  <c r="CS914" i="48" s="1"/>
  <c r="CO1110" i="48"/>
  <c r="CS1110" i="48" s="1"/>
  <c r="CO975" i="48"/>
  <c r="CS975" i="48" s="1"/>
  <c r="CO614" i="48"/>
  <c r="CS614" i="48" s="1"/>
  <c r="CO621" i="48"/>
  <c r="CS621" i="48" s="1"/>
  <c r="CO1336" i="48"/>
  <c r="CS1336" i="48" s="1"/>
  <c r="DB1336" i="48" s="1"/>
  <c r="DC1336" i="48" s="1"/>
  <c r="CO1042" i="48"/>
  <c r="CS1042" i="48" s="1"/>
  <c r="CO1290" i="48"/>
  <c r="CS1290" i="48" s="1"/>
  <c r="DB1290" i="48" s="1"/>
  <c r="CO1249" i="48"/>
  <c r="CS1249" i="48" s="1"/>
  <c r="DB1249" i="48" s="1"/>
  <c r="CO373" i="48"/>
  <c r="CS373" i="48" s="1"/>
  <c r="CO1089" i="48"/>
  <c r="CS1089" i="48" s="1"/>
  <c r="CO388" i="48"/>
  <c r="CS388" i="48" s="1"/>
  <c r="CO731" i="48"/>
  <c r="CS731" i="48" s="1"/>
  <c r="CO1150" i="48"/>
  <c r="CS1150" i="48" s="1"/>
  <c r="CO646" i="48"/>
  <c r="CS646" i="48" s="1"/>
  <c r="CO1025" i="48"/>
  <c r="CS1025" i="48" s="1"/>
  <c r="DB1025" i="48" s="1"/>
  <c r="CO499" i="48"/>
  <c r="CS499" i="48" s="1"/>
  <c r="CO707" i="48"/>
  <c r="CS707" i="48" s="1"/>
  <c r="CO366" i="48"/>
  <c r="CS366" i="48" s="1"/>
  <c r="CO935" i="48"/>
  <c r="CS935" i="48" s="1"/>
  <c r="CO471" i="48"/>
  <c r="CS471" i="48" s="1"/>
  <c r="CO522" i="48"/>
  <c r="CS522" i="48" s="1"/>
  <c r="CO506" i="48"/>
  <c r="CS506" i="48" s="1"/>
  <c r="CO1199" i="48"/>
  <c r="CS1199" i="48" s="1"/>
  <c r="CO574" i="48"/>
  <c r="CS574" i="48" s="1"/>
  <c r="CO900" i="48"/>
  <c r="CS900" i="48" s="1"/>
  <c r="CO1270" i="48"/>
  <c r="CS1270" i="48" s="1"/>
  <c r="DB1270" i="48" s="1"/>
  <c r="CO586" i="48"/>
  <c r="CS586" i="48" s="1"/>
  <c r="CO293" i="48"/>
  <c r="CS293" i="48" s="1"/>
  <c r="CO845" i="48"/>
  <c r="CS845" i="48" s="1"/>
  <c r="CO535" i="48"/>
  <c r="CS535" i="48" s="1"/>
  <c r="CO775" i="48"/>
  <c r="CS775" i="48" s="1"/>
  <c r="CO866" i="48"/>
  <c r="CS866" i="48" s="1"/>
  <c r="CO1213" i="48"/>
  <c r="CS1213" i="48" s="1"/>
  <c r="DB1213" i="48" s="1"/>
  <c r="CO436" i="48"/>
  <c r="CS436" i="48" s="1"/>
  <c r="CO417" i="48"/>
  <c r="CS417" i="48" s="1"/>
  <c r="DB417" i="48" s="1"/>
  <c r="AC417" i="48" s="1"/>
  <c r="CO424" i="48"/>
  <c r="CS424" i="48" s="1"/>
  <c r="DB424" i="48" s="1"/>
  <c r="CO442" i="48"/>
  <c r="CS442" i="48" s="1"/>
  <c r="CO799" i="48"/>
  <c r="CS799" i="48" s="1"/>
  <c r="CO1171" i="48"/>
  <c r="CS1171" i="48" s="1"/>
  <c r="CO925" i="48"/>
  <c r="CS925" i="48" s="1"/>
  <c r="CO1100" i="48"/>
  <c r="CS1100" i="48" s="1"/>
  <c r="DB1100" i="48" s="1"/>
  <c r="CO341" i="48"/>
  <c r="CS341" i="48" s="1"/>
  <c r="CO590" i="48"/>
  <c r="CS590" i="48" s="1"/>
  <c r="CO757" i="48"/>
  <c r="CS757" i="48" s="1"/>
  <c r="CO308" i="48"/>
  <c r="CS308" i="48" s="1"/>
  <c r="CO685" i="48"/>
  <c r="CS685" i="48" s="1"/>
  <c r="CO924" i="48"/>
  <c r="CS924" i="48" s="1"/>
  <c r="CO1119" i="48"/>
  <c r="CS1119" i="48" s="1"/>
  <c r="CO966" i="48"/>
  <c r="CS966" i="48" s="1"/>
  <c r="CO619" i="48"/>
  <c r="CS619" i="48" s="1"/>
  <c r="CO986" i="48"/>
  <c r="CS986" i="48" s="1"/>
  <c r="CO1031" i="48"/>
  <c r="CS1031" i="48" s="1"/>
  <c r="CO1284" i="48"/>
  <c r="CS1284" i="48" s="1"/>
  <c r="DB1284" i="48" s="1"/>
  <c r="CO1245" i="48"/>
  <c r="CS1245" i="48" s="1"/>
  <c r="DB1245" i="48" s="1"/>
  <c r="CO1340" i="48"/>
  <c r="CS1340" i="48" s="1"/>
  <c r="DB1340" i="48" s="1"/>
  <c r="CO1084" i="48"/>
  <c r="CS1084" i="48" s="1"/>
  <c r="CO395" i="48"/>
  <c r="CS395" i="48" s="1"/>
  <c r="CO735" i="48"/>
  <c r="CS735" i="48" s="1"/>
  <c r="CO637" i="48"/>
  <c r="CS637" i="48" s="1"/>
  <c r="CO1021" i="48"/>
  <c r="CS1021" i="48" s="1"/>
  <c r="CO492" i="48"/>
  <c r="CS492" i="48" s="1"/>
  <c r="CO717" i="48"/>
  <c r="CS717" i="48" s="1"/>
  <c r="CO375" i="48"/>
  <c r="CS375" i="48" s="1"/>
  <c r="CO462" i="48"/>
  <c r="CS462" i="48" s="1"/>
  <c r="CO339" i="48"/>
  <c r="CS339" i="48" s="1"/>
  <c r="CO520" i="48"/>
  <c r="CS520" i="48" s="1"/>
  <c r="CO1192" i="48"/>
  <c r="CS1192" i="48" s="1"/>
  <c r="CO560" i="48"/>
  <c r="CS560" i="48" s="1"/>
  <c r="CO886" i="48"/>
  <c r="CS886" i="48" s="1"/>
  <c r="CO1275" i="48"/>
  <c r="CS1275" i="48" s="1"/>
  <c r="DB1275" i="48" s="1"/>
  <c r="CO1273" i="48"/>
  <c r="CS1273" i="48" s="1"/>
  <c r="DB1273" i="48" s="1"/>
  <c r="CO588" i="48"/>
  <c r="CS588" i="48" s="1"/>
  <c r="CO295" i="48"/>
  <c r="CS295" i="48" s="1"/>
  <c r="CO357" i="48"/>
  <c r="CS357" i="48" s="1"/>
  <c r="CO1318" i="48"/>
  <c r="CS1318" i="48" s="1"/>
  <c r="DB1318" i="48" s="1"/>
  <c r="DC1318" i="48" s="1"/>
  <c r="CO548" i="48"/>
  <c r="CS548" i="48" s="1"/>
  <c r="CO767" i="48"/>
  <c r="CS767" i="48" s="1"/>
  <c r="CO869" i="48"/>
  <c r="CS869" i="48" s="1"/>
  <c r="CO1138" i="48"/>
  <c r="CS1138" i="48" s="1"/>
  <c r="CO1067" i="48"/>
  <c r="CS1067" i="48" s="1"/>
  <c r="CO787" i="48"/>
  <c r="CS787" i="48" s="1"/>
  <c r="CO1158" i="48"/>
  <c r="CS1158" i="48" s="1"/>
  <c r="CO1292" i="48"/>
  <c r="CS1292" i="48" s="1"/>
  <c r="DB1292" i="48" s="1"/>
  <c r="CO533" i="48"/>
  <c r="CS533" i="48" s="1"/>
  <c r="CO912" i="48"/>
  <c r="CS912" i="48" s="1"/>
  <c r="CO1117" i="48"/>
  <c r="CS1117" i="48" s="1"/>
  <c r="CO964" i="48"/>
  <c r="CS964" i="48" s="1"/>
  <c r="CO617" i="48"/>
  <c r="CS617" i="48" s="1"/>
  <c r="CO435" i="48"/>
  <c r="CS435" i="48" s="1"/>
  <c r="CO1032" i="48"/>
  <c r="CS1032" i="48" s="1"/>
  <c r="CO1291" i="48"/>
  <c r="CS1291" i="48" s="1"/>
  <c r="DB1291" i="48" s="1"/>
  <c r="CO1349" i="48"/>
  <c r="CS1349" i="48" s="1"/>
  <c r="DB1349" i="48" s="1"/>
  <c r="CO747" i="48"/>
  <c r="CS747" i="48" s="1"/>
  <c r="CO447" i="48"/>
  <c r="CS447" i="48" s="1"/>
  <c r="CO1010" i="48"/>
  <c r="CS1010" i="48" s="1"/>
  <c r="CO485" i="48"/>
  <c r="CS485" i="48" s="1"/>
  <c r="CO722" i="48"/>
  <c r="CS722" i="48" s="1"/>
  <c r="CO469" i="48"/>
  <c r="CS469" i="48" s="1"/>
  <c r="CO349" i="48"/>
  <c r="CS349" i="48" s="1"/>
  <c r="CO514" i="48"/>
  <c r="CS514" i="48" s="1"/>
  <c r="CO1188" i="48"/>
  <c r="CS1188" i="48" s="1"/>
  <c r="CO884" i="48"/>
  <c r="CS884" i="48" s="1"/>
  <c r="CO290" i="48"/>
  <c r="CS290" i="48" s="1"/>
  <c r="CO1314" i="48"/>
  <c r="CS1314" i="48" s="1"/>
  <c r="DB1314" i="48" s="1"/>
  <c r="CO541" i="48"/>
  <c r="CS541" i="48" s="1"/>
  <c r="CO765" i="48"/>
  <c r="CS765" i="48" s="1"/>
  <c r="CO867" i="48"/>
  <c r="CS867" i="48" s="1"/>
  <c r="CO1211" i="48"/>
  <c r="CS1211" i="48" s="1"/>
  <c r="DB1211" i="48" s="1"/>
  <c r="CO1345" i="48"/>
  <c r="CS1345" i="48" s="1"/>
  <c r="DB1345" i="48" s="1"/>
  <c r="CO818" i="48"/>
  <c r="CS818" i="48" s="1"/>
  <c r="CO410" i="48"/>
  <c r="CS410" i="48" s="1"/>
  <c r="DB410" i="48" s="1"/>
  <c r="CO1064" i="48"/>
  <c r="CS1064" i="48" s="1"/>
  <c r="CO1057" i="48"/>
  <c r="CS1057" i="48" s="1"/>
  <c r="CO785" i="48"/>
  <c r="CS785" i="48" s="1"/>
  <c r="CO1164" i="48"/>
  <c r="CS1164" i="48" s="1"/>
  <c r="CO956" i="48"/>
  <c r="CS956" i="48" s="1"/>
  <c r="CO649" i="48"/>
  <c r="CS649" i="48" s="1"/>
  <c r="CO1274" i="48"/>
  <c r="CS1274" i="48" s="1"/>
  <c r="DB1274" i="48" s="1"/>
  <c r="CO412" i="48"/>
  <c r="CS412" i="48" s="1"/>
  <c r="DB412" i="48" s="1"/>
  <c r="AC412" i="48" s="1"/>
  <c r="CO973" i="48"/>
  <c r="CS973" i="48" s="1"/>
  <c r="CO1231" i="48"/>
  <c r="CS1231" i="48" s="1"/>
  <c r="DB1231" i="48" s="1"/>
  <c r="CO1015" i="48"/>
  <c r="CS1015" i="48" s="1"/>
  <c r="CO839" i="48"/>
  <c r="CS839" i="48" s="1"/>
  <c r="CO1216" i="48"/>
  <c r="CS1216" i="48" s="1"/>
  <c r="DB1216" i="48" s="1"/>
  <c r="CO817" i="48"/>
  <c r="CS817" i="48" s="1"/>
  <c r="CO420" i="48"/>
  <c r="CS420" i="48" s="1"/>
  <c r="DB420" i="48" s="1"/>
  <c r="CO947" i="48"/>
  <c r="CS947" i="48" s="1"/>
  <c r="CO1167" i="48"/>
  <c r="CS1167" i="48" s="1"/>
  <c r="CO1044" i="48"/>
  <c r="CS1044" i="48" s="1"/>
  <c r="CO847" i="48"/>
  <c r="CS847" i="48" s="1"/>
  <c r="CO733" i="48"/>
  <c r="CS733" i="48" s="1"/>
  <c r="CO558" i="48"/>
  <c r="CS558" i="48" s="1"/>
  <c r="CO581" i="48"/>
  <c r="CS581" i="48" s="1"/>
  <c r="CO772" i="48"/>
  <c r="CS772" i="48" s="1"/>
  <c r="CO1170" i="48"/>
  <c r="CS1170" i="48" s="1"/>
  <c r="CO689" i="48"/>
  <c r="CS689" i="48" s="1"/>
  <c r="CO368" i="48"/>
  <c r="CS368" i="48" s="1"/>
  <c r="CO1083" i="48"/>
  <c r="CS1083" i="48" s="1"/>
  <c r="CO1272" i="48"/>
  <c r="CS1272" i="48" s="1"/>
  <c r="DB1272" i="48" s="1"/>
  <c r="CO312" i="48"/>
  <c r="CS312" i="48" s="1"/>
  <c r="CO1050" i="48"/>
  <c r="CS1050" i="48" s="1"/>
  <c r="CO356" i="48"/>
  <c r="CS356" i="48" s="1"/>
  <c r="CO1334" i="48"/>
  <c r="CS1334" i="48" s="1"/>
  <c r="DB1334" i="48" s="1"/>
  <c r="CO994" i="48"/>
  <c r="CS994" i="48" s="1"/>
  <c r="CO1115" i="48"/>
  <c r="CS1115" i="48" s="1"/>
  <c r="CO1109" i="48"/>
  <c r="CS1109" i="48" s="1"/>
  <c r="CO1091" i="48"/>
  <c r="CS1091" i="48" s="1"/>
  <c r="CO1023" i="48"/>
  <c r="CS1023" i="48" s="1"/>
  <c r="CO564" i="48"/>
  <c r="CS564" i="48" s="1"/>
  <c r="CO531" i="48"/>
  <c r="CS531" i="48" s="1"/>
  <c r="CO320" i="48"/>
  <c r="CS320" i="48" s="1"/>
  <c r="CO1114" i="48"/>
  <c r="CS1114" i="48" s="1"/>
  <c r="CO1289" i="48"/>
  <c r="CS1289" i="48" s="1"/>
  <c r="DB1289" i="48" s="1"/>
  <c r="CO1088" i="48"/>
  <c r="CS1088" i="48" s="1"/>
  <c r="CO709" i="48"/>
  <c r="CS709" i="48" s="1"/>
  <c r="CO887" i="48"/>
  <c r="CS887" i="48" s="1"/>
  <c r="CO543" i="48"/>
  <c r="CS543" i="48" s="1"/>
  <c r="CO1212" i="48"/>
  <c r="CS1212" i="48" s="1"/>
  <c r="DB1212" i="48" s="1"/>
  <c r="CO800" i="48"/>
  <c r="CS800" i="48" s="1"/>
  <c r="CO1315" i="48"/>
  <c r="CS1315" i="48" s="1"/>
  <c r="DB1315" i="48" s="1"/>
  <c r="DC1315" i="48" s="1"/>
  <c r="CO597" i="48"/>
  <c r="CS597" i="48" s="1"/>
  <c r="CO882" i="48"/>
  <c r="CS882" i="48" s="1"/>
  <c r="CO871" i="48"/>
  <c r="CS871" i="48" s="1"/>
  <c r="CO1059" i="48"/>
  <c r="CS1059" i="48" s="1"/>
  <c r="CO714" i="48"/>
  <c r="CS714" i="48" s="1"/>
  <c r="CO1185" i="48"/>
  <c r="CS1185" i="48" s="1"/>
  <c r="CO623" i="48"/>
  <c r="CS623" i="48" s="1"/>
  <c r="CO781" i="48"/>
  <c r="CS781" i="48" s="1"/>
  <c r="CO989" i="48"/>
  <c r="CS989" i="48" s="1"/>
  <c r="CO996" i="48"/>
  <c r="CS996" i="48" s="1"/>
  <c r="CO313" i="48"/>
  <c r="CS313" i="48" s="1"/>
  <c r="CO1011" i="48"/>
  <c r="CS1011" i="48" s="1"/>
  <c r="CO68" i="48"/>
  <c r="CS68" i="48" s="1"/>
  <c r="CO1238" i="48"/>
  <c r="CS1238" i="48" s="1"/>
  <c r="DB1238" i="48" s="1"/>
  <c r="CO987" i="48"/>
  <c r="CS987" i="48" s="1"/>
  <c r="CO634" i="48"/>
  <c r="CS634" i="48" s="1"/>
  <c r="CO932" i="48"/>
  <c r="CS932" i="48" s="1"/>
  <c r="CO510" i="48"/>
  <c r="CS510" i="48" s="1"/>
  <c r="CO1264" i="48"/>
  <c r="CS1264" i="48" s="1"/>
  <c r="DB1264" i="48" s="1"/>
  <c r="CO1310" i="48"/>
  <c r="CS1310" i="48" s="1"/>
  <c r="DB1310" i="48" s="1"/>
  <c r="CO1134" i="48"/>
  <c r="CS1134" i="48" s="1"/>
  <c r="CO838" i="48"/>
  <c r="CS838" i="48" s="1"/>
  <c r="CO1020" i="48"/>
  <c r="CS1020" i="48" s="1"/>
  <c r="CO897" i="48"/>
  <c r="CS897" i="48" s="1"/>
  <c r="CO919" i="48"/>
  <c r="CS919" i="48" s="1"/>
  <c r="CO693" i="48"/>
  <c r="CS693" i="48" s="1"/>
  <c r="CO960" i="48"/>
  <c r="CS960" i="48" s="1"/>
  <c r="CO98" i="48"/>
  <c r="CS98" i="48" s="1"/>
  <c r="CO1236" i="48"/>
  <c r="CS1236" i="48" s="1"/>
  <c r="DB1236" i="48" s="1"/>
  <c r="CO1094" i="48"/>
  <c r="CS1094" i="48" s="1"/>
  <c r="CO741" i="48"/>
  <c r="CS741" i="48" s="1"/>
  <c r="CO484" i="48"/>
  <c r="CS484" i="48" s="1"/>
  <c r="CO443" i="48"/>
  <c r="CS443" i="48" s="1"/>
  <c r="CO1189" i="48"/>
  <c r="CS1189" i="48" s="1"/>
  <c r="CO883" i="48"/>
  <c r="CS883" i="48" s="1"/>
  <c r="CO1263" i="48"/>
  <c r="CS1263" i="48" s="1"/>
  <c r="DB1263" i="48" s="1"/>
  <c r="CO286" i="48"/>
  <c r="CS286" i="48" s="1"/>
  <c r="CO931" i="48"/>
  <c r="CS931" i="48" s="1"/>
  <c r="CO136" i="48"/>
  <c r="CS136" i="48" s="1"/>
  <c r="DB136" i="48" s="1"/>
  <c r="CO764" i="48"/>
  <c r="CS764" i="48" s="1"/>
  <c r="CO1207" i="48"/>
  <c r="CS1207" i="48" s="1"/>
  <c r="DB1207" i="48" s="1"/>
  <c r="CO942" i="48"/>
  <c r="CS942" i="48" s="1"/>
  <c r="CO408" i="48"/>
  <c r="CS408" i="48" s="1"/>
  <c r="DB408" i="48" s="1"/>
  <c r="CO110" i="48"/>
  <c r="CS110" i="48" s="1"/>
  <c r="CO795" i="48"/>
  <c r="CS795" i="48" s="1"/>
  <c r="CO438" i="48"/>
  <c r="CS438" i="48" s="1"/>
  <c r="CO647" i="48"/>
  <c r="CS647" i="48" s="1"/>
  <c r="CO995" i="48"/>
  <c r="CS995" i="48" s="1"/>
  <c r="CO686" i="48"/>
  <c r="CS686" i="48" s="1"/>
  <c r="CO334" i="48"/>
  <c r="CS334" i="48" s="1"/>
  <c r="CO362" i="48"/>
  <c r="CS362" i="48" s="1"/>
  <c r="CO642" i="48"/>
  <c r="CS642" i="48" s="1"/>
  <c r="CO1191" i="48"/>
  <c r="CS1191" i="48" s="1"/>
  <c r="CO561" i="48"/>
  <c r="CS561" i="48" s="1"/>
  <c r="CO766" i="48"/>
  <c r="CS766" i="48" s="1"/>
  <c r="CO843" i="48"/>
  <c r="CS843" i="48" s="1"/>
  <c r="CO786" i="48"/>
  <c r="CS786" i="48" s="1"/>
  <c r="CO826" i="48"/>
  <c r="CS826" i="48" s="1"/>
  <c r="DB826" i="48" s="1"/>
  <c r="DC827" i="48" s="1"/>
  <c r="CO651" i="48"/>
  <c r="CS651" i="48" s="1"/>
  <c r="CO476" i="48"/>
  <c r="CS476" i="48" s="1"/>
  <c r="CO601" i="48"/>
  <c r="CS601" i="48" s="1"/>
  <c r="DB601" i="48" s="1"/>
  <c r="AC601" i="48" s="1"/>
  <c r="CO101" i="48"/>
  <c r="CS101" i="48" s="1"/>
  <c r="CO626" i="48"/>
  <c r="CS626" i="48" s="1"/>
  <c r="DB626" i="48" s="1"/>
  <c r="AC626" i="48" s="1"/>
  <c r="CO326" i="48"/>
  <c r="CS326" i="48" s="1"/>
  <c r="CO19" i="48"/>
  <c r="CS19" i="48" s="1"/>
  <c r="DB19" i="48" s="1"/>
  <c r="AC19" i="48" s="1"/>
  <c r="CO45" i="48"/>
  <c r="CS45" i="48" s="1"/>
  <c r="CO74" i="48"/>
  <c r="CS74" i="48" s="1"/>
  <c r="CO209" i="48"/>
  <c r="CS209" i="48" s="1"/>
  <c r="CO244" i="48"/>
  <c r="CS244" i="48" s="1"/>
  <c r="CO143" i="48"/>
  <c r="CS143" i="48" s="1"/>
  <c r="DB143" i="48" s="1"/>
  <c r="CO100" i="48"/>
  <c r="CS100" i="48" s="1"/>
  <c r="CO166" i="48"/>
  <c r="CS166" i="48" s="1"/>
  <c r="CO236" i="48"/>
  <c r="CS236" i="48" s="1"/>
  <c r="CO167" i="48"/>
  <c r="CS167" i="48" s="1"/>
  <c r="CO93" i="48"/>
  <c r="CS93" i="48" s="1"/>
  <c r="CO231" i="48"/>
  <c r="CS231" i="48" s="1"/>
  <c r="CO188" i="48"/>
  <c r="CS188" i="48" s="1"/>
  <c r="CO174" i="48"/>
  <c r="CS174" i="48" s="1"/>
  <c r="CO692" i="48"/>
  <c r="CS692" i="48" s="1"/>
  <c r="CO615" i="48"/>
  <c r="CS615" i="48" s="1"/>
  <c r="CO1035" i="48"/>
  <c r="CS1035" i="48" s="1"/>
  <c r="CO745" i="48"/>
  <c r="CS745" i="48" s="1"/>
  <c r="CO500" i="48"/>
  <c r="CS500" i="48" s="1"/>
  <c r="CO470" i="48"/>
  <c r="CS470" i="48" s="1"/>
  <c r="CO891" i="48"/>
  <c r="CS891" i="48" s="1"/>
  <c r="CO300" i="48"/>
  <c r="CS300" i="48" s="1"/>
  <c r="CO858" i="48"/>
  <c r="CS858" i="48" s="1"/>
  <c r="CO824" i="48"/>
  <c r="CS824" i="48" s="1"/>
  <c r="CO432" i="48"/>
  <c r="CS432" i="48" s="1"/>
  <c r="CO683" i="48"/>
  <c r="CS683" i="48" s="1"/>
  <c r="CO1343" i="48"/>
  <c r="CS1343" i="48" s="1"/>
  <c r="DB1343" i="48" s="1"/>
  <c r="CO1242" i="48"/>
  <c r="CS1242" i="48" s="1"/>
  <c r="DB1242" i="48" s="1"/>
  <c r="CO383" i="48"/>
  <c r="CS383" i="48" s="1"/>
  <c r="CO643" i="48"/>
  <c r="CS643" i="48" s="1"/>
  <c r="CO450" i="48"/>
  <c r="CS450" i="48" s="1"/>
  <c r="CO518" i="48"/>
  <c r="CS518" i="48" s="1"/>
  <c r="CO1266" i="48"/>
  <c r="CS1266" i="48" s="1"/>
  <c r="DB1266" i="48" s="1"/>
  <c r="CO1313" i="48"/>
  <c r="CS1313" i="48" s="1"/>
  <c r="DB1313" i="48" s="1"/>
  <c r="CO1166" i="48"/>
  <c r="CS1166" i="48" s="1"/>
  <c r="CO831" i="48"/>
  <c r="CS831" i="48" s="1"/>
  <c r="CO608" i="48"/>
  <c r="CS608" i="48" s="1"/>
  <c r="CO1239" i="48"/>
  <c r="CS1239" i="48" s="1"/>
  <c r="DB1239" i="48" s="1"/>
  <c r="DC1239" i="48" s="1"/>
  <c r="CO738" i="48"/>
  <c r="CS738" i="48" s="1"/>
  <c r="CO713" i="48"/>
  <c r="CS713" i="48" s="1"/>
  <c r="CO344" i="48"/>
  <c r="CS344" i="48" s="1"/>
  <c r="CO592" i="48"/>
  <c r="CS592" i="48" s="1"/>
  <c r="CO759" i="48"/>
  <c r="CS759" i="48" s="1"/>
  <c r="CO862" i="48"/>
  <c r="CS862" i="48" s="1"/>
  <c r="CO411" i="48"/>
  <c r="CS411" i="48" s="1"/>
  <c r="DB411" i="48" s="1"/>
  <c r="AC411" i="48" s="1"/>
  <c r="CO945" i="48"/>
  <c r="CS945" i="48" s="1"/>
  <c r="CO483" i="48"/>
  <c r="CS483" i="48" s="1"/>
  <c r="CO1040" i="48"/>
  <c r="CS1040" i="48" s="1"/>
  <c r="CO769" i="48"/>
  <c r="CS769" i="48" s="1"/>
  <c r="CO1069" i="48"/>
  <c r="CS1069" i="48" s="1"/>
  <c r="CO1234" i="48"/>
  <c r="CS1234" i="48" s="1"/>
  <c r="DB1234" i="48" s="1"/>
  <c r="CO890" i="48"/>
  <c r="CS890" i="48" s="1"/>
  <c r="CO682" i="48"/>
  <c r="CS682" i="48" s="1"/>
  <c r="CO1008" i="48"/>
  <c r="CS1008" i="48" s="1"/>
  <c r="CO448" i="48"/>
  <c r="CS448" i="48" s="1"/>
  <c r="CO1075" i="48"/>
  <c r="CS1075" i="48" s="1"/>
  <c r="CO742" i="48"/>
  <c r="CS742" i="48" s="1"/>
  <c r="CO433" i="48"/>
  <c r="CS433" i="48" s="1"/>
  <c r="CO1285" i="48"/>
  <c r="CS1285" i="48" s="1"/>
  <c r="DB1285" i="48" s="1"/>
  <c r="CO739" i="48"/>
  <c r="CS739" i="48" s="1"/>
  <c r="CO567" i="48"/>
  <c r="CS567" i="48" s="1"/>
  <c r="CO790" i="48"/>
  <c r="CS790" i="48" s="1"/>
  <c r="CO918" i="48"/>
  <c r="CS918" i="48" s="1"/>
  <c r="CO633" i="48"/>
  <c r="CS633" i="48" s="1"/>
  <c r="CO841" i="48"/>
  <c r="CS841" i="48" s="1"/>
  <c r="CO224" i="48"/>
  <c r="CS224" i="48" s="1"/>
  <c r="CO489" i="48"/>
  <c r="CS489" i="48" s="1"/>
  <c r="CO122" i="48"/>
  <c r="CS122" i="48" s="1"/>
  <c r="CO1160" i="48"/>
  <c r="CS1160" i="48" s="1"/>
  <c r="CO1283" i="48"/>
  <c r="CS1283" i="48" s="1"/>
  <c r="DB1283" i="48" s="1"/>
  <c r="CO1048" i="48"/>
  <c r="CS1048" i="48" s="1"/>
  <c r="CO446" i="48"/>
  <c r="CS446" i="48" s="1"/>
  <c r="CO556" i="48"/>
  <c r="CS556" i="48" s="1"/>
  <c r="CO1341" i="48"/>
  <c r="CS1341" i="48" s="1"/>
  <c r="DB1341" i="48" s="1"/>
  <c r="CO1143" i="48"/>
  <c r="CS1143" i="48" s="1"/>
  <c r="CO832" i="48"/>
  <c r="CS832" i="48" s="1"/>
  <c r="CO1181" i="48"/>
  <c r="CS1181" i="48" s="1"/>
  <c r="CO72" i="48"/>
  <c r="CS72" i="48" s="1"/>
  <c r="CO985" i="48"/>
  <c r="CS985" i="48" s="1"/>
  <c r="CO868" i="48"/>
  <c r="CS868" i="48" s="1"/>
  <c r="CO26" i="48"/>
  <c r="CO1326" i="48"/>
  <c r="CS1326" i="48" s="1"/>
  <c r="CO526" i="48"/>
  <c r="CS526" i="48" s="1"/>
  <c r="CO1051" i="48"/>
  <c r="CS1051" i="48" s="1"/>
  <c r="CO17" i="48"/>
  <c r="CS17" i="48" s="1"/>
  <c r="DB17" i="48" s="1"/>
  <c r="AC17" i="48" s="1"/>
  <c r="CO13" i="48"/>
  <c r="CS13" i="48" s="1"/>
  <c r="DB13" i="48" s="1"/>
  <c r="AC13" i="48" s="1"/>
  <c r="CO8" i="48"/>
  <c r="CS8" i="48" s="1"/>
  <c r="DB8" i="48" s="1"/>
  <c r="AC8" i="48" s="1"/>
  <c r="CO7" i="48"/>
  <c r="CS7" i="48" s="1"/>
  <c r="DB7" i="48" s="1"/>
  <c r="CO35" i="48"/>
  <c r="CS35" i="48" s="1"/>
  <c r="CO38" i="48"/>
  <c r="CS38" i="48" s="1"/>
  <c r="CO47" i="48"/>
  <c r="CS47" i="48" s="1"/>
  <c r="CO41" i="48"/>
  <c r="CS41" i="48" s="1"/>
  <c r="CO39" i="48"/>
  <c r="CS39" i="48" s="1"/>
  <c r="CO36" i="48"/>
  <c r="CS36" i="48" s="1"/>
  <c r="CO256" i="48"/>
  <c r="CS256" i="48" s="1"/>
  <c r="CO270" i="48"/>
  <c r="CS270" i="48" s="1"/>
  <c r="CO275" i="48"/>
  <c r="CS275" i="48" s="1"/>
  <c r="CO60" i="48"/>
  <c r="CS60" i="48" s="1"/>
  <c r="CO99" i="48"/>
  <c r="CS99" i="48" s="1"/>
  <c r="CO88" i="48"/>
  <c r="CS88" i="48" s="1"/>
  <c r="CO208" i="48"/>
  <c r="CS208" i="48" s="1"/>
  <c r="CO165" i="48"/>
  <c r="CS165" i="48" s="1"/>
  <c r="CO147" i="48"/>
  <c r="CS147" i="48" s="1"/>
  <c r="DB147" i="48" s="1"/>
  <c r="AC147" i="48" s="1"/>
  <c r="CO241" i="48"/>
  <c r="CS241" i="48" s="1"/>
  <c r="CO194" i="48"/>
  <c r="CS194" i="48" s="1"/>
  <c r="CO189" i="48"/>
  <c r="CS189" i="48" s="1"/>
  <c r="CO248" i="48"/>
  <c r="CS248" i="48" s="1"/>
  <c r="CO75" i="48"/>
  <c r="CS75" i="48" s="1"/>
  <c r="CO97" i="48"/>
  <c r="CS97" i="48" s="1"/>
  <c r="CO83" i="48"/>
  <c r="CS83" i="48" s="1"/>
  <c r="CO212" i="48"/>
  <c r="CS212" i="48" s="1"/>
  <c r="CO163" i="48"/>
  <c r="CS163" i="48" s="1"/>
  <c r="CO141" i="48"/>
  <c r="CS141" i="48" s="1"/>
  <c r="DB141" i="48" s="1"/>
  <c r="AC141" i="48" s="1"/>
  <c r="CO246" i="48"/>
  <c r="CS246" i="48" s="1"/>
  <c r="CO197" i="48"/>
  <c r="CS197" i="48" s="1"/>
  <c r="CO269" i="48"/>
  <c r="CS269" i="48" s="1"/>
  <c r="CO250" i="48"/>
  <c r="CS250" i="48" s="1"/>
  <c r="CO71" i="48"/>
  <c r="CS71" i="48" s="1"/>
  <c r="CO95" i="48"/>
  <c r="CS95" i="48" s="1"/>
  <c r="CO118" i="48"/>
  <c r="CS118" i="48" s="1"/>
  <c r="CO156" i="48"/>
  <c r="CS156" i="48" s="1"/>
  <c r="CO70" i="48"/>
  <c r="CS70" i="48" s="1"/>
  <c r="CO87" i="48"/>
  <c r="CS87" i="48" s="1"/>
  <c r="CO214" i="48"/>
  <c r="CS214" i="48" s="1"/>
  <c r="CO168" i="48"/>
  <c r="CS168" i="48" s="1"/>
  <c r="CO139" i="48"/>
  <c r="CS139" i="48" s="1"/>
  <c r="DB139" i="48" s="1"/>
  <c r="CO187" i="48"/>
  <c r="CS187" i="48" s="1"/>
  <c r="CO164" i="48"/>
  <c r="CS164" i="48" s="1"/>
  <c r="CO158" i="48"/>
  <c r="CS158" i="48" s="1"/>
  <c r="CO195" i="48"/>
  <c r="CS195" i="48" s="1"/>
  <c r="CO96" i="48"/>
  <c r="CS96" i="48" s="1"/>
  <c r="CO239" i="48"/>
  <c r="CS239" i="48" s="1"/>
  <c r="CO267" i="48"/>
  <c r="CS267" i="48" s="1"/>
  <c r="CO107" i="48"/>
  <c r="CS107" i="48" s="1"/>
  <c r="CO219" i="48"/>
  <c r="CS219" i="48" s="1"/>
  <c r="CO981" i="48"/>
  <c r="CS981" i="48" s="1"/>
  <c r="CO311" i="48"/>
  <c r="CS311" i="48" s="1"/>
  <c r="CO687" i="48"/>
  <c r="CS687" i="48" s="1"/>
  <c r="CO1106" i="48"/>
  <c r="CS1106" i="48" s="1"/>
  <c r="CO971" i="48"/>
  <c r="CS971" i="48" s="1"/>
  <c r="CO612" i="48"/>
  <c r="CS612" i="48" s="1"/>
  <c r="CO992" i="48"/>
  <c r="CS992" i="48" s="1"/>
  <c r="CO848" i="48"/>
  <c r="CS848" i="48" s="1"/>
  <c r="CO1045" i="48"/>
  <c r="CS1045" i="48" s="1"/>
  <c r="CO1286" i="48"/>
  <c r="CS1286" i="48" s="1"/>
  <c r="DB1286" i="48" s="1"/>
  <c r="CO1232" i="48"/>
  <c r="CS1232" i="48" s="1"/>
  <c r="DB1232" i="48" s="1"/>
  <c r="CO1131" i="48"/>
  <c r="CS1131" i="48" s="1"/>
  <c r="CO1092" i="48"/>
  <c r="CS1092" i="48" s="1"/>
  <c r="CO386" i="48"/>
  <c r="CS386" i="48" s="1"/>
  <c r="CO734" i="48"/>
  <c r="CS734" i="48" s="1"/>
  <c r="CO850" i="48"/>
  <c r="CS850" i="48" s="1"/>
  <c r="CO1018" i="48"/>
  <c r="CS1018" i="48" s="1"/>
  <c r="CO497" i="48"/>
  <c r="CS497" i="48" s="1"/>
  <c r="CO710" i="48"/>
  <c r="CS710" i="48" s="1"/>
  <c r="CO1133" i="48"/>
  <c r="CS1133" i="48" s="1"/>
  <c r="CO467" i="48"/>
  <c r="CS467" i="48" s="1"/>
  <c r="CO335" i="48"/>
  <c r="CS335" i="48" s="1"/>
  <c r="CO517" i="48"/>
  <c r="CS517" i="48" s="1"/>
  <c r="CO1182" i="48"/>
  <c r="CS1182" i="48" s="1"/>
  <c r="CO559" i="48"/>
  <c r="CS559" i="48" s="1"/>
  <c r="CO898" i="48"/>
  <c r="CS898" i="48" s="1"/>
  <c r="CO1260" i="48"/>
  <c r="CS1260" i="48" s="1"/>
  <c r="DB1260" i="48" s="1"/>
  <c r="CO582" i="48"/>
  <c r="CS582" i="48" s="1"/>
  <c r="CO289" i="48"/>
  <c r="CS289" i="48" s="1"/>
  <c r="CO371" i="48"/>
  <c r="CS371" i="48" s="1"/>
  <c r="CO948" i="48"/>
  <c r="CS948" i="48" s="1"/>
  <c r="CO549" i="48"/>
  <c r="CS549" i="48" s="1"/>
  <c r="CO763" i="48"/>
  <c r="CS763" i="48" s="1"/>
  <c r="CO861" i="48"/>
  <c r="CS861" i="48" s="1"/>
  <c r="CO1221" i="48"/>
  <c r="CS1221" i="48" s="1"/>
  <c r="DB1221" i="48" s="1"/>
  <c r="CO1206" i="48"/>
  <c r="CS1206" i="48" s="1"/>
  <c r="DB1206" i="48" s="1"/>
  <c r="CO822" i="48"/>
  <c r="CS822" i="48" s="1"/>
  <c r="CO808" i="48"/>
  <c r="CS808" i="48" s="1"/>
  <c r="CO1074" i="48"/>
  <c r="CS1074" i="48" s="1"/>
  <c r="CO792" i="48"/>
  <c r="CS792" i="48" s="1"/>
  <c r="CO1168" i="48"/>
  <c r="CS1168" i="48" s="1"/>
  <c r="CO115" i="48"/>
  <c r="CS115" i="48" s="1"/>
  <c r="CO437" i="48"/>
  <c r="CS437" i="48" s="1"/>
  <c r="CO390" i="48"/>
  <c r="CS390" i="48" s="1"/>
  <c r="CO282" i="48"/>
  <c r="CS282" i="48" s="1"/>
  <c r="CO695" i="48"/>
  <c r="CS695" i="48" s="1"/>
  <c r="CO690" i="48"/>
  <c r="CS690" i="48" s="1"/>
  <c r="CO910" i="48"/>
  <c r="CS910" i="48" s="1"/>
  <c r="CO1107" i="48"/>
  <c r="CS1107" i="48" s="1"/>
  <c r="CO969" i="48"/>
  <c r="CS969" i="48" s="1"/>
  <c r="CO607" i="48"/>
  <c r="CS607" i="48" s="1"/>
  <c r="CO369" i="48"/>
  <c r="CS369" i="48" s="1"/>
  <c r="CO1034" i="48"/>
  <c r="CS1034" i="48" s="1"/>
  <c r="CO1298" i="48"/>
  <c r="CS1298" i="48" s="1"/>
  <c r="DB1298" i="48" s="1"/>
  <c r="CO1237" i="48"/>
  <c r="CS1237" i="48" s="1"/>
  <c r="DB1237" i="48" s="1"/>
  <c r="CO441" i="48"/>
  <c r="CS441" i="48" s="1"/>
  <c r="CO1095" i="48"/>
  <c r="CS1095" i="48" s="1"/>
  <c r="CO749" i="48"/>
  <c r="CS749" i="48" s="1"/>
  <c r="CO746" i="48"/>
  <c r="CS746" i="48" s="1"/>
  <c r="CO640" i="48"/>
  <c r="CS640" i="48" s="1"/>
  <c r="CO1022" i="48"/>
  <c r="CS1022" i="48" s="1"/>
  <c r="CO490" i="48"/>
  <c r="CS490" i="48" s="1"/>
  <c r="CO721" i="48"/>
  <c r="CS721" i="48" s="1"/>
  <c r="CO1142" i="48"/>
  <c r="CS1142" i="48" s="1"/>
  <c r="CO465" i="48"/>
  <c r="CS465" i="48" s="1"/>
  <c r="CO340" i="48"/>
  <c r="CS340" i="48" s="1"/>
  <c r="CO523" i="48"/>
  <c r="CS523" i="48" s="1"/>
  <c r="CO1196" i="48"/>
  <c r="CS1196" i="48" s="1"/>
  <c r="CO563" i="48"/>
  <c r="CS563" i="48" s="1"/>
  <c r="CO889" i="48"/>
  <c r="CS889" i="48" s="1"/>
  <c r="CO1262" i="48"/>
  <c r="CS1262" i="48" s="1"/>
  <c r="DB1262" i="48" s="1"/>
  <c r="CO583" i="48"/>
  <c r="CS583" i="48" s="1"/>
  <c r="CO285" i="48"/>
  <c r="CS285" i="48" s="1"/>
  <c r="CO1146" i="48"/>
  <c r="CS1146" i="48" s="1"/>
  <c r="CO1325" i="48"/>
  <c r="CS1325" i="48" s="1"/>
  <c r="DB1325" i="48" s="1"/>
  <c r="CO546" i="48"/>
  <c r="CS546" i="48" s="1"/>
  <c r="CO872" i="48"/>
  <c r="CS872" i="48" s="1"/>
  <c r="CO415" i="48"/>
  <c r="CS415" i="48" s="1"/>
  <c r="DB415" i="48" s="1"/>
  <c r="AC415" i="48" s="1"/>
  <c r="CO1060" i="48"/>
  <c r="CS1060" i="48" s="1"/>
  <c r="CO793" i="48"/>
  <c r="CS793" i="48" s="1"/>
  <c r="CO835" i="48"/>
  <c r="CS835" i="48" s="1"/>
  <c r="CO1294" i="48"/>
  <c r="CS1294" i="48" s="1"/>
  <c r="DB1294" i="48" s="1"/>
  <c r="CO317" i="48"/>
  <c r="CS317" i="48" s="1"/>
  <c r="CO915" i="48"/>
  <c r="CS915" i="48" s="1"/>
  <c r="CO962" i="48"/>
  <c r="CS962" i="48" s="1"/>
  <c r="CO950" i="48"/>
  <c r="CS950" i="48" s="1"/>
  <c r="CO1288" i="48"/>
  <c r="CS1288" i="48" s="1"/>
  <c r="DB1288" i="48" s="1"/>
  <c r="CO1099" i="48"/>
  <c r="CS1099" i="48" s="1"/>
  <c r="CO398" i="48"/>
  <c r="CS398" i="48" s="1"/>
  <c r="CO750" i="48"/>
  <c r="CS750" i="48" s="1"/>
  <c r="CO934" i="48"/>
  <c r="CS934" i="48" s="1"/>
  <c r="CO1016" i="48"/>
  <c r="CS1016" i="48" s="1"/>
  <c r="CO488" i="48"/>
  <c r="CS488" i="48" s="1"/>
  <c r="CO990" i="48"/>
  <c r="CS990" i="48" s="1"/>
  <c r="CO457" i="48"/>
  <c r="CS457" i="48" s="1"/>
  <c r="CO331" i="48"/>
  <c r="CS331" i="48" s="1"/>
  <c r="CO512" i="48"/>
  <c r="CS512" i="48" s="1"/>
  <c r="CO1186" i="48"/>
  <c r="CS1186" i="48" s="1"/>
  <c r="CO572" i="48"/>
  <c r="CS572" i="48" s="1"/>
  <c r="CO1268" i="48"/>
  <c r="CS1268" i="48" s="1"/>
  <c r="DB1268" i="48" s="1"/>
  <c r="CO598" i="48"/>
  <c r="CS598" i="48" s="1"/>
  <c r="CO299" i="48"/>
  <c r="CS299" i="48" s="1"/>
  <c r="CO1311" i="48"/>
  <c r="CS1311" i="48" s="1"/>
  <c r="DB1311" i="48" s="1"/>
  <c r="CO542" i="48"/>
  <c r="CS542" i="48" s="1"/>
  <c r="CO771" i="48"/>
  <c r="CS771" i="48" s="1"/>
  <c r="CO857" i="48"/>
  <c r="CS857" i="48" s="1"/>
  <c r="CO1217" i="48"/>
  <c r="CS1217" i="48" s="1"/>
  <c r="DB1217" i="48" s="1"/>
  <c r="CO842" i="48"/>
  <c r="CS842" i="48" s="1"/>
  <c r="CO811" i="48"/>
  <c r="CS811" i="48" s="1"/>
  <c r="CO421" i="48"/>
  <c r="CS421" i="48" s="1"/>
  <c r="DB421" i="48" s="1"/>
  <c r="CO999" i="48"/>
  <c r="CS999" i="48" s="1"/>
  <c r="CO791" i="48"/>
  <c r="CS791" i="48" s="1"/>
  <c r="CO944" i="48"/>
  <c r="CS944" i="48" s="1"/>
  <c r="CO959" i="48"/>
  <c r="CS959" i="48" s="1"/>
  <c r="CO482" i="48"/>
  <c r="CS482" i="48" s="1"/>
  <c r="CO1306" i="48"/>
  <c r="CS1306" i="48" s="1"/>
  <c r="DB1306" i="48" s="1"/>
  <c r="CO1156" i="48"/>
  <c r="CS1156" i="48" s="1"/>
  <c r="CO613" i="48"/>
  <c r="CS613" i="48" s="1"/>
  <c r="CO384" i="48"/>
  <c r="CS384" i="48" s="1"/>
  <c r="CO468" i="48"/>
  <c r="CS468" i="48" s="1"/>
  <c r="CO1323" i="48"/>
  <c r="CS1323" i="48" s="1"/>
  <c r="DB1323" i="48" s="1"/>
  <c r="CO1219" i="48"/>
  <c r="CS1219" i="48" s="1"/>
  <c r="DB1219" i="48" s="1"/>
  <c r="CO821" i="48"/>
  <c r="CS821" i="48" s="1"/>
  <c r="CO416" i="48"/>
  <c r="CS416" i="48" s="1"/>
  <c r="DB416" i="48" s="1"/>
  <c r="CO798" i="48"/>
  <c r="CS798" i="48" s="1"/>
  <c r="CO593" i="48"/>
  <c r="CS593" i="48" s="1"/>
  <c r="CO1248" i="48"/>
  <c r="CS1248" i="48" s="1"/>
  <c r="DB1248" i="48" s="1"/>
  <c r="CO1085" i="48"/>
  <c r="CS1085" i="48" s="1"/>
  <c r="CO1017" i="48"/>
  <c r="CS1017" i="48" s="1"/>
  <c r="CO896" i="48"/>
  <c r="CS896" i="48" s="1"/>
  <c r="CO288" i="48"/>
  <c r="CS288" i="48" s="1"/>
  <c r="CO1220" i="48"/>
  <c r="CS1220" i="48" s="1"/>
  <c r="DB1220" i="48" s="1"/>
  <c r="CO700" i="48"/>
  <c r="CS700" i="48" s="1"/>
  <c r="CO1118" i="48"/>
  <c r="CS1118" i="48" s="1"/>
  <c r="CO1297" i="48"/>
  <c r="CS1297" i="48" s="1"/>
  <c r="DB1297" i="48" s="1"/>
  <c r="CO638" i="48"/>
  <c r="CS638" i="48" s="1"/>
  <c r="CO1265" i="48"/>
  <c r="CS1265" i="48" s="1"/>
  <c r="DB1265" i="48" s="1"/>
  <c r="CO1346" i="48"/>
  <c r="CS1346" i="48" s="1"/>
  <c r="DB1346" i="48" s="1"/>
  <c r="CO1140" i="48"/>
  <c r="CS1140" i="48" s="1"/>
  <c r="CO325" i="48"/>
  <c r="CS325" i="48" s="1"/>
  <c r="CO475" i="48"/>
  <c r="CS475" i="48" s="1"/>
  <c r="CO425" i="48"/>
  <c r="CS425" i="48" s="1"/>
  <c r="DB425" i="48" s="1"/>
  <c r="CO1135" i="48"/>
  <c r="CS1135" i="48" s="1"/>
  <c r="CO611" i="48"/>
  <c r="CS611" i="48" s="1"/>
  <c r="CO1097" i="48"/>
  <c r="CS1097" i="48" s="1"/>
  <c r="CO1019" i="48"/>
  <c r="CS1019" i="48" s="1"/>
  <c r="CO573" i="48"/>
  <c r="CS573" i="48" s="1"/>
  <c r="CO807" i="48"/>
  <c r="CS807" i="48" s="1"/>
  <c r="CO1347" i="48"/>
  <c r="CS1347" i="48" s="1"/>
  <c r="DB1347" i="48" s="1"/>
  <c r="CO1123" i="48"/>
  <c r="CS1123" i="48" s="1"/>
  <c r="CO1295" i="48"/>
  <c r="CS1295" i="48" s="1"/>
  <c r="DB1295" i="48" s="1"/>
  <c r="CO391" i="48"/>
  <c r="CS391" i="48" s="1"/>
  <c r="CO472" i="48"/>
  <c r="CS472" i="48" s="1"/>
  <c r="CO292" i="48"/>
  <c r="CS292" i="48" s="1"/>
  <c r="CO534" i="48"/>
  <c r="CS534" i="48" s="1"/>
  <c r="CO361" i="48"/>
  <c r="CS361" i="48" s="1"/>
  <c r="CO461" i="48"/>
  <c r="CS461" i="48" s="1"/>
  <c r="CO1098" i="48"/>
  <c r="CS1098" i="48" s="1"/>
  <c r="CO1072" i="48"/>
  <c r="CS1072" i="48" s="1"/>
  <c r="CO684" i="48"/>
  <c r="CS684" i="48" s="1"/>
  <c r="CO810" i="48"/>
  <c r="CS810" i="48" s="1"/>
  <c r="CO836" i="48"/>
  <c r="CS836" i="48" s="1"/>
  <c r="CO458" i="48"/>
  <c r="CS458" i="48" s="1"/>
  <c r="CO1066" i="48"/>
  <c r="CS1066" i="48" s="1"/>
  <c r="CO1240" i="48"/>
  <c r="CS1240" i="48" s="1"/>
  <c r="DB1240" i="48" s="1"/>
  <c r="CO1157" i="48"/>
  <c r="CS1157" i="48" s="1"/>
  <c r="CO1348" i="48"/>
  <c r="CS1348" i="48" s="1"/>
  <c r="DB1348" i="48" s="1"/>
  <c r="CO1148" i="48"/>
  <c r="CS1148" i="48" s="1"/>
  <c r="CO1331" i="48"/>
  <c r="CS1331" i="48" s="1"/>
  <c r="DB1331" i="48" s="1"/>
  <c r="CO681" i="48"/>
  <c r="CS681" i="48" s="1"/>
  <c r="CO316" i="48"/>
  <c r="CS316" i="48" s="1"/>
  <c r="CO314" i="48"/>
  <c r="CS314" i="48" s="1"/>
  <c r="CO123" i="48"/>
  <c r="CS123" i="48" s="1"/>
  <c r="CO486" i="48"/>
  <c r="CS486" i="48" s="1"/>
  <c r="CO456" i="48"/>
  <c r="CS456" i="48" s="1"/>
  <c r="CO1183" i="48"/>
  <c r="CS1183" i="48" s="1"/>
  <c r="CO587" i="48"/>
  <c r="CS587" i="48" s="1"/>
  <c r="CO245" i="48"/>
  <c r="CS245" i="48" s="1"/>
  <c r="CO814" i="48"/>
  <c r="CS814" i="48" s="1"/>
  <c r="CO784" i="48"/>
  <c r="CS784" i="48" s="1"/>
  <c r="CO495" i="48"/>
  <c r="CS495" i="48" s="1"/>
  <c r="CO865" i="48"/>
  <c r="CS865" i="48" s="1"/>
  <c r="CO206" i="48"/>
  <c r="CS206" i="48" s="1"/>
  <c r="CO698" i="48"/>
  <c r="CS698" i="48" s="1"/>
  <c r="CO963" i="48"/>
  <c r="CS963" i="48" s="1"/>
  <c r="CO1036" i="48"/>
  <c r="CS1036" i="48" s="1"/>
  <c r="CO1244" i="48"/>
  <c r="CS1244" i="48" s="1"/>
  <c r="DB1244" i="48" s="1"/>
  <c r="CO394" i="48"/>
  <c r="CS394" i="48" s="1"/>
  <c r="CO1337" i="48"/>
  <c r="CS1337" i="48" s="1"/>
  <c r="DB1337" i="48" s="1"/>
  <c r="CO712" i="48"/>
  <c r="CS712" i="48" s="1"/>
  <c r="CO157" i="48"/>
  <c r="CS157" i="48" s="1"/>
  <c r="CO1187" i="48"/>
  <c r="CS1187" i="48" s="1"/>
  <c r="CO885" i="48"/>
  <c r="CS885" i="48" s="1"/>
  <c r="CO1267" i="48"/>
  <c r="CS1267" i="48" s="1"/>
  <c r="DB1267" i="48" s="1"/>
  <c r="DC1267" i="48" s="1"/>
  <c r="CO283" i="48"/>
  <c r="CS283" i="48" s="1"/>
  <c r="CO1312" i="48"/>
  <c r="CS1312" i="48" s="1"/>
  <c r="DB1312" i="48" s="1"/>
  <c r="CO232" i="48"/>
  <c r="CS232" i="48" s="1"/>
  <c r="CO870" i="48"/>
  <c r="CS870" i="48" s="1"/>
  <c r="CO1210" i="48"/>
  <c r="CS1210" i="48" s="1"/>
  <c r="DB1210" i="48" s="1"/>
  <c r="CO813" i="48"/>
  <c r="CS813" i="48" s="1"/>
  <c r="CO406" i="48"/>
  <c r="CS406" i="48" s="1"/>
  <c r="DB406" i="48" s="1"/>
  <c r="AC406" i="48" s="1"/>
  <c r="CO1139" i="48"/>
  <c r="CS1139" i="48" s="1"/>
  <c r="CO794" i="48"/>
  <c r="CS794" i="48" s="1"/>
  <c r="CO946" i="48"/>
  <c r="CS946" i="48" s="1"/>
  <c r="CO345" i="48"/>
  <c r="CS345" i="48" s="1"/>
  <c r="CO720" i="48"/>
  <c r="CS720" i="48" s="1"/>
  <c r="CO908" i="48"/>
  <c r="CS908" i="48" s="1"/>
  <c r="CO736" i="48"/>
  <c r="CS736" i="48" s="1"/>
  <c r="CO888" i="48"/>
  <c r="CS888" i="48" s="1"/>
  <c r="CO318" i="48"/>
  <c r="CS318" i="48" s="1"/>
  <c r="CO491" i="48"/>
  <c r="CS491" i="48" s="1"/>
  <c r="CO440" i="48"/>
  <c r="CS440" i="48" s="1"/>
  <c r="CO892" i="48"/>
  <c r="CS892" i="48" s="1"/>
  <c r="CO859" i="48"/>
  <c r="CS859" i="48" s="1"/>
  <c r="CO816" i="48"/>
  <c r="CS816" i="48" s="1"/>
  <c r="CO1165" i="48"/>
  <c r="CS1165" i="48" s="1"/>
  <c r="CO376" i="48"/>
  <c r="CS376" i="48" s="1"/>
  <c r="DB376" i="48" s="1"/>
  <c r="AC376" i="48" s="1"/>
  <c r="CO801" i="48"/>
  <c r="CS801" i="48" s="1"/>
  <c r="CO1076" i="48"/>
  <c r="CS1076" i="48" s="1"/>
  <c r="CO901" i="48"/>
  <c r="CS901" i="48" s="1"/>
  <c r="DB901" i="48" s="1"/>
  <c r="AC901" i="48" s="1"/>
  <c r="CO176" i="48"/>
  <c r="CS176" i="48" s="1"/>
  <c r="DB176" i="48" s="1"/>
  <c r="AC176" i="48" s="1"/>
  <c r="CO1351" i="48"/>
  <c r="CS1351" i="48" s="1"/>
  <c r="CO1176" i="48"/>
  <c r="CS1176" i="48" s="1"/>
  <c r="CO251" i="48"/>
  <c r="CS251" i="48" s="1"/>
  <c r="DB251" i="48" s="1"/>
  <c r="AC251" i="48" s="1"/>
  <c r="CO1126" i="48"/>
  <c r="CS1126" i="48" s="1"/>
  <c r="DB1126" i="48" s="1"/>
  <c r="AC1126" i="48" s="1"/>
  <c r="CO551" i="48"/>
  <c r="CS551" i="48" s="1"/>
  <c r="CO1001" i="48"/>
  <c r="CS1001" i="48" s="1"/>
  <c r="CO1276" i="48"/>
  <c r="CS1276" i="48" s="1"/>
  <c r="DB1276" i="48" s="1"/>
  <c r="AC1276" i="48" s="1"/>
  <c r="CO926" i="48"/>
  <c r="CS926" i="48" s="1"/>
  <c r="DB926" i="48" s="1"/>
  <c r="AC926" i="48" s="1"/>
  <c r="CO951" i="48"/>
  <c r="CS951" i="48" s="1"/>
  <c r="CO226" i="48"/>
  <c r="CS226" i="48" s="1"/>
  <c r="CO1301" i="48"/>
  <c r="CS1301" i="48" s="1"/>
  <c r="CO76" i="48"/>
  <c r="CO1151" i="48"/>
  <c r="CS1151" i="48" s="1"/>
  <c r="CO51" i="48"/>
  <c r="CS51" i="48" s="1"/>
  <c r="DB276" i="48"/>
  <c r="CO6" i="48"/>
  <c r="CS6" i="48" s="1"/>
  <c r="DB6" i="48" s="1"/>
  <c r="AC6" i="48" s="1"/>
  <c r="CM76" i="48"/>
  <c r="DC1288" i="48" l="1"/>
  <c r="DC1248" i="48"/>
  <c r="DC1346" i="48"/>
  <c r="DC1291" i="48"/>
  <c r="DC1236" i="48"/>
  <c r="DC1325" i="48"/>
  <c r="DC1334" i="48"/>
  <c r="DC1283" i="48"/>
  <c r="AT127" i="48"/>
  <c r="DC1339" i="48"/>
  <c r="AC7" i="48"/>
  <c r="DC7" i="48"/>
  <c r="AP102" i="48"/>
  <c r="DC1270" i="48"/>
  <c r="DC1224" i="48"/>
  <c r="DC1219" i="48"/>
  <c r="DC1345" i="48"/>
  <c r="AS127" i="48"/>
  <c r="AP127" i="48"/>
  <c r="DC1310" i="48"/>
  <c r="DC1272" i="48"/>
  <c r="AD252" i="48"/>
  <c r="DC1317" i="48"/>
  <c r="DC1300" i="48"/>
  <c r="DC1297" i="48"/>
  <c r="DC1217" i="48"/>
  <c r="DC1244" i="48"/>
  <c r="DC1311" i="48"/>
  <c r="DC1312" i="48"/>
  <c r="AT27" i="48"/>
  <c r="DC1333" i="48"/>
  <c r="DC1127" i="48"/>
  <c r="DC1298" i="48"/>
  <c r="DC1286" i="48"/>
  <c r="DC1266" i="48"/>
  <c r="DC1207" i="48"/>
  <c r="DC1289" i="48"/>
  <c r="DC1284" i="48"/>
  <c r="DC1213" i="48"/>
  <c r="DC1335" i="48"/>
  <c r="DC1235" i="48"/>
  <c r="DC1259" i="48"/>
  <c r="DC1261" i="48"/>
  <c r="DC1342" i="48"/>
  <c r="DC1215" i="48"/>
  <c r="DC1308" i="48"/>
  <c r="DC1209" i="48"/>
  <c r="DC1233" i="48"/>
  <c r="DC1322" i="48"/>
  <c r="DC1338" i="48"/>
  <c r="DC1319" i="48"/>
  <c r="DC1218" i="48"/>
  <c r="DC1341" i="48"/>
  <c r="DC1274" i="48"/>
  <c r="DC1294" i="48"/>
  <c r="DC1240" i="48"/>
  <c r="DC1265" i="48"/>
  <c r="DC1242" i="48"/>
  <c r="DC1321" i="48"/>
  <c r="DB1351" i="48"/>
  <c r="AC1351" i="48" s="1"/>
  <c r="AC1200" i="48"/>
  <c r="AJ1200" i="48" s="1"/>
  <c r="AT302" i="48"/>
  <c r="AS302" i="48"/>
  <c r="AR302" i="48"/>
  <c r="AT577" i="48"/>
  <c r="AR577" i="48"/>
  <c r="AS577" i="48"/>
  <c r="AC952" i="48"/>
  <c r="AJ952" i="48" s="1"/>
  <c r="AP952" i="48" s="1"/>
  <c r="M47" i="58" s="1"/>
  <c r="DC1201" i="48"/>
  <c r="AC1202" i="48"/>
  <c r="AJ1202" i="48" s="1"/>
  <c r="AP1202" i="48" s="1"/>
  <c r="AC1052" i="48"/>
  <c r="AJ1052" i="48" s="1"/>
  <c r="AP1052" i="48" s="1"/>
  <c r="DC927" i="48"/>
  <c r="AC927" i="48"/>
  <c r="AJ927" i="48" s="1"/>
  <c r="AP927" i="48" s="1"/>
  <c r="DC1347" i="48"/>
  <c r="DC1323" i="48"/>
  <c r="DC1263" i="48"/>
  <c r="DC1216" i="48"/>
  <c r="DC1211" i="48"/>
  <c r="DC1314" i="48"/>
  <c r="DC1349" i="48"/>
  <c r="DC1249" i="48"/>
  <c r="DC1243" i="48"/>
  <c r="DC1309" i="48"/>
  <c r="DC1316" i="48"/>
  <c r="DB1250" i="48"/>
  <c r="DC1251" i="48" s="1"/>
  <c r="DC1296" i="48"/>
  <c r="DC1350" i="48"/>
  <c r="DC1299" i="48"/>
  <c r="AT327" i="48"/>
  <c r="AR327" i="48"/>
  <c r="AS327" i="48"/>
  <c r="AT477" i="48"/>
  <c r="AS477" i="48"/>
  <c r="AR477" i="48"/>
  <c r="AT602" i="48"/>
  <c r="AS602" i="48"/>
  <c r="AR602" i="48"/>
  <c r="AT727" i="48"/>
  <c r="AR727" i="48"/>
  <c r="AS727" i="48"/>
  <c r="DC852" i="48"/>
  <c r="DC851" i="48"/>
  <c r="AC852" i="48"/>
  <c r="AJ852" i="48" s="1"/>
  <c r="AP852" i="48" s="1"/>
  <c r="L47" i="58" s="1"/>
  <c r="DC977" i="48"/>
  <c r="AC977" i="48"/>
  <c r="AJ977" i="48" s="1"/>
  <c r="AP977" i="48" s="1"/>
  <c r="DC1101" i="48"/>
  <c r="AC1102" i="48"/>
  <c r="AJ1102" i="48" s="1"/>
  <c r="AP1102" i="48" s="1"/>
  <c r="DC1227" i="48"/>
  <c r="DC1226" i="48"/>
  <c r="AC1227" i="48"/>
  <c r="AJ1227" i="48" s="1"/>
  <c r="AP1227" i="48" s="1"/>
  <c r="DC1326" i="48"/>
  <c r="AC1327" i="48"/>
  <c r="AJ1327" i="48" s="1"/>
  <c r="AP1327" i="48" s="1"/>
  <c r="AT77" i="48"/>
  <c r="AR77" i="48"/>
  <c r="AS77" i="48"/>
  <c r="AT252" i="48"/>
  <c r="AR252" i="48"/>
  <c r="AS252" i="48"/>
  <c r="AT702" i="48"/>
  <c r="AR702" i="48"/>
  <c r="AS702" i="48"/>
  <c r="AT152" i="48"/>
  <c r="AR152" i="48"/>
  <c r="AS152" i="48"/>
  <c r="DC1337" i="48"/>
  <c r="DB1301" i="48"/>
  <c r="AC1301" i="48" s="1"/>
  <c r="DC1220" i="48"/>
  <c r="DC1268" i="48"/>
  <c r="DC1285" i="48"/>
  <c r="DC1234" i="48"/>
  <c r="DC1343" i="48"/>
  <c r="DC1264" i="48"/>
  <c r="DC1292" i="48"/>
  <c r="DC1273" i="48"/>
  <c r="DC1340" i="48"/>
  <c r="AC1025" i="48"/>
  <c r="AJ1025" i="48" s="1"/>
  <c r="DC1290" i="48"/>
  <c r="DC1307" i="48"/>
  <c r="DC1320" i="48"/>
  <c r="DC1241" i="48"/>
  <c r="DC1332" i="48"/>
  <c r="DC1293" i="48"/>
  <c r="AT377" i="48"/>
  <c r="AR377" i="48"/>
  <c r="AS377" i="48"/>
  <c r="AT502" i="48"/>
  <c r="AR502" i="48"/>
  <c r="AS502" i="48"/>
  <c r="AT627" i="48"/>
  <c r="AR627" i="48"/>
  <c r="AS627" i="48"/>
  <c r="DC752" i="48"/>
  <c r="AC752" i="48"/>
  <c r="AJ752" i="48" s="1"/>
  <c r="AP752" i="48" s="1"/>
  <c r="AC877" i="48"/>
  <c r="AJ877" i="48" s="1"/>
  <c r="AP877" i="48" s="1"/>
  <c r="J47" i="58" s="1"/>
  <c r="AC1002" i="48"/>
  <c r="AJ1002" i="48" s="1"/>
  <c r="AP1002" i="48" s="1"/>
  <c r="AC1152" i="48"/>
  <c r="AJ1152" i="48" s="1"/>
  <c r="AP1152" i="48" s="1"/>
  <c r="DC1252" i="48"/>
  <c r="AC1252" i="48"/>
  <c r="AJ1252" i="48" s="1"/>
  <c r="AP1252" i="48" s="1"/>
  <c r="DC1351" i="48"/>
  <c r="AC1352" i="48"/>
  <c r="AJ1352" i="48" s="1"/>
  <c r="AP1352" i="48" s="1"/>
  <c r="AT102" i="48"/>
  <c r="AR102" i="48"/>
  <c r="AS102" i="48"/>
  <c r="AT1127" i="48"/>
  <c r="AR1127" i="48"/>
  <c r="AS1127" i="48"/>
  <c r="AC1100" i="48"/>
  <c r="AJ1100" i="48" s="1"/>
  <c r="AT802" i="48"/>
  <c r="AR802" i="48"/>
  <c r="AS802" i="48"/>
  <c r="AC1077" i="48"/>
  <c r="AJ1077" i="48" s="1"/>
  <c r="AP1077" i="48" s="1"/>
  <c r="K47" i="58" s="1"/>
  <c r="DC1301" i="48"/>
  <c r="AC1302" i="48"/>
  <c r="AJ1302" i="48" s="1"/>
  <c r="AP1302" i="48" s="1"/>
  <c r="AT177" i="48"/>
  <c r="AR177" i="48"/>
  <c r="AS177" i="48"/>
  <c r="AD177" i="48"/>
  <c r="DC1210" i="48"/>
  <c r="DC1348" i="48"/>
  <c r="DC1295" i="48"/>
  <c r="DC1262" i="48"/>
  <c r="DC1237" i="48"/>
  <c r="DC1221" i="48"/>
  <c r="DC1260" i="48"/>
  <c r="DC1232" i="48"/>
  <c r="DB1326" i="48"/>
  <c r="AC1326" i="48" s="1"/>
  <c r="DC1313" i="48"/>
  <c r="DC1238" i="48"/>
  <c r="DC1212" i="48"/>
  <c r="DC1275" i="48"/>
  <c r="DC1245" i="48"/>
  <c r="DC1271" i="48"/>
  <c r="DC1225" i="48"/>
  <c r="AD152" i="48"/>
  <c r="DC1214" i="48"/>
  <c r="DC1269" i="48"/>
  <c r="DC1344" i="48"/>
  <c r="DC1324" i="48"/>
  <c r="DC1246" i="48"/>
  <c r="DC1282" i="48"/>
  <c r="DC1208" i="48"/>
  <c r="DC1222" i="48"/>
  <c r="DC1287" i="48"/>
  <c r="DC1257" i="48"/>
  <c r="AT402" i="48"/>
  <c r="AS402" i="48"/>
  <c r="AR402" i="48"/>
  <c r="AT552" i="48"/>
  <c r="AS552" i="48"/>
  <c r="AR552" i="48"/>
  <c r="AT652" i="48"/>
  <c r="AR652" i="48"/>
  <c r="AS652" i="48"/>
  <c r="DC777" i="48"/>
  <c r="AC777" i="48"/>
  <c r="AJ777" i="48" s="1"/>
  <c r="AP777" i="48" s="1"/>
  <c r="DC902" i="48"/>
  <c r="AC902" i="48"/>
  <c r="AJ902" i="48" s="1"/>
  <c r="AP902" i="48" s="1"/>
  <c r="DC1026" i="48"/>
  <c r="AC1027" i="48"/>
  <c r="AJ1027" i="48" s="1"/>
  <c r="AP1027" i="48" s="1"/>
  <c r="DC1177" i="48"/>
  <c r="AC1177" i="48"/>
  <c r="AJ1177" i="48" s="1"/>
  <c r="AP1177" i="48" s="1"/>
  <c r="DC1277" i="48"/>
  <c r="DC1276" i="48"/>
  <c r="AC1277" i="48"/>
  <c r="AJ1277" i="48" s="1"/>
  <c r="AP1277" i="48" s="1"/>
  <c r="AT52" i="48"/>
  <c r="AR52" i="48"/>
  <c r="AS52" i="48"/>
  <c r="AT527" i="48"/>
  <c r="AR527" i="48"/>
  <c r="AS527" i="48"/>
  <c r="AT227" i="48"/>
  <c r="AR227" i="48"/>
  <c r="AS227" i="48"/>
  <c r="AT202" i="48"/>
  <c r="AR202" i="48"/>
  <c r="AS202" i="48"/>
  <c r="AT827" i="48"/>
  <c r="AR827" i="48"/>
  <c r="AS827" i="48"/>
  <c r="AP27" i="48"/>
  <c r="O47" i="58" s="1"/>
  <c r="AS27" i="48"/>
  <c r="AR27" i="48"/>
  <c r="AC1251" i="48"/>
  <c r="DC452" i="48"/>
  <c r="DC423" i="48"/>
  <c r="AC423" i="48"/>
  <c r="DC416" i="48"/>
  <c r="AC416" i="48"/>
  <c r="DC408" i="48"/>
  <c r="AC408" i="48"/>
  <c r="DC410" i="48"/>
  <c r="AC410" i="48"/>
  <c r="DC424" i="48"/>
  <c r="AC424" i="48"/>
  <c r="DC420" i="48"/>
  <c r="AC420" i="48"/>
  <c r="AJ420" i="48" s="1"/>
  <c r="DC425" i="48"/>
  <c r="AC425" i="48"/>
  <c r="AJ425" i="48" s="1"/>
  <c r="DC421" i="48"/>
  <c r="AC421" i="48"/>
  <c r="AJ421" i="48" s="1"/>
  <c r="AC306" i="48"/>
  <c r="AJ306" i="48" s="1"/>
  <c r="DC136" i="48"/>
  <c r="AC136" i="48"/>
  <c r="AJ136" i="48" s="1"/>
  <c r="DC135" i="48"/>
  <c r="AC135" i="48"/>
  <c r="DC134" i="48"/>
  <c r="AC134" i="48"/>
  <c r="AJ134" i="48" s="1"/>
  <c r="DC139" i="48"/>
  <c r="AC139" i="48"/>
  <c r="DC143" i="48"/>
  <c r="AC143" i="48"/>
  <c r="DC132" i="48"/>
  <c r="AC132" i="48"/>
  <c r="AJ132" i="48" s="1"/>
  <c r="DC146" i="48"/>
  <c r="AC146" i="48"/>
  <c r="AJ146" i="48" s="1"/>
  <c r="CS76" i="48"/>
  <c r="DB76" i="48" s="1"/>
  <c r="DC415" i="48"/>
  <c r="DC411" i="48"/>
  <c r="DC602" i="48"/>
  <c r="DC414" i="48"/>
  <c r="DC426" i="48"/>
  <c r="DC427" i="48"/>
  <c r="DC407" i="48"/>
  <c r="DC422" i="48"/>
  <c r="DC412" i="48"/>
  <c r="DC417" i="48"/>
  <c r="DC413" i="48"/>
  <c r="DC409" i="48"/>
  <c r="DC419" i="48"/>
  <c r="DC418" i="48"/>
  <c r="DC402" i="48"/>
  <c r="DC377" i="48"/>
  <c r="DC302" i="48"/>
  <c r="DC252" i="48"/>
  <c r="DC177" i="48"/>
  <c r="DC147" i="48"/>
  <c r="DC141" i="48"/>
  <c r="CS26" i="48"/>
  <c r="DB26" i="48" s="1"/>
  <c r="DC26" i="48" s="1"/>
  <c r="DC627" i="48"/>
  <c r="DC149" i="48"/>
  <c r="DC144" i="48"/>
  <c r="DC150" i="48"/>
  <c r="DC140" i="48"/>
  <c r="DC148" i="48"/>
  <c r="DC133" i="48"/>
  <c r="DC142" i="48"/>
  <c r="DC137" i="48"/>
  <c r="DC151" i="48"/>
  <c r="DC152" i="48"/>
  <c r="DC138" i="48"/>
  <c r="DC145" i="48"/>
  <c r="AC1337" i="48"/>
  <c r="AC1347" i="48"/>
  <c r="AC1345" i="48"/>
  <c r="AC1335" i="48"/>
  <c r="AC1341" i="48"/>
  <c r="AC1334" i="48"/>
  <c r="AC1340" i="48"/>
  <c r="AC1332" i="48"/>
  <c r="AC1336" i="48"/>
  <c r="AC1342" i="48"/>
  <c r="AC1343" i="48"/>
  <c r="AC1344" i="48"/>
  <c r="AC1323" i="48"/>
  <c r="AC1322" i="48"/>
  <c r="AC1319" i="48"/>
  <c r="AC1312" i="48"/>
  <c r="AC1310" i="48"/>
  <c r="AC1315" i="48"/>
  <c r="AC1314" i="48"/>
  <c r="AC1321" i="48"/>
  <c r="AJ1321" i="48" s="1"/>
  <c r="AC1309" i="48"/>
  <c r="AC1316" i="48"/>
  <c r="AC1311" i="48"/>
  <c r="AC1325" i="48"/>
  <c r="AC1313" i="48"/>
  <c r="AC1318" i="48"/>
  <c r="AC1307" i="48"/>
  <c r="AC1320" i="48"/>
  <c r="AC1285" i="48"/>
  <c r="AC1296" i="48"/>
  <c r="AC1299" i="48"/>
  <c r="AC1295" i="48"/>
  <c r="AC1297" i="48"/>
  <c r="AC1288" i="48"/>
  <c r="AC1283" i="48"/>
  <c r="AC1291" i="48"/>
  <c r="AC1292" i="48"/>
  <c r="AC1290" i="48"/>
  <c r="AC1293" i="48"/>
  <c r="AC1289" i="48"/>
  <c r="AC1287" i="48"/>
  <c r="AC1265" i="48"/>
  <c r="AC1261" i="48"/>
  <c r="AC1268" i="48"/>
  <c r="AC1263" i="48"/>
  <c r="AC1272" i="48"/>
  <c r="AC1273" i="48"/>
  <c r="AC1267" i="48"/>
  <c r="AC1266" i="48"/>
  <c r="AC1274" i="48"/>
  <c r="AC1275" i="48"/>
  <c r="AC1270" i="48"/>
  <c r="AC1271" i="48"/>
  <c r="AC1269" i="48"/>
  <c r="AC1240" i="48"/>
  <c r="AC1242" i="48"/>
  <c r="AC1236" i="48"/>
  <c r="AC1231" i="48"/>
  <c r="AC1235" i="48"/>
  <c r="AC1233" i="48"/>
  <c r="AC1234" i="48"/>
  <c r="AC1249" i="48"/>
  <c r="AC1243" i="48"/>
  <c r="AC1244" i="48"/>
  <c r="AC1248" i="48"/>
  <c r="AC1237" i="48"/>
  <c r="AC1232" i="48"/>
  <c r="AC1239" i="48"/>
  <c r="AC1241" i="48"/>
  <c r="AC1245" i="48"/>
  <c r="AC1247" i="48"/>
  <c r="AC1246" i="48"/>
  <c r="AC1218" i="48"/>
  <c r="AC1220" i="48"/>
  <c r="AC1216" i="48"/>
  <c r="AC1211" i="48"/>
  <c r="AC1217" i="48"/>
  <c r="AC1221" i="48"/>
  <c r="AC1213" i="48"/>
  <c r="AC1215" i="48"/>
  <c r="AC1209" i="48"/>
  <c r="AC1210" i="48"/>
  <c r="AC1212" i="48"/>
  <c r="AC1224" i="48"/>
  <c r="AC1225" i="48"/>
  <c r="AC1223" i="48"/>
  <c r="AC1208" i="48"/>
  <c r="DB1191" i="48"/>
  <c r="DB1188" i="48"/>
  <c r="DB1193" i="48"/>
  <c r="DB1183" i="48"/>
  <c r="DB1196" i="48"/>
  <c r="DB1182" i="48"/>
  <c r="DB1201" i="48"/>
  <c r="DC1202" i="48" s="1"/>
  <c r="DB1197" i="48"/>
  <c r="DB1187" i="48"/>
  <c r="DB1192" i="48"/>
  <c r="DB1199" i="48"/>
  <c r="DB1194" i="48"/>
  <c r="DB1195" i="48"/>
  <c r="DB1198" i="48"/>
  <c r="DB1186" i="48"/>
  <c r="DB1181" i="48"/>
  <c r="DB1189" i="48"/>
  <c r="DB1185" i="48"/>
  <c r="DB1184" i="48"/>
  <c r="DB1190" i="48"/>
  <c r="DB1156" i="48"/>
  <c r="DB1168" i="48"/>
  <c r="DB1162" i="48"/>
  <c r="DB1169" i="48"/>
  <c r="DB1165" i="48"/>
  <c r="DB1166" i="48"/>
  <c r="DB1167" i="48"/>
  <c r="DB1163" i="48"/>
  <c r="DB1175" i="48"/>
  <c r="DB1161" i="48"/>
  <c r="AC1176" i="48"/>
  <c r="DB1170" i="48"/>
  <c r="DC1170" i="48" s="1"/>
  <c r="DB1164" i="48"/>
  <c r="DB1171" i="48"/>
  <c r="DB1172" i="48"/>
  <c r="DB1174" i="48"/>
  <c r="DB1157" i="48"/>
  <c r="DB1160" i="48"/>
  <c r="DB1158" i="48"/>
  <c r="DB1159" i="48"/>
  <c r="DB1173" i="48"/>
  <c r="DB1150" i="48"/>
  <c r="DB1147" i="48"/>
  <c r="DB1148" i="48"/>
  <c r="DB1142" i="48"/>
  <c r="DB1133" i="48"/>
  <c r="DB1131" i="48"/>
  <c r="DB1143" i="48"/>
  <c r="DB1141" i="48"/>
  <c r="DB1145" i="48"/>
  <c r="DB1135" i="48"/>
  <c r="DB1140" i="48"/>
  <c r="DB1138" i="48"/>
  <c r="DB1137" i="48"/>
  <c r="DB1134" i="48"/>
  <c r="DB1151" i="48"/>
  <c r="AC1151" i="48" s="1"/>
  <c r="DB1139" i="48"/>
  <c r="DB1146" i="48"/>
  <c r="DC1146" i="48" s="1"/>
  <c r="DB1136" i="48"/>
  <c r="DB1132" i="48"/>
  <c r="DB1149" i="48"/>
  <c r="DB1144" i="48"/>
  <c r="DB1106" i="48"/>
  <c r="DB1114" i="48"/>
  <c r="DB1119" i="48"/>
  <c r="DB1121" i="48"/>
  <c r="DB1115" i="48"/>
  <c r="DB1125" i="48"/>
  <c r="DB1108" i="48"/>
  <c r="DB1122" i="48"/>
  <c r="DB1113" i="48"/>
  <c r="DB1107" i="48"/>
  <c r="DB1110" i="48"/>
  <c r="DB1120" i="48"/>
  <c r="DB1123" i="48"/>
  <c r="DB1118" i="48"/>
  <c r="DB1109" i="48"/>
  <c r="DB1117" i="48"/>
  <c r="DB1111" i="48"/>
  <c r="DB1116" i="48"/>
  <c r="DB1112" i="48"/>
  <c r="DB1124" i="48"/>
  <c r="DB1097" i="48"/>
  <c r="DB1092" i="48"/>
  <c r="DB1085" i="48"/>
  <c r="DB1099" i="48"/>
  <c r="DB1084" i="48"/>
  <c r="DB1091" i="48"/>
  <c r="DB1082" i="48"/>
  <c r="DB1093" i="48"/>
  <c r="DB1086" i="48"/>
  <c r="DB1090" i="48"/>
  <c r="DB1095" i="48"/>
  <c r="DB1098" i="48"/>
  <c r="DB1094" i="48"/>
  <c r="DB1088" i="48"/>
  <c r="DB1083" i="48"/>
  <c r="DC1083" i="48" s="1"/>
  <c r="DB1089" i="48"/>
  <c r="DB1096" i="48"/>
  <c r="DB1101" i="48"/>
  <c r="DC1102" i="48" s="1"/>
  <c r="DB1081" i="48"/>
  <c r="DB1087" i="48"/>
  <c r="DB1061" i="48"/>
  <c r="DB1075" i="48"/>
  <c r="DC1076" i="48" s="1"/>
  <c r="DB1070" i="48"/>
  <c r="DB1059" i="48"/>
  <c r="DB1067" i="48"/>
  <c r="DB1065" i="48"/>
  <c r="DB1062" i="48"/>
  <c r="DB1076" i="48"/>
  <c r="AC1076" i="48" s="1"/>
  <c r="DB1072" i="48"/>
  <c r="DB1060" i="48"/>
  <c r="DB1074" i="48"/>
  <c r="DB1069" i="48"/>
  <c r="DB1063" i="48"/>
  <c r="DB1068" i="48"/>
  <c r="DB1057" i="48"/>
  <c r="DB1073" i="48"/>
  <c r="DB1056" i="48"/>
  <c r="DB1058" i="48"/>
  <c r="DB1066" i="48"/>
  <c r="DB1064" i="48"/>
  <c r="DB1071" i="48"/>
  <c r="DB1034" i="48"/>
  <c r="DB1045" i="48"/>
  <c r="DB1051" i="48"/>
  <c r="AC1051" i="48" s="1"/>
  <c r="DB1040" i="48"/>
  <c r="DB1035" i="48"/>
  <c r="DB1050" i="48"/>
  <c r="DB1044" i="48"/>
  <c r="DB1043" i="48"/>
  <c r="DB1048" i="48"/>
  <c r="DB1031" i="48"/>
  <c r="DB1041" i="48"/>
  <c r="DB1047" i="48"/>
  <c r="DB1033" i="48"/>
  <c r="DB1049" i="48"/>
  <c r="DB1039" i="48"/>
  <c r="DB1046" i="48"/>
  <c r="DB1036" i="48"/>
  <c r="DB1032" i="48"/>
  <c r="DB1042" i="48"/>
  <c r="DC1042" i="48" s="1"/>
  <c r="DB1037" i="48"/>
  <c r="DB1038" i="48"/>
  <c r="DB1022" i="48"/>
  <c r="DB1018" i="48"/>
  <c r="DB1012" i="48"/>
  <c r="DB1013" i="48"/>
  <c r="DB1016" i="48"/>
  <c r="DB1011" i="48"/>
  <c r="DB1023" i="48"/>
  <c r="DB1021" i="48"/>
  <c r="DB1026" i="48"/>
  <c r="DC1027" i="48" s="1"/>
  <c r="DB1024" i="48"/>
  <c r="DB1017" i="48"/>
  <c r="DB1006" i="48"/>
  <c r="DB1008" i="48"/>
  <c r="DB1020" i="48"/>
  <c r="DB1010" i="48"/>
  <c r="DB1009" i="48"/>
  <c r="DB1014" i="48"/>
  <c r="DB1007" i="48"/>
  <c r="DB1019" i="48"/>
  <c r="DB1015" i="48"/>
  <c r="DB981" i="48"/>
  <c r="DB989" i="48"/>
  <c r="DB984" i="48"/>
  <c r="DB997" i="48"/>
  <c r="DB988" i="48"/>
  <c r="DB985" i="48"/>
  <c r="DB995" i="48"/>
  <c r="DB994" i="48"/>
  <c r="DB983" i="48"/>
  <c r="DB1001" i="48"/>
  <c r="AC1001" i="48" s="1"/>
  <c r="DB999" i="48"/>
  <c r="DB992" i="48"/>
  <c r="DB987" i="48"/>
  <c r="DB986" i="48"/>
  <c r="DB982" i="48"/>
  <c r="DB993" i="48"/>
  <c r="DB991" i="48"/>
  <c r="DB998" i="48"/>
  <c r="DB990" i="48"/>
  <c r="DB996" i="48"/>
  <c r="DB1000" i="48"/>
  <c r="DB963" i="48"/>
  <c r="DB962" i="48"/>
  <c r="DB971" i="48"/>
  <c r="DB966" i="48"/>
  <c r="DB967" i="48"/>
  <c r="DB970" i="48"/>
  <c r="DB973" i="48"/>
  <c r="DB956" i="48"/>
  <c r="DB961" i="48"/>
  <c r="DB958" i="48"/>
  <c r="DB960" i="48"/>
  <c r="DB964" i="48"/>
  <c r="DB974" i="48"/>
  <c r="DB972" i="48"/>
  <c r="DB957" i="48"/>
  <c r="DB959" i="48"/>
  <c r="DB969" i="48"/>
  <c r="DB975" i="48"/>
  <c r="DC976" i="48" s="1"/>
  <c r="DB965" i="48"/>
  <c r="DB968" i="48"/>
  <c r="DB944" i="48"/>
  <c r="DB932" i="48"/>
  <c r="DB949" i="48"/>
  <c r="DB939" i="48"/>
  <c r="DB946" i="48"/>
  <c r="DB936" i="48"/>
  <c r="DB938" i="48"/>
  <c r="DB934" i="48"/>
  <c r="DB948" i="48"/>
  <c r="DB945" i="48"/>
  <c r="DB947" i="48"/>
  <c r="DB935" i="48"/>
  <c r="DB933" i="48"/>
  <c r="DB937" i="48"/>
  <c r="DB941" i="48"/>
  <c r="DB951" i="48"/>
  <c r="AC951" i="48" s="1"/>
  <c r="DB950" i="48"/>
  <c r="DC951" i="48" s="1"/>
  <c r="DB942" i="48"/>
  <c r="DB931" i="48"/>
  <c r="DB940" i="48"/>
  <c r="DC940" i="48" s="1"/>
  <c r="DB943" i="48"/>
  <c r="DB919" i="48"/>
  <c r="DB912" i="48"/>
  <c r="DB907" i="48"/>
  <c r="DB920" i="48"/>
  <c r="DB921" i="48"/>
  <c r="DB915" i="48"/>
  <c r="DB910" i="48"/>
  <c r="DB918" i="48"/>
  <c r="DB925" i="48"/>
  <c r="DB914" i="48"/>
  <c r="DB922" i="48"/>
  <c r="DB906" i="48"/>
  <c r="DB909" i="48"/>
  <c r="DB908" i="48"/>
  <c r="DB924" i="48"/>
  <c r="DB917" i="48"/>
  <c r="DB923" i="48"/>
  <c r="DB913" i="48"/>
  <c r="DC913" i="48" s="1"/>
  <c r="DB916" i="48"/>
  <c r="DB911" i="48"/>
  <c r="DB892" i="48"/>
  <c r="DB888" i="48"/>
  <c r="DB885" i="48"/>
  <c r="DB890" i="48"/>
  <c r="DB891" i="48"/>
  <c r="DB886" i="48"/>
  <c r="DB900" i="48"/>
  <c r="DB894" i="48"/>
  <c r="DB897" i="48"/>
  <c r="DB887" i="48"/>
  <c r="DB895" i="48"/>
  <c r="DB883" i="48"/>
  <c r="DB881" i="48"/>
  <c r="DB893" i="48"/>
  <c r="DB896" i="48"/>
  <c r="DB889" i="48"/>
  <c r="DB898" i="48"/>
  <c r="DC898" i="48" s="1"/>
  <c r="DB882" i="48"/>
  <c r="DB884" i="48"/>
  <c r="DB899" i="48"/>
  <c r="DB872" i="48"/>
  <c r="DB868" i="48"/>
  <c r="DB862" i="48"/>
  <c r="DB860" i="48"/>
  <c r="DB863" i="48"/>
  <c r="DB866" i="48"/>
  <c r="DB873" i="48"/>
  <c r="DB875" i="48"/>
  <c r="DC876" i="48" s="1"/>
  <c r="DB856" i="48"/>
  <c r="DB874" i="48"/>
  <c r="DB858" i="48"/>
  <c r="DB871" i="48"/>
  <c r="DB867" i="48"/>
  <c r="DB864" i="48"/>
  <c r="DB859" i="48"/>
  <c r="DB870" i="48"/>
  <c r="DB865" i="48"/>
  <c r="DB857" i="48"/>
  <c r="DB861" i="48"/>
  <c r="DB869" i="48"/>
  <c r="DB876" i="48"/>
  <c r="DC877" i="48" s="1"/>
  <c r="DB817" i="48"/>
  <c r="AC817" i="48" s="1"/>
  <c r="DB820" i="48"/>
  <c r="AC820" i="48" s="1"/>
  <c r="DB813" i="48"/>
  <c r="AC813" i="48" s="1"/>
  <c r="DB807" i="48"/>
  <c r="AC807" i="48" s="1"/>
  <c r="DB824" i="48"/>
  <c r="AC824" i="48" s="1"/>
  <c r="DB809" i="48"/>
  <c r="DB811" i="48"/>
  <c r="AC811" i="48" s="1"/>
  <c r="DB822" i="48"/>
  <c r="AC822" i="48" s="1"/>
  <c r="DB806" i="48"/>
  <c r="DB816" i="48"/>
  <c r="AC816" i="48" s="1"/>
  <c r="DB821" i="48"/>
  <c r="AC821" i="48" s="1"/>
  <c r="DB825" i="48"/>
  <c r="AC825" i="48" s="1"/>
  <c r="DB819" i="48"/>
  <c r="AC819" i="48" s="1"/>
  <c r="DB815" i="48"/>
  <c r="AC815" i="48" s="1"/>
  <c r="DB812" i="48"/>
  <c r="DB810" i="48"/>
  <c r="AC810" i="48" s="1"/>
  <c r="DB814" i="48"/>
  <c r="AC814" i="48" s="1"/>
  <c r="DB808" i="48"/>
  <c r="AC808" i="48" s="1"/>
  <c r="DB818" i="48"/>
  <c r="DB823" i="48"/>
  <c r="AC823" i="48" s="1"/>
  <c r="DB786" i="48"/>
  <c r="AC786" i="48" s="1"/>
  <c r="DB784" i="48"/>
  <c r="AC784" i="48" s="1"/>
  <c r="DB791" i="48"/>
  <c r="AC791" i="48" s="1"/>
  <c r="DB793" i="48"/>
  <c r="AC793" i="48" s="1"/>
  <c r="DB792" i="48"/>
  <c r="AC792" i="48" s="1"/>
  <c r="DB781" i="48"/>
  <c r="DB788" i="48"/>
  <c r="AC788" i="48" s="1"/>
  <c r="DB789" i="48"/>
  <c r="AC789" i="48" s="1"/>
  <c r="DB782" i="48"/>
  <c r="AC782" i="48" s="1"/>
  <c r="DB795" i="48"/>
  <c r="AC795" i="48" s="1"/>
  <c r="DB787" i="48"/>
  <c r="DB794" i="48"/>
  <c r="AC794" i="48" s="1"/>
  <c r="DB790" i="48"/>
  <c r="AC790" i="48" s="1"/>
  <c r="DB800" i="48"/>
  <c r="AC800" i="48" s="1"/>
  <c r="DB796" i="48"/>
  <c r="AC796" i="48" s="1"/>
  <c r="DB798" i="48"/>
  <c r="AC798" i="48" s="1"/>
  <c r="DB801" i="48"/>
  <c r="DB785" i="48"/>
  <c r="DB799" i="48"/>
  <c r="AC799" i="48" s="1"/>
  <c r="DB783" i="48"/>
  <c r="DB797" i="48"/>
  <c r="AC797" i="48" s="1"/>
  <c r="DB771" i="48"/>
  <c r="AC771" i="48" s="1"/>
  <c r="DB763" i="48"/>
  <c r="AC763" i="48" s="1"/>
  <c r="DB767" i="48"/>
  <c r="AC767" i="48" s="1"/>
  <c r="DB762" i="48"/>
  <c r="AC762" i="48" s="1"/>
  <c r="DB758" i="48"/>
  <c r="AC758" i="48" s="1"/>
  <c r="DB759" i="48"/>
  <c r="AC759" i="48" s="1"/>
  <c r="DB764" i="48"/>
  <c r="AC764" i="48" s="1"/>
  <c r="DB757" i="48"/>
  <c r="AC757" i="48" s="1"/>
  <c r="DB760" i="48"/>
  <c r="AC760" i="48" s="1"/>
  <c r="DB774" i="48"/>
  <c r="AC774" i="48" s="1"/>
  <c r="DB761" i="48"/>
  <c r="AC761" i="48" s="1"/>
  <c r="DB756" i="48"/>
  <c r="DB766" i="48"/>
  <c r="AC766" i="48" s="1"/>
  <c r="DB775" i="48"/>
  <c r="DB770" i="48"/>
  <c r="AC770" i="48" s="1"/>
  <c r="DB768" i="48"/>
  <c r="AC768" i="48" s="1"/>
  <c r="DB773" i="48"/>
  <c r="AC773" i="48" s="1"/>
  <c r="DB769" i="48"/>
  <c r="AC769" i="48" s="1"/>
  <c r="DB772" i="48"/>
  <c r="AC772" i="48" s="1"/>
  <c r="DB765" i="48"/>
  <c r="AC765" i="48" s="1"/>
  <c r="DB750" i="48"/>
  <c r="DB749" i="48"/>
  <c r="AC749" i="48" s="1"/>
  <c r="DB742" i="48"/>
  <c r="AC742" i="48" s="1"/>
  <c r="DB745" i="48"/>
  <c r="AC745" i="48" s="1"/>
  <c r="DB735" i="48"/>
  <c r="AC735" i="48" s="1"/>
  <c r="DB739" i="48"/>
  <c r="AC739" i="48" s="1"/>
  <c r="DB747" i="48"/>
  <c r="AC747" i="48" s="1"/>
  <c r="DB732" i="48"/>
  <c r="AC732" i="48" s="1"/>
  <c r="DB731" i="48"/>
  <c r="DB737" i="48"/>
  <c r="AC737" i="48" s="1"/>
  <c r="DB748" i="48"/>
  <c r="AC748" i="48" s="1"/>
  <c r="DB744" i="48"/>
  <c r="AC744" i="48" s="1"/>
  <c r="DB736" i="48"/>
  <c r="AC736" i="48" s="1"/>
  <c r="DB738" i="48"/>
  <c r="DB746" i="48"/>
  <c r="DB734" i="48"/>
  <c r="DB741" i="48"/>
  <c r="AC741" i="48" s="1"/>
  <c r="DB733" i="48"/>
  <c r="AC733" i="48" s="1"/>
  <c r="DB743" i="48"/>
  <c r="AC743" i="48" s="1"/>
  <c r="DB740" i="48"/>
  <c r="DB713" i="48"/>
  <c r="AC713" i="48" s="1"/>
  <c r="DB714" i="48"/>
  <c r="AC714" i="48" s="1"/>
  <c r="DB722" i="48"/>
  <c r="AC722" i="48" s="1"/>
  <c r="DB707" i="48"/>
  <c r="AC707" i="48" s="1"/>
  <c r="DB724" i="48"/>
  <c r="AC724" i="48" s="1"/>
  <c r="DB719" i="48"/>
  <c r="AC719" i="48" s="1"/>
  <c r="DB706" i="48"/>
  <c r="DB716" i="48"/>
  <c r="AC716" i="48" s="1"/>
  <c r="DB721" i="48"/>
  <c r="AC721" i="48" s="1"/>
  <c r="DB710" i="48"/>
  <c r="AC710" i="48" s="1"/>
  <c r="DB709" i="48"/>
  <c r="AC709" i="48" s="1"/>
  <c r="DB720" i="48"/>
  <c r="DB712" i="48"/>
  <c r="AC712" i="48" s="1"/>
  <c r="DB717" i="48"/>
  <c r="AC717" i="48" s="1"/>
  <c r="DB708" i="48"/>
  <c r="AC708" i="48" s="1"/>
  <c r="DB726" i="48"/>
  <c r="AC726" i="48" s="1"/>
  <c r="DB715" i="48"/>
  <c r="AC715" i="48" s="1"/>
  <c r="DB718" i="48"/>
  <c r="DB711" i="48"/>
  <c r="AC711" i="48" s="1"/>
  <c r="DB725" i="48"/>
  <c r="AC725" i="48" s="1"/>
  <c r="DB723" i="48"/>
  <c r="AC723" i="48" s="1"/>
  <c r="DB700" i="48"/>
  <c r="AC700" i="48" s="1"/>
  <c r="DB698" i="48"/>
  <c r="AC698" i="48" s="1"/>
  <c r="DB684" i="48"/>
  <c r="AC684" i="48" s="1"/>
  <c r="DB689" i="48"/>
  <c r="AC689" i="48" s="1"/>
  <c r="DB699" i="48"/>
  <c r="AC699" i="48" s="1"/>
  <c r="DB697" i="48"/>
  <c r="AC697" i="48" s="1"/>
  <c r="DB686" i="48"/>
  <c r="AC686" i="48" s="1"/>
  <c r="DB690" i="48"/>
  <c r="DB687" i="48"/>
  <c r="AC687" i="48" s="1"/>
  <c r="DB692" i="48"/>
  <c r="AC692" i="48" s="1"/>
  <c r="DB691" i="48"/>
  <c r="AC691" i="48" s="1"/>
  <c r="DB701" i="48"/>
  <c r="AC701" i="48" s="1"/>
  <c r="DB694" i="48"/>
  <c r="AC694" i="48" s="1"/>
  <c r="DB681" i="48"/>
  <c r="DB695" i="48"/>
  <c r="AC695" i="48" s="1"/>
  <c r="DB682" i="48"/>
  <c r="AC682" i="48" s="1"/>
  <c r="DB683" i="48"/>
  <c r="AC683" i="48" s="1"/>
  <c r="DB693" i="48"/>
  <c r="DB685" i="48"/>
  <c r="DB696" i="48"/>
  <c r="AC696" i="48" s="1"/>
  <c r="DB688" i="48"/>
  <c r="DB633" i="48"/>
  <c r="AC633" i="48" s="1"/>
  <c r="DB649" i="48"/>
  <c r="AC649" i="48" s="1"/>
  <c r="DB631" i="48"/>
  <c r="DB638" i="48"/>
  <c r="AC638" i="48" s="1"/>
  <c r="DB640" i="48"/>
  <c r="AC640" i="48" s="1"/>
  <c r="DB642" i="48"/>
  <c r="AC642" i="48" s="1"/>
  <c r="DB634" i="48"/>
  <c r="AC634" i="48" s="1"/>
  <c r="DB636" i="48"/>
  <c r="AC636" i="48" s="1"/>
  <c r="DB644" i="48"/>
  <c r="AC644" i="48" s="1"/>
  <c r="DB650" i="48"/>
  <c r="DB635" i="48"/>
  <c r="DB643" i="48"/>
  <c r="AC643" i="48" s="1"/>
  <c r="DB651" i="48"/>
  <c r="AC651" i="48" s="1"/>
  <c r="DB647" i="48"/>
  <c r="AC647" i="48" s="1"/>
  <c r="DB637" i="48"/>
  <c r="AC637" i="48" s="1"/>
  <c r="DB645" i="48"/>
  <c r="AC645" i="48" s="1"/>
  <c r="DB639" i="48"/>
  <c r="AC639" i="48" s="1"/>
  <c r="DB641" i="48"/>
  <c r="AC641" i="48" s="1"/>
  <c r="DB648" i="48"/>
  <c r="AC648" i="48" s="1"/>
  <c r="DB632" i="48"/>
  <c r="DB646" i="48"/>
  <c r="AC646" i="48" s="1"/>
  <c r="DB622" i="48"/>
  <c r="AC622" i="48" s="1"/>
  <c r="DB624" i="48"/>
  <c r="AC624" i="48" s="1"/>
  <c r="DB610" i="48"/>
  <c r="AC610" i="48" s="1"/>
  <c r="DB620" i="48"/>
  <c r="AC620" i="48" s="1"/>
  <c r="DB625" i="48"/>
  <c r="AC625" i="48" s="1"/>
  <c r="DB611" i="48"/>
  <c r="AC611" i="48" s="1"/>
  <c r="DB615" i="48"/>
  <c r="AC615" i="48" s="1"/>
  <c r="DB617" i="48"/>
  <c r="AC617" i="48" s="1"/>
  <c r="DB621" i="48"/>
  <c r="AC621" i="48" s="1"/>
  <c r="DB606" i="48"/>
  <c r="DB607" i="48"/>
  <c r="AC607" i="48" s="1"/>
  <c r="DB623" i="48"/>
  <c r="AC623" i="48" s="1"/>
  <c r="DB614" i="48"/>
  <c r="DB613" i="48"/>
  <c r="AC613" i="48" s="1"/>
  <c r="DB612" i="48"/>
  <c r="AC612" i="48" s="1"/>
  <c r="DB608" i="48"/>
  <c r="AC608" i="48" s="1"/>
  <c r="DB619" i="48"/>
  <c r="DB616" i="48"/>
  <c r="AC616" i="48" s="1"/>
  <c r="DB609" i="48"/>
  <c r="DB618" i="48"/>
  <c r="DB591" i="48"/>
  <c r="AC591" i="48" s="1"/>
  <c r="DB583" i="48"/>
  <c r="AC583" i="48" s="1"/>
  <c r="DB582" i="48"/>
  <c r="AC582" i="48" s="1"/>
  <c r="DB588" i="48"/>
  <c r="AC588" i="48" s="1"/>
  <c r="DB599" i="48"/>
  <c r="AC599" i="48" s="1"/>
  <c r="DB584" i="48"/>
  <c r="DB589" i="48"/>
  <c r="DB587" i="48"/>
  <c r="AC587" i="48" s="1"/>
  <c r="DB581" i="48"/>
  <c r="DB592" i="48"/>
  <c r="AC592" i="48" s="1"/>
  <c r="DB590" i="48"/>
  <c r="DB586" i="48"/>
  <c r="AC586" i="48" s="1"/>
  <c r="DB585" i="48"/>
  <c r="DB596" i="48"/>
  <c r="AC596" i="48" s="1"/>
  <c r="DB598" i="48"/>
  <c r="AC598" i="48" s="1"/>
  <c r="DB597" i="48"/>
  <c r="AC597" i="48" s="1"/>
  <c r="DB600" i="48"/>
  <c r="DB593" i="48"/>
  <c r="DB594" i="48"/>
  <c r="AC594" i="48" s="1"/>
  <c r="DB595" i="48"/>
  <c r="AC595" i="48" s="1"/>
  <c r="DB567" i="48"/>
  <c r="AC567" i="48" s="1"/>
  <c r="DB561" i="48"/>
  <c r="AC561" i="48" s="1"/>
  <c r="DB563" i="48"/>
  <c r="AC563" i="48" s="1"/>
  <c r="DB559" i="48"/>
  <c r="DB564" i="48"/>
  <c r="AC564" i="48" s="1"/>
  <c r="DB576" i="48"/>
  <c r="AC576" i="48" s="1"/>
  <c r="DB566" i="48"/>
  <c r="AC566" i="48" s="1"/>
  <c r="DB575" i="48"/>
  <c r="AC575" i="48" s="1"/>
  <c r="DB560" i="48"/>
  <c r="DB571" i="48"/>
  <c r="AC571" i="48" s="1"/>
  <c r="DB568" i="48"/>
  <c r="AC568" i="48" s="1"/>
  <c r="DB558" i="48"/>
  <c r="DB574" i="48"/>
  <c r="AC574" i="48" s="1"/>
  <c r="DB573" i="48"/>
  <c r="AC573" i="48" s="1"/>
  <c r="DB572" i="48"/>
  <c r="AC572" i="48" s="1"/>
  <c r="DB557" i="48"/>
  <c r="DB569" i="48"/>
  <c r="AC569" i="48" s="1"/>
  <c r="DB556" i="48"/>
  <c r="DB565" i="48"/>
  <c r="AC565" i="48" s="1"/>
  <c r="DB562" i="48"/>
  <c r="DB570" i="48"/>
  <c r="DB543" i="48"/>
  <c r="AC543" i="48" s="1"/>
  <c r="DB541" i="48"/>
  <c r="AC541" i="48" s="1"/>
  <c r="DB540" i="48"/>
  <c r="AC540" i="48" s="1"/>
  <c r="DB544" i="48"/>
  <c r="AC544" i="48" s="1"/>
  <c r="DB545" i="48"/>
  <c r="AC545" i="48" s="1"/>
  <c r="DB542" i="48"/>
  <c r="DB546" i="48"/>
  <c r="AC546" i="48" s="1"/>
  <c r="DB549" i="48"/>
  <c r="AC549" i="48" s="1"/>
  <c r="DB533" i="48"/>
  <c r="AC533" i="48" s="1"/>
  <c r="DB548" i="48"/>
  <c r="AC548" i="48" s="1"/>
  <c r="DB539" i="48"/>
  <c r="AC539" i="48" s="1"/>
  <c r="DB536" i="48"/>
  <c r="AC536" i="48" s="1"/>
  <c r="DB534" i="48"/>
  <c r="DB532" i="48"/>
  <c r="AC532" i="48" s="1"/>
  <c r="DB547" i="48"/>
  <c r="DB551" i="48"/>
  <c r="AC551" i="48" s="1"/>
  <c r="DB531" i="48"/>
  <c r="DB535" i="48"/>
  <c r="AC535" i="48" s="1"/>
  <c r="DB538" i="48"/>
  <c r="AC538" i="48" s="1"/>
  <c r="DB550" i="48"/>
  <c r="DB537" i="48"/>
  <c r="AC537" i="48" s="1"/>
  <c r="DB512" i="48"/>
  <c r="AC512" i="48" s="1"/>
  <c r="DB518" i="48"/>
  <c r="AC518" i="48" s="1"/>
  <c r="DB522" i="48"/>
  <c r="AC522" i="48" s="1"/>
  <c r="DB508" i="48"/>
  <c r="AC508" i="48" s="1"/>
  <c r="DB524" i="48"/>
  <c r="AC524" i="48" s="1"/>
  <c r="DB515" i="48"/>
  <c r="AC515" i="48" s="1"/>
  <c r="DB526" i="48"/>
  <c r="AC526" i="48" s="1"/>
  <c r="DB514" i="48"/>
  <c r="AC514" i="48" s="1"/>
  <c r="DB521" i="48"/>
  <c r="AC521" i="48" s="1"/>
  <c r="DB509" i="48"/>
  <c r="AC509" i="48" s="1"/>
  <c r="DB525" i="48"/>
  <c r="AC525" i="48" s="1"/>
  <c r="DB523" i="48"/>
  <c r="AC523" i="48" s="1"/>
  <c r="DB517" i="48"/>
  <c r="AC517" i="48" s="1"/>
  <c r="DB513" i="48"/>
  <c r="AC513" i="48" s="1"/>
  <c r="DB519" i="48"/>
  <c r="DB510" i="48"/>
  <c r="DB520" i="48"/>
  <c r="AC520" i="48" s="1"/>
  <c r="DB506" i="48"/>
  <c r="DB507" i="48"/>
  <c r="AC507" i="48" s="1"/>
  <c r="DB511" i="48"/>
  <c r="DB516" i="48"/>
  <c r="AC516" i="48" s="1"/>
  <c r="DB495" i="48"/>
  <c r="AC495" i="48" s="1"/>
  <c r="DB488" i="48"/>
  <c r="AC488" i="48" s="1"/>
  <c r="DB492" i="48"/>
  <c r="AC492" i="48" s="1"/>
  <c r="DB501" i="48"/>
  <c r="AC501" i="48" s="1"/>
  <c r="DB481" i="48"/>
  <c r="DB487" i="48"/>
  <c r="AC487" i="48" s="1"/>
  <c r="DB498" i="48"/>
  <c r="AC498" i="48" s="1"/>
  <c r="DB493" i="48"/>
  <c r="AC493" i="48" s="1"/>
  <c r="DB489" i="48"/>
  <c r="AC489" i="48" s="1"/>
  <c r="DB483" i="48"/>
  <c r="DB484" i="48"/>
  <c r="AC484" i="48" s="1"/>
  <c r="DB485" i="48"/>
  <c r="AC485" i="48" s="1"/>
  <c r="DB499" i="48"/>
  <c r="DB496" i="48"/>
  <c r="DB494" i="48"/>
  <c r="AC494" i="48" s="1"/>
  <c r="DB491" i="48"/>
  <c r="AC491" i="48" s="1"/>
  <c r="DB482" i="48"/>
  <c r="DB500" i="48"/>
  <c r="AC500" i="48" s="1"/>
  <c r="DB486" i="48"/>
  <c r="AC486" i="48" s="1"/>
  <c r="DB490" i="48"/>
  <c r="AC490" i="48" s="1"/>
  <c r="DB497" i="48"/>
  <c r="AC497" i="48" s="1"/>
  <c r="DB461" i="48"/>
  <c r="AC461" i="48" s="1"/>
  <c r="DB472" i="48"/>
  <c r="AC472" i="48" s="1"/>
  <c r="DB475" i="48"/>
  <c r="AC475" i="48" s="1"/>
  <c r="DB465" i="48"/>
  <c r="AC465" i="48" s="1"/>
  <c r="DB467" i="48"/>
  <c r="AC467" i="48" s="1"/>
  <c r="DB466" i="48"/>
  <c r="AC466" i="48" s="1"/>
  <c r="DB473" i="48"/>
  <c r="AC473" i="48" s="1"/>
  <c r="DB468" i="48"/>
  <c r="AC468" i="48" s="1"/>
  <c r="DB470" i="48"/>
  <c r="AC470" i="48" s="1"/>
  <c r="DB476" i="48"/>
  <c r="AC476" i="48" s="1"/>
  <c r="DB462" i="48"/>
  <c r="AC462" i="48" s="1"/>
  <c r="DB471" i="48"/>
  <c r="AC471" i="48" s="1"/>
  <c r="DB459" i="48"/>
  <c r="AC459" i="48" s="1"/>
  <c r="DB463" i="48"/>
  <c r="AC463" i="48" s="1"/>
  <c r="DB456" i="48"/>
  <c r="DB458" i="48"/>
  <c r="AC458" i="48" s="1"/>
  <c r="DB457" i="48"/>
  <c r="AC457" i="48" s="1"/>
  <c r="DB464" i="48"/>
  <c r="DB474" i="48"/>
  <c r="DB469" i="48"/>
  <c r="DB460" i="48"/>
  <c r="DB440" i="48"/>
  <c r="AC440" i="48" s="1"/>
  <c r="DB441" i="48"/>
  <c r="AC441" i="48" s="1"/>
  <c r="DB448" i="48"/>
  <c r="AC448" i="48" s="1"/>
  <c r="DB450" i="48"/>
  <c r="AC450" i="48" s="1"/>
  <c r="DB446" i="48"/>
  <c r="AC446" i="48" s="1"/>
  <c r="DB435" i="48"/>
  <c r="AC435" i="48" s="1"/>
  <c r="DB442" i="48"/>
  <c r="AC442" i="48" s="1"/>
  <c r="DB439" i="48"/>
  <c r="AC439" i="48" s="1"/>
  <c r="DB437" i="48"/>
  <c r="AC437" i="48" s="1"/>
  <c r="DB433" i="48"/>
  <c r="AC433" i="48" s="1"/>
  <c r="DB445" i="48"/>
  <c r="AC445" i="48" s="1"/>
  <c r="DB444" i="48"/>
  <c r="AC444" i="48" s="1"/>
  <c r="DB432" i="48"/>
  <c r="AC432" i="48" s="1"/>
  <c r="DB443" i="48"/>
  <c r="AC443" i="48" s="1"/>
  <c r="DB438" i="48"/>
  <c r="DB447" i="48"/>
  <c r="DB436" i="48"/>
  <c r="AC436" i="48" s="1"/>
  <c r="DB431" i="48"/>
  <c r="DB434" i="48"/>
  <c r="AC434" i="48" s="1"/>
  <c r="DB449" i="48"/>
  <c r="AJ415" i="48"/>
  <c r="AJ411" i="48"/>
  <c r="AP411" i="48" s="1"/>
  <c r="AJ418" i="48"/>
  <c r="AP418" i="48" s="1"/>
  <c r="DB398" i="48"/>
  <c r="AC398" i="48" s="1"/>
  <c r="DB395" i="48"/>
  <c r="AC395" i="48" s="1"/>
  <c r="DB392" i="48"/>
  <c r="AC392" i="48" s="1"/>
  <c r="DB394" i="48"/>
  <c r="AC394" i="48" s="1"/>
  <c r="DB391" i="48"/>
  <c r="AC391" i="48" s="1"/>
  <c r="DB390" i="48"/>
  <c r="AC390" i="48" s="1"/>
  <c r="DB396" i="48"/>
  <c r="DB382" i="48"/>
  <c r="AC382" i="48" s="1"/>
  <c r="DB381" i="48"/>
  <c r="DB385" i="48"/>
  <c r="AC385" i="48" s="1"/>
  <c r="DB387" i="48"/>
  <c r="AC387" i="48" s="1"/>
  <c r="DB384" i="48"/>
  <c r="AC384" i="48" s="1"/>
  <c r="DB388" i="48"/>
  <c r="AC388" i="48" s="1"/>
  <c r="DB400" i="48"/>
  <c r="AC400" i="48" s="1"/>
  <c r="DB397" i="48"/>
  <c r="DB386" i="48"/>
  <c r="DB383" i="48"/>
  <c r="DB393" i="48"/>
  <c r="AC393" i="48" s="1"/>
  <c r="DB399" i="48"/>
  <c r="AC399" i="48" s="1"/>
  <c r="DB389" i="48"/>
  <c r="AC389" i="48" s="1"/>
  <c r="DB368" i="48"/>
  <c r="DB367" i="48"/>
  <c r="AC367" i="48" s="1"/>
  <c r="DB361" i="48"/>
  <c r="AC361" i="48" s="1"/>
  <c r="DB369" i="48"/>
  <c r="AC369" i="48" s="1"/>
  <c r="DB372" i="48"/>
  <c r="AC372" i="48" s="1"/>
  <c r="DB374" i="48"/>
  <c r="AC374" i="48" s="1"/>
  <c r="DB358" i="48"/>
  <c r="AC358" i="48" s="1"/>
  <c r="DB370" i="48"/>
  <c r="DB362" i="48"/>
  <c r="AC362" i="48" s="1"/>
  <c r="DB375" i="48"/>
  <c r="DB359" i="48"/>
  <c r="DB365" i="48"/>
  <c r="DB363" i="48"/>
  <c r="DB360" i="48"/>
  <c r="AC360" i="48" s="1"/>
  <c r="DB373" i="48"/>
  <c r="AC373" i="48" s="1"/>
  <c r="DB371" i="48"/>
  <c r="DB356" i="48"/>
  <c r="DB357" i="48"/>
  <c r="AC357" i="48" s="1"/>
  <c r="DB366" i="48"/>
  <c r="DB364" i="48"/>
  <c r="AC364" i="48" s="1"/>
  <c r="DB345" i="48"/>
  <c r="AC345" i="48" s="1"/>
  <c r="DB339" i="48"/>
  <c r="AC339" i="48" s="1"/>
  <c r="DB346" i="48"/>
  <c r="AC346" i="48" s="1"/>
  <c r="DB332" i="48"/>
  <c r="AC332" i="48" s="1"/>
  <c r="DB331" i="48"/>
  <c r="DB347" i="48"/>
  <c r="AC347" i="48" s="1"/>
  <c r="DB351" i="48"/>
  <c r="AC351" i="48" s="1"/>
  <c r="DB342" i="48"/>
  <c r="AC342" i="48" s="1"/>
  <c r="DB349" i="48"/>
  <c r="AC349" i="48" s="1"/>
  <c r="DB337" i="48"/>
  <c r="AC337" i="48" s="1"/>
  <c r="DB333" i="48"/>
  <c r="DB343" i="48"/>
  <c r="AC343" i="48" s="1"/>
  <c r="DB340" i="48"/>
  <c r="DB335" i="48"/>
  <c r="AC335" i="48" s="1"/>
  <c r="DB344" i="48"/>
  <c r="AC344" i="48" s="1"/>
  <c r="DB334" i="48"/>
  <c r="AC334" i="48" s="1"/>
  <c r="DB341" i="48"/>
  <c r="DB348" i="48"/>
  <c r="DB336" i="48"/>
  <c r="DB338" i="48"/>
  <c r="DB314" i="48"/>
  <c r="AC314" i="48" s="1"/>
  <c r="DB325" i="48"/>
  <c r="AC325" i="48" s="1"/>
  <c r="DB326" i="48"/>
  <c r="AC326" i="48" s="1"/>
  <c r="DB312" i="48"/>
  <c r="AC312" i="48" s="1"/>
  <c r="DB315" i="48"/>
  <c r="DB310" i="48"/>
  <c r="AC310" i="48" s="1"/>
  <c r="DB316" i="48"/>
  <c r="AC316" i="48" s="1"/>
  <c r="DB317" i="48"/>
  <c r="AC317" i="48" s="1"/>
  <c r="DB313" i="48"/>
  <c r="DB320" i="48"/>
  <c r="AC320" i="48" s="1"/>
  <c r="DB321" i="48"/>
  <c r="AC321" i="48" s="1"/>
  <c r="DB322" i="48"/>
  <c r="AC322" i="48" s="1"/>
  <c r="DB323" i="48"/>
  <c r="AC323" i="48" s="1"/>
  <c r="DB319" i="48"/>
  <c r="AC319" i="48" s="1"/>
  <c r="DB318" i="48"/>
  <c r="AC318" i="48" s="1"/>
  <c r="DB311" i="48"/>
  <c r="DB309" i="48"/>
  <c r="AC309" i="48" s="1"/>
  <c r="DB308" i="48"/>
  <c r="AC308" i="48" s="1"/>
  <c r="DB324" i="48"/>
  <c r="AC324" i="48" s="1"/>
  <c r="DB307" i="48"/>
  <c r="DB292" i="48"/>
  <c r="AC292" i="48" s="1"/>
  <c r="DB299" i="48"/>
  <c r="AC299" i="48" s="1"/>
  <c r="DB300" i="48"/>
  <c r="AC300" i="48" s="1"/>
  <c r="DB284" i="48"/>
  <c r="AC284" i="48" s="1"/>
  <c r="DB285" i="48"/>
  <c r="DB282" i="48"/>
  <c r="AC282" i="48" s="1"/>
  <c r="DB289" i="48"/>
  <c r="AC289" i="48" s="1"/>
  <c r="DB286" i="48"/>
  <c r="AC286" i="48" s="1"/>
  <c r="DB295" i="48"/>
  <c r="AC295" i="48" s="1"/>
  <c r="DB297" i="48"/>
  <c r="AC297" i="48" s="1"/>
  <c r="DB293" i="48"/>
  <c r="AC293" i="48" s="1"/>
  <c r="DB294" i="48"/>
  <c r="AC294" i="48" s="1"/>
  <c r="DB281" i="48"/>
  <c r="DB287" i="48"/>
  <c r="AC287" i="48" s="1"/>
  <c r="DB298" i="48"/>
  <c r="DB283" i="48"/>
  <c r="DB288" i="48"/>
  <c r="DB290" i="48"/>
  <c r="AC290" i="48" s="1"/>
  <c r="DB291" i="48"/>
  <c r="DB296" i="48"/>
  <c r="AC296" i="48" s="1"/>
  <c r="DB267" i="48"/>
  <c r="AC267" i="48" s="1"/>
  <c r="DB275" i="48"/>
  <c r="AC275" i="48" s="1"/>
  <c r="DB259" i="48"/>
  <c r="AC259" i="48" s="1"/>
  <c r="DB260" i="48"/>
  <c r="AC260" i="48" s="1"/>
  <c r="DB268" i="48"/>
  <c r="DB269" i="48"/>
  <c r="AC269" i="48" s="1"/>
  <c r="DB270" i="48"/>
  <c r="AC270" i="48" s="1"/>
  <c r="DB266" i="48"/>
  <c r="AC266" i="48" s="1"/>
  <c r="DB265" i="48"/>
  <c r="AC265" i="48" s="1"/>
  <c r="DB262" i="48"/>
  <c r="AC262" i="48" s="1"/>
  <c r="DB273" i="48"/>
  <c r="AC273" i="48" s="1"/>
  <c r="DB256" i="48"/>
  <c r="DB264" i="48"/>
  <c r="AC264" i="48" s="1"/>
  <c r="DB274" i="48"/>
  <c r="AC274" i="48" s="1"/>
  <c r="DB261" i="48"/>
  <c r="AC261" i="48" s="1"/>
  <c r="DB257" i="48"/>
  <c r="DB271" i="48"/>
  <c r="AC271" i="48" s="1"/>
  <c r="DB258" i="48"/>
  <c r="AC258" i="48" s="1"/>
  <c r="DB263" i="48"/>
  <c r="AC263" i="48" s="1"/>
  <c r="DB272" i="48"/>
  <c r="AC272" i="48" s="1"/>
  <c r="DB245" i="48"/>
  <c r="AC245" i="48" s="1"/>
  <c r="DB250" i="48"/>
  <c r="AC250" i="48" s="1"/>
  <c r="DB240" i="48"/>
  <c r="AC240" i="48" s="1"/>
  <c r="DB232" i="48"/>
  <c r="AC232" i="48" s="1"/>
  <c r="DB239" i="48"/>
  <c r="AC239" i="48" s="1"/>
  <c r="DB241" i="48"/>
  <c r="AC241" i="48" s="1"/>
  <c r="DB236" i="48"/>
  <c r="AC236" i="48" s="1"/>
  <c r="DB244" i="48"/>
  <c r="AC244" i="48" s="1"/>
  <c r="DB243" i="48"/>
  <c r="DB242" i="48"/>
  <c r="AC242" i="48" s="1"/>
  <c r="DB249" i="48"/>
  <c r="AC249" i="48" s="1"/>
  <c r="DB248" i="48"/>
  <c r="AC248" i="48" s="1"/>
  <c r="DB231" i="48"/>
  <c r="DB238" i="48"/>
  <c r="AC238" i="48" s="1"/>
  <c r="DB235" i="48"/>
  <c r="AC235" i="48" s="1"/>
  <c r="DB234" i="48"/>
  <c r="AC234" i="48" s="1"/>
  <c r="DB233" i="48"/>
  <c r="DB246" i="48"/>
  <c r="AC246" i="48" s="1"/>
  <c r="DB237" i="48"/>
  <c r="DB247" i="48"/>
  <c r="DB216" i="48"/>
  <c r="AC216" i="48" s="1"/>
  <c r="DB210" i="48"/>
  <c r="AC210" i="48" s="1"/>
  <c r="DB208" i="48"/>
  <c r="AC208" i="48" s="1"/>
  <c r="DB214" i="48"/>
  <c r="AC214" i="48" s="1"/>
  <c r="DB211" i="48"/>
  <c r="AC211" i="48" s="1"/>
  <c r="DB221" i="48"/>
  <c r="AC221" i="48" s="1"/>
  <c r="DB213" i="48"/>
  <c r="AC213" i="48" s="1"/>
  <c r="DB217" i="48"/>
  <c r="AC217" i="48" s="1"/>
  <c r="DB219" i="48"/>
  <c r="AC219" i="48" s="1"/>
  <c r="DB212" i="48"/>
  <c r="AC212" i="48" s="1"/>
  <c r="DB209" i="48"/>
  <c r="DB225" i="48"/>
  <c r="AC225" i="48" s="1"/>
  <c r="DB207" i="48"/>
  <c r="AC207" i="48" s="1"/>
  <c r="DB220" i="48"/>
  <c r="AC220" i="48" s="1"/>
  <c r="DB226" i="48"/>
  <c r="AC226" i="48" s="1"/>
  <c r="AD227" i="48" s="1"/>
  <c r="DB206" i="48"/>
  <c r="DB224" i="48"/>
  <c r="AC224" i="48" s="1"/>
  <c r="DB215" i="48"/>
  <c r="AC215" i="48" s="1"/>
  <c r="DB218" i="48"/>
  <c r="AC218" i="48" s="1"/>
  <c r="DB223" i="48"/>
  <c r="AC223" i="48" s="1"/>
  <c r="DB222" i="48"/>
  <c r="AC222" i="48" s="1"/>
  <c r="DB194" i="48"/>
  <c r="AC194" i="48" s="1"/>
  <c r="DB184" i="48"/>
  <c r="AC184" i="48" s="1"/>
  <c r="DB183" i="48"/>
  <c r="AC183" i="48" s="1"/>
  <c r="DB182" i="48"/>
  <c r="DB181" i="48"/>
  <c r="DB185" i="48"/>
  <c r="DB188" i="48"/>
  <c r="AC188" i="48" s="1"/>
  <c r="DB193" i="48"/>
  <c r="AC193" i="48" s="1"/>
  <c r="DB187" i="48"/>
  <c r="AC187" i="48" s="1"/>
  <c r="DB197" i="48"/>
  <c r="AC197" i="48" s="1"/>
  <c r="DB196" i="48"/>
  <c r="AC196" i="48" s="1"/>
  <c r="DB186" i="48"/>
  <c r="AC186" i="48" s="1"/>
  <c r="DB191" i="48"/>
  <c r="AC191" i="48" s="1"/>
  <c r="DB201" i="48"/>
  <c r="AC201" i="48" s="1"/>
  <c r="AD202" i="48" s="1"/>
  <c r="DB195" i="48"/>
  <c r="DB189" i="48"/>
  <c r="AC189" i="48" s="1"/>
  <c r="DB199" i="48"/>
  <c r="AC199" i="48" s="1"/>
  <c r="DB192" i="48"/>
  <c r="DB190" i="48"/>
  <c r="AC190" i="48" s="1"/>
  <c r="DB198" i="48"/>
  <c r="AC198" i="48" s="1"/>
  <c r="DB158" i="48"/>
  <c r="AC158" i="48" s="1"/>
  <c r="DB168" i="48"/>
  <c r="AC168" i="48" s="1"/>
  <c r="DB156" i="48"/>
  <c r="DB174" i="48"/>
  <c r="AC174" i="48" s="1"/>
  <c r="DB167" i="48"/>
  <c r="AC167" i="48" s="1"/>
  <c r="DB170" i="48"/>
  <c r="AC170" i="48" s="1"/>
  <c r="DB175" i="48"/>
  <c r="AC175" i="48" s="1"/>
  <c r="DB172" i="48"/>
  <c r="AC172" i="48" s="1"/>
  <c r="DB159" i="48"/>
  <c r="DB164" i="48"/>
  <c r="AC164" i="48" s="1"/>
  <c r="DB163" i="48"/>
  <c r="AC163" i="48" s="1"/>
  <c r="DB160" i="48"/>
  <c r="DB171" i="48"/>
  <c r="AC171" i="48" s="1"/>
  <c r="DB166" i="48"/>
  <c r="AC166" i="48" s="1"/>
  <c r="DB161" i="48"/>
  <c r="AC161" i="48" s="1"/>
  <c r="DB169" i="48"/>
  <c r="AC169" i="48" s="1"/>
  <c r="DB157" i="48"/>
  <c r="AC157" i="48" s="1"/>
  <c r="DB165" i="48"/>
  <c r="DB173" i="48"/>
  <c r="AC173" i="48" s="1"/>
  <c r="DB162" i="48"/>
  <c r="AC162" i="48" s="1"/>
  <c r="AJ143" i="48"/>
  <c r="AJ145" i="48"/>
  <c r="AJ150" i="48"/>
  <c r="AJ147" i="48"/>
  <c r="AP147" i="48" s="1"/>
  <c r="AJ133" i="48"/>
  <c r="AJ131" i="48"/>
  <c r="DB112" i="48"/>
  <c r="DB118" i="48"/>
  <c r="AC118" i="48" s="1"/>
  <c r="DB122" i="48"/>
  <c r="AC122" i="48" s="1"/>
  <c r="DB113" i="48"/>
  <c r="AC113" i="48" s="1"/>
  <c r="DB109" i="48"/>
  <c r="AC109" i="48" s="1"/>
  <c r="DB108" i="48"/>
  <c r="AC108" i="48" s="1"/>
  <c r="DB124" i="48"/>
  <c r="DB115" i="48"/>
  <c r="AC115" i="48" s="1"/>
  <c r="DB121" i="48"/>
  <c r="AC121" i="48" s="1"/>
  <c r="DB116" i="48"/>
  <c r="AC116" i="48" s="1"/>
  <c r="DB123" i="48"/>
  <c r="AC123" i="48" s="1"/>
  <c r="DB110" i="48"/>
  <c r="AC110" i="48" s="1"/>
  <c r="DB126" i="48"/>
  <c r="AC126" i="48" s="1"/>
  <c r="AD127" i="48" s="1"/>
  <c r="DB117" i="48"/>
  <c r="AC117" i="48" s="1"/>
  <c r="DB111" i="48"/>
  <c r="AC111" i="48" s="1"/>
  <c r="DB119" i="48"/>
  <c r="AC119" i="48" s="1"/>
  <c r="DB106" i="48"/>
  <c r="DB107" i="48"/>
  <c r="AC107" i="48" s="1"/>
  <c r="DB120" i="48"/>
  <c r="AC120" i="48" s="1"/>
  <c r="DB114" i="48"/>
  <c r="AC114" i="48" s="1"/>
  <c r="DB85" i="48"/>
  <c r="AC85" i="48" s="1"/>
  <c r="DB91" i="48"/>
  <c r="AC91" i="48" s="1"/>
  <c r="DB88" i="48"/>
  <c r="AC88" i="48" s="1"/>
  <c r="DB92" i="48"/>
  <c r="AC92" i="48" s="1"/>
  <c r="DB96" i="48"/>
  <c r="AC96" i="48" s="1"/>
  <c r="DB87" i="48"/>
  <c r="AC87" i="48" s="1"/>
  <c r="DB95" i="48"/>
  <c r="AC95" i="48" s="1"/>
  <c r="DB99" i="48"/>
  <c r="AC99" i="48" s="1"/>
  <c r="DB98" i="48"/>
  <c r="AC98" i="48" s="1"/>
  <c r="DB84" i="48"/>
  <c r="AC84" i="48" s="1"/>
  <c r="DB86" i="48"/>
  <c r="AC86" i="48" s="1"/>
  <c r="DB90" i="48"/>
  <c r="AC90" i="48" s="1"/>
  <c r="DB97" i="48"/>
  <c r="DB101" i="48"/>
  <c r="AC101" i="48" s="1"/>
  <c r="AD102" i="48" s="1"/>
  <c r="DB89" i="48"/>
  <c r="DB81" i="48"/>
  <c r="DB94" i="48"/>
  <c r="AC94" i="48" s="1"/>
  <c r="DB83" i="48"/>
  <c r="AC83" i="48" s="1"/>
  <c r="DB93" i="48"/>
  <c r="AC93" i="48" s="1"/>
  <c r="DB100" i="48"/>
  <c r="DB82" i="48"/>
  <c r="AC82" i="48" s="1"/>
  <c r="DB69" i="48"/>
  <c r="AC69" i="48" s="1"/>
  <c r="DB75" i="48"/>
  <c r="AC75" i="48" s="1"/>
  <c r="DB68" i="48"/>
  <c r="AC68" i="48" s="1"/>
  <c r="DB61" i="48"/>
  <c r="AC61" i="48" s="1"/>
  <c r="DB67" i="48"/>
  <c r="AC67" i="48" s="1"/>
  <c r="DB58" i="48"/>
  <c r="AC58" i="48" s="1"/>
  <c r="DB65" i="48"/>
  <c r="AC65" i="48" s="1"/>
  <c r="DB73" i="48"/>
  <c r="AC73" i="48" s="1"/>
  <c r="DB63" i="48"/>
  <c r="AC63" i="48" s="1"/>
  <c r="DB56" i="48"/>
  <c r="DB66" i="48"/>
  <c r="DB62" i="48"/>
  <c r="DB70" i="48"/>
  <c r="DB71" i="48"/>
  <c r="AC71" i="48" s="1"/>
  <c r="DB60" i="48"/>
  <c r="AC60" i="48" s="1"/>
  <c r="DB72" i="48"/>
  <c r="AC72" i="48" s="1"/>
  <c r="DB74" i="48"/>
  <c r="AC74" i="48" s="1"/>
  <c r="DB59" i="48"/>
  <c r="AC59" i="48" s="1"/>
  <c r="DB57" i="48"/>
  <c r="DB64" i="48"/>
  <c r="AC64" i="48" s="1"/>
  <c r="DB35" i="48"/>
  <c r="AC35" i="48" s="1"/>
  <c r="DB43" i="48"/>
  <c r="AC43" i="48" s="1"/>
  <c r="DB33" i="48"/>
  <c r="AC33" i="48" s="1"/>
  <c r="DB41" i="48"/>
  <c r="AC41" i="48" s="1"/>
  <c r="DB49" i="48"/>
  <c r="DB31" i="48"/>
  <c r="DB45" i="48"/>
  <c r="DB47" i="48"/>
  <c r="DB48" i="48"/>
  <c r="DB34" i="48"/>
  <c r="AC34" i="48" s="1"/>
  <c r="DB44" i="48"/>
  <c r="AC44" i="48" s="1"/>
  <c r="DB39" i="48"/>
  <c r="AC39" i="48" s="1"/>
  <c r="DB32" i="48"/>
  <c r="AC32" i="48" s="1"/>
  <c r="DB37" i="48"/>
  <c r="AC37" i="48" s="1"/>
  <c r="DB51" i="48"/>
  <c r="AC51" i="48" s="1"/>
  <c r="AD52" i="48" s="1"/>
  <c r="DB36" i="48"/>
  <c r="AC36" i="48" s="1"/>
  <c r="DB38" i="48"/>
  <c r="AC38" i="48" s="1"/>
  <c r="DB46" i="48"/>
  <c r="AC46" i="48" s="1"/>
  <c r="DB40" i="48"/>
  <c r="AC40" i="48" s="1"/>
  <c r="DB42" i="48"/>
  <c r="AJ200" i="48"/>
  <c r="AJ125" i="48"/>
  <c r="AJ350" i="48"/>
  <c r="AJ50" i="48"/>
  <c r="AJ276" i="48"/>
  <c r="DC15" i="48"/>
  <c r="DC24" i="48"/>
  <c r="DC21" i="48"/>
  <c r="DC18" i="48"/>
  <c r="AJ10" i="48"/>
  <c r="DC10" i="48"/>
  <c r="DC11" i="48"/>
  <c r="DC23" i="48"/>
  <c r="DC9" i="48"/>
  <c r="DC12" i="48"/>
  <c r="DC14" i="48"/>
  <c r="DC17" i="48"/>
  <c r="DC16" i="48"/>
  <c r="DC8" i="48"/>
  <c r="AD19" i="48"/>
  <c r="DC19" i="48"/>
  <c r="DC20" i="48"/>
  <c r="DC13" i="48"/>
  <c r="AD22" i="48"/>
  <c r="DC22" i="48"/>
  <c r="DC993" i="48" l="1"/>
  <c r="DC1036" i="48"/>
  <c r="AR411" i="48"/>
  <c r="AS411" i="48"/>
  <c r="AT411" i="48"/>
  <c r="DC1032" i="48"/>
  <c r="DC1139" i="48"/>
  <c r="DC1035" i="48"/>
  <c r="DC986" i="48"/>
  <c r="DC935" i="48"/>
  <c r="DC1302" i="48"/>
  <c r="DC1157" i="48"/>
  <c r="DC859" i="48"/>
  <c r="AT147" i="48"/>
  <c r="DC1352" i="48"/>
  <c r="AR147" i="48"/>
  <c r="DC1149" i="48"/>
  <c r="DC1136" i="48"/>
  <c r="AS147" i="48"/>
  <c r="AT134" i="48"/>
  <c r="AS134" i="48"/>
  <c r="AR134" i="48"/>
  <c r="DC1108" i="48"/>
  <c r="DC908" i="48"/>
  <c r="DC1015" i="48"/>
  <c r="DC923" i="48"/>
  <c r="DC932" i="48"/>
  <c r="DC958" i="48"/>
  <c r="DC982" i="48"/>
  <c r="DC1017" i="48"/>
  <c r="DC1046" i="48"/>
  <c r="DC1071" i="48"/>
  <c r="DC1086" i="48"/>
  <c r="DC1115" i="48"/>
  <c r="DC1327" i="48"/>
  <c r="DC883" i="48"/>
  <c r="DC911" i="48"/>
  <c r="DC967" i="48"/>
  <c r="DC1007" i="48"/>
  <c r="DC1093" i="48"/>
  <c r="DC1117" i="48"/>
  <c r="DC1120" i="48"/>
  <c r="DC1144" i="48"/>
  <c r="DC1198" i="48"/>
  <c r="DC1182" i="48"/>
  <c r="AC921" i="48"/>
  <c r="DC921" i="48"/>
  <c r="AC863" i="48"/>
  <c r="DC863" i="48"/>
  <c r="AC891" i="48"/>
  <c r="DC891" i="48"/>
  <c r="AC936" i="48"/>
  <c r="DC936" i="48"/>
  <c r="AC972" i="48"/>
  <c r="DC972" i="48"/>
  <c r="AC962" i="48"/>
  <c r="AJ962" i="48" s="1"/>
  <c r="DC962" i="48"/>
  <c r="AC999" i="48"/>
  <c r="DC999" i="48"/>
  <c r="AC995" i="48"/>
  <c r="DC995" i="48"/>
  <c r="AC1010" i="48"/>
  <c r="DC1010" i="48"/>
  <c r="AC1012" i="48"/>
  <c r="DC1012" i="48"/>
  <c r="AC1047" i="48"/>
  <c r="DC1047" i="48"/>
  <c r="AC1040" i="48"/>
  <c r="DC1040" i="48"/>
  <c r="AC1063" i="48"/>
  <c r="DC1063" i="48"/>
  <c r="AC1061" i="48"/>
  <c r="AJ1061" i="48" s="1"/>
  <c r="DC1061" i="48"/>
  <c r="AC1111" i="48"/>
  <c r="DC1111" i="48"/>
  <c r="AC1134" i="48"/>
  <c r="AJ1134" i="48" s="1"/>
  <c r="DC1134" i="48"/>
  <c r="AC1147" i="48"/>
  <c r="DC1147" i="48"/>
  <c r="AC1167" i="48"/>
  <c r="DC1167" i="48"/>
  <c r="AC1186" i="48"/>
  <c r="DC1186" i="48"/>
  <c r="AC1193" i="48"/>
  <c r="AJ1193" i="48" s="1"/>
  <c r="DC1193" i="48"/>
  <c r="AR418" i="48"/>
  <c r="AC869" i="48"/>
  <c r="DC869" i="48"/>
  <c r="AC870" i="48"/>
  <c r="DC870" i="48"/>
  <c r="AC871" i="48"/>
  <c r="DC871" i="48"/>
  <c r="AC875" i="48"/>
  <c r="DC875" i="48"/>
  <c r="AC860" i="48"/>
  <c r="DC860" i="48"/>
  <c r="DC899" i="48"/>
  <c r="AC889" i="48"/>
  <c r="AJ889" i="48" s="1"/>
  <c r="DC889" i="48"/>
  <c r="AC894" i="48"/>
  <c r="DC894" i="48"/>
  <c r="AC890" i="48"/>
  <c r="DC890" i="48"/>
  <c r="AC917" i="48"/>
  <c r="AJ917" i="48" s="1"/>
  <c r="DC917" i="48"/>
  <c r="AC918" i="48"/>
  <c r="AJ918" i="48" s="1"/>
  <c r="DC918" i="48"/>
  <c r="DC920" i="48"/>
  <c r="DC943" i="48"/>
  <c r="AC950" i="48"/>
  <c r="DC950" i="48"/>
  <c r="DC933" i="48"/>
  <c r="AC948" i="48"/>
  <c r="AJ948" i="48" s="1"/>
  <c r="DC948" i="48"/>
  <c r="AC946" i="48"/>
  <c r="DC946" i="48"/>
  <c r="AC944" i="48"/>
  <c r="DC944" i="48"/>
  <c r="AC969" i="48"/>
  <c r="DC969" i="48"/>
  <c r="AC974" i="48"/>
  <c r="DC974" i="48"/>
  <c r="AC961" i="48"/>
  <c r="DC961" i="48"/>
  <c r="DC963" i="48"/>
  <c r="AC998" i="48"/>
  <c r="DC998" i="48"/>
  <c r="DC985" i="48"/>
  <c r="AC989" i="48"/>
  <c r="AJ989" i="48" s="1"/>
  <c r="DC989" i="48"/>
  <c r="AC1020" i="48"/>
  <c r="DC1020" i="48"/>
  <c r="DC1024" i="48"/>
  <c r="AC1011" i="48"/>
  <c r="DC1011" i="48"/>
  <c r="AC1018" i="48"/>
  <c r="DC1018" i="48"/>
  <c r="AC1039" i="48"/>
  <c r="DC1039" i="48"/>
  <c r="AC1041" i="48"/>
  <c r="DC1041" i="48"/>
  <c r="AC1044" i="48"/>
  <c r="DC1044" i="48"/>
  <c r="DC1064" i="48"/>
  <c r="DC1073" i="48"/>
  <c r="AC1069" i="48"/>
  <c r="DC1069" i="48"/>
  <c r="AC1059" i="48"/>
  <c r="AJ1059" i="48" s="1"/>
  <c r="DC1059" i="48"/>
  <c r="DC1087" i="48"/>
  <c r="AC1089" i="48"/>
  <c r="AJ1089" i="48" s="1"/>
  <c r="DC1089" i="48"/>
  <c r="DC1098" i="48"/>
  <c r="DC1099" i="48"/>
  <c r="DC1124" i="48"/>
  <c r="AC1122" i="48"/>
  <c r="AJ1122" i="48" s="1"/>
  <c r="DC1122" i="48"/>
  <c r="AC1121" i="48"/>
  <c r="AJ1121" i="48" s="1"/>
  <c r="DC1121" i="48"/>
  <c r="AC1137" i="48"/>
  <c r="DC1137" i="48"/>
  <c r="AC1145" i="48"/>
  <c r="DC1145" i="48"/>
  <c r="AC1133" i="48"/>
  <c r="AJ1133" i="48" s="1"/>
  <c r="DC1133" i="48"/>
  <c r="AC1150" i="48"/>
  <c r="DC1150" i="48"/>
  <c r="AC1160" i="48"/>
  <c r="DC1160" i="48"/>
  <c r="AC1171" i="48"/>
  <c r="DC1171" i="48"/>
  <c r="AC1161" i="48"/>
  <c r="DC1161" i="48"/>
  <c r="AC1166" i="48"/>
  <c r="DC1166" i="48"/>
  <c r="AC1168" i="48"/>
  <c r="DC1168" i="48"/>
  <c r="AC1185" i="48"/>
  <c r="AJ1185" i="48" s="1"/>
  <c r="AT1185" i="48" s="1"/>
  <c r="DC1185" i="48"/>
  <c r="AC1192" i="48"/>
  <c r="DC1192" i="48"/>
  <c r="AC1188" i="48"/>
  <c r="AJ1188" i="48" s="1"/>
  <c r="DC1188" i="48"/>
  <c r="AT1027" i="48"/>
  <c r="AS1027" i="48"/>
  <c r="AR1027" i="48"/>
  <c r="AT1077" i="48"/>
  <c r="AS1077" i="48"/>
  <c r="AR1077" i="48"/>
  <c r="DC1100" i="48"/>
  <c r="AT1152" i="48"/>
  <c r="AR1152" i="48"/>
  <c r="AS1152" i="48"/>
  <c r="DC1002" i="48"/>
  <c r="DC1025" i="48"/>
  <c r="AT1102" i="48"/>
  <c r="AS1102" i="48"/>
  <c r="AR1102" i="48"/>
  <c r="DC1250" i="48"/>
  <c r="AC1250" i="48"/>
  <c r="AT1052" i="48"/>
  <c r="AR1052" i="48"/>
  <c r="AS1052" i="48"/>
  <c r="DC952" i="48"/>
  <c r="AC867" i="48"/>
  <c r="DC867" i="48"/>
  <c r="AC872" i="48"/>
  <c r="DC872" i="48"/>
  <c r="AC925" i="48"/>
  <c r="DC925" i="48"/>
  <c r="DC937" i="48"/>
  <c r="AC990" i="48"/>
  <c r="DC990" i="48"/>
  <c r="AC1019" i="48"/>
  <c r="AJ1019" i="48" s="1"/>
  <c r="DC1019" i="48"/>
  <c r="AC1023" i="48"/>
  <c r="DC1023" i="48"/>
  <c r="AC1072" i="48"/>
  <c r="DC1072" i="48"/>
  <c r="AC1096" i="48"/>
  <c r="DC1096" i="48"/>
  <c r="AC1084" i="48"/>
  <c r="AJ1084" i="48" s="1"/>
  <c r="AT1084" i="48" s="1"/>
  <c r="DC1084" i="48"/>
  <c r="AC1123" i="48"/>
  <c r="DC1123" i="48"/>
  <c r="AC1135" i="48"/>
  <c r="DC1135" i="48"/>
  <c r="AC1158" i="48"/>
  <c r="AJ1158" i="48" s="1"/>
  <c r="DC1158" i="48"/>
  <c r="AC1162" i="48"/>
  <c r="DC1162" i="48"/>
  <c r="AC1199" i="48"/>
  <c r="DC1199" i="48"/>
  <c r="AS418" i="48"/>
  <c r="AP200" i="48"/>
  <c r="AS136" i="48"/>
  <c r="AR150" i="48"/>
  <c r="AS143" i="48"/>
  <c r="AR415" i="48"/>
  <c r="DC861" i="48"/>
  <c r="AC858" i="48"/>
  <c r="AJ858" i="48" s="1"/>
  <c r="DC858" i="48"/>
  <c r="AC873" i="48"/>
  <c r="DC873" i="48"/>
  <c r="AC862" i="48"/>
  <c r="DC862" i="48"/>
  <c r="DC884" i="48"/>
  <c r="AC896" i="48"/>
  <c r="DC896" i="48"/>
  <c r="AC895" i="48"/>
  <c r="AJ895" i="48" s="1"/>
  <c r="DC895" i="48"/>
  <c r="AC900" i="48"/>
  <c r="DC900" i="48"/>
  <c r="AC885" i="48"/>
  <c r="DC885" i="48"/>
  <c r="AC916" i="48"/>
  <c r="DC916" i="48"/>
  <c r="AC924" i="48"/>
  <c r="DC924" i="48"/>
  <c r="DC922" i="48"/>
  <c r="AC910" i="48"/>
  <c r="DC910" i="48"/>
  <c r="AC907" i="48"/>
  <c r="AJ907" i="48" s="1"/>
  <c r="DC907" i="48"/>
  <c r="AC934" i="48"/>
  <c r="AJ934" i="48" s="1"/>
  <c r="DC934" i="48"/>
  <c r="AC939" i="48"/>
  <c r="DC939" i="48"/>
  <c r="AC968" i="48"/>
  <c r="DC968" i="48"/>
  <c r="DC959" i="48"/>
  <c r="AC964" i="48"/>
  <c r="DC964" i="48"/>
  <c r="AC966" i="48"/>
  <c r="AJ966" i="48" s="1"/>
  <c r="DC966" i="48"/>
  <c r="DC1000" i="48"/>
  <c r="AC991" i="48"/>
  <c r="DC991" i="48"/>
  <c r="AC987" i="48"/>
  <c r="DC987" i="48"/>
  <c r="AC983" i="48"/>
  <c r="AJ983" i="48" s="1"/>
  <c r="DC983" i="48"/>
  <c r="AC988" i="48"/>
  <c r="DC988" i="48"/>
  <c r="AC1014" i="48"/>
  <c r="AJ1014" i="48" s="1"/>
  <c r="DC1014" i="48"/>
  <c r="AC1008" i="48"/>
  <c r="AJ1008" i="48" s="1"/>
  <c r="DC1008" i="48"/>
  <c r="AC1016" i="48"/>
  <c r="DC1016" i="48"/>
  <c r="AC1022" i="48"/>
  <c r="DC1022" i="48"/>
  <c r="AC1049" i="48"/>
  <c r="DC1049" i="48"/>
  <c r="AC1050" i="48"/>
  <c r="DC1050" i="48"/>
  <c r="AC1045" i="48"/>
  <c r="DC1045" i="48"/>
  <c r="AC1066" i="48"/>
  <c r="DC1066" i="48"/>
  <c r="AC1057" i="48"/>
  <c r="AJ1057" i="48" s="1"/>
  <c r="DC1057" i="48"/>
  <c r="AC1074" i="48"/>
  <c r="DC1074" i="48"/>
  <c r="DC1062" i="48"/>
  <c r="AC1070" i="48"/>
  <c r="DC1070" i="48"/>
  <c r="AC1095" i="48"/>
  <c r="AJ1095" i="48" s="1"/>
  <c r="DC1095" i="48"/>
  <c r="DC1082" i="48"/>
  <c r="AC1085" i="48"/>
  <c r="AJ1085" i="48" s="1"/>
  <c r="AT1085" i="48" s="1"/>
  <c r="DC1085" i="48"/>
  <c r="AC1112" i="48"/>
  <c r="DC1112" i="48"/>
  <c r="AC1109" i="48"/>
  <c r="AJ1109" i="48" s="1"/>
  <c r="DC1109" i="48"/>
  <c r="AC1110" i="48"/>
  <c r="AJ1110" i="48" s="1"/>
  <c r="AT1110" i="48" s="1"/>
  <c r="DC1110" i="48"/>
  <c r="AC1119" i="48"/>
  <c r="AJ1119" i="48" s="1"/>
  <c r="DC1119" i="48"/>
  <c r="AC1138" i="48"/>
  <c r="DC1138" i="48"/>
  <c r="AC1141" i="48"/>
  <c r="DC1141" i="48"/>
  <c r="AC1142" i="48"/>
  <c r="DC1142" i="48"/>
  <c r="AC1173" i="48"/>
  <c r="AJ1173" i="48" s="1"/>
  <c r="AP1173" i="48" s="1"/>
  <c r="DC1173" i="48"/>
  <c r="AC1164" i="48"/>
  <c r="DC1164" i="48"/>
  <c r="AC1175" i="48"/>
  <c r="DC1175" i="48"/>
  <c r="AC1165" i="48"/>
  <c r="DC1165" i="48"/>
  <c r="DC1189" i="48"/>
  <c r="AC1195" i="48"/>
  <c r="DC1195" i="48"/>
  <c r="AC1187" i="48"/>
  <c r="DC1187" i="48"/>
  <c r="AC1196" i="48"/>
  <c r="DC1196" i="48"/>
  <c r="AC1191" i="48"/>
  <c r="AJ1191" i="48" s="1"/>
  <c r="DC1191" i="48"/>
  <c r="AP1321" i="48"/>
  <c r="AP420" i="48"/>
  <c r="AT1177" i="48"/>
  <c r="AS1177" i="48"/>
  <c r="AR1177" i="48"/>
  <c r="DC901" i="48"/>
  <c r="AT1302" i="48"/>
  <c r="AS1302" i="48"/>
  <c r="AR1302" i="48"/>
  <c r="AT1252" i="48"/>
  <c r="AR1252" i="48"/>
  <c r="AS1252" i="48"/>
  <c r="DC1152" i="48"/>
  <c r="DC1001" i="48"/>
  <c r="AT752" i="48"/>
  <c r="AR752" i="48"/>
  <c r="AS752" i="48"/>
  <c r="AT1227" i="48"/>
  <c r="AS1227" i="48"/>
  <c r="AR1227" i="48"/>
  <c r="AT927" i="48"/>
  <c r="AR927" i="48"/>
  <c r="AS927" i="48"/>
  <c r="DC1051" i="48"/>
  <c r="AC865" i="48"/>
  <c r="DC865" i="48"/>
  <c r="AC897" i="48"/>
  <c r="AJ897" i="48" s="1"/>
  <c r="DC897" i="48"/>
  <c r="AC892" i="48"/>
  <c r="DC892" i="48"/>
  <c r="AC909" i="48"/>
  <c r="AJ909" i="48" s="1"/>
  <c r="DC909" i="48"/>
  <c r="AC919" i="48"/>
  <c r="DC919" i="48"/>
  <c r="AC942" i="48"/>
  <c r="DC942" i="48"/>
  <c r="AC945" i="48"/>
  <c r="DC945" i="48"/>
  <c r="AC975" i="48"/>
  <c r="DC975" i="48"/>
  <c r="AC970" i="48"/>
  <c r="AJ970" i="48" s="1"/>
  <c r="DC970" i="48"/>
  <c r="AC984" i="48"/>
  <c r="AJ984" i="48" s="1"/>
  <c r="DC984" i="48"/>
  <c r="AC1037" i="48"/>
  <c r="DC1037" i="48"/>
  <c r="AC1043" i="48"/>
  <c r="DC1043" i="48"/>
  <c r="AC1067" i="48"/>
  <c r="DC1067" i="48"/>
  <c r="AC1094" i="48"/>
  <c r="DC1094" i="48"/>
  <c r="AC1097" i="48"/>
  <c r="DC1097" i="48"/>
  <c r="AC1113" i="48"/>
  <c r="AJ1113" i="48" s="1"/>
  <c r="DC1113" i="48"/>
  <c r="AC1172" i="48"/>
  <c r="DC1172" i="48"/>
  <c r="AC1184" i="48"/>
  <c r="AJ1184" i="48" s="1"/>
  <c r="DC1184" i="48"/>
  <c r="AT902" i="48"/>
  <c r="AR902" i="48"/>
  <c r="AS902" i="48"/>
  <c r="AT1002" i="48"/>
  <c r="AR1002" i="48"/>
  <c r="AS1002" i="48"/>
  <c r="AT977" i="48"/>
  <c r="AR977" i="48"/>
  <c r="AS977" i="48"/>
  <c r="AT1202" i="48"/>
  <c r="AR1202" i="48"/>
  <c r="AS1202" i="48"/>
  <c r="DC1200" i="48"/>
  <c r="AT418" i="48"/>
  <c r="AP125" i="48"/>
  <c r="AC857" i="48"/>
  <c r="AJ857" i="48" s="1"/>
  <c r="DC857" i="48"/>
  <c r="AC864" i="48"/>
  <c r="DC864" i="48"/>
  <c r="AC874" i="48"/>
  <c r="DC874" i="48"/>
  <c r="AC866" i="48"/>
  <c r="DC866" i="48"/>
  <c r="AC868" i="48"/>
  <c r="AJ868" i="48" s="1"/>
  <c r="DC868" i="48"/>
  <c r="DC882" i="48"/>
  <c r="DC893" i="48"/>
  <c r="AC887" i="48"/>
  <c r="AJ887" i="48" s="1"/>
  <c r="AR887" i="48" s="1"/>
  <c r="DC887" i="48"/>
  <c r="AC886" i="48"/>
  <c r="DC886" i="48"/>
  <c r="AC888" i="48"/>
  <c r="DC888" i="48"/>
  <c r="AC914" i="48"/>
  <c r="AJ914" i="48" s="1"/>
  <c r="DC914" i="48"/>
  <c r="AC915" i="48"/>
  <c r="AJ915" i="48" s="1"/>
  <c r="DC915" i="48"/>
  <c r="AC912" i="48"/>
  <c r="AJ912" i="48" s="1"/>
  <c r="DC912" i="48"/>
  <c r="AC941" i="48"/>
  <c r="DC941" i="48"/>
  <c r="AC947" i="48"/>
  <c r="DC947" i="48"/>
  <c r="AC938" i="48"/>
  <c r="DC938" i="48"/>
  <c r="AC949" i="48"/>
  <c r="DC949" i="48"/>
  <c r="AC965" i="48"/>
  <c r="DC965" i="48"/>
  <c r="AC957" i="48"/>
  <c r="AJ957" i="48" s="1"/>
  <c r="DC957" i="48"/>
  <c r="AC960" i="48"/>
  <c r="DC960" i="48"/>
  <c r="AC973" i="48"/>
  <c r="DC973" i="48"/>
  <c r="AC971" i="48"/>
  <c r="AJ971" i="48" s="1"/>
  <c r="DC971" i="48"/>
  <c r="DC996" i="48"/>
  <c r="AC992" i="48"/>
  <c r="DC992" i="48"/>
  <c r="AC994" i="48"/>
  <c r="DC994" i="48"/>
  <c r="AC997" i="48"/>
  <c r="DC997" i="48"/>
  <c r="DC1009" i="48"/>
  <c r="AC1021" i="48"/>
  <c r="AJ1021" i="48" s="1"/>
  <c r="DC1021" i="48"/>
  <c r="DC1013" i="48"/>
  <c r="AC1038" i="48"/>
  <c r="DC1038" i="48"/>
  <c r="AC1033" i="48"/>
  <c r="AJ1033" i="48" s="1"/>
  <c r="DC1033" i="48"/>
  <c r="AC1048" i="48"/>
  <c r="DC1048" i="48"/>
  <c r="AC1034" i="48"/>
  <c r="AJ1034" i="48" s="1"/>
  <c r="DC1034" i="48"/>
  <c r="AC1058" i="48"/>
  <c r="AJ1058" i="48" s="1"/>
  <c r="DC1058" i="48"/>
  <c r="DC1068" i="48"/>
  <c r="DC1060" i="48"/>
  <c r="AC1065" i="48"/>
  <c r="DC1065" i="48"/>
  <c r="AC1075" i="48"/>
  <c r="DC1075" i="48"/>
  <c r="DC1088" i="48"/>
  <c r="DC1090" i="48"/>
  <c r="DC1091" i="48"/>
  <c r="AC1092" i="48"/>
  <c r="DC1092" i="48"/>
  <c r="DC1116" i="48"/>
  <c r="DC1118" i="48"/>
  <c r="DC1107" i="48"/>
  <c r="DC1125" i="48"/>
  <c r="DC1126" i="48"/>
  <c r="DC1114" i="48"/>
  <c r="AC1132" i="48"/>
  <c r="AJ1132" i="48" s="1"/>
  <c r="DC1132" i="48"/>
  <c r="AC1140" i="48"/>
  <c r="DC1140" i="48"/>
  <c r="AC1143" i="48"/>
  <c r="DC1143" i="48"/>
  <c r="AC1148" i="48"/>
  <c r="AJ1148" i="48" s="1"/>
  <c r="DC1148" i="48"/>
  <c r="AC1159" i="48"/>
  <c r="DC1159" i="48"/>
  <c r="AC1174" i="48"/>
  <c r="DC1174" i="48"/>
  <c r="AC1163" i="48"/>
  <c r="DC1163" i="48"/>
  <c r="AC1169" i="48"/>
  <c r="DC1169" i="48"/>
  <c r="AC1190" i="48"/>
  <c r="DC1190" i="48"/>
  <c r="AC1194" i="48"/>
  <c r="DC1194" i="48"/>
  <c r="AC1197" i="48"/>
  <c r="DC1197" i="48"/>
  <c r="DC1183" i="48"/>
  <c r="AT1277" i="48"/>
  <c r="AR1277" i="48"/>
  <c r="AS1277" i="48"/>
  <c r="DC1176" i="48"/>
  <c r="AT777" i="48"/>
  <c r="AR777" i="48"/>
  <c r="AS777" i="48"/>
  <c r="DC1077" i="48"/>
  <c r="AT1352" i="48"/>
  <c r="AR1352" i="48"/>
  <c r="AS1352" i="48"/>
  <c r="DC1151" i="48"/>
  <c r="AT877" i="48"/>
  <c r="AR877" i="48"/>
  <c r="AS877" i="48"/>
  <c r="AT1327" i="48"/>
  <c r="AR1327" i="48"/>
  <c r="AS1327" i="48"/>
  <c r="AT852" i="48"/>
  <c r="AR852" i="48"/>
  <c r="AS852" i="48"/>
  <c r="DC926" i="48"/>
  <c r="DC1052" i="48"/>
  <c r="AT952" i="48"/>
  <c r="AR952" i="48"/>
  <c r="AS952" i="48"/>
  <c r="AP136" i="48"/>
  <c r="DC27" i="48"/>
  <c r="AC26" i="48"/>
  <c r="AD27" i="48" s="1"/>
  <c r="AC1333" i="48"/>
  <c r="AJ1333" i="48" s="1"/>
  <c r="AC1349" i="48"/>
  <c r="AC1348" i="48"/>
  <c r="AC1346" i="48"/>
  <c r="AJ1346" i="48" s="1"/>
  <c r="AC1339" i="48"/>
  <c r="AC1338" i="48"/>
  <c r="AC1350" i="48"/>
  <c r="AC1331" i="48"/>
  <c r="AJ1331" i="48" s="1"/>
  <c r="AC1317" i="48"/>
  <c r="AJ1317" i="48" s="1"/>
  <c r="AC1306" i="48"/>
  <c r="AJ1306" i="48" s="1"/>
  <c r="AC1308" i="48"/>
  <c r="AJ1308" i="48" s="1"/>
  <c r="AC1324" i="48"/>
  <c r="AC1282" i="48"/>
  <c r="AJ1282" i="48" s="1"/>
  <c r="AC1281" i="48"/>
  <c r="AJ1281" i="48" s="1"/>
  <c r="AC1286" i="48"/>
  <c r="AC1298" i="48"/>
  <c r="AJ1298" i="48" s="1"/>
  <c r="AR1298" i="48" s="1"/>
  <c r="AC1300" i="48"/>
  <c r="AC1284" i="48"/>
  <c r="AJ1284" i="48" s="1"/>
  <c r="AC1294" i="48"/>
  <c r="AJ1294" i="48" s="1"/>
  <c r="AC1258" i="48"/>
  <c r="AJ1258" i="48" s="1"/>
  <c r="AC1262" i="48"/>
  <c r="AC1256" i="48"/>
  <c r="AJ1256" i="48" s="1"/>
  <c r="AC1259" i="48"/>
  <c r="AJ1259" i="48" s="1"/>
  <c r="AC1264" i="48"/>
  <c r="AC1257" i="48"/>
  <c r="AJ1257" i="48" s="1"/>
  <c r="AC1260" i="48"/>
  <c r="AC1238" i="48"/>
  <c r="AC1214" i="48"/>
  <c r="AC1219" i="48"/>
  <c r="AC1222" i="48"/>
  <c r="AC1207" i="48"/>
  <c r="AJ1207" i="48" s="1"/>
  <c r="AC1206" i="48"/>
  <c r="AJ1206" i="48" s="1"/>
  <c r="AC1198" i="48"/>
  <c r="AC1182" i="48"/>
  <c r="AJ1182" i="48" s="1"/>
  <c r="AC1189" i="48"/>
  <c r="AC1181" i="48"/>
  <c r="AJ1181" i="48" s="1"/>
  <c r="AC1183" i="48"/>
  <c r="AJ1183" i="48" s="1"/>
  <c r="AC1201" i="48"/>
  <c r="AC1157" i="48"/>
  <c r="AJ1157" i="48" s="1"/>
  <c r="AC1156" i="48"/>
  <c r="AJ1156" i="48" s="1"/>
  <c r="AC1170" i="48"/>
  <c r="AC1144" i="48"/>
  <c r="AC1149" i="48"/>
  <c r="AC1139" i="48"/>
  <c r="AC1146" i="48"/>
  <c r="AC1136" i="48"/>
  <c r="AC1131" i="48"/>
  <c r="AJ1131" i="48" s="1"/>
  <c r="AC1124" i="48"/>
  <c r="AJ1124" i="48" s="1"/>
  <c r="AC1108" i="48"/>
  <c r="AJ1108" i="48" s="1"/>
  <c r="AC1120" i="48"/>
  <c r="AJ1120" i="48" s="1"/>
  <c r="AT1120" i="48" s="1"/>
  <c r="AC1116" i="48"/>
  <c r="AJ1116" i="48" s="1"/>
  <c r="AC1118" i="48"/>
  <c r="AJ1118" i="48" s="1"/>
  <c r="AC1107" i="48"/>
  <c r="AJ1107" i="48" s="1"/>
  <c r="AC1125" i="48"/>
  <c r="AJ1125" i="48" s="1"/>
  <c r="AC1114" i="48"/>
  <c r="AJ1114" i="48" s="1"/>
  <c r="AC1117" i="48"/>
  <c r="AJ1117" i="48" s="1"/>
  <c r="AC1115" i="48"/>
  <c r="AC1106" i="48"/>
  <c r="AJ1106" i="48" s="1"/>
  <c r="AC1093" i="48"/>
  <c r="AJ1093" i="48" s="1"/>
  <c r="AC1081" i="48"/>
  <c r="AJ1081" i="48" s="1"/>
  <c r="AC1083" i="48"/>
  <c r="AJ1083" i="48" s="1"/>
  <c r="AC1082" i="48"/>
  <c r="AJ1082" i="48" s="1"/>
  <c r="AC1087" i="48"/>
  <c r="AJ1087" i="48" s="1"/>
  <c r="AC1098" i="48"/>
  <c r="AC1099" i="48"/>
  <c r="AJ1099" i="48" s="1"/>
  <c r="AC1101" i="48"/>
  <c r="AC1088" i="48"/>
  <c r="AJ1088" i="48" s="1"/>
  <c r="AC1090" i="48"/>
  <c r="AJ1090" i="48" s="1"/>
  <c r="AC1091" i="48"/>
  <c r="AJ1091" i="48" s="1"/>
  <c r="AC1086" i="48"/>
  <c r="AC1064" i="48"/>
  <c r="AC1073" i="48"/>
  <c r="AJ1073" i="48" s="1"/>
  <c r="AS1073" i="48" s="1"/>
  <c r="AC1062" i="48"/>
  <c r="AC1068" i="48"/>
  <c r="AC1060" i="48"/>
  <c r="AC1071" i="48"/>
  <c r="AC1056" i="48"/>
  <c r="AJ1056" i="48" s="1"/>
  <c r="AC1042" i="48"/>
  <c r="AC1032" i="48"/>
  <c r="AJ1032" i="48" s="1"/>
  <c r="AC1031" i="48"/>
  <c r="AJ1031" i="48" s="1"/>
  <c r="AC1036" i="48"/>
  <c r="AC1035" i="48"/>
  <c r="AC1046" i="48"/>
  <c r="AC1007" i="48"/>
  <c r="AJ1007" i="48" s="1"/>
  <c r="AC1024" i="48"/>
  <c r="AC1026" i="48"/>
  <c r="AC1015" i="48"/>
  <c r="AJ1015" i="48" s="1"/>
  <c r="AC1009" i="48"/>
  <c r="AJ1009" i="48" s="1"/>
  <c r="AC1006" i="48"/>
  <c r="AJ1006" i="48" s="1"/>
  <c r="AC1013" i="48"/>
  <c r="AC1017" i="48"/>
  <c r="AC986" i="48"/>
  <c r="AC985" i="48"/>
  <c r="AC1000" i="48"/>
  <c r="AC981" i="48"/>
  <c r="AJ981" i="48" s="1"/>
  <c r="AC996" i="48"/>
  <c r="AC993" i="48"/>
  <c r="AC982" i="48"/>
  <c r="AJ982" i="48" s="1"/>
  <c r="AC967" i="48"/>
  <c r="AC963" i="48"/>
  <c r="AC959" i="48"/>
  <c r="AJ959" i="48" s="1"/>
  <c r="AC956" i="48"/>
  <c r="AJ956" i="48" s="1"/>
  <c r="AC958" i="48"/>
  <c r="AJ958" i="48" s="1"/>
  <c r="AC943" i="48"/>
  <c r="AC940" i="48"/>
  <c r="AC935" i="48"/>
  <c r="AC931" i="48"/>
  <c r="AJ931" i="48" s="1"/>
  <c r="AC933" i="48"/>
  <c r="AJ933" i="48" s="1"/>
  <c r="AC937" i="48"/>
  <c r="AC932" i="48"/>
  <c r="AJ932" i="48" s="1"/>
  <c r="AC911" i="48"/>
  <c r="AC906" i="48"/>
  <c r="AJ906" i="48" s="1"/>
  <c r="AC920" i="48"/>
  <c r="AC922" i="48"/>
  <c r="AC913" i="48"/>
  <c r="AC908" i="48"/>
  <c r="AJ908" i="48" s="1"/>
  <c r="AC923" i="48"/>
  <c r="AC884" i="48"/>
  <c r="AC882" i="48"/>
  <c r="AJ882" i="48" s="1"/>
  <c r="AC893" i="48"/>
  <c r="AJ893" i="48" s="1"/>
  <c r="AC898" i="48"/>
  <c r="AC881" i="48"/>
  <c r="AJ881" i="48" s="1"/>
  <c r="AC899" i="48"/>
  <c r="AJ899" i="48" s="1"/>
  <c r="AC883" i="48"/>
  <c r="AJ883" i="48" s="1"/>
  <c r="AC861" i="48"/>
  <c r="AC859" i="48"/>
  <c r="AJ859" i="48" s="1"/>
  <c r="AC876" i="48"/>
  <c r="AC856" i="48"/>
  <c r="AJ856" i="48" s="1"/>
  <c r="AC809" i="48"/>
  <c r="AJ809" i="48" s="1"/>
  <c r="AC806" i="48"/>
  <c r="AJ806" i="48" s="1"/>
  <c r="DC818" i="48"/>
  <c r="AC818" i="48"/>
  <c r="DC812" i="48"/>
  <c r="AC812" i="48"/>
  <c r="DC785" i="48"/>
  <c r="AC785" i="48"/>
  <c r="AC781" i="48"/>
  <c r="AJ781" i="48" s="1"/>
  <c r="DC802" i="48"/>
  <c r="AC801" i="48"/>
  <c r="DC783" i="48"/>
  <c r="AC783" i="48"/>
  <c r="AJ783" i="48" s="1"/>
  <c r="DC787" i="48"/>
  <c r="AC787" i="48"/>
  <c r="AC756" i="48"/>
  <c r="AJ756" i="48" s="1"/>
  <c r="DC775" i="48"/>
  <c r="AC775" i="48"/>
  <c r="DC738" i="48"/>
  <c r="AC738" i="48"/>
  <c r="AC731" i="48"/>
  <c r="AJ731" i="48" s="1"/>
  <c r="DC751" i="48"/>
  <c r="AC750" i="48"/>
  <c r="DC740" i="48"/>
  <c r="AC740" i="48"/>
  <c r="AC734" i="48"/>
  <c r="DC746" i="48"/>
  <c r="AC746" i="48"/>
  <c r="DC720" i="48"/>
  <c r="AC720" i="48"/>
  <c r="AC706" i="48"/>
  <c r="AJ706" i="48" s="1"/>
  <c r="DC718" i="48"/>
  <c r="AC718" i="48"/>
  <c r="DC690" i="48"/>
  <c r="AC690" i="48"/>
  <c r="DC685" i="48"/>
  <c r="AC685" i="48"/>
  <c r="DC693" i="48"/>
  <c r="AC693" i="48"/>
  <c r="AC681" i="48"/>
  <c r="AJ681" i="48" s="1"/>
  <c r="DC688" i="48"/>
  <c r="AC688" i="48"/>
  <c r="DC635" i="48"/>
  <c r="AC635" i="48"/>
  <c r="AC631" i="48"/>
  <c r="AJ631" i="48" s="1"/>
  <c r="DC650" i="48"/>
  <c r="AC650" i="48"/>
  <c r="DC632" i="48"/>
  <c r="AC632" i="48"/>
  <c r="AJ632" i="48" s="1"/>
  <c r="AC606" i="48"/>
  <c r="AJ606" i="48" s="1"/>
  <c r="AC619" i="48"/>
  <c r="AJ619" i="48" s="1"/>
  <c r="AC614" i="48"/>
  <c r="AJ614" i="48" s="1"/>
  <c r="DC618" i="48"/>
  <c r="AC618" i="48"/>
  <c r="AC609" i="48"/>
  <c r="AJ609" i="48" s="1"/>
  <c r="DC593" i="48"/>
  <c r="AC593" i="48"/>
  <c r="AJ593" i="48" s="1"/>
  <c r="DC584" i="48"/>
  <c r="AC584" i="48"/>
  <c r="AJ584" i="48" s="1"/>
  <c r="DC600" i="48"/>
  <c r="AC600" i="48"/>
  <c r="DC585" i="48"/>
  <c r="AC585" i="48"/>
  <c r="AC581" i="48"/>
  <c r="AJ581" i="48" s="1"/>
  <c r="DC590" i="48"/>
  <c r="AC590" i="48"/>
  <c r="DC589" i="48"/>
  <c r="AC589" i="48"/>
  <c r="AC556" i="48"/>
  <c r="AJ556" i="48" s="1"/>
  <c r="DC560" i="48"/>
  <c r="AC560" i="48"/>
  <c r="DC570" i="48"/>
  <c r="AC570" i="48"/>
  <c r="DC562" i="48"/>
  <c r="AC562" i="48"/>
  <c r="AC557" i="48"/>
  <c r="AJ557" i="48" s="1"/>
  <c r="AC558" i="48"/>
  <c r="AJ558" i="48" s="1"/>
  <c r="AC559" i="48"/>
  <c r="AJ559" i="48" s="1"/>
  <c r="AC531" i="48"/>
  <c r="AJ531" i="48" s="1"/>
  <c r="DC534" i="48"/>
  <c r="AC534" i="48"/>
  <c r="DC550" i="48"/>
  <c r="AC550" i="48"/>
  <c r="DC547" i="48"/>
  <c r="AC547" i="48"/>
  <c r="DC542" i="48"/>
  <c r="AC542" i="48"/>
  <c r="DC519" i="48"/>
  <c r="AC519" i="48"/>
  <c r="DC511" i="48"/>
  <c r="AC511" i="48"/>
  <c r="AC506" i="48"/>
  <c r="AJ506" i="48" s="1"/>
  <c r="DC510" i="48"/>
  <c r="AC510" i="48"/>
  <c r="DC496" i="48"/>
  <c r="AC496" i="48"/>
  <c r="AC483" i="48"/>
  <c r="AJ483" i="48" s="1"/>
  <c r="DC482" i="48"/>
  <c r="AC482" i="48"/>
  <c r="AJ482" i="48" s="1"/>
  <c r="DC499" i="48"/>
  <c r="AC499" i="48"/>
  <c r="AC481" i="48"/>
  <c r="AJ481" i="48" s="1"/>
  <c r="DC464" i="48"/>
  <c r="AC464" i="48"/>
  <c r="DC460" i="48"/>
  <c r="AC460" i="48"/>
  <c r="DC469" i="48"/>
  <c r="AC469" i="48"/>
  <c r="DC474" i="48"/>
  <c r="AC474" i="48"/>
  <c r="AC456" i="48"/>
  <c r="AJ456" i="48" s="1"/>
  <c r="DC449" i="48"/>
  <c r="AC449" i="48"/>
  <c r="DC447" i="48"/>
  <c r="AC447" i="48"/>
  <c r="DC438" i="48"/>
  <c r="AC438" i="48"/>
  <c r="AC431" i="48"/>
  <c r="AJ431" i="48" s="1"/>
  <c r="AS421" i="48"/>
  <c r="AP421" i="48"/>
  <c r="AT421" i="48"/>
  <c r="AR421" i="48"/>
  <c r="DC383" i="48"/>
  <c r="AC383" i="48"/>
  <c r="AJ383" i="48" s="1"/>
  <c r="AC381" i="48"/>
  <c r="AJ381" i="48" s="1"/>
  <c r="DC386" i="48"/>
  <c r="AC386" i="48"/>
  <c r="DC397" i="48"/>
  <c r="AC397" i="48"/>
  <c r="DC396" i="48"/>
  <c r="AC396" i="48"/>
  <c r="DC363" i="48"/>
  <c r="AC363" i="48"/>
  <c r="DC368" i="48"/>
  <c r="AC368" i="48"/>
  <c r="DC371" i="48"/>
  <c r="AC371" i="48"/>
  <c r="AJ371" i="48" s="1"/>
  <c r="AC365" i="48"/>
  <c r="AJ365" i="48" s="1"/>
  <c r="DC370" i="48"/>
  <c r="AC370" i="48"/>
  <c r="DC366" i="48"/>
  <c r="AC366" i="48"/>
  <c r="DC359" i="48"/>
  <c r="AC359" i="48"/>
  <c r="AJ359" i="48" s="1"/>
  <c r="AC356" i="48"/>
  <c r="AJ356" i="48" s="1"/>
  <c r="DC375" i="48"/>
  <c r="AC375" i="48"/>
  <c r="AJ375" i="48" s="1"/>
  <c r="AR375" i="48" s="1"/>
  <c r="DC341" i="48"/>
  <c r="AC341" i="48"/>
  <c r="DC340" i="48"/>
  <c r="AC340" i="48"/>
  <c r="AC331" i="48"/>
  <c r="AJ331" i="48" s="1"/>
  <c r="DC338" i="48"/>
  <c r="AC338" i="48"/>
  <c r="DC336" i="48"/>
  <c r="AC336" i="48"/>
  <c r="DC333" i="48"/>
  <c r="AC333" i="48"/>
  <c r="AJ333" i="48" s="1"/>
  <c r="DC348" i="48"/>
  <c r="AC348" i="48"/>
  <c r="AJ348" i="48" s="1"/>
  <c r="AT348" i="48" s="1"/>
  <c r="DC313" i="48"/>
  <c r="AC313" i="48"/>
  <c r="DC315" i="48"/>
  <c r="AC315" i="48"/>
  <c r="DC307" i="48"/>
  <c r="AC307" i="48"/>
  <c r="AJ307" i="48" s="1"/>
  <c r="DC311" i="48"/>
  <c r="AC311" i="48"/>
  <c r="DC298" i="48"/>
  <c r="AC298" i="48"/>
  <c r="DC288" i="48"/>
  <c r="AC288" i="48"/>
  <c r="AC281" i="48"/>
  <c r="AJ281" i="48" s="1"/>
  <c r="DC285" i="48"/>
  <c r="AC285" i="48"/>
  <c r="DC291" i="48"/>
  <c r="AC291" i="48"/>
  <c r="DC283" i="48"/>
  <c r="AC283" i="48"/>
  <c r="AJ283" i="48" s="1"/>
  <c r="DC268" i="48"/>
  <c r="AC268" i="48"/>
  <c r="DC257" i="48"/>
  <c r="AC257" i="48"/>
  <c r="AJ257" i="48" s="1"/>
  <c r="AC256" i="48"/>
  <c r="AJ256" i="48" s="1"/>
  <c r="DC237" i="48"/>
  <c r="AC237" i="48"/>
  <c r="DC233" i="48"/>
  <c r="AC233" i="48"/>
  <c r="AJ233" i="48" s="1"/>
  <c r="AC231" i="48"/>
  <c r="AJ231" i="48" s="1"/>
  <c r="AC243" i="48"/>
  <c r="AJ243" i="48" s="1"/>
  <c r="DC247" i="48"/>
  <c r="AC247" i="48"/>
  <c r="DC209" i="48"/>
  <c r="AC209" i="48"/>
  <c r="AC206" i="48"/>
  <c r="AJ206" i="48" s="1"/>
  <c r="DC192" i="48"/>
  <c r="AC192" i="48"/>
  <c r="DC185" i="48"/>
  <c r="AC185" i="48"/>
  <c r="AC181" i="48"/>
  <c r="AJ181" i="48" s="1"/>
  <c r="AC182" i="48"/>
  <c r="AJ182" i="48" s="1"/>
  <c r="DC195" i="48"/>
  <c r="AC195" i="48"/>
  <c r="DC165" i="48"/>
  <c r="AC165" i="48"/>
  <c r="DC159" i="48"/>
  <c r="AC159" i="48"/>
  <c r="AJ159" i="48" s="1"/>
  <c r="DC160" i="48"/>
  <c r="AC160" i="48"/>
  <c r="AC156" i="48"/>
  <c r="AJ156" i="48" s="1"/>
  <c r="AK147" i="48"/>
  <c r="AC106" i="48"/>
  <c r="AJ106" i="48" s="1"/>
  <c r="AC112" i="48"/>
  <c r="AJ112" i="48" s="1"/>
  <c r="AC124" i="48"/>
  <c r="AJ124" i="48" s="1"/>
  <c r="DC97" i="48"/>
  <c r="AC97" i="48"/>
  <c r="DC100" i="48"/>
  <c r="AC100" i="48"/>
  <c r="AC81" i="48"/>
  <c r="AJ81" i="48" s="1"/>
  <c r="DC89" i="48"/>
  <c r="AC89" i="48"/>
  <c r="AC76" i="48"/>
  <c r="AD77" i="48" s="1"/>
  <c r="DC77" i="48"/>
  <c r="AC57" i="48"/>
  <c r="AJ57" i="48" s="1"/>
  <c r="DC66" i="48"/>
  <c r="AC66" i="48"/>
  <c r="AC56" i="48"/>
  <c r="AJ56" i="48" s="1"/>
  <c r="DC70" i="48"/>
  <c r="AC70" i="48"/>
  <c r="DC62" i="48"/>
  <c r="AC62" i="48"/>
  <c r="AJ62" i="48" s="1"/>
  <c r="AC48" i="48"/>
  <c r="AJ48" i="48" s="1"/>
  <c r="AC47" i="48"/>
  <c r="AC45" i="48"/>
  <c r="AJ45" i="48" s="1"/>
  <c r="AC49" i="48"/>
  <c r="AC42" i="48"/>
  <c r="AJ42" i="48" s="1"/>
  <c r="AC31" i="48"/>
  <c r="AJ31" i="48" s="1"/>
  <c r="AP146" i="48"/>
  <c r="AR146" i="48"/>
  <c r="AS146" i="48"/>
  <c r="AT146" i="48"/>
  <c r="DC443" i="48"/>
  <c r="DC516" i="48"/>
  <c r="DC572" i="48"/>
  <c r="DC645" i="48"/>
  <c r="DC544" i="48"/>
  <c r="DC441" i="48"/>
  <c r="DC473" i="48"/>
  <c r="DC490" i="48"/>
  <c r="DC485" i="48"/>
  <c r="DC493" i="48"/>
  <c r="DC714" i="48"/>
  <c r="DC344" i="48"/>
  <c r="DC467" i="48"/>
  <c r="DC500" i="48"/>
  <c r="DC621" i="48"/>
  <c r="DC641" i="48"/>
  <c r="DC725" i="48"/>
  <c r="DC287" i="48"/>
  <c r="DC509" i="48"/>
  <c r="DC241" i="48"/>
  <c r="DC258" i="48"/>
  <c r="DC274" i="48"/>
  <c r="DC290" i="48"/>
  <c r="DC347" i="48"/>
  <c r="DC360" i="48"/>
  <c r="DC393" i="48"/>
  <c r="DC471" i="48"/>
  <c r="DC468" i="48"/>
  <c r="DC497" i="48"/>
  <c r="DC489" i="48"/>
  <c r="DC597" i="48"/>
  <c r="DC743" i="48"/>
  <c r="DC748" i="48"/>
  <c r="DC765" i="48"/>
  <c r="DC768" i="48"/>
  <c r="AR143" i="48"/>
  <c r="DC362" i="48"/>
  <c r="DC462" i="48"/>
  <c r="DC520" i="48"/>
  <c r="DC565" i="48"/>
  <c r="DC568" i="48"/>
  <c r="DC643" i="48"/>
  <c r="DC717" i="48"/>
  <c r="DC733" i="48"/>
  <c r="DC772" i="48"/>
  <c r="DC810" i="48"/>
  <c r="DC92" i="48"/>
  <c r="DC119" i="48"/>
  <c r="DC271" i="48"/>
  <c r="DC388" i="48"/>
  <c r="DC173" i="48"/>
  <c r="DC161" i="48"/>
  <c r="DC175" i="48"/>
  <c r="DC260" i="48"/>
  <c r="DC294" i="48"/>
  <c r="DC334" i="48"/>
  <c r="DC523" i="48"/>
  <c r="DC537" i="48"/>
  <c r="DC545" i="48"/>
  <c r="DC592" i="48"/>
  <c r="DC648" i="48"/>
  <c r="DC701" i="48"/>
  <c r="DC769" i="48"/>
  <c r="AJ745" i="48"/>
  <c r="AT745" i="48" s="1"/>
  <c r="AJ343" i="48"/>
  <c r="DC190" i="48"/>
  <c r="DC223" i="48"/>
  <c r="DC217" i="48"/>
  <c r="DC774" i="48"/>
  <c r="AK146" i="48"/>
  <c r="DC220" i="48"/>
  <c r="DC212" i="48"/>
  <c r="DC541" i="48"/>
  <c r="AJ342" i="48"/>
  <c r="AJ649" i="48"/>
  <c r="AJ573" i="48"/>
  <c r="AJ739" i="48"/>
  <c r="AT739" i="48" s="1"/>
  <c r="DC218" i="48"/>
  <c r="DC235" i="48"/>
  <c r="DC249" i="48"/>
  <c r="DC272" i="48"/>
  <c r="DC296" i="48"/>
  <c r="DC286" i="48"/>
  <c r="DC322" i="48"/>
  <c r="DC317" i="48"/>
  <c r="DC364" i="48"/>
  <c r="DC369" i="48"/>
  <c r="DC389" i="48"/>
  <c r="DC436" i="48"/>
  <c r="DC463" i="48"/>
  <c r="DC486" i="48"/>
  <c r="DC494" i="48"/>
  <c r="DC484" i="48"/>
  <c r="DC533" i="48"/>
  <c r="DC616" i="48"/>
  <c r="DC611" i="48"/>
  <c r="DC637" i="48"/>
  <c r="DC634" i="48"/>
  <c r="DC710" i="48"/>
  <c r="DC750" i="48"/>
  <c r="DC758" i="48"/>
  <c r="AR145" i="48"/>
  <c r="DC93" i="48"/>
  <c r="DC86" i="48"/>
  <c r="DC162" i="48"/>
  <c r="DC157" i="48"/>
  <c r="DC171" i="48"/>
  <c r="DC215" i="48"/>
  <c r="DC210" i="48"/>
  <c r="DC246" i="48"/>
  <c r="DC293" i="48"/>
  <c r="DC324" i="48"/>
  <c r="DC346" i="48"/>
  <c r="DC373" i="48"/>
  <c r="DC399" i="48"/>
  <c r="DC392" i="48"/>
  <c r="DC457" i="48"/>
  <c r="DC525" i="48"/>
  <c r="DC564" i="48"/>
  <c r="DC682" i="48"/>
  <c r="DC723" i="48"/>
  <c r="DC736" i="48"/>
  <c r="DC797" i="48"/>
  <c r="DC792" i="48"/>
  <c r="DC814" i="48"/>
  <c r="DC113" i="48"/>
  <c r="AR136" i="48"/>
  <c r="AT145" i="48"/>
  <c r="DC74" i="48"/>
  <c r="DC69" i="48"/>
  <c r="DC169" i="48"/>
  <c r="DC198" i="48"/>
  <c r="DC189" i="48"/>
  <c r="DC319" i="48"/>
  <c r="AJ334" i="48"/>
  <c r="DC343" i="48"/>
  <c r="DC357" i="48"/>
  <c r="DC434" i="48"/>
  <c r="DC445" i="48"/>
  <c r="DC442" i="48"/>
  <c r="DC513" i="48"/>
  <c r="DC569" i="48"/>
  <c r="DC595" i="48"/>
  <c r="DC608" i="48"/>
  <c r="DC646" i="48"/>
  <c r="DC639" i="48"/>
  <c r="DC732" i="48"/>
  <c r="DC789" i="48"/>
  <c r="DC793" i="48"/>
  <c r="DC822" i="48"/>
  <c r="AJ1325" i="48"/>
  <c r="AR1321" i="48"/>
  <c r="AS1321" i="48"/>
  <c r="AJ1293" i="48"/>
  <c r="AJ1295" i="48"/>
  <c r="AJ1287" i="48"/>
  <c r="AJ1288" i="48"/>
  <c r="AJ1263" i="48"/>
  <c r="AJ1265" i="48"/>
  <c r="AJ1261" i="48"/>
  <c r="DC815" i="48"/>
  <c r="DC825" i="48"/>
  <c r="DC826" i="48"/>
  <c r="DC807" i="48"/>
  <c r="DC800" i="48"/>
  <c r="DC798" i="48"/>
  <c r="AJ773" i="48"/>
  <c r="AJ770" i="48"/>
  <c r="DC766" i="48"/>
  <c r="DC760" i="48"/>
  <c r="DC771" i="48"/>
  <c r="DC761" i="48"/>
  <c r="DC764" i="48"/>
  <c r="AJ742" i="48"/>
  <c r="AT742" i="48" s="1"/>
  <c r="AJ735" i="48"/>
  <c r="AT735" i="48" s="1"/>
  <c r="AJ749" i="48"/>
  <c r="AT749" i="48" s="1"/>
  <c r="AJ747" i="48"/>
  <c r="AT747" i="48" s="1"/>
  <c r="DC726" i="48"/>
  <c r="DC716" i="48"/>
  <c r="DC707" i="48"/>
  <c r="DC687" i="48"/>
  <c r="DC696" i="48"/>
  <c r="DC651" i="48"/>
  <c r="DC652" i="48"/>
  <c r="DC644" i="48"/>
  <c r="DC640" i="48"/>
  <c r="DC633" i="48"/>
  <c r="AJ633" i="48"/>
  <c r="DC647" i="48"/>
  <c r="DC636" i="48"/>
  <c r="DC642" i="48"/>
  <c r="DC638" i="48"/>
  <c r="DC649" i="48"/>
  <c r="AJ594" i="48"/>
  <c r="DC596" i="48"/>
  <c r="DC583" i="48"/>
  <c r="DC599" i="48"/>
  <c r="DC591" i="48"/>
  <c r="AJ595" i="48"/>
  <c r="AJ597" i="48"/>
  <c r="AR597" i="48" s="1"/>
  <c r="DC586" i="48"/>
  <c r="DC587" i="48"/>
  <c r="DC588" i="48"/>
  <c r="DC594" i="48"/>
  <c r="DC598" i="48"/>
  <c r="DC582" i="48"/>
  <c r="DC601" i="48"/>
  <c r="AJ575" i="48"/>
  <c r="AJ571" i="48"/>
  <c r="AJ561" i="48"/>
  <c r="DC557" i="48"/>
  <c r="DC573" i="48"/>
  <c r="DC566" i="48"/>
  <c r="DC563" i="48"/>
  <c r="DC567" i="48"/>
  <c r="DC574" i="48"/>
  <c r="DC558" i="48"/>
  <c r="DC571" i="48"/>
  <c r="DC575" i="48"/>
  <c r="DC577" i="48"/>
  <c r="DC576" i="48"/>
  <c r="DC559" i="48"/>
  <c r="DC561" i="48"/>
  <c r="DC535" i="48"/>
  <c r="DC532" i="48"/>
  <c r="DC548" i="48"/>
  <c r="DC543" i="48"/>
  <c r="DC552" i="48"/>
  <c r="DC551" i="48"/>
  <c r="DC536" i="48"/>
  <c r="DC549" i="48"/>
  <c r="DC538" i="48"/>
  <c r="DC539" i="48"/>
  <c r="DC546" i="48"/>
  <c r="DC540" i="48"/>
  <c r="DC514" i="48"/>
  <c r="DC508" i="48"/>
  <c r="DC512" i="48"/>
  <c r="DC507" i="48"/>
  <c r="DC526" i="48"/>
  <c r="DC527" i="48"/>
  <c r="DC522" i="48"/>
  <c r="DC515" i="48"/>
  <c r="DC518" i="48"/>
  <c r="DC517" i="48"/>
  <c r="DC521" i="48"/>
  <c r="DC524" i="48"/>
  <c r="AJ487" i="48"/>
  <c r="AJ488" i="48"/>
  <c r="AJ491" i="48"/>
  <c r="DC498" i="48"/>
  <c r="DC492" i="48"/>
  <c r="DC495" i="48"/>
  <c r="AJ484" i="48"/>
  <c r="DC491" i="48"/>
  <c r="DC483" i="48"/>
  <c r="DC487" i="48"/>
  <c r="DC501" i="48"/>
  <c r="DC502" i="48"/>
  <c r="DC488" i="48"/>
  <c r="DC458" i="48"/>
  <c r="DC465" i="48"/>
  <c r="DC461" i="48"/>
  <c r="DC475" i="48"/>
  <c r="DC477" i="48"/>
  <c r="DC476" i="48"/>
  <c r="DC466" i="48"/>
  <c r="DC472" i="48"/>
  <c r="DC459" i="48"/>
  <c r="DC470" i="48"/>
  <c r="DC448" i="48"/>
  <c r="DC433" i="48"/>
  <c r="DC435" i="48"/>
  <c r="DC432" i="48"/>
  <c r="DC437" i="48"/>
  <c r="DC446" i="48"/>
  <c r="DC440" i="48"/>
  <c r="DC444" i="48"/>
  <c r="DC439" i="48"/>
  <c r="DC451" i="48"/>
  <c r="DC450" i="48"/>
  <c r="AK421" i="48"/>
  <c r="DC400" i="48"/>
  <c r="DC385" i="48"/>
  <c r="DC390" i="48"/>
  <c r="DC395" i="48"/>
  <c r="DC391" i="48"/>
  <c r="AJ384" i="48"/>
  <c r="AR384" i="48" s="1"/>
  <c r="DC384" i="48"/>
  <c r="AJ382" i="48"/>
  <c r="DC382" i="48"/>
  <c r="DC394" i="48"/>
  <c r="DC398" i="48"/>
  <c r="DC387" i="48"/>
  <c r="DC401" i="48"/>
  <c r="AJ364" i="48"/>
  <c r="AJ357" i="48"/>
  <c r="DC358" i="48"/>
  <c r="DC361" i="48"/>
  <c r="DC374" i="48"/>
  <c r="DC367" i="48"/>
  <c r="AJ373" i="48"/>
  <c r="AT373" i="48" s="1"/>
  <c r="DC372" i="48"/>
  <c r="DC376" i="48"/>
  <c r="DC365" i="48"/>
  <c r="AJ337" i="48"/>
  <c r="DC352" i="48"/>
  <c r="DC351" i="48"/>
  <c r="DC332" i="48"/>
  <c r="DC335" i="48"/>
  <c r="DC349" i="48"/>
  <c r="DC342" i="48"/>
  <c r="DC339" i="48"/>
  <c r="DC337" i="48"/>
  <c r="DC345" i="48"/>
  <c r="DC350" i="48"/>
  <c r="DC312" i="48"/>
  <c r="DC314" i="48"/>
  <c r="DC318" i="48"/>
  <c r="DC321" i="48"/>
  <c r="DC316" i="48"/>
  <c r="DC326" i="48"/>
  <c r="DC327" i="48"/>
  <c r="DC308" i="48"/>
  <c r="DC320" i="48"/>
  <c r="DC310" i="48"/>
  <c r="DC325" i="48"/>
  <c r="DC309" i="48"/>
  <c r="DC323" i="48"/>
  <c r="DC289" i="48"/>
  <c r="DC300" i="48"/>
  <c r="DC297" i="48"/>
  <c r="DC282" i="48"/>
  <c r="DC299" i="48"/>
  <c r="DC295" i="48"/>
  <c r="DC292" i="48"/>
  <c r="DC284" i="48"/>
  <c r="DC301" i="48"/>
  <c r="DC263" i="48"/>
  <c r="DC261" i="48"/>
  <c r="DC270" i="48"/>
  <c r="DC269" i="48"/>
  <c r="DC266" i="48"/>
  <c r="AJ275" i="48"/>
  <c r="DC265" i="48"/>
  <c r="AJ258" i="48"/>
  <c r="DC267" i="48"/>
  <c r="DC264" i="48"/>
  <c r="DC273" i="48"/>
  <c r="DC259" i="48"/>
  <c r="DC262" i="48"/>
  <c r="DC275" i="48"/>
  <c r="AJ236" i="48"/>
  <c r="AJ240" i="48"/>
  <c r="AJ239" i="48"/>
  <c r="AJ245" i="48"/>
  <c r="AJ234" i="48"/>
  <c r="AT234" i="48" s="1"/>
  <c r="DC234" i="48"/>
  <c r="AJ248" i="48"/>
  <c r="AP248" i="48" s="1"/>
  <c r="DC248" i="48"/>
  <c r="DC243" i="48"/>
  <c r="DC232" i="48"/>
  <c r="DC250" i="48"/>
  <c r="DC238" i="48"/>
  <c r="DC244" i="48"/>
  <c r="AJ232" i="48"/>
  <c r="DC251" i="48"/>
  <c r="DC242" i="48"/>
  <c r="DC236" i="48"/>
  <c r="DC239" i="48"/>
  <c r="DC240" i="48"/>
  <c r="DC245" i="48"/>
  <c r="DC222" i="48"/>
  <c r="DC224" i="48"/>
  <c r="DC207" i="48"/>
  <c r="DC219" i="48"/>
  <c r="DC211" i="48"/>
  <c r="DC216" i="48"/>
  <c r="DC221" i="48"/>
  <c r="DC225" i="48"/>
  <c r="DC214" i="48"/>
  <c r="DC227" i="48"/>
  <c r="DC226" i="48"/>
  <c r="DC213" i="48"/>
  <c r="DC208" i="48"/>
  <c r="DC186" i="48"/>
  <c r="DC183" i="48"/>
  <c r="AJ174" i="48"/>
  <c r="AS145" i="48"/>
  <c r="AT150" i="48"/>
  <c r="AP145" i="48"/>
  <c r="AS150" i="48"/>
  <c r="AP150" i="48"/>
  <c r="AT136" i="48"/>
  <c r="DC114" i="48"/>
  <c r="DC44" i="48"/>
  <c r="AJ193" i="48"/>
  <c r="AJ197" i="48"/>
  <c r="DC199" i="48"/>
  <c r="DC191" i="48"/>
  <c r="DC196" i="48"/>
  <c r="DC187" i="48"/>
  <c r="DC188" i="48"/>
  <c r="DC184" i="48"/>
  <c r="DC182" i="48"/>
  <c r="DC201" i="48"/>
  <c r="DC202" i="48"/>
  <c r="DC197" i="48"/>
  <c r="DC193" i="48"/>
  <c r="DC194" i="48"/>
  <c r="DC200" i="48"/>
  <c r="AJ172" i="48"/>
  <c r="DC164" i="48"/>
  <c r="DC167" i="48"/>
  <c r="DC168" i="48"/>
  <c r="DC174" i="48"/>
  <c r="DC166" i="48"/>
  <c r="DC170" i="48"/>
  <c r="DC158" i="48"/>
  <c r="DC163" i="48"/>
  <c r="DC172" i="48"/>
  <c r="DC176" i="48"/>
  <c r="AJ122" i="48"/>
  <c r="DC121" i="48"/>
  <c r="DC123" i="48"/>
  <c r="DC109" i="48"/>
  <c r="DC107" i="48"/>
  <c r="DC117" i="48"/>
  <c r="AJ123" i="48"/>
  <c r="AT123" i="48" s="1"/>
  <c r="DC46" i="48"/>
  <c r="DC40" i="48"/>
  <c r="DC38" i="48"/>
  <c r="DC32" i="48"/>
  <c r="DC34" i="48"/>
  <c r="AJ44" i="48"/>
  <c r="DC36" i="48"/>
  <c r="AJ32" i="48"/>
  <c r="DC42" i="48"/>
  <c r="AJ46" i="48"/>
  <c r="AJ34" i="48"/>
  <c r="AS34" i="48" s="1"/>
  <c r="AJ1344" i="48"/>
  <c r="AJ1315" i="48"/>
  <c r="AJ1319" i="48"/>
  <c r="AJ1318" i="48"/>
  <c r="AT1321" i="48"/>
  <c r="AJ1291" i="48"/>
  <c r="AJ1296" i="48"/>
  <c r="AJ1272" i="48"/>
  <c r="AJ1271" i="48"/>
  <c r="AJ1270" i="48"/>
  <c r="AJ1275" i="48"/>
  <c r="AJ1273" i="48"/>
  <c r="AJ1268" i="48"/>
  <c r="DC692" i="48"/>
  <c r="DC689" i="48"/>
  <c r="DC695" i="48"/>
  <c r="AJ612" i="48"/>
  <c r="DC613" i="48"/>
  <c r="DC624" i="48"/>
  <c r="DC622" i="48"/>
  <c r="DC623" i="48"/>
  <c r="DC625" i="48"/>
  <c r="AJ608" i="48"/>
  <c r="DC617" i="48"/>
  <c r="DC620" i="48"/>
  <c r="DC609" i="48"/>
  <c r="DC619" i="48"/>
  <c r="DC612" i="48"/>
  <c r="DC614" i="48"/>
  <c r="DC607" i="48"/>
  <c r="DC615" i="48"/>
  <c r="DC610" i="48"/>
  <c r="DC626" i="48"/>
  <c r="DC115" i="48"/>
  <c r="DC126" i="48"/>
  <c r="DC127" i="48"/>
  <c r="DC116" i="48"/>
  <c r="DC124" i="48"/>
  <c r="AJ109" i="48"/>
  <c r="DC118" i="48"/>
  <c r="DC110" i="48"/>
  <c r="DC112" i="48"/>
  <c r="DC120" i="48"/>
  <c r="DC111" i="48"/>
  <c r="AJ108" i="48"/>
  <c r="DC108" i="48"/>
  <c r="DC122" i="48"/>
  <c r="DC125" i="48"/>
  <c r="DC82" i="48"/>
  <c r="DC96" i="48"/>
  <c r="DC99" i="48"/>
  <c r="DC95" i="48"/>
  <c r="DC88" i="48"/>
  <c r="DC83" i="48"/>
  <c r="DC101" i="48"/>
  <c r="DC102" i="48"/>
  <c r="DC84" i="48"/>
  <c r="DC87" i="48"/>
  <c r="AJ91" i="48"/>
  <c r="DC91" i="48"/>
  <c r="DC94" i="48"/>
  <c r="DC98" i="48"/>
  <c r="DC85" i="48"/>
  <c r="DC90" i="48"/>
  <c r="DC64" i="48"/>
  <c r="DC72" i="48"/>
  <c r="AJ60" i="48"/>
  <c r="AT60" i="48" s="1"/>
  <c r="DC59" i="48"/>
  <c r="DC57" i="48"/>
  <c r="DC71" i="48"/>
  <c r="DC63" i="48"/>
  <c r="DC67" i="48"/>
  <c r="AJ64" i="48"/>
  <c r="AS64" i="48" s="1"/>
  <c r="AJ59" i="48"/>
  <c r="AJ71" i="48"/>
  <c r="AT71" i="48" s="1"/>
  <c r="DC73" i="48"/>
  <c r="DC61" i="48"/>
  <c r="DC60" i="48"/>
  <c r="DC65" i="48"/>
  <c r="DC68" i="48"/>
  <c r="DC58" i="48"/>
  <c r="DC75" i="48"/>
  <c r="DC76" i="48"/>
  <c r="DC35" i="48"/>
  <c r="DC37" i="48"/>
  <c r="DC39" i="48"/>
  <c r="DC47" i="48"/>
  <c r="DC41" i="48"/>
  <c r="AJ37" i="48"/>
  <c r="AT37" i="48" s="1"/>
  <c r="DC33" i="48"/>
  <c r="DC51" i="48"/>
  <c r="DC52" i="48"/>
  <c r="DC48" i="48"/>
  <c r="DC45" i="48"/>
  <c r="DC49" i="48"/>
  <c r="DC43" i="48"/>
  <c r="DC50" i="48"/>
  <c r="DC808" i="48"/>
  <c r="DC820" i="48"/>
  <c r="AJ1242" i="48"/>
  <c r="AJ1332" i="48"/>
  <c r="AJ1334" i="48"/>
  <c r="AJ1307" i="48"/>
  <c r="AJ1283" i="48"/>
  <c r="AJ1233" i="48"/>
  <c r="AJ1231" i="48"/>
  <c r="AJ1232" i="48"/>
  <c r="AJ1217" i="48"/>
  <c r="AJ1208" i="48"/>
  <c r="AJ1209" i="48"/>
  <c r="AJ1223" i="48"/>
  <c r="AJ839" i="48"/>
  <c r="AJ835" i="48"/>
  <c r="AT835" i="48" s="1"/>
  <c r="AJ834" i="48"/>
  <c r="AJ832" i="48"/>
  <c r="AJ831" i="48"/>
  <c r="AJ833" i="48"/>
  <c r="AJ848" i="48"/>
  <c r="AJ816" i="48"/>
  <c r="AJ808" i="48"/>
  <c r="AJ807" i="48"/>
  <c r="DC816" i="48"/>
  <c r="DC823" i="48"/>
  <c r="DC819" i="48"/>
  <c r="DC821" i="48"/>
  <c r="DC811" i="48"/>
  <c r="DC824" i="48"/>
  <c r="DC813" i="48"/>
  <c r="DC817" i="48"/>
  <c r="DC809" i="48"/>
  <c r="AJ795" i="48"/>
  <c r="AJ794" i="48"/>
  <c r="DC784" i="48"/>
  <c r="AJ798" i="48"/>
  <c r="AJ784" i="48"/>
  <c r="DC794" i="48"/>
  <c r="DC795" i="48"/>
  <c r="DC799" i="48"/>
  <c r="DC801" i="48"/>
  <c r="DC796" i="48"/>
  <c r="DC790" i="48"/>
  <c r="DC782" i="48"/>
  <c r="DC788" i="48"/>
  <c r="DC791" i="48"/>
  <c r="DC786" i="48"/>
  <c r="AJ782" i="48"/>
  <c r="DC757" i="48"/>
  <c r="DC759" i="48"/>
  <c r="DC762" i="48"/>
  <c r="DC763" i="48"/>
  <c r="DC773" i="48"/>
  <c r="DC770" i="48"/>
  <c r="AJ757" i="48"/>
  <c r="AJ759" i="48"/>
  <c r="DC767" i="48"/>
  <c r="DC776" i="48"/>
  <c r="AJ758" i="48"/>
  <c r="AJ744" i="48"/>
  <c r="AT744" i="48" s="1"/>
  <c r="AJ737" i="48"/>
  <c r="AT737" i="48" s="1"/>
  <c r="AJ733" i="48"/>
  <c r="AJ732" i="48"/>
  <c r="DC739" i="48"/>
  <c r="DC745" i="48"/>
  <c r="DC749" i="48"/>
  <c r="DC741" i="48"/>
  <c r="AJ748" i="48"/>
  <c r="DC747" i="48"/>
  <c r="DC735" i="48"/>
  <c r="DC742" i="48"/>
  <c r="DC734" i="48"/>
  <c r="DC744" i="48"/>
  <c r="DC737" i="48"/>
  <c r="AJ719" i="48"/>
  <c r="AJ707" i="48"/>
  <c r="DC711" i="48"/>
  <c r="DC715" i="48"/>
  <c r="DC708" i="48"/>
  <c r="DC712" i="48"/>
  <c r="DC709" i="48"/>
  <c r="DC721" i="48"/>
  <c r="DC724" i="48"/>
  <c r="DC722" i="48"/>
  <c r="DC713" i="48"/>
  <c r="DC719" i="48"/>
  <c r="AJ708" i="48"/>
  <c r="AJ709" i="48"/>
  <c r="DC697" i="48"/>
  <c r="DC698" i="48"/>
  <c r="AJ682" i="48"/>
  <c r="AJ698" i="48"/>
  <c r="AT698" i="48" s="1"/>
  <c r="DC683" i="48"/>
  <c r="DC694" i="48"/>
  <c r="DC691" i="48"/>
  <c r="DC686" i="48"/>
  <c r="DC699" i="48"/>
  <c r="DC684" i="48"/>
  <c r="DC700" i="48"/>
  <c r="AJ683" i="48"/>
  <c r="AJ684" i="48"/>
  <c r="AJ607" i="48"/>
  <c r="AJ587" i="48"/>
  <c r="AJ583" i="48"/>
  <c r="AJ582" i="48"/>
  <c r="AJ532" i="48"/>
  <c r="AJ533" i="48"/>
  <c r="AJ523" i="48"/>
  <c r="AP523" i="48" s="1"/>
  <c r="AJ509" i="48"/>
  <c r="AJ508" i="48"/>
  <c r="AJ507" i="48"/>
  <c r="AJ458" i="48"/>
  <c r="AJ457" i="48"/>
  <c r="AJ459" i="48"/>
  <c r="AJ450" i="48"/>
  <c r="AJ444" i="48"/>
  <c r="AJ433" i="48"/>
  <c r="AJ434" i="48"/>
  <c r="AJ432" i="48"/>
  <c r="AT415" i="48"/>
  <c r="AS420" i="48"/>
  <c r="AS415" i="48"/>
  <c r="AT420" i="48"/>
  <c r="AP415" i="48"/>
  <c r="AJ408" i="48"/>
  <c r="AJ407" i="48"/>
  <c r="AR420" i="48"/>
  <c r="AJ409" i="48"/>
  <c r="AJ406" i="48"/>
  <c r="AJ400" i="48"/>
  <c r="AJ385" i="48"/>
  <c r="AT385" i="48" s="1"/>
  <c r="AJ390" i="48"/>
  <c r="AJ394" i="48"/>
  <c r="AJ358" i="48"/>
  <c r="AJ332" i="48"/>
  <c r="AJ308" i="48"/>
  <c r="AJ309" i="48"/>
  <c r="AJ282" i="48"/>
  <c r="AJ284" i="48"/>
  <c r="AJ238" i="48"/>
  <c r="AJ207" i="48"/>
  <c r="AJ208" i="48"/>
  <c r="AJ183" i="48"/>
  <c r="AJ173" i="48"/>
  <c r="AJ157" i="48"/>
  <c r="AJ158" i="48"/>
  <c r="AT143" i="48"/>
  <c r="AP143" i="48"/>
  <c r="AJ135" i="48"/>
  <c r="AT135" i="48" s="1"/>
  <c r="AJ140" i="48"/>
  <c r="AJ137" i="48"/>
  <c r="AJ148" i="48"/>
  <c r="AJ138" i="48"/>
  <c r="AJ142" i="48"/>
  <c r="AJ149" i="48"/>
  <c r="AJ139" i="48"/>
  <c r="AJ144" i="48"/>
  <c r="AJ141" i="48"/>
  <c r="AJ115" i="48"/>
  <c r="AJ107" i="48"/>
  <c r="AJ83" i="48"/>
  <c r="AJ84" i="48"/>
  <c r="AJ82" i="48"/>
  <c r="AJ58" i="48"/>
  <c r="AJ33" i="48"/>
  <c r="AT200" i="48"/>
  <c r="AS200" i="48"/>
  <c r="AD13" i="48"/>
  <c r="AD16" i="48"/>
  <c r="AD11" i="48"/>
  <c r="AD18" i="48"/>
  <c r="AD24" i="48"/>
  <c r="AD20" i="48"/>
  <c r="AD17" i="48"/>
  <c r="AD12" i="48"/>
  <c r="AD23" i="48"/>
  <c r="AD21" i="48"/>
  <c r="AD15" i="48"/>
  <c r="AD14" i="48"/>
  <c r="AP50" i="48"/>
  <c r="AS350" i="48"/>
  <c r="AR125" i="48"/>
  <c r="AJ9" i="48"/>
  <c r="AT9" i="48" s="1"/>
  <c r="AJ22" i="48"/>
  <c r="AR1200" i="48"/>
  <c r="AS1200" i="48"/>
  <c r="AR200" i="48"/>
  <c r="AT1100" i="48"/>
  <c r="AS1100" i="48"/>
  <c r="AR1100" i="48"/>
  <c r="AT1200" i="48"/>
  <c r="AP1100" i="48"/>
  <c r="AP1200" i="48"/>
  <c r="AS125" i="48"/>
  <c r="AR1025" i="48"/>
  <c r="AT125" i="48"/>
  <c r="AJ16" i="48"/>
  <c r="AS1025" i="48"/>
  <c r="AT350" i="48"/>
  <c r="AP1025" i="48"/>
  <c r="AP350" i="48"/>
  <c r="AT1025" i="48"/>
  <c r="AR350" i="48"/>
  <c r="AJ20" i="48"/>
  <c r="AJ17" i="48"/>
  <c r="AJ12" i="48"/>
  <c r="AJ21" i="48"/>
  <c r="AJ15" i="48"/>
  <c r="AR50" i="48"/>
  <c r="AP425" i="48"/>
  <c r="AT425" i="48"/>
  <c r="AS50" i="48"/>
  <c r="AT50" i="48"/>
  <c r="AS425" i="48"/>
  <c r="AR425" i="48"/>
  <c r="AJ23" i="48"/>
  <c r="AJ13" i="48"/>
  <c r="AJ19" i="48"/>
  <c r="AJ14" i="48"/>
  <c r="AJ11" i="48"/>
  <c r="AJ18" i="48"/>
  <c r="AJ24" i="48"/>
  <c r="DC25" i="48"/>
  <c r="AS10" i="48"/>
  <c r="AR10" i="48"/>
  <c r="AT10" i="48"/>
  <c r="AR248" i="48" l="1"/>
  <c r="AS1122" i="48"/>
  <c r="AP1122" i="48"/>
  <c r="AK748" i="48"/>
  <c r="AP698" i="48"/>
  <c r="AR748" i="48"/>
  <c r="AS384" i="48"/>
  <c r="AT384" i="48"/>
  <c r="AT597" i="48"/>
  <c r="AP748" i="48"/>
  <c r="AP1298" i="48"/>
  <c r="AS1298" i="48"/>
  <c r="AT887" i="48"/>
  <c r="AR1173" i="48"/>
  <c r="AR1073" i="48"/>
  <c r="AP1073" i="48"/>
  <c r="AP1120" i="48"/>
  <c r="AR1120" i="48"/>
  <c r="AK1120" i="48"/>
  <c r="AP42" i="48"/>
  <c r="AS42" i="48"/>
  <c r="AR42" i="48"/>
  <c r="AR1089" i="48"/>
  <c r="AS1089" i="48"/>
  <c r="AT42" i="48"/>
  <c r="AT1122" i="48"/>
  <c r="AJ973" i="48"/>
  <c r="AT973" i="48" s="1"/>
  <c r="AK1121" i="48"/>
  <c r="AT62" i="48"/>
  <c r="AT1089" i="48"/>
  <c r="AP371" i="48"/>
  <c r="AR371" i="48"/>
  <c r="AS371" i="48"/>
  <c r="AT371" i="48"/>
  <c r="AP593" i="48"/>
  <c r="AK594" i="48"/>
  <c r="AT971" i="48"/>
  <c r="AT868" i="48"/>
  <c r="AT897" i="48"/>
  <c r="AT1087" i="48"/>
  <c r="AT1014" i="48"/>
  <c r="AT1188" i="48"/>
  <c r="AT918" i="48"/>
  <c r="AT149" i="48"/>
  <c r="AT839" i="48"/>
  <c r="AT915" i="48"/>
  <c r="AP62" i="48"/>
  <c r="AT612" i="48"/>
  <c r="AT122" i="48"/>
  <c r="AT239" i="48"/>
  <c r="AT491" i="48"/>
  <c r="AT561" i="48"/>
  <c r="AT595" i="48"/>
  <c r="AT966" i="48"/>
  <c r="AT1295" i="48"/>
  <c r="AT889" i="48"/>
  <c r="AJ1250" i="48"/>
  <c r="AT1250" i="48" s="1"/>
  <c r="AT141" i="48"/>
  <c r="AT142" i="48"/>
  <c r="AT140" i="48"/>
  <c r="AT238" i="48"/>
  <c r="AT394" i="48"/>
  <c r="AT390" i="48"/>
  <c r="AT444" i="48"/>
  <c r="AT523" i="48"/>
  <c r="AR698" i="48"/>
  <c r="AP798" i="48"/>
  <c r="AT795" i="48"/>
  <c r="AT816" i="48"/>
  <c r="AT914" i="48"/>
  <c r="AT1021" i="48"/>
  <c r="AT1223" i="48"/>
  <c r="AT1298" i="48"/>
  <c r="AP71" i="48"/>
  <c r="AT91" i="48"/>
  <c r="AT1272" i="48"/>
  <c r="AT1318" i="48"/>
  <c r="AT197" i="48"/>
  <c r="AT240" i="48"/>
  <c r="AT275" i="48"/>
  <c r="AR373" i="48"/>
  <c r="AP364" i="48"/>
  <c r="AT488" i="48"/>
  <c r="AT571" i="48"/>
  <c r="AT594" i="48"/>
  <c r="AP889" i="48"/>
  <c r="AT962" i="48"/>
  <c r="AT1061" i="48"/>
  <c r="AT1263" i="48"/>
  <c r="AS1120" i="48"/>
  <c r="AP893" i="48"/>
  <c r="AT1019" i="48"/>
  <c r="AP887" i="48"/>
  <c r="AT1193" i="48"/>
  <c r="AT115" i="48"/>
  <c r="AT137" i="48"/>
  <c r="AR948" i="48"/>
  <c r="AT1217" i="48"/>
  <c r="AT1268" i="48"/>
  <c r="AT1344" i="48"/>
  <c r="AT337" i="48"/>
  <c r="AT773" i="48"/>
  <c r="AT989" i="48"/>
  <c r="AT1265" i="48"/>
  <c r="AT1325" i="48"/>
  <c r="AT342" i="48"/>
  <c r="AP1121" i="48"/>
  <c r="AS1015" i="48"/>
  <c r="AS887" i="48"/>
  <c r="AT248" i="48"/>
  <c r="AS248" i="48"/>
  <c r="AT144" i="48"/>
  <c r="AT138" i="48"/>
  <c r="AT450" i="48"/>
  <c r="AT587" i="48"/>
  <c r="AT719" i="48"/>
  <c r="AS848" i="48"/>
  <c r="AP37" i="48"/>
  <c r="AR122" i="48"/>
  <c r="AT1275" i="48"/>
  <c r="AT1296" i="48"/>
  <c r="AP123" i="48"/>
  <c r="AT193" i="48"/>
  <c r="AT236" i="48"/>
  <c r="AP375" i="48"/>
  <c r="I45" i="58" s="1"/>
  <c r="AT487" i="48"/>
  <c r="AT575" i="48"/>
  <c r="AT895" i="48"/>
  <c r="AT970" i="48"/>
  <c r="AT573" i="48"/>
  <c r="AT343" i="48"/>
  <c r="AT1191" i="48"/>
  <c r="AT173" i="48"/>
  <c r="AT794" i="48"/>
  <c r="AT1271" i="48"/>
  <c r="AT1113" i="48"/>
  <c r="AT139" i="48"/>
  <c r="AT148" i="48"/>
  <c r="AT400" i="48"/>
  <c r="AT912" i="48"/>
  <c r="AT917" i="48"/>
  <c r="AS1148" i="48"/>
  <c r="AS1242" i="48"/>
  <c r="AT1270" i="48"/>
  <c r="AT1291" i="48"/>
  <c r="AT1315" i="48"/>
  <c r="AT172" i="48"/>
  <c r="AT174" i="48"/>
  <c r="AT245" i="48"/>
  <c r="AP348" i="48"/>
  <c r="AT770" i="48"/>
  <c r="AT1095" i="48"/>
  <c r="AT1261" i="48"/>
  <c r="AT1287" i="48"/>
  <c r="AT649" i="48"/>
  <c r="AT1119" i="48"/>
  <c r="AR1122" i="48"/>
  <c r="AP1294" i="48"/>
  <c r="AR1294" i="48"/>
  <c r="AP112" i="48"/>
  <c r="AT112" i="48"/>
  <c r="AS112" i="48"/>
  <c r="AR112" i="48"/>
  <c r="AR899" i="48"/>
  <c r="AS899" i="48"/>
  <c r="AS1259" i="48"/>
  <c r="AR1259" i="48"/>
  <c r="AT375" i="48"/>
  <c r="AR559" i="48"/>
  <c r="AS559" i="48"/>
  <c r="AT559" i="48"/>
  <c r="AT1009" i="48"/>
  <c r="AS1009" i="48"/>
  <c r="AR1009" i="48"/>
  <c r="AR1124" i="48"/>
  <c r="AP1124" i="48"/>
  <c r="AR243" i="48"/>
  <c r="AP243" i="48"/>
  <c r="AT243" i="48"/>
  <c r="AS243" i="48"/>
  <c r="AR48" i="48"/>
  <c r="AT48" i="48"/>
  <c r="AP48" i="48"/>
  <c r="AS48" i="48"/>
  <c r="AT1284" i="48"/>
  <c r="AS1284" i="48"/>
  <c r="AR1284" i="48"/>
  <c r="AP45" i="48"/>
  <c r="AK46" i="48"/>
  <c r="AR45" i="48"/>
  <c r="AS45" i="48"/>
  <c r="AT45" i="48"/>
  <c r="AP619" i="48"/>
  <c r="AT619" i="48"/>
  <c r="AR619" i="48"/>
  <c r="AS619" i="48"/>
  <c r="AP1346" i="48"/>
  <c r="AS1346" i="48"/>
  <c r="AT1346" i="48"/>
  <c r="AR1346" i="48"/>
  <c r="AP173" i="48"/>
  <c r="AR123" i="48"/>
  <c r="AK174" i="48"/>
  <c r="AS748" i="48"/>
  <c r="AR62" i="48"/>
  <c r="AS234" i="48"/>
  <c r="AT1015" i="48"/>
  <c r="AT1259" i="48"/>
  <c r="AT899" i="48"/>
  <c r="AT1294" i="48"/>
  <c r="AP899" i="48"/>
  <c r="AJ734" i="48"/>
  <c r="AK735" i="48" s="1"/>
  <c r="AS698" i="48"/>
  <c r="AK123" i="48"/>
  <c r="AP948" i="48"/>
  <c r="AT748" i="48"/>
  <c r="AR234" i="48"/>
  <c r="AS375" i="48"/>
  <c r="AK45" i="48"/>
  <c r="AS1294" i="48"/>
  <c r="AK1294" i="48"/>
  <c r="AS123" i="48"/>
  <c r="AK749" i="48"/>
  <c r="AS1317" i="48"/>
  <c r="AT1317" i="48"/>
  <c r="AR1317" i="48"/>
  <c r="AP1317" i="48"/>
  <c r="AR1148" i="48"/>
  <c r="AP1148" i="48"/>
  <c r="AR1125" i="48"/>
  <c r="AS1125" i="48"/>
  <c r="AT1125" i="48"/>
  <c r="AP1125" i="48"/>
  <c r="AP1116" i="48"/>
  <c r="AR1116" i="48"/>
  <c r="AS1116" i="48"/>
  <c r="AP1114" i="48"/>
  <c r="AR1114" i="48"/>
  <c r="AS1114" i="48"/>
  <c r="AK1114" i="48"/>
  <c r="AP1118" i="48"/>
  <c r="AT1118" i="48"/>
  <c r="AS1118" i="48"/>
  <c r="AK1118" i="48"/>
  <c r="AR1118" i="48"/>
  <c r="AK1119" i="48"/>
  <c r="AP1117" i="48"/>
  <c r="AR1117" i="48"/>
  <c r="AK1117" i="48"/>
  <c r="AT1117" i="48"/>
  <c r="AS1117" i="48"/>
  <c r="AT1114" i="48"/>
  <c r="AT1116" i="48"/>
  <c r="AP1091" i="48"/>
  <c r="AK1091" i="48"/>
  <c r="AT1091" i="48"/>
  <c r="AS1091" i="48"/>
  <c r="AR1091" i="48"/>
  <c r="AP1090" i="48"/>
  <c r="AK1090" i="48"/>
  <c r="AR1090" i="48"/>
  <c r="AT1090" i="48"/>
  <c r="AS1090" i="48"/>
  <c r="AR1099" i="48"/>
  <c r="AS1099" i="48"/>
  <c r="AP1099" i="48"/>
  <c r="AT1099" i="48"/>
  <c r="AK1100" i="48"/>
  <c r="AS1088" i="48"/>
  <c r="AT1088" i="48"/>
  <c r="AR1088" i="48"/>
  <c r="AP1088" i="48"/>
  <c r="AS1093" i="48"/>
  <c r="AT1093" i="48"/>
  <c r="AR1093" i="48"/>
  <c r="AP1093" i="48"/>
  <c r="AT809" i="48"/>
  <c r="AS809" i="48"/>
  <c r="AR809" i="48"/>
  <c r="AP614" i="48"/>
  <c r="AS614" i="48"/>
  <c r="AT614" i="48"/>
  <c r="AR614" i="48"/>
  <c r="AT609" i="48"/>
  <c r="AR609" i="48"/>
  <c r="AS609" i="48"/>
  <c r="AP365" i="48"/>
  <c r="AT365" i="48"/>
  <c r="AR365" i="48"/>
  <c r="AK365" i="48"/>
  <c r="AS365" i="48"/>
  <c r="AR348" i="48"/>
  <c r="AS348" i="48"/>
  <c r="AP124" i="48"/>
  <c r="AK124" i="48"/>
  <c r="AR124" i="48"/>
  <c r="AK125" i="48"/>
  <c r="AT124" i="48"/>
  <c r="AS124" i="48"/>
  <c r="AJ49" i="48"/>
  <c r="AJ47" i="48"/>
  <c r="AS373" i="48"/>
  <c r="AT948" i="48"/>
  <c r="AS1223" i="48"/>
  <c r="AR71" i="48"/>
  <c r="AR595" i="48"/>
  <c r="AS595" i="48"/>
  <c r="AR893" i="48"/>
  <c r="AP373" i="48"/>
  <c r="AS948" i="48"/>
  <c r="AP1223" i="48"/>
  <c r="AT364" i="48"/>
  <c r="AT848" i="48"/>
  <c r="AT798" i="48"/>
  <c r="AR1223" i="48"/>
  <c r="AS71" i="48"/>
  <c r="AS364" i="48"/>
  <c r="AR364" i="48"/>
  <c r="AS1087" i="48"/>
  <c r="AT1148" i="48"/>
  <c r="AS1173" i="48"/>
  <c r="AK1125" i="48"/>
  <c r="AS1121" i="48"/>
  <c r="AK1122" i="48"/>
  <c r="AP612" i="48"/>
  <c r="AS1124" i="48"/>
  <c r="AT1173" i="48"/>
  <c r="AK173" i="48"/>
  <c r="AT593" i="48"/>
  <c r="AR1121" i="48"/>
  <c r="AT893" i="48"/>
  <c r="AT1124" i="48"/>
  <c r="AS893" i="48"/>
  <c r="AR173" i="48"/>
  <c r="AS173" i="48"/>
  <c r="AT1293" i="48"/>
  <c r="AT1121" i="48"/>
  <c r="AR1191" i="48"/>
  <c r="AP1191" i="48"/>
  <c r="AS1191" i="48"/>
  <c r="AP1188" i="48"/>
  <c r="AR1188" i="48"/>
  <c r="AS1188" i="48"/>
  <c r="AR1193" i="48"/>
  <c r="AP1193" i="48"/>
  <c r="AS1193" i="48"/>
  <c r="AP343" i="48"/>
  <c r="AR343" i="48"/>
  <c r="AS343" i="48"/>
  <c r="AP1119" i="48"/>
  <c r="AR1119" i="48"/>
  <c r="AS1119" i="48"/>
  <c r="AP1019" i="48"/>
  <c r="AS1019" i="48"/>
  <c r="AR1019" i="48"/>
  <c r="AJ338" i="48"/>
  <c r="AK338" i="48" s="1"/>
  <c r="AJ1115" i="48"/>
  <c r="AP1113" i="48"/>
  <c r="AR1113" i="48"/>
  <c r="AS1113" i="48"/>
  <c r="AS745" i="48"/>
  <c r="AP745" i="48"/>
  <c r="AR745" i="48"/>
  <c r="AJ572" i="48"/>
  <c r="AT334" i="48"/>
  <c r="AR334" i="48"/>
  <c r="AS334" i="48"/>
  <c r="AR889" i="48"/>
  <c r="AS889" i="48"/>
  <c r="AR573" i="48"/>
  <c r="AS573" i="48"/>
  <c r="AP573" i="48"/>
  <c r="AP1242" i="48"/>
  <c r="AJ165" i="48"/>
  <c r="AP649" i="48"/>
  <c r="AR649" i="48"/>
  <c r="AS649" i="48"/>
  <c r="AS1014" i="48"/>
  <c r="AP1014" i="48"/>
  <c r="AR1014" i="48"/>
  <c r="AP739" i="48"/>
  <c r="AR739" i="48"/>
  <c r="AS739" i="48"/>
  <c r="AP342" i="48"/>
  <c r="AS342" i="48"/>
  <c r="AK343" i="48"/>
  <c r="AR342" i="48"/>
  <c r="AS1325" i="48"/>
  <c r="AP1325" i="48"/>
  <c r="AR1325" i="48"/>
  <c r="AR1295" i="48"/>
  <c r="AP1295" i="48"/>
  <c r="AS1295" i="48"/>
  <c r="AK1295" i="48"/>
  <c r="AP1288" i="48"/>
  <c r="AS1288" i="48"/>
  <c r="AK1288" i="48"/>
  <c r="AR1288" i="48"/>
  <c r="AT1288" i="48"/>
  <c r="AS1287" i="48"/>
  <c r="AP1287" i="48"/>
  <c r="AR1287" i="48"/>
  <c r="AR1293" i="48"/>
  <c r="AP1293" i="48"/>
  <c r="AS1293" i="48"/>
  <c r="AR1265" i="48"/>
  <c r="AS1265" i="48"/>
  <c r="AP1265" i="48"/>
  <c r="AR1261" i="48"/>
  <c r="AP1261" i="48"/>
  <c r="AS1261" i="48"/>
  <c r="AP1263" i="48"/>
  <c r="AS1263" i="48"/>
  <c r="AR1263" i="48"/>
  <c r="AJ1123" i="48"/>
  <c r="AT1109" i="48"/>
  <c r="AR1109" i="48"/>
  <c r="AS1109" i="48"/>
  <c r="AJ1112" i="48"/>
  <c r="AJ1111" i="48"/>
  <c r="AS1110" i="48"/>
  <c r="AK1110" i="48"/>
  <c r="AR1110" i="48"/>
  <c r="AR1087" i="48"/>
  <c r="AP1087" i="48"/>
  <c r="AK1088" i="48"/>
  <c r="AJ1098" i="48"/>
  <c r="AJ1096" i="48"/>
  <c r="AS1095" i="48"/>
  <c r="AP1095" i="48"/>
  <c r="AR1095" i="48"/>
  <c r="AK1089" i="48"/>
  <c r="AP1089" i="48"/>
  <c r="AJ1086" i="48"/>
  <c r="AJ1094" i="48"/>
  <c r="AS1084" i="48"/>
  <c r="AR1084" i="48"/>
  <c r="AS1085" i="48"/>
  <c r="AR1085" i="48"/>
  <c r="AK1085" i="48"/>
  <c r="AP1061" i="48"/>
  <c r="AR1061" i="48"/>
  <c r="AS1061" i="48"/>
  <c r="AK1015" i="48"/>
  <c r="AR1015" i="48"/>
  <c r="AP1015" i="48"/>
  <c r="AR989" i="48"/>
  <c r="AS989" i="48"/>
  <c r="AP989" i="48"/>
  <c r="AJ963" i="48"/>
  <c r="AJ967" i="48"/>
  <c r="AP966" i="48"/>
  <c r="AS966" i="48"/>
  <c r="AR966" i="48"/>
  <c r="AP970" i="48"/>
  <c r="AR970" i="48"/>
  <c r="AS970" i="48"/>
  <c r="AP962" i="48"/>
  <c r="AR962" i="48"/>
  <c r="AS962" i="48"/>
  <c r="AP971" i="48"/>
  <c r="AR971" i="48"/>
  <c r="AK971" i="48"/>
  <c r="AS971" i="48"/>
  <c r="AJ896" i="48"/>
  <c r="AS895" i="48"/>
  <c r="AP895" i="48"/>
  <c r="AR895" i="48"/>
  <c r="AJ898" i="48"/>
  <c r="AJ884" i="48"/>
  <c r="AP897" i="48"/>
  <c r="AS897" i="48"/>
  <c r="AR897" i="48"/>
  <c r="AP868" i="48"/>
  <c r="AS868" i="48"/>
  <c r="AR868" i="48"/>
  <c r="AJ772" i="48"/>
  <c r="AJ768" i="48"/>
  <c r="AP770" i="48"/>
  <c r="AS770" i="48"/>
  <c r="AR770" i="48"/>
  <c r="AJ769" i="48"/>
  <c r="AJ765" i="48"/>
  <c r="AR773" i="48"/>
  <c r="AP773" i="48"/>
  <c r="AS773" i="48"/>
  <c r="AR747" i="48"/>
  <c r="AP747" i="48"/>
  <c r="AS747" i="48"/>
  <c r="AR735" i="48"/>
  <c r="AS735" i="48"/>
  <c r="AJ750" i="48"/>
  <c r="AT750" i="48" s="1"/>
  <c r="AP749" i="48"/>
  <c r="AR749" i="48"/>
  <c r="AS749" i="48"/>
  <c r="AP742" i="48"/>
  <c r="AS742" i="48"/>
  <c r="AR742" i="48"/>
  <c r="AJ642" i="48"/>
  <c r="AJ647" i="48"/>
  <c r="AJ644" i="48"/>
  <c r="AJ639" i="48"/>
  <c r="AJ636" i="48"/>
  <c r="AJ645" i="48"/>
  <c r="AJ635" i="48"/>
  <c r="AT635" i="48" s="1"/>
  <c r="AJ648" i="48"/>
  <c r="AJ650" i="48"/>
  <c r="AJ641" i="48"/>
  <c r="AJ640" i="48"/>
  <c r="AJ646" i="48"/>
  <c r="AJ638" i="48"/>
  <c r="AJ643" i="48"/>
  <c r="AJ634" i="48"/>
  <c r="AT634" i="48" s="1"/>
  <c r="AJ637" i="48"/>
  <c r="AK595" i="48"/>
  <c r="AP595" i="48"/>
  <c r="AJ600" i="48"/>
  <c r="AP597" i="48"/>
  <c r="AS597" i="48"/>
  <c r="AS593" i="48"/>
  <c r="AR593" i="48"/>
  <c r="AR594" i="48"/>
  <c r="AS594" i="48"/>
  <c r="AP594" i="48"/>
  <c r="AJ565" i="48"/>
  <c r="AJ564" i="48"/>
  <c r="AJ562" i="48"/>
  <c r="AR561" i="48"/>
  <c r="AS561" i="48"/>
  <c r="AP561" i="48"/>
  <c r="AJ570" i="48"/>
  <c r="AJ566" i="48"/>
  <c r="AJ567" i="48"/>
  <c r="AJ560" i="48"/>
  <c r="AK561" i="48" s="1"/>
  <c r="AP571" i="48"/>
  <c r="AR571" i="48"/>
  <c r="AS571" i="48"/>
  <c r="AJ569" i="48"/>
  <c r="AJ563" i="48"/>
  <c r="AJ568" i="48"/>
  <c r="AR575" i="48"/>
  <c r="AP575" i="48"/>
  <c r="AS575" i="48"/>
  <c r="AJ518" i="48"/>
  <c r="AJ495" i="48"/>
  <c r="AT484" i="48"/>
  <c r="AS484" i="48"/>
  <c r="AR484" i="48"/>
  <c r="AJ486" i="48"/>
  <c r="AJ500" i="48"/>
  <c r="AJ492" i="48"/>
  <c r="AJ499" i="48"/>
  <c r="AJ497" i="48"/>
  <c r="AJ493" i="48"/>
  <c r="AJ490" i="48"/>
  <c r="AP488" i="48"/>
  <c r="AK488" i="48"/>
  <c r="AR488" i="48"/>
  <c r="AS488" i="48"/>
  <c r="AJ498" i="48"/>
  <c r="AJ494" i="48"/>
  <c r="AJ485" i="48"/>
  <c r="AT485" i="48" s="1"/>
  <c r="AJ489" i="48"/>
  <c r="AJ496" i="48"/>
  <c r="AS491" i="48"/>
  <c r="AP491" i="48"/>
  <c r="AR491" i="48"/>
  <c r="AR487" i="48"/>
  <c r="AS487" i="48"/>
  <c r="AP487" i="48"/>
  <c r="AJ472" i="48"/>
  <c r="AJ398" i="48"/>
  <c r="AJ395" i="48"/>
  <c r="AK395" i="48" s="1"/>
  <c r="AJ362" i="48"/>
  <c r="AJ366" i="48"/>
  <c r="AT359" i="48"/>
  <c r="AS359" i="48"/>
  <c r="AR359" i="48"/>
  <c r="AJ363" i="48"/>
  <c r="AJ360" i="48"/>
  <c r="AT360" i="48" s="1"/>
  <c r="AJ347" i="48"/>
  <c r="AJ335" i="48"/>
  <c r="AT335" i="48" s="1"/>
  <c r="AS337" i="48"/>
  <c r="AP337" i="48"/>
  <c r="AR337" i="48"/>
  <c r="AJ325" i="48"/>
  <c r="AJ296" i="48"/>
  <c r="AJ291" i="48"/>
  <c r="AJ263" i="48"/>
  <c r="AJ272" i="48"/>
  <c r="AJ264" i="48"/>
  <c r="AJ274" i="48"/>
  <c r="AJ261" i="48"/>
  <c r="AJ271" i="48"/>
  <c r="AR275" i="48"/>
  <c r="AP275" i="48"/>
  <c r="AS275" i="48"/>
  <c r="AJ241" i="48"/>
  <c r="AR245" i="48"/>
  <c r="AS245" i="48"/>
  <c r="AP245" i="48"/>
  <c r="AK240" i="48"/>
  <c r="AS240" i="48"/>
  <c r="AR240" i="48"/>
  <c r="AP240" i="48"/>
  <c r="AJ250" i="48"/>
  <c r="AJ249" i="48"/>
  <c r="AS239" i="48"/>
  <c r="AP239" i="48"/>
  <c r="AR239" i="48"/>
  <c r="AP236" i="48"/>
  <c r="AR236" i="48"/>
  <c r="AS236" i="48"/>
  <c r="AJ160" i="48"/>
  <c r="AT160" i="48" s="1"/>
  <c r="AP174" i="48"/>
  <c r="AR174" i="48"/>
  <c r="AS174" i="48"/>
  <c r="AJ184" i="48"/>
  <c r="AT184" i="48" s="1"/>
  <c r="AJ196" i="48"/>
  <c r="AJ190" i="48"/>
  <c r="AJ186" i="48"/>
  <c r="AJ191" i="48"/>
  <c r="AJ189" i="48"/>
  <c r="AP197" i="48"/>
  <c r="AR197" i="48"/>
  <c r="AS197" i="48"/>
  <c r="AJ188" i="48"/>
  <c r="AJ195" i="48"/>
  <c r="AJ192" i="48"/>
  <c r="AJ187" i="48"/>
  <c r="AJ199" i="48"/>
  <c r="AJ185" i="48"/>
  <c r="AT185" i="48" s="1"/>
  <c r="AJ198" i="48"/>
  <c r="AP193" i="48"/>
  <c r="AR193" i="48"/>
  <c r="AS193" i="48"/>
  <c r="AJ164" i="48"/>
  <c r="AJ169" i="48"/>
  <c r="AJ166" i="48"/>
  <c r="AJ162" i="48"/>
  <c r="AJ170" i="48"/>
  <c r="AJ168" i="48"/>
  <c r="AP172" i="48"/>
  <c r="AR172" i="48"/>
  <c r="AS172" i="48"/>
  <c r="AP122" i="48"/>
  <c r="AS122" i="48"/>
  <c r="AT44" i="48"/>
  <c r="AP44" i="48"/>
  <c r="AR44" i="48"/>
  <c r="AS44" i="48"/>
  <c r="AT46" i="48"/>
  <c r="AP46" i="48"/>
  <c r="AR46" i="48"/>
  <c r="AS46" i="48"/>
  <c r="AT34" i="48"/>
  <c r="AR34" i="48"/>
  <c r="AS1344" i="48"/>
  <c r="AR1344" i="48"/>
  <c r="AP1344" i="48"/>
  <c r="AS1319" i="48"/>
  <c r="AP1319" i="48"/>
  <c r="AR1319" i="48"/>
  <c r="AK1319" i="48"/>
  <c r="AJ1324" i="48"/>
  <c r="AP1318" i="48"/>
  <c r="AK1318" i="48"/>
  <c r="AR1318" i="48"/>
  <c r="AS1318" i="48"/>
  <c r="AP1315" i="48"/>
  <c r="AS1315" i="48"/>
  <c r="AR1315" i="48"/>
  <c r="AJ1316" i="48"/>
  <c r="AT1319" i="48"/>
  <c r="AJ1285" i="48"/>
  <c r="AT1285" i="48" s="1"/>
  <c r="AP1296" i="48"/>
  <c r="AS1296" i="48"/>
  <c r="AK1296" i="48"/>
  <c r="AR1296" i="48"/>
  <c r="AJ1290" i="48"/>
  <c r="AJ1286" i="48"/>
  <c r="AR1291" i="48"/>
  <c r="AS1291" i="48"/>
  <c r="AP1291" i="48"/>
  <c r="AJ1269" i="48"/>
  <c r="AJ1266" i="48"/>
  <c r="AP1273" i="48"/>
  <c r="AR1273" i="48"/>
  <c r="AK1273" i="48"/>
  <c r="AS1273" i="48"/>
  <c r="AJ1260" i="48"/>
  <c r="AT1260" i="48" s="1"/>
  <c r="AP1271" i="48"/>
  <c r="AK1271" i="48"/>
  <c r="AS1271" i="48"/>
  <c r="AR1271" i="48"/>
  <c r="AJ1267" i="48"/>
  <c r="AK1268" i="48" s="1"/>
  <c r="AJ1262" i="48"/>
  <c r="AS1268" i="48"/>
  <c r="AP1268" i="48"/>
  <c r="AR1268" i="48"/>
  <c r="AP1275" i="48"/>
  <c r="AS1275" i="48"/>
  <c r="AR1275" i="48"/>
  <c r="AJ1274" i="48"/>
  <c r="AJ1264" i="48"/>
  <c r="AT1273" i="48"/>
  <c r="AS1270" i="48"/>
  <c r="AP1270" i="48"/>
  <c r="AR1270" i="48"/>
  <c r="AP1272" i="48"/>
  <c r="AR1272" i="48"/>
  <c r="AK1272" i="48"/>
  <c r="AS1272" i="48"/>
  <c r="AS612" i="48"/>
  <c r="AR612" i="48"/>
  <c r="AJ616" i="48"/>
  <c r="AJ623" i="48"/>
  <c r="AJ618" i="48"/>
  <c r="AJ613" i="48"/>
  <c r="AJ121" i="48"/>
  <c r="AT109" i="48"/>
  <c r="AR109" i="48"/>
  <c r="AS109" i="48"/>
  <c r="AT59" i="48"/>
  <c r="AT64" i="48"/>
  <c r="AK60" i="48"/>
  <c r="AS62" i="48"/>
  <c r="AJ70" i="48"/>
  <c r="AJ74" i="48"/>
  <c r="AR60" i="48"/>
  <c r="AS60" i="48"/>
  <c r="AR59" i="48"/>
  <c r="AS59" i="48"/>
  <c r="AP64" i="48"/>
  <c r="AR64" i="48"/>
  <c r="AJ72" i="48"/>
  <c r="AJ39" i="48"/>
  <c r="AR37" i="48"/>
  <c r="AS37" i="48"/>
  <c r="AJ36" i="48"/>
  <c r="AT1242" i="48"/>
  <c r="AR1242" i="48"/>
  <c r="AJ1335" i="48"/>
  <c r="AT1335" i="48" s="1"/>
  <c r="AJ1342" i="48"/>
  <c r="AJ1341" i="48"/>
  <c r="AJ1349" i="48"/>
  <c r="AJ1347" i="48"/>
  <c r="AJ1339" i="48"/>
  <c r="AJ1348" i="48"/>
  <c r="AJ1343" i="48"/>
  <c r="AJ1337" i="48"/>
  <c r="AJ1340" i="48"/>
  <c r="AJ1338" i="48"/>
  <c r="AT1334" i="48"/>
  <c r="AR1334" i="48"/>
  <c r="AS1334" i="48"/>
  <c r="AJ1350" i="48"/>
  <c r="AJ1345" i="48"/>
  <c r="AJ1336" i="48"/>
  <c r="AJ1312" i="48"/>
  <c r="AJ1311" i="48"/>
  <c r="AJ1313" i="48"/>
  <c r="AJ1310" i="48"/>
  <c r="AT1310" i="48" s="1"/>
  <c r="AJ1323" i="48"/>
  <c r="AJ1314" i="48"/>
  <c r="AJ1320" i="48"/>
  <c r="AJ1322" i="48"/>
  <c r="AJ1309" i="48"/>
  <c r="AT1309" i="48" s="1"/>
  <c r="AJ1297" i="48"/>
  <c r="AJ1289" i="48"/>
  <c r="AJ1292" i="48"/>
  <c r="AJ1299" i="48"/>
  <c r="AJ1300" i="48"/>
  <c r="AJ1234" i="48"/>
  <c r="AT1234" i="48" s="1"/>
  <c r="AJ1241" i="48"/>
  <c r="AJ1239" i="48"/>
  <c r="AJ1240" i="48"/>
  <c r="AJ1243" i="48"/>
  <c r="AJ1245" i="48"/>
  <c r="AJ1249" i="48"/>
  <c r="AJ1238" i="48"/>
  <c r="AJ1236" i="48"/>
  <c r="AT1236" i="48" s="1"/>
  <c r="AJ1248" i="48"/>
  <c r="AJ1246" i="48"/>
  <c r="AJ1244" i="48"/>
  <c r="AJ1247" i="48"/>
  <c r="AJ1235" i="48"/>
  <c r="AT1235" i="48" s="1"/>
  <c r="AJ1237" i="48"/>
  <c r="AJ1225" i="48"/>
  <c r="AJ1216" i="48"/>
  <c r="AJ1218" i="48"/>
  <c r="AJ1215" i="48"/>
  <c r="AJ1224" i="48"/>
  <c r="AJ1211" i="48"/>
  <c r="AJ1210" i="48"/>
  <c r="AT1210" i="48" s="1"/>
  <c r="AJ1222" i="48"/>
  <c r="AJ1213" i="48"/>
  <c r="AJ1214" i="48"/>
  <c r="AJ1219" i="48"/>
  <c r="AJ1221" i="48"/>
  <c r="AJ1212" i="48"/>
  <c r="AJ1220" i="48"/>
  <c r="AT1209" i="48"/>
  <c r="AR1209" i="48"/>
  <c r="AS1209" i="48"/>
  <c r="AP1217" i="48"/>
  <c r="AR1217" i="48"/>
  <c r="AS1217" i="48"/>
  <c r="AJ1186" i="48"/>
  <c r="AJ1198" i="48"/>
  <c r="AJ1187" i="48"/>
  <c r="AJ1189" i="48"/>
  <c r="AJ1197" i="48"/>
  <c r="AJ1190" i="48"/>
  <c r="AJ1199" i="48"/>
  <c r="AT1184" i="48"/>
  <c r="AS1184" i="48"/>
  <c r="AR1184" i="48"/>
  <c r="AJ1192" i="48"/>
  <c r="AJ1196" i="48"/>
  <c r="AJ1195" i="48"/>
  <c r="AJ1194" i="48"/>
  <c r="AS1185" i="48"/>
  <c r="AK1185" i="48"/>
  <c r="AR1185" i="48"/>
  <c r="AJ1162" i="48"/>
  <c r="AT1162" i="48" s="1"/>
  <c r="AJ1169" i="48"/>
  <c r="AT1169" i="48" s="1"/>
  <c r="AJ1170" i="48"/>
  <c r="AT1170" i="48" s="1"/>
  <c r="AJ1159" i="48"/>
  <c r="AT1159" i="48" s="1"/>
  <c r="AJ1165" i="48"/>
  <c r="AT1165" i="48" s="1"/>
  <c r="AJ1164" i="48"/>
  <c r="AT1164" i="48" s="1"/>
  <c r="AJ1166" i="48"/>
  <c r="AT1166" i="48" s="1"/>
  <c r="AJ1171" i="48"/>
  <c r="AT1171" i="48" s="1"/>
  <c r="AJ1167" i="48"/>
  <c r="AT1167" i="48" s="1"/>
  <c r="AJ1172" i="48"/>
  <c r="AT1172" i="48" s="1"/>
  <c r="AJ1163" i="48"/>
  <c r="AT1163" i="48" s="1"/>
  <c r="AJ1174" i="48"/>
  <c r="AT1174" i="48" s="1"/>
  <c r="AJ1175" i="48"/>
  <c r="AT1175" i="48" s="1"/>
  <c r="AJ1168" i="48"/>
  <c r="AT1168" i="48" s="1"/>
  <c r="AJ1161" i="48"/>
  <c r="AT1161" i="48" s="1"/>
  <c r="AJ1160" i="48"/>
  <c r="AT1160" i="48" s="1"/>
  <c r="AJ1137" i="48"/>
  <c r="AJ1144" i="48"/>
  <c r="AJ1135" i="48"/>
  <c r="AT1135" i="48" s="1"/>
  <c r="AJ1136" i="48"/>
  <c r="AJ1143" i="48"/>
  <c r="AJ1147" i="48"/>
  <c r="AJ1138" i="48"/>
  <c r="AJ1149" i="48"/>
  <c r="AJ1150" i="48"/>
  <c r="AJ1145" i="48"/>
  <c r="AJ1146" i="48"/>
  <c r="AJ1142" i="48"/>
  <c r="AT1134" i="48"/>
  <c r="AR1134" i="48"/>
  <c r="AS1134" i="48"/>
  <c r="AJ1140" i="48"/>
  <c r="AJ1141" i="48"/>
  <c r="AJ1139" i="48"/>
  <c r="AJ1092" i="48"/>
  <c r="AJ1097" i="48"/>
  <c r="AJ1067" i="48"/>
  <c r="AJ1062" i="48"/>
  <c r="AT1073" i="48"/>
  <c r="AJ1068" i="48"/>
  <c r="AJ1072" i="48"/>
  <c r="AJ1066" i="48"/>
  <c r="AJ1075" i="48"/>
  <c r="AJ1060" i="48"/>
  <c r="AT1060" i="48" s="1"/>
  <c r="AJ1063" i="48"/>
  <c r="AJ1065" i="48"/>
  <c r="AJ1070" i="48"/>
  <c r="AJ1074" i="48"/>
  <c r="AJ1071" i="48"/>
  <c r="AT1059" i="48"/>
  <c r="AR1059" i="48"/>
  <c r="AS1059" i="48"/>
  <c r="AJ1069" i="48"/>
  <c r="AJ1064" i="48"/>
  <c r="AJ1041" i="48"/>
  <c r="AJ1042" i="48"/>
  <c r="AJ1045" i="48"/>
  <c r="AJ1047" i="48"/>
  <c r="AJ1037" i="48"/>
  <c r="AJ1035" i="48"/>
  <c r="AT1035" i="48" s="1"/>
  <c r="AJ1038" i="48"/>
  <c r="AJ1040" i="48"/>
  <c r="AJ1049" i="48"/>
  <c r="AJ1044" i="48"/>
  <c r="AJ1039" i="48"/>
  <c r="AJ1050" i="48"/>
  <c r="AJ1046" i="48"/>
  <c r="AT1034" i="48"/>
  <c r="AS1034" i="48"/>
  <c r="AR1034" i="48"/>
  <c r="AJ1048" i="48"/>
  <c r="AJ1036" i="48"/>
  <c r="AJ1043" i="48"/>
  <c r="AJ1022" i="48"/>
  <c r="AJ1012" i="48"/>
  <c r="AJ1017" i="48"/>
  <c r="AJ1011" i="48"/>
  <c r="AJ1013" i="48"/>
  <c r="AJ1016" i="48"/>
  <c r="AJ1024" i="48"/>
  <c r="AJ1023" i="48"/>
  <c r="AJ1010" i="48"/>
  <c r="AT1010" i="48" s="1"/>
  <c r="AJ1018" i="48"/>
  <c r="AJ1020" i="48"/>
  <c r="AP1021" i="48"/>
  <c r="AR1021" i="48"/>
  <c r="AS1021" i="48"/>
  <c r="AJ991" i="48"/>
  <c r="AJ994" i="48"/>
  <c r="AJ993" i="48"/>
  <c r="AT984" i="48"/>
  <c r="AR984" i="48"/>
  <c r="AS984" i="48"/>
  <c r="AJ999" i="48"/>
  <c r="AJ990" i="48"/>
  <c r="AJ998" i="48"/>
  <c r="AJ988" i="48"/>
  <c r="AJ987" i="48"/>
  <c r="AJ1000" i="48"/>
  <c r="AJ997" i="48"/>
  <c r="AJ992" i="48"/>
  <c r="AJ996" i="48"/>
  <c r="AJ995" i="48"/>
  <c r="AJ985" i="48"/>
  <c r="AT985" i="48" s="1"/>
  <c r="AJ986" i="48"/>
  <c r="AJ974" i="48"/>
  <c r="AJ972" i="48"/>
  <c r="AT959" i="48"/>
  <c r="AR959" i="48"/>
  <c r="AS959" i="48"/>
  <c r="AJ961" i="48"/>
  <c r="AJ969" i="48"/>
  <c r="AJ975" i="48"/>
  <c r="AJ960" i="48"/>
  <c r="AT960" i="48" s="1"/>
  <c r="AJ965" i="48"/>
  <c r="AJ964" i="48"/>
  <c r="AJ968" i="48"/>
  <c r="AJ938" i="48"/>
  <c r="AJ941" i="48"/>
  <c r="AJ945" i="48"/>
  <c r="AJ942" i="48"/>
  <c r="AJ946" i="48"/>
  <c r="AJ944" i="48"/>
  <c r="AJ950" i="48"/>
  <c r="AJ939" i="48"/>
  <c r="AJ935" i="48"/>
  <c r="AT935" i="48" s="1"/>
  <c r="AJ940" i="48"/>
  <c r="AT934" i="48"/>
  <c r="AS934" i="48"/>
  <c r="AR934" i="48"/>
  <c r="AJ949" i="48"/>
  <c r="AJ947" i="48"/>
  <c r="AJ943" i="48"/>
  <c r="AJ936" i="48"/>
  <c r="AJ937" i="48"/>
  <c r="AJ922" i="48"/>
  <c r="AJ916" i="48"/>
  <c r="AK917" i="48" s="1"/>
  <c r="AJ913" i="48"/>
  <c r="AJ921" i="48"/>
  <c r="AT909" i="48"/>
  <c r="AR909" i="48"/>
  <c r="AS909" i="48"/>
  <c r="AJ911" i="48"/>
  <c r="AK912" i="48" s="1"/>
  <c r="AR915" i="48"/>
  <c r="AP915" i="48"/>
  <c r="AS915" i="48"/>
  <c r="AK915" i="48"/>
  <c r="AK918" i="48"/>
  <c r="AS918" i="48"/>
  <c r="AR918" i="48"/>
  <c r="AP918" i="48"/>
  <c r="AJ910" i="48"/>
  <c r="AT910" i="48" s="1"/>
  <c r="AJ924" i="48"/>
  <c r="AJ920" i="48"/>
  <c r="AJ919" i="48"/>
  <c r="AJ925" i="48"/>
  <c r="AJ923" i="48"/>
  <c r="AS912" i="48"/>
  <c r="AP912" i="48"/>
  <c r="AR912" i="48"/>
  <c r="AS914" i="48"/>
  <c r="AP914" i="48"/>
  <c r="AR914" i="48"/>
  <c r="AR917" i="48"/>
  <c r="AS917" i="48"/>
  <c r="AP917" i="48"/>
  <c r="AJ891" i="48"/>
  <c r="AJ886" i="48"/>
  <c r="AJ900" i="48"/>
  <c r="AJ894" i="48"/>
  <c r="AJ892" i="48"/>
  <c r="AJ888" i="48"/>
  <c r="AJ885" i="48"/>
  <c r="AT885" i="48" s="1"/>
  <c r="AJ890" i="48"/>
  <c r="AJ872" i="48"/>
  <c r="AJ861" i="48"/>
  <c r="AJ874" i="48"/>
  <c r="AJ862" i="48"/>
  <c r="AJ867" i="48"/>
  <c r="AJ860" i="48"/>
  <c r="AT860" i="48" s="1"/>
  <c r="AJ871" i="48"/>
  <c r="AJ869" i="48"/>
  <c r="AJ863" i="48"/>
  <c r="AT859" i="48"/>
  <c r="AR859" i="48"/>
  <c r="AS859" i="48"/>
  <c r="AJ866" i="48"/>
  <c r="AJ864" i="48"/>
  <c r="AJ873" i="48"/>
  <c r="AJ865" i="48"/>
  <c r="AJ875" i="48"/>
  <c r="AJ870" i="48"/>
  <c r="AJ838" i="48"/>
  <c r="AK839" i="48" s="1"/>
  <c r="AJ840" i="48"/>
  <c r="AJ849" i="48"/>
  <c r="AR835" i="48"/>
  <c r="AS835" i="48"/>
  <c r="AK835" i="48"/>
  <c r="AJ844" i="48"/>
  <c r="AP848" i="48"/>
  <c r="AR848" i="48"/>
  <c r="AJ845" i="48"/>
  <c r="AJ841" i="48"/>
  <c r="AJ846" i="48"/>
  <c r="AT834" i="48"/>
  <c r="AS834" i="48"/>
  <c r="AR834" i="48"/>
  <c r="AJ843" i="48"/>
  <c r="AJ842" i="48"/>
  <c r="AJ837" i="48"/>
  <c r="AJ847" i="48"/>
  <c r="AJ850" i="48"/>
  <c r="AJ836" i="48"/>
  <c r="AS839" i="48"/>
  <c r="AR839" i="48"/>
  <c r="AP839" i="48"/>
  <c r="AJ824" i="48"/>
  <c r="AJ812" i="48"/>
  <c r="AJ822" i="48"/>
  <c r="AJ813" i="48"/>
  <c r="AJ819" i="48"/>
  <c r="AJ823" i="48"/>
  <c r="AJ810" i="48"/>
  <c r="AT810" i="48" s="1"/>
  <c r="AJ811" i="48"/>
  <c r="AJ814" i="48"/>
  <c r="AJ825" i="48"/>
  <c r="AJ818" i="48"/>
  <c r="AJ817" i="48"/>
  <c r="AJ821" i="48"/>
  <c r="AJ820" i="48"/>
  <c r="AJ815" i="48"/>
  <c r="AP816" i="48"/>
  <c r="AS816" i="48"/>
  <c r="AR816" i="48"/>
  <c r="AS798" i="48"/>
  <c r="AR798" i="48"/>
  <c r="AJ792" i="48"/>
  <c r="AJ790" i="48"/>
  <c r="AJ797" i="48"/>
  <c r="AJ793" i="48"/>
  <c r="AJ785" i="48"/>
  <c r="AT785" i="48" s="1"/>
  <c r="AP794" i="48"/>
  <c r="AR794" i="48"/>
  <c r="AS794" i="48"/>
  <c r="AJ787" i="48"/>
  <c r="AJ799" i="48"/>
  <c r="AT784" i="48"/>
  <c r="AR784" i="48"/>
  <c r="AS784" i="48"/>
  <c r="AJ788" i="48"/>
  <c r="AJ796" i="48"/>
  <c r="AJ789" i="48"/>
  <c r="AJ791" i="48"/>
  <c r="AJ786" i="48"/>
  <c r="AJ800" i="48"/>
  <c r="AP795" i="48"/>
  <c r="AK795" i="48"/>
  <c r="AR795" i="48"/>
  <c r="AS795" i="48"/>
  <c r="AJ767" i="48"/>
  <c r="AJ761" i="48"/>
  <c r="AJ763" i="48"/>
  <c r="AJ774" i="48"/>
  <c r="AJ766" i="48"/>
  <c r="AJ762" i="48"/>
  <c r="AJ775" i="48"/>
  <c r="AJ764" i="48"/>
  <c r="AT759" i="48"/>
  <c r="AS759" i="48"/>
  <c r="AR759" i="48"/>
  <c r="AJ771" i="48"/>
  <c r="AJ760" i="48"/>
  <c r="AT760" i="48" s="1"/>
  <c r="AJ736" i="48"/>
  <c r="AT736" i="48" s="1"/>
  <c r="AJ746" i="48"/>
  <c r="AT746" i="48" s="1"/>
  <c r="AJ738" i="48"/>
  <c r="AT738" i="48" s="1"/>
  <c r="AR737" i="48"/>
  <c r="AP737" i="48"/>
  <c r="AS737" i="48"/>
  <c r="AJ741" i="48"/>
  <c r="AT741" i="48" s="1"/>
  <c r="AJ743" i="48"/>
  <c r="AT743" i="48" s="1"/>
  <c r="AJ740" i="48"/>
  <c r="AT740" i="48" s="1"/>
  <c r="AK745" i="48"/>
  <c r="AP744" i="48"/>
  <c r="AR744" i="48"/>
  <c r="AS744" i="48"/>
  <c r="AJ718" i="48"/>
  <c r="AK719" i="48" s="1"/>
  <c r="AJ713" i="48"/>
  <c r="AT709" i="48"/>
  <c r="AS709" i="48"/>
  <c r="AR709" i="48"/>
  <c r="AJ711" i="48"/>
  <c r="AJ714" i="48"/>
  <c r="AJ720" i="48"/>
  <c r="AJ725" i="48"/>
  <c r="AJ721" i="48"/>
  <c r="AJ715" i="48"/>
  <c r="AJ710" i="48"/>
  <c r="AJ722" i="48"/>
  <c r="AJ712" i="48"/>
  <c r="AJ723" i="48"/>
  <c r="AJ717" i="48"/>
  <c r="AJ724" i="48"/>
  <c r="AJ716" i="48"/>
  <c r="AP719" i="48"/>
  <c r="AS719" i="48"/>
  <c r="AR719" i="48"/>
  <c r="AT684" i="48"/>
  <c r="AR684" i="48"/>
  <c r="AS684" i="48"/>
  <c r="AJ691" i="48"/>
  <c r="AJ685" i="48"/>
  <c r="AT685" i="48" s="1"/>
  <c r="AJ690" i="48"/>
  <c r="AJ693" i="48"/>
  <c r="AJ699" i="48"/>
  <c r="AJ694" i="48"/>
  <c r="AJ688" i="48"/>
  <c r="AJ692" i="48"/>
  <c r="AJ696" i="48"/>
  <c r="AJ686" i="48"/>
  <c r="AJ695" i="48"/>
  <c r="AJ689" i="48"/>
  <c r="AJ700" i="48"/>
  <c r="AJ687" i="48"/>
  <c r="AJ697" i="48"/>
  <c r="AJ615" i="48"/>
  <c r="AJ624" i="48"/>
  <c r="AJ622" i="48"/>
  <c r="AJ621" i="48"/>
  <c r="AJ620" i="48"/>
  <c r="AJ610" i="48"/>
  <c r="AT610" i="48" s="1"/>
  <c r="AJ611" i="48"/>
  <c r="AJ625" i="48"/>
  <c r="AJ617" i="48"/>
  <c r="AJ589" i="48"/>
  <c r="AJ586" i="48"/>
  <c r="AJ599" i="48"/>
  <c r="AJ598" i="48"/>
  <c r="AJ591" i="48"/>
  <c r="AJ590" i="48"/>
  <c r="AJ588" i="48"/>
  <c r="AJ596" i="48"/>
  <c r="AP587" i="48"/>
  <c r="AS587" i="48"/>
  <c r="AR587" i="48"/>
  <c r="AJ592" i="48"/>
  <c r="AJ585" i="48"/>
  <c r="AT585" i="48" s="1"/>
  <c r="AT584" i="48"/>
  <c r="AR584" i="48"/>
  <c r="AS584" i="48"/>
  <c r="AJ574" i="48"/>
  <c r="AJ535" i="48"/>
  <c r="AT535" i="48" s="1"/>
  <c r="AJ545" i="48"/>
  <c r="AJ534" i="48"/>
  <c r="AT534" i="48" s="1"/>
  <c r="AJ544" i="48"/>
  <c r="AJ536" i="48"/>
  <c r="AJ550" i="48"/>
  <c r="AJ540" i="48"/>
  <c r="AJ539" i="48"/>
  <c r="AJ537" i="48"/>
  <c r="AJ541" i="48"/>
  <c r="AJ546" i="48"/>
  <c r="AJ547" i="48"/>
  <c r="AJ542" i="48"/>
  <c r="AJ548" i="48"/>
  <c r="AJ543" i="48"/>
  <c r="AJ538" i="48"/>
  <c r="AJ549" i="48"/>
  <c r="AJ522" i="48"/>
  <c r="AP522" i="48" s="1"/>
  <c r="AJ525" i="48"/>
  <c r="AP525" i="48" s="1"/>
  <c r="AR523" i="48"/>
  <c r="AS523" i="48"/>
  <c r="AJ524" i="48"/>
  <c r="AP524" i="48" s="1"/>
  <c r="AJ517" i="48"/>
  <c r="AJ516" i="48"/>
  <c r="AJ515" i="48"/>
  <c r="AJ513" i="48"/>
  <c r="AJ519" i="48"/>
  <c r="AJ514" i="48"/>
  <c r="AJ510" i="48"/>
  <c r="AT510" i="48" s="1"/>
  <c r="AJ512" i="48"/>
  <c r="AJ521" i="48"/>
  <c r="AP521" i="48" s="1"/>
  <c r="AJ520" i="48"/>
  <c r="AP520" i="48" s="1"/>
  <c r="AT509" i="48"/>
  <c r="AR509" i="48"/>
  <c r="AS509" i="48"/>
  <c r="AJ511" i="48"/>
  <c r="AJ473" i="48"/>
  <c r="AJ465" i="48"/>
  <c r="AJ471" i="48"/>
  <c r="AJ469" i="48"/>
  <c r="AJ461" i="48"/>
  <c r="AJ470" i="48"/>
  <c r="AJ474" i="48"/>
  <c r="AJ466" i="48"/>
  <c r="AJ463" i="48"/>
  <c r="AJ475" i="48"/>
  <c r="AJ462" i="48"/>
  <c r="AJ460" i="48"/>
  <c r="AT460" i="48" s="1"/>
  <c r="AJ468" i="48"/>
  <c r="AJ467" i="48"/>
  <c r="AT459" i="48"/>
  <c r="AR459" i="48"/>
  <c r="AS459" i="48"/>
  <c r="AJ464" i="48"/>
  <c r="AT434" i="48"/>
  <c r="AR434" i="48"/>
  <c r="AS434" i="48"/>
  <c r="AJ446" i="48"/>
  <c r="AJ441" i="48"/>
  <c r="AJ443" i="48"/>
  <c r="AP444" i="48"/>
  <c r="AR444" i="48"/>
  <c r="AS444" i="48"/>
  <c r="AJ448" i="48"/>
  <c r="AJ442" i="48"/>
  <c r="AJ438" i="48"/>
  <c r="AJ435" i="48"/>
  <c r="AJ447" i="48"/>
  <c r="AJ445" i="48"/>
  <c r="AJ440" i="48"/>
  <c r="AJ437" i="48"/>
  <c r="AJ436" i="48"/>
  <c r="AJ439" i="48"/>
  <c r="AJ449" i="48"/>
  <c r="AR450" i="48"/>
  <c r="AS450" i="48"/>
  <c r="AP450" i="48"/>
  <c r="AJ423" i="48"/>
  <c r="AT409" i="48"/>
  <c r="AR409" i="48"/>
  <c r="AS409" i="48"/>
  <c r="AJ422" i="48"/>
  <c r="AJ419" i="48"/>
  <c r="AJ417" i="48"/>
  <c r="AJ424" i="48"/>
  <c r="AJ413" i="48"/>
  <c r="AJ414" i="48"/>
  <c r="AJ412" i="48"/>
  <c r="AJ416" i="48"/>
  <c r="AJ410" i="48"/>
  <c r="AT410" i="48" s="1"/>
  <c r="AJ391" i="48"/>
  <c r="AJ397" i="48"/>
  <c r="AJ389" i="48"/>
  <c r="AJ396" i="48"/>
  <c r="AK385" i="48"/>
  <c r="AR385" i="48"/>
  <c r="AS385" i="48"/>
  <c r="AJ387" i="48"/>
  <c r="AJ399" i="48"/>
  <c r="AK400" i="48" s="1"/>
  <c r="AJ386" i="48"/>
  <c r="AP394" i="48"/>
  <c r="AR394" i="48"/>
  <c r="AS394" i="48"/>
  <c r="AJ392" i="48"/>
  <c r="AJ388" i="48"/>
  <c r="AJ393" i="48"/>
  <c r="AP390" i="48"/>
  <c r="AS390" i="48"/>
  <c r="AR390" i="48"/>
  <c r="AR400" i="48"/>
  <c r="AP400" i="48"/>
  <c r="N45" i="58" s="1"/>
  <c r="AS400" i="48"/>
  <c r="AJ361" i="48"/>
  <c r="AJ367" i="48"/>
  <c r="AJ368" i="48"/>
  <c r="AJ372" i="48"/>
  <c r="AJ369" i="48"/>
  <c r="AJ370" i="48"/>
  <c r="AJ374" i="48"/>
  <c r="AJ340" i="48"/>
  <c r="AJ339" i="48"/>
  <c r="AJ344" i="48"/>
  <c r="AJ345" i="48"/>
  <c r="AJ349" i="48"/>
  <c r="AJ341" i="48"/>
  <c r="AJ346" i="48"/>
  <c r="AJ336" i="48"/>
  <c r="AJ316" i="48"/>
  <c r="AJ318" i="48"/>
  <c r="AJ320" i="48"/>
  <c r="AJ314" i="48"/>
  <c r="AJ313" i="48"/>
  <c r="AT309" i="48"/>
  <c r="AS309" i="48"/>
  <c r="AR309" i="48"/>
  <c r="AJ312" i="48"/>
  <c r="AJ322" i="48"/>
  <c r="AJ321" i="48"/>
  <c r="AJ324" i="48"/>
  <c r="AJ310" i="48"/>
  <c r="AT310" i="48" s="1"/>
  <c r="AJ319" i="48"/>
  <c r="AJ315" i="48"/>
  <c r="AJ323" i="48"/>
  <c r="AJ317" i="48"/>
  <c r="AJ311" i="48"/>
  <c r="AJ289" i="48"/>
  <c r="AJ288" i="48"/>
  <c r="AJ286" i="48"/>
  <c r="AJ292" i="48"/>
  <c r="AJ295" i="48"/>
  <c r="AJ299" i="48"/>
  <c r="AJ297" i="48"/>
  <c r="AJ290" i="48"/>
  <c r="AJ300" i="48"/>
  <c r="AJ293" i="48"/>
  <c r="AT284" i="48"/>
  <c r="AS284" i="48"/>
  <c r="AR284" i="48"/>
  <c r="AJ294" i="48"/>
  <c r="AJ285" i="48"/>
  <c r="AT285" i="48" s="1"/>
  <c r="AJ298" i="48"/>
  <c r="AJ287" i="48"/>
  <c r="AJ259" i="48"/>
  <c r="AT259" i="48" s="1"/>
  <c r="AJ273" i="48"/>
  <c r="AJ262" i="48"/>
  <c r="AJ268" i="48"/>
  <c r="AJ260" i="48"/>
  <c r="AT260" i="48" s="1"/>
  <c r="AJ270" i="48"/>
  <c r="AJ269" i="48"/>
  <c r="AJ267" i="48"/>
  <c r="AJ265" i="48"/>
  <c r="AJ266" i="48"/>
  <c r="AJ244" i="48"/>
  <c r="AJ235" i="48"/>
  <c r="AT235" i="48" s="1"/>
  <c r="AJ242" i="48"/>
  <c r="AJ246" i="48"/>
  <c r="AJ247" i="48"/>
  <c r="AJ237" i="48"/>
  <c r="AK239" i="48"/>
  <c r="AR238" i="48"/>
  <c r="AP238" i="48"/>
  <c r="AS238" i="48"/>
  <c r="AJ216" i="48"/>
  <c r="AJ219" i="48"/>
  <c r="AJ224" i="48"/>
  <c r="AJ221" i="48"/>
  <c r="AJ220" i="48"/>
  <c r="AJ209" i="48"/>
  <c r="AT209" i="48" s="1"/>
  <c r="AJ218" i="48"/>
  <c r="AJ217" i="48"/>
  <c r="AJ215" i="48"/>
  <c r="AJ211" i="48"/>
  <c r="AJ222" i="48"/>
  <c r="AJ210" i="48"/>
  <c r="AT210" i="48" s="1"/>
  <c r="AJ212" i="48"/>
  <c r="AJ223" i="48"/>
  <c r="AJ213" i="48"/>
  <c r="AJ214" i="48"/>
  <c r="AJ225" i="48"/>
  <c r="AJ194" i="48"/>
  <c r="AJ161" i="48"/>
  <c r="AJ167" i="48"/>
  <c r="AJ175" i="48"/>
  <c r="AJ163" i="48"/>
  <c r="AT159" i="48"/>
  <c r="AS159" i="48"/>
  <c r="AR159" i="48"/>
  <c r="AJ171" i="48"/>
  <c r="AP141" i="48"/>
  <c r="AS141" i="48"/>
  <c r="AK141" i="48"/>
  <c r="AR141" i="48"/>
  <c r="AK139" i="48"/>
  <c r="AR139" i="48"/>
  <c r="AS139" i="48"/>
  <c r="AP139" i="48"/>
  <c r="AP142" i="48"/>
  <c r="AR142" i="48"/>
  <c r="AK143" i="48"/>
  <c r="AK142" i="48"/>
  <c r="AS142" i="48"/>
  <c r="AK148" i="48"/>
  <c r="AR148" i="48"/>
  <c r="AS148" i="48"/>
  <c r="AP148" i="48"/>
  <c r="AK140" i="48"/>
  <c r="AR140" i="48"/>
  <c r="AS140" i="48"/>
  <c r="AP140" i="48"/>
  <c r="AK144" i="48"/>
  <c r="AS144" i="48"/>
  <c r="AK145" i="48"/>
  <c r="AR144" i="48"/>
  <c r="AP144" i="48"/>
  <c r="AK150" i="48"/>
  <c r="AP149" i="48"/>
  <c r="AK149" i="48"/>
  <c r="AR149" i="48"/>
  <c r="AS149" i="48"/>
  <c r="AR138" i="48"/>
  <c r="AP138" i="48"/>
  <c r="AK138" i="48"/>
  <c r="AS138" i="48"/>
  <c r="AP137" i="48"/>
  <c r="AK137" i="48"/>
  <c r="AS137" i="48"/>
  <c r="AR137" i="48"/>
  <c r="AK135" i="48"/>
  <c r="AS135" i="48"/>
  <c r="AR135" i="48"/>
  <c r="AK136" i="48"/>
  <c r="AJ114" i="48"/>
  <c r="AJ111" i="48"/>
  <c r="AJ113" i="48"/>
  <c r="AJ119" i="48"/>
  <c r="AJ110" i="48"/>
  <c r="AT110" i="48" s="1"/>
  <c r="AJ118" i="48"/>
  <c r="AJ117" i="48"/>
  <c r="AJ120" i="48"/>
  <c r="AJ116" i="48"/>
  <c r="AP115" i="48"/>
  <c r="AR115" i="48"/>
  <c r="AS115" i="48"/>
  <c r="AJ85" i="48"/>
  <c r="AJ98" i="48"/>
  <c r="AJ94" i="48"/>
  <c r="AJ87" i="48"/>
  <c r="AJ88" i="48"/>
  <c r="AJ86" i="48"/>
  <c r="AJ93" i="48"/>
  <c r="AJ99" i="48"/>
  <c r="AJ96" i="48"/>
  <c r="AJ97" i="48"/>
  <c r="AT84" i="48"/>
  <c r="AS84" i="48"/>
  <c r="AR84" i="48"/>
  <c r="AJ100" i="48"/>
  <c r="AJ95" i="48"/>
  <c r="AJ89" i="48"/>
  <c r="AJ92" i="48"/>
  <c r="AJ90" i="48"/>
  <c r="AS91" i="48"/>
  <c r="AP91" i="48"/>
  <c r="AR91" i="48"/>
  <c r="AJ67" i="48"/>
  <c r="AJ73" i="48"/>
  <c r="AJ68" i="48"/>
  <c r="AJ65" i="48"/>
  <c r="AJ75" i="48"/>
  <c r="AJ66" i="48"/>
  <c r="AJ69" i="48"/>
  <c r="AJ63" i="48"/>
  <c r="AJ61" i="48"/>
  <c r="AJ40" i="48"/>
  <c r="AJ43" i="48"/>
  <c r="AJ35" i="48"/>
  <c r="AJ38" i="48"/>
  <c r="AJ41" i="48"/>
  <c r="AD25" i="48"/>
  <c r="AD26" i="48"/>
  <c r="AK10" i="48"/>
  <c r="AS21" i="48"/>
  <c r="AT12" i="48"/>
  <c r="AS20" i="48"/>
  <c r="AR15" i="48"/>
  <c r="AR17" i="48"/>
  <c r="AR16" i="48"/>
  <c r="AS22" i="48"/>
  <c r="AR9" i="48"/>
  <c r="AS9" i="48"/>
  <c r="AT22" i="48"/>
  <c r="AS16" i="48"/>
  <c r="AR22" i="48"/>
  <c r="AR12" i="48"/>
  <c r="AT20" i="48"/>
  <c r="AT16" i="48"/>
  <c r="AP22" i="48"/>
  <c r="AS17" i="48"/>
  <c r="AT17" i="48"/>
  <c r="AT15" i="48"/>
  <c r="AP21" i="48"/>
  <c r="AK21" i="48"/>
  <c r="AP12" i="48"/>
  <c r="AK12" i="48"/>
  <c r="AP20" i="48"/>
  <c r="AK20" i="48"/>
  <c r="AS12" i="48"/>
  <c r="AP14" i="48"/>
  <c r="AK14" i="48"/>
  <c r="AK22" i="48"/>
  <c r="AP16" i="48"/>
  <c r="AK16" i="48"/>
  <c r="AP17" i="48"/>
  <c r="AK17" i="48"/>
  <c r="AP11" i="48"/>
  <c r="AK11" i="48"/>
  <c r="AP24" i="48"/>
  <c r="AK24" i="48"/>
  <c r="AP19" i="48"/>
  <c r="AK19" i="48"/>
  <c r="AR23" i="48"/>
  <c r="AK23" i="48"/>
  <c r="AP15" i="48"/>
  <c r="AK15" i="48"/>
  <c r="AR20" i="48"/>
  <c r="AS15" i="48"/>
  <c r="AT21" i="48"/>
  <c r="AR21" i="48"/>
  <c r="AP18" i="48"/>
  <c r="AK18" i="48"/>
  <c r="AP13" i="48"/>
  <c r="AK13" i="48"/>
  <c r="AT23" i="48"/>
  <c r="AS23" i="48"/>
  <c r="AP23" i="48"/>
  <c r="AR14" i="48"/>
  <c r="AT24" i="48"/>
  <c r="AR24" i="48"/>
  <c r="AT13" i="48"/>
  <c r="AR13" i="48"/>
  <c r="AS14" i="48"/>
  <c r="AS24" i="48"/>
  <c r="AS13" i="48"/>
  <c r="AS19" i="48"/>
  <c r="AR19" i="48"/>
  <c r="AT19" i="48"/>
  <c r="AT14" i="48"/>
  <c r="AT18" i="48"/>
  <c r="AS18" i="48"/>
  <c r="AR18" i="48"/>
  <c r="AS11" i="48"/>
  <c r="AR11" i="48"/>
  <c r="AT11" i="48"/>
  <c r="AJ25" i="48"/>
  <c r="AR973" i="48" l="1"/>
  <c r="AT85" i="48"/>
  <c r="AP973" i="48"/>
  <c r="AS973" i="48"/>
  <c r="AT1042" i="48"/>
  <c r="AT1074" i="48"/>
  <c r="AT1097" i="48"/>
  <c r="AT1149" i="48"/>
  <c r="AT1195" i="48"/>
  <c r="AT1186" i="48"/>
  <c r="AT1225" i="48"/>
  <c r="AT1240" i="48"/>
  <c r="AT1297" i="48"/>
  <c r="AT1350" i="48"/>
  <c r="AT1341" i="48"/>
  <c r="AT74" i="48"/>
  <c r="AT162" i="48"/>
  <c r="AT190" i="48"/>
  <c r="AT250" i="48"/>
  <c r="AT241" i="48"/>
  <c r="AT325" i="48"/>
  <c r="AT472" i="48"/>
  <c r="AT492" i="48"/>
  <c r="AT562" i="48"/>
  <c r="AT650" i="48"/>
  <c r="AT1112" i="48"/>
  <c r="AT43" i="48"/>
  <c r="AT69" i="48"/>
  <c r="AT68" i="48"/>
  <c r="AT99" i="48"/>
  <c r="AT87" i="48"/>
  <c r="AT120" i="48"/>
  <c r="AT119" i="48"/>
  <c r="AT175" i="48"/>
  <c r="AT225" i="48"/>
  <c r="AT212" i="48"/>
  <c r="AT215" i="48"/>
  <c r="AT220" i="48"/>
  <c r="AT216" i="48"/>
  <c r="AT242" i="48"/>
  <c r="AT265" i="48"/>
  <c r="AT294" i="48"/>
  <c r="AT293" i="48"/>
  <c r="AT299" i="48"/>
  <c r="AT288" i="48"/>
  <c r="AT314" i="48"/>
  <c r="AT336" i="48"/>
  <c r="AT345" i="48"/>
  <c r="AT374" i="48"/>
  <c r="AT368" i="48"/>
  <c r="AT392" i="48"/>
  <c r="AK390" i="48"/>
  <c r="AT468" i="48"/>
  <c r="AT463" i="48"/>
  <c r="AT461" i="48"/>
  <c r="AT473" i="48"/>
  <c r="AT515" i="48"/>
  <c r="AT549" i="48"/>
  <c r="AT542" i="48"/>
  <c r="AT537" i="48"/>
  <c r="AT536" i="48"/>
  <c r="AT590" i="48"/>
  <c r="AT586" i="48"/>
  <c r="AT611" i="48"/>
  <c r="AT622" i="48"/>
  <c r="AT687" i="48"/>
  <c r="AT686" i="48"/>
  <c r="AT694" i="48"/>
  <c r="AT723" i="48"/>
  <c r="AT715" i="48"/>
  <c r="AT714" i="48"/>
  <c r="AT766" i="48"/>
  <c r="AT767" i="48"/>
  <c r="AT789" i="48"/>
  <c r="AT793" i="48"/>
  <c r="AT817" i="48"/>
  <c r="AT811" i="48"/>
  <c r="AT813" i="48"/>
  <c r="AT836" i="48"/>
  <c r="AT842" i="48"/>
  <c r="AT838" i="48"/>
  <c r="AT873" i="48"/>
  <c r="AT871" i="48"/>
  <c r="AT874" i="48"/>
  <c r="AT900" i="48"/>
  <c r="AT919" i="48"/>
  <c r="AT911" i="48"/>
  <c r="AT921" i="48"/>
  <c r="AT940" i="48"/>
  <c r="AT944" i="48"/>
  <c r="AT941" i="48"/>
  <c r="AT965" i="48"/>
  <c r="AT961" i="48"/>
  <c r="AT972" i="48"/>
  <c r="AT995" i="48"/>
  <c r="AT1000" i="48"/>
  <c r="AT990" i="48"/>
  <c r="AT1018" i="48"/>
  <c r="AT1016" i="48"/>
  <c r="AT1012" i="48"/>
  <c r="AT1048" i="48"/>
  <c r="AT1046" i="48"/>
  <c r="AT1049" i="48"/>
  <c r="AT1037" i="48"/>
  <c r="AT1041" i="48"/>
  <c r="AT1070" i="48"/>
  <c r="AT1075" i="48"/>
  <c r="AT1092" i="48"/>
  <c r="AT1146" i="48"/>
  <c r="AT1138" i="48"/>
  <c r="AT1196" i="48"/>
  <c r="AT1189" i="48"/>
  <c r="AT1221" i="48"/>
  <c r="AT1222" i="48"/>
  <c r="AT1215" i="48"/>
  <c r="AT1237" i="48"/>
  <c r="AT1246" i="48"/>
  <c r="AT1249" i="48"/>
  <c r="AT1239" i="48"/>
  <c r="AT1299" i="48"/>
  <c r="AT1323" i="48"/>
  <c r="AT1312" i="48"/>
  <c r="AT1340" i="48"/>
  <c r="AT1339" i="48"/>
  <c r="AT1342" i="48"/>
  <c r="AT36" i="48"/>
  <c r="AT72" i="48"/>
  <c r="AT70" i="48"/>
  <c r="AT121" i="48"/>
  <c r="AT616" i="48"/>
  <c r="AT1264" i="48"/>
  <c r="AT1266" i="48"/>
  <c r="AT166" i="48"/>
  <c r="AT199" i="48"/>
  <c r="AT188" i="48"/>
  <c r="AT189" i="48"/>
  <c r="AT196" i="48"/>
  <c r="AT261" i="48"/>
  <c r="AT263" i="48"/>
  <c r="AT362" i="48"/>
  <c r="AT493" i="48"/>
  <c r="AT500" i="48"/>
  <c r="AT569" i="48"/>
  <c r="AT564" i="48"/>
  <c r="AT637" i="48"/>
  <c r="AT646" i="48"/>
  <c r="AT648" i="48"/>
  <c r="AT639" i="48"/>
  <c r="AT769" i="48"/>
  <c r="AT768" i="48"/>
  <c r="AT963" i="48"/>
  <c r="AT1086" i="48"/>
  <c r="AT165" i="48"/>
  <c r="AK47" i="48"/>
  <c r="AT63" i="48"/>
  <c r="AT96" i="48"/>
  <c r="AT116" i="48"/>
  <c r="AT114" i="48"/>
  <c r="AT163" i="48"/>
  <c r="AT223" i="48"/>
  <c r="AT246" i="48"/>
  <c r="AT270" i="48"/>
  <c r="AT297" i="48"/>
  <c r="AT317" i="48"/>
  <c r="AT312" i="48"/>
  <c r="AT316" i="48"/>
  <c r="AT340" i="48"/>
  <c r="AT387" i="48"/>
  <c r="AT422" i="48"/>
  <c r="AT449" i="48"/>
  <c r="AT438" i="48"/>
  <c r="AT464" i="48"/>
  <c r="AT475" i="48"/>
  <c r="AT465" i="48"/>
  <c r="AT513" i="48"/>
  <c r="AT522" i="48"/>
  <c r="AT548" i="48"/>
  <c r="AT550" i="48"/>
  <c r="AT588" i="48"/>
  <c r="AT621" i="48"/>
  <c r="AT695" i="48"/>
  <c r="AT690" i="48"/>
  <c r="AT761" i="48"/>
  <c r="AT791" i="48"/>
  <c r="AT821" i="48"/>
  <c r="AT819" i="48"/>
  <c r="AT824" i="48"/>
  <c r="AT862" i="48"/>
  <c r="AT894" i="48"/>
  <c r="AT925" i="48"/>
  <c r="AT947" i="48"/>
  <c r="AT950" i="48"/>
  <c r="AT964" i="48"/>
  <c r="AT998" i="48"/>
  <c r="AT991" i="48"/>
  <c r="AT1017" i="48"/>
  <c r="AT1142" i="48"/>
  <c r="AT1212" i="48"/>
  <c r="AT1224" i="48"/>
  <c r="AT1238" i="48"/>
  <c r="AT1314" i="48"/>
  <c r="AT1338" i="48"/>
  <c r="AT39" i="48"/>
  <c r="AT195" i="48"/>
  <c r="AT271" i="48"/>
  <c r="AT489" i="48"/>
  <c r="AT563" i="48"/>
  <c r="AT570" i="48"/>
  <c r="AT636" i="48"/>
  <c r="AT765" i="48"/>
  <c r="AT967" i="48"/>
  <c r="AT1094" i="48"/>
  <c r="AT1123" i="48"/>
  <c r="AT41" i="48"/>
  <c r="AT66" i="48"/>
  <c r="AT93" i="48"/>
  <c r="AT117" i="48"/>
  <c r="AT113" i="48"/>
  <c r="AT167" i="48"/>
  <c r="AT214" i="48"/>
  <c r="AT217" i="48"/>
  <c r="AT221" i="48"/>
  <c r="AT237" i="48"/>
  <c r="AT267" i="48"/>
  <c r="AT268" i="48"/>
  <c r="AT287" i="48"/>
  <c r="AT300" i="48"/>
  <c r="AT295" i="48"/>
  <c r="AT289" i="48"/>
  <c r="AT315" i="48"/>
  <c r="AT321" i="48"/>
  <c r="AT320" i="48"/>
  <c r="AT346" i="48"/>
  <c r="AT344" i="48"/>
  <c r="AT370" i="48"/>
  <c r="AT367" i="48"/>
  <c r="AT386" i="48"/>
  <c r="AT397" i="48"/>
  <c r="AT412" i="48"/>
  <c r="AT417" i="48"/>
  <c r="AT436" i="48"/>
  <c r="AT447" i="48"/>
  <c r="AT448" i="48"/>
  <c r="AK444" i="48"/>
  <c r="AT466" i="48"/>
  <c r="AT469" i="48"/>
  <c r="AT511" i="48"/>
  <c r="AT520" i="48"/>
  <c r="AT514" i="48"/>
  <c r="AT516" i="48"/>
  <c r="AT538" i="48"/>
  <c r="AT547" i="48"/>
  <c r="AT539" i="48"/>
  <c r="AT544" i="48"/>
  <c r="AT574" i="48"/>
  <c r="AT591" i="48"/>
  <c r="AT589" i="48"/>
  <c r="AT624" i="48"/>
  <c r="AT700" i="48"/>
  <c r="AT696" i="48"/>
  <c r="AT699" i="48"/>
  <c r="AT691" i="48"/>
  <c r="AT713" i="48"/>
  <c r="AT771" i="48"/>
  <c r="AT764" i="48"/>
  <c r="AT774" i="48"/>
  <c r="AT800" i="48"/>
  <c r="AT796" i="48"/>
  <c r="AT797" i="48"/>
  <c r="AT815" i="48"/>
  <c r="AT818" i="48"/>
  <c r="AT822" i="48"/>
  <c r="AT846" i="48"/>
  <c r="AT870" i="48"/>
  <c r="AT864" i="48"/>
  <c r="AT861" i="48"/>
  <c r="AT888" i="48"/>
  <c r="AT886" i="48"/>
  <c r="AT920" i="48"/>
  <c r="AT913" i="48"/>
  <c r="AT936" i="48"/>
  <c r="AT946" i="48"/>
  <c r="AT938" i="48"/>
  <c r="AT974" i="48"/>
  <c r="AT996" i="48"/>
  <c r="AT987" i="48"/>
  <c r="AT999" i="48"/>
  <c r="AT993" i="48"/>
  <c r="AT1013" i="48"/>
  <c r="AT1022" i="48"/>
  <c r="AT1050" i="48"/>
  <c r="AT1040" i="48"/>
  <c r="AT1047" i="48"/>
  <c r="AT1065" i="48"/>
  <c r="AT1066" i="48"/>
  <c r="AT1062" i="48"/>
  <c r="AT1139" i="48"/>
  <c r="AT1145" i="48"/>
  <c r="AT1147" i="48"/>
  <c r="AT1144" i="48"/>
  <c r="AT1192" i="48"/>
  <c r="AT1199" i="48"/>
  <c r="AT1187" i="48"/>
  <c r="AT1219" i="48"/>
  <c r="AT1218" i="48"/>
  <c r="AT1248" i="48"/>
  <c r="AT1245" i="48"/>
  <c r="AT1241" i="48"/>
  <c r="AT1292" i="48"/>
  <c r="AT1322" i="48"/>
  <c r="AT1336" i="48"/>
  <c r="AT1337" i="48"/>
  <c r="AT1347" i="48"/>
  <c r="AT613" i="48"/>
  <c r="AK1275" i="48"/>
  <c r="AT1262" i="48"/>
  <c r="AT1269" i="48"/>
  <c r="AT1286" i="48"/>
  <c r="AT1316" i="48"/>
  <c r="AT1324" i="48"/>
  <c r="AT168" i="48"/>
  <c r="AT169" i="48"/>
  <c r="AT187" i="48"/>
  <c r="AT191" i="48"/>
  <c r="AT274" i="48"/>
  <c r="AT291" i="48"/>
  <c r="AT347" i="48"/>
  <c r="AT395" i="48"/>
  <c r="AT494" i="48"/>
  <c r="AT497" i="48"/>
  <c r="AT486" i="48"/>
  <c r="AT495" i="48"/>
  <c r="AT567" i="48"/>
  <c r="AT565" i="48"/>
  <c r="AT600" i="48"/>
  <c r="AT640" i="48"/>
  <c r="AT644" i="48"/>
  <c r="AT772" i="48"/>
  <c r="AT896" i="48"/>
  <c r="AT35" i="48"/>
  <c r="AT65" i="48"/>
  <c r="AT92" i="48"/>
  <c r="AT88" i="48"/>
  <c r="AT171" i="48"/>
  <c r="AT194" i="48"/>
  <c r="AT211" i="48"/>
  <c r="AT219" i="48"/>
  <c r="AT266" i="48"/>
  <c r="AT273" i="48"/>
  <c r="AT286" i="48"/>
  <c r="AT313" i="48"/>
  <c r="AT349" i="48"/>
  <c r="AT372" i="48"/>
  <c r="AT396" i="48"/>
  <c r="AT413" i="48"/>
  <c r="AT423" i="48"/>
  <c r="AT440" i="48"/>
  <c r="AT467" i="48"/>
  <c r="AT470" i="48"/>
  <c r="AT512" i="48"/>
  <c r="AT524" i="48"/>
  <c r="AT541" i="48"/>
  <c r="AT545" i="48"/>
  <c r="AT599" i="48"/>
  <c r="AT625" i="48"/>
  <c r="AT697" i="48"/>
  <c r="AT688" i="48"/>
  <c r="AT762" i="48"/>
  <c r="AT787" i="48"/>
  <c r="AT792" i="48"/>
  <c r="AT814" i="48"/>
  <c r="AT845" i="48"/>
  <c r="AT865" i="48"/>
  <c r="AT869" i="48"/>
  <c r="AT890" i="48"/>
  <c r="AT922" i="48"/>
  <c r="AT945" i="48"/>
  <c r="AT969" i="48"/>
  <c r="AT997" i="48"/>
  <c r="AT1020" i="48"/>
  <c r="AT1024" i="48"/>
  <c r="AT1036" i="48"/>
  <c r="AT1044" i="48"/>
  <c r="AT1068" i="48"/>
  <c r="AT1140" i="48"/>
  <c r="AT1136" i="48"/>
  <c r="AT1197" i="48"/>
  <c r="AT1213" i="48"/>
  <c r="AT1244" i="48"/>
  <c r="AT1300" i="48"/>
  <c r="AT1311" i="48"/>
  <c r="AT1348" i="48"/>
  <c r="AT623" i="48"/>
  <c r="AT272" i="48"/>
  <c r="AT366" i="48"/>
  <c r="AT490" i="48"/>
  <c r="AT638" i="48"/>
  <c r="AT642" i="48"/>
  <c r="AT1098" i="48"/>
  <c r="AT40" i="48"/>
  <c r="AT73" i="48"/>
  <c r="AT95" i="48"/>
  <c r="AT94" i="48"/>
  <c r="AT38" i="48"/>
  <c r="AT61" i="48"/>
  <c r="AT75" i="48"/>
  <c r="AT67" i="48"/>
  <c r="AT97" i="48"/>
  <c r="AT86" i="48"/>
  <c r="AT98" i="48"/>
  <c r="AT118" i="48"/>
  <c r="AT111" i="48"/>
  <c r="AT161" i="48"/>
  <c r="AT213" i="48"/>
  <c r="AT222" i="48"/>
  <c r="AT218" i="48"/>
  <c r="AT224" i="48"/>
  <c r="AT247" i="48"/>
  <c r="AT244" i="48"/>
  <c r="AT269" i="48"/>
  <c r="AT262" i="48"/>
  <c r="AT298" i="48"/>
  <c r="AT290" i="48"/>
  <c r="AT292" i="48"/>
  <c r="AT318" i="48"/>
  <c r="AT341" i="48"/>
  <c r="AT339" i="48"/>
  <c r="AT369" i="48"/>
  <c r="AT361" i="48"/>
  <c r="AT393" i="48"/>
  <c r="AT399" i="48"/>
  <c r="AT391" i="48"/>
  <c r="AT441" i="48"/>
  <c r="AT462" i="48"/>
  <c r="AT474" i="48"/>
  <c r="AT471" i="48"/>
  <c r="AT521" i="48"/>
  <c r="AT519" i="48"/>
  <c r="AT517" i="48"/>
  <c r="AT525" i="48"/>
  <c r="AT543" i="48"/>
  <c r="AT546" i="48"/>
  <c r="AT540" i="48"/>
  <c r="AT592" i="48"/>
  <c r="AT596" i="48"/>
  <c r="AT598" i="48"/>
  <c r="AT617" i="48"/>
  <c r="AT620" i="48"/>
  <c r="AT615" i="48"/>
  <c r="AT689" i="48"/>
  <c r="AT692" i="48"/>
  <c r="AT693" i="48"/>
  <c r="AT724" i="48"/>
  <c r="AT722" i="48"/>
  <c r="AT725" i="48"/>
  <c r="AT718" i="48"/>
  <c r="AT775" i="48"/>
  <c r="AT763" i="48"/>
  <c r="AT786" i="48"/>
  <c r="AT788" i="48"/>
  <c r="AT799" i="48"/>
  <c r="AT790" i="48"/>
  <c r="AT820" i="48"/>
  <c r="AT825" i="48"/>
  <c r="AT823" i="48"/>
  <c r="AT812" i="48"/>
  <c r="AK848" i="48"/>
  <c r="AT841" i="48"/>
  <c r="AT844" i="48"/>
  <c r="AT849" i="48"/>
  <c r="AT875" i="48"/>
  <c r="AT866" i="48"/>
  <c r="AT863" i="48"/>
  <c r="AT867" i="48"/>
  <c r="AT872" i="48"/>
  <c r="AT892" i="48"/>
  <c r="AT891" i="48"/>
  <c r="AT923" i="48"/>
  <c r="AT924" i="48"/>
  <c r="AT916" i="48"/>
  <c r="AT939" i="48"/>
  <c r="AT942" i="48"/>
  <c r="AT968" i="48"/>
  <c r="AT975" i="48"/>
  <c r="AT986" i="48"/>
  <c r="AT992" i="48"/>
  <c r="AT988" i="48"/>
  <c r="AT994" i="48"/>
  <c r="AT1023" i="48"/>
  <c r="AT1011" i="48"/>
  <c r="AT1043" i="48"/>
  <c r="AT1039" i="48"/>
  <c r="AT1038" i="48"/>
  <c r="AT1045" i="48"/>
  <c r="AT1069" i="48"/>
  <c r="AT1071" i="48"/>
  <c r="AT1063" i="48"/>
  <c r="AK1073" i="48"/>
  <c r="AT1067" i="48"/>
  <c r="AT1141" i="48"/>
  <c r="AT1150" i="48"/>
  <c r="AT1143" i="48"/>
  <c r="AT1137" i="48"/>
  <c r="AT1194" i="48"/>
  <c r="AT1190" i="48"/>
  <c r="AT1198" i="48"/>
  <c r="AT1220" i="48"/>
  <c r="AT1214" i="48"/>
  <c r="AT1211" i="48"/>
  <c r="AT1216" i="48"/>
  <c r="AT1247" i="48"/>
  <c r="AT1243" i="48"/>
  <c r="AT1289" i="48"/>
  <c r="AT1320" i="48"/>
  <c r="AT1313" i="48"/>
  <c r="AT1343" i="48"/>
  <c r="AT1349" i="48"/>
  <c r="AT618" i="48"/>
  <c r="AK1270" i="48"/>
  <c r="AT1267" i="48"/>
  <c r="AT1290" i="48"/>
  <c r="AT170" i="48"/>
  <c r="AT164" i="48"/>
  <c r="AT198" i="48"/>
  <c r="AT192" i="48"/>
  <c r="AT186" i="48"/>
  <c r="AT249" i="48"/>
  <c r="AT264" i="48"/>
  <c r="AT296" i="48"/>
  <c r="AT398" i="48"/>
  <c r="AT496" i="48"/>
  <c r="AT498" i="48"/>
  <c r="AT499" i="48"/>
  <c r="AT518" i="48"/>
  <c r="AT568" i="48"/>
  <c r="AT566" i="48"/>
  <c r="AT643" i="48"/>
  <c r="AT641" i="48"/>
  <c r="AT645" i="48"/>
  <c r="AT647" i="48"/>
  <c r="AT1096" i="48"/>
  <c r="AT572" i="48"/>
  <c r="AT338" i="48"/>
  <c r="AS1250" i="48"/>
  <c r="AR1250" i="48"/>
  <c r="AP1250" i="48"/>
  <c r="AK773" i="48"/>
  <c r="AK572" i="48"/>
  <c r="AR734" i="48"/>
  <c r="AS734" i="48"/>
  <c r="AT734" i="48"/>
  <c r="AK491" i="48"/>
  <c r="AK197" i="48"/>
  <c r="AP49" i="48"/>
  <c r="AS49" i="48"/>
  <c r="AK50" i="48"/>
  <c r="AR49" i="48"/>
  <c r="AK49" i="48"/>
  <c r="AT49" i="48"/>
  <c r="AK48" i="48"/>
  <c r="AP47" i="48"/>
  <c r="AR47" i="48"/>
  <c r="AS47" i="48"/>
  <c r="AT47" i="48"/>
  <c r="AK160" i="48"/>
  <c r="AK798" i="48"/>
  <c r="AK897" i="48"/>
  <c r="AK1217" i="48"/>
  <c r="AK794" i="48"/>
  <c r="AK914" i="48"/>
  <c r="AK275" i="48"/>
  <c r="AK487" i="48"/>
  <c r="AK587" i="48"/>
  <c r="AR1115" i="48"/>
  <c r="AP1115" i="48"/>
  <c r="AS1115" i="48"/>
  <c r="AK1116" i="48"/>
  <c r="AK1115" i="48"/>
  <c r="AK1291" i="48"/>
  <c r="AS338" i="48"/>
  <c r="AP338" i="48"/>
  <c r="AR338" i="48"/>
  <c r="AK115" i="48"/>
  <c r="AK571" i="48"/>
  <c r="AK573" i="48"/>
  <c r="AT1115" i="48"/>
  <c r="AT1274" i="48"/>
  <c r="AK1021" i="48"/>
  <c r="AK770" i="48"/>
  <c r="AS165" i="48"/>
  <c r="AP165" i="48"/>
  <c r="AR165" i="48"/>
  <c r="AP572" i="48"/>
  <c r="AR572" i="48"/>
  <c r="AS572" i="48"/>
  <c r="AP1111" i="48"/>
  <c r="AS1111" i="48"/>
  <c r="AK1111" i="48"/>
  <c r="AR1111" i="48"/>
  <c r="AP1112" i="48"/>
  <c r="AK1113" i="48"/>
  <c r="AK1112" i="48"/>
  <c r="AR1112" i="48"/>
  <c r="AS1112" i="48"/>
  <c r="AT1111" i="48"/>
  <c r="AR1123" i="48"/>
  <c r="AP1123" i="48"/>
  <c r="AK1124" i="48"/>
  <c r="AS1123" i="48"/>
  <c r="AK1123" i="48"/>
  <c r="AS1086" i="48"/>
  <c r="AP1086" i="48"/>
  <c r="AR1086" i="48"/>
  <c r="AK1086" i="48"/>
  <c r="AK1096" i="48"/>
  <c r="AS1096" i="48"/>
  <c r="AR1096" i="48"/>
  <c r="AP1096" i="48"/>
  <c r="AP1094" i="48"/>
  <c r="AK1094" i="48"/>
  <c r="AR1094" i="48"/>
  <c r="AS1094" i="48"/>
  <c r="AK1095" i="48"/>
  <c r="AS1098" i="48"/>
  <c r="AP1098" i="48"/>
  <c r="AR1098" i="48"/>
  <c r="AK1099" i="48"/>
  <c r="AK1087" i="48"/>
  <c r="AP967" i="48"/>
  <c r="AR967" i="48"/>
  <c r="AK967" i="48"/>
  <c r="AS967" i="48"/>
  <c r="AK963" i="48"/>
  <c r="AR963" i="48"/>
  <c r="AS963" i="48"/>
  <c r="AP963" i="48"/>
  <c r="AS884" i="48"/>
  <c r="AR884" i="48"/>
  <c r="AK899" i="48"/>
  <c r="AR898" i="48"/>
  <c r="AK898" i="48"/>
  <c r="AS898" i="48"/>
  <c r="AP898" i="48"/>
  <c r="AT898" i="48"/>
  <c r="AT884" i="48"/>
  <c r="AR896" i="48"/>
  <c r="AS896" i="48"/>
  <c r="AK896" i="48"/>
  <c r="AP896" i="48"/>
  <c r="AK816" i="48"/>
  <c r="AR765" i="48"/>
  <c r="AS765" i="48"/>
  <c r="AP765" i="48"/>
  <c r="AS768" i="48"/>
  <c r="AP768" i="48"/>
  <c r="AR768" i="48"/>
  <c r="AK769" i="48"/>
  <c r="AP769" i="48"/>
  <c r="AR769" i="48"/>
  <c r="AS769" i="48"/>
  <c r="AS772" i="48"/>
  <c r="AR772" i="48"/>
  <c r="AP772" i="48"/>
  <c r="AS750" i="48"/>
  <c r="AP750" i="48"/>
  <c r="AK750" i="48"/>
  <c r="AR750" i="48"/>
  <c r="AK637" i="48"/>
  <c r="AR637" i="48"/>
  <c r="AS637" i="48"/>
  <c r="AP637" i="48"/>
  <c r="AP643" i="48"/>
  <c r="AK643" i="48"/>
  <c r="AR643" i="48"/>
  <c r="AS643" i="48"/>
  <c r="AS646" i="48"/>
  <c r="AR646" i="48"/>
  <c r="AP646" i="48"/>
  <c r="AK646" i="48"/>
  <c r="AP641" i="48"/>
  <c r="AK641" i="48"/>
  <c r="AR641" i="48"/>
  <c r="AS641" i="48"/>
  <c r="AK649" i="48"/>
  <c r="AP648" i="48"/>
  <c r="AK648" i="48"/>
  <c r="AR648" i="48"/>
  <c r="AS648" i="48"/>
  <c r="AK645" i="48"/>
  <c r="AR645" i="48"/>
  <c r="AS645" i="48"/>
  <c r="AP645" i="48"/>
  <c r="AP639" i="48"/>
  <c r="AR639" i="48"/>
  <c r="AK639" i="48"/>
  <c r="AS639" i="48"/>
  <c r="AP647" i="48"/>
  <c r="AS647" i="48"/>
  <c r="AK647" i="48"/>
  <c r="AR647" i="48"/>
  <c r="AS634" i="48"/>
  <c r="AR634" i="48"/>
  <c r="AP638" i="48"/>
  <c r="AK638" i="48"/>
  <c r="AS638" i="48"/>
  <c r="AR638" i="48"/>
  <c r="AP640" i="48"/>
  <c r="AR640" i="48"/>
  <c r="AK640" i="48"/>
  <c r="AS640" i="48"/>
  <c r="AR650" i="48"/>
  <c r="AP650" i="48"/>
  <c r="AK650" i="48"/>
  <c r="AS650" i="48"/>
  <c r="AR635" i="48"/>
  <c r="AK635" i="48"/>
  <c r="AS635" i="48"/>
  <c r="AP636" i="48"/>
  <c r="AR636" i="48"/>
  <c r="AK636" i="48"/>
  <c r="AS636" i="48"/>
  <c r="AR644" i="48"/>
  <c r="AP644" i="48"/>
  <c r="AS644" i="48"/>
  <c r="AK644" i="48"/>
  <c r="AP642" i="48"/>
  <c r="AK642" i="48"/>
  <c r="AS642" i="48"/>
  <c r="AR642" i="48"/>
  <c r="AP600" i="48"/>
  <c r="AR600" i="48"/>
  <c r="AS600" i="48"/>
  <c r="AK568" i="48"/>
  <c r="AR568" i="48"/>
  <c r="AP568" i="48"/>
  <c r="AS568" i="48"/>
  <c r="AP569" i="48"/>
  <c r="AR569" i="48"/>
  <c r="AK569" i="48"/>
  <c r="AS569" i="48"/>
  <c r="AK567" i="48"/>
  <c r="AS567" i="48"/>
  <c r="AR567" i="48"/>
  <c r="AP567" i="48"/>
  <c r="AP570" i="48"/>
  <c r="AK570" i="48"/>
  <c r="AR570" i="48"/>
  <c r="AS570" i="48"/>
  <c r="AS564" i="48"/>
  <c r="AP564" i="48"/>
  <c r="AR564" i="48"/>
  <c r="AK564" i="48"/>
  <c r="AP563" i="48"/>
  <c r="AS563" i="48"/>
  <c r="AK563" i="48"/>
  <c r="AR563" i="48"/>
  <c r="AT560" i="48"/>
  <c r="AR560" i="48"/>
  <c r="AK560" i="48"/>
  <c r="AS560" i="48"/>
  <c r="AS566" i="48"/>
  <c r="AP566" i="48"/>
  <c r="AR566" i="48"/>
  <c r="AK566" i="48"/>
  <c r="AS562" i="48"/>
  <c r="AP562" i="48"/>
  <c r="AR562" i="48"/>
  <c r="AK562" i="48"/>
  <c r="AP565" i="48"/>
  <c r="AR565" i="48"/>
  <c r="AK565" i="48"/>
  <c r="AS565" i="48"/>
  <c r="AR518" i="48"/>
  <c r="AS518" i="48"/>
  <c r="AK496" i="48"/>
  <c r="AR496" i="48"/>
  <c r="AS496" i="48"/>
  <c r="AP496" i="48"/>
  <c r="AR485" i="48"/>
  <c r="AK485" i="48"/>
  <c r="AS485" i="48"/>
  <c r="AK498" i="48"/>
  <c r="AP498" i="48"/>
  <c r="AS498" i="48"/>
  <c r="AR498" i="48"/>
  <c r="AK493" i="48"/>
  <c r="AR493" i="48"/>
  <c r="AP493" i="48"/>
  <c r="AS493" i="48"/>
  <c r="AK499" i="48"/>
  <c r="AP499" i="48"/>
  <c r="AS499" i="48"/>
  <c r="AR499" i="48"/>
  <c r="AR500" i="48"/>
  <c r="AS500" i="48"/>
  <c r="AK500" i="48"/>
  <c r="AP500" i="48"/>
  <c r="AR489" i="48"/>
  <c r="AP489" i="48"/>
  <c r="AS489" i="48"/>
  <c r="AK489" i="48"/>
  <c r="AP494" i="48"/>
  <c r="AS494" i="48"/>
  <c r="AK494" i="48"/>
  <c r="AR494" i="48"/>
  <c r="AP490" i="48"/>
  <c r="AK490" i="48"/>
  <c r="AS490" i="48"/>
  <c r="AR490" i="48"/>
  <c r="AP497" i="48"/>
  <c r="AK497" i="48"/>
  <c r="AR497" i="48"/>
  <c r="AS497" i="48"/>
  <c r="AP492" i="48"/>
  <c r="AR492" i="48"/>
  <c r="AK492" i="48"/>
  <c r="AS492" i="48"/>
  <c r="AK486" i="48"/>
  <c r="AR486" i="48"/>
  <c r="AP486" i="48"/>
  <c r="AS486" i="48"/>
  <c r="AR495" i="48"/>
  <c r="AP495" i="48"/>
  <c r="AK495" i="48"/>
  <c r="AS495" i="48"/>
  <c r="AS472" i="48"/>
  <c r="AP472" i="48"/>
  <c r="AR472" i="48"/>
  <c r="AP395" i="48"/>
  <c r="AR395" i="48"/>
  <c r="AS395" i="48"/>
  <c r="AR398" i="48"/>
  <c r="AP398" i="48"/>
  <c r="AS398" i="48"/>
  <c r="AP363" i="48"/>
  <c r="AS363" i="48"/>
  <c r="AK363" i="48"/>
  <c r="AR363" i="48"/>
  <c r="AK364" i="48"/>
  <c r="AR366" i="48"/>
  <c r="AP366" i="48"/>
  <c r="AS366" i="48"/>
  <c r="AK366" i="48"/>
  <c r="AK360" i="48"/>
  <c r="AS360" i="48"/>
  <c r="AR360" i="48"/>
  <c r="AT363" i="48"/>
  <c r="AS362" i="48"/>
  <c r="AP362" i="48"/>
  <c r="AR362" i="48"/>
  <c r="AS335" i="48"/>
  <c r="AR335" i="48"/>
  <c r="AK335" i="48"/>
  <c r="AP347" i="48"/>
  <c r="AS347" i="48"/>
  <c r="AR347" i="48"/>
  <c r="AK348" i="48"/>
  <c r="AP325" i="48"/>
  <c r="AS325" i="48"/>
  <c r="AR325" i="48"/>
  <c r="AS291" i="48"/>
  <c r="AP291" i="48"/>
  <c r="AR291" i="48"/>
  <c r="AP296" i="48"/>
  <c r="AR296" i="48"/>
  <c r="AS296" i="48"/>
  <c r="AP271" i="48"/>
  <c r="AS271" i="48"/>
  <c r="AR271" i="48"/>
  <c r="AR274" i="48"/>
  <c r="AS274" i="48"/>
  <c r="AP274" i="48"/>
  <c r="AS272" i="48"/>
  <c r="AR272" i="48"/>
  <c r="AP272" i="48"/>
  <c r="AK272" i="48"/>
  <c r="AS261" i="48"/>
  <c r="AP261" i="48"/>
  <c r="AR261" i="48"/>
  <c r="AP264" i="48"/>
  <c r="AK264" i="48"/>
  <c r="AR264" i="48"/>
  <c r="AS264" i="48"/>
  <c r="AS263" i="48"/>
  <c r="AP263" i="48"/>
  <c r="AR263" i="48"/>
  <c r="AR249" i="48"/>
  <c r="AS249" i="48"/>
  <c r="AP249" i="48"/>
  <c r="AK249" i="48"/>
  <c r="AS250" i="48"/>
  <c r="AP250" i="48"/>
  <c r="AK250" i="48"/>
  <c r="AR250" i="48"/>
  <c r="AP241" i="48"/>
  <c r="AS241" i="48"/>
  <c r="AK241" i="48"/>
  <c r="AR241" i="48"/>
  <c r="AS160" i="48"/>
  <c r="AR160" i="48"/>
  <c r="AK193" i="48"/>
  <c r="AK185" i="48"/>
  <c r="AS185" i="48"/>
  <c r="AR185" i="48"/>
  <c r="AK187" i="48"/>
  <c r="AS187" i="48"/>
  <c r="AR187" i="48"/>
  <c r="AP187" i="48"/>
  <c r="AS195" i="48"/>
  <c r="AP195" i="48"/>
  <c r="AR195" i="48"/>
  <c r="AK189" i="48"/>
  <c r="AS189" i="48"/>
  <c r="AR189" i="48"/>
  <c r="AP189" i="48"/>
  <c r="AK186" i="48"/>
  <c r="AS186" i="48"/>
  <c r="AR186" i="48"/>
  <c r="AP186" i="48"/>
  <c r="AP196" i="48"/>
  <c r="AS196" i="48"/>
  <c r="AK196" i="48"/>
  <c r="AR196" i="48"/>
  <c r="AK198" i="48"/>
  <c r="AS198" i="48"/>
  <c r="AP198" i="48"/>
  <c r="AR198" i="48"/>
  <c r="AS199" i="48"/>
  <c r="AP199" i="48"/>
  <c r="AR199" i="48"/>
  <c r="AK199" i="48"/>
  <c r="AK200" i="48"/>
  <c r="AK192" i="48"/>
  <c r="AR192" i="48"/>
  <c r="AS192" i="48"/>
  <c r="AP192" i="48"/>
  <c r="AP188" i="48"/>
  <c r="AK188" i="48"/>
  <c r="AR188" i="48"/>
  <c r="AS188" i="48"/>
  <c r="AP191" i="48"/>
  <c r="AR191" i="48"/>
  <c r="AK191" i="48"/>
  <c r="AS191" i="48"/>
  <c r="AR190" i="48"/>
  <c r="AP190" i="48"/>
  <c r="AK190" i="48"/>
  <c r="AS190" i="48"/>
  <c r="AS184" i="48"/>
  <c r="AR184" i="48"/>
  <c r="AR168" i="48"/>
  <c r="AP168" i="48"/>
  <c r="AS168" i="48"/>
  <c r="AS162" i="48"/>
  <c r="AP162" i="48"/>
  <c r="AR162" i="48"/>
  <c r="AR169" i="48"/>
  <c r="AS169" i="48"/>
  <c r="AP169" i="48"/>
  <c r="AK169" i="48"/>
  <c r="AS170" i="48"/>
  <c r="AP170" i="48"/>
  <c r="AK170" i="48"/>
  <c r="AR170" i="48"/>
  <c r="AR166" i="48"/>
  <c r="AP166" i="48"/>
  <c r="AS166" i="48"/>
  <c r="AK166" i="48"/>
  <c r="AK165" i="48"/>
  <c r="AR164" i="48"/>
  <c r="AP164" i="48"/>
  <c r="AS164" i="48"/>
  <c r="AR1316" i="48"/>
  <c r="AP1316" i="48"/>
  <c r="AS1316" i="48"/>
  <c r="AK1316" i="48"/>
  <c r="AK1317" i="48"/>
  <c r="AP1324" i="48"/>
  <c r="AR1324" i="48"/>
  <c r="AK1325" i="48"/>
  <c r="AS1324" i="48"/>
  <c r="AP1290" i="48"/>
  <c r="AR1290" i="48"/>
  <c r="AS1290" i="48"/>
  <c r="AP1286" i="48"/>
  <c r="AS1286" i="48"/>
  <c r="AK1286" i="48"/>
  <c r="AK1287" i="48"/>
  <c r="AR1286" i="48"/>
  <c r="AK1285" i="48"/>
  <c r="AR1285" i="48"/>
  <c r="AS1285" i="48"/>
  <c r="AK1274" i="48"/>
  <c r="AS1274" i="48"/>
  <c r="AR1274" i="48"/>
  <c r="AP1274" i="48"/>
  <c r="AS1267" i="48"/>
  <c r="AR1267" i="48"/>
  <c r="AP1267" i="48"/>
  <c r="AK1267" i="48"/>
  <c r="AS1266" i="48"/>
  <c r="AP1266" i="48"/>
  <c r="AR1266" i="48"/>
  <c r="AK1266" i="48"/>
  <c r="AR1264" i="48"/>
  <c r="AP1264" i="48"/>
  <c r="AS1264" i="48"/>
  <c r="AK1264" i="48"/>
  <c r="AK1265" i="48"/>
  <c r="AP1262" i="48"/>
  <c r="AK1262" i="48"/>
  <c r="AS1262" i="48"/>
  <c r="AR1262" i="48"/>
  <c r="AK1263" i="48"/>
  <c r="AK1261" i="48"/>
  <c r="AS1260" i="48"/>
  <c r="AK1260" i="48"/>
  <c r="AR1260" i="48"/>
  <c r="AK1269" i="48"/>
  <c r="AR1269" i="48"/>
  <c r="AS1269" i="48"/>
  <c r="AP1269" i="48"/>
  <c r="AS613" i="48"/>
  <c r="AK613" i="48"/>
  <c r="AR613" i="48"/>
  <c r="AP613" i="48"/>
  <c r="AK614" i="48"/>
  <c r="AS623" i="48"/>
  <c r="AP623" i="48"/>
  <c r="AR623" i="48"/>
  <c r="AP618" i="48"/>
  <c r="AR618" i="48"/>
  <c r="AS618" i="48"/>
  <c r="AK619" i="48"/>
  <c r="AR616" i="48"/>
  <c r="AP616" i="48"/>
  <c r="AS616" i="48"/>
  <c r="AP121" i="48"/>
  <c r="AS121" i="48"/>
  <c r="AR121" i="48"/>
  <c r="AK122" i="48"/>
  <c r="AS74" i="48"/>
  <c r="AP74" i="48"/>
  <c r="AR74" i="48"/>
  <c r="AR70" i="48"/>
  <c r="AP70" i="48"/>
  <c r="AS70" i="48"/>
  <c r="AK71" i="48"/>
  <c r="AS72" i="48"/>
  <c r="AK72" i="48"/>
  <c r="AR72" i="48"/>
  <c r="AP72" i="48"/>
  <c r="AK37" i="48"/>
  <c r="AP36" i="48"/>
  <c r="AR36" i="48"/>
  <c r="AS36" i="48"/>
  <c r="AP39" i="48"/>
  <c r="AR39" i="48"/>
  <c r="AS39" i="48"/>
  <c r="AP1340" i="48"/>
  <c r="AS1340" i="48"/>
  <c r="AK1340" i="48"/>
  <c r="AR1340" i="48"/>
  <c r="AP1343" i="48"/>
  <c r="AR1343" i="48"/>
  <c r="AK1343" i="48"/>
  <c r="AK1344" i="48"/>
  <c r="AS1343" i="48"/>
  <c r="AP1339" i="48"/>
  <c r="AK1339" i="48"/>
  <c r="AR1339" i="48"/>
  <c r="AS1339" i="48"/>
  <c r="AS1349" i="48"/>
  <c r="AK1349" i="48"/>
  <c r="AR1349" i="48"/>
  <c r="AP1349" i="48"/>
  <c r="AP1342" i="48"/>
  <c r="AS1342" i="48"/>
  <c r="AK1342" i="48"/>
  <c r="AR1342" i="48"/>
  <c r="AP1336" i="48"/>
  <c r="AS1336" i="48"/>
  <c r="AK1336" i="48"/>
  <c r="AR1336" i="48"/>
  <c r="AK1350" i="48"/>
  <c r="AP1350" i="48"/>
  <c r="AR1350" i="48"/>
  <c r="AS1350" i="48"/>
  <c r="AK1345" i="48"/>
  <c r="AR1345" i="48"/>
  <c r="AS1345" i="48"/>
  <c r="AP1345" i="48"/>
  <c r="AK1346" i="48"/>
  <c r="AT1345" i="48"/>
  <c r="AP1338" i="48"/>
  <c r="AK1338" i="48"/>
  <c r="AS1338" i="48"/>
  <c r="AR1338" i="48"/>
  <c r="AP1337" i="48"/>
  <c r="AK1337" i="48"/>
  <c r="AS1337" i="48"/>
  <c r="AR1337" i="48"/>
  <c r="AR1348" i="48"/>
  <c r="AP1348" i="48"/>
  <c r="AK1348" i="48"/>
  <c r="AS1348" i="48"/>
  <c r="AP1347" i="48"/>
  <c r="AR1347" i="48"/>
  <c r="AK1347" i="48"/>
  <c r="AS1347" i="48"/>
  <c r="AP1341" i="48"/>
  <c r="AR1341" i="48"/>
  <c r="AK1341" i="48"/>
  <c r="AS1341" i="48"/>
  <c r="AK1335" i="48"/>
  <c r="AS1335" i="48"/>
  <c r="AR1335" i="48"/>
  <c r="AP1322" i="48"/>
  <c r="AS1322" i="48"/>
  <c r="AK1322" i="48"/>
  <c r="AR1322" i="48"/>
  <c r="AR1314" i="48"/>
  <c r="AP1314" i="48"/>
  <c r="AK1314" i="48"/>
  <c r="AK1315" i="48"/>
  <c r="AS1314" i="48"/>
  <c r="AK1310" i="48"/>
  <c r="AS1310" i="48"/>
  <c r="AR1310" i="48"/>
  <c r="AK1311" i="48"/>
  <c r="AS1311" i="48"/>
  <c r="AR1311" i="48"/>
  <c r="AP1311" i="48"/>
  <c r="AS1309" i="48"/>
  <c r="AR1309" i="48"/>
  <c r="AP1320" i="48"/>
  <c r="AR1320" i="48"/>
  <c r="AK1320" i="48"/>
  <c r="AK1321" i="48"/>
  <c r="AS1320" i="48"/>
  <c r="AR1323" i="48"/>
  <c r="AK1324" i="48"/>
  <c r="AP1323" i="48"/>
  <c r="AS1323" i="48"/>
  <c r="AK1323" i="48"/>
  <c r="AK1313" i="48"/>
  <c r="AS1313" i="48"/>
  <c r="AP1313" i="48"/>
  <c r="AR1313" i="48"/>
  <c r="AS1312" i="48"/>
  <c r="AR1312" i="48"/>
  <c r="AP1312" i="48"/>
  <c r="AK1312" i="48"/>
  <c r="AR1299" i="48"/>
  <c r="AP1299" i="48"/>
  <c r="AS1299" i="48"/>
  <c r="AK1299" i="48"/>
  <c r="AP1289" i="48"/>
  <c r="AS1289" i="48"/>
  <c r="AK1289" i="48"/>
  <c r="AK1290" i="48"/>
  <c r="AR1289" i="48"/>
  <c r="AP1300" i="48"/>
  <c r="AR1300" i="48"/>
  <c r="AK1300" i="48"/>
  <c r="AS1300" i="48"/>
  <c r="AP1292" i="48"/>
  <c r="AS1292" i="48"/>
  <c r="AK1292" i="48"/>
  <c r="AR1292" i="48"/>
  <c r="AK1293" i="48"/>
  <c r="AK1297" i="48"/>
  <c r="AS1297" i="48"/>
  <c r="AP1297" i="48"/>
  <c r="AR1297" i="48"/>
  <c r="AK1298" i="48"/>
  <c r="AS1235" i="48"/>
  <c r="AK1235" i="48"/>
  <c r="AR1235" i="48"/>
  <c r="AS1244" i="48"/>
  <c r="AP1244" i="48"/>
  <c r="AR1244" i="48"/>
  <c r="AK1244" i="48"/>
  <c r="AR1248" i="48"/>
  <c r="AK1248" i="48"/>
  <c r="AP1248" i="48"/>
  <c r="AS1248" i="48"/>
  <c r="AP1238" i="48"/>
  <c r="AR1238" i="48"/>
  <c r="AK1238" i="48"/>
  <c r="AS1238" i="48"/>
  <c r="AK1245" i="48"/>
  <c r="AR1245" i="48"/>
  <c r="AP1245" i="48"/>
  <c r="AS1245" i="48"/>
  <c r="AP1240" i="48"/>
  <c r="AS1240" i="48"/>
  <c r="AK1240" i="48"/>
  <c r="AR1240" i="48"/>
  <c r="AK1242" i="48"/>
  <c r="AP1241" i="48"/>
  <c r="AS1241" i="48"/>
  <c r="AK1241" i="48"/>
  <c r="AR1241" i="48"/>
  <c r="AS1237" i="48"/>
  <c r="AP1237" i="48"/>
  <c r="AK1237" i="48"/>
  <c r="AR1237" i="48"/>
  <c r="AK1247" i="48"/>
  <c r="AS1247" i="48"/>
  <c r="AP1247" i="48"/>
  <c r="AR1247" i="48"/>
  <c r="AR1246" i="48"/>
  <c r="AS1246" i="48"/>
  <c r="AP1246" i="48"/>
  <c r="AK1246" i="48"/>
  <c r="AP1236" i="48"/>
  <c r="AR1236" i="48"/>
  <c r="AK1236" i="48"/>
  <c r="AS1236" i="48"/>
  <c r="AK1249" i="48"/>
  <c r="AS1249" i="48"/>
  <c r="AR1249" i="48"/>
  <c r="AK1250" i="48"/>
  <c r="AP1249" i="48"/>
  <c r="AK1243" i="48"/>
  <c r="AR1243" i="48"/>
  <c r="AS1243" i="48"/>
  <c r="AP1243" i="48"/>
  <c r="AP1239" i="48"/>
  <c r="AR1239" i="48"/>
  <c r="AK1239" i="48"/>
  <c r="AS1239" i="48"/>
  <c r="AR1234" i="48"/>
  <c r="AS1234" i="48"/>
  <c r="AS1220" i="48"/>
  <c r="AR1220" i="48"/>
  <c r="AK1220" i="48"/>
  <c r="AP1220" i="48"/>
  <c r="AS1221" i="48"/>
  <c r="AK1221" i="48"/>
  <c r="AR1221" i="48"/>
  <c r="AP1221" i="48"/>
  <c r="AR1214" i="48"/>
  <c r="AP1214" i="48"/>
  <c r="AS1214" i="48"/>
  <c r="AK1214" i="48"/>
  <c r="AK1222" i="48"/>
  <c r="AS1222" i="48"/>
  <c r="AR1222" i="48"/>
  <c r="AP1222" i="48"/>
  <c r="AK1223" i="48"/>
  <c r="AP1211" i="48"/>
  <c r="AK1211" i="48"/>
  <c r="AS1211" i="48"/>
  <c r="AR1211" i="48"/>
  <c r="AR1215" i="48"/>
  <c r="AS1215" i="48"/>
  <c r="AP1215" i="48"/>
  <c r="AK1215" i="48"/>
  <c r="AR1216" i="48"/>
  <c r="AP1216" i="48"/>
  <c r="AS1216" i="48"/>
  <c r="AK1216" i="48"/>
  <c r="AP1212" i="48"/>
  <c r="AR1212" i="48"/>
  <c r="AK1212" i="48"/>
  <c r="AS1212" i="48"/>
  <c r="AK1219" i="48"/>
  <c r="AS1219" i="48"/>
  <c r="AR1219" i="48"/>
  <c r="AP1219" i="48"/>
  <c r="AK1213" i="48"/>
  <c r="AS1213" i="48"/>
  <c r="AR1213" i="48"/>
  <c r="AP1213" i="48"/>
  <c r="AK1210" i="48"/>
  <c r="AS1210" i="48"/>
  <c r="AR1210" i="48"/>
  <c r="AP1224" i="48"/>
  <c r="AR1224" i="48"/>
  <c r="AS1224" i="48"/>
  <c r="AK1224" i="48"/>
  <c r="AP1218" i="48"/>
  <c r="AR1218" i="48"/>
  <c r="AK1218" i="48"/>
  <c r="AS1218" i="48"/>
  <c r="AS1225" i="48"/>
  <c r="AK1225" i="48"/>
  <c r="AP1225" i="48"/>
  <c r="AR1225" i="48"/>
  <c r="AP1194" i="48"/>
  <c r="AK1194" i="48"/>
  <c r="AS1194" i="48"/>
  <c r="AR1194" i="48"/>
  <c r="AP1196" i="48"/>
  <c r="AK1196" i="48"/>
  <c r="AR1196" i="48"/>
  <c r="AS1196" i="48"/>
  <c r="AK1191" i="48"/>
  <c r="AP1190" i="48"/>
  <c r="AS1190" i="48"/>
  <c r="AK1190" i="48"/>
  <c r="AR1190" i="48"/>
  <c r="AS1189" i="48"/>
  <c r="AP1189" i="48"/>
  <c r="AK1189" i="48"/>
  <c r="AR1189" i="48"/>
  <c r="AK1198" i="48"/>
  <c r="AR1198" i="48"/>
  <c r="AS1198" i="48"/>
  <c r="AP1198" i="48"/>
  <c r="AP1195" i="48"/>
  <c r="AS1195" i="48"/>
  <c r="AK1195" i="48"/>
  <c r="AR1195" i="48"/>
  <c r="AR1192" i="48"/>
  <c r="AP1192" i="48"/>
  <c r="AK1193" i="48"/>
  <c r="AK1192" i="48"/>
  <c r="AS1192" i="48"/>
  <c r="AP1199" i="48"/>
  <c r="AK1199" i="48"/>
  <c r="AR1199" i="48"/>
  <c r="AS1199" i="48"/>
  <c r="AK1200" i="48"/>
  <c r="AP1197" i="48"/>
  <c r="AR1197" i="48"/>
  <c r="AK1197" i="48"/>
  <c r="AS1197" i="48"/>
  <c r="AK1188" i="48"/>
  <c r="AK1187" i="48"/>
  <c r="AS1187" i="48"/>
  <c r="AR1187" i="48"/>
  <c r="AP1187" i="48"/>
  <c r="AK1186" i="48"/>
  <c r="AS1186" i="48"/>
  <c r="AR1186" i="48"/>
  <c r="AP1186" i="48"/>
  <c r="AS1160" i="48"/>
  <c r="AR1160" i="48"/>
  <c r="AK1160" i="48"/>
  <c r="AP1168" i="48"/>
  <c r="AK1168" i="48"/>
  <c r="AR1168" i="48"/>
  <c r="AS1168" i="48"/>
  <c r="AP1174" i="48"/>
  <c r="AS1174" i="48"/>
  <c r="AR1174" i="48"/>
  <c r="AK1174" i="48"/>
  <c r="AK1172" i="48"/>
  <c r="AR1172" i="48"/>
  <c r="AS1172" i="48"/>
  <c r="AP1172" i="48"/>
  <c r="AK1173" i="48"/>
  <c r="AP1171" i="48"/>
  <c r="AK1171" i="48"/>
  <c r="AS1171" i="48"/>
  <c r="AR1171" i="48"/>
  <c r="AP1164" i="48"/>
  <c r="AR1164" i="48"/>
  <c r="AK1164" i="48"/>
  <c r="AS1164" i="48"/>
  <c r="AS1159" i="48"/>
  <c r="AR1159" i="48"/>
  <c r="AK1169" i="48"/>
  <c r="AR1169" i="48"/>
  <c r="AP1169" i="48"/>
  <c r="AS1169" i="48"/>
  <c r="AK1161" i="48"/>
  <c r="AR1161" i="48"/>
  <c r="AS1161" i="48"/>
  <c r="AP1161" i="48"/>
  <c r="AR1175" i="48"/>
  <c r="AP1175" i="48"/>
  <c r="AK1175" i="48"/>
  <c r="AS1175" i="48"/>
  <c r="AK1163" i="48"/>
  <c r="AR1163" i="48"/>
  <c r="AS1163" i="48"/>
  <c r="AP1163" i="48"/>
  <c r="AK1167" i="48"/>
  <c r="AR1167" i="48"/>
  <c r="AS1167" i="48"/>
  <c r="AP1167" i="48"/>
  <c r="AK1166" i="48"/>
  <c r="AR1166" i="48"/>
  <c r="AP1166" i="48"/>
  <c r="AS1166" i="48"/>
  <c r="AP1165" i="48"/>
  <c r="AK1165" i="48"/>
  <c r="AS1165" i="48"/>
  <c r="AR1165" i="48"/>
  <c r="AP1170" i="48"/>
  <c r="AK1170" i="48"/>
  <c r="AS1170" i="48"/>
  <c r="AR1170" i="48"/>
  <c r="AP1162" i="48"/>
  <c r="AK1162" i="48"/>
  <c r="AS1162" i="48"/>
  <c r="AR1162" i="48"/>
  <c r="AK1139" i="48"/>
  <c r="AR1139" i="48"/>
  <c r="AS1139" i="48"/>
  <c r="AP1139" i="48"/>
  <c r="AP1140" i="48"/>
  <c r="AK1140" i="48"/>
  <c r="AS1140" i="48"/>
  <c r="AR1140" i="48"/>
  <c r="AK1142" i="48"/>
  <c r="AS1142" i="48"/>
  <c r="AR1142" i="48"/>
  <c r="AP1142" i="48"/>
  <c r="AR1145" i="48"/>
  <c r="AP1145" i="48"/>
  <c r="AK1145" i="48"/>
  <c r="AS1145" i="48"/>
  <c r="AP1149" i="48"/>
  <c r="AS1149" i="48"/>
  <c r="AR1149" i="48"/>
  <c r="AK1149" i="48"/>
  <c r="AP1147" i="48"/>
  <c r="AR1147" i="48"/>
  <c r="AK1147" i="48"/>
  <c r="AS1147" i="48"/>
  <c r="AK1148" i="48"/>
  <c r="AK1136" i="48"/>
  <c r="AS1136" i="48"/>
  <c r="AR1136" i="48"/>
  <c r="AP1136" i="48"/>
  <c r="AK1144" i="48"/>
  <c r="AR1144" i="48"/>
  <c r="AP1144" i="48"/>
  <c r="AS1144" i="48"/>
  <c r="AP1141" i="48"/>
  <c r="AR1141" i="48"/>
  <c r="AK1141" i="48"/>
  <c r="AS1141" i="48"/>
  <c r="AS1146" i="48"/>
  <c r="AP1146" i="48"/>
  <c r="AK1146" i="48"/>
  <c r="AR1146" i="48"/>
  <c r="AK1150" i="48"/>
  <c r="AP1150" i="48"/>
  <c r="AR1150" i="48"/>
  <c r="AS1150" i="48"/>
  <c r="AP1138" i="48"/>
  <c r="AR1138" i="48"/>
  <c r="AK1138" i="48"/>
  <c r="AS1138" i="48"/>
  <c r="AP1143" i="48"/>
  <c r="AS1143" i="48"/>
  <c r="AK1143" i="48"/>
  <c r="AR1143" i="48"/>
  <c r="AK1135" i="48"/>
  <c r="AS1135" i="48"/>
  <c r="AR1135" i="48"/>
  <c r="AS1137" i="48"/>
  <c r="AP1137" i="48"/>
  <c r="AK1137" i="48"/>
  <c r="AR1137" i="48"/>
  <c r="AS1097" i="48"/>
  <c r="AP1097" i="48"/>
  <c r="AR1097" i="48"/>
  <c r="AK1097" i="48"/>
  <c r="AK1098" i="48"/>
  <c r="AP1092" i="48"/>
  <c r="AS1092" i="48"/>
  <c r="AK1092" i="48"/>
  <c r="AR1092" i="48"/>
  <c r="AK1093" i="48"/>
  <c r="AK1064" i="48"/>
  <c r="AR1064" i="48"/>
  <c r="AS1064" i="48"/>
  <c r="AP1064" i="48"/>
  <c r="AS1074" i="48"/>
  <c r="AP1074" i="48"/>
  <c r="AR1074" i="48"/>
  <c r="AK1074" i="48"/>
  <c r="AK1065" i="48"/>
  <c r="AR1065" i="48"/>
  <c r="AP1065" i="48"/>
  <c r="AS1065" i="48"/>
  <c r="AK1061" i="48"/>
  <c r="AK1060" i="48"/>
  <c r="AS1060" i="48"/>
  <c r="AR1060" i="48"/>
  <c r="AR1066" i="48"/>
  <c r="AP1066" i="48"/>
  <c r="AS1066" i="48"/>
  <c r="AK1066" i="48"/>
  <c r="AK1068" i="48"/>
  <c r="AR1068" i="48"/>
  <c r="AS1068" i="48"/>
  <c r="AP1068" i="48"/>
  <c r="AS1062" i="48"/>
  <c r="AP1062" i="48"/>
  <c r="AK1062" i="48"/>
  <c r="AR1062" i="48"/>
  <c r="AP1069" i="48"/>
  <c r="AR1069" i="48"/>
  <c r="AK1069" i="48"/>
  <c r="AS1069" i="48"/>
  <c r="AT1072" i="48"/>
  <c r="AT1064" i="48"/>
  <c r="AP1071" i="48"/>
  <c r="AK1071" i="48"/>
  <c r="AS1071" i="48"/>
  <c r="AR1071" i="48"/>
  <c r="AS1070" i="48"/>
  <c r="AP1070" i="48"/>
  <c r="AK1070" i="48"/>
  <c r="AR1070" i="48"/>
  <c r="AR1063" i="48"/>
  <c r="AP1063" i="48"/>
  <c r="AK1063" i="48"/>
  <c r="AS1063" i="48"/>
  <c r="AK1075" i="48"/>
  <c r="AS1075" i="48"/>
  <c r="AP1075" i="48"/>
  <c r="K45" i="58" s="1"/>
  <c r="AR1075" i="48"/>
  <c r="AS1072" i="48"/>
  <c r="AP1072" i="48"/>
  <c r="AK1072" i="48"/>
  <c r="AR1072" i="48"/>
  <c r="AP1067" i="48"/>
  <c r="AK1067" i="48"/>
  <c r="AR1067" i="48"/>
  <c r="AS1067" i="48"/>
  <c r="AK1036" i="48"/>
  <c r="AS1036" i="48"/>
  <c r="AP1036" i="48"/>
  <c r="AR1036" i="48"/>
  <c r="AS1050" i="48"/>
  <c r="AK1050" i="48"/>
  <c r="AR1050" i="48"/>
  <c r="AP1050" i="48"/>
  <c r="AP1044" i="48"/>
  <c r="AK1044" i="48"/>
  <c r="AR1044" i="48"/>
  <c r="AS1044" i="48"/>
  <c r="AS1040" i="48"/>
  <c r="AP1040" i="48"/>
  <c r="AR1040" i="48"/>
  <c r="AK1040" i="48"/>
  <c r="AK1035" i="48"/>
  <c r="AS1035" i="48"/>
  <c r="AR1035" i="48"/>
  <c r="AR1047" i="48"/>
  <c r="AP1047" i="48"/>
  <c r="AK1047" i="48"/>
  <c r="AS1047" i="48"/>
  <c r="AP1042" i="48"/>
  <c r="AS1042" i="48"/>
  <c r="AK1042" i="48"/>
  <c r="AR1042" i="48"/>
  <c r="AR1043" i="48"/>
  <c r="AP1043" i="48"/>
  <c r="AS1043" i="48"/>
  <c r="AK1043" i="48"/>
  <c r="AP1048" i="48"/>
  <c r="AR1048" i="48"/>
  <c r="AS1048" i="48"/>
  <c r="AK1048" i="48"/>
  <c r="AP1046" i="48"/>
  <c r="AS1046" i="48"/>
  <c r="AK1046" i="48"/>
  <c r="AR1046" i="48"/>
  <c r="AP1039" i="48"/>
  <c r="AS1039" i="48"/>
  <c r="AK1039" i="48"/>
  <c r="AR1039" i="48"/>
  <c r="AS1049" i="48"/>
  <c r="AP1049" i="48"/>
  <c r="AR1049" i="48"/>
  <c r="AK1049" i="48"/>
  <c r="AP1038" i="48"/>
  <c r="AK1038" i="48"/>
  <c r="AR1038" i="48"/>
  <c r="AS1038" i="48"/>
  <c r="AK1037" i="48"/>
  <c r="AS1037" i="48"/>
  <c r="AR1037" i="48"/>
  <c r="AP1037" i="48"/>
  <c r="AP1045" i="48"/>
  <c r="AR1045" i="48"/>
  <c r="AK1045" i="48"/>
  <c r="AS1045" i="48"/>
  <c r="AP1041" i="48"/>
  <c r="AR1041" i="48"/>
  <c r="AK1041" i="48"/>
  <c r="AS1041" i="48"/>
  <c r="AK1019" i="48"/>
  <c r="AP1018" i="48"/>
  <c r="AK1018" i="48"/>
  <c r="AR1018" i="48"/>
  <c r="AS1018" i="48"/>
  <c r="AP1023" i="48"/>
  <c r="AR1023" i="48"/>
  <c r="AK1023" i="48"/>
  <c r="AS1023" i="48"/>
  <c r="AS1016" i="48"/>
  <c r="AR1016" i="48"/>
  <c r="AP1016" i="48"/>
  <c r="AK1016" i="48"/>
  <c r="AS1011" i="48"/>
  <c r="AP1011" i="48"/>
  <c r="AR1011" i="48"/>
  <c r="AK1011" i="48"/>
  <c r="AK1012" i="48"/>
  <c r="AP1012" i="48"/>
  <c r="AS1012" i="48"/>
  <c r="AR1012" i="48"/>
  <c r="AR1020" i="48"/>
  <c r="AP1020" i="48"/>
  <c r="AK1020" i="48"/>
  <c r="AS1020" i="48"/>
  <c r="AS1010" i="48"/>
  <c r="AR1010" i="48"/>
  <c r="AK1010" i="48"/>
  <c r="AK1024" i="48"/>
  <c r="AS1024" i="48"/>
  <c r="AP1024" i="48"/>
  <c r="AR1024" i="48"/>
  <c r="AK1025" i="48"/>
  <c r="AP1013" i="48"/>
  <c r="AR1013" i="48"/>
  <c r="AK1014" i="48"/>
  <c r="AK1013" i="48"/>
  <c r="AS1013" i="48"/>
  <c r="AP1017" i="48"/>
  <c r="AK1017" i="48"/>
  <c r="AR1017" i="48"/>
  <c r="AS1017" i="48"/>
  <c r="AP1022" i="48"/>
  <c r="AS1022" i="48"/>
  <c r="AK1022" i="48"/>
  <c r="AR1022" i="48"/>
  <c r="AP986" i="48"/>
  <c r="AK986" i="48"/>
  <c r="AS986" i="48"/>
  <c r="AR986" i="48"/>
  <c r="AP995" i="48"/>
  <c r="AK995" i="48"/>
  <c r="AS995" i="48"/>
  <c r="AR995" i="48"/>
  <c r="AR992" i="48"/>
  <c r="AP992" i="48"/>
  <c r="AS992" i="48"/>
  <c r="AK992" i="48"/>
  <c r="AK1000" i="48"/>
  <c r="AR1000" i="48"/>
  <c r="AS1000" i="48"/>
  <c r="AP1000" i="48"/>
  <c r="AK989" i="48"/>
  <c r="AP988" i="48"/>
  <c r="AK988" i="48"/>
  <c r="AR988" i="48"/>
  <c r="AS988" i="48"/>
  <c r="AP990" i="48"/>
  <c r="AK990" i="48"/>
  <c r="AR990" i="48"/>
  <c r="AS990" i="48"/>
  <c r="AK994" i="48"/>
  <c r="AS994" i="48"/>
  <c r="AR994" i="48"/>
  <c r="AP994" i="48"/>
  <c r="AK985" i="48"/>
  <c r="AS985" i="48"/>
  <c r="AR985" i="48"/>
  <c r="AK996" i="48"/>
  <c r="AR996" i="48"/>
  <c r="AS996" i="48"/>
  <c r="AP996" i="48"/>
  <c r="AS997" i="48"/>
  <c r="AR997" i="48"/>
  <c r="AP997" i="48"/>
  <c r="AK997" i="48"/>
  <c r="AP987" i="48"/>
  <c r="AR987" i="48"/>
  <c r="AK987" i="48"/>
  <c r="AS987" i="48"/>
  <c r="AP998" i="48"/>
  <c r="AK998" i="48"/>
  <c r="AS998" i="48"/>
  <c r="AR998" i="48"/>
  <c r="AR999" i="48"/>
  <c r="AS999" i="48"/>
  <c r="AK999" i="48"/>
  <c r="AP999" i="48"/>
  <c r="AP993" i="48"/>
  <c r="AS993" i="48"/>
  <c r="AK993" i="48"/>
  <c r="AR993" i="48"/>
  <c r="AP991" i="48"/>
  <c r="AS991" i="48"/>
  <c r="AK991" i="48"/>
  <c r="AR991" i="48"/>
  <c r="AP968" i="48"/>
  <c r="AS968" i="48"/>
  <c r="AK968" i="48"/>
  <c r="AR968" i="48"/>
  <c r="AK965" i="48"/>
  <c r="AK966" i="48"/>
  <c r="AR965" i="48"/>
  <c r="AS965" i="48"/>
  <c r="AP965" i="48"/>
  <c r="AK975" i="48"/>
  <c r="AR975" i="48"/>
  <c r="AS975" i="48"/>
  <c r="AP975" i="48"/>
  <c r="AP961" i="48"/>
  <c r="AK961" i="48"/>
  <c r="AS961" i="48"/>
  <c r="AK962" i="48"/>
  <c r="AR961" i="48"/>
  <c r="AP972" i="48"/>
  <c r="AR972" i="48"/>
  <c r="AK972" i="48"/>
  <c r="AS972" i="48"/>
  <c r="AK973" i="48"/>
  <c r="AK964" i="48"/>
  <c r="AR964" i="48"/>
  <c r="AP964" i="48"/>
  <c r="AS964" i="48"/>
  <c r="AS960" i="48"/>
  <c r="AK960" i="48"/>
  <c r="AR960" i="48"/>
  <c r="AS969" i="48"/>
  <c r="AP969" i="48"/>
  <c r="AR969" i="48"/>
  <c r="AK969" i="48"/>
  <c r="AK970" i="48"/>
  <c r="AR974" i="48"/>
  <c r="AS974" i="48"/>
  <c r="AP974" i="48"/>
  <c r="AK974" i="48"/>
  <c r="AS940" i="48"/>
  <c r="AR940" i="48"/>
  <c r="AP940" i="48"/>
  <c r="AK940" i="48"/>
  <c r="AR939" i="48"/>
  <c r="AP939" i="48"/>
  <c r="AS939" i="48"/>
  <c r="AK939" i="48"/>
  <c r="AP944" i="48"/>
  <c r="AS944" i="48"/>
  <c r="AK944" i="48"/>
  <c r="AR944" i="48"/>
  <c r="AP942" i="48"/>
  <c r="AR942" i="48"/>
  <c r="AK942" i="48"/>
  <c r="AS942" i="48"/>
  <c r="AP941" i="48"/>
  <c r="AS941" i="48"/>
  <c r="AK941" i="48"/>
  <c r="AR941" i="48"/>
  <c r="AR937" i="48"/>
  <c r="AP937" i="48"/>
  <c r="AS937" i="48"/>
  <c r="AK937" i="48"/>
  <c r="AP943" i="48"/>
  <c r="AS943" i="48"/>
  <c r="AK943" i="48"/>
  <c r="AR943" i="48"/>
  <c r="AR949" i="48"/>
  <c r="AP949" i="48"/>
  <c r="AS949" i="48"/>
  <c r="AK949" i="48"/>
  <c r="AP936" i="48"/>
  <c r="AK936" i="48"/>
  <c r="AS936" i="48"/>
  <c r="AR936" i="48"/>
  <c r="AP947" i="48"/>
  <c r="AS947" i="48"/>
  <c r="AK947" i="48"/>
  <c r="AR947" i="48"/>
  <c r="AK948" i="48"/>
  <c r="AT937" i="48"/>
  <c r="AT943" i="48"/>
  <c r="AT949" i="48"/>
  <c r="AK935" i="48"/>
  <c r="AS935" i="48"/>
  <c r="AR935" i="48"/>
  <c r="AK950" i="48"/>
  <c r="AS950" i="48"/>
  <c r="AP950" i="48"/>
  <c r="M45" i="58" s="1"/>
  <c r="AR950" i="48"/>
  <c r="AK946" i="48"/>
  <c r="AR946" i="48"/>
  <c r="AS946" i="48"/>
  <c r="AP946" i="48"/>
  <c r="AP945" i="48"/>
  <c r="AS945" i="48"/>
  <c r="AK945" i="48"/>
  <c r="AR945" i="48"/>
  <c r="AP938" i="48"/>
  <c r="AR938" i="48"/>
  <c r="AK938" i="48"/>
  <c r="AS938" i="48"/>
  <c r="AR923" i="48"/>
  <c r="AK923" i="48"/>
  <c r="AS923" i="48"/>
  <c r="AP923" i="48"/>
  <c r="AK919" i="48"/>
  <c r="AR919" i="48"/>
  <c r="AP919" i="48"/>
  <c r="AS919" i="48"/>
  <c r="AK924" i="48"/>
  <c r="AP924" i="48"/>
  <c r="AS924" i="48"/>
  <c r="AR924" i="48"/>
  <c r="AP911" i="48"/>
  <c r="AS911" i="48"/>
  <c r="AK911" i="48"/>
  <c r="AR911" i="48"/>
  <c r="AP921" i="48"/>
  <c r="AR921" i="48"/>
  <c r="AK921" i="48"/>
  <c r="AS921" i="48"/>
  <c r="AR916" i="48"/>
  <c r="AP916" i="48"/>
  <c r="AS916" i="48"/>
  <c r="AK916" i="48"/>
  <c r="AS925" i="48"/>
  <c r="AP925" i="48"/>
  <c r="AK925" i="48"/>
  <c r="AR925" i="48"/>
  <c r="AK920" i="48"/>
  <c r="AS920" i="48"/>
  <c r="AR920" i="48"/>
  <c r="AP920" i="48"/>
  <c r="AR910" i="48"/>
  <c r="AK910" i="48"/>
  <c r="AS910" i="48"/>
  <c r="AP913" i="48"/>
  <c r="AR913" i="48"/>
  <c r="AK913" i="48"/>
  <c r="AS913" i="48"/>
  <c r="AK922" i="48"/>
  <c r="AS922" i="48"/>
  <c r="AR922" i="48"/>
  <c r="AP922" i="48"/>
  <c r="AR890" i="48"/>
  <c r="AP890" i="48"/>
  <c r="AS890" i="48"/>
  <c r="AK890" i="48"/>
  <c r="AK889" i="48"/>
  <c r="AP888" i="48"/>
  <c r="AR888" i="48"/>
  <c r="AK888" i="48"/>
  <c r="AS888" i="48"/>
  <c r="AK894" i="48"/>
  <c r="AK895" i="48"/>
  <c r="AR894" i="48"/>
  <c r="AS894" i="48"/>
  <c r="AP894" i="48"/>
  <c r="AP886" i="48"/>
  <c r="AK886" i="48"/>
  <c r="AK887" i="48"/>
  <c r="AR886" i="48"/>
  <c r="AS886" i="48"/>
  <c r="AS885" i="48"/>
  <c r="AK885" i="48"/>
  <c r="AR885" i="48"/>
  <c r="AK892" i="48"/>
  <c r="AR892" i="48"/>
  <c r="AK893" i="48"/>
  <c r="AP892" i="48"/>
  <c r="AS892" i="48"/>
  <c r="AK900" i="48"/>
  <c r="AS900" i="48"/>
  <c r="AP900" i="48"/>
  <c r="AR900" i="48"/>
  <c r="AK891" i="48"/>
  <c r="AR891" i="48"/>
  <c r="AP891" i="48"/>
  <c r="AS891" i="48"/>
  <c r="AP870" i="48"/>
  <c r="AS870" i="48"/>
  <c r="AK870" i="48"/>
  <c r="AR870" i="48"/>
  <c r="AR865" i="48"/>
  <c r="AP865" i="48"/>
  <c r="AS865" i="48"/>
  <c r="AK865" i="48"/>
  <c r="AK864" i="48"/>
  <c r="AS864" i="48"/>
  <c r="AR864" i="48"/>
  <c r="AP864" i="48"/>
  <c r="AK869" i="48"/>
  <c r="AR869" i="48"/>
  <c r="AP869" i="48"/>
  <c r="AS869" i="48"/>
  <c r="AK860" i="48"/>
  <c r="AS860" i="48"/>
  <c r="AR860" i="48"/>
  <c r="AK862" i="48"/>
  <c r="AR862" i="48"/>
  <c r="AS862" i="48"/>
  <c r="AP862" i="48"/>
  <c r="AR861" i="48"/>
  <c r="AP861" i="48"/>
  <c r="AK861" i="48"/>
  <c r="AS861" i="48"/>
  <c r="AP875" i="48"/>
  <c r="J45" i="58" s="1"/>
  <c r="AK875" i="48"/>
  <c r="AR875" i="48"/>
  <c r="AS875" i="48"/>
  <c r="AR873" i="48"/>
  <c r="AK873" i="48"/>
  <c r="AS873" i="48"/>
  <c r="AP873" i="48"/>
  <c r="AP866" i="48"/>
  <c r="AK866" i="48"/>
  <c r="AR866" i="48"/>
  <c r="AS866" i="48"/>
  <c r="AP863" i="48"/>
  <c r="AR863" i="48"/>
  <c r="AK863" i="48"/>
  <c r="AS863" i="48"/>
  <c r="AP871" i="48"/>
  <c r="AR871" i="48"/>
  <c r="AK871" i="48"/>
  <c r="AS871" i="48"/>
  <c r="AP867" i="48"/>
  <c r="AK867" i="48"/>
  <c r="AR867" i="48"/>
  <c r="AK868" i="48"/>
  <c r="AS867" i="48"/>
  <c r="AS874" i="48"/>
  <c r="AP874" i="48"/>
  <c r="AK874" i="48"/>
  <c r="AR874" i="48"/>
  <c r="AK872" i="48"/>
  <c r="AS872" i="48"/>
  <c r="AR872" i="48"/>
  <c r="AP872" i="48"/>
  <c r="AT847" i="48"/>
  <c r="AP840" i="48"/>
  <c r="AK840" i="48"/>
  <c r="AR840" i="48"/>
  <c r="AS840" i="48"/>
  <c r="AP846" i="48"/>
  <c r="AK846" i="48"/>
  <c r="AS846" i="48"/>
  <c r="AR846" i="48"/>
  <c r="AS845" i="48"/>
  <c r="AK845" i="48"/>
  <c r="AR845" i="48"/>
  <c r="AP845" i="48"/>
  <c r="AK844" i="48"/>
  <c r="AS844" i="48"/>
  <c r="AR844" i="48"/>
  <c r="AP844" i="48"/>
  <c r="AK836" i="48"/>
  <c r="AS836" i="48"/>
  <c r="AR836" i="48"/>
  <c r="AP836" i="48"/>
  <c r="AS847" i="48"/>
  <c r="AK847" i="48"/>
  <c r="AR847" i="48"/>
  <c r="AP847" i="48"/>
  <c r="AK842" i="48"/>
  <c r="AS842" i="48"/>
  <c r="AP842" i="48"/>
  <c r="AR842" i="48"/>
  <c r="AP849" i="48"/>
  <c r="AS849" i="48"/>
  <c r="AR849" i="48"/>
  <c r="AK849" i="48"/>
  <c r="AK850" i="48"/>
  <c r="AP850" i="48"/>
  <c r="L45" i="58" s="1"/>
  <c r="AS850" i="48"/>
  <c r="AR850" i="48"/>
  <c r="AP837" i="48"/>
  <c r="AR837" i="48"/>
  <c r="AK837" i="48"/>
  <c r="AS837" i="48"/>
  <c r="AK843" i="48"/>
  <c r="AR843" i="48"/>
  <c r="AP843" i="48"/>
  <c r="AS843" i="48"/>
  <c r="AT850" i="48"/>
  <c r="AT837" i="48"/>
  <c r="AT843" i="48"/>
  <c r="AS841" i="48"/>
  <c r="AP841" i="48"/>
  <c r="AK841" i="48"/>
  <c r="AR841" i="48"/>
  <c r="AT840" i="48"/>
  <c r="AR838" i="48"/>
  <c r="AS838" i="48"/>
  <c r="AK838" i="48"/>
  <c r="AP838" i="48"/>
  <c r="AP820" i="48"/>
  <c r="AS820" i="48"/>
  <c r="AK820" i="48"/>
  <c r="AR820" i="48"/>
  <c r="AK817" i="48"/>
  <c r="AP817" i="48"/>
  <c r="AR817" i="48"/>
  <c r="AS817" i="48"/>
  <c r="AK825" i="48"/>
  <c r="AP825" i="48"/>
  <c r="AS825" i="48"/>
  <c r="AR825" i="48"/>
  <c r="AR811" i="48"/>
  <c r="AP811" i="48"/>
  <c r="AS811" i="48"/>
  <c r="AK811" i="48"/>
  <c r="AP823" i="48"/>
  <c r="AR823" i="48"/>
  <c r="AK823" i="48"/>
  <c r="AS823" i="48"/>
  <c r="AP813" i="48"/>
  <c r="AS813" i="48"/>
  <c r="AK813" i="48"/>
  <c r="AR813" i="48"/>
  <c r="AP812" i="48"/>
  <c r="AS812" i="48"/>
  <c r="AK812" i="48"/>
  <c r="AR812" i="48"/>
  <c r="AR815" i="48"/>
  <c r="AP815" i="48"/>
  <c r="AS815" i="48"/>
  <c r="AK815" i="48"/>
  <c r="AK821" i="48"/>
  <c r="AS821" i="48"/>
  <c r="AR821" i="48"/>
  <c r="AP821" i="48"/>
  <c r="AK818" i="48"/>
  <c r="AR818" i="48"/>
  <c r="AP818" i="48"/>
  <c r="AS818" i="48"/>
  <c r="AP814" i="48"/>
  <c r="AS814" i="48"/>
  <c r="AK814" i="48"/>
  <c r="AR814" i="48"/>
  <c r="AR810" i="48"/>
  <c r="AK810" i="48"/>
  <c r="AS810" i="48"/>
  <c r="AK819" i="48"/>
  <c r="AS819" i="48"/>
  <c r="AP819" i="48"/>
  <c r="AR819" i="48"/>
  <c r="AR822" i="48"/>
  <c r="AS822" i="48"/>
  <c r="AK822" i="48"/>
  <c r="AP822" i="48"/>
  <c r="AR824" i="48"/>
  <c r="AK824" i="48"/>
  <c r="AP824" i="48"/>
  <c r="AS824" i="48"/>
  <c r="AR800" i="48"/>
  <c r="AS800" i="48"/>
  <c r="AP800" i="48"/>
  <c r="AK800" i="48"/>
  <c r="AP791" i="48"/>
  <c r="AK791" i="48"/>
  <c r="AR791" i="48"/>
  <c r="AS791" i="48"/>
  <c r="AP796" i="48"/>
  <c r="AS796" i="48"/>
  <c r="AK796" i="48"/>
  <c r="AR796" i="48"/>
  <c r="AP799" i="48"/>
  <c r="AR799" i="48"/>
  <c r="AS799" i="48"/>
  <c r="AK799" i="48"/>
  <c r="AK785" i="48"/>
  <c r="AS785" i="48"/>
  <c r="AR785" i="48"/>
  <c r="AS797" i="48"/>
  <c r="AR797" i="48"/>
  <c r="AK797" i="48"/>
  <c r="AP797" i="48"/>
  <c r="AP792" i="48"/>
  <c r="AS792" i="48"/>
  <c r="AK792" i="48"/>
  <c r="AR792" i="48"/>
  <c r="AP786" i="48"/>
  <c r="AR786" i="48"/>
  <c r="AK786" i="48"/>
  <c r="AS786" i="48"/>
  <c r="AR789" i="48"/>
  <c r="AP789" i="48"/>
  <c r="AS789" i="48"/>
  <c r="AK789" i="48"/>
  <c r="AP788" i="48"/>
  <c r="AS788" i="48"/>
  <c r="AK788" i="48"/>
  <c r="AR788" i="48"/>
  <c r="AP787" i="48"/>
  <c r="AR787" i="48"/>
  <c r="AK787" i="48"/>
  <c r="AS787" i="48"/>
  <c r="AK793" i="48"/>
  <c r="AS793" i="48"/>
  <c r="AR793" i="48"/>
  <c r="AP793" i="48"/>
  <c r="AR790" i="48"/>
  <c r="AP790" i="48"/>
  <c r="AS790" i="48"/>
  <c r="AK790" i="48"/>
  <c r="AK771" i="48"/>
  <c r="AK772" i="48"/>
  <c r="AR771" i="48"/>
  <c r="AP771" i="48"/>
  <c r="AS771" i="48"/>
  <c r="AP764" i="48"/>
  <c r="AK764" i="48"/>
  <c r="AS764" i="48"/>
  <c r="AR764" i="48"/>
  <c r="AK765" i="48"/>
  <c r="AS762" i="48"/>
  <c r="AR762" i="48"/>
  <c r="AP762" i="48"/>
  <c r="AK762" i="48"/>
  <c r="AP774" i="48"/>
  <c r="AK774" i="48"/>
  <c r="AS774" i="48"/>
  <c r="AR774" i="48"/>
  <c r="AR761" i="48"/>
  <c r="AP761" i="48"/>
  <c r="AS761" i="48"/>
  <c r="AK761" i="48"/>
  <c r="AR760" i="48"/>
  <c r="AK760" i="48"/>
  <c r="AS760" i="48"/>
  <c r="AP775" i="48"/>
  <c r="AK775" i="48"/>
  <c r="AS775" i="48"/>
  <c r="AR775" i="48"/>
  <c r="AP766" i="48"/>
  <c r="AR766" i="48"/>
  <c r="AK766" i="48"/>
  <c r="AS766" i="48"/>
  <c r="AP763" i="48"/>
  <c r="AK763" i="48"/>
  <c r="AS763" i="48"/>
  <c r="AR763" i="48"/>
  <c r="AK767" i="48"/>
  <c r="AS767" i="48"/>
  <c r="AK768" i="48"/>
  <c r="AR767" i="48"/>
  <c r="AP767" i="48"/>
  <c r="AK744" i="48"/>
  <c r="AS740" i="48"/>
  <c r="AP740" i="48"/>
  <c r="AR740" i="48"/>
  <c r="AK740" i="48"/>
  <c r="AP741" i="48"/>
  <c r="AS741" i="48"/>
  <c r="AK742" i="48"/>
  <c r="AK741" i="48"/>
  <c r="AR741" i="48"/>
  <c r="AR746" i="48"/>
  <c r="AP746" i="48"/>
  <c r="AK746" i="48"/>
  <c r="AK747" i="48"/>
  <c r="AS746" i="48"/>
  <c r="AK737" i="48"/>
  <c r="AR743" i="48"/>
  <c r="AS743" i="48"/>
  <c r="AP743" i="48"/>
  <c r="AK743" i="48"/>
  <c r="AK739" i="48"/>
  <c r="AR738" i="48"/>
  <c r="AP738" i="48"/>
  <c r="AK738" i="48"/>
  <c r="AS738" i="48"/>
  <c r="AK736" i="48"/>
  <c r="AS736" i="48"/>
  <c r="AP736" i="48"/>
  <c r="AR736" i="48"/>
  <c r="AK713" i="48"/>
  <c r="AS713" i="48"/>
  <c r="AP713" i="48"/>
  <c r="AR713" i="48"/>
  <c r="AP716" i="48"/>
  <c r="AS716" i="48"/>
  <c r="AK716" i="48"/>
  <c r="AR716" i="48"/>
  <c r="AP712" i="48"/>
  <c r="AS712" i="48"/>
  <c r="AK712" i="48"/>
  <c r="AR712" i="48"/>
  <c r="AS721" i="48"/>
  <c r="AR721" i="48"/>
  <c r="AP721" i="48"/>
  <c r="AK721" i="48"/>
  <c r="AP711" i="48"/>
  <c r="AS711" i="48"/>
  <c r="AK711" i="48"/>
  <c r="AR711" i="48"/>
  <c r="AS724" i="48"/>
  <c r="AP724" i="48"/>
  <c r="AR724" i="48"/>
  <c r="AK724" i="48"/>
  <c r="AK723" i="48"/>
  <c r="AP723" i="48"/>
  <c r="AS723" i="48"/>
  <c r="AR723" i="48"/>
  <c r="AK722" i="48"/>
  <c r="AS722" i="48"/>
  <c r="AP722" i="48"/>
  <c r="AR722" i="48"/>
  <c r="AS715" i="48"/>
  <c r="AK715" i="48"/>
  <c r="AR715" i="48"/>
  <c r="AP715" i="48"/>
  <c r="AR725" i="48"/>
  <c r="AP725" i="48"/>
  <c r="AK725" i="48"/>
  <c r="AS725" i="48"/>
  <c r="AR714" i="48"/>
  <c r="AP714" i="48"/>
  <c r="AS714" i="48"/>
  <c r="AK714" i="48"/>
  <c r="AK717" i="48"/>
  <c r="AR717" i="48"/>
  <c r="AP717" i="48"/>
  <c r="AS717" i="48"/>
  <c r="AR710" i="48"/>
  <c r="AS710" i="48"/>
  <c r="AK710" i="48"/>
  <c r="AK720" i="48"/>
  <c r="AP720" i="48"/>
  <c r="AR720" i="48"/>
  <c r="AS720" i="48"/>
  <c r="AT716" i="48"/>
  <c r="AT717" i="48"/>
  <c r="AT712" i="48"/>
  <c r="AT710" i="48"/>
  <c r="AT721" i="48"/>
  <c r="AT720" i="48"/>
  <c r="AT711" i="48"/>
  <c r="AP718" i="48"/>
  <c r="AK718" i="48"/>
  <c r="AR718" i="48"/>
  <c r="AS718" i="48"/>
  <c r="AP697" i="48"/>
  <c r="AR697" i="48"/>
  <c r="AK697" i="48"/>
  <c r="AS697" i="48"/>
  <c r="AK698" i="48"/>
  <c r="AK700" i="48"/>
  <c r="AP700" i="48"/>
  <c r="AS700" i="48"/>
  <c r="AR700" i="48"/>
  <c r="AK695" i="48"/>
  <c r="AR695" i="48"/>
  <c r="AP695" i="48"/>
  <c r="AS695" i="48"/>
  <c r="AK696" i="48"/>
  <c r="AS696" i="48"/>
  <c r="AR696" i="48"/>
  <c r="AP696" i="48"/>
  <c r="AK688" i="48"/>
  <c r="AR688" i="48"/>
  <c r="AP688" i="48"/>
  <c r="AS688" i="48"/>
  <c r="AR699" i="48"/>
  <c r="AS699" i="48"/>
  <c r="AP699" i="48"/>
  <c r="AK699" i="48"/>
  <c r="AS690" i="48"/>
  <c r="AP690" i="48"/>
  <c r="AR690" i="48"/>
  <c r="AK690" i="48"/>
  <c r="AS691" i="48"/>
  <c r="AP691" i="48"/>
  <c r="AR691" i="48"/>
  <c r="AK691" i="48"/>
  <c r="AS687" i="48"/>
  <c r="AR687" i="48"/>
  <c r="AP687" i="48"/>
  <c r="AK687" i="48"/>
  <c r="AR689" i="48"/>
  <c r="AP689" i="48"/>
  <c r="AS689" i="48"/>
  <c r="AK689" i="48"/>
  <c r="AS686" i="48"/>
  <c r="AR686" i="48"/>
  <c r="AK686" i="48"/>
  <c r="AP692" i="48"/>
  <c r="AK692" i="48"/>
  <c r="AR692" i="48"/>
  <c r="AS692" i="48"/>
  <c r="AK694" i="48"/>
  <c r="AS694" i="48"/>
  <c r="AR694" i="48"/>
  <c r="AP694" i="48"/>
  <c r="AK693" i="48"/>
  <c r="AR693" i="48"/>
  <c r="AS693" i="48"/>
  <c r="AP693" i="48"/>
  <c r="AK685" i="48"/>
  <c r="AR685" i="48"/>
  <c r="AS685" i="48"/>
  <c r="AS625" i="48"/>
  <c r="AK625" i="48"/>
  <c r="AR625" i="48"/>
  <c r="AP625" i="48"/>
  <c r="AK610" i="48"/>
  <c r="AS610" i="48"/>
  <c r="AR610" i="48"/>
  <c r="AP621" i="48"/>
  <c r="AR621" i="48"/>
  <c r="AK621" i="48"/>
  <c r="AS621" i="48"/>
  <c r="AS624" i="48"/>
  <c r="AK624" i="48"/>
  <c r="AP624" i="48"/>
  <c r="AR624" i="48"/>
  <c r="AP617" i="48"/>
  <c r="AR617" i="48"/>
  <c r="AK617" i="48"/>
  <c r="AK618" i="48"/>
  <c r="AS617" i="48"/>
  <c r="AS611" i="48"/>
  <c r="AP611" i="48"/>
  <c r="AK611" i="48"/>
  <c r="AK612" i="48"/>
  <c r="AR611" i="48"/>
  <c r="AP620" i="48"/>
  <c r="AR620" i="48"/>
  <c r="AK620" i="48"/>
  <c r="AS620" i="48"/>
  <c r="AK622" i="48"/>
  <c r="AS622" i="48"/>
  <c r="AK623" i="48"/>
  <c r="AP622" i="48"/>
  <c r="AR622" i="48"/>
  <c r="AP615" i="48"/>
  <c r="AK616" i="48"/>
  <c r="AR615" i="48"/>
  <c r="AK615" i="48"/>
  <c r="AS615" i="48"/>
  <c r="AS585" i="48"/>
  <c r="AK585" i="48"/>
  <c r="AR585" i="48"/>
  <c r="AR596" i="48"/>
  <c r="AK596" i="48"/>
  <c r="AP596" i="48"/>
  <c r="AS596" i="48"/>
  <c r="AK597" i="48"/>
  <c r="AP590" i="48"/>
  <c r="AK590" i="48"/>
  <c r="AR590" i="48"/>
  <c r="AS590" i="48"/>
  <c r="AR598" i="48"/>
  <c r="AK598" i="48"/>
  <c r="AS598" i="48"/>
  <c r="AP598" i="48"/>
  <c r="AS586" i="48"/>
  <c r="AP586" i="48"/>
  <c r="AR586" i="48"/>
  <c r="AK586" i="48"/>
  <c r="AK592" i="48"/>
  <c r="AK593" i="48"/>
  <c r="AP592" i="48"/>
  <c r="AS592" i="48"/>
  <c r="AR592" i="48"/>
  <c r="AK588" i="48"/>
  <c r="AR588" i="48"/>
  <c r="AP588" i="48"/>
  <c r="AS588" i="48"/>
  <c r="AK591" i="48"/>
  <c r="AR591" i="48"/>
  <c r="AP591" i="48"/>
  <c r="AS591" i="48"/>
  <c r="AP599" i="48"/>
  <c r="AS599" i="48"/>
  <c r="AR599" i="48"/>
  <c r="AK599" i="48"/>
  <c r="AK600" i="48"/>
  <c r="AS589" i="48"/>
  <c r="AP589" i="48"/>
  <c r="AK589" i="48"/>
  <c r="AR589" i="48"/>
  <c r="AP574" i="48"/>
  <c r="AK574" i="48"/>
  <c r="AK575" i="48"/>
  <c r="AS574" i="48"/>
  <c r="AR574" i="48"/>
  <c r="AP538" i="48"/>
  <c r="AK538" i="48"/>
  <c r="AR538" i="48"/>
  <c r="AS538" i="48"/>
  <c r="AS548" i="48"/>
  <c r="AK548" i="48"/>
  <c r="AP548" i="48"/>
  <c r="AR548" i="48"/>
  <c r="AP547" i="48"/>
  <c r="AR547" i="48"/>
  <c r="AK547" i="48"/>
  <c r="AS547" i="48"/>
  <c r="AP541" i="48"/>
  <c r="AK541" i="48"/>
  <c r="AS541" i="48"/>
  <c r="AR541" i="48"/>
  <c r="AP539" i="48"/>
  <c r="AS539" i="48"/>
  <c r="AR539" i="48"/>
  <c r="AK539" i="48"/>
  <c r="AK550" i="48"/>
  <c r="AP550" i="48"/>
  <c r="AS550" i="48"/>
  <c r="AR550" i="48"/>
  <c r="AK544" i="48"/>
  <c r="AS544" i="48"/>
  <c r="AR544" i="48"/>
  <c r="AP544" i="48"/>
  <c r="AP545" i="48"/>
  <c r="AK545" i="48"/>
  <c r="AS545" i="48"/>
  <c r="AR545" i="48"/>
  <c r="AS549" i="48"/>
  <c r="AK549" i="48"/>
  <c r="AR549" i="48"/>
  <c r="AP549" i="48"/>
  <c r="AP543" i="48"/>
  <c r="AS543" i="48"/>
  <c r="AR543" i="48"/>
  <c r="AK543" i="48"/>
  <c r="AR542" i="48"/>
  <c r="AS542" i="48"/>
  <c r="AP542" i="48"/>
  <c r="AK542" i="48"/>
  <c r="AS546" i="48"/>
  <c r="AK546" i="48"/>
  <c r="AR546" i="48"/>
  <c r="AP546" i="48"/>
  <c r="AP537" i="48"/>
  <c r="AK537" i="48"/>
  <c r="AS537" i="48"/>
  <c r="AR537" i="48"/>
  <c r="AK540" i="48"/>
  <c r="AS540" i="48"/>
  <c r="AR540" i="48"/>
  <c r="AP540" i="48"/>
  <c r="AP536" i="48"/>
  <c r="AK536" i="48"/>
  <c r="AR536" i="48"/>
  <c r="AS536" i="48"/>
  <c r="AS534" i="48"/>
  <c r="AR534" i="48"/>
  <c r="AK535" i="48"/>
  <c r="AS535" i="48"/>
  <c r="AR535" i="48"/>
  <c r="AS511" i="48"/>
  <c r="AK511" i="48"/>
  <c r="AR511" i="48"/>
  <c r="AS520" i="48"/>
  <c r="AK520" i="48"/>
  <c r="AR520" i="48"/>
  <c r="AK512" i="48"/>
  <c r="AS512" i="48"/>
  <c r="AR512" i="48"/>
  <c r="AR514" i="48"/>
  <c r="AK514" i="48"/>
  <c r="AS514" i="48"/>
  <c r="AK513" i="48"/>
  <c r="AR513" i="48"/>
  <c r="AS513" i="48"/>
  <c r="AK516" i="48"/>
  <c r="AS516" i="48"/>
  <c r="AR516" i="48"/>
  <c r="AR524" i="48"/>
  <c r="AS524" i="48"/>
  <c r="AK524" i="48"/>
  <c r="AS525" i="48"/>
  <c r="AK525" i="48"/>
  <c r="AR525" i="48"/>
  <c r="AR521" i="48"/>
  <c r="AK521" i="48"/>
  <c r="AS521" i="48"/>
  <c r="AK510" i="48"/>
  <c r="AR510" i="48"/>
  <c r="AS510" i="48"/>
  <c r="AR519" i="48"/>
  <c r="AK519" i="48"/>
  <c r="AS519" i="48"/>
  <c r="AR515" i="48"/>
  <c r="AK515" i="48"/>
  <c r="AS515" i="48"/>
  <c r="AR517" i="48"/>
  <c r="AK518" i="48"/>
  <c r="AS517" i="48"/>
  <c r="AK517" i="48"/>
  <c r="AR522" i="48"/>
  <c r="AS522" i="48"/>
  <c r="AK522" i="48"/>
  <c r="AK523" i="48"/>
  <c r="AP464" i="48"/>
  <c r="AK464" i="48"/>
  <c r="AS464" i="48"/>
  <c r="AR464" i="48"/>
  <c r="AP467" i="48"/>
  <c r="AS467" i="48"/>
  <c r="AK467" i="48"/>
  <c r="AR467" i="48"/>
  <c r="AK460" i="48"/>
  <c r="AR460" i="48"/>
  <c r="AS460" i="48"/>
  <c r="AK475" i="48"/>
  <c r="AP475" i="48"/>
  <c r="AR475" i="48"/>
  <c r="AS475" i="48"/>
  <c r="AS466" i="48"/>
  <c r="AP466" i="48"/>
  <c r="AK466" i="48"/>
  <c r="AR466" i="48"/>
  <c r="AK470" i="48"/>
  <c r="AR470" i="48"/>
  <c r="AP470" i="48"/>
  <c r="AS470" i="48"/>
  <c r="AK469" i="48"/>
  <c r="AS469" i="48"/>
  <c r="AR469" i="48"/>
  <c r="AP469" i="48"/>
  <c r="AK465" i="48"/>
  <c r="AS465" i="48"/>
  <c r="AP465" i="48"/>
  <c r="AR465" i="48"/>
  <c r="AP468" i="48"/>
  <c r="AK468" i="48"/>
  <c r="AR468" i="48"/>
  <c r="AS468" i="48"/>
  <c r="AP462" i="48"/>
  <c r="AS462" i="48"/>
  <c r="AK462" i="48"/>
  <c r="AR462" i="48"/>
  <c r="AS463" i="48"/>
  <c r="AP463" i="48"/>
  <c r="AR463" i="48"/>
  <c r="AK463" i="48"/>
  <c r="AP474" i="48"/>
  <c r="AS474" i="48"/>
  <c r="AR474" i="48"/>
  <c r="AK474" i="48"/>
  <c r="AS461" i="48"/>
  <c r="AP461" i="48"/>
  <c r="AR461" i="48"/>
  <c r="AK461" i="48"/>
  <c r="AK472" i="48"/>
  <c r="AS471" i="48"/>
  <c r="AP471" i="48"/>
  <c r="AR471" i="48"/>
  <c r="AK471" i="48"/>
  <c r="AS473" i="48"/>
  <c r="AR473" i="48"/>
  <c r="AK473" i="48"/>
  <c r="AP473" i="48"/>
  <c r="AK445" i="48"/>
  <c r="AR445" i="48"/>
  <c r="AS445" i="48"/>
  <c r="AP445" i="48"/>
  <c r="AK446" i="48"/>
  <c r="AR446" i="48"/>
  <c r="AP446" i="48"/>
  <c r="AS446" i="48"/>
  <c r="AP437" i="48"/>
  <c r="AR437" i="48"/>
  <c r="AK437" i="48"/>
  <c r="AS437" i="48"/>
  <c r="AK443" i="48"/>
  <c r="AR443" i="48"/>
  <c r="AP443" i="48"/>
  <c r="AS443" i="48"/>
  <c r="AS449" i="48"/>
  <c r="AK449" i="48"/>
  <c r="AR449" i="48"/>
  <c r="AP449" i="48"/>
  <c r="AP436" i="48"/>
  <c r="AK436" i="48"/>
  <c r="AR436" i="48"/>
  <c r="AS436" i="48"/>
  <c r="AS440" i="48"/>
  <c r="AP440" i="48"/>
  <c r="AR440" i="48"/>
  <c r="AK440" i="48"/>
  <c r="AP447" i="48"/>
  <c r="AS447" i="48"/>
  <c r="AK447" i="48"/>
  <c r="AR447" i="48"/>
  <c r="AP438" i="48"/>
  <c r="AR438" i="48"/>
  <c r="AK438" i="48"/>
  <c r="AS438" i="48"/>
  <c r="AK448" i="48"/>
  <c r="AP448" i="48"/>
  <c r="AR448" i="48"/>
  <c r="AS448" i="48"/>
  <c r="AP441" i="48"/>
  <c r="AS441" i="48"/>
  <c r="AK441" i="48"/>
  <c r="AR441" i="48"/>
  <c r="AR439" i="48"/>
  <c r="AP439" i="48"/>
  <c r="AK439" i="48"/>
  <c r="AS439" i="48"/>
  <c r="AS435" i="48"/>
  <c r="AR435" i="48"/>
  <c r="AK435" i="48"/>
  <c r="AR442" i="48"/>
  <c r="AS442" i="48"/>
  <c r="AP442" i="48"/>
  <c r="AK442" i="48"/>
  <c r="AK450" i="48"/>
  <c r="AT439" i="48"/>
  <c r="AT437" i="48"/>
  <c r="AT445" i="48"/>
  <c r="AT435" i="48"/>
  <c r="AT442" i="48"/>
  <c r="AT443" i="48"/>
  <c r="AT446" i="48"/>
  <c r="AS414" i="48"/>
  <c r="AK414" i="48"/>
  <c r="AR414" i="48"/>
  <c r="AP414" i="48"/>
  <c r="AK415" i="48"/>
  <c r="AP419" i="48"/>
  <c r="AK419" i="48"/>
  <c r="AR419" i="48"/>
  <c r="AS419" i="48"/>
  <c r="AK420" i="48"/>
  <c r="AK410" i="48"/>
  <c r="AK411" i="48"/>
  <c r="AS410" i="48"/>
  <c r="AR410" i="48"/>
  <c r="AP412" i="48"/>
  <c r="AS412" i="48"/>
  <c r="AK412" i="48"/>
  <c r="AR412" i="48"/>
  <c r="AK413" i="48"/>
  <c r="AP413" i="48"/>
  <c r="AS413" i="48"/>
  <c r="AR413" i="48"/>
  <c r="AR417" i="48"/>
  <c r="AK418" i="48"/>
  <c r="AP417" i="48"/>
  <c r="AS417" i="48"/>
  <c r="AK417" i="48"/>
  <c r="AP422" i="48"/>
  <c r="AR422" i="48"/>
  <c r="AK422" i="48"/>
  <c r="AS422" i="48"/>
  <c r="AK416" i="48"/>
  <c r="AS416" i="48"/>
  <c r="AR416" i="48"/>
  <c r="AP416" i="48"/>
  <c r="AK424" i="48"/>
  <c r="AS424" i="48"/>
  <c r="AP424" i="48"/>
  <c r="AR424" i="48"/>
  <c r="AK425" i="48"/>
  <c r="AT416" i="48"/>
  <c r="AT414" i="48"/>
  <c r="AT424" i="48"/>
  <c r="AT419" i="48"/>
  <c r="AK423" i="48"/>
  <c r="AS423" i="48"/>
  <c r="AP423" i="48"/>
  <c r="AR423" i="48"/>
  <c r="AK388" i="48"/>
  <c r="AR388" i="48"/>
  <c r="AS388" i="48"/>
  <c r="AP388" i="48"/>
  <c r="AS389" i="48"/>
  <c r="AP389" i="48"/>
  <c r="AR389" i="48"/>
  <c r="AK389" i="48"/>
  <c r="AP386" i="48"/>
  <c r="AK386" i="48"/>
  <c r="AS386" i="48"/>
  <c r="AR386" i="48"/>
  <c r="AS387" i="48"/>
  <c r="AP387" i="48"/>
  <c r="AR387" i="48"/>
  <c r="AK387" i="48"/>
  <c r="AP393" i="48"/>
  <c r="AR393" i="48"/>
  <c r="AK393" i="48"/>
  <c r="AS393" i="48"/>
  <c r="AP392" i="48"/>
  <c r="AK392" i="48"/>
  <c r="AR392" i="48"/>
  <c r="AS392" i="48"/>
  <c r="AP396" i="48"/>
  <c r="AK396" i="48"/>
  <c r="AR396" i="48"/>
  <c r="AS396" i="48"/>
  <c r="AS397" i="48"/>
  <c r="AP397" i="48"/>
  <c r="AR397" i="48"/>
  <c r="AK397" i="48"/>
  <c r="AK398" i="48"/>
  <c r="AT388" i="48"/>
  <c r="AP399" i="48"/>
  <c r="AS399" i="48"/>
  <c r="AR399" i="48"/>
  <c r="AK399" i="48"/>
  <c r="AT389" i="48"/>
  <c r="AK394" i="48"/>
  <c r="AK391" i="48"/>
  <c r="AS391" i="48"/>
  <c r="AR391" i="48"/>
  <c r="AP391" i="48"/>
  <c r="AK370" i="48"/>
  <c r="AR370" i="48"/>
  <c r="AS370" i="48"/>
  <c r="AP370" i="48"/>
  <c r="AK371" i="48"/>
  <c r="AP372" i="48"/>
  <c r="AK372" i="48"/>
  <c r="AS372" i="48"/>
  <c r="AR372" i="48"/>
  <c r="AK373" i="48"/>
  <c r="AK367" i="48"/>
  <c r="AS367" i="48"/>
  <c r="AP367" i="48"/>
  <c r="AR367" i="48"/>
  <c r="AP374" i="48"/>
  <c r="AR374" i="48"/>
  <c r="AS374" i="48"/>
  <c r="AK374" i="48"/>
  <c r="AK375" i="48"/>
  <c r="AP369" i="48"/>
  <c r="AK369" i="48"/>
  <c r="AR369" i="48"/>
  <c r="AS369" i="48"/>
  <c r="AP368" i="48"/>
  <c r="AR368" i="48"/>
  <c r="AK368" i="48"/>
  <c r="AS368" i="48"/>
  <c r="AP361" i="48"/>
  <c r="AK362" i="48"/>
  <c r="AS361" i="48"/>
  <c r="AK361" i="48"/>
  <c r="AR361" i="48"/>
  <c r="AP336" i="48"/>
  <c r="AS336" i="48"/>
  <c r="AK337" i="48"/>
  <c r="AK336" i="48"/>
  <c r="AR336" i="48"/>
  <c r="AK341" i="48"/>
  <c r="AR341" i="48"/>
  <c r="AK342" i="48"/>
  <c r="AP341" i="48"/>
  <c r="AS341" i="48"/>
  <c r="AP345" i="48"/>
  <c r="AS345" i="48"/>
  <c r="AK345" i="48"/>
  <c r="AR345" i="48"/>
  <c r="AP339" i="48"/>
  <c r="AS339" i="48"/>
  <c r="AK339" i="48"/>
  <c r="AR339" i="48"/>
  <c r="AP346" i="48"/>
  <c r="AK346" i="48"/>
  <c r="AK347" i="48"/>
  <c r="AR346" i="48"/>
  <c r="AS346" i="48"/>
  <c r="AP349" i="48"/>
  <c r="AS349" i="48"/>
  <c r="AR349" i="48"/>
  <c r="AK349" i="48"/>
  <c r="AK350" i="48"/>
  <c r="AP344" i="48"/>
  <c r="AS344" i="48"/>
  <c r="AK344" i="48"/>
  <c r="AR344" i="48"/>
  <c r="AS340" i="48"/>
  <c r="AP340" i="48"/>
  <c r="AK340" i="48"/>
  <c r="AR340" i="48"/>
  <c r="AP311" i="48"/>
  <c r="AK311" i="48"/>
  <c r="AS311" i="48"/>
  <c r="AR311" i="48"/>
  <c r="AP323" i="48"/>
  <c r="AS323" i="48"/>
  <c r="AK323" i="48"/>
  <c r="AR323" i="48"/>
  <c r="AK319" i="48"/>
  <c r="AS319" i="48"/>
  <c r="AR319" i="48"/>
  <c r="AP319" i="48"/>
  <c r="AP324" i="48"/>
  <c r="AR324" i="48"/>
  <c r="AS324" i="48"/>
  <c r="AK325" i="48"/>
  <c r="AK324" i="48"/>
  <c r="AR322" i="48"/>
  <c r="AP322" i="48"/>
  <c r="AS322" i="48"/>
  <c r="AK322" i="48"/>
  <c r="AS314" i="48"/>
  <c r="AR314" i="48"/>
  <c r="AP314" i="48"/>
  <c r="AK314" i="48"/>
  <c r="AP318" i="48"/>
  <c r="AR318" i="48"/>
  <c r="AK318" i="48"/>
  <c r="AS318" i="48"/>
  <c r="AK317" i="48"/>
  <c r="AR317" i="48"/>
  <c r="AS317" i="48"/>
  <c r="AP317" i="48"/>
  <c r="AR315" i="48"/>
  <c r="AP315" i="48"/>
  <c r="AS315" i="48"/>
  <c r="AK315" i="48"/>
  <c r="AS310" i="48"/>
  <c r="AK310" i="48"/>
  <c r="AR310" i="48"/>
  <c r="AK321" i="48"/>
  <c r="AS321" i="48"/>
  <c r="AP321" i="48"/>
  <c r="AR321" i="48"/>
  <c r="AP312" i="48"/>
  <c r="AK312" i="48"/>
  <c r="AS312" i="48"/>
  <c r="AR312" i="48"/>
  <c r="AT311" i="48"/>
  <c r="AT323" i="48"/>
  <c r="AT319" i="48"/>
  <c r="AT324" i="48"/>
  <c r="AT322" i="48"/>
  <c r="AP313" i="48"/>
  <c r="AK313" i="48"/>
  <c r="AR313" i="48"/>
  <c r="AS313" i="48"/>
  <c r="AR320" i="48"/>
  <c r="AS320" i="48"/>
  <c r="AP320" i="48"/>
  <c r="AK320" i="48"/>
  <c r="AK316" i="48"/>
  <c r="AS316" i="48"/>
  <c r="AR316" i="48"/>
  <c r="AP316" i="48"/>
  <c r="AR298" i="48"/>
  <c r="AP298" i="48"/>
  <c r="AS298" i="48"/>
  <c r="AK298" i="48"/>
  <c r="AP294" i="48"/>
  <c r="AS294" i="48"/>
  <c r="AK294" i="48"/>
  <c r="AR294" i="48"/>
  <c r="AK293" i="48"/>
  <c r="AS293" i="48"/>
  <c r="AP293" i="48"/>
  <c r="AR293" i="48"/>
  <c r="AK290" i="48"/>
  <c r="AS290" i="48"/>
  <c r="AK291" i="48"/>
  <c r="AR290" i="48"/>
  <c r="AP290" i="48"/>
  <c r="AP299" i="48"/>
  <c r="AR299" i="48"/>
  <c r="AK299" i="48"/>
  <c r="AS299" i="48"/>
  <c r="AS292" i="48"/>
  <c r="AP292" i="48"/>
  <c r="AK292" i="48"/>
  <c r="AR292" i="48"/>
  <c r="AK288" i="48"/>
  <c r="AS288" i="48"/>
  <c r="AR288" i="48"/>
  <c r="AP288" i="48"/>
  <c r="AP287" i="48"/>
  <c r="AK287" i="48"/>
  <c r="AS287" i="48"/>
  <c r="AR287" i="48"/>
  <c r="AR285" i="48"/>
  <c r="AK285" i="48"/>
  <c r="AS285" i="48"/>
  <c r="AR300" i="48"/>
  <c r="AP300" i="48"/>
  <c r="AK300" i="48"/>
  <c r="AS300" i="48"/>
  <c r="AR297" i="48"/>
  <c r="AP297" i="48"/>
  <c r="AS297" i="48"/>
  <c r="AK297" i="48"/>
  <c r="AP295" i="48"/>
  <c r="AS295" i="48"/>
  <c r="AK296" i="48"/>
  <c r="AK295" i="48"/>
  <c r="AR295" i="48"/>
  <c r="AP286" i="48"/>
  <c r="AK286" i="48"/>
  <c r="AR286" i="48"/>
  <c r="AS286" i="48"/>
  <c r="AK289" i="48"/>
  <c r="AS289" i="48"/>
  <c r="AR289" i="48"/>
  <c r="AP289" i="48"/>
  <c r="AP266" i="48"/>
  <c r="AK266" i="48"/>
  <c r="AS266" i="48"/>
  <c r="AR266" i="48"/>
  <c r="AP267" i="48"/>
  <c r="AK267" i="48"/>
  <c r="AS267" i="48"/>
  <c r="AR267" i="48"/>
  <c r="AK270" i="48"/>
  <c r="AS270" i="48"/>
  <c r="AP270" i="48"/>
  <c r="AK271" i="48"/>
  <c r="AR270" i="48"/>
  <c r="AS268" i="48"/>
  <c r="AP268" i="48"/>
  <c r="AR268" i="48"/>
  <c r="AK268" i="48"/>
  <c r="AP273" i="48"/>
  <c r="AK273" i="48"/>
  <c r="AK274" i="48"/>
  <c r="AR273" i="48"/>
  <c r="AS273" i="48"/>
  <c r="AP265" i="48"/>
  <c r="AR265" i="48"/>
  <c r="AK265" i="48"/>
  <c r="AS265" i="48"/>
  <c r="AP269" i="48"/>
  <c r="AS269" i="48"/>
  <c r="AK269" i="48"/>
  <c r="AR269" i="48"/>
  <c r="AK260" i="48"/>
  <c r="AR260" i="48"/>
  <c r="AK261" i="48"/>
  <c r="AS260" i="48"/>
  <c r="AP262" i="48"/>
  <c r="AS262" i="48"/>
  <c r="AK263" i="48"/>
  <c r="AK262" i="48"/>
  <c r="AR262" i="48"/>
  <c r="AR259" i="48"/>
  <c r="AS259" i="48"/>
  <c r="AP237" i="48"/>
  <c r="AS237" i="48"/>
  <c r="AK237" i="48"/>
  <c r="AR237" i="48"/>
  <c r="AP246" i="48"/>
  <c r="AR246" i="48"/>
  <c r="AK246" i="48"/>
  <c r="AS246" i="48"/>
  <c r="AK235" i="48"/>
  <c r="AK236" i="48"/>
  <c r="AR235" i="48"/>
  <c r="AS235" i="48"/>
  <c r="AK238" i="48"/>
  <c r="AK247" i="48"/>
  <c r="AR247" i="48"/>
  <c r="AS247" i="48"/>
  <c r="AP247" i="48"/>
  <c r="AK248" i="48"/>
  <c r="AS242" i="48"/>
  <c r="AK243" i="48"/>
  <c r="AP242" i="48"/>
  <c r="AK242" i="48"/>
  <c r="AR242" i="48"/>
  <c r="AS244" i="48"/>
  <c r="AP244" i="48"/>
  <c r="AR244" i="48"/>
  <c r="AK244" i="48"/>
  <c r="AK245" i="48"/>
  <c r="AP214" i="48"/>
  <c r="AS214" i="48"/>
  <c r="AK214" i="48"/>
  <c r="AR214" i="48"/>
  <c r="AS223" i="48"/>
  <c r="AP223" i="48"/>
  <c r="AK223" i="48"/>
  <c r="AR223" i="48"/>
  <c r="AK210" i="48"/>
  <c r="AS210" i="48"/>
  <c r="AR210" i="48"/>
  <c r="AP211" i="48"/>
  <c r="AK211" i="48"/>
  <c r="AS211" i="48"/>
  <c r="AR211" i="48"/>
  <c r="AP217" i="48"/>
  <c r="AK217" i="48"/>
  <c r="AS217" i="48"/>
  <c r="AR217" i="48"/>
  <c r="AR209" i="48"/>
  <c r="AS209" i="48"/>
  <c r="AP221" i="48"/>
  <c r="AR221" i="48"/>
  <c r="AK221" i="48"/>
  <c r="AS221" i="48"/>
  <c r="AK219" i="48"/>
  <c r="AR219" i="48"/>
  <c r="AP219" i="48"/>
  <c r="AS219" i="48"/>
  <c r="AK225" i="48"/>
  <c r="AR225" i="48"/>
  <c r="AS225" i="48"/>
  <c r="AP225" i="48"/>
  <c r="AK213" i="48"/>
  <c r="AR213" i="48"/>
  <c r="AS213" i="48"/>
  <c r="AP213" i="48"/>
  <c r="AK212" i="48"/>
  <c r="AS212" i="48"/>
  <c r="AP212" i="48"/>
  <c r="AR212" i="48"/>
  <c r="AR222" i="48"/>
  <c r="AS222" i="48"/>
  <c r="AP222" i="48"/>
  <c r="AK222" i="48"/>
  <c r="AS215" i="48"/>
  <c r="AR215" i="48"/>
  <c r="AP215" i="48"/>
  <c r="AK215" i="48"/>
  <c r="AK218" i="48"/>
  <c r="AR218" i="48"/>
  <c r="AP218" i="48"/>
  <c r="AS218" i="48"/>
  <c r="AK220" i="48"/>
  <c r="AR220" i="48"/>
  <c r="AS220" i="48"/>
  <c r="AP220" i="48"/>
  <c r="AK224" i="48"/>
  <c r="AP224" i="48"/>
  <c r="AR224" i="48"/>
  <c r="AS224" i="48"/>
  <c r="AP216" i="48"/>
  <c r="AK216" i="48"/>
  <c r="AR216" i="48"/>
  <c r="AS216" i="48"/>
  <c r="AS194" i="48"/>
  <c r="AP194" i="48"/>
  <c r="AK194" i="48"/>
  <c r="AK195" i="48"/>
  <c r="AR194" i="48"/>
  <c r="AK163" i="48"/>
  <c r="AK164" i="48"/>
  <c r="AR163" i="48"/>
  <c r="AP163" i="48"/>
  <c r="AS163" i="48"/>
  <c r="AK167" i="48"/>
  <c r="AS167" i="48"/>
  <c r="AK168" i="48"/>
  <c r="AP167" i="48"/>
  <c r="AR167" i="48"/>
  <c r="AK172" i="48"/>
  <c r="AP171" i="48"/>
  <c r="AK171" i="48"/>
  <c r="AR171" i="48"/>
  <c r="AS171" i="48"/>
  <c r="AR175" i="48"/>
  <c r="AP175" i="48"/>
  <c r="AS175" i="48"/>
  <c r="AK175" i="48"/>
  <c r="AK161" i="48"/>
  <c r="AK162" i="48"/>
  <c r="AR161" i="48"/>
  <c r="AP161" i="48"/>
  <c r="AS161" i="48"/>
  <c r="AP120" i="48"/>
  <c r="AK120" i="48"/>
  <c r="AK121" i="48"/>
  <c r="AR120" i="48"/>
  <c r="AS120" i="48"/>
  <c r="AP118" i="48"/>
  <c r="AS118" i="48"/>
  <c r="AK118" i="48"/>
  <c r="AR118" i="48"/>
  <c r="AP119" i="48"/>
  <c r="AK119" i="48"/>
  <c r="AR119" i="48"/>
  <c r="AS119" i="48"/>
  <c r="AP111" i="48"/>
  <c r="AK111" i="48"/>
  <c r="AK112" i="48"/>
  <c r="AR111" i="48"/>
  <c r="AS111" i="48"/>
  <c r="AP116" i="48"/>
  <c r="AK116" i="48"/>
  <c r="AS116" i="48"/>
  <c r="AR116" i="48"/>
  <c r="AP117" i="48"/>
  <c r="AR117" i="48"/>
  <c r="AS117" i="48"/>
  <c r="AK117" i="48"/>
  <c r="AR110" i="48"/>
  <c r="AK110" i="48"/>
  <c r="AS110" i="48"/>
  <c r="AP113" i="48"/>
  <c r="AS113" i="48"/>
  <c r="AR113" i="48"/>
  <c r="AK113" i="48"/>
  <c r="AP114" i="48"/>
  <c r="AK114" i="48"/>
  <c r="AS114" i="48"/>
  <c r="AR114" i="48"/>
  <c r="AK90" i="48"/>
  <c r="AS90" i="48"/>
  <c r="AP90" i="48"/>
  <c r="AR90" i="48"/>
  <c r="AP89" i="48"/>
  <c r="AS89" i="48"/>
  <c r="AR89" i="48"/>
  <c r="AK89" i="48"/>
  <c r="AK100" i="48"/>
  <c r="AR100" i="48"/>
  <c r="AP100" i="48"/>
  <c r="AS100" i="48"/>
  <c r="AS97" i="48"/>
  <c r="AK97" i="48"/>
  <c r="AP97" i="48"/>
  <c r="AR97" i="48"/>
  <c r="AR99" i="48"/>
  <c r="AK99" i="48"/>
  <c r="AP99" i="48"/>
  <c r="AS99" i="48"/>
  <c r="AK86" i="48"/>
  <c r="AS86" i="48"/>
  <c r="AP86" i="48"/>
  <c r="AR86" i="48"/>
  <c r="AK87" i="48"/>
  <c r="AP87" i="48"/>
  <c r="AR87" i="48"/>
  <c r="AS87" i="48"/>
  <c r="AP98" i="48"/>
  <c r="AK98" i="48"/>
  <c r="AS98" i="48"/>
  <c r="AR98" i="48"/>
  <c r="AK92" i="48"/>
  <c r="AR92" i="48"/>
  <c r="AP92" i="48"/>
  <c r="AS92" i="48"/>
  <c r="AK95" i="48"/>
  <c r="AR95" i="48"/>
  <c r="AS95" i="48"/>
  <c r="AP95" i="48"/>
  <c r="AK91" i="48"/>
  <c r="AT90" i="48"/>
  <c r="AT89" i="48"/>
  <c r="AT100" i="48"/>
  <c r="AK96" i="48"/>
  <c r="AR96" i="48"/>
  <c r="AP96" i="48"/>
  <c r="AS96" i="48"/>
  <c r="AP93" i="48"/>
  <c r="AR93" i="48"/>
  <c r="AK93" i="48"/>
  <c r="AS93" i="48"/>
  <c r="AP88" i="48"/>
  <c r="AR88" i="48"/>
  <c r="AK88" i="48"/>
  <c r="AS88" i="48"/>
  <c r="AP94" i="48"/>
  <c r="AK94" i="48"/>
  <c r="AR94" i="48"/>
  <c r="AS94" i="48"/>
  <c r="AR85" i="48"/>
  <c r="AS85" i="48"/>
  <c r="AK85" i="48"/>
  <c r="AR63" i="48"/>
  <c r="AK64" i="48"/>
  <c r="AP63" i="48"/>
  <c r="AS63" i="48"/>
  <c r="AK63" i="48"/>
  <c r="AP73" i="48"/>
  <c r="AK74" i="48"/>
  <c r="AK73" i="48"/>
  <c r="AR73" i="48"/>
  <c r="AS73" i="48"/>
  <c r="AP66" i="48"/>
  <c r="AS66" i="48"/>
  <c r="AK66" i="48"/>
  <c r="AR66" i="48"/>
  <c r="AR65" i="48"/>
  <c r="AP65" i="48"/>
  <c r="AS65" i="48"/>
  <c r="AK65" i="48"/>
  <c r="AP61" i="48"/>
  <c r="AR61" i="48"/>
  <c r="AK61" i="48"/>
  <c r="AS61" i="48"/>
  <c r="AK62" i="48"/>
  <c r="AP69" i="48"/>
  <c r="AK70" i="48"/>
  <c r="AK69" i="48"/>
  <c r="AR69" i="48"/>
  <c r="AS69" i="48"/>
  <c r="AP75" i="48"/>
  <c r="AS75" i="48"/>
  <c r="AR75" i="48"/>
  <c r="AK75" i="48"/>
  <c r="AR68" i="48"/>
  <c r="AK68" i="48"/>
  <c r="AS68" i="48"/>
  <c r="AP68" i="48"/>
  <c r="AS67" i="48"/>
  <c r="AP67" i="48"/>
  <c r="AR67" i="48"/>
  <c r="AK67" i="48"/>
  <c r="AP43" i="48"/>
  <c r="AS43" i="48"/>
  <c r="AK43" i="48"/>
  <c r="AR43" i="48"/>
  <c r="AK44" i="48"/>
  <c r="AP38" i="48"/>
  <c r="AK38" i="48"/>
  <c r="AS38" i="48"/>
  <c r="AR38" i="48"/>
  <c r="AK39" i="48"/>
  <c r="AS41" i="48"/>
  <c r="AR41" i="48"/>
  <c r="AK41" i="48"/>
  <c r="AP41" i="48"/>
  <c r="AK42" i="48"/>
  <c r="AK35" i="48"/>
  <c r="AS35" i="48"/>
  <c r="AR35" i="48"/>
  <c r="AK36" i="48"/>
  <c r="AP40" i="48"/>
  <c r="AK40" i="48"/>
  <c r="AS40" i="48"/>
  <c r="AR40" i="48"/>
  <c r="AK25" i="48"/>
  <c r="AP25" i="48"/>
  <c r="O45" i="58" s="1"/>
  <c r="AR25" i="48"/>
  <c r="AT25" i="48"/>
  <c r="AS25" i="48"/>
  <c r="K60" i="48"/>
  <c r="K35" i="48"/>
  <c r="K59" i="48"/>
  <c r="K34" i="48"/>
  <c r="AP276" i="48" l="1"/>
  <c r="AU160" i="48"/>
  <c r="AU685" i="48"/>
  <c r="AU235" i="48"/>
  <c r="K43" i="48"/>
  <c r="K41" i="48"/>
  <c r="K74" i="48"/>
  <c r="K68" i="48"/>
  <c r="K66" i="48"/>
  <c r="K49" i="48"/>
  <c r="K75" i="48"/>
  <c r="K39" i="48"/>
  <c r="K48" i="48"/>
  <c r="K71" i="48"/>
  <c r="K72" i="48"/>
  <c r="K50" i="48"/>
  <c r="K73" i="48"/>
  <c r="K45" i="48"/>
  <c r="K63" i="48"/>
  <c r="K46" i="48"/>
  <c r="K64" i="48"/>
  <c r="K65" i="48"/>
  <c r="K67" i="48"/>
  <c r="K44" i="48"/>
  <c r="K36" i="48"/>
  <c r="K69" i="48"/>
  <c r="K37" i="48"/>
  <c r="K40" i="48"/>
  <c r="K42" i="48"/>
  <c r="K61" i="48"/>
  <c r="K70" i="48"/>
  <c r="K38" i="48"/>
  <c r="K47" i="48"/>
  <c r="K62" i="48"/>
  <c r="M60" i="48"/>
  <c r="M35" i="48"/>
  <c r="K16" i="48"/>
  <c r="BA16" i="48"/>
  <c r="W10" i="58" s="1"/>
  <c r="K366" i="48"/>
  <c r="K341" i="48"/>
  <c r="K241" i="48"/>
  <c r="K316" i="48"/>
  <c r="K566" i="48"/>
  <c r="K441" i="48"/>
  <c r="K591" i="48"/>
  <c r="K891" i="48"/>
  <c r="K1291" i="48"/>
  <c r="K766" i="48"/>
  <c r="K1216" i="48"/>
  <c r="K1266" i="48"/>
  <c r="K1341" i="48"/>
  <c r="K99" i="48"/>
  <c r="K174" i="48"/>
  <c r="K249" i="48"/>
  <c r="K124" i="48"/>
  <c r="K499" i="48"/>
  <c r="K449" i="48"/>
  <c r="K599" i="48"/>
  <c r="K899" i="48"/>
  <c r="K974" i="48"/>
  <c r="K1299" i="48"/>
  <c r="K1124" i="48"/>
  <c r="K1099" i="48"/>
  <c r="K1149" i="48"/>
  <c r="K243" i="48"/>
  <c r="K393" i="48"/>
  <c r="K368" i="48"/>
  <c r="K418" i="48"/>
  <c r="K718" i="48"/>
  <c r="K568" i="48"/>
  <c r="K793" i="48"/>
  <c r="K843" i="48"/>
  <c r="K818" i="48"/>
  <c r="K868" i="48"/>
  <c r="K1168" i="48"/>
  <c r="K1318" i="48"/>
  <c r="K1293" i="48"/>
  <c r="K109" i="48"/>
  <c r="K484" i="48"/>
  <c r="K434" i="48"/>
  <c r="K509" i="48"/>
  <c r="K559" i="48"/>
  <c r="K659" i="48"/>
  <c r="K734" i="48"/>
  <c r="K834" i="48"/>
  <c r="K984" i="48"/>
  <c r="K1034" i="48"/>
  <c r="K1059" i="48"/>
  <c r="K1009" i="48"/>
  <c r="K1084" i="48"/>
  <c r="K17" i="48"/>
  <c r="BA17" i="48"/>
  <c r="W11" i="58" s="1"/>
  <c r="K217" i="48"/>
  <c r="K517" i="48"/>
  <c r="K167" i="48"/>
  <c r="K592" i="48"/>
  <c r="K467" i="48"/>
  <c r="K717" i="48"/>
  <c r="K1317" i="48"/>
  <c r="K992" i="48"/>
  <c r="K792" i="48"/>
  <c r="K1242" i="48"/>
  <c r="K1192" i="48"/>
  <c r="K1267" i="48"/>
  <c r="K225" i="48"/>
  <c r="K200" i="48"/>
  <c r="K175" i="48"/>
  <c r="K425" i="48"/>
  <c r="K575" i="48"/>
  <c r="K650" i="48"/>
  <c r="K850" i="48"/>
  <c r="K825" i="48"/>
  <c r="K875" i="48"/>
  <c r="K1075" i="48"/>
  <c r="K1125" i="48"/>
  <c r="K1175" i="48"/>
  <c r="K135" i="48"/>
  <c r="K210" i="48"/>
  <c r="K185" i="48"/>
  <c r="K260" i="48"/>
  <c r="K610" i="48"/>
  <c r="K485" i="48"/>
  <c r="K735" i="48"/>
  <c r="K1235" i="48"/>
  <c r="K1060" i="48"/>
  <c r="K1335" i="48"/>
  <c r="K1085" i="48"/>
  <c r="K1210" i="48"/>
  <c r="K1285" i="48"/>
  <c r="K161" i="48"/>
  <c r="K136" i="48"/>
  <c r="K311" i="48"/>
  <c r="K186" i="48"/>
  <c r="K461" i="48"/>
  <c r="K1261" i="48"/>
  <c r="K586" i="48"/>
  <c r="K861" i="48"/>
  <c r="K936" i="48"/>
  <c r="K1161" i="48"/>
  <c r="K1011" i="48"/>
  <c r="K1061" i="48"/>
  <c r="K1036" i="48"/>
  <c r="K269" i="48"/>
  <c r="K444" i="48"/>
  <c r="K519" i="48"/>
  <c r="K294" i="48"/>
  <c r="K644" i="48"/>
  <c r="K594" i="48"/>
  <c r="K869" i="48"/>
  <c r="K944" i="48"/>
  <c r="K919" i="48"/>
  <c r="K994" i="48"/>
  <c r="K1194" i="48"/>
  <c r="K1244" i="48"/>
  <c r="K1319" i="48"/>
  <c r="K173" i="48"/>
  <c r="K148" i="48"/>
  <c r="K223" i="48"/>
  <c r="K98" i="48"/>
  <c r="K473" i="48"/>
  <c r="K723" i="48"/>
  <c r="K573" i="48"/>
  <c r="K1098" i="48"/>
  <c r="K773" i="48"/>
  <c r="K823" i="48"/>
  <c r="K1023" i="48"/>
  <c r="K1073" i="48"/>
  <c r="K1048" i="48"/>
  <c r="K12" i="48"/>
  <c r="BA12" i="48"/>
  <c r="W6" i="58" s="1"/>
  <c r="K362" i="48"/>
  <c r="K462" i="48"/>
  <c r="K412" i="48"/>
  <c r="K312" i="48"/>
  <c r="K662" i="48"/>
  <c r="K612" i="48"/>
  <c r="K687" i="48"/>
  <c r="K987" i="48"/>
  <c r="K1012" i="48"/>
  <c r="K762" i="48"/>
  <c r="K1212" i="48"/>
  <c r="K1262" i="48"/>
  <c r="K1337" i="48"/>
  <c r="K20" i="48"/>
  <c r="BA20" i="48"/>
  <c r="W14" i="58" s="1"/>
  <c r="K370" i="48"/>
  <c r="K145" i="48"/>
  <c r="K220" i="48"/>
  <c r="K495" i="48"/>
  <c r="K1295" i="48"/>
  <c r="K720" i="48"/>
  <c r="K820" i="48"/>
  <c r="K870" i="48"/>
  <c r="K1195" i="48"/>
  <c r="K1020" i="48"/>
  <c r="K1095" i="48"/>
  <c r="K1145" i="48"/>
  <c r="K438" i="48"/>
  <c r="K213" i="48"/>
  <c r="K288" i="48"/>
  <c r="K163" i="48"/>
  <c r="K138" i="48"/>
  <c r="K588" i="48"/>
  <c r="K538" i="48"/>
  <c r="K763" i="48"/>
  <c r="K738" i="48"/>
  <c r="K1038" i="48"/>
  <c r="K788" i="48"/>
  <c r="K1238" i="48"/>
  <c r="K1188" i="48"/>
  <c r="K1263" i="48"/>
  <c r="K121" i="48"/>
  <c r="K96" i="48"/>
  <c r="K496" i="48"/>
  <c r="K446" i="48"/>
  <c r="K421" i="48"/>
  <c r="K671" i="48"/>
  <c r="K621" i="48"/>
  <c r="K921" i="48"/>
  <c r="K996" i="48"/>
  <c r="K1046" i="48"/>
  <c r="K1071" i="48"/>
  <c r="K1021" i="48"/>
  <c r="K1096" i="48"/>
  <c r="K139" i="48"/>
  <c r="K214" i="48"/>
  <c r="K289" i="48"/>
  <c r="K264" i="48"/>
  <c r="K614" i="48"/>
  <c r="K489" i="48"/>
  <c r="K789" i="48"/>
  <c r="K764" i="48"/>
  <c r="K739" i="48"/>
  <c r="K864" i="48"/>
  <c r="K1089" i="48"/>
  <c r="K1214" i="48"/>
  <c r="K1289" i="48"/>
  <c r="K22" i="48"/>
  <c r="BA22" i="48"/>
  <c r="W16" i="58" s="1"/>
  <c r="K122" i="48"/>
  <c r="K297" i="48"/>
  <c r="K272" i="48"/>
  <c r="K622" i="48"/>
  <c r="K397" i="48"/>
  <c r="K547" i="48"/>
  <c r="K1247" i="48"/>
  <c r="K1072" i="48"/>
  <c r="K897" i="48"/>
  <c r="K972" i="48"/>
  <c r="K1047" i="48"/>
  <c r="K1122" i="48"/>
  <c r="K115" i="48"/>
  <c r="K340" i="48"/>
  <c r="K215" i="48"/>
  <c r="K15" i="48"/>
  <c r="BA15" i="48"/>
  <c r="W9" i="58" s="1"/>
  <c r="K365" i="48"/>
  <c r="K640" i="48"/>
  <c r="K590" i="48"/>
  <c r="K865" i="48"/>
  <c r="K940" i="48"/>
  <c r="K1265" i="48"/>
  <c r="K990" i="48"/>
  <c r="K1190" i="48"/>
  <c r="K1240" i="48"/>
  <c r="K1315" i="48"/>
  <c r="K91" i="48"/>
  <c r="K466" i="48"/>
  <c r="K541" i="48"/>
  <c r="K391" i="48"/>
  <c r="K666" i="48"/>
  <c r="K516" i="48"/>
  <c r="K691" i="48"/>
  <c r="K991" i="48"/>
  <c r="K791" i="48"/>
  <c r="K841" i="48"/>
  <c r="K1316" i="48"/>
  <c r="K1066" i="48"/>
  <c r="K199" i="48"/>
  <c r="K274" i="48"/>
  <c r="K474" i="48"/>
  <c r="K224" i="48"/>
  <c r="K574" i="48"/>
  <c r="K524" i="48"/>
  <c r="K699" i="48"/>
  <c r="K999" i="48"/>
  <c r="K1024" i="48"/>
  <c r="K774" i="48"/>
  <c r="K1049" i="48"/>
  <c r="K1174" i="48"/>
  <c r="K1249" i="48"/>
  <c r="K93" i="48"/>
  <c r="K118" i="48"/>
  <c r="K468" i="48"/>
  <c r="K168" i="48"/>
  <c r="K443" i="48"/>
  <c r="K593" i="48"/>
  <c r="K668" i="48"/>
  <c r="K943" i="48"/>
  <c r="K918" i="48"/>
  <c r="K893" i="48"/>
  <c r="K968" i="48"/>
  <c r="K1268" i="48"/>
  <c r="K1018" i="48"/>
  <c r="K9" i="48"/>
  <c r="K209" i="48"/>
  <c r="K184" i="48"/>
  <c r="K159" i="48"/>
  <c r="K409" i="48"/>
  <c r="K459" i="48"/>
  <c r="K609" i="48"/>
  <c r="K909" i="48"/>
  <c r="K1209" i="48"/>
  <c r="K784" i="48"/>
  <c r="K1134" i="48"/>
  <c r="K1109" i="48"/>
  <c r="K1159" i="48"/>
  <c r="K442" i="48"/>
  <c r="K317" i="48"/>
  <c r="K192" i="48"/>
  <c r="K267" i="48"/>
  <c r="K142" i="48"/>
  <c r="K692" i="48"/>
  <c r="K542" i="48"/>
  <c r="K767" i="48"/>
  <c r="K742" i="48"/>
  <c r="K867" i="48"/>
  <c r="K942" i="48"/>
  <c r="K1342" i="48"/>
  <c r="K1292" i="48"/>
  <c r="K25" i="48"/>
  <c r="BA25" i="48"/>
  <c r="W19" i="58" s="1"/>
  <c r="K325" i="48"/>
  <c r="K300" i="48"/>
  <c r="K275" i="48"/>
  <c r="K150" i="48"/>
  <c r="K600" i="48"/>
  <c r="K675" i="48"/>
  <c r="K625" i="48"/>
  <c r="K925" i="48"/>
  <c r="K900" i="48"/>
  <c r="K975" i="48"/>
  <c r="K1150" i="48"/>
  <c r="K1200" i="48"/>
  <c r="K1275" i="48"/>
  <c r="K85" i="48"/>
  <c r="K235" i="48"/>
  <c r="K310" i="48"/>
  <c r="K285" i="48"/>
  <c r="K335" i="48"/>
  <c r="K710" i="48"/>
  <c r="K560" i="48"/>
  <c r="K785" i="48"/>
  <c r="K760" i="48"/>
  <c r="K810" i="48"/>
  <c r="K860" i="48"/>
  <c r="K1160" i="48"/>
  <c r="K1310" i="48"/>
  <c r="K261" i="48"/>
  <c r="K236" i="48"/>
  <c r="K386" i="48"/>
  <c r="K286" i="48"/>
  <c r="K536" i="48"/>
  <c r="K611" i="48"/>
  <c r="K686" i="48"/>
  <c r="K961" i="48"/>
  <c r="K761" i="48"/>
  <c r="K811" i="48"/>
  <c r="K1111" i="48"/>
  <c r="K1136" i="48"/>
  <c r="K1211" i="48"/>
  <c r="K344" i="48"/>
  <c r="K219" i="48"/>
  <c r="K19" i="48"/>
  <c r="BA19" i="48"/>
  <c r="W13" i="58" s="1"/>
  <c r="K369" i="48"/>
  <c r="K619" i="48"/>
  <c r="K694" i="48"/>
  <c r="K969" i="48"/>
  <c r="K1094" i="48"/>
  <c r="K744" i="48"/>
  <c r="K1169" i="48"/>
  <c r="K1294" i="48"/>
  <c r="K1344" i="48"/>
  <c r="K273" i="48"/>
  <c r="K248" i="48"/>
  <c r="K323" i="48"/>
  <c r="K198" i="48"/>
  <c r="K548" i="48"/>
  <c r="K423" i="48"/>
  <c r="K673" i="48"/>
  <c r="K798" i="48"/>
  <c r="K848" i="48"/>
  <c r="K898" i="48"/>
  <c r="K1123" i="48"/>
  <c r="K1148" i="48"/>
  <c r="K1223" i="48"/>
  <c r="K87" i="48"/>
  <c r="K162" i="48"/>
  <c r="K137" i="48"/>
  <c r="K387" i="48"/>
  <c r="K637" i="48"/>
  <c r="K712" i="48"/>
  <c r="K737" i="48"/>
  <c r="K862" i="48"/>
  <c r="K787" i="48"/>
  <c r="K837" i="48"/>
  <c r="K1312" i="48"/>
  <c r="K1062" i="48"/>
  <c r="K420" i="48"/>
  <c r="K95" i="48"/>
  <c r="K170" i="48"/>
  <c r="K245" i="48"/>
  <c r="K320" i="48"/>
  <c r="K570" i="48"/>
  <c r="K445" i="48"/>
  <c r="K595" i="48"/>
  <c r="K895" i="48"/>
  <c r="K970" i="48"/>
  <c r="K770" i="48"/>
  <c r="K1045" i="48"/>
  <c r="K1170" i="48"/>
  <c r="K1245" i="48"/>
  <c r="K88" i="48"/>
  <c r="K313" i="48"/>
  <c r="K363" i="48"/>
  <c r="K263" i="48"/>
  <c r="K238" i="48"/>
  <c r="K688" i="48"/>
  <c r="K638" i="48"/>
  <c r="K838" i="48"/>
  <c r="K813" i="48"/>
  <c r="K1313" i="48"/>
  <c r="K938" i="48"/>
  <c r="K1338" i="48"/>
  <c r="K1288" i="48"/>
  <c r="K21" i="48"/>
  <c r="BA21" i="48"/>
  <c r="W15" i="58" s="1"/>
  <c r="K221" i="48"/>
  <c r="K196" i="48"/>
  <c r="K171" i="48"/>
  <c r="K596" i="48"/>
  <c r="K471" i="48"/>
  <c r="K721" i="48"/>
  <c r="K746" i="48"/>
  <c r="K1221" i="48"/>
  <c r="K1321" i="48"/>
  <c r="K1146" i="48"/>
  <c r="K1121" i="48"/>
  <c r="K1171" i="48"/>
  <c r="K89" i="48"/>
  <c r="K239" i="48"/>
  <c r="K314" i="48"/>
  <c r="K364" i="48"/>
  <c r="K339" i="48"/>
  <c r="K714" i="48"/>
  <c r="K564" i="48"/>
  <c r="K939" i="48"/>
  <c r="K839" i="48"/>
  <c r="K814" i="48"/>
  <c r="K964" i="48"/>
  <c r="K1164" i="48"/>
  <c r="K1314" i="48"/>
  <c r="K97" i="48"/>
  <c r="K222" i="48"/>
  <c r="K372" i="48"/>
  <c r="K347" i="48"/>
  <c r="K722" i="48"/>
  <c r="K497" i="48"/>
  <c r="K647" i="48"/>
  <c r="K772" i="48"/>
  <c r="K1347" i="48"/>
  <c r="K997" i="48"/>
  <c r="K1097" i="48"/>
  <c r="K1222" i="48"/>
  <c r="K1197" i="48"/>
  <c r="K490" i="48"/>
  <c r="K315" i="48"/>
  <c r="K90" i="48"/>
  <c r="K515" i="48"/>
  <c r="K615" i="48"/>
  <c r="K690" i="48"/>
  <c r="K965" i="48"/>
  <c r="K765" i="48"/>
  <c r="K740" i="48"/>
  <c r="K1090" i="48"/>
  <c r="K1290" i="48"/>
  <c r="K1340" i="48"/>
  <c r="K1350" i="48"/>
  <c r="K191" i="48"/>
  <c r="K166" i="48"/>
  <c r="K416" i="48"/>
  <c r="K116" i="48"/>
  <c r="K1191" i="48"/>
  <c r="K1016" i="48"/>
  <c r="K616" i="48"/>
  <c r="K741" i="48"/>
  <c r="K866" i="48"/>
  <c r="K941" i="48"/>
  <c r="K916" i="48"/>
  <c r="K1091" i="48"/>
  <c r="K1141" i="48"/>
  <c r="K424" i="48"/>
  <c r="K299" i="48"/>
  <c r="K349" i="48"/>
  <c r="K549" i="48"/>
  <c r="K324" i="48"/>
  <c r="K674" i="48"/>
  <c r="K624" i="48"/>
  <c r="K749" i="48"/>
  <c r="K1199" i="48"/>
  <c r="K799" i="48"/>
  <c r="K849" i="48"/>
  <c r="K1224" i="48"/>
  <c r="K1274" i="48"/>
  <c r="K1349" i="48"/>
  <c r="K218" i="48"/>
  <c r="K193" i="48"/>
  <c r="K268" i="48"/>
  <c r="K518" i="48"/>
  <c r="K693" i="48"/>
  <c r="K543" i="48"/>
  <c r="K1143" i="48"/>
  <c r="K1243" i="48"/>
  <c r="K993" i="48"/>
  <c r="K1343" i="48"/>
  <c r="K1043" i="48"/>
  <c r="K1118" i="48"/>
  <c r="K84" i="48"/>
  <c r="K309" i="48"/>
  <c r="K284" i="48"/>
  <c r="K259" i="48"/>
  <c r="K134" i="48"/>
  <c r="K584" i="48"/>
  <c r="K534" i="48"/>
  <c r="K709" i="48"/>
  <c r="K809" i="48"/>
  <c r="K859" i="48"/>
  <c r="K934" i="48"/>
  <c r="K1234" i="48"/>
  <c r="K1184" i="48"/>
  <c r="K1259" i="48"/>
  <c r="K392" i="48"/>
  <c r="K292" i="48"/>
  <c r="K342" i="48"/>
  <c r="K242" i="48"/>
  <c r="K667" i="48"/>
  <c r="K642" i="48"/>
  <c r="K842" i="48"/>
  <c r="K817" i="48"/>
  <c r="K967" i="48"/>
  <c r="K1067" i="48"/>
  <c r="K1017" i="48"/>
  <c r="K1092" i="48"/>
  <c r="K500" i="48"/>
  <c r="K375" i="48"/>
  <c r="K350" i="48"/>
  <c r="K250" i="48"/>
  <c r="K700" i="48"/>
  <c r="K475" i="48"/>
  <c r="K725" i="48"/>
  <c r="K1050" i="48"/>
  <c r="K1000" i="48"/>
  <c r="K800" i="48"/>
  <c r="K1250" i="48"/>
  <c r="K1300" i="48"/>
  <c r="K460" i="48"/>
  <c r="K535" i="48"/>
  <c r="K385" i="48"/>
  <c r="K360" i="48"/>
  <c r="K435" i="48"/>
  <c r="K585" i="48"/>
  <c r="K660" i="48"/>
  <c r="K935" i="48"/>
  <c r="K835" i="48"/>
  <c r="K885" i="48"/>
  <c r="K960" i="48"/>
  <c r="K1260" i="48"/>
  <c r="K1110" i="48"/>
  <c r="K336" i="48"/>
  <c r="K486" i="48"/>
  <c r="K11" i="48"/>
  <c r="BA11" i="48"/>
  <c r="K361" i="48"/>
  <c r="K636" i="48"/>
  <c r="K711" i="48"/>
  <c r="K561" i="48"/>
  <c r="K1086" i="48"/>
  <c r="K836" i="48"/>
  <c r="K886" i="48"/>
  <c r="K1186" i="48"/>
  <c r="K1236" i="48"/>
  <c r="K1311" i="48"/>
  <c r="K494" i="48"/>
  <c r="K144" i="48"/>
  <c r="K319" i="48"/>
  <c r="K94" i="48"/>
  <c r="K469" i="48"/>
  <c r="K719" i="48"/>
  <c r="K569" i="48"/>
  <c r="K1269" i="48"/>
  <c r="K769" i="48"/>
  <c r="K819" i="48"/>
  <c r="K1019" i="48"/>
  <c r="K1069" i="48"/>
  <c r="K1044" i="48"/>
  <c r="K348" i="48"/>
  <c r="K523" i="48"/>
  <c r="K498" i="48"/>
  <c r="K298" i="48"/>
  <c r="K648" i="48"/>
  <c r="K598" i="48"/>
  <c r="K873" i="48"/>
  <c r="K948" i="48"/>
  <c r="K923" i="48"/>
  <c r="K998" i="48"/>
  <c r="K1198" i="48"/>
  <c r="K1248" i="48"/>
  <c r="K1323" i="48"/>
  <c r="K187" i="48"/>
  <c r="K262" i="48"/>
  <c r="K237" i="48"/>
  <c r="K112" i="48"/>
  <c r="K487" i="48"/>
  <c r="K437" i="48"/>
  <c r="K1112" i="48"/>
  <c r="K812" i="48"/>
  <c r="K962" i="48"/>
  <c r="K937" i="48"/>
  <c r="K912" i="48"/>
  <c r="K1087" i="48"/>
  <c r="K1137" i="48"/>
  <c r="K195" i="48"/>
  <c r="K270" i="48"/>
  <c r="K395" i="48"/>
  <c r="K670" i="48"/>
  <c r="K520" i="48"/>
  <c r="K695" i="48"/>
  <c r="K995" i="48"/>
  <c r="K795" i="48"/>
  <c r="K845" i="48"/>
  <c r="K1220" i="48"/>
  <c r="K1270" i="48"/>
  <c r="K1345" i="48"/>
  <c r="K388" i="48"/>
  <c r="K513" i="48"/>
  <c r="K338" i="48"/>
  <c r="K488" i="48"/>
  <c r="K663" i="48"/>
  <c r="K613" i="48"/>
  <c r="K913" i="48"/>
  <c r="K888" i="48"/>
  <c r="K863" i="48"/>
  <c r="K1063" i="48"/>
  <c r="K1013" i="48"/>
  <c r="K1088" i="48"/>
  <c r="K521" i="48"/>
  <c r="K321" i="48"/>
  <c r="K296" i="48"/>
  <c r="K271" i="48"/>
  <c r="K146" i="48"/>
  <c r="K696" i="48"/>
  <c r="K546" i="48"/>
  <c r="K771" i="48"/>
  <c r="K821" i="48"/>
  <c r="K871" i="48"/>
  <c r="K796" i="48"/>
  <c r="K1246" i="48"/>
  <c r="K1196" i="48"/>
  <c r="K1271" i="48"/>
  <c r="K539" i="48"/>
  <c r="K414" i="48"/>
  <c r="K389" i="48"/>
  <c r="K464" i="48"/>
  <c r="K439" i="48"/>
  <c r="K589" i="48"/>
  <c r="K664" i="48"/>
  <c r="K1064" i="48"/>
  <c r="K914" i="48"/>
  <c r="K889" i="48"/>
  <c r="K1014" i="48"/>
  <c r="K1264" i="48"/>
  <c r="K1114" i="48"/>
  <c r="K147" i="48"/>
  <c r="K322" i="48"/>
  <c r="K422" i="48"/>
  <c r="K447" i="48"/>
  <c r="K597" i="48"/>
  <c r="K572" i="48"/>
  <c r="K797" i="48"/>
  <c r="K847" i="48"/>
  <c r="K747" i="48"/>
  <c r="K1147" i="48"/>
  <c r="K1172" i="48"/>
  <c r="K1322" i="48"/>
  <c r="K1297" i="48"/>
  <c r="K165" i="48"/>
  <c r="K140" i="48"/>
  <c r="K390" i="48"/>
  <c r="K190" i="48"/>
  <c r="K465" i="48"/>
  <c r="K715" i="48"/>
  <c r="K565" i="48"/>
  <c r="K1165" i="48"/>
  <c r="K840" i="48"/>
  <c r="K815" i="48"/>
  <c r="K1015" i="48"/>
  <c r="K1065" i="48"/>
  <c r="K1040" i="48"/>
  <c r="K291" i="48"/>
  <c r="K266" i="48"/>
  <c r="K141" i="48"/>
  <c r="K216" i="48"/>
  <c r="K491" i="48"/>
  <c r="K641" i="48"/>
  <c r="K716" i="48"/>
  <c r="K816" i="48"/>
  <c r="K966" i="48"/>
  <c r="K1116" i="48"/>
  <c r="K1041" i="48"/>
  <c r="K1166" i="48"/>
  <c r="K1241" i="48"/>
  <c r="K24" i="48"/>
  <c r="BA24" i="48"/>
  <c r="W18" i="58" s="1"/>
  <c r="K374" i="48"/>
  <c r="K149" i="48"/>
  <c r="K399" i="48"/>
  <c r="K649" i="48"/>
  <c r="K724" i="48"/>
  <c r="K824" i="48"/>
  <c r="K874" i="48"/>
  <c r="K949" i="48"/>
  <c r="K924" i="48"/>
  <c r="K1324" i="48"/>
  <c r="K1074" i="48"/>
  <c r="K18" i="48"/>
  <c r="BA18" i="48"/>
  <c r="W12" i="58" s="1"/>
  <c r="K143" i="48"/>
  <c r="K318" i="48"/>
  <c r="K293" i="48"/>
  <c r="K343" i="48"/>
  <c r="K618" i="48"/>
  <c r="K493" i="48"/>
  <c r="K643" i="48"/>
  <c r="K768" i="48"/>
  <c r="K743" i="48"/>
  <c r="K1068" i="48"/>
  <c r="K1093" i="48"/>
  <c r="M1094" i="48" s="1"/>
  <c r="K1218" i="48"/>
  <c r="K1193" i="48"/>
  <c r="K384" i="48"/>
  <c r="K359" i="48"/>
  <c r="K334" i="48"/>
  <c r="K234" i="48"/>
  <c r="K684" i="48"/>
  <c r="K634" i="48"/>
  <c r="K759" i="48"/>
  <c r="K884" i="48"/>
  <c r="K959" i="48"/>
  <c r="K1309" i="48"/>
  <c r="K1334" i="48"/>
  <c r="K1284" i="48"/>
  <c r="K92" i="48"/>
  <c r="K117" i="48"/>
  <c r="K567" i="48"/>
  <c r="K367" i="48"/>
  <c r="K492" i="48"/>
  <c r="K417" i="48"/>
  <c r="K1042" i="48"/>
  <c r="K617" i="48"/>
  <c r="K917" i="48"/>
  <c r="K892" i="48"/>
  <c r="K1217" i="48"/>
  <c r="K1142" i="48"/>
  <c r="K1117" i="48"/>
  <c r="K1167" i="48"/>
  <c r="K125" i="48"/>
  <c r="K100" i="48"/>
  <c r="K450" i="48"/>
  <c r="K525" i="48"/>
  <c r="K400" i="48"/>
  <c r="K1225" i="48"/>
  <c r="K550" i="48"/>
  <c r="K775" i="48"/>
  <c r="K750" i="48"/>
  <c r="K1325" i="48"/>
  <c r="K950" i="48"/>
  <c r="K1025" i="48"/>
  <c r="K1100" i="48"/>
  <c r="K10" i="48"/>
  <c r="K110" i="48"/>
  <c r="K410" i="48"/>
  <c r="K160" i="48"/>
  <c r="K510" i="48"/>
  <c r="K685" i="48"/>
  <c r="K635" i="48"/>
  <c r="K1010" i="48"/>
  <c r="K910" i="48"/>
  <c r="K985" i="48"/>
  <c r="K1135" i="48"/>
  <c r="K1035" i="48"/>
  <c r="K1185" i="48"/>
  <c r="K111" i="48"/>
  <c r="K511" i="48"/>
  <c r="K211" i="48"/>
  <c r="K86" i="48"/>
  <c r="K436" i="48"/>
  <c r="K736" i="48"/>
  <c r="K411" i="48"/>
  <c r="K661" i="48"/>
  <c r="K786" i="48"/>
  <c r="K911" i="48"/>
  <c r="K986" i="48"/>
  <c r="K1286" i="48"/>
  <c r="K1336" i="48"/>
  <c r="K119" i="48"/>
  <c r="K169" i="48"/>
  <c r="K244" i="48"/>
  <c r="K394" i="48"/>
  <c r="K194" i="48"/>
  <c r="K544" i="48"/>
  <c r="K419" i="48"/>
  <c r="K669" i="48"/>
  <c r="K794" i="48"/>
  <c r="K844" i="48"/>
  <c r="K894" i="48"/>
  <c r="K1119" i="48"/>
  <c r="K1144" i="48"/>
  <c r="K1219" i="48"/>
  <c r="K123" i="48"/>
  <c r="K448" i="48"/>
  <c r="K398" i="48"/>
  <c r="K23" i="48"/>
  <c r="BA23" i="48"/>
  <c r="W17" i="58" s="1"/>
  <c r="K373" i="48"/>
  <c r="K623" i="48"/>
  <c r="K698" i="48"/>
  <c r="K973" i="48"/>
  <c r="K1173" i="48"/>
  <c r="K748" i="48"/>
  <c r="K1273" i="48"/>
  <c r="K1298" i="48"/>
  <c r="K1348" i="48"/>
  <c r="K287" i="48"/>
  <c r="K337" i="48"/>
  <c r="K537" i="48"/>
  <c r="K212" i="48"/>
  <c r="K562" i="48"/>
  <c r="K512" i="48"/>
  <c r="K587" i="48"/>
  <c r="K887" i="48"/>
  <c r="K1187" i="48"/>
  <c r="K1287" i="48"/>
  <c r="K1037" i="48"/>
  <c r="K1162" i="48"/>
  <c r="K1237" i="48"/>
  <c r="K545" i="48"/>
  <c r="K295" i="48"/>
  <c r="K345" i="48"/>
  <c r="K120" i="48"/>
  <c r="K470" i="48"/>
  <c r="K645" i="48"/>
  <c r="K620" i="48"/>
  <c r="K745" i="48"/>
  <c r="K1120" i="48"/>
  <c r="K945" i="48"/>
  <c r="K920" i="48"/>
  <c r="K1320" i="48"/>
  <c r="K1070" i="48"/>
  <c r="K13" i="48"/>
  <c r="BA13" i="48"/>
  <c r="W7" i="58" s="1"/>
  <c r="K113" i="48"/>
  <c r="K188" i="48"/>
  <c r="K563" i="48"/>
  <c r="K413" i="48"/>
  <c r="K463" i="48"/>
  <c r="K713" i="48"/>
  <c r="K1213" i="48"/>
  <c r="K988" i="48"/>
  <c r="K963" i="48"/>
  <c r="K1138" i="48"/>
  <c r="K1113" i="48"/>
  <c r="K1163" i="48"/>
  <c r="K396" i="48"/>
  <c r="K371" i="48"/>
  <c r="K346" i="48"/>
  <c r="K246" i="48"/>
  <c r="K571" i="48"/>
  <c r="K646" i="48"/>
  <c r="K846" i="48"/>
  <c r="K896" i="48"/>
  <c r="K971" i="48"/>
  <c r="K946" i="48"/>
  <c r="K1346" i="48"/>
  <c r="K1296" i="48"/>
  <c r="K14" i="48"/>
  <c r="BA14" i="48"/>
  <c r="W8" i="58" s="1"/>
  <c r="K114" i="48"/>
  <c r="K189" i="48"/>
  <c r="K164" i="48"/>
  <c r="K514" i="48"/>
  <c r="K689" i="48"/>
  <c r="K639" i="48"/>
  <c r="K1339" i="48"/>
  <c r="K1139" i="48"/>
  <c r="K989" i="48"/>
  <c r="K1239" i="48"/>
  <c r="K1039" i="48"/>
  <c r="K1189" i="48"/>
  <c r="K472" i="48"/>
  <c r="K247" i="48"/>
  <c r="K197" i="48"/>
  <c r="K172" i="48"/>
  <c r="M172" i="48" s="1"/>
  <c r="K522" i="48"/>
  <c r="K697" i="48"/>
  <c r="K672" i="48"/>
  <c r="K947" i="48"/>
  <c r="K922" i="48"/>
  <c r="K822" i="48"/>
  <c r="K872" i="48"/>
  <c r="K1272" i="48"/>
  <c r="K1022" i="48"/>
  <c r="K265" i="48"/>
  <c r="K240" i="48"/>
  <c r="K440" i="48"/>
  <c r="K290" i="48"/>
  <c r="K540" i="48"/>
  <c r="K415" i="48"/>
  <c r="K665" i="48"/>
  <c r="K790" i="48"/>
  <c r="K915" i="48"/>
  <c r="K890" i="48"/>
  <c r="K1115" i="48"/>
  <c r="K1140" i="48"/>
  <c r="K1215" i="48"/>
  <c r="D4" i="21"/>
  <c r="D5" i="21" s="1"/>
  <c r="M10" i="48" l="1"/>
  <c r="M164" i="48"/>
  <c r="M162" i="48"/>
  <c r="M171" i="48"/>
  <c r="M167" i="48"/>
  <c r="M175" i="48"/>
  <c r="M168" i="48"/>
  <c r="M174" i="48"/>
  <c r="M170" i="48"/>
  <c r="M173" i="48"/>
  <c r="M166" i="48"/>
  <c r="M161" i="48"/>
  <c r="M169" i="48"/>
  <c r="M165" i="48"/>
  <c r="M163" i="48"/>
  <c r="AU60" i="48"/>
  <c r="AU35" i="48"/>
  <c r="M36" i="48"/>
  <c r="M838" i="48"/>
  <c r="M1064" i="48"/>
  <c r="M914" i="48"/>
  <c r="M1021" i="48"/>
  <c r="M40" i="48"/>
  <c r="DJ176" i="48"/>
  <c r="DJ177" i="48"/>
  <c r="DJ751" i="48"/>
  <c r="DJ752" i="48"/>
  <c r="DJ1326" i="48"/>
  <c r="DJ1327" i="48"/>
  <c r="DJ826" i="48"/>
  <c r="DJ827" i="48"/>
  <c r="DJ1251" i="48"/>
  <c r="DJ1252" i="48"/>
  <c r="DJ1226" i="48"/>
  <c r="DJ1227" i="48"/>
  <c r="DJ76" i="48"/>
  <c r="DJ77" i="48"/>
  <c r="DJ951" i="48"/>
  <c r="DJ952" i="48"/>
  <c r="DJ801" i="48"/>
  <c r="DJ802" i="48"/>
  <c r="DJ1026" i="48"/>
  <c r="DJ1027" i="48"/>
  <c r="DJ726" i="48"/>
  <c r="DJ727" i="48"/>
  <c r="DJ776" i="48"/>
  <c r="DJ777" i="48"/>
  <c r="DJ326" i="48"/>
  <c r="DJ327" i="48"/>
  <c r="DJ151" i="48"/>
  <c r="DJ152" i="48"/>
  <c r="DJ1151" i="48"/>
  <c r="DJ1152" i="48"/>
  <c r="DJ1001" i="48"/>
  <c r="DJ1002" i="48"/>
  <c r="DJ1201" i="48"/>
  <c r="DJ1202" i="48"/>
  <c r="DJ926" i="48"/>
  <c r="DJ927" i="48"/>
  <c r="DJ976" i="48"/>
  <c r="DJ977" i="48"/>
  <c r="DJ201" i="48"/>
  <c r="DJ202" i="48"/>
  <c r="DJ27" i="48"/>
  <c r="DJ26" i="48"/>
  <c r="DJ301" i="48"/>
  <c r="DJ302" i="48"/>
  <c r="DJ551" i="48"/>
  <c r="DJ552" i="48"/>
  <c r="DJ601" i="48"/>
  <c r="DJ602" i="48"/>
  <c r="DJ1126" i="48"/>
  <c r="DJ1127" i="48"/>
  <c r="DJ1351" i="48"/>
  <c r="DJ1352" i="48"/>
  <c r="DJ126" i="48"/>
  <c r="DJ127" i="48"/>
  <c r="DJ251" i="48"/>
  <c r="DJ252" i="48"/>
  <c r="DJ451" i="48"/>
  <c r="DJ452" i="48"/>
  <c r="DJ51" i="48"/>
  <c r="DJ52" i="48"/>
  <c r="DJ676" i="48"/>
  <c r="DJ677" i="48"/>
  <c r="DJ1301" i="48"/>
  <c r="DJ1302" i="48"/>
  <c r="DJ702" i="48"/>
  <c r="DJ701" i="48"/>
  <c r="M1345" i="48"/>
  <c r="DJ226" i="48"/>
  <c r="DJ227" i="48"/>
  <c r="DJ276" i="48"/>
  <c r="DJ277" i="48"/>
  <c r="K276" i="48"/>
  <c r="DJ576" i="48"/>
  <c r="DJ577" i="48"/>
  <c r="DJ376" i="48"/>
  <c r="DJ377" i="48"/>
  <c r="DJ876" i="48"/>
  <c r="DJ877" i="48"/>
  <c r="DJ651" i="48"/>
  <c r="DJ652" i="48"/>
  <c r="DJ901" i="48"/>
  <c r="DJ902" i="48"/>
  <c r="DJ351" i="48"/>
  <c r="DJ352" i="48"/>
  <c r="DJ402" i="48"/>
  <c r="DJ401" i="48"/>
  <c r="DJ427" i="48"/>
  <c r="DJ426" i="48"/>
  <c r="DJ476" i="48"/>
  <c r="DJ477" i="48"/>
  <c r="DJ1076" i="48"/>
  <c r="DJ1077" i="48"/>
  <c r="DJ851" i="48"/>
  <c r="DJ852" i="48"/>
  <c r="DJ1101" i="48"/>
  <c r="DJ1102" i="48"/>
  <c r="DJ102" i="48"/>
  <c r="DJ101" i="48"/>
  <c r="DJ526" i="48"/>
  <c r="DJ527" i="48"/>
  <c r="DJ501" i="48"/>
  <c r="DJ502" i="48"/>
  <c r="DJ626" i="48"/>
  <c r="DJ627" i="48"/>
  <c r="DJ1176" i="48"/>
  <c r="DJ1177" i="48"/>
  <c r="DJ1051" i="48"/>
  <c r="DJ1052" i="48"/>
  <c r="DJ1276" i="48"/>
  <c r="DJ1277" i="48"/>
  <c r="M638" i="48"/>
  <c r="M664" i="48"/>
  <c r="M889" i="48"/>
  <c r="M1096" i="48"/>
  <c r="M344" i="48"/>
  <c r="M865" i="48"/>
  <c r="M763" i="48"/>
  <c r="AU1094" i="48"/>
  <c r="M1263" i="48"/>
  <c r="AZ11" i="48"/>
  <c r="AZ12" i="48" s="1"/>
  <c r="AZ13" i="48" s="1"/>
  <c r="AZ14" i="48" s="1"/>
  <c r="AZ15" i="48" s="1"/>
  <c r="AZ16" i="48" s="1"/>
  <c r="AZ17" i="48" s="1"/>
  <c r="AZ18" i="48" s="1"/>
  <c r="AZ19" i="48" s="1"/>
  <c r="AZ20" i="48" s="1"/>
  <c r="AZ21" i="48" s="1"/>
  <c r="AZ22" i="48" s="1"/>
  <c r="AZ23" i="48" s="1"/>
  <c r="AZ24" i="48" s="1"/>
  <c r="AZ25" i="48" s="1"/>
  <c r="M973" i="48"/>
  <c r="M118" i="48"/>
  <c r="M1061" i="48"/>
  <c r="M1236" i="48"/>
  <c r="P1236" i="48" s="1"/>
  <c r="M21" i="48"/>
  <c r="M1046" i="48"/>
  <c r="M216" i="48"/>
  <c r="M248" i="48"/>
  <c r="M1316" i="48"/>
  <c r="M645" i="48"/>
  <c r="M871" i="48"/>
  <c r="M818" i="48"/>
  <c r="M243" i="48"/>
  <c r="M450" i="48"/>
  <c r="M970" i="48"/>
  <c r="M1225" i="48"/>
  <c r="M620" i="48"/>
  <c r="M345" i="48"/>
  <c r="M67" i="48"/>
  <c r="M221" i="48"/>
  <c r="M363" i="48"/>
  <c r="M73" i="48"/>
  <c r="M986" i="48"/>
  <c r="M1019" i="48"/>
  <c r="M38" i="48"/>
  <c r="M194" i="48"/>
  <c r="M69" i="48"/>
  <c r="M17" i="48"/>
  <c r="M1235" i="48"/>
  <c r="AU1235" i="48" s="1"/>
  <c r="M260" i="48"/>
  <c r="AU260" i="48" s="1"/>
  <c r="M47" i="48"/>
  <c r="M623" i="48"/>
  <c r="M1285" i="48"/>
  <c r="AU1285" i="48" s="1"/>
  <c r="M469" i="48"/>
  <c r="M250" i="48"/>
  <c r="M600" i="48"/>
  <c r="M75" i="48"/>
  <c r="M63" i="48"/>
  <c r="M37" i="48"/>
  <c r="M68" i="48"/>
  <c r="M42" i="48"/>
  <c r="M186" i="48"/>
  <c r="M45" i="48"/>
  <c r="M50" i="48"/>
  <c r="M49" i="48"/>
  <c r="M65" i="48"/>
  <c r="M48" i="48"/>
  <c r="M39" i="48"/>
  <c r="M572" i="48"/>
  <c r="M514" i="48"/>
  <c r="M93" i="48"/>
  <c r="M918" i="48"/>
  <c r="M43" i="48"/>
  <c r="M486" i="48"/>
  <c r="M70" i="48"/>
  <c r="M697" i="48"/>
  <c r="M1272" i="48"/>
  <c r="M472" i="48"/>
  <c r="M62" i="48"/>
  <c r="M71" i="48"/>
  <c r="M74" i="48"/>
  <c r="M447" i="48"/>
  <c r="M313" i="48"/>
  <c r="M61" i="48"/>
  <c r="M46" i="48"/>
  <c r="M911" i="48"/>
  <c r="M635" i="48"/>
  <c r="AU635" i="48" s="1"/>
  <c r="M870" i="48"/>
  <c r="M44" i="48"/>
  <c r="M686" i="48"/>
  <c r="M72" i="48"/>
  <c r="M66" i="48"/>
  <c r="M64" i="48"/>
  <c r="M1122" i="48"/>
  <c r="M218" i="48"/>
  <c r="M1315" i="48"/>
  <c r="M489" i="48"/>
  <c r="M41" i="48"/>
  <c r="M885" i="48"/>
  <c r="AU885" i="48" s="1"/>
  <c r="M1271" i="48"/>
  <c r="M886" i="48"/>
  <c r="M90" i="48"/>
  <c r="M210" i="48"/>
  <c r="M249" i="48"/>
  <c r="M1020" i="48"/>
  <c r="M465" i="48"/>
  <c r="M586" i="48"/>
  <c r="M462" i="48"/>
  <c r="M1210" i="48"/>
  <c r="AU1210" i="48" s="1"/>
  <c r="M261" i="48"/>
  <c r="M1149" i="48"/>
  <c r="M499" i="48"/>
  <c r="M891" i="48"/>
  <c r="M1037" i="48"/>
  <c r="M587" i="48"/>
  <c r="M100" i="48"/>
  <c r="M937" i="48"/>
  <c r="M311" i="48"/>
  <c r="M975" i="48"/>
  <c r="M442" i="48"/>
  <c r="M312" i="48"/>
  <c r="M872" i="48"/>
  <c r="M989" i="48"/>
  <c r="M211" i="48"/>
  <c r="M1036" i="48"/>
  <c r="M1011" i="48"/>
  <c r="M892" i="48"/>
  <c r="M966" i="48"/>
  <c r="M491" i="48"/>
  <c r="M273" i="48"/>
  <c r="M1211" i="48"/>
  <c r="M1265" i="48"/>
  <c r="M340" i="48"/>
  <c r="M490" i="48"/>
  <c r="M1335" i="48"/>
  <c r="AU1335" i="48" s="1"/>
  <c r="M18" i="48"/>
  <c r="M936" i="48"/>
  <c r="M1215" i="48"/>
  <c r="M265" i="48"/>
  <c r="M187" i="48"/>
  <c r="M425" i="48"/>
  <c r="M1342" i="48"/>
  <c r="M972" i="48"/>
  <c r="M700" i="48"/>
  <c r="M22" i="48"/>
  <c r="M485" i="48"/>
  <c r="AU485" i="48" s="1"/>
  <c r="M1314" i="48"/>
  <c r="M263" i="48"/>
  <c r="M1063" i="48"/>
  <c r="M712" i="48"/>
  <c r="M761" i="48"/>
  <c r="M96" i="48"/>
  <c r="M214" i="48"/>
  <c r="M495" i="48"/>
  <c r="M919" i="48"/>
  <c r="M270" i="48"/>
  <c r="M1294" i="48"/>
  <c r="M1042" i="48"/>
  <c r="M264" i="48"/>
  <c r="M1293" i="48"/>
  <c r="M922" i="48"/>
  <c r="M672" i="48"/>
  <c r="M197" i="48"/>
  <c r="M1039" i="48"/>
  <c r="M1339" i="48"/>
  <c r="M689" i="48"/>
  <c r="M463" i="48"/>
  <c r="M448" i="48"/>
  <c r="M437" i="48"/>
  <c r="M112" i="48"/>
  <c r="M1168" i="48"/>
  <c r="M960" i="48"/>
  <c r="AU960" i="48" s="1"/>
  <c r="M1041" i="48"/>
  <c r="M796" i="48"/>
  <c r="M839" i="48"/>
  <c r="M762" i="48"/>
  <c r="M946" i="48"/>
  <c r="M646" i="48"/>
  <c r="M246" i="48"/>
  <c r="M113" i="48"/>
  <c r="M920" i="48"/>
  <c r="M1324" i="48"/>
  <c r="M824" i="48"/>
  <c r="M649" i="48"/>
  <c r="M520" i="48"/>
  <c r="M1260" i="48"/>
  <c r="AU1260" i="48" s="1"/>
  <c r="M942" i="48"/>
  <c r="M742" i="48"/>
  <c r="M1098" i="48"/>
  <c r="M723" i="48"/>
  <c r="M1170" i="48"/>
  <c r="M20" i="48"/>
  <c r="M314" i="48"/>
  <c r="M764" i="48"/>
  <c r="M988" i="48"/>
  <c r="M1145" i="48"/>
  <c r="M794" i="48"/>
  <c r="M244" i="48"/>
  <c r="M86" i="48"/>
  <c r="M510" i="48"/>
  <c r="AU510" i="48" s="1"/>
  <c r="M410" i="48"/>
  <c r="AU410" i="48" s="1"/>
  <c r="M1310" i="48"/>
  <c r="AU1310" i="48" s="1"/>
  <c r="M1264" i="48"/>
  <c r="M589" i="48"/>
  <c r="M1246" i="48"/>
  <c r="M1088" i="48"/>
  <c r="M613" i="48"/>
  <c r="M1045" i="48"/>
  <c r="M570" i="48"/>
  <c r="M519" i="48"/>
  <c r="M965" i="48"/>
  <c r="M1322" i="48"/>
  <c r="M536" i="48"/>
  <c r="M387" i="48"/>
  <c r="M262" i="48"/>
  <c r="M769" i="48"/>
  <c r="M1087" i="48"/>
  <c r="M1120" i="48"/>
  <c r="M470" i="48"/>
  <c r="M545" i="48"/>
  <c r="M887" i="48"/>
  <c r="M212" i="48"/>
  <c r="M775" i="48"/>
  <c r="M525" i="48"/>
  <c r="M494" i="48"/>
  <c r="M319" i="48"/>
  <c r="M815" i="48"/>
  <c r="M1165" i="48"/>
  <c r="M715" i="48"/>
  <c r="M140" i="48"/>
  <c r="M1172" i="48"/>
  <c r="M597" i="48"/>
  <c r="M1137" i="48"/>
  <c r="M962" i="48"/>
  <c r="M1248" i="48"/>
  <c r="M361" i="48"/>
  <c r="M1275" i="48"/>
  <c r="M325" i="48"/>
  <c r="M648" i="48"/>
  <c r="M969" i="48"/>
  <c r="M492" i="48"/>
  <c r="M271" i="48"/>
  <c r="M840" i="48"/>
  <c r="M1321" i="48"/>
  <c r="M1237" i="48"/>
  <c r="M565" i="48"/>
  <c r="M1148" i="48"/>
  <c r="M322" i="48"/>
  <c r="M1222" i="48"/>
  <c r="M991" i="48"/>
  <c r="M1163" i="48"/>
  <c r="M1274" i="48"/>
  <c r="M373" i="48"/>
  <c r="M360" i="48"/>
  <c r="AU360" i="48" s="1"/>
  <c r="M150" i="48"/>
  <c r="M1166" i="48"/>
  <c r="M816" i="48"/>
  <c r="M814" i="48"/>
  <c r="M939" i="48"/>
  <c r="M364" i="48"/>
  <c r="M1171" i="48"/>
  <c r="M236" i="48"/>
  <c r="M122" i="48"/>
  <c r="M789" i="48"/>
  <c r="M289" i="48"/>
  <c r="M139" i="48"/>
  <c r="M791" i="48"/>
  <c r="M846" i="48"/>
  <c r="M745" i="48"/>
  <c r="M1325" i="48"/>
  <c r="M294" i="48"/>
  <c r="M1198" i="48"/>
  <c r="M435" i="48"/>
  <c r="AU435" i="48" s="1"/>
  <c r="M1092" i="48"/>
  <c r="M997" i="48"/>
  <c r="M497" i="48"/>
  <c r="M222" i="48"/>
  <c r="M114" i="48"/>
  <c r="M1219" i="48"/>
  <c r="M845" i="48"/>
  <c r="M395" i="48"/>
  <c r="M418" i="48"/>
  <c r="M439" i="48"/>
  <c r="M539" i="48"/>
  <c r="M821" i="48"/>
  <c r="M1013" i="48"/>
  <c r="M913" i="48"/>
  <c r="M663" i="48"/>
  <c r="M1049" i="48"/>
  <c r="M1024" i="48"/>
  <c r="M474" i="48"/>
  <c r="M735" i="48"/>
  <c r="AU735" i="48" s="1"/>
  <c r="M367" i="48"/>
  <c r="M225" i="48"/>
  <c r="M792" i="48"/>
  <c r="M1175" i="48"/>
  <c r="M1317" i="48"/>
  <c r="M468" i="48"/>
  <c r="M1014" i="48"/>
  <c r="M517" i="48"/>
  <c r="M567" i="48"/>
  <c r="M825" i="48"/>
  <c r="M467" i="48"/>
  <c r="M949" i="48"/>
  <c r="M23" i="48"/>
  <c r="M760" i="48"/>
  <c r="AU760" i="48" s="1"/>
  <c r="M1112" i="48"/>
  <c r="M599" i="48"/>
  <c r="M819" i="48"/>
  <c r="M835" i="48"/>
  <c r="AU835" i="48" s="1"/>
  <c r="M660" i="48"/>
  <c r="M500" i="48"/>
  <c r="M1169" i="48"/>
  <c r="M369" i="48"/>
  <c r="M13" i="48"/>
  <c r="M860" i="48"/>
  <c r="AU860" i="48" s="1"/>
  <c r="M310" i="48"/>
  <c r="AU310" i="48" s="1"/>
  <c r="M543" i="48"/>
  <c r="M193" i="48"/>
  <c r="M424" i="48"/>
  <c r="M19" i="48"/>
  <c r="M1018" i="48"/>
  <c r="M668" i="48"/>
  <c r="M85" i="48"/>
  <c r="M1150" i="48"/>
  <c r="M1267" i="48"/>
  <c r="M237" i="48"/>
  <c r="M286" i="48"/>
  <c r="M239" i="48"/>
  <c r="M642" i="48"/>
  <c r="M272" i="48"/>
  <c r="M321" i="48"/>
  <c r="M594" i="48"/>
  <c r="M241" i="48"/>
  <c r="M370" i="48"/>
  <c r="M335" i="48"/>
  <c r="AU335" i="48" s="1"/>
  <c r="M619" i="48"/>
  <c r="M143" i="48"/>
  <c r="M875" i="48"/>
  <c r="M725" i="48"/>
  <c r="M1065" i="48"/>
  <c r="M747" i="48"/>
  <c r="M798" i="48"/>
  <c r="M547" i="48"/>
  <c r="M146" i="48"/>
  <c r="M297" i="48"/>
  <c r="M864" i="48"/>
  <c r="M339" i="48"/>
  <c r="M388" i="48"/>
  <c r="M671" i="48"/>
  <c r="M196" i="48"/>
  <c r="M999" i="48"/>
  <c r="M298" i="48"/>
  <c r="M524" i="48"/>
  <c r="M1311" i="48"/>
  <c r="M561" i="48"/>
  <c r="M12" i="48"/>
  <c r="M336" i="48"/>
  <c r="M1000" i="48"/>
  <c r="M721" i="48"/>
  <c r="M446" i="48"/>
  <c r="M548" i="48"/>
  <c r="M612" i="48"/>
  <c r="M575" i="48"/>
  <c r="M200" i="48"/>
  <c r="M375" i="48"/>
  <c r="M1068" i="48"/>
  <c r="M292" i="48"/>
  <c r="M585" i="48"/>
  <c r="AU585" i="48" s="1"/>
  <c r="M1118" i="48"/>
  <c r="M350" i="48"/>
  <c r="M967" i="48"/>
  <c r="M343" i="48"/>
  <c r="M935" i="48"/>
  <c r="AU935" i="48" s="1"/>
  <c r="M535" i="48"/>
  <c r="AU535" i="48" s="1"/>
  <c r="M1044" i="48"/>
  <c r="M1117" i="48"/>
  <c r="M521" i="48"/>
  <c r="M487" i="48"/>
  <c r="M1270" i="48"/>
  <c r="M596" i="48"/>
  <c r="M88" i="48"/>
  <c r="M1313" i="48"/>
  <c r="M692" i="48"/>
  <c r="M215" i="48"/>
  <c r="M1047" i="48"/>
  <c r="M496" i="48"/>
  <c r="M1195" i="48"/>
  <c r="M1012" i="48"/>
  <c r="M1125" i="48"/>
  <c r="M1069" i="48"/>
  <c r="M542" i="48"/>
  <c r="M1072" i="48"/>
  <c r="M622" i="48"/>
  <c r="M1091" i="48"/>
  <c r="M772" i="48"/>
  <c r="M348" i="48"/>
  <c r="M938" i="48"/>
  <c r="M813" i="48"/>
  <c r="M770" i="48"/>
  <c r="M320" i="48"/>
  <c r="M848" i="48"/>
  <c r="M323" i="48"/>
  <c r="M1344" i="48"/>
  <c r="M785" i="48"/>
  <c r="AU785" i="48" s="1"/>
  <c r="M711" i="48"/>
  <c r="M1200" i="48"/>
  <c r="M1250" i="48"/>
  <c r="M92" i="48"/>
  <c r="M898" i="48"/>
  <c r="M1247" i="48"/>
  <c r="M1089" i="48"/>
  <c r="M1097" i="48"/>
  <c r="M996" i="48"/>
  <c r="M138" i="48"/>
  <c r="M438" i="48"/>
  <c r="M1295" i="48"/>
  <c r="M1338" i="48"/>
  <c r="M1212" i="48"/>
  <c r="M362" i="48"/>
  <c r="M573" i="48"/>
  <c r="M995" i="48"/>
  <c r="M595" i="48"/>
  <c r="M444" i="48"/>
  <c r="M1060" i="48"/>
  <c r="AU1060" i="48" s="1"/>
  <c r="M610" i="48"/>
  <c r="AU610" i="48" s="1"/>
  <c r="M560" i="48"/>
  <c r="AU560" i="48" s="1"/>
  <c r="M1319" i="48"/>
  <c r="M569" i="48"/>
  <c r="M899" i="48"/>
  <c r="M1292" i="48"/>
  <c r="M242" i="48"/>
  <c r="M267" i="48"/>
  <c r="M820" i="48"/>
  <c r="M1161" i="48"/>
  <c r="M1217" i="48"/>
  <c r="M1194" i="48"/>
  <c r="M1193" i="48"/>
  <c r="M744" i="48"/>
  <c r="M743" i="48"/>
  <c r="M643" i="48"/>
  <c r="M644" i="48"/>
  <c r="M925" i="48"/>
  <c r="M924" i="48"/>
  <c r="M390" i="48"/>
  <c r="M389" i="48"/>
  <c r="M1197" i="48"/>
  <c r="M1196" i="48"/>
  <c r="M695" i="48"/>
  <c r="M696" i="48"/>
  <c r="M720" i="48"/>
  <c r="M719" i="48"/>
  <c r="M98" i="48"/>
  <c r="M97" i="48"/>
  <c r="M1221" i="48"/>
  <c r="M637" i="48"/>
  <c r="M1124" i="48"/>
  <c r="M1123" i="48"/>
  <c r="M812" i="48"/>
  <c r="M811" i="48"/>
  <c r="M318" i="48"/>
  <c r="M317" i="48"/>
  <c r="M1289" i="48"/>
  <c r="M1290" i="48"/>
  <c r="M738" i="48"/>
  <c r="M1095" i="48"/>
  <c r="M223" i="48"/>
  <c r="M224" i="48"/>
  <c r="M1245" i="48"/>
  <c r="M1244" i="48"/>
  <c r="M944" i="48"/>
  <c r="M861" i="48"/>
  <c r="M862" i="48"/>
  <c r="M1262" i="48"/>
  <c r="M1261" i="48"/>
  <c r="M136" i="48"/>
  <c r="M137" i="48"/>
  <c r="M1085" i="48"/>
  <c r="AU1085" i="48" s="1"/>
  <c r="M1086" i="48"/>
  <c r="M368" i="48"/>
  <c r="M998" i="48"/>
  <c r="M1343" i="48"/>
  <c r="M771" i="48"/>
  <c r="M1090" i="48"/>
  <c r="M710" i="48"/>
  <c r="AU710" i="48" s="1"/>
  <c r="M423" i="48"/>
  <c r="M422" i="48"/>
  <c r="M148" i="48"/>
  <c r="M147" i="48"/>
  <c r="M95" i="48"/>
  <c r="M94" i="48"/>
  <c r="M145" i="48"/>
  <c r="M144" i="48"/>
  <c r="M836" i="48"/>
  <c r="M837" i="48"/>
  <c r="M1111" i="48"/>
  <c r="M1110" i="48"/>
  <c r="AU1110" i="48" s="1"/>
  <c r="M386" i="48"/>
  <c r="M385" i="48"/>
  <c r="AU385" i="48" s="1"/>
  <c r="M461" i="48"/>
  <c r="M460" i="48"/>
  <c r="AU460" i="48" s="1"/>
  <c r="M766" i="48"/>
  <c r="M765" i="48"/>
  <c r="M315" i="48"/>
  <c r="M316" i="48"/>
  <c r="M1146" i="48"/>
  <c r="M1147" i="48"/>
  <c r="M238" i="48"/>
  <c r="M1312" i="48"/>
  <c r="M961" i="48"/>
  <c r="M25" i="48"/>
  <c r="M768" i="48"/>
  <c r="M767" i="48"/>
  <c r="M893" i="48"/>
  <c r="M1249" i="48"/>
  <c r="M940" i="48"/>
  <c r="M365" i="48"/>
  <c r="M739" i="48"/>
  <c r="M740" i="48"/>
  <c r="M614" i="48"/>
  <c r="M615" i="48"/>
  <c r="M421" i="48"/>
  <c r="M788" i="48"/>
  <c r="M220" i="48"/>
  <c r="M687" i="48"/>
  <c r="M688" i="48"/>
  <c r="M773" i="48"/>
  <c r="M774" i="48"/>
  <c r="M185" i="48"/>
  <c r="M869" i="48"/>
  <c r="M868" i="48"/>
  <c r="M1015" i="48"/>
  <c r="M488" i="48"/>
  <c r="M1269" i="48"/>
  <c r="M89" i="48"/>
  <c r="M445" i="48"/>
  <c r="M475" i="48"/>
  <c r="M797" i="48"/>
  <c r="M863" i="48"/>
  <c r="M722" i="48"/>
  <c r="M1062" i="48"/>
  <c r="M611" i="48"/>
  <c r="M574" i="48"/>
  <c r="M324" i="48"/>
  <c r="M1341" i="48"/>
  <c r="M290" i="48"/>
  <c r="M822" i="48"/>
  <c r="M948" i="48"/>
  <c r="M1189" i="48"/>
  <c r="M945" i="48"/>
  <c r="M295" i="48"/>
  <c r="M1188" i="48"/>
  <c r="M562" i="48"/>
  <c r="M538" i="48"/>
  <c r="M398" i="48"/>
  <c r="M894" i="48"/>
  <c r="M419" i="48"/>
  <c r="M1286" i="48"/>
  <c r="M910" i="48"/>
  <c r="AU910" i="48" s="1"/>
  <c r="M850" i="48"/>
  <c r="M849" i="48"/>
  <c r="M941" i="48"/>
  <c r="M116" i="48"/>
  <c r="M900" i="48"/>
  <c r="M518" i="48"/>
  <c r="M1240" i="48"/>
  <c r="M639" i="48"/>
  <c r="M1296" i="48"/>
  <c r="M896" i="48"/>
  <c r="M371" i="48"/>
  <c r="M1113" i="48"/>
  <c r="M1213" i="48"/>
  <c r="M188" i="48"/>
  <c r="M121" i="48"/>
  <c r="M288" i="48"/>
  <c r="M699" i="48"/>
  <c r="M119" i="48"/>
  <c r="M736" i="48"/>
  <c r="M1185" i="48"/>
  <c r="AU1185" i="48" s="1"/>
  <c r="M1025" i="48"/>
  <c r="M1067" i="48"/>
  <c r="M817" i="48"/>
  <c r="M1100" i="48"/>
  <c r="M125" i="48"/>
  <c r="M568" i="48"/>
  <c r="M1115" i="48"/>
  <c r="M915" i="48"/>
  <c r="M665" i="48"/>
  <c r="M522" i="48"/>
  <c r="M14" i="48"/>
  <c r="M1346" i="48"/>
  <c r="M347" i="48"/>
  <c r="M397" i="48"/>
  <c r="M1138" i="48"/>
  <c r="M714" i="48"/>
  <c r="M413" i="48"/>
  <c r="M563" i="48"/>
  <c r="M1070" i="48"/>
  <c r="M1162" i="48"/>
  <c r="M1287" i="48"/>
  <c r="M512" i="48"/>
  <c r="M337" i="48"/>
  <c r="M1119" i="48"/>
  <c r="M670" i="48"/>
  <c r="M544" i="48"/>
  <c r="M1337" i="48"/>
  <c r="M787" i="48"/>
  <c r="M412" i="48"/>
  <c r="M985" i="48"/>
  <c r="AU985" i="48" s="1"/>
  <c r="M110" i="48"/>
  <c r="M11" i="48"/>
  <c r="M1300" i="48"/>
  <c r="M1050" i="48"/>
  <c r="M842" i="48"/>
  <c r="M392" i="48"/>
  <c r="M810" i="48"/>
  <c r="AU810" i="48" s="1"/>
  <c r="M135" i="48"/>
  <c r="M285" i="48"/>
  <c r="AU285" i="48" s="1"/>
  <c r="M994" i="48"/>
  <c r="M1143" i="48"/>
  <c r="M693" i="48"/>
  <c r="M268" i="48"/>
  <c r="M1224" i="48"/>
  <c r="M549" i="48"/>
  <c r="M1142" i="48"/>
  <c r="M191" i="48"/>
  <c r="M400" i="48"/>
  <c r="M717" i="48"/>
  <c r="M800" i="48"/>
  <c r="M823" i="48"/>
  <c r="M1167" i="48"/>
  <c r="M1093" i="48"/>
  <c r="M1241" i="48"/>
  <c r="M590" i="48"/>
  <c r="M1160" i="48"/>
  <c r="AU1160" i="48" s="1"/>
  <c r="M1242" i="48"/>
  <c r="M293" i="48"/>
  <c r="M219" i="48"/>
  <c r="M550" i="48"/>
  <c r="M417" i="48"/>
  <c r="M673" i="48"/>
  <c r="M498" i="48"/>
  <c r="M694" i="48"/>
  <c r="M843" i="48"/>
  <c r="M1017" i="48"/>
  <c r="M117" i="48"/>
  <c r="M1268" i="48"/>
  <c r="M716" i="48"/>
  <c r="M141" i="48"/>
  <c r="M874" i="48"/>
  <c r="M1350" i="48"/>
  <c r="M799" i="48"/>
  <c r="M750" i="48"/>
  <c r="M675" i="48"/>
  <c r="M300" i="48"/>
  <c r="M917" i="48"/>
  <c r="M866" i="48"/>
  <c r="M616" i="48"/>
  <c r="M1191" i="48"/>
  <c r="M192" i="48"/>
  <c r="M275" i="48"/>
  <c r="M342" i="48"/>
  <c r="M142" i="48"/>
  <c r="M269" i="48"/>
  <c r="M950" i="48"/>
  <c r="M1074" i="48"/>
  <c r="M724" i="48"/>
  <c r="M149" i="48"/>
  <c r="M641" i="48"/>
  <c r="M1297" i="48"/>
  <c r="M790" i="48"/>
  <c r="M190" i="48"/>
  <c r="M189" i="48"/>
  <c r="M963" i="48"/>
  <c r="M964" i="48"/>
  <c r="M1187" i="48"/>
  <c r="M625" i="48"/>
  <c r="M1075" i="48"/>
  <c r="M650" i="48"/>
  <c r="M1243" i="48"/>
  <c r="M992" i="48"/>
  <c r="M593" i="48"/>
  <c r="M217" i="48"/>
  <c r="M669" i="48"/>
  <c r="M624" i="48"/>
  <c r="M795" i="48"/>
  <c r="M1320" i="48"/>
  <c r="M1347" i="48"/>
  <c r="M867" i="48"/>
  <c r="M15" i="48"/>
  <c r="M971" i="48"/>
  <c r="M120" i="48"/>
  <c r="M1336" i="48"/>
  <c r="M1043" i="48"/>
  <c r="M968" i="48"/>
  <c r="M393" i="48"/>
  <c r="M1141" i="48"/>
  <c r="M416" i="48"/>
  <c r="M1139" i="48"/>
  <c r="M1144" i="48"/>
  <c r="M1135" i="48"/>
  <c r="AU1135" i="48" s="1"/>
  <c r="M667" i="48"/>
  <c r="M564" i="48"/>
  <c r="M592" i="48"/>
  <c r="M396" i="48"/>
  <c r="M436" i="48"/>
  <c r="M617" i="48"/>
  <c r="M993" i="48"/>
  <c r="M198" i="48"/>
  <c r="M674" i="48"/>
  <c r="M338" i="48"/>
  <c r="M647" i="48"/>
  <c r="M640" i="48"/>
  <c r="M621" i="48"/>
  <c r="M213" i="48"/>
  <c r="M1192" i="48"/>
  <c r="M1239" i="48"/>
  <c r="M713" i="48"/>
  <c r="M287" i="48"/>
  <c r="M1040" i="48"/>
  <c r="M546" i="48"/>
  <c r="M296" i="48"/>
  <c r="M1220" i="48"/>
  <c r="M195" i="48"/>
  <c r="M912" i="48"/>
  <c r="M471" i="48"/>
  <c r="M245" i="48"/>
  <c r="M87" i="48"/>
  <c r="M1238" i="48"/>
  <c r="M1140" i="48"/>
  <c r="M571" i="48"/>
  <c r="M786" i="48"/>
  <c r="M873" i="48"/>
  <c r="M473" i="48"/>
  <c r="M511" i="48"/>
  <c r="M1114" i="48"/>
  <c r="M372" i="48"/>
  <c r="M1121" i="48"/>
  <c r="M746" i="48"/>
  <c r="M1190" i="48"/>
  <c r="M1071" i="48"/>
  <c r="M1038" i="48"/>
  <c r="M247" i="48"/>
  <c r="M394" i="48"/>
  <c r="M111" i="48"/>
  <c r="M523" i="48"/>
  <c r="M974" i="48"/>
  <c r="M540" i="48"/>
  <c r="M541" i="48"/>
  <c r="M441" i="48"/>
  <c r="M440" i="48"/>
  <c r="M1023" i="48"/>
  <c r="M1022" i="48"/>
  <c r="M1298" i="48"/>
  <c r="M1299" i="48"/>
  <c r="M748" i="48"/>
  <c r="M749" i="48"/>
  <c r="M464" i="48"/>
  <c r="M513" i="48"/>
  <c r="M636" i="48"/>
  <c r="M1340" i="48"/>
  <c r="M515" i="48"/>
  <c r="M1164" i="48"/>
  <c r="M895" i="48"/>
  <c r="M420" i="48"/>
  <c r="M1136" i="48"/>
  <c r="M115" i="48"/>
  <c r="M897" i="48"/>
  <c r="M921" i="48"/>
  <c r="M987" i="48"/>
  <c r="M890" i="48"/>
  <c r="M240" i="48"/>
  <c r="M947" i="48"/>
  <c r="M346" i="48"/>
  <c r="M537" i="48"/>
  <c r="M844" i="48"/>
  <c r="M411" i="48"/>
  <c r="M1035" i="48"/>
  <c r="AU1035" i="48" s="1"/>
  <c r="M923" i="48"/>
  <c r="M449" i="48"/>
  <c r="M1348" i="48"/>
  <c r="M1349" i="48"/>
  <c r="M1173" i="48"/>
  <c r="M1174" i="48"/>
  <c r="M123" i="48"/>
  <c r="M124" i="48"/>
  <c r="M661" i="48"/>
  <c r="M662" i="48"/>
  <c r="M847" i="48"/>
  <c r="M414" i="48"/>
  <c r="M888" i="48"/>
  <c r="M1186" i="48"/>
  <c r="M690" i="48"/>
  <c r="M1288" i="48"/>
  <c r="M737" i="48"/>
  <c r="M990" i="48"/>
  <c r="M1214" i="48"/>
  <c r="M588" i="48"/>
  <c r="M415" i="48"/>
  <c r="M1010" i="48"/>
  <c r="AU1010" i="48" s="1"/>
  <c r="M916" i="48"/>
  <c r="M1216" i="48"/>
  <c r="M666" i="48"/>
  <c r="M618" i="48"/>
  <c r="M24" i="48"/>
  <c r="M1116" i="48"/>
  <c r="M266" i="48"/>
  <c r="M516" i="48"/>
  <c r="M1318" i="48"/>
  <c r="M1099" i="48"/>
  <c r="M1273" i="48"/>
  <c r="M698" i="48"/>
  <c r="M598" i="48"/>
  <c r="M943" i="48"/>
  <c r="M199" i="48"/>
  <c r="M1066" i="48"/>
  <c r="M841" i="48"/>
  <c r="M391" i="48"/>
  <c r="M91" i="48"/>
  <c r="M1291" i="48"/>
  <c r="M591" i="48"/>
  <c r="M566" i="48"/>
  <c r="M366" i="48"/>
  <c r="M399" i="48"/>
  <c r="M299" i="48"/>
  <c r="M1048" i="48"/>
  <c r="M1323" i="48"/>
  <c r="M1223" i="48"/>
  <c r="M443" i="48"/>
  <c r="M274" i="48"/>
  <c r="M691" i="48"/>
  <c r="M466" i="48"/>
  <c r="M793" i="48"/>
  <c r="M718" i="48"/>
  <c r="M99" i="48"/>
  <c r="M1266" i="48"/>
  <c r="M341" i="48"/>
  <c r="M16" i="48"/>
  <c r="M1218" i="48"/>
  <c r="M493" i="48"/>
  <c r="M374" i="48"/>
  <c r="M291" i="48"/>
  <c r="M1199" i="48"/>
  <c r="M349" i="48"/>
  <c r="M741" i="48"/>
  <c r="M1016" i="48"/>
  <c r="M1073" i="48"/>
  <c r="D6" i="2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D50" i="21" s="1"/>
  <c r="D51" i="21" s="1"/>
  <c r="D52" i="21" s="1"/>
  <c r="D53" i="21" s="1"/>
  <c r="AU210" i="48" l="1"/>
  <c r="AU185" i="48"/>
  <c r="AU135" i="48"/>
  <c r="AU110" i="48"/>
  <c r="AU85" i="48"/>
  <c r="AU36" i="48"/>
  <c r="AV36" i="48" s="1"/>
  <c r="AW36" i="48" s="1"/>
  <c r="AU889" i="48"/>
  <c r="AU40" i="48"/>
  <c r="AU638" i="48"/>
  <c r="AU1021" i="48"/>
  <c r="AU763" i="48"/>
  <c r="AU914" i="48"/>
  <c r="AU171" i="48"/>
  <c r="AU1064" i="48"/>
  <c r="AU865" i="48"/>
  <c r="AU838" i="48"/>
  <c r="AU344" i="48"/>
  <c r="AU1345" i="48"/>
  <c r="AU1096" i="48"/>
  <c r="AU99" i="48"/>
  <c r="AU1223" i="48"/>
  <c r="AU1291" i="48"/>
  <c r="AU1318" i="48"/>
  <c r="AU1288" i="48"/>
  <c r="AU923" i="48"/>
  <c r="AU897" i="48"/>
  <c r="AU1022" i="48"/>
  <c r="AU372" i="48"/>
  <c r="AU1140" i="48"/>
  <c r="AU296" i="48"/>
  <c r="AU621" i="48"/>
  <c r="AU416" i="48"/>
  <c r="AU1043" i="48"/>
  <c r="AU795" i="48"/>
  <c r="AU593" i="48"/>
  <c r="AU1075" i="48"/>
  <c r="AU964" i="48"/>
  <c r="AU790" i="48"/>
  <c r="AU724" i="48"/>
  <c r="AU142" i="48"/>
  <c r="AU1191" i="48"/>
  <c r="AU300" i="48"/>
  <c r="AU1350" i="48"/>
  <c r="AU1268" i="48"/>
  <c r="AU843" i="48"/>
  <c r="AU417" i="48"/>
  <c r="AU219" i="48"/>
  <c r="AU1167" i="48"/>
  <c r="AU400" i="48"/>
  <c r="AU1224" i="48"/>
  <c r="AU994" i="48"/>
  <c r="AU392" i="48"/>
  <c r="AU787" i="48"/>
  <c r="AU1287" i="48"/>
  <c r="AU413" i="48"/>
  <c r="AU347" i="48"/>
  <c r="AU125" i="48"/>
  <c r="AU1025" i="48"/>
  <c r="AU699" i="48"/>
  <c r="AU1213" i="48"/>
  <c r="AU1296" i="48"/>
  <c r="AU518" i="48"/>
  <c r="AU849" i="48"/>
  <c r="AU419" i="48"/>
  <c r="AU562" i="48"/>
  <c r="AU1189" i="48"/>
  <c r="AU1341" i="48"/>
  <c r="AU1062" i="48"/>
  <c r="AU475" i="48"/>
  <c r="AU488" i="48"/>
  <c r="AU687" i="48"/>
  <c r="AU615" i="48"/>
  <c r="AU365" i="48"/>
  <c r="AU767" i="48"/>
  <c r="AU1312" i="48"/>
  <c r="AU316" i="48"/>
  <c r="AU144" i="48"/>
  <c r="AU147" i="48"/>
  <c r="AU998" i="48"/>
  <c r="AU137" i="48"/>
  <c r="AU862" i="48"/>
  <c r="AU1245" i="48"/>
  <c r="AU738" i="48"/>
  <c r="AU318" i="48"/>
  <c r="AU1124" i="48"/>
  <c r="AU1221" i="48"/>
  <c r="AU720" i="48"/>
  <c r="AU1197" i="48"/>
  <c r="AU925" i="48"/>
  <c r="AU744" i="48"/>
  <c r="AU1161" i="48"/>
  <c r="AV1161" i="48" s="1"/>
  <c r="AW1161" i="48" s="1"/>
  <c r="AU1292" i="48"/>
  <c r="AU595" i="48"/>
  <c r="AU1212" i="48"/>
  <c r="AU138" i="48"/>
  <c r="AU1247" i="48"/>
  <c r="AU1200" i="48"/>
  <c r="AU323" i="48"/>
  <c r="AU813" i="48"/>
  <c r="AU1091" i="48"/>
  <c r="AU1069" i="48"/>
  <c r="AU496" i="48"/>
  <c r="AU1313" i="48"/>
  <c r="AU487" i="48"/>
  <c r="AU350" i="48"/>
  <c r="AU1068" i="48"/>
  <c r="AU612" i="48"/>
  <c r="AU1000" i="48"/>
  <c r="AU1311" i="48"/>
  <c r="AV1311" i="48" s="1"/>
  <c r="AW1311" i="48" s="1"/>
  <c r="AU196" i="48"/>
  <c r="AU864" i="48"/>
  <c r="AU798" i="48"/>
  <c r="AU875" i="48"/>
  <c r="AU370" i="48"/>
  <c r="AU272" i="48"/>
  <c r="AU237" i="48"/>
  <c r="AU193" i="48"/>
  <c r="AU1112" i="48"/>
  <c r="AU467" i="48"/>
  <c r="AU1014" i="48"/>
  <c r="AU792" i="48"/>
  <c r="AU474" i="48"/>
  <c r="AU913" i="48"/>
  <c r="AU439" i="48"/>
  <c r="AU1219" i="48"/>
  <c r="AU997" i="48"/>
  <c r="AU294" i="48"/>
  <c r="AU791" i="48"/>
  <c r="AU122" i="48"/>
  <c r="AU939" i="48"/>
  <c r="AU150" i="48"/>
  <c r="AU1163" i="48"/>
  <c r="AU1148" i="48"/>
  <c r="AU840" i="48"/>
  <c r="AU648" i="48"/>
  <c r="AU1248" i="48"/>
  <c r="AU1172" i="48"/>
  <c r="AU815" i="48"/>
  <c r="AU775" i="48"/>
  <c r="AU470" i="48"/>
  <c r="AU769" i="48"/>
  <c r="AU1322" i="48"/>
  <c r="AU1045" i="48"/>
  <c r="AU589" i="48"/>
  <c r="AU1145" i="48"/>
  <c r="AU742" i="48"/>
  <c r="AU649" i="48"/>
  <c r="AU113" i="48"/>
  <c r="AU762" i="48"/>
  <c r="AU448" i="48"/>
  <c r="AU1339" i="48"/>
  <c r="AU922" i="48"/>
  <c r="AU1294" i="48"/>
  <c r="AU214" i="48"/>
  <c r="AU1063" i="48"/>
  <c r="AU425" i="48"/>
  <c r="AU936" i="48"/>
  <c r="AV936" i="48" s="1"/>
  <c r="AW936" i="48" s="1"/>
  <c r="AU340" i="48"/>
  <c r="AU491" i="48"/>
  <c r="AU1036" i="48"/>
  <c r="AV1036" i="48" s="1"/>
  <c r="AW1036" i="48" s="1"/>
  <c r="AU312" i="48"/>
  <c r="AU937" i="48"/>
  <c r="AU891" i="48"/>
  <c r="AU1020" i="48"/>
  <c r="AU886" i="48"/>
  <c r="AV886" i="48" s="1"/>
  <c r="AW886" i="48" s="1"/>
  <c r="AU489" i="48"/>
  <c r="AU64" i="48"/>
  <c r="AU72" i="48"/>
  <c r="AU911" i="48"/>
  <c r="AV911" i="48" s="1"/>
  <c r="AW911" i="48" s="1"/>
  <c r="AU447" i="48"/>
  <c r="AU62" i="48"/>
  <c r="AU486" i="48"/>
  <c r="AV486" i="48" s="1"/>
  <c r="AW486" i="48" s="1"/>
  <c r="AU93" i="48"/>
  <c r="AU65" i="48"/>
  <c r="AU186" i="48"/>
  <c r="AV186" i="48" s="1"/>
  <c r="AW186" i="48" s="1"/>
  <c r="AU63" i="48"/>
  <c r="AU600" i="48"/>
  <c r="AU623" i="48"/>
  <c r="AU194" i="48"/>
  <c r="AU1225" i="48"/>
  <c r="AU871" i="48"/>
  <c r="AU248" i="48"/>
  <c r="AU1236" i="48"/>
  <c r="AV1236" i="48" s="1"/>
  <c r="AW1236" i="48" s="1"/>
  <c r="AU973" i="48"/>
  <c r="AU1199" i="48"/>
  <c r="AU240" i="48"/>
  <c r="AU749" i="48"/>
  <c r="AU1071" i="48"/>
  <c r="AU473" i="48"/>
  <c r="AU436" i="48"/>
  <c r="AV436" i="48" s="1"/>
  <c r="AW436" i="48" s="1"/>
  <c r="AU1016" i="48"/>
  <c r="AU291" i="48"/>
  <c r="AU718" i="48"/>
  <c r="AU691" i="48"/>
  <c r="AU1048" i="48"/>
  <c r="AU366" i="48"/>
  <c r="AU174" i="48"/>
  <c r="AU1066" i="48"/>
  <c r="AU598" i="48"/>
  <c r="AU516" i="48"/>
  <c r="AU618" i="48"/>
  <c r="AU1214" i="48"/>
  <c r="AU690" i="48"/>
  <c r="AU847" i="48"/>
  <c r="AU124" i="48"/>
  <c r="AU1349" i="48"/>
  <c r="AU537" i="48"/>
  <c r="AU890" i="48"/>
  <c r="AU115" i="48"/>
  <c r="AU1164" i="48"/>
  <c r="AU513" i="48"/>
  <c r="AU748" i="48"/>
  <c r="AU1023" i="48"/>
  <c r="AU540" i="48"/>
  <c r="AU394" i="48"/>
  <c r="AU1190" i="48"/>
  <c r="AU1114" i="48"/>
  <c r="AU873" i="48"/>
  <c r="AU1238" i="48"/>
  <c r="AU912" i="48"/>
  <c r="AU546" i="48"/>
  <c r="AU1239" i="48"/>
  <c r="AU640" i="48"/>
  <c r="AU198" i="48"/>
  <c r="AU396" i="48"/>
  <c r="AU1141" i="48"/>
  <c r="AU1336" i="48"/>
  <c r="AV1336" i="48" s="1"/>
  <c r="AW1336" i="48" s="1"/>
  <c r="AU867" i="48"/>
  <c r="AU624" i="48"/>
  <c r="AU992" i="48"/>
  <c r="AU625" i="48"/>
  <c r="AU963" i="48"/>
  <c r="AU1297" i="48"/>
  <c r="AU1074" i="48"/>
  <c r="AU342" i="48"/>
  <c r="AU616" i="48"/>
  <c r="AU874" i="48"/>
  <c r="AU117" i="48"/>
  <c r="AU694" i="48"/>
  <c r="AU550" i="48"/>
  <c r="AU293" i="48"/>
  <c r="AU590" i="48"/>
  <c r="AU823" i="48"/>
  <c r="AU191" i="48"/>
  <c r="AU268" i="48"/>
  <c r="AU842" i="48"/>
  <c r="AU1337" i="48"/>
  <c r="AU1119" i="48"/>
  <c r="AU1162" i="48"/>
  <c r="AU714" i="48"/>
  <c r="AU1346" i="48"/>
  <c r="AU915" i="48"/>
  <c r="AU1100" i="48"/>
  <c r="AU288" i="48"/>
  <c r="AU1113" i="48"/>
  <c r="AU639" i="48"/>
  <c r="AU900" i="48"/>
  <c r="AU850" i="48"/>
  <c r="AU894" i="48"/>
  <c r="AU1188" i="48"/>
  <c r="AU948" i="48"/>
  <c r="AU324" i="48"/>
  <c r="AU722" i="48"/>
  <c r="AU445" i="48"/>
  <c r="AU1015" i="48"/>
  <c r="AU774" i="48"/>
  <c r="AU220" i="48"/>
  <c r="AU614" i="48"/>
  <c r="AU940" i="48"/>
  <c r="AU768" i="48"/>
  <c r="AU238" i="48"/>
  <c r="AU315" i="48"/>
  <c r="AU461" i="48"/>
  <c r="AV461" i="48" s="1"/>
  <c r="AW461" i="48" s="1"/>
  <c r="AU1111" i="48"/>
  <c r="AV1111" i="48" s="1"/>
  <c r="AW1111" i="48" s="1"/>
  <c r="AU145" i="48"/>
  <c r="AU148" i="48"/>
  <c r="AU1090" i="48"/>
  <c r="AU368" i="48"/>
  <c r="AU136" i="48"/>
  <c r="AV136" i="48" s="1"/>
  <c r="AW136" i="48" s="1"/>
  <c r="AU861" i="48"/>
  <c r="AV861" i="48" s="1"/>
  <c r="AW861" i="48" s="1"/>
  <c r="AU224" i="48"/>
  <c r="AU1290" i="48"/>
  <c r="AU811" i="48"/>
  <c r="AV811" i="48" s="1"/>
  <c r="AW811" i="48" s="1"/>
  <c r="AU162" i="48"/>
  <c r="AU97" i="48"/>
  <c r="AU696" i="48"/>
  <c r="AU389" i="48"/>
  <c r="AU644" i="48"/>
  <c r="AU1193" i="48"/>
  <c r="AU820" i="48"/>
  <c r="AU899" i="48"/>
  <c r="AU995" i="48"/>
  <c r="AU1338" i="48"/>
  <c r="AU996" i="48"/>
  <c r="AU898" i="48"/>
  <c r="AU711" i="48"/>
  <c r="AV711" i="48" s="1"/>
  <c r="AW711" i="48" s="1"/>
  <c r="AU848" i="48"/>
  <c r="AU938" i="48"/>
  <c r="AU622" i="48"/>
  <c r="AU1125" i="48"/>
  <c r="AU1047" i="48"/>
  <c r="AU88" i="48"/>
  <c r="AU521" i="48"/>
  <c r="AU1118" i="48"/>
  <c r="AU375" i="48"/>
  <c r="AU548" i="48"/>
  <c r="AU336" i="48"/>
  <c r="AV336" i="48" s="1"/>
  <c r="AW336" i="48" s="1"/>
  <c r="AU524" i="48"/>
  <c r="AU297" i="48"/>
  <c r="AU747" i="48"/>
  <c r="AU143" i="48"/>
  <c r="AU241" i="48"/>
  <c r="AU642" i="48"/>
  <c r="AU1267" i="48"/>
  <c r="AU1018" i="48"/>
  <c r="AU543" i="48"/>
  <c r="AU369" i="48"/>
  <c r="AU825" i="48"/>
  <c r="AU468" i="48"/>
  <c r="AU225" i="48"/>
  <c r="AU1024" i="48"/>
  <c r="AU1013" i="48"/>
  <c r="AU418" i="48"/>
  <c r="AU114" i="48"/>
  <c r="AU1092" i="48"/>
  <c r="AU1325" i="48"/>
  <c r="AU139" i="48"/>
  <c r="AU236" i="48"/>
  <c r="AV236" i="48" s="1"/>
  <c r="AW236" i="48" s="1"/>
  <c r="AU814" i="48"/>
  <c r="AU991" i="48"/>
  <c r="AU565" i="48"/>
  <c r="AU271" i="48"/>
  <c r="AU325" i="48"/>
  <c r="AU962" i="48"/>
  <c r="AU140" i="48"/>
  <c r="AU319" i="48"/>
  <c r="AU212" i="48"/>
  <c r="AU1120" i="48"/>
  <c r="AU262" i="48"/>
  <c r="AU965" i="48"/>
  <c r="AU613" i="48"/>
  <c r="AU1264" i="48"/>
  <c r="AU86" i="48"/>
  <c r="AV86" i="48" s="1"/>
  <c r="AW86" i="48" s="1"/>
  <c r="AU988" i="48"/>
  <c r="AU1170" i="48"/>
  <c r="AU942" i="48"/>
  <c r="AU824" i="48"/>
  <c r="AU246" i="48"/>
  <c r="AU839" i="48"/>
  <c r="AU1168" i="48"/>
  <c r="AU463" i="48"/>
  <c r="AU1039" i="48"/>
  <c r="AU1293" i="48"/>
  <c r="AU270" i="48"/>
  <c r="AU96" i="48"/>
  <c r="AU263" i="48"/>
  <c r="AU700" i="48"/>
  <c r="AU187" i="48"/>
  <c r="AU1265" i="48"/>
  <c r="AU966" i="48"/>
  <c r="AU211" i="48"/>
  <c r="AV211" i="48" s="1"/>
  <c r="AW211" i="48" s="1"/>
  <c r="AU442" i="48"/>
  <c r="AU100" i="48"/>
  <c r="AU499" i="48"/>
  <c r="AU462" i="48"/>
  <c r="AU249" i="48"/>
  <c r="AU1271" i="48"/>
  <c r="AU1315" i="48"/>
  <c r="AU66" i="48"/>
  <c r="AU686" i="48"/>
  <c r="AV686" i="48" s="1"/>
  <c r="AW686" i="48" s="1"/>
  <c r="AU44" i="48"/>
  <c r="AU46" i="48"/>
  <c r="AU472" i="48"/>
  <c r="AU697" i="48"/>
  <c r="AU43" i="48"/>
  <c r="AU514" i="48"/>
  <c r="AU39" i="48"/>
  <c r="AU49" i="48"/>
  <c r="AU42" i="48"/>
  <c r="AU250" i="48"/>
  <c r="AU38" i="48"/>
  <c r="AU73" i="48"/>
  <c r="AU67" i="48"/>
  <c r="AU450" i="48"/>
  <c r="AU243" i="48"/>
  <c r="AU645" i="48"/>
  <c r="AU216" i="48"/>
  <c r="AU166" i="48"/>
  <c r="AU466" i="48"/>
  <c r="AU1323" i="48"/>
  <c r="AU841" i="48"/>
  <c r="AU588" i="48"/>
  <c r="AU1173" i="48"/>
  <c r="AU895" i="48"/>
  <c r="AU541" i="48"/>
  <c r="AU713" i="48"/>
  <c r="AU741" i="48"/>
  <c r="AU341" i="48"/>
  <c r="AU274" i="48"/>
  <c r="AU566" i="48"/>
  <c r="AU91" i="48"/>
  <c r="AU199" i="48"/>
  <c r="AU698" i="48"/>
  <c r="AU266" i="48"/>
  <c r="AU172" i="48"/>
  <c r="AU990" i="48"/>
  <c r="AU1186" i="48"/>
  <c r="AV1186" i="48" s="1"/>
  <c r="AW1186" i="48" s="1"/>
  <c r="AU123" i="48"/>
  <c r="AU1348" i="48"/>
  <c r="AU411" i="48"/>
  <c r="AV411" i="48" s="1"/>
  <c r="AW411" i="48" s="1"/>
  <c r="AU346" i="48"/>
  <c r="AU987" i="48"/>
  <c r="AU1136" i="48"/>
  <c r="AV1136" i="48" s="1"/>
  <c r="AW1136" i="48" s="1"/>
  <c r="AU515" i="48"/>
  <c r="AU464" i="48"/>
  <c r="AU1299" i="48"/>
  <c r="AU440" i="48"/>
  <c r="AU974" i="48"/>
  <c r="AU247" i="48"/>
  <c r="AU746" i="48"/>
  <c r="AU786" i="48"/>
  <c r="AV786" i="48" s="1"/>
  <c r="AW786" i="48" s="1"/>
  <c r="AU87" i="48"/>
  <c r="AU195" i="48"/>
  <c r="AU1040" i="48"/>
  <c r="AU1192" i="48"/>
  <c r="AU647" i="48"/>
  <c r="AU993" i="48"/>
  <c r="AU592" i="48"/>
  <c r="AU1144" i="48"/>
  <c r="AU393" i="48"/>
  <c r="AU120" i="48"/>
  <c r="AU1347" i="48"/>
  <c r="AU1243" i="48"/>
  <c r="AU189" i="48"/>
  <c r="AU641" i="48"/>
  <c r="AU950" i="48"/>
  <c r="AU275" i="48"/>
  <c r="AU866" i="48"/>
  <c r="AU750" i="48"/>
  <c r="AU141" i="48"/>
  <c r="AU1017" i="48"/>
  <c r="AU498" i="48"/>
  <c r="AU167" i="48"/>
  <c r="AU168" i="48"/>
  <c r="AU1241" i="48"/>
  <c r="AU800" i="48"/>
  <c r="AU1142" i="48"/>
  <c r="AU693" i="48"/>
  <c r="AU1050" i="48"/>
  <c r="AU170" i="48"/>
  <c r="AU337" i="48"/>
  <c r="AU1070" i="48"/>
  <c r="AU1138" i="48"/>
  <c r="AU1115" i="48"/>
  <c r="AU817" i="48"/>
  <c r="AU736" i="48"/>
  <c r="AV736" i="48" s="1"/>
  <c r="AW736" i="48" s="1"/>
  <c r="AU121" i="48"/>
  <c r="AU371" i="48"/>
  <c r="AU1240" i="48"/>
  <c r="AU116" i="48"/>
  <c r="AU398" i="48"/>
  <c r="AU295" i="48"/>
  <c r="AU822" i="48"/>
  <c r="AU574" i="48"/>
  <c r="AU863" i="48"/>
  <c r="AU89" i="48"/>
  <c r="AU868" i="48"/>
  <c r="AU773" i="48"/>
  <c r="AU788" i="48"/>
  <c r="AU740" i="48"/>
  <c r="AU1249" i="48"/>
  <c r="AU1147" i="48"/>
  <c r="AU765" i="48"/>
  <c r="AU837" i="48"/>
  <c r="AU94" i="48"/>
  <c r="AU422" i="48"/>
  <c r="AU771" i="48"/>
  <c r="AU1086" i="48"/>
  <c r="AV1086" i="48" s="1"/>
  <c r="AW1086" i="48" s="1"/>
  <c r="AU1261" i="48"/>
  <c r="AV1261" i="48" s="1"/>
  <c r="AW1261" i="48" s="1"/>
  <c r="AU944" i="48"/>
  <c r="AU223" i="48"/>
  <c r="AU1289" i="48"/>
  <c r="AU812" i="48"/>
  <c r="AU163" i="48"/>
  <c r="AU98" i="48"/>
  <c r="AU695" i="48"/>
  <c r="AU390" i="48"/>
  <c r="AU643" i="48"/>
  <c r="AU1194" i="48"/>
  <c r="AU267" i="48"/>
  <c r="AU569" i="48"/>
  <c r="AU573" i="48"/>
  <c r="AU1295" i="48"/>
  <c r="AU1097" i="48"/>
  <c r="AU92" i="48"/>
  <c r="AU320" i="48"/>
  <c r="AU348" i="48"/>
  <c r="AU1072" i="48"/>
  <c r="AU1012" i="48"/>
  <c r="AU215" i="48"/>
  <c r="AU596" i="48"/>
  <c r="AU1117" i="48"/>
  <c r="AU343" i="48"/>
  <c r="AU200" i="48"/>
  <c r="AU446" i="48"/>
  <c r="AU298" i="48"/>
  <c r="AU388" i="48"/>
  <c r="AU146" i="48"/>
  <c r="AU1065" i="48"/>
  <c r="AU619" i="48"/>
  <c r="AU594" i="48"/>
  <c r="AU239" i="48"/>
  <c r="AU1150" i="48"/>
  <c r="AU1169" i="48"/>
  <c r="AU819" i="48"/>
  <c r="AU567" i="48"/>
  <c r="AU1317" i="48"/>
  <c r="AU367" i="48"/>
  <c r="AU1049" i="48"/>
  <c r="AU821" i="48"/>
  <c r="AU395" i="48"/>
  <c r="AU222" i="48"/>
  <c r="AU745" i="48"/>
  <c r="AU289" i="48"/>
  <c r="AU1171" i="48"/>
  <c r="AU816" i="48"/>
  <c r="AU373" i="48"/>
  <c r="AU1222" i="48"/>
  <c r="AU1237" i="48"/>
  <c r="AU492" i="48"/>
  <c r="AU1275" i="48"/>
  <c r="AU1137" i="48"/>
  <c r="AU715" i="48"/>
  <c r="AU494" i="48"/>
  <c r="AU887" i="48"/>
  <c r="AU161" i="48"/>
  <c r="AV161" i="48" s="1"/>
  <c r="AW161" i="48" s="1"/>
  <c r="AU387" i="48"/>
  <c r="AU519" i="48"/>
  <c r="AU1088" i="48"/>
  <c r="AU244" i="48"/>
  <c r="AU764" i="48"/>
  <c r="AU723" i="48"/>
  <c r="AU1324" i="48"/>
  <c r="AU646" i="48"/>
  <c r="AU796" i="48"/>
  <c r="AU112" i="48"/>
  <c r="AU164" i="48"/>
  <c r="AU197" i="48"/>
  <c r="AU264" i="48"/>
  <c r="AU919" i="48"/>
  <c r="AU761" i="48"/>
  <c r="AV761" i="48" s="1"/>
  <c r="AW761" i="48" s="1"/>
  <c r="AU1314" i="48"/>
  <c r="AU972" i="48"/>
  <c r="AU265" i="48"/>
  <c r="AU1211" i="48"/>
  <c r="AV1211" i="48" s="1"/>
  <c r="AW1211" i="48" s="1"/>
  <c r="AU892" i="48"/>
  <c r="AU989" i="48"/>
  <c r="AU975" i="48"/>
  <c r="AU587" i="48"/>
  <c r="AU1149" i="48"/>
  <c r="AU586" i="48"/>
  <c r="AV586" i="48" s="1"/>
  <c r="AW586" i="48" s="1"/>
  <c r="AU218" i="48"/>
  <c r="AU870" i="48"/>
  <c r="AU61" i="48"/>
  <c r="AV61" i="48" s="1"/>
  <c r="AW61" i="48" s="1"/>
  <c r="AU74" i="48"/>
  <c r="AU1272" i="48"/>
  <c r="AU918" i="48"/>
  <c r="AU572" i="48"/>
  <c r="AU50" i="48"/>
  <c r="AU68" i="48"/>
  <c r="AU469" i="48"/>
  <c r="AU47" i="48"/>
  <c r="AU1019" i="48"/>
  <c r="AU363" i="48"/>
  <c r="AU345" i="48"/>
  <c r="AU818" i="48"/>
  <c r="AU1316" i="48"/>
  <c r="AU1046" i="48"/>
  <c r="AU1061" i="48"/>
  <c r="AV1061" i="48" s="1"/>
  <c r="AW1061" i="48" s="1"/>
  <c r="AU1218" i="48"/>
  <c r="AU399" i="48"/>
  <c r="AU916" i="48"/>
  <c r="AU414" i="48"/>
  <c r="AU844" i="48"/>
  <c r="AU636" i="48"/>
  <c r="AV636" i="48" s="1"/>
  <c r="AW636" i="48" s="1"/>
  <c r="AU111" i="48"/>
  <c r="AV111" i="48" s="1"/>
  <c r="AW111" i="48" s="1"/>
  <c r="AU471" i="48"/>
  <c r="AU374" i="48"/>
  <c r="AU793" i="48"/>
  <c r="AU1073" i="48"/>
  <c r="AU349" i="48"/>
  <c r="AU493" i="48"/>
  <c r="AU1266" i="48"/>
  <c r="AU443" i="48"/>
  <c r="AU299" i="48"/>
  <c r="AU591" i="48"/>
  <c r="AU391" i="48"/>
  <c r="AU943" i="48"/>
  <c r="AU1273" i="48"/>
  <c r="AU1099" i="48"/>
  <c r="AU1116" i="48"/>
  <c r="AU1216" i="48"/>
  <c r="AU415" i="48"/>
  <c r="AU737" i="48"/>
  <c r="AU888" i="48"/>
  <c r="AU1174" i="48"/>
  <c r="AU449" i="48"/>
  <c r="AU169" i="48"/>
  <c r="AU947" i="48"/>
  <c r="AU921" i="48"/>
  <c r="AU420" i="48"/>
  <c r="AU1340" i="48"/>
  <c r="AU165" i="48"/>
  <c r="AU1298" i="48"/>
  <c r="AU441" i="48"/>
  <c r="AU523" i="48"/>
  <c r="AU1038" i="48"/>
  <c r="AU1121" i="48"/>
  <c r="AU511" i="48"/>
  <c r="AV511" i="48" s="1"/>
  <c r="AW511" i="48" s="1"/>
  <c r="AU571" i="48"/>
  <c r="AU245" i="48"/>
  <c r="AU1220" i="48"/>
  <c r="AU287" i="48"/>
  <c r="AU213" i="48"/>
  <c r="AU338" i="48"/>
  <c r="AU617" i="48"/>
  <c r="AU564" i="48"/>
  <c r="AU1139" i="48"/>
  <c r="AU968" i="48"/>
  <c r="AU971" i="48"/>
  <c r="AU1320" i="48"/>
  <c r="AU217" i="48"/>
  <c r="AU650" i="48"/>
  <c r="AU1187" i="48"/>
  <c r="AU190" i="48"/>
  <c r="AU149" i="48"/>
  <c r="AU269" i="48"/>
  <c r="AU192" i="48"/>
  <c r="AU917" i="48"/>
  <c r="AU799" i="48"/>
  <c r="AU716" i="48"/>
  <c r="AU175" i="48"/>
  <c r="AU1242" i="48"/>
  <c r="AU1093" i="48"/>
  <c r="AU717" i="48"/>
  <c r="AU549" i="48"/>
  <c r="AU1143" i="48"/>
  <c r="AU1300" i="48"/>
  <c r="AU412" i="48"/>
  <c r="AU544" i="48"/>
  <c r="AU512" i="48"/>
  <c r="AU563" i="48"/>
  <c r="AU397" i="48"/>
  <c r="AU522" i="48"/>
  <c r="AU568" i="48"/>
  <c r="AU1067" i="48"/>
  <c r="AU119" i="48"/>
  <c r="AU188" i="48"/>
  <c r="AU896" i="48"/>
  <c r="AU173" i="48"/>
  <c r="AU941" i="48"/>
  <c r="AU1286" i="48"/>
  <c r="AV1286" i="48" s="1"/>
  <c r="AW1286" i="48" s="1"/>
  <c r="AU538" i="48"/>
  <c r="AU945" i="48"/>
  <c r="AU290" i="48"/>
  <c r="AU611" i="48"/>
  <c r="AV611" i="48" s="1"/>
  <c r="AW611" i="48" s="1"/>
  <c r="AU797" i="48"/>
  <c r="AU1269" i="48"/>
  <c r="AU869" i="48"/>
  <c r="AU688" i="48"/>
  <c r="AU421" i="48"/>
  <c r="AU739" i="48"/>
  <c r="AU893" i="48"/>
  <c r="AU961" i="48"/>
  <c r="AV961" i="48" s="1"/>
  <c r="AW961" i="48" s="1"/>
  <c r="AU1146" i="48"/>
  <c r="AU766" i="48"/>
  <c r="AU386" i="48"/>
  <c r="AV386" i="48" s="1"/>
  <c r="AW386" i="48" s="1"/>
  <c r="AU836" i="48"/>
  <c r="AV836" i="48" s="1"/>
  <c r="AW836" i="48" s="1"/>
  <c r="AU95" i="48"/>
  <c r="AU423" i="48"/>
  <c r="AU1343" i="48"/>
  <c r="AU1262" i="48"/>
  <c r="AU1244" i="48"/>
  <c r="AU1095" i="48"/>
  <c r="AU317" i="48"/>
  <c r="AU1123" i="48"/>
  <c r="AU637" i="48"/>
  <c r="AU719" i="48"/>
  <c r="AU1196" i="48"/>
  <c r="AU924" i="48"/>
  <c r="AU743" i="48"/>
  <c r="AU1217" i="48"/>
  <c r="AU242" i="48"/>
  <c r="AU1319" i="48"/>
  <c r="AU444" i="48"/>
  <c r="AU362" i="48"/>
  <c r="AU438" i="48"/>
  <c r="AU1089" i="48"/>
  <c r="AU1250" i="48"/>
  <c r="AU1344" i="48"/>
  <c r="AU770" i="48"/>
  <c r="AU772" i="48"/>
  <c r="AU542" i="48"/>
  <c r="AU1195" i="48"/>
  <c r="AU692" i="48"/>
  <c r="AU1270" i="48"/>
  <c r="AU1044" i="48"/>
  <c r="AU967" i="48"/>
  <c r="AU292" i="48"/>
  <c r="AU575" i="48"/>
  <c r="AU721" i="48"/>
  <c r="AU561" i="48"/>
  <c r="AV561" i="48" s="1"/>
  <c r="AW561" i="48" s="1"/>
  <c r="AU999" i="48"/>
  <c r="AU339" i="48"/>
  <c r="AU547" i="48"/>
  <c r="AU725" i="48"/>
  <c r="AU321" i="48"/>
  <c r="AU286" i="48"/>
  <c r="AV286" i="48" s="1"/>
  <c r="AW286" i="48" s="1"/>
  <c r="AU424" i="48"/>
  <c r="AU500" i="48"/>
  <c r="AU599" i="48"/>
  <c r="AU949" i="48"/>
  <c r="AU517" i="48"/>
  <c r="AU1175" i="48"/>
  <c r="AU539" i="48"/>
  <c r="AU845" i="48"/>
  <c r="AU497" i="48"/>
  <c r="AU1198" i="48"/>
  <c r="AU846" i="48"/>
  <c r="AU789" i="48"/>
  <c r="AU364" i="48"/>
  <c r="AU1166" i="48"/>
  <c r="AU1274" i="48"/>
  <c r="AU322" i="48"/>
  <c r="AU1321" i="48"/>
  <c r="AU969" i="48"/>
  <c r="AU361" i="48"/>
  <c r="AV361" i="48" s="1"/>
  <c r="AW361" i="48" s="1"/>
  <c r="AU597" i="48"/>
  <c r="AU1165" i="48"/>
  <c r="AU525" i="48"/>
  <c r="AU545" i="48"/>
  <c r="AU1087" i="48"/>
  <c r="AV1087" i="48" s="1"/>
  <c r="AU536" i="48"/>
  <c r="AV536" i="48" s="1"/>
  <c r="AW536" i="48" s="1"/>
  <c r="AU570" i="48"/>
  <c r="AU1246" i="48"/>
  <c r="AU794" i="48"/>
  <c r="AU314" i="48"/>
  <c r="AU1098" i="48"/>
  <c r="AU520" i="48"/>
  <c r="AU920" i="48"/>
  <c r="AU946" i="48"/>
  <c r="AU1041" i="48"/>
  <c r="AU437" i="48"/>
  <c r="AU689" i="48"/>
  <c r="AU1042" i="48"/>
  <c r="AU495" i="48"/>
  <c r="AU712" i="48"/>
  <c r="AU1342" i="48"/>
  <c r="AU1215" i="48"/>
  <c r="AU490" i="48"/>
  <c r="AU273" i="48"/>
  <c r="AU1011" i="48"/>
  <c r="AV1011" i="48" s="1"/>
  <c r="AW1011" i="48" s="1"/>
  <c r="AU872" i="48"/>
  <c r="AU311" i="48"/>
  <c r="AV311" i="48" s="1"/>
  <c r="AW311" i="48" s="1"/>
  <c r="AU1037" i="48"/>
  <c r="AU261" i="48"/>
  <c r="AV261" i="48" s="1"/>
  <c r="AW261" i="48" s="1"/>
  <c r="AU465" i="48"/>
  <c r="AU90" i="48"/>
  <c r="AU41" i="48"/>
  <c r="AU1122" i="48"/>
  <c r="AU313" i="48"/>
  <c r="AU71" i="48"/>
  <c r="AU70" i="48"/>
  <c r="AU48" i="48"/>
  <c r="AU45" i="48"/>
  <c r="AU37" i="48"/>
  <c r="AU75" i="48"/>
  <c r="AU69" i="48"/>
  <c r="AU986" i="48"/>
  <c r="AV986" i="48" s="1"/>
  <c r="AW986" i="48" s="1"/>
  <c r="AU221" i="48"/>
  <c r="AU620" i="48"/>
  <c r="AU970" i="48"/>
  <c r="AU118" i="48"/>
  <c r="AU1263" i="48"/>
  <c r="AV37" i="48" l="1"/>
  <c r="AW37" i="48" s="1"/>
  <c r="AV787" i="48"/>
  <c r="AV788" i="48" s="1"/>
  <c r="AV789" i="48" s="1"/>
  <c r="AV737" i="48"/>
  <c r="AV738" i="48" s="1"/>
  <c r="AW738" i="48" s="1"/>
  <c r="AV237" i="48"/>
  <c r="AW237" i="48" s="1"/>
  <c r="AV1112" i="48"/>
  <c r="AW1112" i="48" s="1"/>
  <c r="AV687" i="48"/>
  <c r="AW687" i="48" s="1"/>
  <c r="AV1137" i="48"/>
  <c r="AV1138" i="48" s="1"/>
  <c r="AV1139" i="48" s="1"/>
  <c r="AV862" i="48"/>
  <c r="AV863" i="48" s="1"/>
  <c r="AW863" i="48" s="1"/>
  <c r="AV1037" i="48"/>
  <c r="AW1037" i="48" s="1"/>
  <c r="AV712" i="48"/>
  <c r="AV713" i="48" s="1"/>
  <c r="AV714" i="48" s="1"/>
  <c r="AV112" i="48"/>
  <c r="AW112" i="48" s="1"/>
  <c r="AV637" i="48"/>
  <c r="AW637" i="48" s="1"/>
  <c r="AV887" i="48"/>
  <c r="AW887" i="48" s="1"/>
  <c r="AV462" i="48"/>
  <c r="AW462" i="48" s="1"/>
  <c r="AV937" i="48"/>
  <c r="AW937" i="48" s="1"/>
  <c r="AV437" i="48"/>
  <c r="AW437" i="48" s="1"/>
  <c r="AV412" i="48"/>
  <c r="AV413" i="48" s="1"/>
  <c r="AW413" i="48" s="1"/>
  <c r="AV387" i="48"/>
  <c r="AV388" i="48" s="1"/>
  <c r="AV389" i="48" s="1"/>
  <c r="AV87" i="48"/>
  <c r="AW87" i="48" s="1"/>
  <c r="AV1088" i="48"/>
  <c r="AW1088" i="48" s="1"/>
  <c r="AV1262" i="48"/>
  <c r="AV1263" i="48" s="1"/>
  <c r="AV1187" i="48"/>
  <c r="AV1188" i="48" s="1"/>
  <c r="AV1189" i="48" s="1"/>
  <c r="AV337" i="48"/>
  <c r="AW337" i="48" s="1"/>
  <c r="AV1162" i="48"/>
  <c r="AV512" i="48"/>
  <c r="AW512" i="48" s="1"/>
  <c r="AV812" i="48"/>
  <c r="AW812" i="48" s="1"/>
  <c r="AV1337" i="48"/>
  <c r="AV1338" i="48" s="1"/>
  <c r="AW1338" i="48" s="1"/>
  <c r="AV137" i="48"/>
  <c r="AV138" i="48" s="1"/>
  <c r="AW138" i="48" s="1"/>
  <c r="AV362" i="48"/>
  <c r="AW362" i="48" s="1"/>
  <c r="AV1287" i="48"/>
  <c r="AV1288" i="48" s="1"/>
  <c r="AV1289" i="48" s="1"/>
  <c r="AV62" i="48"/>
  <c r="AW62" i="48" s="1"/>
  <c r="AV962" i="48"/>
  <c r="AV963" i="48" s="1"/>
  <c r="AV964" i="48" s="1"/>
  <c r="AV612" i="48"/>
  <c r="AV837" i="48"/>
  <c r="AW837" i="48" s="1"/>
  <c r="AV262" i="48"/>
  <c r="AW262" i="48" s="1"/>
  <c r="AW1087" i="48"/>
  <c r="AV312" i="48"/>
  <c r="AV313" i="48" s="1"/>
  <c r="AW313" i="48" s="1"/>
  <c r="AV287" i="48"/>
  <c r="AV162" i="48"/>
  <c r="AV587" i="48"/>
  <c r="AV1237" i="48"/>
  <c r="AV1012" i="48"/>
  <c r="AV762" i="48"/>
  <c r="AV212" i="48"/>
  <c r="AV912" i="48"/>
  <c r="AV1312" i="48"/>
  <c r="AV562" i="48"/>
  <c r="AV987" i="48"/>
  <c r="AV187" i="48"/>
  <c r="AV537" i="48"/>
  <c r="AV487" i="48"/>
  <c r="AV1212" i="48"/>
  <c r="AV1062" i="48"/>
  <c r="AV38" i="48" l="1"/>
  <c r="AW38" i="48" s="1"/>
  <c r="AW737" i="48"/>
  <c r="AW788" i="48"/>
  <c r="AW787" i="48"/>
  <c r="AW1137" i="48"/>
  <c r="AV1113" i="48"/>
  <c r="AW1113" i="48" s="1"/>
  <c r="AV238" i="48"/>
  <c r="AW238" i="48" s="1"/>
  <c r="AW1138" i="48"/>
  <c r="AV1038" i="48"/>
  <c r="AW1038" i="48" s="1"/>
  <c r="AV638" i="48"/>
  <c r="AV639" i="48" s="1"/>
  <c r="AW639" i="48" s="1"/>
  <c r="AV888" i="48"/>
  <c r="AV889" i="48" s="1"/>
  <c r="AW889" i="48" s="1"/>
  <c r="AW388" i="48"/>
  <c r="AV938" i="48"/>
  <c r="AW938" i="48" s="1"/>
  <c r="AW387" i="48"/>
  <c r="AV113" i="48"/>
  <c r="AV114" i="48" s="1"/>
  <c r="AV115" i="48" s="1"/>
  <c r="AV463" i="48"/>
  <c r="AV464" i="48" s="1"/>
  <c r="AW464" i="48" s="1"/>
  <c r="AW862" i="48"/>
  <c r="AV688" i="48"/>
  <c r="AV689" i="48" s="1"/>
  <c r="AV690" i="48" s="1"/>
  <c r="AV513" i="48"/>
  <c r="AV514" i="48" s="1"/>
  <c r="AV515" i="48" s="1"/>
  <c r="AV438" i="48"/>
  <c r="AV439" i="48" s="1"/>
  <c r="AW439" i="48" s="1"/>
  <c r="AW137" i="48"/>
  <c r="AV139" i="48"/>
  <c r="AW139" i="48" s="1"/>
  <c r="AW1188" i="48"/>
  <c r="AW1187" i="48"/>
  <c r="AW713" i="48"/>
  <c r="AW712" i="48"/>
  <c r="AV88" i="48"/>
  <c r="AW88" i="48" s="1"/>
  <c r="AV864" i="48"/>
  <c r="AW864" i="48" s="1"/>
  <c r="AV838" i="48"/>
  <c r="AV839" i="48" s="1"/>
  <c r="AW839" i="48" s="1"/>
  <c r="AW1288" i="48"/>
  <c r="AV414" i="48"/>
  <c r="AV415" i="48" s="1"/>
  <c r="AV1089" i="48"/>
  <c r="AV1090" i="48" s="1"/>
  <c r="AW412" i="48"/>
  <c r="AV338" i="48"/>
  <c r="AW963" i="48"/>
  <c r="AV813" i="48"/>
  <c r="AV814" i="48" s="1"/>
  <c r="AV815" i="48" s="1"/>
  <c r="AW1263" i="48"/>
  <c r="AV1264" i="48"/>
  <c r="AW1264" i="48" s="1"/>
  <c r="AV1339" i="48"/>
  <c r="AV1340" i="48" s="1"/>
  <c r="AW1262" i="48"/>
  <c r="AV363" i="48"/>
  <c r="AW363" i="48" s="1"/>
  <c r="AW1162" i="48"/>
  <c r="AV1163" i="48"/>
  <c r="AW962" i="48"/>
  <c r="AW1337" i="48"/>
  <c r="AV63" i="48"/>
  <c r="AW63" i="48" s="1"/>
  <c r="AW1287" i="48"/>
  <c r="AV263" i="48"/>
  <c r="AV314" i="48"/>
  <c r="AW314" i="48" s="1"/>
  <c r="AV739" i="48"/>
  <c r="AV740" i="48" s="1"/>
  <c r="AW612" i="48"/>
  <c r="AV613" i="48"/>
  <c r="AW312" i="48"/>
  <c r="AV1063" i="48"/>
  <c r="AW1062" i="48"/>
  <c r="AV188" i="48"/>
  <c r="AW187" i="48"/>
  <c r="AV913" i="48"/>
  <c r="AW912" i="48"/>
  <c r="AW1212" i="48"/>
  <c r="AV1213" i="48"/>
  <c r="AW987" i="48"/>
  <c r="AV988" i="48"/>
  <c r="AV213" i="48"/>
  <c r="AW212" i="48"/>
  <c r="AV588" i="48"/>
  <c r="AW587" i="48"/>
  <c r="AV488" i="48"/>
  <c r="AW487" i="48"/>
  <c r="AW562" i="48"/>
  <c r="AV563" i="48"/>
  <c r="AV763" i="48"/>
  <c r="AW762" i="48"/>
  <c r="AV163" i="48"/>
  <c r="AW162" i="48"/>
  <c r="AW1237" i="48"/>
  <c r="AV1238" i="48"/>
  <c r="AW537" i="48"/>
  <c r="AV538" i="48"/>
  <c r="AV1313" i="48"/>
  <c r="AW1312" i="48"/>
  <c r="AW1012" i="48"/>
  <c r="AV1013" i="48"/>
  <c r="AV288" i="48"/>
  <c r="AW287" i="48"/>
  <c r="AV390" i="48"/>
  <c r="AW389" i="48"/>
  <c r="AV1190" i="48"/>
  <c r="AW1189" i="48"/>
  <c r="AW714" i="48"/>
  <c r="AV715" i="48"/>
  <c r="AV1290" i="48"/>
  <c r="AW1289" i="48"/>
  <c r="AV1140" i="48"/>
  <c r="AW1139" i="48"/>
  <c r="AV790" i="48"/>
  <c r="AW789" i="48"/>
  <c r="AW964" i="48"/>
  <c r="AV965" i="48"/>
  <c r="AV39" i="48" l="1"/>
  <c r="AV40" i="48" s="1"/>
  <c r="AV41" i="48" s="1"/>
  <c r="AV1114" i="48"/>
  <c r="AW1114" i="48" s="1"/>
  <c r="AV640" i="48"/>
  <c r="AV641" i="48" s="1"/>
  <c r="AW688" i="48"/>
  <c r="AV1039" i="48"/>
  <c r="AW1039" i="48" s="1"/>
  <c r="AV239" i="48"/>
  <c r="AV240" i="48" s="1"/>
  <c r="AV241" i="48" s="1"/>
  <c r="AV890" i="48"/>
  <c r="AW890" i="48" s="1"/>
  <c r="AW638" i="48"/>
  <c r="AW514" i="48"/>
  <c r="AW888" i="48"/>
  <c r="AW114" i="48"/>
  <c r="AV140" i="48"/>
  <c r="AV141" i="48" s="1"/>
  <c r="AW113" i="48"/>
  <c r="AW463" i="48"/>
  <c r="AV465" i="48"/>
  <c r="AV466" i="48" s="1"/>
  <c r="AV440" i="48"/>
  <c r="AW440" i="48" s="1"/>
  <c r="AW438" i="48"/>
  <c r="AV939" i="48"/>
  <c r="AV940" i="48" s="1"/>
  <c r="AW940" i="48" s="1"/>
  <c r="AW689" i="48"/>
  <c r="AW513" i="48"/>
  <c r="AW739" i="48"/>
  <c r="AW814" i="48"/>
  <c r="AV89" i="48"/>
  <c r="AV90" i="48" s="1"/>
  <c r="AV91" i="48" s="1"/>
  <c r="AV865" i="48"/>
  <c r="AW865" i="48" s="1"/>
  <c r="AW813" i="48"/>
  <c r="AV315" i="48"/>
  <c r="AW315" i="48" s="1"/>
  <c r="AV840" i="48"/>
  <c r="AV841" i="48" s="1"/>
  <c r="AW414" i="48"/>
  <c r="AW838" i="48"/>
  <c r="AV64" i="48"/>
  <c r="AW64" i="48" s="1"/>
  <c r="AW1089" i="48"/>
  <c r="AW1339" i="48"/>
  <c r="AV1265" i="48"/>
  <c r="AV1266" i="48" s="1"/>
  <c r="AW338" i="48"/>
  <c r="AV339" i="48"/>
  <c r="AV364" i="48"/>
  <c r="AW364" i="48" s="1"/>
  <c r="AW263" i="48"/>
  <c r="AV264" i="48"/>
  <c r="AW1163" i="48"/>
  <c r="AV1164" i="48"/>
  <c r="AV614" i="48"/>
  <c r="AW613" i="48"/>
  <c r="AW288" i="48"/>
  <c r="AV289" i="48"/>
  <c r="AV1314" i="48"/>
  <c r="AW1313" i="48"/>
  <c r="AW763" i="48"/>
  <c r="AV764" i="48"/>
  <c r="AW488" i="48"/>
  <c r="AV489" i="48"/>
  <c r="AV214" i="48"/>
  <c r="AW213" i="48"/>
  <c r="AV539" i="48"/>
  <c r="AW538" i="48"/>
  <c r="AW563" i="48"/>
  <c r="AV564" i="48"/>
  <c r="AW988" i="48"/>
  <c r="AV989" i="48"/>
  <c r="AV164" i="48"/>
  <c r="AW163" i="48"/>
  <c r="AW588" i="48"/>
  <c r="AV589" i="48"/>
  <c r="AV1014" i="48"/>
  <c r="AW1013" i="48"/>
  <c r="AW188" i="48"/>
  <c r="AV189" i="48"/>
  <c r="AW1238" i="48"/>
  <c r="AV1239" i="48"/>
  <c r="AW1213" i="48"/>
  <c r="AV1214" i="48"/>
  <c r="AV914" i="48"/>
  <c r="AW913" i="48"/>
  <c r="AW1063" i="48"/>
  <c r="AV1064" i="48"/>
  <c r="AW965" i="48"/>
  <c r="AV966" i="48"/>
  <c r="AW40" i="48"/>
  <c r="AV816" i="48"/>
  <c r="AW815" i="48"/>
  <c r="AW715" i="48"/>
  <c r="AV716" i="48"/>
  <c r="AV516" i="48"/>
  <c r="AW515" i="48"/>
  <c r="AV791" i="48"/>
  <c r="AW790" i="48"/>
  <c r="AV1141" i="48"/>
  <c r="AW1140" i="48"/>
  <c r="AV1291" i="48"/>
  <c r="AW1290" i="48"/>
  <c r="AV1191" i="48"/>
  <c r="AW1190" i="48"/>
  <c r="AW390" i="48"/>
  <c r="AV391" i="48"/>
  <c r="AW1090" i="48"/>
  <c r="AV1091" i="48"/>
  <c r="AW1340" i="48"/>
  <c r="AV1341" i="48"/>
  <c r="AW415" i="48"/>
  <c r="AV416" i="48"/>
  <c r="AV116" i="48"/>
  <c r="AW115" i="48"/>
  <c r="AW690" i="48"/>
  <c r="AV691" i="48"/>
  <c r="AW740" i="48"/>
  <c r="AV741" i="48"/>
  <c r="AW39" i="48" l="1"/>
  <c r="AV1115" i="48"/>
  <c r="AW1115" i="48" s="1"/>
  <c r="AW640" i="48"/>
  <c r="AV441" i="48"/>
  <c r="AW441" i="48" s="1"/>
  <c r="AW240" i="48"/>
  <c r="AW239" i="48"/>
  <c r="AV891" i="48"/>
  <c r="AW891" i="48" s="1"/>
  <c r="AV1040" i="48"/>
  <c r="AW1040" i="48" s="1"/>
  <c r="AW939" i="48"/>
  <c r="AV941" i="48"/>
  <c r="AV942" i="48" s="1"/>
  <c r="AW140" i="48"/>
  <c r="AW465" i="48"/>
  <c r="AW90" i="48"/>
  <c r="AW89" i="48"/>
  <c r="AV866" i="48"/>
  <c r="AV867" i="48" s="1"/>
  <c r="AV316" i="48"/>
  <c r="AW316" i="48" s="1"/>
  <c r="AW840" i="48"/>
  <c r="AW1265" i="48"/>
  <c r="AV65" i="48"/>
  <c r="AW339" i="48"/>
  <c r="AV340" i="48"/>
  <c r="AV365" i="48"/>
  <c r="AV1165" i="48"/>
  <c r="AW1164" i="48"/>
  <c r="AV265" i="48"/>
  <c r="AW264" i="48"/>
  <c r="AW614" i="48"/>
  <c r="AV615" i="48"/>
  <c r="AW1064" i="48"/>
  <c r="AV1065" i="48"/>
  <c r="AV1215" i="48"/>
  <c r="AW1214" i="48"/>
  <c r="AV190" i="48"/>
  <c r="AW189" i="48"/>
  <c r="AW589" i="48"/>
  <c r="AV590" i="48"/>
  <c r="AV990" i="48"/>
  <c r="AW989" i="48"/>
  <c r="AW489" i="48"/>
  <c r="AV490" i="48"/>
  <c r="AW539" i="48"/>
  <c r="AV540" i="48"/>
  <c r="AV1315" i="48"/>
  <c r="AW1314" i="48"/>
  <c r="AV1240" i="48"/>
  <c r="AW1239" i="48"/>
  <c r="AV565" i="48"/>
  <c r="AW564" i="48"/>
  <c r="AW764" i="48"/>
  <c r="AV765" i="48"/>
  <c r="AV290" i="48"/>
  <c r="AW289" i="48"/>
  <c r="AW914" i="48"/>
  <c r="AV915" i="48"/>
  <c r="AV1015" i="48"/>
  <c r="AW1014" i="48"/>
  <c r="AV165" i="48"/>
  <c r="AW164" i="48"/>
  <c r="AV215" i="48"/>
  <c r="AW214" i="48"/>
  <c r="AV742" i="48"/>
  <c r="AW741" i="48"/>
  <c r="AW416" i="48"/>
  <c r="AV417" i="48"/>
  <c r="AV1342" i="48"/>
  <c r="AW1341" i="48"/>
  <c r="AW1266" i="48"/>
  <c r="AV1267" i="48"/>
  <c r="AV392" i="48"/>
  <c r="AW391" i="48"/>
  <c r="AW1141" i="48"/>
  <c r="AV1142" i="48"/>
  <c r="AW516" i="48"/>
  <c r="AV517" i="48"/>
  <c r="AW116" i="48"/>
  <c r="AV117" i="48"/>
  <c r="AW641" i="48"/>
  <c r="AV642" i="48"/>
  <c r="AW141" i="48"/>
  <c r="AV142" i="48"/>
  <c r="AV842" i="48"/>
  <c r="AW841" i="48"/>
  <c r="AW41" i="48"/>
  <c r="AV42" i="48"/>
  <c r="AV692" i="48"/>
  <c r="AW691" i="48"/>
  <c r="AV1092" i="48"/>
  <c r="AW1091" i="48"/>
  <c r="AW1291" i="48"/>
  <c r="AV1292" i="48"/>
  <c r="AW791" i="48"/>
  <c r="AV792" i="48"/>
  <c r="AW816" i="48"/>
  <c r="AV817" i="48"/>
  <c r="AW91" i="48"/>
  <c r="AV92" i="48"/>
  <c r="AW466" i="48"/>
  <c r="AV467" i="48"/>
  <c r="AV1192" i="48"/>
  <c r="AW1191" i="48"/>
  <c r="AW716" i="48"/>
  <c r="AV717" i="48"/>
  <c r="AW966" i="48"/>
  <c r="AV967" i="48"/>
  <c r="AW241" i="48"/>
  <c r="AV242" i="48"/>
  <c r="AV1116" i="48" l="1"/>
  <c r="AW1116" i="48" s="1"/>
  <c r="AV442" i="48"/>
  <c r="AW442" i="48" s="1"/>
  <c r="AW866" i="48"/>
  <c r="AV892" i="48"/>
  <c r="AW892" i="48" s="1"/>
  <c r="AW941" i="48"/>
  <c r="AV1041" i="48"/>
  <c r="AV1042" i="48" s="1"/>
  <c r="AW1042" i="48" s="1"/>
  <c r="AV317" i="48"/>
  <c r="AW317" i="48" s="1"/>
  <c r="AW65" i="48"/>
  <c r="AV66" i="48"/>
  <c r="AV341" i="48"/>
  <c r="AW340" i="48"/>
  <c r="AV366" i="48"/>
  <c r="AW365" i="48"/>
  <c r="AW265" i="48"/>
  <c r="AV266" i="48"/>
  <c r="AV1166" i="48"/>
  <c r="AW1165" i="48"/>
  <c r="AW615" i="48"/>
  <c r="AV616" i="48"/>
  <c r="AV491" i="48"/>
  <c r="AW490" i="48"/>
  <c r="AW215" i="48"/>
  <c r="AV216" i="48"/>
  <c r="AV1016" i="48"/>
  <c r="AW1015" i="48"/>
  <c r="AW565" i="48"/>
  <c r="AV566" i="48"/>
  <c r="AW1315" i="48"/>
  <c r="AV1316" i="48"/>
  <c r="AW915" i="48"/>
  <c r="AV916" i="48"/>
  <c r="AW765" i="48"/>
  <c r="AV766" i="48"/>
  <c r="AW540" i="48"/>
  <c r="AV541" i="48"/>
  <c r="AV1066" i="48"/>
  <c r="AW1065" i="48"/>
  <c r="AV591" i="48"/>
  <c r="AW590" i="48"/>
  <c r="AW290" i="48"/>
  <c r="AV291" i="48"/>
  <c r="AW1215" i="48"/>
  <c r="AV1216" i="48"/>
  <c r="AV166" i="48"/>
  <c r="AW165" i="48"/>
  <c r="AW1240" i="48"/>
  <c r="AV1241" i="48"/>
  <c r="AW990" i="48"/>
  <c r="AV991" i="48"/>
  <c r="AV191" i="48"/>
  <c r="AW190" i="48"/>
  <c r="AW1192" i="48"/>
  <c r="AV1193" i="48"/>
  <c r="AW692" i="48"/>
  <c r="AV693" i="48"/>
  <c r="AV393" i="48"/>
  <c r="AW392" i="48"/>
  <c r="AW967" i="48"/>
  <c r="AV968" i="48"/>
  <c r="AW792" i="48"/>
  <c r="AV793" i="48"/>
  <c r="AV118" i="48"/>
  <c r="AW117" i="48"/>
  <c r="AW1267" i="48"/>
  <c r="AV1268" i="48"/>
  <c r="AW1092" i="48"/>
  <c r="AV1093" i="48"/>
  <c r="AV843" i="48"/>
  <c r="AW842" i="48"/>
  <c r="AV1343" i="48"/>
  <c r="AW1342" i="48"/>
  <c r="AW942" i="48"/>
  <c r="AV943" i="48"/>
  <c r="AV743" i="48"/>
  <c r="AW742" i="48"/>
  <c r="AW717" i="48"/>
  <c r="AV718" i="48"/>
  <c r="AW467" i="48"/>
  <c r="AV468" i="48"/>
  <c r="AV93" i="48"/>
  <c r="AW92" i="48"/>
  <c r="AV818" i="48"/>
  <c r="AW817" i="48"/>
  <c r="AW1292" i="48"/>
  <c r="AV1293" i="48"/>
  <c r="AW42" i="48"/>
  <c r="AV43" i="48"/>
  <c r="AV143" i="48"/>
  <c r="AW142" i="48"/>
  <c r="AW642" i="48"/>
  <c r="AV643" i="48"/>
  <c r="AV518" i="48"/>
  <c r="AW517" i="48"/>
  <c r="AW1142" i="48"/>
  <c r="AV1143" i="48"/>
  <c r="AW867" i="48"/>
  <c r="AV868" i="48"/>
  <c r="AW417" i="48"/>
  <c r="AV418" i="48"/>
  <c r="AW242" i="48"/>
  <c r="AV243" i="48"/>
  <c r="CL653" i="48"/>
  <c r="AV1117" i="48" l="1"/>
  <c r="AW1117" i="48" s="1"/>
  <c r="AV893" i="48"/>
  <c r="AW893" i="48" s="1"/>
  <c r="AV443" i="48"/>
  <c r="AV444" i="48" s="1"/>
  <c r="AV1043" i="48"/>
  <c r="AW1043" i="48" s="1"/>
  <c r="AW1041" i="48"/>
  <c r="AC654" i="48"/>
  <c r="AJ654" i="48" s="1"/>
  <c r="CL677" i="48"/>
  <c r="CL661" i="48"/>
  <c r="CL671" i="48"/>
  <c r="CL674" i="48"/>
  <c r="CL658" i="48"/>
  <c r="CL664" i="48"/>
  <c r="CL667" i="48"/>
  <c r="CL673" i="48"/>
  <c r="CL657" i="48"/>
  <c r="CL663" i="48"/>
  <c r="CL670" i="48"/>
  <c r="CL654" i="48"/>
  <c r="AC655" i="48" s="1"/>
  <c r="CL660" i="48"/>
  <c r="CL665" i="48"/>
  <c r="CL655" i="48"/>
  <c r="CL668" i="48"/>
  <c r="CL669" i="48"/>
  <c r="CL672" i="48"/>
  <c r="CL659" i="48"/>
  <c r="CL666" i="48"/>
  <c r="CL676" i="48"/>
  <c r="CL656" i="48"/>
  <c r="CL675" i="48"/>
  <c r="CL662" i="48"/>
  <c r="AV318" i="48"/>
  <c r="AV319" i="48" s="1"/>
  <c r="AV67" i="48"/>
  <c r="AW66" i="48"/>
  <c r="AW341" i="48"/>
  <c r="AV342" i="48"/>
  <c r="AW366" i="48"/>
  <c r="AV367" i="48"/>
  <c r="AW1166" i="48"/>
  <c r="AV1167" i="48"/>
  <c r="AW266" i="48"/>
  <c r="AV267" i="48"/>
  <c r="AW616" i="48"/>
  <c r="AV617" i="48"/>
  <c r="AV217" i="48"/>
  <c r="AW216" i="48"/>
  <c r="AW191" i="48"/>
  <c r="AV192" i="48"/>
  <c r="AV592" i="48"/>
  <c r="AW591" i="48"/>
  <c r="AV1217" i="48"/>
  <c r="AW1216" i="48"/>
  <c r="AV542" i="48"/>
  <c r="AW541" i="48"/>
  <c r="AW916" i="48"/>
  <c r="AV917" i="48"/>
  <c r="AV992" i="48"/>
  <c r="AW991" i="48"/>
  <c r="AW291" i="48"/>
  <c r="AV292" i="48"/>
  <c r="AV767" i="48"/>
  <c r="AW766" i="48"/>
  <c r="AW1316" i="48"/>
  <c r="AV1317" i="48"/>
  <c r="AW1241" i="48"/>
  <c r="AV1242" i="48"/>
  <c r="AW566" i="48"/>
  <c r="AV567" i="48"/>
  <c r="AV167" i="48"/>
  <c r="AW166" i="48"/>
  <c r="AW1066" i="48"/>
  <c r="AV1067" i="48"/>
  <c r="AW1016" i="48"/>
  <c r="AV1017" i="48"/>
  <c r="AW491" i="48"/>
  <c r="AV492" i="48"/>
  <c r="AW143" i="48"/>
  <c r="AV144" i="48"/>
  <c r="AW93" i="48"/>
  <c r="AV94" i="48"/>
  <c r="AW843" i="48"/>
  <c r="AV844" i="48"/>
  <c r="AW1268" i="48"/>
  <c r="AV1269" i="48"/>
  <c r="AV694" i="48"/>
  <c r="AW693" i="48"/>
  <c r="AV1194" i="48"/>
  <c r="AW1193" i="48"/>
  <c r="AW868" i="48"/>
  <c r="AV869" i="48"/>
  <c r="AW418" i="48"/>
  <c r="AV419" i="48"/>
  <c r="AW643" i="48"/>
  <c r="AV644" i="48"/>
  <c r="AW1293" i="48"/>
  <c r="AV1294" i="48"/>
  <c r="AW468" i="48"/>
  <c r="AV469" i="48"/>
  <c r="AV1094" i="48"/>
  <c r="AW1093" i="48"/>
  <c r="AV119" i="48"/>
  <c r="AW118" i="48"/>
  <c r="AW1143" i="48"/>
  <c r="AV1144" i="48"/>
  <c r="AW518" i="48"/>
  <c r="AV519" i="48"/>
  <c r="AW818" i="48"/>
  <c r="AV819" i="48"/>
  <c r="AW743" i="48"/>
  <c r="AV744" i="48"/>
  <c r="AV1344" i="48"/>
  <c r="AW1343" i="48"/>
  <c r="AV794" i="48"/>
  <c r="AW793" i="48"/>
  <c r="AW968" i="48"/>
  <c r="AV969" i="48"/>
  <c r="AW43" i="48"/>
  <c r="AV44" i="48"/>
  <c r="AW718" i="48"/>
  <c r="AV719" i="48"/>
  <c r="AW943" i="48"/>
  <c r="AV944" i="48"/>
  <c r="AW393" i="48"/>
  <c r="AV394" i="48"/>
  <c r="AV244" i="48"/>
  <c r="AW243" i="48"/>
  <c r="AJ653" i="48"/>
  <c r="AW443" i="48" l="1"/>
  <c r="AV1118" i="48"/>
  <c r="AW1118" i="48" s="1"/>
  <c r="AV894" i="48"/>
  <c r="AW894" i="48" s="1"/>
  <c r="AV1044" i="48"/>
  <c r="AW1044" i="48" s="1"/>
  <c r="CM654" i="48"/>
  <c r="CM677" i="48"/>
  <c r="CN677" i="48"/>
  <c r="AW318" i="48"/>
  <c r="AV68" i="48"/>
  <c r="AW67" i="48"/>
  <c r="AW342" i="48"/>
  <c r="AV343" i="48"/>
  <c r="AV368" i="48"/>
  <c r="AW367" i="48"/>
  <c r="AW267" i="48"/>
  <c r="AV268" i="48"/>
  <c r="AV1168" i="48"/>
  <c r="AW1167" i="48"/>
  <c r="AV618" i="48"/>
  <c r="AW617" i="48"/>
  <c r="AV1218" i="48"/>
  <c r="AW1217" i="48"/>
  <c r="AW492" i="48"/>
  <c r="AV493" i="48"/>
  <c r="AV1068" i="48"/>
  <c r="AW1067" i="48"/>
  <c r="AW567" i="48"/>
  <c r="AV568" i="48"/>
  <c r="AW1317" i="48"/>
  <c r="AV1318" i="48"/>
  <c r="AV293" i="48"/>
  <c r="AW292" i="48"/>
  <c r="AW917" i="48"/>
  <c r="AV918" i="48"/>
  <c r="AV193" i="48"/>
  <c r="AW192" i="48"/>
  <c r="AW1017" i="48"/>
  <c r="AV1018" i="48"/>
  <c r="AW1242" i="48"/>
  <c r="AV1243" i="48"/>
  <c r="AW167" i="48"/>
  <c r="AV168" i="48"/>
  <c r="AW767" i="48"/>
  <c r="AV768" i="48"/>
  <c r="AW992" i="48"/>
  <c r="AV993" i="48"/>
  <c r="AV543" i="48"/>
  <c r="AW542" i="48"/>
  <c r="AW592" i="48"/>
  <c r="AV593" i="48"/>
  <c r="AV218" i="48"/>
  <c r="AW217" i="48"/>
  <c r="AW394" i="48"/>
  <c r="AV395" i="48"/>
  <c r="AW944" i="48"/>
  <c r="AV945" i="48"/>
  <c r="AV820" i="48"/>
  <c r="AW819" i="48"/>
  <c r="AV1145" i="48"/>
  <c r="AW1144" i="48"/>
  <c r="AW469" i="48"/>
  <c r="AV470" i="48"/>
  <c r="AW644" i="48"/>
  <c r="AV645" i="48"/>
  <c r="AW419" i="48"/>
  <c r="AV420" i="48"/>
  <c r="AV1270" i="48"/>
  <c r="AW1269" i="48"/>
  <c r="AW844" i="48"/>
  <c r="AV845" i="48"/>
  <c r="AV95" i="48"/>
  <c r="AW94" i="48"/>
  <c r="AV145" i="48"/>
  <c r="AW144" i="48"/>
  <c r="AW1344" i="48"/>
  <c r="AV1345" i="48"/>
  <c r="AW119" i="48"/>
  <c r="AV120" i="48"/>
  <c r="AV1095" i="48"/>
  <c r="AW1094" i="48"/>
  <c r="AV1195" i="48"/>
  <c r="AW1194" i="48"/>
  <c r="AV720" i="48"/>
  <c r="AW719" i="48"/>
  <c r="AW44" i="48"/>
  <c r="AV45" i="48"/>
  <c r="AV970" i="48"/>
  <c r="AW969" i="48"/>
  <c r="AW744" i="48"/>
  <c r="AV745" i="48"/>
  <c r="AW519" i="48"/>
  <c r="AV520" i="48"/>
  <c r="AV320" i="48"/>
  <c r="AW319" i="48"/>
  <c r="AV1295" i="48"/>
  <c r="AW1294" i="48"/>
  <c r="AW869" i="48"/>
  <c r="AV870" i="48"/>
  <c r="AW444" i="48"/>
  <c r="AV445" i="48"/>
  <c r="AV795" i="48"/>
  <c r="AW794" i="48"/>
  <c r="AV695" i="48"/>
  <c r="AW694" i="48"/>
  <c r="AW244" i="48"/>
  <c r="AV245" i="48"/>
  <c r="CN676" i="48"/>
  <c r="CM659" i="48"/>
  <c r="CM665" i="48"/>
  <c r="CM668" i="48"/>
  <c r="CM658" i="48"/>
  <c r="CM673" i="48"/>
  <c r="CM663" i="48"/>
  <c r="CM672" i="48"/>
  <c r="CM674" i="48"/>
  <c r="CM669" i="48"/>
  <c r="CM666" i="48"/>
  <c r="CM660" i="48"/>
  <c r="CM656" i="48"/>
  <c r="CM670" i="48"/>
  <c r="CM671" i="48"/>
  <c r="CM662" i="48"/>
  <c r="CM675" i="48"/>
  <c r="CM661" i="48"/>
  <c r="CM667" i="48"/>
  <c r="CM657" i="48"/>
  <c r="CM664" i="48"/>
  <c r="CM655" i="48"/>
  <c r="CN655" i="48"/>
  <c r="AJ655" i="48"/>
  <c r="CN664" i="48"/>
  <c r="CN657" i="48"/>
  <c r="CN669" i="48"/>
  <c r="CN667" i="48"/>
  <c r="CN672" i="48"/>
  <c r="CN675" i="48"/>
  <c r="CN674" i="48"/>
  <c r="CN662" i="48"/>
  <c r="CN668" i="48"/>
  <c r="CN661" i="48"/>
  <c r="CN658" i="48"/>
  <c r="CN671" i="48"/>
  <c r="CN660" i="48"/>
  <c r="CN659" i="48"/>
  <c r="CN670" i="48"/>
  <c r="CN673" i="48"/>
  <c r="CN666" i="48"/>
  <c r="CN665" i="48"/>
  <c r="CN656" i="48"/>
  <c r="CN663" i="48"/>
  <c r="CN654" i="48"/>
  <c r="AV895" i="48" l="1"/>
  <c r="AV896" i="48" s="1"/>
  <c r="AV1119" i="48"/>
  <c r="AV1120" i="48" s="1"/>
  <c r="AW1120" i="48" s="1"/>
  <c r="AV1045" i="48"/>
  <c r="AW1045" i="48" s="1"/>
  <c r="CO677" i="48"/>
  <c r="CS677" i="48" s="1"/>
  <c r="DB677" i="48" s="1"/>
  <c r="AW68" i="48"/>
  <c r="AV69" i="48"/>
  <c r="AV344" i="48"/>
  <c r="AW343" i="48"/>
  <c r="AV369" i="48"/>
  <c r="AW368" i="48"/>
  <c r="AW1168" i="48"/>
  <c r="AV1169" i="48"/>
  <c r="AW268" i="48"/>
  <c r="AV269" i="48"/>
  <c r="AW618" i="48"/>
  <c r="AV619" i="48"/>
  <c r="AW768" i="48"/>
  <c r="AV769" i="48"/>
  <c r="AV569" i="48"/>
  <c r="AW568" i="48"/>
  <c r="AV219" i="48"/>
  <c r="AW218" i="48"/>
  <c r="AW193" i="48"/>
  <c r="AV194" i="48"/>
  <c r="AV294" i="48"/>
  <c r="AW293" i="48"/>
  <c r="AV1244" i="48"/>
  <c r="AW1243" i="48"/>
  <c r="AV494" i="48"/>
  <c r="AW493" i="48"/>
  <c r="AV544" i="48"/>
  <c r="AW543" i="48"/>
  <c r="AV594" i="48"/>
  <c r="AW593" i="48"/>
  <c r="AV994" i="48"/>
  <c r="AW993" i="48"/>
  <c r="AV169" i="48"/>
  <c r="AW168" i="48"/>
  <c r="AW1018" i="48"/>
  <c r="AV1019" i="48"/>
  <c r="AW918" i="48"/>
  <c r="AV919" i="48"/>
  <c r="AW1318" i="48"/>
  <c r="AV1319" i="48"/>
  <c r="AW1068" i="48"/>
  <c r="AV1069" i="48"/>
  <c r="AV1219" i="48"/>
  <c r="AW1218" i="48"/>
  <c r="AW445" i="48"/>
  <c r="AV446" i="48"/>
  <c r="AV871" i="48"/>
  <c r="AW870" i="48"/>
  <c r="AV521" i="48"/>
  <c r="AW520" i="48"/>
  <c r="AV46" i="48"/>
  <c r="AW45" i="48"/>
  <c r="AW1345" i="48"/>
  <c r="AV1346" i="48"/>
  <c r="AW845" i="48"/>
  <c r="AV846" i="48"/>
  <c r="AW645" i="48"/>
  <c r="AV646" i="48"/>
  <c r="AV471" i="48"/>
  <c r="AW470" i="48"/>
  <c r="AW795" i="48"/>
  <c r="AV796" i="48"/>
  <c r="AV321" i="48"/>
  <c r="AW320" i="48"/>
  <c r="AW1095" i="48"/>
  <c r="AV1096" i="48"/>
  <c r="AV146" i="48"/>
  <c r="AW145" i="48"/>
  <c r="AW1145" i="48"/>
  <c r="AV1146" i="48"/>
  <c r="AW745" i="48"/>
  <c r="AV746" i="48"/>
  <c r="AW120" i="48"/>
  <c r="AV121" i="48"/>
  <c r="AV421" i="48"/>
  <c r="AW420" i="48"/>
  <c r="AW945" i="48"/>
  <c r="AV946" i="48"/>
  <c r="AW395" i="48"/>
  <c r="AV396" i="48"/>
  <c r="AW695" i="48"/>
  <c r="AV696" i="48"/>
  <c r="AW1295" i="48"/>
  <c r="AV1296" i="48"/>
  <c r="AV971" i="48"/>
  <c r="AW970" i="48"/>
  <c r="AV721" i="48"/>
  <c r="AW720" i="48"/>
  <c r="AW1195" i="48"/>
  <c r="AV1196" i="48"/>
  <c r="AV96" i="48"/>
  <c r="AW95" i="48"/>
  <c r="AV1271" i="48"/>
  <c r="AW1270" i="48"/>
  <c r="AV821" i="48"/>
  <c r="AW820" i="48"/>
  <c r="AW245" i="48"/>
  <c r="AV246" i="48"/>
  <c r="CO663" i="48"/>
  <c r="CS663" i="48" s="1"/>
  <c r="CO673" i="48"/>
  <c r="CS673" i="48" s="1"/>
  <c r="CO671" i="48"/>
  <c r="CS671" i="48" s="1"/>
  <c r="CO662" i="48"/>
  <c r="CS662" i="48" s="1"/>
  <c r="CO667" i="48"/>
  <c r="CS667" i="48" s="1"/>
  <c r="CO660" i="48"/>
  <c r="CS660" i="48" s="1"/>
  <c r="CO672" i="48"/>
  <c r="CS672" i="48" s="1"/>
  <c r="CO676" i="48"/>
  <c r="CS676" i="48" s="1"/>
  <c r="DB676" i="48" s="1"/>
  <c r="AC676" i="48" s="1"/>
  <c r="CO656" i="48"/>
  <c r="CS656" i="48" s="1"/>
  <c r="CO670" i="48"/>
  <c r="CS670" i="48" s="1"/>
  <c r="CO658" i="48"/>
  <c r="CS658" i="48" s="1"/>
  <c r="CO674" i="48"/>
  <c r="CS674" i="48" s="1"/>
  <c r="CO669" i="48"/>
  <c r="CS669" i="48" s="1"/>
  <c r="CO665" i="48"/>
  <c r="CS665" i="48" s="1"/>
  <c r="CO659" i="48"/>
  <c r="CS659" i="48" s="1"/>
  <c r="CO661" i="48"/>
  <c r="CS661" i="48" s="1"/>
  <c r="CO675" i="48"/>
  <c r="CS675" i="48" s="1"/>
  <c r="CO657" i="48"/>
  <c r="CS657" i="48" s="1"/>
  <c r="CO666" i="48"/>
  <c r="CS666" i="48" s="1"/>
  <c r="CO668" i="48"/>
  <c r="CS668" i="48" s="1"/>
  <c r="CO664" i="48"/>
  <c r="CS664" i="48" s="1"/>
  <c r="AW895" i="48" l="1"/>
  <c r="AV1121" i="48"/>
  <c r="AW1121" i="48" s="1"/>
  <c r="AW1119" i="48"/>
  <c r="AV1046" i="48"/>
  <c r="AV1047" i="48" s="1"/>
  <c r="DC677" i="48"/>
  <c r="AC677" i="48"/>
  <c r="AJ677" i="48" s="1"/>
  <c r="F30" i="58" s="1"/>
  <c r="DB657" i="48"/>
  <c r="AC657" i="48" s="1"/>
  <c r="DB665" i="48"/>
  <c r="AC665" i="48" s="1"/>
  <c r="DB670" i="48"/>
  <c r="AC670" i="48" s="1"/>
  <c r="DB660" i="48"/>
  <c r="AC660" i="48" s="1"/>
  <c r="DB673" i="48"/>
  <c r="AC673" i="48" s="1"/>
  <c r="DB661" i="48"/>
  <c r="AC661" i="48" s="1"/>
  <c r="DB664" i="48"/>
  <c r="AC664" i="48" s="1"/>
  <c r="DB675" i="48"/>
  <c r="AC675" i="48" s="1"/>
  <c r="DB669" i="48"/>
  <c r="AC669" i="48" s="1"/>
  <c r="DB656" i="48"/>
  <c r="DB667" i="48"/>
  <c r="AC667" i="48" s="1"/>
  <c r="DB663" i="48"/>
  <c r="AC663" i="48" s="1"/>
  <c r="DB662" i="48"/>
  <c r="DB668" i="48"/>
  <c r="DB674" i="48"/>
  <c r="DB666" i="48"/>
  <c r="DB659" i="48"/>
  <c r="AC659" i="48" s="1"/>
  <c r="DB658" i="48"/>
  <c r="DB672" i="48"/>
  <c r="AC672" i="48" s="1"/>
  <c r="DB671" i="48"/>
  <c r="AW69" i="48"/>
  <c r="AV70" i="48"/>
  <c r="AV345" i="48"/>
  <c r="AW344" i="48"/>
  <c r="AV370" i="48"/>
  <c r="AW369" i="48"/>
  <c r="AW269" i="48"/>
  <c r="AV270" i="48"/>
  <c r="AV1170" i="48"/>
  <c r="AW1169" i="48"/>
  <c r="AV620" i="48"/>
  <c r="AW619" i="48"/>
  <c r="AV1320" i="48"/>
  <c r="AW1319" i="48"/>
  <c r="AW1019" i="48"/>
  <c r="AV1020" i="48"/>
  <c r="AV195" i="48"/>
  <c r="AW194" i="48"/>
  <c r="AV1220" i="48"/>
  <c r="AW1219" i="48"/>
  <c r="AV995" i="48"/>
  <c r="AW994" i="48"/>
  <c r="AW544" i="48"/>
  <c r="AV545" i="48"/>
  <c r="AV1245" i="48"/>
  <c r="AW1244" i="48"/>
  <c r="AW569" i="48"/>
  <c r="AV570" i="48"/>
  <c r="AV1070" i="48"/>
  <c r="AW1069" i="48"/>
  <c r="AV920" i="48"/>
  <c r="AW919" i="48"/>
  <c r="AV770" i="48"/>
  <c r="AW769" i="48"/>
  <c r="AV170" i="48"/>
  <c r="AW169" i="48"/>
  <c r="AW594" i="48"/>
  <c r="AV595" i="48"/>
  <c r="AV495" i="48"/>
  <c r="AW494" i="48"/>
  <c r="AV295" i="48"/>
  <c r="AW294" i="48"/>
  <c r="AV220" i="48"/>
  <c r="AW219" i="48"/>
  <c r="AV1197" i="48"/>
  <c r="AW1196" i="48"/>
  <c r="AV1297" i="48"/>
  <c r="AW1296" i="48"/>
  <c r="AV697" i="48"/>
  <c r="AW696" i="48"/>
  <c r="AW396" i="48"/>
  <c r="AV397" i="48"/>
  <c r="AV747" i="48"/>
  <c r="AW746" i="48"/>
  <c r="AV1097" i="48"/>
  <c r="AW1096" i="48"/>
  <c r="AW646" i="48"/>
  <c r="AV647" i="48"/>
  <c r="AV1347" i="48"/>
  <c r="AW1346" i="48"/>
  <c r="AW96" i="48"/>
  <c r="AV97" i="48"/>
  <c r="AV722" i="48"/>
  <c r="AW721" i="48"/>
  <c r="AV422" i="48"/>
  <c r="AW421" i="48"/>
  <c r="AV322" i="48"/>
  <c r="AW321" i="48"/>
  <c r="AV47" i="48"/>
  <c r="AW46" i="48"/>
  <c r="AV522" i="48"/>
  <c r="AW521" i="48"/>
  <c r="AV872" i="48"/>
  <c r="AW871" i="48"/>
  <c r="AV897" i="48"/>
  <c r="AW896" i="48"/>
  <c r="AV947" i="48"/>
  <c r="AW946" i="48"/>
  <c r="AW121" i="48"/>
  <c r="AV122" i="48"/>
  <c r="AV1147" i="48"/>
  <c r="AW1146" i="48"/>
  <c r="AV797" i="48"/>
  <c r="AW796" i="48"/>
  <c r="AV847" i="48"/>
  <c r="AW846" i="48"/>
  <c r="AW446" i="48"/>
  <c r="AV447" i="48"/>
  <c r="AW821" i="48"/>
  <c r="AV822" i="48"/>
  <c r="AW1271" i="48"/>
  <c r="AV1272" i="48"/>
  <c r="AV972" i="48"/>
  <c r="AW971" i="48"/>
  <c r="AW146" i="48"/>
  <c r="AV147" i="48"/>
  <c r="AV472" i="48"/>
  <c r="AW471" i="48"/>
  <c r="AW246" i="48"/>
  <c r="AV247" i="48"/>
  <c r="AV1122" i="48" l="1"/>
  <c r="AW1122" i="48" s="1"/>
  <c r="AW1046" i="48"/>
  <c r="AP677" i="48"/>
  <c r="AO27" i="48"/>
  <c r="J20" i="58" s="1"/>
  <c r="AT677" i="48"/>
  <c r="AR677" i="48"/>
  <c r="AS677" i="48"/>
  <c r="AL27" i="48"/>
  <c r="AN27" i="48" s="1"/>
  <c r="I20" i="58" s="1"/>
  <c r="DC662" i="48"/>
  <c r="AC662" i="48"/>
  <c r="AJ662" i="48" s="1"/>
  <c r="AC671" i="48"/>
  <c r="AJ671" i="48" s="1"/>
  <c r="DC666" i="48"/>
  <c r="AC666" i="48"/>
  <c r="AJ666" i="48" s="1"/>
  <c r="AC674" i="48"/>
  <c r="AJ674" i="48" s="1"/>
  <c r="DC658" i="48"/>
  <c r="AC658" i="48"/>
  <c r="AJ658" i="48" s="1"/>
  <c r="AL33" i="48" s="1"/>
  <c r="AC668" i="48"/>
  <c r="AJ668" i="48" s="1"/>
  <c r="AC656" i="48"/>
  <c r="AJ656" i="48" s="1"/>
  <c r="DC659" i="48"/>
  <c r="DC661" i="48"/>
  <c r="DC672" i="48"/>
  <c r="DC663" i="48"/>
  <c r="DC667" i="48"/>
  <c r="DC664" i="48"/>
  <c r="AJ672" i="48"/>
  <c r="DC669" i="48"/>
  <c r="DC675" i="48"/>
  <c r="DC660" i="48"/>
  <c r="DC665" i="48"/>
  <c r="DC674" i="48"/>
  <c r="AJ663" i="48"/>
  <c r="AJ675" i="48"/>
  <c r="F28" i="58" s="1"/>
  <c r="AJ661" i="48"/>
  <c r="AJ665" i="48"/>
  <c r="DC673" i="48"/>
  <c r="DC670" i="48"/>
  <c r="DC657" i="48"/>
  <c r="DC671" i="48"/>
  <c r="DC668" i="48"/>
  <c r="DC676" i="48"/>
  <c r="AJ667" i="48"/>
  <c r="AJ669" i="48"/>
  <c r="F22" i="58" s="1"/>
  <c r="AJ664" i="48"/>
  <c r="AJ673" i="48"/>
  <c r="AJ670" i="48"/>
  <c r="AJ657" i="48"/>
  <c r="AW70" i="48"/>
  <c r="AV71" i="48"/>
  <c r="AW345" i="48"/>
  <c r="AV346" i="48"/>
  <c r="AV371" i="48"/>
  <c r="AW370" i="48"/>
  <c r="AV1171" i="48"/>
  <c r="AW1170" i="48"/>
  <c r="AV271" i="48"/>
  <c r="AW270" i="48"/>
  <c r="AV621" i="48"/>
  <c r="AW620" i="48"/>
  <c r="AV571" i="48"/>
  <c r="AW570" i="48"/>
  <c r="AW545" i="48"/>
  <c r="AV546" i="48"/>
  <c r="AV1021" i="48"/>
  <c r="AW1020" i="48"/>
  <c r="AV221" i="48"/>
  <c r="AW220" i="48"/>
  <c r="AW495" i="48"/>
  <c r="AV496" i="48"/>
  <c r="AW170" i="48"/>
  <c r="AV171" i="48"/>
  <c r="AV921" i="48"/>
  <c r="AW920" i="48"/>
  <c r="AV1221" i="48"/>
  <c r="AW1220" i="48"/>
  <c r="AW595" i="48"/>
  <c r="AV596" i="48"/>
  <c r="AW295" i="48"/>
  <c r="AV296" i="48"/>
  <c r="AV771" i="48"/>
  <c r="AW770" i="48"/>
  <c r="AV1071" i="48"/>
  <c r="AW1070" i="48"/>
  <c r="AW1245" i="48"/>
  <c r="AV1246" i="48"/>
  <c r="AW995" i="48"/>
  <c r="AV996" i="48"/>
  <c r="AV196" i="48"/>
  <c r="AW195" i="48"/>
  <c r="AV1321" i="48"/>
  <c r="AW1320" i="48"/>
  <c r="AW147" i="48"/>
  <c r="AV148" i="48"/>
  <c r="AW822" i="48"/>
  <c r="AV823" i="48"/>
  <c r="AV448" i="48"/>
  <c r="AW447" i="48"/>
  <c r="AV398" i="48"/>
  <c r="AW397" i="48"/>
  <c r="AW472" i="48"/>
  <c r="AV473" i="48"/>
  <c r="AW797" i="48"/>
  <c r="AV798" i="48"/>
  <c r="AV1148" i="48"/>
  <c r="AW1147" i="48"/>
  <c r="AW947" i="48"/>
  <c r="AV948" i="48"/>
  <c r="AW522" i="48"/>
  <c r="AV523" i="48"/>
  <c r="AW722" i="48"/>
  <c r="AV723" i="48"/>
  <c r="AW1347" i="48"/>
  <c r="AV1348" i="48"/>
  <c r="AV748" i="48"/>
  <c r="AW747" i="48"/>
  <c r="AV1198" i="48"/>
  <c r="AW1197" i="48"/>
  <c r="AW1272" i="48"/>
  <c r="AV1273" i="48"/>
  <c r="AV123" i="48"/>
  <c r="AW122" i="48"/>
  <c r="AW97" i="48"/>
  <c r="AV98" i="48"/>
  <c r="AV648" i="48"/>
  <c r="AW647" i="48"/>
  <c r="AW972" i="48"/>
  <c r="AV973" i="48"/>
  <c r="AV848" i="48"/>
  <c r="AW847" i="48"/>
  <c r="AV898" i="48"/>
  <c r="AW897" i="48"/>
  <c r="AW872" i="48"/>
  <c r="AV873" i="48"/>
  <c r="AW47" i="48"/>
  <c r="AV48" i="48"/>
  <c r="AW322" i="48"/>
  <c r="AV323" i="48"/>
  <c r="AW422" i="48"/>
  <c r="AV423" i="48"/>
  <c r="AV1098" i="48"/>
  <c r="AW1097" i="48"/>
  <c r="AV1048" i="48"/>
  <c r="AW1047" i="48"/>
  <c r="AW697" i="48"/>
  <c r="AV698" i="48"/>
  <c r="AV1298" i="48"/>
  <c r="AW1297" i="48"/>
  <c r="AW247" i="48"/>
  <c r="AV248" i="48"/>
  <c r="AV1123" i="48" l="1"/>
  <c r="AV1124" i="48" s="1"/>
  <c r="F18" i="58"/>
  <c r="AO15" i="48" s="1"/>
  <c r="F15" i="58"/>
  <c r="AO12" i="48" s="1"/>
  <c r="F20" i="58"/>
  <c r="AO17" i="48" s="1"/>
  <c r="F14" i="58"/>
  <c r="AO11" i="48" s="1"/>
  <c r="F25" i="58"/>
  <c r="AO22" i="48" s="1"/>
  <c r="F21" i="58"/>
  <c r="AO18" i="48" s="1"/>
  <c r="F16" i="58"/>
  <c r="AO13" i="48" s="1"/>
  <c r="F27" i="58"/>
  <c r="AO24" i="48" s="1"/>
  <c r="F23" i="58"/>
  <c r="AO20" i="48" s="1"/>
  <c r="F19" i="58"/>
  <c r="AO16" i="48" s="1"/>
  <c r="F26" i="58"/>
  <c r="AO23" i="48" s="1"/>
  <c r="F17" i="58"/>
  <c r="AO14" i="48" s="1"/>
  <c r="F24" i="58"/>
  <c r="AO21" i="48" s="1"/>
  <c r="AP670" i="48"/>
  <c r="AS672" i="48"/>
  <c r="AT661" i="48"/>
  <c r="AR667" i="48"/>
  <c r="AT669" i="48"/>
  <c r="AO19" i="48"/>
  <c r="AR675" i="48"/>
  <c r="AO25" i="48"/>
  <c r="J18" i="58" s="1"/>
  <c r="AT673" i="48"/>
  <c r="AL23" i="48"/>
  <c r="AS675" i="48"/>
  <c r="AL25" i="48"/>
  <c r="AS666" i="48"/>
  <c r="AL16" i="48"/>
  <c r="P47" i="59" s="1"/>
  <c r="K132" i="59" s="1"/>
  <c r="AL24" i="48"/>
  <c r="AS662" i="48"/>
  <c r="AL12" i="48"/>
  <c r="AP675" i="48"/>
  <c r="AS664" i="48"/>
  <c r="AL14" i="48"/>
  <c r="AS663" i="48"/>
  <c r="AL13" i="48"/>
  <c r="P44" i="59" s="1"/>
  <c r="K129" i="59" s="1"/>
  <c r="AL18" i="48"/>
  <c r="P49" i="59" s="1"/>
  <c r="K134" i="59" s="1"/>
  <c r="AX277" i="48"/>
  <c r="AX427" i="48"/>
  <c r="AG427" i="48" s="1"/>
  <c r="AX452" i="48"/>
  <c r="AG452" i="48" s="1"/>
  <c r="AX127" i="48"/>
  <c r="AG127" i="48" s="1"/>
  <c r="AX327" i="48"/>
  <c r="AG327" i="48" s="1"/>
  <c r="AX477" i="48"/>
  <c r="AG477" i="48" s="1"/>
  <c r="AX727" i="48"/>
  <c r="AG727" i="48" s="1"/>
  <c r="AX252" i="48"/>
  <c r="AG252" i="48" s="1"/>
  <c r="AX702" i="48"/>
  <c r="AG702" i="48" s="1"/>
  <c r="AX802" i="48"/>
  <c r="AG802" i="48" s="1"/>
  <c r="AX402" i="48"/>
  <c r="AG402" i="48" s="1"/>
  <c r="AX527" i="48"/>
  <c r="AG527" i="48" s="1"/>
  <c r="AX227" i="48"/>
  <c r="AG227" i="48" s="1"/>
  <c r="AX827" i="48"/>
  <c r="AG827" i="48" s="1"/>
  <c r="AX627" i="48"/>
  <c r="AG627" i="48" s="1"/>
  <c r="AX102" i="48"/>
  <c r="AG102" i="48" s="1"/>
  <c r="AX1127" i="48"/>
  <c r="AG1127" i="48" s="1"/>
  <c r="AX177" i="48"/>
  <c r="AG177" i="48" s="1"/>
  <c r="AX202" i="48"/>
  <c r="AG202" i="48" s="1"/>
  <c r="AX652" i="48"/>
  <c r="AG652" i="48" s="1"/>
  <c r="AX577" i="48"/>
  <c r="AG577" i="48" s="1"/>
  <c r="AX602" i="48"/>
  <c r="AG602" i="48" s="1"/>
  <c r="AX77" i="48"/>
  <c r="AG77" i="48" s="1"/>
  <c r="AX377" i="48"/>
  <c r="AG377" i="48" s="1"/>
  <c r="AX352" i="48"/>
  <c r="AG352" i="48" s="1"/>
  <c r="AX552" i="48"/>
  <c r="AG552" i="48" s="1"/>
  <c r="AX52" i="48"/>
  <c r="AG52" i="48" s="1"/>
  <c r="AX27" i="48"/>
  <c r="AG27" i="48" s="1"/>
  <c r="AX302" i="48"/>
  <c r="AG302" i="48" s="1"/>
  <c r="AX152" i="48"/>
  <c r="AG152" i="48" s="1"/>
  <c r="AX502" i="48"/>
  <c r="AG502" i="48" s="1"/>
  <c r="AX1152" i="48"/>
  <c r="AX977" i="48"/>
  <c r="AG977" i="48" s="1"/>
  <c r="AX852" i="48"/>
  <c r="AG852" i="48" s="1"/>
  <c r="AX952" i="48"/>
  <c r="AG952" i="48" s="1"/>
  <c r="AX1002" i="48"/>
  <c r="AG1002" i="48" s="1"/>
  <c r="AX1027" i="48"/>
  <c r="AG1027" i="48" s="1"/>
  <c r="AX1077" i="48"/>
  <c r="AG1077" i="48" s="1"/>
  <c r="AX777" i="48"/>
  <c r="AG777" i="48" s="1"/>
  <c r="AX877" i="48"/>
  <c r="AG877" i="48" s="1"/>
  <c r="AX927" i="48"/>
  <c r="AG927" i="48" s="1"/>
  <c r="AX1102" i="48"/>
  <c r="AG1102" i="48" s="1"/>
  <c r="AX1052" i="48"/>
  <c r="AG1052" i="48" s="1"/>
  <c r="AX902" i="48"/>
  <c r="AG902" i="48" s="1"/>
  <c r="AX677" i="48"/>
  <c r="AG677" i="48" s="1"/>
  <c r="AP669" i="48"/>
  <c r="AL19" i="48"/>
  <c r="P50" i="59" s="1"/>
  <c r="K135" i="59" s="1"/>
  <c r="AR665" i="48"/>
  <c r="AL15" i="48"/>
  <c r="AT665" i="48"/>
  <c r="AR673" i="48"/>
  <c r="AS670" i="48"/>
  <c r="AL20" i="48"/>
  <c r="AP667" i="48"/>
  <c r="AL17" i="48"/>
  <c r="AS661" i="48"/>
  <c r="AL11" i="48"/>
  <c r="P42" i="59" s="1"/>
  <c r="K127" i="59" s="1"/>
  <c r="AT672" i="48"/>
  <c r="AL22" i="48"/>
  <c r="P53" i="59" s="1"/>
  <c r="K138" i="59" s="1"/>
  <c r="AL21" i="48"/>
  <c r="AS674" i="48"/>
  <c r="AP674" i="48"/>
  <c r="AR674" i="48"/>
  <c r="AK674" i="48"/>
  <c r="AS671" i="48"/>
  <c r="AP671" i="48"/>
  <c r="AR671" i="48"/>
  <c r="AP668" i="48"/>
  <c r="AS668" i="48"/>
  <c r="AK662" i="48"/>
  <c r="AT674" i="48"/>
  <c r="AP662" i="48"/>
  <c r="AS673" i="48"/>
  <c r="AP661" i="48"/>
  <c r="AP673" i="48"/>
  <c r="AT662" i="48"/>
  <c r="AR662" i="48"/>
  <c r="AS667" i="48"/>
  <c r="AK663" i="48"/>
  <c r="AR661" i="48"/>
  <c r="AK672" i="48"/>
  <c r="AP672" i="48"/>
  <c r="AT670" i="48"/>
  <c r="AT675" i="48"/>
  <c r="AR672" i="48"/>
  <c r="AK671" i="48"/>
  <c r="AR668" i="48"/>
  <c r="AK673" i="48"/>
  <c r="AT671" i="48"/>
  <c r="AT668" i="48"/>
  <c r="AK668" i="48"/>
  <c r="AR669" i="48"/>
  <c r="AK675" i="48"/>
  <c r="AS669" i="48"/>
  <c r="AR664" i="48"/>
  <c r="AK664" i="48"/>
  <c r="AT664" i="48"/>
  <c r="AR663" i="48"/>
  <c r="AK665" i="48"/>
  <c r="AK667" i="48"/>
  <c r="AK669" i="48"/>
  <c r="AP665" i="48"/>
  <c r="AK666" i="48"/>
  <c r="AP664" i="48"/>
  <c r="AP663" i="48"/>
  <c r="AT663" i="48"/>
  <c r="AS665" i="48"/>
  <c r="AP666" i="48"/>
  <c r="AT667" i="48"/>
  <c r="AR666" i="48"/>
  <c r="AT666" i="48"/>
  <c r="AK670" i="48"/>
  <c r="AR670" i="48"/>
  <c r="AJ659" i="48"/>
  <c r="F12" i="58" s="1"/>
  <c r="AJ660" i="48"/>
  <c r="AV72" i="48"/>
  <c r="AW71" i="48"/>
  <c r="AV347" i="48"/>
  <c r="AW346" i="48"/>
  <c r="AW371" i="48"/>
  <c r="AV372" i="48"/>
  <c r="AV272" i="48"/>
  <c r="AW271" i="48"/>
  <c r="AV1172" i="48"/>
  <c r="AW1171" i="48"/>
  <c r="AV622" i="48"/>
  <c r="AW621" i="48"/>
  <c r="AW196" i="48"/>
  <c r="AV197" i="48"/>
  <c r="AV772" i="48"/>
  <c r="AW771" i="48"/>
  <c r="AV922" i="48"/>
  <c r="AW921" i="48"/>
  <c r="AV572" i="48"/>
  <c r="AW571" i="48"/>
  <c r="AV997" i="48"/>
  <c r="AW996" i="48"/>
  <c r="AW296" i="48"/>
  <c r="AV297" i="48"/>
  <c r="AW171" i="48"/>
  <c r="AV172" i="48"/>
  <c r="AW546" i="48"/>
  <c r="AV547" i="48"/>
  <c r="AW1246" i="48"/>
  <c r="AV1247" i="48"/>
  <c r="AV597" i="48"/>
  <c r="AW596" i="48"/>
  <c r="AW496" i="48"/>
  <c r="AV497" i="48"/>
  <c r="AV1022" i="48"/>
  <c r="AW1021" i="48"/>
  <c r="AV1322" i="48"/>
  <c r="AW1321" i="48"/>
  <c r="AV1072" i="48"/>
  <c r="AW1071" i="48"/>
  <c r="AV1222" i="48"/>
  <c r="AW1221" i="48"/>
  <c r="AW221" i="48"/>
  <c r="AV222" i="48"/>
  <c r="AW1298" i="48"/>
  <c r="AV1299" i="48"/>
  <c r="AW1098" i="48"/>
  <c r="AV1099" i="48"/>
  <c r="AW848" i="48"/>
  <c r="AV849" i="48"/>
  <c r="AW648" i="48"/>
  <c r="AV649" i="48"/>
  <c r="AV124" i="48"/>
  <c r="AW123" i="48"/>
  <c r="AV724" i="48"/>
  <c r="AW723" i="48"/>
  <c r="AW1123" i="48"/>
  <c r="AW473" i="48"/>
  <c r="AV474" i="48"/>
  <c r="AW698" i="48"/>
  <c r="AV699" i="48"/>
  <c r="AW423" i="48"/>
  <c r="AV424" i="48"/>
  <c r="AV49" i="48"/>
  <c r="AW48" i="48"/>
  <c r="AV974" i="48"/>
  <c r="AW973" i="48"/>
  <c r="AV99" i="48"/>
  <c r="AW98" i="48"/>
  <c r="AW1198" i="48"/>
  <c r="AV1199" i="48"/>
  <c r="AW1148" i="48"/>
  <c r="AV1149" i="48"/>
  <c r="AW448" i="48"/>
  <c r="AV449" i="48"/>
  <c r="AW1048" i="48"/>
  <c r="AV1049" i="48"/>
  <c r="AW898" i="48"/>
  <c r="AV899" i="48"/>
  <c r="AV1349" i="48"/>
  <c r="AW1348" i="48"/>
  <c r="AW523" i="48"/>
  <c r="AV524" i="48"/>
  <c r="AW948" i="48"/>
  <c r="AV949" i="48"/>
  <c r="AW798" i="48"/>
  <c r="AV799" i="48"/>
  <c r="AV824" i="48"/>
  <c r="AW823" i="48"/>
  <c r="AW148" i="48"/>
  <c r="AV149" i="48"/>
  <c r="AV324" i="48"/>
  <c r="AW323" i="48"/>
  <c r="AW873" i="48"/>
  <c r="AV874" i="48"/>
  <c r="AV1274" i="48"/>
  <c r="AW1273" i="48"/>
  <c r="AW748" i="48"/>
  <c r="AV749" i="48"/>
  <c r="AV399" i="48"/>
  <c r="AW398" i="48"/>
  <c r="AW248" i="48"/>
  <c r="AV249" i="48"/>
  <c r="AN14" i="48" l="1"/>
  <c r="P45" i="59"/>
  <c r="K130" i="59" s="1"/>
  <c r="AN21" i="48"/>
  <c r="P52" i="59"/>
  <c r="K137" i="59" s="1"/>
  <c r="AN23" i="48"/>
  <c r="P54" i="59"/>
  <c r="K139" i="59" s="1"/>
  <c r="AN20" i="48"/>
  <c r="P51" i="59"/>
  <c r="K136" i="59" s="1"/>
  <c r="AN25" i="48"/>
  <c r="I18" i="58" s="1"/>
  <c r="P56" i="59"/>
  <c r="K141" i="59" s="1"/>
  <c r="AN12" i="48"/>
  <c r="P43" i="59"/>
  <c r="K128" i="59" s="1"/>
  <c r="AN24" i="48"/>
  <c r="P55" i="59"/>
  <c r="K140" i="59" s="1"/>
  <c r="AN15" i="48"/>
  <c r="P46" i="59"/>
  <c r="K131" i="59" s="1"/>
  <c r="AN17" i="48"/>
  <c r="P48" i="59"/>
  <c r="K133" i="59" s="1"/>
  <c r="F13" i="58"/>
  <c r="AO10" i="48" s="1"/>
  <c r="AT659" i="48"/>
  <c r="AO9" i="48"/>
  <c r="AX11" i="48"/>
  <c r="P11" i="48" s="1"/>
  <c r="AN11" i="48"/>
  <c r="AX668" i="48"/>
  <c r="P668" i="48" s="1"/>
  <c r="AN18" i="48"/>
  <c r="AX672" i="48"/>
  <c r="AN22" i="48"/>
  <c r="AX669" i="48"/>
  <c r="P669" i="48" s="1"/>
  <c r="AN19" i="48"/>
  <c r="AX663" i="48"/>
  <c r="AN13" i="48"/>
  <c r="AX666" i="48"/>
  <c r="AN16" i="48"/>
  <c r="AU671" i="48"/>
  <c r="AU673" i="48"/>
  <c r="AU665" i="48"/>
  <c r="AU672" i="48"/>
  <c r="AU674" i="48"/>
  <c r="AU669" i="48"/>
  <c r="AX145" i="48"/>
  <c r="P145" i="48" s="1"/>
  <c r="AX420" i="48"/>
  <c r="P420" i="48" s="1"/>
  <c r="AX970" i="48"/>
  <c r="P970" i="48" s="1"/>
  <c r="AX20" i="48"/>
  <c r="P20" i="48" s="1"/>
  <c r="AX1095" i="48"/>
  <c r="P1095" i="48" s="1"/>
  <c r="AX595" i="48"/>
  <c r="P595" i="48" s="1"/>
  <c r="AX1295" i="48"/>
  <c r="P1295" i="48" s="1"/>
  <c r="AX795" i="48"/>
  <c r="P795" i="48" s="1"/>
  <c r="AX245" i="48"/>
  <c r="P245" i="48" s="1"/>
  <c r="AX770" i="48"/>
  <c r="P770" i="48" s="1"/>
  <c r="AX1120" i="48"/>
  <c r="P1120" i="48" s="1"/>
  <c r="AX45" i="48"/>
  <c r="P45" i="48" s="1"/>
  <c r="AX895" i="48"/>
  <c r="P895" i="48" s="1"/>
  <c r="AX1270" i="48"/>
  <c r="P1270" i="48" s="1"/>
  <c r="AX120" i="48"/>
  <c r="P120" i="48" s="1"/>
  <c r="AX220" i="48"/>
  <c r="P220" i="48" s="1"/>
  <c r="AX720" i="48"/>
  <c r="P720" i="48" s="1"/>
  <c r="AX370" i="48"/>
  <c r="P370" i="48" s="1"/>
  <c r="AX870" i="48"/>
  <c r="P870" i="48" s="1"/>
  <c r="AX1220" i="48"/>
  <c r="P1220" i="48" s="1"/>
  <c r="AX645" i="48"/>
  <c r="P645" i="48" s="1"/>
  <c r="AX995" i="48"/>
  <c r="P995" i="48" s="1"/>
  <c r="AX270" i="48"/>
  <c r="P270" i="48" s="1"/>
  <c r="AX470" i="48"/>
  <c r="P470" i="48" s="1"/>
  <c r="AX545" i="48"/>
  <c r="P545" i="48" s="1"/>
  <c r="AX820" i="48"/>
  <c r="P820" i="48" s="1"/>
  <c r="AX1070" i="48"/>
  <c r="P1070" i="48" s="1"/>
  <c r="AX70" i="48"/>
  <c r="P70" i="48" s="1"/>
  <c r="AX695" i="48"/>
  <c r="P695" i="48" s="1"/>
  <c r="AX195" i="48"/>
  <c r="P195" i="48" s="1"/>
  <c r="AX1145" i="48"/>
  <c r="P1145" i="48" s="1"/>
  <c r="AX395" i="48"/>
  <c r="P395" i="48" s="1"/>
  <c r="AX495" i="48"/>
  <c r="P495" i="48" s="1"/>
  <c r="AX945" i="48"/>
  <c r="P945" i="48" s="1"/>
  <c r="AX95" i="48"/>
  <c r="P95" i="48" s="1"/>
  <c r="AX620" i="48"/>
  <c r="P620" i="48" s="1"/>
  <c r="AX1345" i="48"/>
  <c r="P1345" i="48" s="1"/>
  <c r="AX1195" i="48"/>
  <c r="P1195" i="48" s="1"/>
  <c r="AX345" i="48"/>
  <c r="P345" i="48" s="1"/>
  <c r="AX445" i="48"/>
  <c r="P445" i="48" s="1"/>
  <c r="AX570" i="48"/>
  <c r="P570" i="48" s="1"/>
  <c r="AX295" i="48"/>
  <c r="P295" i="48" s="1"/>
  <c r="AX320" i="48"/>
  <c r="P320" i="48" s="1"/>
  <c r="AX520" i="48"/>
  <c r="P520" i="48" s="1"/>
  <c r="AX920" i="48"/>
  <c r="P920" i="48" s="1"/>
  <c r="AX1045" i="48"/>
  <c r="P1045" i="48" s="1"/>
  <c r="AX1320" i="48"/>
  <c r="P1320" i="48" s="1"/>
  <c r="AX170" i="48"/>
  <c r="P170" i="48" s="1"/>
  <c r="AX1246" i="48"/>
  <c r="P1246" i="48" s="1"/>
  <c r="AX845" i="48"/>
  <c r="P845" i="48" s="1"/>
  <c r="AX1020" i="48"/>
  <c r="P1020" i="48" s="1"/>
  <c r="AX421" i="48"/>
  <c r="P421" i="48" s="1"/>
  <c r="AX1321" i="48"/>
  <c r="P1321" i="48" s="1"/>
  <c r="AX146" i="48"/>
  <c r="P146" i="48" s="1"/>
  <c r="AX1296" i="48"/>
  <c r="P1296" i="48" s="1"/>
  <c r="AX1021" i="48"/>
  <c r="P1021" i="48" s="1"/>
  <c r="AX371" i="48"/>
  <c r="P371" i="48" s="1"/>
  <c r="AX971" i="48"/>
  <c r="P971" i="48" s="1"/>
  <c r="AX71" i="48"/>
  <c r="P71" i="48" s="1"/>
  <c r="AX21" i="48"/>
  <c r="P21" i="48" s="1"/>
  <c r="AX571" i="48"/>
  <c r="P571" i="48" s="1"/>
  <c r="AX46" i="48"/>
  <c r="P46" i="48" s="1"/>
  <c r="AX1271" i="48"/>
  <c r="P1271" i="48" s="1"/>
  <c r="AX1346" i="48"/>
  <c r="P1346" i="48" s="1"/>
  <c r="AX1121" i="48"/>
  <c r="P1121" i="48" s="1"/>
  <c r="AX321" i="48"/>
  <c r="P321" i="48" s="1"/>
  <c r="AX346" i="48"/>
  <c r="P346" i="48" s="1"/>
  <c r="AX946" i="48"/>
  <c r="P946" i="48" s="1"/>
  <c r="AX896" i="48"/>
  <c r="P896" i="48" s="1"/>
  <c r="AX396" i="48"/>
  <c r="P396" i="48" s="1"/>
  <c r="AX1247" i="48"/>
  <c r="P1247" i="48" s="1"/>
  <c r="AX296" i="48"/>
  <c r="P296" i="48" s="1"/>
  <c r="AX496" i="48"/>
  <c r="P496" i="48" s="1"/>
  <c r="AX1096" i="48"/>
  <c r="P1096" i="48" s="1"/>
  <c r="AX921" i="48"/>
  <c r="P921" i="48" s="1"/>
  <c r="AX1196" i="48"/>
  <c r="P1196" i="48" s="1"/>
  <c r="AX121" i="48"/>
  <c r="P121" i="48" s="1"/>
  <c r="AX196" i="48"/>
  <c r="P196" i="48" s="1"/>
  <c r="AX96" i="48"/>
  <c r="P96" i="48" s="1"/>
  <c r="AX171" i="48"/>
  <c r="P171" i="48" s="1"/>
  <c r="AX871" i="48"/>
  <c r="P871" i="48" s="1"/>
  <c r="AX1046" i="48"/>
  <c r="P1046" i="48" s="1"/>
  <c r="AX646" i="48"/>
  <c r="P646" i="48" s="1"/>
  <c r="AX246" i="48"/>
  <c r="P246" i="48" s="1"/>
  <c r="AX721" i="48"/>
  <c r="P721" i="48" s="1"/>
  <c r="AX471" i="48"/>
  <c r="P471" i="48" s="1"/>
  <c r="AX546" i="48"/>
  <c r="P546" i="48" s="1"/>
  <c r="AX821" i="48"/>
  <c r="P821" i="48" s="1"/>
  <c r="AX221" i="48"/>
  <c r="P221" i="48" s="1"/>
  <c r="AX696" i="48"/>
  <c r="P696" i="48" s="1"/>
  <c r="AX771" i="48"/>
  <c r="P771" i="48" s="1"/>
  <c r="AX796" i="48"/>
  <c r="P796" i="48" s="1"/>
  <c r="AX846" i="48"/>
  <c r="P846" i="48" s="1"/>
  <c r="AX996" i="48"/>
  <c r="P996" i="48" s="1"/>
  <c r="AX1071" i="48"/>
  <c r="P1071" i="48" s="1"/>
  <c r="AX1146" i="48"/>
  <c r="P1146" i="48" s="1"/>
  <c r="AX1221" i="48"/>
  <c r="P1221" i="48" s="1"/>
  <c r="AX621" i="48"/>
  <c r="P621" i="48" s="1"/>
  <c r="AX271" i="48"/>
  <c r="P271" i="48" s="1"/>
  <c r="AX446" i="48"/>
  <c r="P446" i="48" s="1"/>
  <c r="AX521" i="48"/>
  <c r="P521" i="48" s="1"/>
  <c r="AX596" i="48"/>
  <c r="P596" i="48" s="1"/>
  <c r="AX1217" i="48"/>
  <c r="P1217" i="48" s="1"/>
  <c r="AX342" i="48"/>
  <c r="P342" i="48" s="1"/>
  <c r="AX917" i="48"/>
  <c r="P917" i="48" s="1"/>
  <c r="AX17" i="48"/>
  <c r="P17" i="48" s="1"/>
  <c r="AX1317" i="48"/>
  <c r="P1317" i="48" s="1"/>
  <c r="AX42" i="48"/>
  <c r="P42" i="48" s="1"/>
  <c r="AX142" i="48"/>
  <c r="P142" i="48" s="1"/>
  <c r="AX1117" i="48"/>
  <c r="P1117" i="48" s="1"/>
  <c r="AX242" i="48"/>
  <c r="P242" i="48" s="1"/>
  <c r="AX392" i="48"/>
  <c r="P392" i="48" s="1"/>
  <c r="AX967" i="48"/>
  <c r="P967" i="48" s="1"/>
  <c r="AX117" i="48"/>
  <c r="P117" i="48" s="1"/>
  <c r="AX167" i="48"/>
  <c r="P167" i="48" s="1"/>
  <c r="AX217" i="48"/>
  <c r="P217" i="48" s="1"/>
  <c r="AX717" i="48"/>
  <c r="P717" i="48" s="1"/>
  <c r="AX1067" i="48"/>
  <c r="P1067" i="48" s="1"/>
  <c r="AX192" i="48"/>
  <c r="P192" i="48" s="1"/>
  <c r="AX442" i="48"/>
  <c r="P442" i="48" s="1"/>
  <c r="AX817" i="48"/>
  <c r="P817" i="48" s="1"/>
  <c r="AX842" i="48"/>
  <c r="P842" i="48" s="1"/>
  <c r="AX1292" i="48"/>
  <c r="P1292" i="48" s="1"/>
  <c r="AX567" i="48"/>
  <c r="P567" i="48" s="1"/>
  <c r="AX642" i="48"/>
  <c r="P642" i="48" s="1"/>
  <c r="AX517" i="48"/>
  <c r="P517" i="48" s="1"/>
  <c r="AX617" i="48"/>
  <c r="P617" i="48" s="1"/>
  <c r="AX692" i="48"/>
  <c r="P692" i="48" s="1"/>
  <c r="AX542" i="48"/>
  <c r="P542" i="48" s="1"/>
  <c r="AX767" i="48"/>
  <c r="P767" i="48" s="1"/>
  <c r="AX1092" i="48"/>
  <c r="P1092" i="48" s="1"/>
  <c r="AX1017" i="48"/>
  <c r="P1017" i="48" s="1"/>
  <c r="AX467" i="48"/>
  <c r="P467" i="48" s="1"/>
  <c r="AX592" i="48"/>
  <c r="P592" i="48" s="1"/>
  <c r="AX867" i="48"/>
  <c r="P867" i="48" s="1"/>
  <c r="AX892" i="48"/>
  <c r="P892" i="48" s="1"/>
  <c r="AX1042" i="48"/>
  <c r="P1042" i="48" s="1"/>
  <c r="AX492" i="48"/>
  <c r="P492" i="48" s="1"/>
  <c r="AX267" i="48"/>
  <c r="P267" i="48" s="1"/>
  <c r="AX367" i="48"/>
  <c r="P367" i="48" s="1"/>
  <c r="AX417" i="48"/>
  <c r="P417" i="48" s="1"/>
  <c r="AX792" i="48"/>
  <c r="P792" i="48" s="1"/>
  <c r="AX942" i="48"/>
  <c r="P942" i="48" s="1"/>
  <c r="AX992" i="48"/>
  <c r="P992" i="48" s="1"/>
  <c r="AX1243" i="48"/>
  <c r="P1243" i="48" s="1"/>
  <c r="AX1267" i="48"/>
  <c r="P1267" i="48" s="1"/>
  <c r="AX1342" i="48"/>
  <c r="P1342" i="48" s="1"/>
  <c r="AX317" i="48"/>
  <c r="P317" i="48" s="1"/>
  <c r="AX1142" i="48"/>
  <c r="P1142" i="48" s="1"/>
  <c r="AX1192" i="48"/>
  <c r="P1192" i="48" s="1"/>
  <c r="AX92" i="48"/>
  <c r="P92" i="48" s="1"/>
  <c r="AX67" i="48"/>
  <c r="P67" i="48" s="1"/>
  <c r="AX292" i="48"/>
  <c r="P292" i="48" s="1"/>
  <c r="AX670" i="48"/>
  <c r="P670" i="48" s="1"/>
  <c r="AX415" i="48"/>
  <c r="P415" i="48" s="1"/>
  <c r="AX240" i="48"/>
  <c r="P240" i="48" s="1"/>
  <c r="AX365" i="48"/>
  <c r="P365" i="48" s="1"/>
  <c r="AX915" i="48"/>
  <c r="P915" i="48" s="1"/>
  <c r="AX1315" i="48"/>
  <c r="P1315" i="48" s="1"/>
  <c r="AX140" i="48"/>
  <c r="P140" i="48" s="1"/>
  <c r="AX1265" i="48"/>
  <c r="P1265" i="48" s="1"/>
  <c r="AX1015" i="48"/>
  <c r="P1015" i="48" s="1"/>
  <c r="AX15" i="48"/>
  <c r="P15" i="48" s="1"/>
  <c r="AX115" i="48"/>
  <c r="P115" i="48" s="1"/>
  <c r="AX1090" i="48"/>
  <c r="P1090" i="48" s="1"/>
  <c r="AX390" i="48"/>
  <c r="P390" i="48" s="1"/>
  <c r="AX190" i="48"/>
  <c r="P190" i="48" s="1"/>
  <c r="AX1040" i="48"/>
  <c r="P1040" i="48" s="1"/>
  <c r="AX90" i="48"/>
  <c r="P90" i="48" s="1"/>
  <c r="AX1190" i="48"/>
  <c r="P1190" i="48" s="1"/>
  <c r="AX1290" i="48"/>
  <c r="P1290" i="48" s="1"/>
  <c r="AX1215" i="48"/>
  <c r="P1215" i="48" s="1"/>
  <c r="AX1340" i="48"/>
  <c r="P1340" i="48" s="1"/>
  <c r="AX165" i="48"/>
  <c r="P165" i="48" s="1"/>
  <c r="AX690" i="48"/>
  <c r="P690" i="48" s="1"/>
  <c r="AX540" i="48"/>
  <c r="P540" i="48" s="1"/>
  <c r="AX515" i="48"/>
  <c r="P515" i="48" s="1"/>
  <c r="AX965" i="48"/>
  <c r="P965" i="48" s="1"/>
  <c r="AX340" i="48"/>
  <c r="P340" i="48" s="1"/>
  <c r="AX1065" i="48"/>
  <c r="P1065" i="48" s="1"/>
  <c r="AX1241" i="48"/>
  <c r="P1241" i="48" s="1"/>
  <c r="AX565" i="48"/>
  <c r="P565" i="48" s="1"/>
  <c r="AX640" i="48"/>
  <c r="P640" i="48" s="1"/>
  <c r="AX1115" i="48"/>
  <c r="P1115" i="48" s="1"/>
  <c r="AX65" i="48"/>
  <c r="P65" i="48" s="1"/>
  <c r="AX865" i="48"/>
  <c r="P865" i="48" s="1"/>
  <c r="AX890" i="48"/>
  <c r="P890" i="48" s="1"/>
  <c r="AX1140" i="48"/>
  <c r="P1140" i="48" s="1"/>
  <c r="AX40" i="48"/>
  <c r="P40" i="48" s="1"/>
  <c r="AX290" i="48"/>
  <c r="P290" i="48" s="1"/>
  <c r="AX790" i="48"/>
  <c r="P790" i="48" s="1"/>
  <c r="AX215" i="48"/>
  <c r="P215" i="48" s="1"/>
  <c r="AX265" i="48"/>
  <c r="P265" i="48" s="1"/>
  <c r="AX765" i="48"/>
  <c r="P765" i="48" s="1"/>
  <c r="AX315" i="48"/>
  <c r="P315" i="48" s="1"/>
  <c r="AX815" i="48"/>
  <c r="P815" i="48" s="1"/>
  <c r="AX440" i="48"/>
  <c r="P440" i="48" s="1"/>
  <c r="AX590" i="48"/>
  <c r="P590" i="48" s="1"/>
  <c r="AX715" i="48"/>
  <c r="P715" i="48" s="1"/>
  <c r="AX940" i="48"/>
  <c r="P940" i="48" s="1"/>
  <c r="AX990" i="48"/>
  <c r="P990" i="48" s="1"/>
  <c r="AX465" i="48"/>
  <c r="P465" i="48" s="1"/>
  <c r="AX840" i="48"/>
  <c r="P840" i="48" s="1"/>
  <c r="AX490" i="48"/>
  <c r="P490" i="48" s="1"/>
  <c r="AX615" i="48"/>
  <c r="P615" i="48" s="1"/>
  <c r="AX418" i="48"/>
  <c r="P418" i="48" s="1"/>
  <c r="AX143" i="48"/>
  <c r="P143" i="48" s="1"/>
  <c r="AX1318" i="48"/>
  <c r="P1318" i="48" s="1"/>
  <c r="AX1293" i="48"/>
  <c r="P1293" i="48" s="1"/>
  <c r="AX893" i="48"/>
  <c r="P893" i="48" s="1"/>
  <c r="AX18" i="48"/>
  <c r="P18" i="48" s="1"/>
  <c r="AX1118" i="48"/>
  <c r="P1118" i="48" s="1"/>
  <c r="AX193" i="48"/>
  <c r="P193" i="48" s="1"/>
  <c r="AX918" i="48"/>
  <c r="P918" i="48" s="1"/>
  <c r="AX1193" i="48"/>
  <c r="P1193" i="48" s="1"/>
  <c r="AX868" i="48"/>
  <c r="P868" i="48" s="1"/>
  <c r="AX1093" i="48"/>
  <c r="P1093" i="48" s="1"/>
  <c r="AX593" i="48"/>
  <c r="P593" i="48" s="1"/>
  <c r="AX1268" i="48"/>
  <c r="P1268" i="48" s="1"/>
  <c r="AX343" i="48"/>
  <c r="P343" i="48" s="1"/>
  <c r="AX243" i="48"/>
  <c r="P243" i="48" s="1"/>
  <c r="AX268" i="48"/>
  <c r="P268" i="48" s="1"/>
  <c r="AX818" i="48"/>
  <c r="P818" i="48" s="1"/>
  <c r="AX843" i="48"/>
  <c r="P843" i="48" s="1"/>
  <c r="AX993" i="48"/>
  <c r="P993" i="48" s="1"/>
  <c r="AX318" i="48"/>
  <c r="P318" i="48" s="1"/>
  <c r="AX968" i="48"/>
  <c r="P968" i="48" s="1"/>
  <c r="AX1043" i="48"/>
  <c r="P1043" i="48" s="1"/>
  <c r="AX568" i="48"/>
  <c r="P568" i="48" s="1"/>
  <c r="AX643" i="48"/>
  <c r="P643" i="48" s="1"/>
  <c r="AX493" i="48"/>
  <c r="P493" i="48" s="1"/>
  <c r="AX168" i="48"/>
  <c r="P168" i="48" s="1"/>
  <c r="AX218" i="48"/>
  <c r="P218" i="48" s="1"/>
  <c r="AX1343" i="48"/>
  <c r="P1343" i="48" s="1"/>
  <c r="AX43" i="48"/>
  <c r="P43" i="48" s="1"/>
  <c r="AX68" i="48"/>
  <c r="P68" i="48" s="1"/>
  <c r="AX468" i="48"/>
  <c r="P468" i="48" s="1"/>
  <c r="AX793" i="48"/>
  <c r="P793" i="48" s="1"/>
  <c r="AX1018" i="48"/>
  <c r="P1018" i="48" s="1"/>
  <c r="AX768" i="48"/>
  <c r="P768" i="48" s="1"/>
  <c r="AX1244" i="48"/>
  <c r="P1244" i="48" s="1"/>
  <c r="AX118" i="48"/>
  <c r="P118" i="48" s="1"/>
  <c r="AX693" i="48"/>
  <c r="P693" i="48" s="1"/>
  <c r="AX718" i="48"/>
  <c r="P718" i="48" s="1"/>
  <c r="AX293" i="48"/>
  <c r="P293" i="48" s="1"/>
  <c r="AX368" i="48"/>
  <c r="P368" i="48" s="1"/>
  <c r="AX93" i="48"/>
  <c r="P93" i="48" s="1"/>
  <c r="AX443" i="48"/>
  <c r="P443" i="48" s="1"/>
  <c r="AX393" i="48"/>
  <c r="P393" i="48" s="1"/>
  <c r="AX943" i="48"/>
  <c r="P943" i="48" s="1"/>
  <c r="AX1143" i="48"/>
  <c r="P1143" i="48" s="1"/>
  <c r="AX518" i="48"/>
  <c r="P518" i="48" s="1"/>
  <c r="AX1218" i="48"/>
  <c r="P1218" i="48" s="1"/>
  <c r="AX1068" i="48"/>
  <c r="P1068" i="48" s="1"/>
  <c r="AX543" i="48"/>
  <c r="P543" i="48" s="1"/>
  <c r="AX618" i="48"/>
  <c r="P618" i="48" s="1"/>
  <c r="AX24" i="48"/>
  <c r="P24" i="48" s="1"/>
  <c r="AX1099" i="48"/>
  <c r="P1099" i="48" s="1"/>
  <c r="AX649" i="48"/>
  <c r="P649" i="48" s="1"/>
  <c r="AX899" i="48"/>
  <c r="P899" i="48" s="1"/>
  <c r="AX1124" i="48"/>
  <c r="P1124" i="48" s="1"/>
  <c r="AX149" i="48"/>
  <c r="P149" i="48" s="1"/>
  <c r="AX124" i="48"/>
  <c r="P124" i="48" s="1"/>
  <c r="AX174" i="48"/>
  <c r="P174" i="48" s="1"/>
  <c r="AX1074" i="48"/>
  <c r="P1074" i="48" s="1"/>
  <c r="AX1149" i="48"/>
  <c r="P1149" i="48" s="1"/>
  <c r="AX74" i="48"/>
  <c r="P74" i="48" s="1"/>
  <c r="AX99" i="48"/>
  <c r="P99" i="48" s="1"/>
  <c r="AX299" i="48"/>
  <c r="P299" i="48" s="1"/>
  <c r="AX324" i="48"/>
  <c r="P324" i="48" s="1"/>
  <c r="AX374" i="48"/>
  <c r="P374" i="48" s="1"/>
  <c r="AX424" i="48"/>
  <c r="P424" i="48" s="1"/>
  <c r="AX574" i="48"/>
  <c r="P574" i="48" s="1"/>
  <c r="AX699" i="48"/>
  <c r="P699" i="48" s="1"/>
  <c r="AX974" i="48"/>
  <c r="P974" i="48" s="1"/>
  <c r="AX399" i="48"/>
  <c r="P399" i="48" s="1"/>
  <c r="AX249" i="48"/>
  <c r="P249" i="48" s="1"/>
  <c r="AX499" i="48"/>
  <c r="P499" i="48" s="1"/>
  <c r="AX874" i="48"/>
  <c r="P874" i="48" s="1"/>
  <c r="AX1049" i="48"/>
  <c r="P1049" i="48" s="1"/>
  <c r="AX1224" i="48"/>
  <c r="P1224" i="48" s="1"/>
  <c r="AX274" i="48"/>
  <c r="P274" i="48" s="1"/>
  <c r="AX349" i="48"/>
  <c r="P349" i="48" s="1"/>
  <c r="AX949" i="48"/>
  <c r="P949" i="48" s="1"/>
  <c r="AX1299" i="48"/>
  <c r="P1299" i="48" s="1"/>
  <c r="AX199" i="48"/>
  <c r="P199" i="48" s="1"/>
  <c r="AX1199" i="48"/>
  <c r="P1199" i="48" s="1"/>
  <c r="AX1324" i="48"/>
  <c r="P1324" i="48" s="1"/>
  <c r="AX599" i="48"/>
  <c r="P599" i="48" s="1"/>
  <c r="AX1024" i="48"/>
  <c r="P1024" i="48" s="1"/>
  <c r="AX224" i="48"/>
  <c r="P224" i="48" s="1"/>
  <c r="AX849" i="48"/>
  <c r="P849" i="48" s="1"/>
  <c r="AX1349" i="48"/>
  <c r="P1349" i="48" s="1"/>
  <c r="AX1250" i="48"/>
  <c r="P1250" i="48" s="1"/>
  <c r="AX824" i="48"/>
  <c r="P824" i="48" s="1"/>
  <c r="AX624" i="48"/>
  <c r="P624" i="48" s="1"/>
  <c r="AX774" i="48"/>
  <c r="P774" i="48" s="1"/>
  <c r="AX999" i="48"/>
  <c r="P999" i="48" s="1"/>
  <c r="AX49" i="48"/>
  <c r="P49" i="48" s="1"/>
  <c r="AX549" i="48"/>
  <c r="P549" i="48" s="1"/>
  <c r="AX449" i="48"/>
  <c r="P449" i="48" s="1"/>
  <c r="AX1274" i="48"/>
  <c r="P1274" i="48" s="1"/>
  <c r="AX524" i="48"/>
  <c r="P524" i="48" s="1"/>
  <c r="AX474" i="48"/>
  <c r="P474" i="48" s="1"/>
  <c r="AX724" i="48"/>
  <c r="P724" i="48" s="1"/>
  <c r="AX799" i="48"/>
  <c r="P799" i="48" s="1"/>
  <c r="AX924" i="48"/>
  <c r="P924" i="48" s="1"/>
  <c r="AX1273" i="48"/>
  <c r="P1273" i="48" s="1"/>
  <c r="AX373" i="48"/>
  <c r="P373" i="48" s="1"/>
  <c r="AX573" i="48"/>
  <c r="P573" i="48" s="1"/>
  <c r="AX1073" i="48"/>
  <c r="P1073" i="48" s="1"/>
  <c r="AX523" i="48"/>
  <c r="P523" i="48" s="1"/>
  <c r="AX48" i="48"/>
  <c r="P48" i="48" s="1"/>
  <c r="AX698" i="48"/>
  <c r="P698" i="48" s="1"/>
  <c r="AX1223" i="48"/>
  <c r="P1223" i="48" s="1"/>
  <c r="AX248" i="48"/>
  <c r="P248" i="48" s="1"/>
  <c r="AX773" i="48"/>
  <c r="P773" i="48" s="1"/>
  <c r="AX848" i="48"/>
  <c r="P848" i="48" s="1"/>
  <c r="AX123" i="48"/>
  <c r="P123" i="48" s="1"/>
  <c r="AX23" i="48"/>
  <c r="P23" i="48" s="1"/>
  <c r="AX348" i="48"/>
  <c r="P348" i="48" s="1"/>
  <c r="AX948" i="48"/>
  <c r="P948" i="48" s="1"/>
  <c r="AX173" i="48"/>
  <c r="P173" i="48" s="1"/>
  <c r="AX1148" i="48"/>
  <c r="P1148" i="48" s="1"/>
  <c r="AX798" i="48"/>
  <c r="P798" i="48" s="1"/>
  <c r="AX1298" i="48"/>
  <c r="P1298" i="48" s="1"/>
  <c r="AX148" i="48"/>
  <c r="P148" i="48" s="1"/>
  <c r="AX973" i="48"/>
  <c r="P973" i="48" s="1"/>
  <c r="AX1123" i="48"/>
  <c r="P1123" i="48" s="1"/>
  <c r="AX448" i="48"/>
  <c r="P448" i="48" s="1"/>
  <c r="AX423" i="48"/>
  <c r="P423" i="48" s="1"/>
  <c r="AX1023" i="48"/>
  <c r="P1023" i="48" s="1"/>
  <c r="AX323" i="48"/>
  <c r="P323" i="48" s="1"/>
  <c r="AX473" i="48"/>
  <c r="P473" i="48" s="1"/>
  <c r="AX73" i="48"/>
  <c r="P73" i="48" s="1"/>
  <c r="AX723" i="48"/>
  <c r="P723" i="48" s="1"/>
  <c r="AX1249" i="48"/>
  <c r="P1249" i="48" s="1"/>
  <c r="AX548" i="48"/>
  <c r="P548" i="48" s="1"/>
  <c r="AX998" i="48"/>
  <c r="P998" i="48" s="1"/>
  <c r="AX273" i="48"/>
  <c r="P273" i="48" s="1"/>
  <c r="AX623" i="48"/>
  <c r="P623" i="48" s="1"/>
  <c r="AX1098" i="48"/>
  <c r="P1098" i="48" s="1"/>
  <c r="AX598" i="48"/>
  <c r="P598" i="48" s="1"/>
  <c r="AX923" i="48"/>
  <c r="P923" i="48" s="1"/>
  <c r="AX298" i="48"/>
  <c r="P298" i="48" s="1"/>
  <c r="AX898" i="48"/>
  <c r="P898" i="48" s="1"/>
  <c r="AX1198" i="48"/>
  <c r="P1198" i="48" s="1"/>
  <c r="AX198" i="48"/>
  <c r="P198" i="48" s="1"/>
  <c r="AX398" i="48"/>
  <c r="P398" i="48" s="1"/>
  <c r="AX498" i="48"/>
  <c r="P498" i="48" s="1"/>
  <c r="AX873" i="48"/>
  <c r="P873" i="48" s="1"/>
  <c r="AX1048" i="48"/>
  <c r="P1048" i="48" s="1"/>
  <c r="AX1323" i="48"/>
  <c r="P1323" i="48" s="1"/>
  <c r="AX648" i="48"/>
  <c r="P648" i="48" s="1"/>
  <c r="AX223" i="48"/>
  <c r="P223" i="48" s="1"/>
  <c r="AX1348" i="48"/>
  <c r="P1348" i="48" s="1"/>
  <c r="AX98" i="48"/>
  <c r="P98" i="48" s="1"/>
  <c r="AX823" i="48"/>
  <c r="P823" i="48" s="1"/>
  <c r="AX594" i="48"/>
  <c r="P594" i="48" s="1"/>
  <c r="AX1344" i="48"/>
  <c r="P1344" i="48" s="1"/>
  <c r="AX794" i="48"/>
  <c r="P794" i="48" s="1"/>
  <c r="AX144" i="48"/>
  <c r="P144" i="48" s="1"/>
  <c r="AX619" i="48"/>
  <c r="P619" i="48" s="1"/>
  <c r="AX19" i="48"/>
  <c r="P19" i="48" s="1"/>
  <c r="AX394" i="48"/>
  <c r="P394" i="48" s="1"/>
  <c r="AX444" i="48"/>
  <c r="P444" i="48" s="1"/>
  <c r="AX1294" i="48"/>
  <c r="P1294" i="48" s="1"/>
  <c r="AX1319" i="48"/>
  <c r="P1319" i="48" s="1"/>
  <c r="AX719" i="48"/>
  <c r="P719" i="48" s="1"/>
  <c r="AX44" i="48"/>
  <c r="P44" i="48" s="1"/>
  <c r="AX1119" i="48"/>
  <c r="P1119" i="48" s="1"/>
  <c r="AX1019" i="48"/>
  <c r="P1019" i="48" s="1"/>
  <c r="AX294" i="48"/>
  <c r="P294" i="48" s="1"/>
  <c r="AX819" i="48"/>
  <c r="P819" i="48" s="1"/>
  <c r="AX419" i="48"/>
  <c r="P419" i="48" s="1"/>
  <c r="AX1069" i="48"/>
  <c r="P1069" i="48" s="1"/>
  <c r="AX69" i="48"/>
  <c r="P69" i="48" s="1"/>
  <c r="AX694" i="48"/>
  <c r="P694" i="48" s="1"/>
  <c r="AX769" i="48"/>
  <c r="P769" i="48" s="1"/>
  <c r="AX1245" i="48"/>
  <c r="P1245" i="48" s="1"/>
  <c r="AX1269" i="48"/>
  <c r="P1269" i="48" s="1"/>
  <c r="AX494" i="48"/>
  <c r="P494" i="48" s="1"/>
  <c r="AX644" i="48"/>
  <c r="P644" i="48" s="1"/>
  <c r="AX869" i="48"/>
  <c r="P869" i="48" s="1"/>
  <c r="AX969" i="48"/>
  <c r="P969" i="48" s="1"/>
  <c r="AX94" i="48"/>
  <c r="P94" i="48" s="1"/>
  <c r="AX269" i="48"/>
  <c r="P269" i="48" s="1"/>
  <c r="AX844" i="48"/>
  <c r="P844" i="48" s="1"/>
  <c r="AX944" i="48"/>
  <c r="P944" i="48" s="1"/>
  <c r="AX1144" i="48"/>
  <c r="P1144" i="48" s="1"/>
  <c r="AX1219" i="48"/>
  <c r="P1219" i="48" s="1"/>
  <c r="AX169" i="48"/>
  <c r="P169" i="48" s="1"/>
  <c r="AX194" i="48"/>
  <c r="P194" i="48" s="1"/>
  <c r="AX219" i="48"/>
  <c r="P219" i="48" s="1"/>
  <c r="AX1044" i="48"/>
  <c r="P1044" i="48" s="1"/>
  <c r="AX244" i="48"/>
  <c r="P244" i="48" s="1"/>
  <c r="AX319" i="48"/>
  <c r="P319" i="48" s="1"/>
  <c r="AX519" i="48"/>
  <c r="P519" i="48" s="1"/>
  <c r="AX119" i="48"/>
  <c r="P119" i="48" s="1"/>
  <c r="AX1094" i="48"/>
  <c r="P1094" i="48" s="1"/>
  <c r="AX344" i="48"/>
  <c r="P344" i="48" s="1"/>
  <c r="AX469" i="48"/>
  <c r="P469" i="48" s="1"/>
  <c r="AX544" i="48"/>
  <c r="P544" i="48" s="1"/>
  <c r="AX369" i="48"/>
  <c r="P369" i="48" s="1"/>
  <c r="AX994" i="48"/>
  <c r="P994" i="48" s="1"/>
  <c r="AX1194" i="48"/>
  <c r="P1194" i="48" s="1"/>
  <c r="AX919" i="48"/>
  <c r="P919" i="48" s="1"/>
  <c r="AX569" i="48"/>
  <c r="P569" i="48" s="1"/>
  <c r="AX894" i="48"/>
  <c r="P894" i="48" s="1"/>
  <c r="AT660" i="48"/>
  <c r="AL10" i="48"/>
  <c r="P41" i="59" s="1"/>
  <c r="AX671" i="48"/>
  <c r="P671" i="48" s="1"/>
  <c r="AX411" i="48"/>
  <c r="P411" i="48" s="1"/>
  <c r="AX136" i="48"/>
  <c r="P136" i="48" s="1"/>
  <c r="AX1061" i="48"/>
  <c r="P1061" i="48" s="1"/>
  <c r="AX236" i="48"/>
  <c r="P236" i="48" s="1"/>
  <c r="AX1261" i="48"/>
  <c r="P1261" i="48" s="1"/>
  <c r="AX561" i="48"/>
  <c r="P561" i="48" s="1"/>
  <c r="AX1186" i="48"/>
  <c r="P1186" i="48" s="1"/>
  <c r="AX336" i="48"/>
  <c r="P336" i="48" s="1"/>
  <c r="AX636" i="48"/>
  <c r="P636" i="48" s="1"/>
  <c r="AX386" i="48"/>
  <c r="P386" i="48" s="1"/>
  <c r="AX436" i="48"/>
  <c r="P436" i="48" s="1"/>
  <c r="AX511" i="48"/>
  <c r="P511" i="48" s="1"/>
  <c r="AX861" i="48"/>
  <c r="P861" i="48" s="1"/>
  <c r="AX886" i="48"/>
  <c r="P886" i="48" s="1"/>
  <c r="AX311" i="48"/>
  <c r="P311" i="48" s="1"/>
  <c r="AX361" i="48"/>
  <c r="P361" i="48" s="1"/>
  <c r="AX986" i="48"/>
  <c r="P986" i="48" s="1"/>
  <c r="AX1211" i="48"/>
  <c r="P1211" i="48" s="1"/>
  <c r="AX611" i="48"/>
  <c r="P611" i="48" s="1"/>
  <c r="AX1036" i="48"/>
  <c r="P1036" i="48" s="1"/>
  <c r="AX1136" i="48"/>
  <c r="P1136" i="48" s="1"/>
  <c r="AX61" i="48"/>
  <c r="P61" i="48" s="1"/>
  <c r="AX111" i="48"/>
  <c r="P111" i="48" s="1"/>
  <c r="AX786" i="48"/>
  <c r="P786" i="48" s="1"/>
  <c r="AX461" i="48"/>
  <c r="P461" i="48" s="1"/>
  <c r="AX536" i="48"/>
  <c r="P536" i="48" s="1"/>
  <c r="AX586" i="48"/>
  <c r="P586" i="48" s="1"/>
  <c r="AX686" i="48"/>
  <c r="P686" i="48" s="1"/>
  <c r="AX811" i="48"/>
  <c r="P811" i="48" s="1"/>
  <c r="AX836" i="48"/>
  <c r="P836" i="48" s="1"/>
  <c r="AX911" i="48"/>
  <c r="P911" i="48" s="1"/>
  <c r="AX1237" i="48"/>
  <c r="P1237" i="48" s="1"/>
  <c r="AX36" i="48"/>
  <c r="P36" i="48" s="1"/>
  <c r="AX261" i="48"/>
  <c r="P261" i="48" s="1"/>
  <c r="AX1086" i="48"/>
  <c r="P1086" i="48" s="1"/>
  <c r="AX1286" i="48"/>
  <c r="P1286" i="48" s="1"/>
  <c r="AX1311" i="48"/>
  <c r="P1311" i="48" s="1"/>
  <c r="AX86" i="48"/>
  <c r="P86" i="48" s="1"/>
  <c r="AX161" i="48"/>
  <c r="P161" i="48" s="1"/>
  <c r="AX1111" i="48"/>
  <c r="P1111" i="48" s="1"/>
  <c r="AX761" i="48"/>
  <c r="P761" i="48" s="1"/>
  <c r="AX711" i="48"/>
  <c r="P711" i="48" s="1"/>
  <c r="AX936" i="48"/>
  <c r="P936" i="48" s="1"/>
  <c r="AX1011" i="48"/>
  <c r="P1011" i="48" s="1"/>
  <c r="AX186" i="48"/>
  <c r="P186" i="48" s="1"/>
  <c r="AX961" i="48"/>
  <c r="P961" i="48" s="1"/>
  <c r="AX1336" i="48"/>
  <c r="P1336" i="48" s="1"/>
  <c r="AX486" i="48"/>
  <c r="P486" i="48" s="1"/>
  <c r="AX211" i="48"/>
  <c r="P211" i="48" s="1"/>
  <c r="AX286" i="48"/>
  <c r="P286" i="48" s="1"/>
  <c r="AX667" i="48"/>
  <c r="P667" i="48" s="1"/>
  <c r="AX665" i="48"/>
  <c r="P665" i="48" s="1"/>
  <c r="AX614" i="48"/>
  <c r="P614" i="48" s="1"/>
  <c r="AX239" i="48"/>
  <c r="P239" i="48" s="1"/>
  <c r="AX1014" i="48"/>
  <c r="P1014" i="48" s="1"/>
  <c r="AX839" i="48"/>
  <c r="P839" i="48" s="1"/>
  <c r="AX914" i="48"/>
  <c r="P914" i="48" s="1"/>
  <c r="AX1089" i="48"/>
  <c r="P1089" i="48" s="1"/>
  <c r="AX1114" i="48"/>
  <c r="P1114" i="48" s="1"/>
  <c r="AX139" i="48"/>
  <c r="P139" i="48" s="1"/>
  <c r="AX64" i="48"/>
  <c r="P64" i="48" s="1"/>
  <c r="AX989" i="48"/>
  <c r="P989" i="48" s="1"/>
  <c r="AX364" i="48"/>
  <c r="P364" i="48" s="1"/>
  <c r="AX889" i="48"/>
  <c r="P889" i="48" s="1"/>
  <c r="AX14" i="48"/>
  <c r="P14" i="48" s="1"/>
  <c r="AX1240" i="48"/>
  <c r="P1240" i="48" s="1"/>
  <c r="AX289" i="48"/>
  <c r="P289" i="48" s="1"/>
  <c r="AX514" i="48"/>
  <c r="P514" i="48" s="1"/>
  <c r="AX539" i="48"/>
  <c r="P539" i="48" s="1"/>
  <c r="AX589" i="48"/>
  <c r="P589" i="48" s="1"/>
  <c r="AX764" i="48"/>
  <c r="P764" i="48" s="1"/>
  <c r="AX814" i="48"/>
  <c r="P814" i="48" s="1"/>
  <c r="AX339" i="48"/>
  <c r="P339" i="48" s="1"/>
  <c r="AX939" i="48"/>
  <c r="P939" i="48" s="1"/>
  <c r="AX1289" i="48"/>
  <c r="P1289" i="48" s="1"/>
  <c r="AX164" i="48"/>
  <c r="P164" i="48" s="1"/>
  <c r="AX114" i="48"/>
  <c r="P114" i="48" s="1"/>
  <c r="AX464" i="48"/>
  <c r="P464" i="48" s="1"/>
  <c r="AX39" i="48"/>
  <c r="P39" i="48" s="1"/>
  <c r="AX439" i="48"/>
  <c r="P439" i="48" s="1"/>
  <c r="AX714" i="48"/>
  <c r="P714" i="48" s="1"/>
  <c r="AX1189" i="48"/>
  <c r="P1189" i="48" s="1"/>
  <c r="AX1339" i="48"/>
  <c r="P1339" i="48" s="1"/>
  <c r="AX189" i="48"/>
  <c r="P189" i="48" s="1"/>
  <c r="AX564" i="48"/>
  <c r="P564" i="48" s="1"/>
  <c r="AX639" i="48"/>
  <c r="P639" i="48" s="1"/>
  <c r="AX689" i="48"/>
  <c r="P689" i="48" s="1"/>
  <c r="AX89" i="48"/>
  <c r="P89" i="48" s="1"/>
  <c r="AX314" i="48"/>
  <c r="P314" i="48" s="1"/>
  <c r="AX389" i="48"/>
  <c r="P389" i="48" s="1"/>
  <c r="AX489" i="48"/>
  <c r="P489" i="48" s="1"/>
  <c r="AX214" i="48"/>
  <c r="P214" i="48" s="1"/>
  <c r="AX864" i="48"/>
  <c r="P864" i="48" s="1"/>
  <c r="AX1039" i="48"/>
  <c r="P1039" i="48" s="1"/>
  <c r="AX1214" i="48"/>
  <c r="P1214" i="48" s="1"/>
  <c r="AX264" i="48"/>
  <c r="P264" i="48" s="1"/>
  <c r="AX789" i="48"/>
  <c r="P789" i="48" s="1"/>
  <c r="AX1264" i="48"/>
  <c r="P1264" i="48" s="1"/>
  <c r="AX964" i="48"/>
  <c r="P964" i="48" s="1"/>
  <c r="AX1314" i="48"/>
  <c r="P1314" i="48" s="1"/>
  <c r="AX1064" i="48"/>
  <c r="P1064" i="48" s="1"/>
  <c r="AX1139" i="48"/>
  <c r="P1139" i="48" s="1"/>
  <c r="AX414" i="48"/>
  <c r="P414" i="48" s="1"/>
  <c r="AX137" i="48"/>
  <c r="P137" i="48" s="1"/>
  <c r="AX962" i="48"/>
  <c r="P962" i="48" s="1"/>
  <c r="AX887" i="48"/>
  <c r="P887" i="48" s="1"/>
  <c r="AX62" i="48"/>
  <c r="P62" i="48" s="1"/>
  <c r="AX587" i="48"/>
  <c r="P587" i="48" s="1"/>
  <c r="AX487" i="48"/>
  <c r="P487" i="48" s="1"/>
  <c r="AX112" i="48"/>
  <c r="P112" i="48" s="1"/>
  <c r="AX912" i="48"/>
  <c r="P912" i="48" s="1"/>
  <c r="AX12" i="48"/>
  <c r="P12" i="48" s="1"/>
  <c r="AX1087" i="48"/>
  <c r="P1087" i="48" s="1"/>
  <c r="AX612" i="48"/>
  <c r="P612" i="48" s="1"/>
  <c r="AX337" i="48"/>
  <c r="P337" i="48" s="1"/>
  <c r="AX37" i="48"/>
  <c r="P37" i="48" s="1"/>
  <c r="AX1287" i="48"/>
  <c r="P1287" i="48" s="1"/>
  <c r="AX562" i="48"/>
  <c r="P562" i="48" s="1"/>
  <c r="AX1112" i="48"/>
  <c r="P1112" i="48" s="1"/>
  <c r="AX212" i="48"/>
  <c r="P212" i="48" s="1"/>
  <c r="AX937" i="48"/>
  <c r="P937" i="48" s="1"/>
  <c r="AX237" i="48"/>
  <c r="P237" i="48" s="1"/>
  <c r="AX412" i="48"/>
  <c r="P412" i="48" s="1"/>
  <c r="AX712" i="48"/>
  <c r="P712" i="48" s="1"/>
  <c r="AX987" i="48"/>
  <c r="P987" i="48" s="1"/>
  <c r="AX787" i="48"/>
  <c r="P787" i="48" s="1"/>
  <c r="AX1137" i="48"/>
  <c r="P1137" i="48" s="1"/>
  <c r="AX537" i="48"/>
  <c r="P537" i="48" s="1"/>
  <c r="AX637" i="48"/>
  <c r="P637" i="48" s="1"/>
  <c r="AX387" i="48"/>
  <c r="P387" i="48" s="1"/>
  <c r="AX1187" i="48"/>
  <c r="P1187" i="48" s="1"/>
  <c r="AX1012" i="48"/>
  <c r="P1012" i="48" s="1"/>
  <c r="AX1037" i="48"/>
  <c r="P1037" i="48" s="1"/>
  <c r="AX1312" i="48"/>
  <c r="P1312" i="48" s="1"/>
  <c r="AX362" i="48"/>
  <c r="P362" i="48" s="1"/>
  <c r="AX312" i="48"/>
  <c r="P312" i="48" s="1"/>
  <c r="AX862" i="48"/>
  <c r="P862" i="48" s="1"/>
  <c r="AX1212" i="48"/>
  <c r="P1212" i="48" s="1"/>
  <c r="AX1238" i="48"/>
  <c r="P1238" i="48" s="1"/>
  <c r="AX1062" i="48"/>
  <c r="P1062" i="48" s="1"/>
  <c r="AX1337" i="48"/>
  <c r="P1337" i="48" s="1"/>
  <c r="AX1262" i="48"/>
  <c r="P1262" i="48" s="1"/>
  <c r="AX512" i="48"/>
  <c r="P512" i="48" s="1"/>
  <c r="AX837" i="48"/>
  <c r="P837" i="48" s="1"/>
  <c r="AX262" i="48"/>
  <c r="P262" i="48" s="1"/>
  <c r="AX437" i="48"/>
  <c r="P437" i="48" s="1"/>
  <c r="AX462" i="48"/>
  <c r="P462" i="48" s="1"/>
  <c r="AX812" i="48"/>
  <c r="P812" i="48" s="1"/>
  <c r="AX162" i="48"/>
  <c r="P162" i="48" s="1"/>
  <c r="AX87" i="48"/>
  <c r="P87" i="48" s="1"/>
  <c r="AX287" i="48"/>
  <c r="P287" i="48" s="1"/>
  <c r="AX762" i="48"/>
  <c r="P762" i="48" s="1"/>
  <c r="AX687" i="48"/>
  <c r="P687" i="48" s="1"/>
  <c r="AX187" i="48"/>
  <c r="P187" i="48" s="1"/>
  <c r="AX674" i="48"/>
  <c r="P674" i="48" s="1"/>
  <c r="AX425" i="48"/>
  <c r="P425" i="48" s="1"/>
  <c r="AX350" i="48"/>
  <c r="P350" i="48" s="1"/>
  <c r="AX1025" i="48"/>
  <c r="P1025" i="48" s="1"/>
  <c r="AX200" i="48"/>
  <c r="P200" i="48" s="1"/>
  <c r="AX150" i="48"/>
  <c r="P150" i="48" s="1"/>
  <c r="AX125" i="48"/>
  <c r="P125" i="48" s="1"/>
  <c r="AX50" i="48"/>
  <c r="P50" i="48" s="1"/>
  <c r="AX1100" i="48"/>
  <c r="P1100" i="48" s="1"/>
  <c r="AX1200" i="48"/>
  <c r="P1200" i="48" s="1"/>
  <c r="AX1325" i="48"/>
  <c r="P1325" i="48" s="1"/>
  <c r="AX1125" i="48"/>
  <c r="P1125" i="48" s="1"/>
  <c r="AX400" i="48"/>
  <c r="P400" i="48" s="1"/>
  <c r="AX575" i="48"/>
  <c r="P575" i="48" s="1"/>
  <c r="AX275" i="48"/>
  <c r="P275" i="48" s="1"/>
  <c r="AX1275" i="48"/>
  <c r="P1275" i="48" s="1"/>
  <c r="AX450" i="48"/>
  <c r="P450" i="48" s="1"/>
  <c r="AX375" i="48"/>
  <c r="P375" i="48" s="1"/>
  <c r="AX1350" i="48"/>
  <c r="P1350" i="48" s="1"/>
  <c r="AX175" i="48"/>
  <c r="P175" i="48" s="1"/>
  <c r="AX300" i="48"/>
  <c r="P300" i="48" s="1"/>
  <c r="AX700" i="48"/>
  <c r="P700" i="48" s="1"/>
  <c r="AX800" i="48"/>
  <c r="P800" i="48" s="1"/>
  <c r="AX1150" i="48"/>
  <c r="P1150" i="48" s="1"/>
  <c r="AX1075" i="48"/>
  <c r="P1075" i="48" s="1"/>
  <c r="AX550" i="48"/>
  <c r="P550" i="48" s="1"/>
  <c r="AX1300" i="48"/>
  <c r="P1300" i="48" s="1"/>
  <c r="AX725" i="48"/>
  <c r="P725" i="48" s="1"/>
  <c r="AX900" i="48"/>
  <c r="P900" i="48" s="1"/>
  <c r="AX1000" i="48"/>
  <c r="P1000" i="48" s="1"/>
  <c r="AX500" i="48"/>
  <c r="P500" i="48" s="1"/>
  <c r="AX475" i="48"/>
  <c r="P475" i="48" s="1"/>
  <c r="AX925" i="48"/>
  <c r="P925" i="48" s="1"/>
  <c r="AX950" i="48"/>
  <c r="P950" i="48" s="1"/>
  <c r="AX75" i="48"/>
  <c r="P75" i="48" s="1"/>
  <c r="AX100" i="48"/>
  <c r="P100" i="48" s="1"/>
  <c r="AX525" i="48"/>
  <c r="P525" i="48" s="1"/>
  <c r="AX825" i="48"/>
  <c r="P825" i="48" s="1"/>
  <c r="AX1225" i="48"/>
  <c r="P1225" i="48" s="1"/>
  <c r="AX250" i="48"/>
  <c r="P250" i="48" s="1"/>
  <c r="AX325" i="48"/>
  <c r="P325" i="48" s="1"/>
  <c r="AX650" i="48"/>
  <c r="P650" i="48" s="1"/>
  <c r="AX25" i="48"/>
  <c r="P25" i="48" s="1"/>
  <c r="AX225" i="48"/>
  <c r="P225" i="48" s="1"/>
  <c r="AX1050" i="48"/>
  <c r="P1050" i="48" s="1"/>
  <c r="AX975" i="48"/>
  <c r="P975" i="48" s="1"/>
  <c r="AX850" i="48"/>
  <c r="P850" i="48" s="1"/>
  <c r="AX600" i="48"/>
  <c r="P600" i="48" s="1"/>
  <c r="AX625" i="48"/>
  <c r="P625" i="48" s="1"/>
  <c r="AX775" i="48"/>
  <c r="P775" i="48" s="1"/>
  <c r="AX875" i="48"/>
  <c r="P875" i="48" s="1"/>
  <c r="AX673" i="48"/>
  <c r="P673" i="48" s="1"/>
  <c r="AU664" i="48"/>
  <c r="AX147" i="48"/>
  <c r="P147" i="48" s="1"/>
  <c r="AX597" i="48"/>
  <c r="P597" i="48" s="1"/>
  <c r="AX897" i="48"/>
  <c r="P897" i="48" s="1"/>
  <c r="AX122" i="48"/>
  <c r="P122" i="48" s="1"/>
  <c r="AX172" i="48"/>
  <c r="P172" i="48" s="1"/>
  <c r="AX1122" i="48"/>
  <c r="P1122" i="48" s="1"/>
  <c r="AX1272" i="48"/>
  <c r="P1272" i="48" s="1"/>
  <c r="AX197" i="48"/>
  <c r="P197" i="48" s="1"/>
  <c r="AX22" i="48"/>
  <c r="P22" i="48" s="1"/>
  <c r="AX472" i="48"/>
  <c r="P472" i="48" s="1"/>
  <c r="AX797" i="48"/>
  <c r="P797" i="48" s="1"/>
  <c r="AX1022" i="48"/>
  <c r="P1022" i="48" s="1"/>
  <c r="AX72" i="48"/>
  <c r="P72" i="48" s="1"/>
  <c r="AX947" i="48"/>
  <c r="P947" i="48" s="1"/>
  <c r="AX1147" i="48"/>
  <c r="P1147" i="48" s="1"/>
  <c r="AX1347" i="48"/>
  <c r="P1347" i="48" s="1"/>
  <c r="AX272" i="48"/>
  <c r="P272" i="48" s="1"/>
  <c r="AX97" i="48"/>
  <c r="P97" i="48" s="1"/>
  <c r="AX572" i="48"/>
  <c r="P572" i="48" s="1"/>
  <c r="AX622" i="48"/>
  <c r="P622" i="48" s="1"/>
  <c r="AX972" i="48"/>
  <c r="P972" i="48" s="1"/>
  <c r="AX1222" i="48"/>
  <c r="P1222" i="48" s="1"/>
  <c r="AX297" i="48"/>
  <c r="P297" i="48" s="1"/>
  <c r="AX422" i="48"/>
  <c r="P422" i="48" s="1"/>
  <c r="AX1248" i="48"/>
  <c r="P1248" i="48" s="1"/>
  <c r="AX1322" i="48"/>
  <c r="P1322" i="48" s="1"/>
  <c r="AX497" i="48"/>
  <c r="P497" i="48" s="1"/>
  <c r="AX772" i="48"/>
  <c r="P772" i="48" s="1"/>
  <c r="AX372" i="48"/>
  <c r="P372" i="48" s="1"/>
  <c r="AX697" i="48"/>
  <c r="P697" i="48" s="1"/>
  <c r="AX997" i="48"/>
  <c r="P997" i="48" s="1"/>
  <c r="AX1197" i="48"/>
  <c r="P1197" i="48" s="1"/>
  <c r="AX222" i="48"/>
  <c r="P222" i="48" s="1"/>
  <c r="AX722" i="48"/>
  <c r="P722" i="48" s="1"/>
  <c r="AX1097" i="48"/>
  <c r="P1097" i="48" s="1"/>
  <c r="AX1297" i="48"/>
  <c r="P1297" i="48" s="1"/>
  <c r="AX47" i="48"/>
  <c r="P47" i="48" s="1"/>
  <c r="AX397" i="48"/>
  <c r="P397" i="48" s="1"/>
  <c r="AX447" i="48"/>
  <c r="P447" i="48" s="1"/>
  <c r="AX547" i="48"/>
  <c r="P547" i="48" s="1"/>
  <c r="AX822" i="48"/>
  <c r="P822" i="48" s="1"/>
  <c r="AX1047" i="48"/>
  <c r="P1047" i="48" s="1"/>
  <c r="AX322" i="48"/>
  <c r="P322" i="48" s="1"/>
  <c r="AX1072" i="48"/>
  <c r="P1072" i="48" s="1"/>
  <c r="AX647" i="48"/>
  <c r="P647" i="48" s="1"/>
  <c r="AX522" i="48"/>
  <c r="P522" i="48" s="1"/>
  <c r="AX347" i="48"/>
  <c r="P347" i="48" s="1"/>
  <c r="AX922" i="48"/>
  <c r="P922" i="48" s="1"/>
  <c r="AX247" i="48"/>
  <c r="P247" i="48" s="1"/>
  <c r="AX847" i="48"/>
  <c r="P847" i="48" s="1"/>
  <c r="AX872" i="48"/>
  <c r="P872" i="48" s="1"/>
  <c r="AX661" i="48"/>
  <c r="P661" i="48" s="1"/>
  <c r="AG277" i="48"/>
  <c r="AX488" i="48"/>
  <c r="P488" i="48" s="1"/>
  <c r="AX1113" i="48"/>
  <c r="P1113" i="48" s="1"/>
  <c r="AX1188" i="48"/>
  <c r="P1188" i="48" s="1"/>
  <c r="AX138" i="48"/>
  <c r="P138" i="48" s="1"/>
  <c r="AX238" i="48"/>
  <c r="P238" i="48" s="1"/>
  <c r="AX1088" i="48"/>
  <c r="P1088" i="48" s="1"/>
  <c r="AX1288" i="48"/>
  <c r="P1288" i="48" s="1"/>
  <c r="AX1263" i="48"/>
  <c r="P1263" i="48" s="1"/>
  <c r="AX13" i="48"/>
  <c r="P13" i="48" s="1"/>
  <c r="AX363" i="48"/>
  <c r="P363" i="48" s="1"/>
  <c r="AX563" i="48"/>
  <c r="P563" i="48" s="1"/>
  <c r="AX538" i="48"/>
  <c r="P538" i="48" s="1"/>
  <c r="AX713" i="48"/>
  <c r="P713" i="48" s="1"/>
  <c r="AX913" i="48"/>
  <c r="P913" i="48" s="1"/>
  <c r="AX988" i="48"/>
  <c r="P988" i="48" s="1"/>
  <c r="AX1038" i="48"/>
  <c r="P1038" i="48" s="1"/>
  <c r="AX1063" i="48"/>
  <c r="P1063" i="48" s="1"/>
  <c r="AX1313" i="48"/>
  <c r="P1313" i="48" s="1"/>
  <c r="AX1239" i="48"/>
  <c r="P1239" i="48" s="1"/>
  <c r="AX688" i="48"/>
  <c r="P688" i="48" s="1"/>
  <c r="AX863" i="48"/>
  <c r="P863" i="48" s="1"/>
  <c r="AX838" i="48"/>
  <c r="P838" i="48" s="1"/>
  <c r="AX1138" i="48"/>
  <c r="P1138" i="48" s="1"/>
  <c r="AX63" i="48"/>
  <c r="P63" i="48" s="1"/>
  <c r="AX163" i="48"/>
  <c r="P163" i="48" s="1"/>
  <c r="AX438" i="48"/>
  <c r="P438" i="48" s="1"/>
  <c r="AX513" i="48"/>
  <c r="P513" i="48" s="1"/>
  <c r="AX588" i="48"/>
  <c r="P588" i="48" s="1"/>
  <c r="AX1338" i="48"/>
  <c r="P1338" i="48" s="1"/>
  <c r="AX613" i="48"/>
  <c r="P613" i="48" s="1"/>
  <c r="AX88" i="48"/>
  <c r="P88" i="48" s="1"/>
  <c r="AX313" i="48"/>
  <c r="P313" i="48" s="1"/>
  <c r="AX638" i="48"/>
  <c r="P638" i="48" s="1"/>
  <c r="AX38" i="48"/>
  <c r="P38" i="48" s="1"/>
  <c r="AX763" i="48"/>
  <c r="P763" i="48" s="1"/>
  <c r="AX788" i="48"/>
  <c r="P788" i="48" s="1"/>
  <c r="AX338" i="48"/>
  <c r="P338" i="48" s="1"/>
  <c r="AX288" i="48"/>
  <c r="P288" i="48" s="1"/>
  <c r="AX113" i="48"/>
  <c r="P113" i="48" s="1"/>
  <c r="AX888" i="48"/>
  <c r="P888" i="48" s="1"/>
  <c r="AX938" i="48"/>
  <c r="P938" i="48" s="1"/>
  <c r="AX1013" i="48"/>
  <c r="P1013" i="48" s="1"/>
  <c r="AX388" i="48"/>
  <c r="P388" i="48" s="1"/>
  <c r="AX413" i="48"/>
  <c r="P413" i="48" s="1"/>
  <c r="AX463" i="48"/>
  <c r="P463" i="48" s="1"/>
  <c r="AX813" i="48"/>
  <c r="P813" i="48" s="1"/>
  <c r="AX188" i="48"/>
  <c r="P188" i="48" s="1"/>
  <c r="AX263" i="48"/>
  <c r="P263" i="48" s="1"/>
  <c r="AX963" i="48"/>
  <c r="P963" i="48" s="1"/>
  <c r="AX1213" i="48"/>
  <c r="P1213" i="48" s="1"/>
  <c r="AX213" i="48"/>
  <c r="P213" i="48" s="1"/>
  <c r="AX664" i="48"/>
  <c r="P664" i="48" s="1"/>
  <c r="AX662" i="48"/>
  <c r="P662" i="48" s="1"/>
  <c r="AX1116" i="48"/>
  <c r="P1116" i="48" s="1"/>
  <c r="AX1191" i="48"/>
  <c r="P1191" i="48" s="1"/>
  <c r="AX1091" i="48"/>
  <c r="P1091" i="48" s="1"/>
  <c r="AX1242" i="48"/>
  <c r="P1242" i="48" s="1"/>
  <c r="AX966" i="48"/>
  <c r="P966" i="48" s="1"/>
  <c r="AX491" i="48"/>
  <c r="P491" i="48" s="1"/>
  <c r="AX141" i="48"/>
  <c r="P141" i="48" s="1"/>
  <c r="AX16" i="48"/>
  <c r="P16" i="48" s="1"/>
  <c r="AX1291" i="48"/>
  <c r="P1291" i="48" s="1"/>
  <c r="AX816" i="48"/>
  <c r="P816" i="48" s="1"/>
  <c r="AX91" i="48"/>
  <c r="P91" i="48" s="1"/>
  <c r="AX241" i="48"/>
  <c r="P241" i="48" s="1"/>
  <c r="AX791" i="48"/>
  <c r="P791" i="48" s="1"/>
  <c r="AX66" i="48"/>
  <c r="P66" i="48" s="1"/>
  <c r="AX466" i="48"/>
  <c r="P466" i="48" s="1"/>
  <c r="AX766" i="48"/>
  <c r="P766" i="48" s="1"/>
  <c r="AX941" i="48"/>
  <c r="P941" i="48" s="1"/>
  <c r="AX1016" i="48"/>
  <c r="P1016" i="48" s="1"/>
  <c r="AX166" i="48"/>
  <c r="P166" i="48" s="1"/>
  <c r="AX316" i="48"/>
  <c r="P316" i="48" s="1"/>
  <c r="AX991" i="48"/>
  <c r="P991" i="48" s="1"/>
  <c r="AX1066" i="48"/>
  <c r="P1066" i="48" s="1"/>
  <c r="AX266" i="48"/>
  <c r="P266" i="48" s="1"/>
  <c r="AX441" i="48"/>
  <c r="P441" i="48" s="1"/>
  <c r="AX891" i="48"/>
  <c r="P891" i="48" s="1"/>
  <c r="AX616" i="48"/>
  <c r="P616" i="48" s="1"/>
  <c r="AX1266" i="48"/>
  <c r="P1266" i="48" s="1"/>
  <c r="AX116" i="48"/>
  <c r="P116" i="48" s="1"/>
  <c r="AX191" i="48"/>
  <c r="P191" i="48" s="1"/>
  <c r="AX291" i="48"/>
  <c r="P291" i="48" s="1"/>
  <c r="AX541" i="48"/>
  <c r="P541" i="48" s="1"/>
  <c r="AX366" i="48"/>
  <c r="P366" i="48" s="1"/>
  <c r="AX841" i="48"/>
  <c r="P841" i="48" s="1"/>
  <c r="AX866" i="48"/>
  <c r="P866" i="48" s="1"/>
  <c r="AX916" i="48"/>
  <c r="P916" i="48" s="1"/>
  <c r="AX1341" i="48"/>
  <c r="P1341" i="48" s="1"/>
  <c r="AX216" i="48"/>
  <c r="P216" i="48" s="1"/>
  <c r="AX41" i="48"/>
  <c r="P41" i="48" s="1"/>
  <c r="AX516" i="48"/>
  <c r="P516" i="48" s="1"/>
  <c r="AX591" i="48"/>
  <c r="P591" i="48" s="1"/>
  <c r="AX691" i="48"/>
  <c r="P691" i="48" s="1"/>
  <c r="AX341" i="48"/>
  <c r="P341" i="48" s="1"/>
  <c r="AX391" i="48"/>
  <c r="P391" i="48" s="1"/>
  <c r="AX1141" i="48"/>
  <c r="P1141" i="48" s="1"/>
  <c r="AX1216" i="48"/>
  <c r="P1216" i="48" s="1"/>
  <c r="AX566" i="48"/>
  <c r="P566" i="48" s="1"/>
  <c r="AX641" i="48"/>
  <c r="P641" i="48" s="1"/>
  <c r="AX416" i="48"/>
  <c r="P416" i="48" s="1"/>
  <c r="AX1041" i="48"/>
  <c r="P1041" i="48" s="1"/>
  <c r="AX716" i="48"/>
  <c r="P716" i="48" s="1"/>
  <c r="AX1316" i="48"/>
  <c r="P1316" i="48" s="1"/>
  <c r="AX675" i="48"/>
  <c r="P675" i="48" s="1"/>
  <c r="AU675" i="48"/>
  <c r="AU662" i="48"/>
  <c r="AU668" i="48"/>
  <c r="AU663" i="48"/>
  <c r="AU670" i="48"/>
  <c r="AU666" i="48"/>
  <c r="AU667" i="48"/>
  <c r="AS659" i="48"/>
  <c r="AR659" i="48"/>
  <c r="AS660" i="48"/>
  <c r="AR660" i="48"/>
  <c r="AK660" i="48"/>
  <c r="AK661" i="48"/>
  <c r="AV73" i="48"/>
  <c r="AW72" i="48"/>
  <c r="AW347" i="48"/>
  <c r="AV348" i="48"/>
  <c r="AW372" i="48"/>
  <c r="AV373" i="48"/>
  <c r="AW1172" i="48"/>
  <c r="AV1173" i="48"/>
  <c r="AW272" i="48"/>
  <c r="AV273" i="48"/>
  <c r="AV623" i="48"/>
  <c r="AW622" i="48"/>
  <c r="AW222" i="48"/>
  <c r="AV223" i="48"/>
  <c r="AV548" i="48"/>
  <c r="AW547" i="48"/>
  <c r="AV298" i="48"/>
  <c r="AW297" i="48"/>
  <c r="AW1072" i="48"/>
  <c r="AV1073" i="48"/>
  <c r="AW1022" i="48"/>
  <c r="AV1023" i="48"/>
  <c r="AW597" i="48"/>
  <c r="AV598" i="48"/>
  <c r="AW572" i="48"/>
  <c r="AV573" i="48"/>
  <c r="AV773" i="48"/>
  <c r="AW772" i="48"/>
  <c r="AV498" i="48"/>
  <c r="AW497" i="48"/>
  <c r="AW1247" i="48"/>
  <c r="AV1248" i="48"/>
  <c r="AV173" i="48"/>
  <c r="AW172" i="48"/>
  <c r="AW197" i="48"/>
  <c r="AV198" i="48"/>
  <c r="AW1222" i="48"/>
  <c r="AV1223" i="48"/>
  <c r="AV1323" i="48"/>
  <c r="AW1322" i="48"/>
  <c r="AV998" i="48"/>
  <c r="AW997" i="48"/>
  <c r="AW922" i="48"/>
  <c r="AV923" i="48"/>
  <c r="AV400" i="48"/>
  <c r="AW399" i="48"/>
  <c r="AV875" i="48"/>
  <c r="AW874" i="48"/>
  <c r="AV150" i="48"/>
  <c r="AW149" i="48"/>
  <c r="AW1349" i="48"/>
  <c r="AV1350" i="48"/>
  <c r="AV975" i="48"/>
  <c r="AW974" i="48"/>
  <c r="AV50" i="48"/>
  <c r="AW49" i="48"/>
  <c r="AV1125" i="48"/>
  <c r="AW1124" i="48"/>
  <c r="AW1299" i="48"/>
  <c r="AV1300" i="48"/>
  <c r="AW949" i="48"/>
  <c r="AV950" i="48"/>
  <c r="AW1049" i="48"/>
  <c r="AV1050" i="48"/>
  <c r="AW449" i="48"/>
  <c r="AV450" i="48"/>
  <c r="AV425" i="48"/>
  <c r="AW424" i="48"/>
  <c r="AW1149" i="48"/>
  <c r="AV1150" i="48"/>
  <c r="AW1199" i="48"/>
  <c r="AV1200" i="48"/>
  <c r="AV100" i="48"/>
  <c r="AW99" i="48"/>
  <c r="AV475" i="48"/>
  <c r="AW474" i="48"/>
  <c r="AV125" i="48"/>
  <c r="AW124" i="48"/>
  <c r="AV850" i="48"/>
  <c r="AW849" i="48"/>
  <c r="AW1099" i="48"/>
  <c r="AV1100" i="48"/>
  <c r="AV750" i="48"/>
  <c r="AW749" i="48"/>
  <c r="AV1275" i="48"/>
  <c r="AW1274" i="48"/>
  <c r="AV325" i="48"/>
  <c r="AW324" i="48"/>
  <c r="AV825" i="48"/>
  <c r="AW824" i="48"/>
  <c r="AV800" i="48"/>
  <c r="AW799" i="48"/>
  <c r="AV525" i="48"/>
  <c r="AW524" i="48"/>
  <c r="AV900" i="48"/>
  <c r="AW899" i="48"/>
  <c r="AV700" i="48"/>
  <c r="AW699" i="48"/>
  <c r="AV725" i="48"/>
  <c r="AW724" i="48"/>
  <c r="AW649" i="48"/>
  <c r="AV650" i="48"/>
  <c r="AW249" i="48"/>
  <c r="AV250" i="48"/>
  <c r="AG666" i="48" l="1"/>
  <c r="P666" i="48"/>
  <c r="AG663" i="48"/>
  <c r="P663" i="48"/>
  <c r="AG672" i="48"/>
  <c r="P672" i="48"/>
  <c r="AG669" i="48"/>
  <c r="AG668" i="48"/>
  <c r="AN10" i="48"/>
  <c r="AG566" i="48"/>
  <c r="AG866" i="48"/>
  <c r="AG616" i="48"/>
  <c r="AG66" i="48"/>
  <c r="AG491" i="48"/>
  <c r="AG188" i="48"/>
  <c r="AG1239" i="48"/>
  <c r="AG1288" i="48"/>
  <c r="AG247" i="48"/>
  <c r="AG822" i="48"/>
  <c r="AG372" i="48"/>
  <c r="AG272" i="48"/>
  <c r="AG22" i="48"/>
  <c r="Y22" i="48"/>
  <c r="AG600" i="48"/>
  <c r="AG250" i="48"/>
  <c r="AG725" i="48"/>
  <c r="AG1275" i="48"/>
  <c r="AG187" i="48"/>
  <c r="AG437" i="48"/>
  <c r="AG1312" i="48"/>
  <c r="AG787" i="48"/>
  <c r="AG562" i="48"/>
  <c r="AG112" i="48"/>
  <c r="AG1264" i="48"/>
  <c r="AG639" i="48"/>
  <c r="AG464" i="48"/>
  <c r="AG989" i="48"/>
  <c r="AG665" i="48"/>
  <c r="AG1111" i="48"/>
  <c r="AG1237" i="48"/>
  <c r="AG1036" i="48"/>
  <c r="AG336" i="48"/>
  <c r="AG1261" i="48"/>
  <c r="AG919" i="48"/>
  <c r="AG1044" i="48"/>
  <c r="AG769" i="48"/>
  <c r="AG1294" i="48"/>
  <c r="AG873" i="48"/>
  <c r="AG998" i="48"/>
  <c r="AG423" i="48"/>
  <c r="AG123" i="48"/>
  <c r="AG924" i="48"/>
  <c r="AG224" i="48"/>
  <c r="AG874" i="48"/>
  <c r="AG1018" i="48"/>
  <c r="AG818" i="48"/>
  <c r="AG18" i="48"/>
  <c r="Y18" i="48"/>
  <c r="AG315" i="48"/>
  <c r="AG640" i="48"/>
  <c r="AG690" i="48"/>
  <c r="AG190" i="48"/>
  <c r="AG1315" i="48"/>
  <c r="AG92" i="48"/>
  <c r="AG1342" i="48"/>
  <c r="AG942" i="48"/>
  <c r="AG867" i="48"/>
  <c r="AG1092" i="48"/>
  <c r="AG617" i="48"/>
  <c r="AG1292" i="48"/>
  <c r="AG192" i="48"/>
  <c r="AG167" i="48"/>
  <c r="AG242" i="48"/>
  <c r="AG1317" i="48"/>
  <c r="AG1217" i="48"/>
  <c r="AG271" i="48"/>
  <c r="AG1071" i="48"/>
  <c r="AG771" i="48"/>
  <c r="AG546" i="48"/>
  <c r="AG646" i="48"/>
  <c r="AG96" i="48"/>
  <c r="AG921" i="48"/>
  <c r="AG1247" i="48"/>
  <c r="AG346" i="48"/>
  <c r="AG1271" i="48"/>
  <c r="AG71" i="48"/>
  <c r="AG1045" i="48"/>
  <c r="AG295" i="48"/>
  <c r="AG1195" i="48"/>
  <c r="AG945" i="48"/>
  <c r="AG195" i="48"/>
  <c r="AG820" i="48"/>
  <c r="AG995" i="48"/>
  <c r="AG370" i="48"/>
  <c r="AG1270" i="48"/>
  <c r="AG770" i="48"/>
  <c r="AG595" i="48"/>
  <c r="AG420" i="48"/>
  <c r="AG1041" i="48"/>
  <c r="AG1216" i="48"/>
  <c r="AG691" i="48"/>
  <c r="AG216" i="48"/>
  <c r="AG841" i="48"/>
  <c r="AG191" i="48"/>
  <c r="AG891" i="48"/>
  <c r="AG991" i="48"/>
  <c r="AG941" i="48"/>
  <c r="AG791" i="48"/>
  <c r="AG1291" i="48"/>
  <c r="AG966" i="48"/>
  <c r="AG1116" i="48"/>
  <c r="AG1213" i="48"/>
  <c r="AG813" i="48"/>
  <c r="AG1013" i="48"/>
  <c r="AG288" i="48"/>
  <c r="AG38" i="48"/>
  <c r="AG613" i="48"/>
  <c r="AG438" i="48"/>
  <c r="AG838" i="48"/>
  <c r="AG1313" i="48"/>
  <c r="AG913" i="48"/>
  <c r="AG363" i="48"/>
  <c r="AG1088" i="48"/>
  <c r="AG1113" i="48"/>
  <c r="AG661" i="48"/>
  <c r="AG922" i="48"/>
  <c r="AG1072" i="48"/>
  <c r="AG547" i="48"/>
  <c r="AG1297" i="48"/>
  <c r="AG1197" i="48"/>
  <c r="AG772" i="48"/>
  <c r="AG422" i="48"/>
  <c r="AG622" i="48"/>
  <c r="AG1347" i="48"/>
  <c r="AG1022" i="48"/>
  <c r="AG197" i="48"/>
  <c r="AG122" i="48"/>
  <c r="AG875" i="48"/>
  <c r="AG850" i="48"/>
  <c r="AG25" i="48"/>
  <c r="Y25" i="48"/>
  <c r="AG1225" i="48"/>
  <c r="AG75" i="48"/>
  <c r="AG500" i="48"/>
  <c r="AG1300" i="48"/>
  <c r="AG800" i="48"/>
  <c r="AG1350" i="48"/>
  <c r="AG275" i="48"/>
  <c r="AG1325" i="48"/>
  <c r="AG125" i="48"/>
  <c r="AG350" i="48"/>
  <c r="AG687" i="48"/>
  <c r="AG162" i="48"/>
  <c r="AG262" i="48"/>
  <c r="AG1337" i="48"/>
  <c r="AG862" i="48"/>
  <c r="AG1037" i="48"/>
  <c r="AG637" i="48"/>
  <c r="AG987" i="48"/>
  <c r="AG937" i="48"/>
  <c r="AG1287" i="48"/>
  <c r="AG1087" i="48"/>
  <c r="AG487" i="48"/>
  <c r="AG962" i="48"/>
  <c r="AG1064" i="48"/>
  <c r="AG789" i="48"/>
  <c r="AG864" i="48"/>
  <c r="AG314" i="48"/>
  <c r="AG564" i="48"/>
  <c r="AG714" i="48"/>
  <c r="AG114" i="48"/>
  <c r="AG339" i="48"/>
  <c r="AG539" i="48"/>
  <c r="AG14" i="48"/>
  <c r="Y14" i="48"/>
  <c r="AG64" i="48"/>
  <c r="AG914" i="48"/>
  <c r="AG614" i="48"/>
  <c r="AG667" i="48"/>
  <c r="AG1336" i="48"/>
  <c r="AG936" i="48"/>
  <c r="AG161" i="48"/>
  <c r="AG1086" i="48"/>
  <c r="AG911" i="48"/>
  <c r="AG586" i="48"/>
  <c r="AG111" i="48"/>
  <c r="AG611" i="48"/>
  <c r="AG311" i="48"/>
  <c r="AG436" i="48"/>
  <c r="AG1186" i="48"/>
  <c r="AG236" i="48"/>
  <c r="AG671" i="48"/>
  <c r="AG1194" i="48"/>
  <c r="AG469" i="48"/>
  <c r="AG519" i="48"/>
  <c r="AG219" i="48"/>
  <c r="AG94" i="48"/>
  <c r="AG494" i="48"/>
  <c r="AG694" i="48"/>
  <c r="AG819" i="48"/>
  <c r="AG44" i="48"/>
  <c r="AG444" i="48"/>
  <c r="AG144" i="48"/>
  <c r="AG823" i="48"/>
  <c r="AG648" i="48"/>
  <c r="AG498" i="48"/>
  <c r="AG898" i="48"/>
  <c r="AG1098" i="48"/>
  <c r="AG548" i="48"/>
  <c r="AG473" i="48"/>
  <c r="AG448" i="48"/>
  <c r="AG1298" i="48"/>
  <c r="AG948" i="48"/>
  <c r="AG848" i="48"/>
  <c r="AG698" i="48"/>
  <c r="AG573" i="48"/>
  <c r="AG799" i="48"/>
  <c r="AG1274" i="48"/>
  <c r="AG999" i="48"/>
  <c r="AG1250" i="48"/>
  <c r="AG1024" i="48"/>
  <c r="AG199" i="48"/>
  <c r="AG274" i="48"/>
  <c r="AG499" i="48"/>
  <c r="AG699" i="48"/>
  <c r="AG324" i="48"/>
  <c r="AG149" i="48"/>
  <c r="AG1099" i="48"/>
  <c r="AG1068" i="48"/>
  <c r="AG943" i="48"/>
  <c r="AG368" i="48"/>
  <c r="AG118" i="48"/>
  <c r="AG793" i="48"/>
  <c r="AG1343" i="48"/>
  <c r="AG643" i="48"/>
  <c r="AG318" i="48"/>
  <c r="AG268" i="48"/>
  <c r="AG593" i="48"/>
  <c r="AG918" i="48"/>
  <c r="AG893" i="48"/>
  <c r="AG418" i="48"/>
  <c r="AG465" i="48"/>
  <c r="AG590" i="48"/>
  <c r="AG765" i="48"/>
  <c r="AG290" i="48"/>
  <c r="AG865" i="48"/>
  <c r="AG565" i="48"/>
  <c r="AG965" i="48"/>
  <c r="AG165" i="48"/>
  <c r="AG1190" i="48"/>
  <c r="AG390" i="48"/>
  <c r="AG1015" i="48"/>
  <c r="AG915" i="48"/>
  <c r="AG670" i="48"/>
  <c r="AG1192" i="48"/>
  <c r="AG1267" i="48"/>
  <c r="AG792" i="48"/>
  <c r="AG492" i="48"/>
  <c r="AG592" i="48"/>
  <c r="AG767" i="48"/>
  <c r="AG517" i="48"/>
  <c r="AG842" i="48"/>
  <c r="AG1067" i="48"/>
  <c r="AG117" i="48"/>
  <c r="AG1117" i="48"/>
  <c r="AG17" i="48"/>
  <c r="Y17" i="48"/>
  <c r="AG596" i="48"/>
  <c r="AG621" i="48"/>
  <c r="AG996" i="48"/>
  <c r="AG696" i="48"/>
  <c r="AG471" i="48"/>
  <c r="AG1046" i="48"/>
  <c r="AG196" i="48"/>
  <c r="AG1096" i="48"/>
  <c r="AG396" i="48"/>
  <c r="AG321" i="48"/>
  <c r="AG46" i="48"/>
  <c r="AG971" i="48"/>
  <c r="AG146" i="48"/>
  <c r="AG1246" i="48"/>
  <c r="AG920" i="48"/>
  <c r="AG570" i="48"/>
  <c r="AG1345" i="48"/>
  <c r="AG495" i="48"/>
  <c r="AG695" i="48"/>
  <c r="AG545" i="48"/>
  <c r="AG645" i="48"/>
  <c r="AG720" i="48"/>
  <c r="AG895" i="48"/>
  <c r="AG245" i="48"/>
  <c r="AG1095" i="48"/>
  <c r="AG145" i="48"/>
  <c r="AG41" i="48"/>
  <c r="AG1066" i="48"/>
  <c r="AG816" i="48"/>
  <c r="AG213" i="48"/>
  <c r="AG113" i="48"/>
  <c r="AG513" i="48"/>
  <c r="AG563" i="48"/>
  <c r="AG1188" i="48"/>
  <c r="AG647" i="48"/>
  <c r="AG1248" i="48"/>
  <c r="AG147" i="48"/>
  <c r="AG1125" i="48"/>
  <c r="AG1025" i="48"/>
  <c r="AG1262" i="48"/>
  <c r="AG387" i="48"/>
  <c r="AG1039" i="48"/>
  <c r="AG1189" i="48"/>
  <c r="AG589" i="48"/>
  <c r="AG1089" i="48"/>
  <c r="AG486" i="48"/>
  <c r="AG1286" i="48"/>
  <c r="AG786" i="48"/>
  <c r="AG511" i="48"/>
  <c r="AG411" i="48"/>
  <c r="AG119" i="48"/>
  <c r="AG269" i="48"/>
  <c r="AG419" i="48"/>
  <c r="AG594" i="48"/>
  <c r="AG598" i="48"/>
  <c r="AG148" i="48"/>
  <c r="AG1223" i="48"/>
  <c r="AG49" i="48"/>
  <c r="AG1199" i="48"/>
  <c r="AG374" i="48"/>
  <c r="AG124" i="48"/>
  <c r="AG543" i="48"/>
  <c r="AG693" i="48"/>
  <c r="AG493" i="48"/>
  <c r="AG1268" i="48"/>
  <c r="AG840" i="48"/>
  <c r="AG890" i="48"/>
  <c r="AG415" i="48"/>
  <c r="AG1296" i="48"/>
  <c r="AG675" i="48"/>
  <c r="AG416" i="48"/>
  <c r="AG1341" i="48"/>
  <c r="AG116" i="48"/>
  <c r="AG766" i="48"/>
  <c r="AG1242" i="48"/>
  <c r="AG963" i="48"/>
  <c r="AG938" i="48"/>
  <c r="AG638" i="48"/>
  <c r="AG163" i="48"/>
  <c r="AG1063" i="48"/>
  <c r="AG238" i="48"/>
  <c r="AG322" i="48"/>
  <c r="AG1097" i="48"/>
  <c r="AG297" i="48"/>
  <c r="AG797" i="48"/>
  <c r="AG1272" i="48"/>
  <c r="AG775" i="48"/>
  <c r="AG975" i="48"/>
  <c r="AG650" i="48"/>
  <c r="AG825" i="48"/>
  <c r="AG950" i="48"/>
  <c r="AG1000" i="48"/>
  <c r="AG550" i="48"/>
  <c r="AG700" i="48"/>
  <c r="AG375" i="48"/>
  <c r="AG575" i="48"/>
  <c r="AG1200" i="48"/>
  <c r="AG150" i="48"/>
  <c r="AG425" i="48"/>
  <c r="AG762" i="48"/>
  <c r="AG812" i="48"/>
  <c r="AG837" i="48"/>
  <c r="AG1062" i="48"/>
  <c r="AG312" i="48"/>
  <c r="AG1012" i="48"/>
  <c r="AG537" i="48"/>
  <c r="AG712" i="48"/>
  <c r="AG212" i="48"/>
  <c r="AG37" i="48"/>
  <c r="AG12" i="48"/>
  <c r="Y12" i="48"/>
  <c r="AG587" i="48"/>
  <c r="AG137" i="48"/>
  <c r="AG1314" i="48"/>
  <c r="AG264" i="48"/>
  <c r="AG214" i="48"/>
  <c r="AG89" i="48"/>
  <c r="AG189" i="48"/>
  <c r="AG439" i="48"/>
  <c r="AG164" i="48"/>
  <c r="AG814" i="48"/>
  <c r="AG514" i="48"/>
  <c r="AG889" i="48"/>
  <c r="AG139" i="48"/>
  <c r="AG839" i="48"/>
  <c r="AG286" i="48"/>
  <c r="AG961" i="48"/>
  <c r="AG711" i="48"/>
  <c r="AG86" i="48"/>
  <c r="AG261" i="48"/>
  <c r="AG836" i="48"/>
  <c r="AG536" i="48"/>
  <c r="AG61" i="48"/>
  <c r="AG1211" i="48"/>
  <c r="AG886" i="48"/>
  <c r="AG386" i="48"/>
  <c r="AG11" i="48"/>
  <c r="Y11" i="48"/>
  <c r="AG1061" i="48"/>
  <c r="AG894" i="48"/>
  <c r="AG994" i="48"/>
  <c r="AG344" i="48"/>
  <c r="AG319" i="48"/>
  <c r="AG194" i="48"/>
  <c r="AG944" i="48"/>
  <c r="AG969" i="48"/>
  <c r="AG1269" i="48"/>
  <c r="AG69" i="48"/>
  <c r="AG294" i="48"/>
  <c r="AG719" i="48"/>
  <c r="AG394" i="48"/>
  <c r="AG794" i="48"/>
  <c r="AG98" i="48"/>
  <c r="AG1323" i="48"/>
  <c r="AG398" i="48"/>
  <c r="AG298" i="48"/>
  <c r="AG623" i="48"/>
  <c r="AG1249" i="48"/>
  <c r="AG323" i="48"/>
  <c r="AG1123" i="48"/>
  <c r="AG798" i="48"/>
  <c r="AG348" i="48"/>
  <c r="AG773" i="48"/>
  <c r="AG48" i="48"/>
  <c r="AG373" i="48"/>
  <c r="AG724" i="48"/>
  <c r="AG449" i="48"/>
  <c r="AG774" i="48"/>
  <c r="AG1349" i="48"/>
  <c r="AG599" i="48"/>
  <c r="AG1299" i="48"/>
  <c r="AG1224" i="48"/>
  <c r="AG249" i="48"/>
  <c r="AG574" i="48"/>
  <c r="AG299" i="48"/>
  <c r="AG1074" i="48"/>
  <c r="AG1124" i="48"/>
  <c r="AG24" i="48"/>
  <c r="Y24" i="48"/>
  <c r="AG1218" i="48"/>
  <c r="AG393" i="48"/>
  <c r="AG293" i="48"/>
  <c r="AG1244" i="48"/>
  <c r="AG468" i="48"/>
  <c r="AG218" i="48"/>
  <c r="AG568" i="48"/>
  <c r="AG993" i="48"/>
  <c r="AG243" i="48"/>
  <c r="AG1093" i="48"/>
  <c r="AG193" i="48"/>
  <c r="AG1293" i="48"/>
  <c r="AG615" i="48"/>
  <c r="AG990" i="48"/>
  <c r="AG440" i="48"/>
  <c r="AG265" i="48"/>
  <c r="AG40" i="48"/>
  <c r="AG65" i="48"/>
  <c r="AG1241" i="48"/>
  <c r="AG515" i="48"/>
  <c r="AG1340" i="48"/>
  <c r="AG90" i="48"/>
  <c r="AG1090" i="48"/>
  <c r="AG1265" i="48"/>
  <c r="AG365" i="48"/>
  <c r="AG292" i="48"/>
  <c r="AG1243" i="48"/>
  <c r="AG417" i="48"/>
  <c r="AG1042" i="48"/>
  <c r="AG467" i="48"/>
  <c r="AG542" i="48"/>
  <c r="AG642" i="48"/>
  <c r="AG817" i="48"/>
  <c r="AG717" i="48"/>
  <c r="AG967" i="48"/>
  <c r="AG142" i="48"/>
  <c r="AG917" i="48"/>
  <c r="AG521" i="48"/>
  <c r="AG1221" i="48"/>
  <c r="AG846" i="48"/>
  <c r="AG221" i="48"/>
  <c r="AG721" i="48"/>
  <c r="AG871" i="48"/>
  <c r="AG121" i="48"/>
  <c r="AG496" i="48"/>
  <c r="AG896" i="48"/>
  <c r="AG1121" i="48"/>
  <c r="AG571" i="48"/>
  <c r="AG371" i="48"/>
  <c r="AG1321" i="48"/>
  <c r="AG170" i="48"/>
  <c r="AG520" i="48"/>
  <c r="AG445" i="48"/>
  <c r="AG620" i="48"/>
  <c r="AG395" i="48"/>
  <c r="AG70" i="48"/>
  <c r="AG470" i="48"/>
  <c r="AG1220" i="48"/>
  <c r="AG220" i="48"/>
  <c r="AG45" i="48"/>
  <c r="AG795" i="48"/>
  <c r="AG20" i="48"/>
  <c r="Y20" i="48"/>
  <c r="AG716" i="48"/>
  <c r="AG341" i="48"/>
  <c r="AG291" i="48"/>
  <c r="AG1016" i="48"/>
  <c r="AG1191" i="48"/>
  <c r="AG388" i="48"/>
  <c r="AG763" i="48"/>
  <c r="AG88" i="48"/>
  <c r="AG988" i="48"/>
  <c r="AG47" i="48"/>
  <c r="AG222" i="48"/>
  <c r="AG972" i="48"/>
  <c r="AG72" i="48"/>
  <c r="AG172" i="48"/>
  <c r="AG673" i="48"/>
  <c r="AG225" i="48"/>
  <c r="AG100" i="48"/>
  <c r="AG475" i="48"/>
  <c r="AG175" i="48"/>
  <c r="AG50" i="48"/>
  <c r="AG87" i="48"/>
  <c r="AG1212" i="48"/>
  <c r="AG237" i="48"/>
  <c r="AG612" i="48"/>
  <c r="AG887" i="48"/>
  <c r="AG389" i="48"/>
  <c r="AG939" i="48"/>
  <c r="AG1240" i="48"/>
  <c r="AG239" i="48"/>
  <c r="AG1011" i="48"/>
  <c r="AG686" i="48"/>
  <c r="AG361" i="48"/>
  <c r="AG544" i="48"/>
  <c r="AG1219" i="48"/>
  <c r="AG644" i="48"/>
  <c r="AG1119" i="48"/>
  <c r="AG619" i="48"/>
  <c r="AG223" i="48"/>
  <c r="AG1198" i="48"/>
  <c r="AG73" i="48"/>
  <c r="AG173" i="48"/>
  <c r="AG1073" i="48"/>
  <c r="AG524" i="48"/>
  <c r="AG824" i="48"/>
  <c r="AG349" i="48"/>
  <c r="AG974" i="48"/>
  <c r="AG74" i="48"/>
  <c r="AG649" i="48"/>
  <c r="AG93" i="48"/>
  <c r="AG43" i="48"/>
  <c r="AG968" i="48"/>
  <c r="AG1193" i="48"/>
  <c r="AG143" i="48"/>
  <c r="AG715" i="48"/>
  <c r="AG790" i="48"/>
  <c r="AG340" i="48"/>
  <c r="AG1290" i="48"/>
  <c r="AG15" i="48"/>
  <c r="Y15" i="48"/>
  <c r="AG267" i="48"/>
  <c r="AG845" i="48"/>
  <c r="AG591" i="48"/>
  <c r="AG366" i="48"/>
  <c r="AG441" i="48"/>
  <c r="AG316" i="48"/>
  <c r="AG241" i="48"/>
  <c r="AG16" i="48"/>
  <c r="Y16" i="48"/>
  <c r="AG662" i="48"/>
  <c r="AG463" i="48"/>
  <c r="AG338" i="48"/>
  <c r="AG1338" i="48"/>
  <c r="AG863" i="48"/>
  <c r="AG713" i="48"/>
  <c r="AG13" i="48"/>
  <c r="Y13" i="48"/>
  <c r="AG488" i="48"/>
  <c r="AG872" i="48"/>
  <c r="AG347" i="48"/>
  <c r="AG447" i="48"/>
  <c r="AG997" i="48"/>
  <c r="AG497" i="48"/>
  <c r="AG572" i="48"/>
  <c r="AG897" i="48"/>
  <c r="AG1316" i="48"/>
  <c r="AG641" i="48"/>
  <c r="AG391" i="48"/>
  <c r="AG516" i="48"/>
  <c r="AG916" i="48"/>
  <c r="AG541" i="48"/>
  <c r="AG1266" i="48"/>
  <c r="AG266" i="48"/>
  <c r="AG166" i="48"/>
  <c r="AG466" i="48"/>
  <c r="AG91" i="48"/>
  <c r="AG141" i="48"/>
  <c r="AG1091" i="48"/>
  <c r="AG664" i="48"/>
  <c r="AG263" i="48"/>
  <c r="AG413" i="48"/>
  <c r="AG888" i="48"/>
  <c r="AG788" i="48"/>
  <c r="AG313" i="48"/>
  <c r="AG588" i="48"/>
  <c r="AG63" i="48"/>
  <c r="AG688" i="48"/>
  <c r="AG1038" i="48"/>
  <c r="AG538" i="48"/>
  <c r="AG1263" i="48"/>
  <c r="AG138" i="48"/>
  <c r="AG847" i="48"/>
  <c r="AG522" i="48"/>
  <c r="AG1047" i="48"/>
  <c r="AG397" i="48"/>
  <c r="AG722" i="48"/>
  <c r="AG697" i="48"/>
  <c r="AG1322" i="48"/>
  <c r="AG1222" i="48"/>
  <c r="AG97" i="48"/>
  <c r="AG947" i="48"/>
  <c r="AG472" i="48"/>
  <c r="AG1122" i="48"/>
  <c r="AG597" i="48"/>
  <c r="AG625" i="48"/>
  <c r="AG1050" i="48"/>
  <c r="AG325" i="48"/>
  <c r="AG525" i="48"/>
  <c r="AG925" i="48"/>
  <c r="AG900" i="48"/>
  <c r="AG1075" i="48"/>
  <c r="AG300" i="48"/>
  <c r="AG450" i="48"/>
  <c r="AG400" i="48"/>
  <c r="AG1100" i="48"/>
  <c r="AG200" i="48"/>
  <c r="AG674" i="48"/>
  <c r="AG287" i="48"/>
  <c r="AG462" i="48"/>
  <c r="AG512" i="48"/>
  <c r="AG1238" i="48"/>
  <c r="AG362" i="48"/>
  <c r="AG1187" i="48"/>
  <c r="AG412" i="48"/>
  <c r="AG1112" i="48"/>
  <c r="AG337" i="48"/>
  <c r="AG912" i="48"/>
  <c r="AG62" i="48"/>
  <c r="AG414" i="48"/>
  <c r="AG964" i="48"/>
  <c r="AG1214" i="48"/>
  <c r="AG489" i="48"/>
  <c r="AG689" i="48"/>
  <c r="AG1339" i="48"/>
  <c r="AG39" i="48"/>
  <c r="AG1289" i="48"/>
  <c r="AG764" i="48"/>
  <c r="AG289" i="48"/>
  <c r="AG364" i="48"/>
  <c r="AG1114" i="48"/>
  <c r="AG1014" i="48"/>
  <c r="AG211" i="48"/>
  <c r="AG186" i="48"/>
  <c r="AG761" i="48"/>
  <c r="AG1311" i="48"/>
  <c r="AG36" i="48"/>
  <c r="AG811" i="48"/>
  <c r="AG461" i="48"/>
  <c r="AG986" i="48"/>
  <c r="AG861" i="48"/>
  <c r="AG636" i="48"/>
  <c r="AG561" i="48"/>
  <c r="AG136" i="48"/>
  <c r="AG569" i="48"/>
  <c r="AG369" i="48"/>
  <c r="AG1094" i="48"/>
  <c r="AG244" i="48"/>
  <c r="AG169" i="48"/>
  <c r="AG844" i="48"/>
  <c r="AG869" i="48"/>
  <c r="AG1245" i="48"/>
  <c r="AG1069" i="48"/>
  <c r="AG1019" i="48"/>
  <c r="AG1319" i="48"/>
  <c r="AG19" i="48"/>
  <c r="Y19" i="48"/>
  <c r="AG1344" i="48"/>
  <c r="AG1348" i="48"/>
  <c r="AG1048" i="48"/>
  <c r="AG198" i="48"/>
  <c r="AG923" i="48"/>
  <c r="AG273" i="48"/>
  <c r="AG723" i="48"/>
  <c r="AG1023" i="48"/>
  <c r="AG973" i="48"/>
  <c r="AG23" i="48"/>
  <c r="Y23" i="48"/>
  <c r="AG248" i="48"/>
  <c r="AG523" i="48"/>
  <c r="AG1273" i="48"/>
  <c r="AG474" i="48"/>
  <c r="AG549" i="48"/>
  <c r="AG624" i="48"/>
  <c r="AG849" i="48"/>
  <c r="AG1324" i="48"/>
  <c r="AG949" i="48"/>
  <c r="AG1049" i="48"/>
  <c r="AG399" i="48"/>
  <c r="AG424" i="48"/>
  <c r="AG99" i="48"/>
  <c r="AG174" i="48"/>
  <c r="AG899" i="48"/>
  <c r="AG618" i="48"/>
  <c r="AG518" i="48"/>
  <c r="AG443" i="48"/>
  <c r="AG718" i="48"/>
  <c r="AG768" i="48"/>
  <c r="AG68" i="48"/>
  <c r="AG168" i="48"/>
  <c r="AG1043" i="48"/>
  <c r="AG843" i="48"/>
  <c r="AG343" i="48"/>
  <c r="AG868" i="48"/>
  <c r="AG1118" i="48"/>
  <c r="AG1318" i="48"/>
  <c r="AG490" i="48"/>
  <c r="AG940" i="48"/>
  <c r="AG815" i="48"/>
  <c r="AG215" i="48"/>
  <c r="AG1115" i="48"/>
  <c r="AG1065" i="48"/>
  <c r="AG540" i="48"/>
  <c r="AG1215" i="48"/>
  <c r="AG1040" i="48"/>
  <c r="AG115" i="48"/>
  <c r="AG140" i="48"/>
  <c r="AG240" i="48"/>
  <c r="AG67" i="48"/>
  <c r="AG317" i="48"/>
  <c r="AG992" i="48"/>
  <c r="AG367" i="48"/>
  <c r="AG892" i="48"/>
  <c r="AG1017" i="48"/>
  <c r="AG692" i="48"/>
  <c r="AG567" i="48"/>
  <c r="AG442" i="48"/>
  <c r="AG217" i="48"/>
  <c r="AG392" i="48"/>
  <c r="AG42" i="48"/>
  <c r="AG342" i="48"/>
  <c r="AG446" i="48"/>
  <c r="AG796" i="48"/>
  <c r="AG821" i="48"/>
  <c r="AG246" i="48"/>
  <c r="AG171" i="48"/>
  <c r="AG1196" i="48"/>
  <c r="AG296" i="48"/>
  <c r="AG946" i="48"/>
  <c r="AG1346" i="48"/>
  <c r="AG21" i="48"/>
  <c r="Y21" i="48"/>
  <c r="AG1021" i="48"/>
  <c r="AG421" i="48"/>
  <c r="AG1020" i="48"/>
  <c r="AG1320" i="48"/>
  <c r="AG320" i="48"/>
  <c r="AG345" i="48"/>
  <c r="AG95" i="48"/>
  <c r="AG1070" i="48"/>
  <c r="AG270" i="48"/>
  <c r="AG870" i="48"/>
  <c r="AG120" i="48"/>
  <c r="AG1120" i="48"/>
  <c r="AG1295" i="48"/>
  <c r="AG970" i="48"/>
  <c r="AU660" i="48"/>
  <c r="AU661" i="48"/>
  <c r="AV661" i="48" s="1"/>
  <c r="AW73" i="48"/>
  <c r="AV74" i="48"/>
  <c r="AV349" i="48"/>
  <c r="AW348" i="48"/>
  <c r="AV374" i="48"/>
  <c r="AW373" i="48"/>
  <c r="AW273" i="48"/>
  <c r="AV274" i="48"/>
  <c r="AW1173" i="48"/>
  <c r="AV1174" i="48"/>
  <c r="AV624" i="48"/>
  <c r="AW623" i="48"/>
  <c r="AV924" i="48"/>
  <c r="AW923" i="48"/>
  <c r="AV1074" i="48"/>
  <c r="AW1073" i="48"/>
  <c r="AW1323" i="48"/>
  <c r="AV1324" i="48"/>
  <c r="AV774" i="48"/>
  <c r="AW773" i="48"/>
  <c r="AV549" i="48"/>
  <c r="AW548" i="48"/>
  <c r="AW598" i="48"/>
  <c r="AV599" i="48"/>
  <c r="AW1223" i="48"/>
  <c r="AV1224" i="48"/>
  <c r="AW573" i="48"/>
  <c r="AV574" i="48"/>
  <c r="AW1023" i="48"/>
  <c r="AV1024" i="48"/>
  <c r="AV224" i="48"/>
  <c r="AW223" i="48"/>
  <c r="AV199" i="48"/>
  <c r="AW198" i="48"/>
  <c r="AV1249" i="48"/>
  <c r="AW1248" i="48"/>
  <c r="AW998" i="48"/>
  <c r="AV999" i="48"/>
  <c r="AV174" i="48"/>
  <c r="AW173" i="48"/>
  <c r="AW498" i="48"/>
  <c r="AV499" i="48"/>
  <c r="AW298" i="48"/>
  <c r="AV299" i="48"/>
  <c r="AW650" i="48"/>
  <c r="AW1150" i="48"/>
  <c r="AW1050" i="48"/>
  <c r="AW950" i="48"/>
  <c r="AW1300" i="48"/>
  <c r="AW1350" i="48"/>
  <c r="AW525" i="48"/>
  <c r="AW325" i="48"/>
  <c r="AW750" i="48"/>
  <c r="AW850" i="48"/>
  <c r="AW425" i="48"/>
  <c r="AW1125" i="48"/>
  <c r="AW975" i="48"/>
  <c r="AW875" i="48"/>
  <c r="AW400" i="48"/>
  <c r="AW1100" i="48"/>
  <c r="AW1200" i="48"/>
  <c r="AW450" i="48"/>
  <c r="AW725" i="48"/>
  <c r="AW700" i="48"/>
  <c r="AW900" i="48"/>
  <c r="AW800" i="48"/>
  <c r="AW825" i="48"/>
  <c r="AW1275" i="48"/>
  <c r="AW125" i="48"/>
  <c r="AW475" i="48"/>
  <c r="AW100" i="48"/>
  <c r="AW50" i="48"/>
  <c r="AW150" i="48"/>
  <c r="AW250" i="48"/>
  <c r="T1336" i="48" l="1"/>
  <c r="S1336" i="48" s="1"/>
  <c r="T1348" i="48"/>
  <c r="T1345" i="48"/>
  <c r="T1337" i="48"/>
  <c r="T1350" i="48"/>
  <c r="T1347" i="48"/>
  <c r="T1344" i="48"/>
  <c r="T1349" i="48"/>
  <c r="T1341" i="48"/>
  <c r="T1346" i="48"/>
  <c r="T1339" i="48"/>
  <c r="T1343" i="48"/>
  <c r="T1342" i="48"/>
  <c r="T1338" i="48"/>
  <c r="T1340" i="48"/>
  <c r="T1320" i="48"/>
  <c r="T1287" i="48"/>
  <c r="T1325" i="48"/>
  <c r="T1212" i="48"/>
  <c r="T1262" i="48"/>
  <c r="T1311" i="48"/>
  <c r="S1311" i="48" s="1"/>
  <c r="T1324" i="48"/>
  <c r="T1317" i="48"/>
  <c r="T1187" i="48"/>
  <c r="T1238" i="48"/>
  <c r="T1222" i="48"/>
  <c r="T1221" i="48"/>
  <c r="T1243" i="48"/>
  <c r="T1266" i="48"/>
  <c r="T1316" i="48"/>
  <c r="T1250" i="48"/>
  <c r="T1200" i="48"/>
  <c r="T1216" i="48"/>
  <c r="T1240" i="48"/>
  <c r="T1272" i="48"/>
  <c r="T1319" i="48"/>
  <c r="T1314" i="48"/>
  <c r="T1267" i="48"/>
  <c r="T1290" i="48"/>
  <c r="T1224" i="48"/>
  <c r="T1249" i="48"/>
  <c r="T1323" i="48"/>
  <c r="T1194" i="48"/>
  <c r="T1273" i="48"/>
  <c r="T1289" i="48"/>
  <c r="T1198" i="48"/>
  <c r="T1241" i="48"/>
  <c r="T1218" i="48"/>
  <c r="T1274" i="48"/>
  <c r="T1298" i="48"/>
  <c r="T1225" i="48"/>
  <c r="T1292" i="48"/>
  <c r="T1237" i="48"/>
  <c r="T1264" i="48"/>
  <c r="T1312" i="48"/>
  <c r="T1313" i="48"/>
  <c r="T1239" i="48"/>
  <c r="T1245" i="48"/>
  <c r="T1322" i="48"/>
  <c r="T1191" i="48"/>
  <c r="T1220" i="48"/>
  <c r="T1321" i="48"/>
  <c r="T1299" i="48"/>
  <c r="T1269" i="48"/>
  <c r="T1192" i="48"/>
  <c r="T1186" i="48"/>
  <c r="S1186" i="48" s="1"/>
  <c r="T1197" i="48"/>
  <c r="T1297" i="48"/>
  <c r="T1291" i="48"/>
  <c r="T1270" i="48"/>
  <c r="T1195" i="48"/>
  <c r="T1288" i="48"/>
  <c r="T1190" i="48"/>
  <c r="T1213" i="48"/>
  <c r="T1215" i="48"/>
  <c r="T1295" i="48"/>
  <c r="T1196" i="48"/>
  <c r="T1318" i="48"/>
  <c r="T1214" i="48"/>
  <c r="T1263" i="48"/>
  <c r="T1193" i="48"/>
  <c r="T1219" i="48"/>
  <c r="T1265" i="48"/>
  <c r="T1293" i="48"/>
  <c r="T1244" i="48"/>
  <c r="T1211" i="48"/>
  <c r="S1211" i="48" s="1"/>
  <c r="T1242" i="48"/>
  <c r="T1296" i="48"/>
  <c r="T1268" i="48"/>
  <c r="T1199" i="48"/>
  <c r="T1223" i="48"/>
  <c r="T1286" i="48"/>
  <c r="S1286" i="48" s="1"/>
  <c r="T1189" i="48"/>
  <c r="T1248" i="48"/>
  <c r="T1188" i="48"/>
  <c r="T1246" i="48"/>
  <c r="T1300" i="48"/>
  <c r="T1271" i="48"/>
  <c r="T1247" i="48"/>
  <c r="T1217" i="48"/>
  <c r="T1315" i="48"/>
  <c r="T1294" i="48"/>
  <c r="T1261" i="48"/>
  <c r="S1261" i="48" s="1"/>
  <c r="T1236" i="48"/>
  <c r="S1236" i="48" s="1"/>
  <c r="T1275" i="48"/>
  <c r="AW661" i="48"/>
  <c r="AV662" i="48"/>
  <c r="AV75" i="48"/>
  <c r="AW75" i="48" s="1"/>
  <c r="AW74" i="48"/>
  <c r="AW349" i="48"/>
  <c r="AV350" i="48"/>
  <c r="AW350" i="48" s="1"/>
  <c r="AW374" i="48"/>
  <c r="AV375" i="48"/>
  <c r="AW375" i="48" s="1"/>
  <c r="AV275" i="48"/>
  <c r="AW274" i="48"/>
  <c r="AV1175" i="48"/>
  <c r="AW1175" i="48" s="1"/>
  <c r="AW1174" i="48"/>
  <c r="AW624" i="48"/>
  <c r="AV625" i="48"/>
  <c r="AW625" i="48" s="1"/>
  <c r="AW299" i="48"/>
  <c r="AV300" i="48"/>
  <c r="AW300" i="48" s="1"/>
  <c r="AW599" i="48"/>
  <c r="AV600" i="48"/>
  <c r="AW600" i="48" s="1"/>
  <c r="AV175" i="48"/>
  <c r="AW175" i="48" s="1"/>
  <c r="AW174" i="48"/>
  <c r="AV575" i="48"/>
  <c r="AW575" i="48" s="1"/>
  <c r="AW574" i="48"/>
  <c r="AV1250" i="48"/>
  <c r="AW1250" i="48" s="1"/>
  <c r="AW1249" i="48"/>
  <c r="AW774" i="48"/>
  <c r="AV775" i="48"/>
  <c r="AW775" i="48" s="1"/>
  <c r="AW499" i="48"/>
  <c r="AV500" i="48"/>
  <c r="AW500" i="48" s="1"/>
  <c r="AV1000" i="48"/>
  <c r="AW1000" i="48" s="1"/>
  <c r="AW999" i="48"/>
  <c r="AW1024" i="48"/>
  <c r="AV1025" i="48"/>
  <c r="AW1025" i="48" s="1"/>
  <c r="AV1225" i="48"/>
  <c r="AW1225" i="48" s="1"/>
  <c r="AW1224" i="48"/>
  <c r="AV1325" i="48"/>
  <c r="AW1325" i="48" s="1"/>
  <c r="AW1324" i="48"/>
  <c r="AW224" i="48"/>
  <c r="AV225" i="48"/>
  <c r="AW225" i="48" s="1"/>
  <c r="AW1074" i="48"/>
  <c r="AV1075" i="48"/>
  <c r="AW1075" i="48" s="1"/>
  <c r="AV200" i="48"/>
  <c r="AW200" i="48" s="1"/>
  <c r="AW199" i="48"/>
  <c r="AW549" i="48"/>
  <c r="AV550" i="48"/>
  <c r="AW550" i="48" s="1"/>
  <c r="AV925" i="48"/>
  <c r="AW925" i="48" s="1"/>
  <c r="AW924" i="48"/>
  <c r="S1337" i="48" l="1"/>
  <c r="S1338" i="48" s="1"/>
  <c r="S1339" i="48" s="1"/>
  <c r="S1340" i="48" s="1"/>
  <c r="S1341" i="48" s="1"/>
  <c r="S1342" i="48" s="1"/>
  <c r="S1343" i="48" s="1"/>
  <c r="S1344" i="48" s="1"/>
  <c r="S1345" i="48" s="1"/>
  <c r="S1346" i="48" s="1"/>
  <c r="S1347" i="48" s="1"/>
  <c r="S1348" i="48" s="1"/>
  <c r="S1349" i="48" s="1"/>
  <c r="S1350" i="48" s="1"/>
  <c r="S1287" i="48"/>
  <c r="S1288" i="48" s="1"/>
  <c r="S1289" i="48" s="1"/>
  <c r="S1290" i="48" s="1"/>
  <c r="S1291" i="48" s="1"/>
  <c r="S1292" i="48" s="1"/>
  <c r="S1293" i="48" s="1"/>
  <c r="S1294" i="48" s="1"/>
  <c r="S1295" i="48" s="1"/>
  <c r="S1296" i="48" s="1"/>
  <c r="S1297" i="48" s="1"/>
  <c r="S1298" i="48" s="1"/>
  <c r="S1299" i="48" s="1"/>
  <c r="S1300" i="48" s="1"/>
  <c r="S1212" i="48"/>
  <c r="S1213" i="48" s="1"/>
  <c r="S1214" i="48" s="1"/>
  <c r="S1215" i="48" s="1"/>
  <c r="S1216" i="48" s="1"/>
  <c r="S1217" i="48" s="1"/>
  <c r="S1218" i="48" s="1"/>
  <c r="S1219" i="48" s="1"/>
  <c r="S1220" i="48" s="1"/>
  <c r="S1221" i="48" s="1"/>
  <c r="S1222" i="48" s="1"/>
  <c r="S1223" i="48" s="1"/>
  <c r="S1224" i="48" s="1"/>
  <c r="S1225" i="48" s="1"/>
  <c r="S1262" i="48"/>
  <c r="S1263" i="48" s="1"/>
  <c r="S1264" i="48" s="1"/>
  <c r="S1265" i="48" s="1"/>
  <c r="S1266" i="48" s="1"/>
  <c r="S1267" i="48" s="1"/>
  <c r="S1268" i="48" s="1"/>
  <c r="S1269" i="48" s="1"/>
  <c r="S1270" i="48" s="1"/>
  <c r="S1271" i="48" s="1"/>
  <c r="S1272" i="48" s="1"/>
  <c r="S1273" i="48" s="1"/>
  <c r="S1274" i="48" s="1"/>
  <c r="S1275" i="48" s="1"/>
  <c r="S1237" i="48"/>
  <c r="S1238" i="48" s="1"/>
  <c r="S1239" i="48" s="1"/>
  <c r="S1240" i="48" s="1"/>
  <c r="S1241" i="48" s="1"/>
  <c r="S1242" i="48" s="1"/>
  <c r="S1243" i="48" s="1"/>
  <c r="S1244" i="48" s="1"/>
  <c r="S1245" i="48" s="1"/>
  <c r="S1246" i="48" s="1"/>
  <c r="S1247" i="48" s="1"/>
  <c r="S1248" i="48" s="1"/>
  <c r="S1249" i="48" s="1"/>
  <c r="S1250" i="48" s="1"/>
  <c r="S1312" i="48"/>
  <c r="S1313" i="48" s="1"/>
  <c r="S1314" i="48" s="1"/>
  <c r="S1315" i="48" s="1"/>
  <c r="S1316" i="48" s="1"/>
  <c r="S1317" i="48" s="1"/>
  <c r="S1318" i="48" s="1"/>
  <c r="S1319" i="48" s="1"/>
  <c r="S1320" i="48" s="1"/>
  <c r="S1321" i="48" s="1"/>
  <c r="S1322" i="48" s="1"/>
  <c r="S1323" i="48" s="1"/>
  <c r="S1324" i="48" s="1"/>
  <c r="S1325" i="48" s="1"/>
  <c r="S1187" i="48"/>
  <c r="S1188" i="48" s="1"/>
  <c r="S1189" i="48" s="1"/>
  <c r="S1190" i="48" s="1"/>
  <c r="S1191" i="48" s="1"/>
  <c r="S1192" i="48" s="1"/>
  <c r="S1193" i="48" s="1"/>
  <c r="S1194" i="48" s="1"/>
  <c r="S1195" i="48" s="1"/>
  <c r="S1196" i="48" s="1"/>
  <c r="S1197" i="48" s="1"/>
  <c r="S1198" i="48" s="1"/>
  <c r="S1199" i="48" s="1"/>
  <c r="S1200" i="48" s="1"/>
  <c r="AW662" i="48"/>
  <c r="AV663" i="48"/>
  <c r="AW275" i="48"/>
  <c r="AW663" i="48" l="1"/>
  <c r="AV664" i="48"/>
  <c r="AW253" i="48"/>
  <c r="AV665" i="48" l="1"/>
  <c r="AW664" i="48"/>
  <c r="K776" i="48"/>
  <c r="W776" i="48"/>
  <c r="K51" i="48"/>
  <c r="J926" i="48"/>
  <c r="K951" i="48"/>
  <c r="K476" i="48"/>
  <c r="J1051" i="48"/>
  <c r="K501" i="48"/>
  <c r="K626" i="48"/>
  <c r="K526" i="48"/>
  <c r="K426" i="48"/>
  <c r="J151" i="48"/>
  <c r="J76" i="48"/>
  <c r="M951" i="48" l="1"/>
  <c r="M952" i="48"/>
  <c r="P952" i="48" s="1"/>
  <c r="X776" i="48"/>
  <c r="X777" i="48"/>
  <c r="Y777" i="48" s="1"/>
  <c r="M776" i="48"/>
  <c r="M777" i="48"/>
  <c r="P777" i="48" s="1"/>
  <c r="M626" i="48"/>
  <c r="M627" i="48"/>
  <c r="P627" i="48" s="1"/>
  <c r="M526" i="48"/>
  <c r="M527" i="48"/>
  <c r="P527" i="48" s="1"/>
  <c r="M501" i="48"/>
  <c r="M502" i="48"/>
  <c r="P502" i="48" s="1"/>
  <c r="M476" i="48"/>
  <c r="M477" i="48"/>
  <c r="P477" i="48" s="1"/>
  <c r="M426" i="48"/>
  <c r="M427" i="48"/>
  <c r="P427" i="48" s="1"/>
  <c r="M51" i="48"/>
  <c r="M52" i="48"/>
  <c r="AW665" i="48"/>
  <c r="AV666" i="48"/>
  <c r="AJ776" i="48"/>
  <c r="K701" i="48"/>
  <c r="K976" i="48"/>
  <c r="K326" i="48"/>
  <c r="K1151" i="48"/>
  <c r="K1351" i="48"/>
  <c r="K676" i="48"/>
  <c r="K876" i="48"/>
  <c r="K1276" i="48"/>
  <c r="K301" i="48"/>
  <c r="K726" i="48"/>
  <c r="K376" i="48"/>
  <c r="K901" i="48"/>
  <c r="K251" i="48"/>
  <c r="K351" i="48"/>
  <c r="K751" i="48"/>
  <c r="K1251" i="48"/>
  <c r="K801" i="48"/>
  <c r="K1101" i="48"/>
  <c r="K26" i="48"/>
  <c r="K28" i="48" s="1"/>
  <c r="K926" i="48"/>
  <c r="K226" i="48"/>
  <c r="K551" i="48"/>
  <c r="K1001" i="48"/>
  <c r="K126" i="48"/>
  <c r="K576" i="48"/>
  <c r="K1301" i="48"/>
  <c r="K1026" i="48"/>
  <c r="K1226" i="48"/>
  <c r="K401" i="48"/>
  <c r="K826" i="48"/>
  <c r="K1076" i="48"/>
  <c r="K101" i="48"/>
  <c r="K76" i="48"/>
  <c r="K601" i="48"/>
  <c r="K151" i="48"/>
  <c r="K851" i="48"/>
  <c r="K1126" i="48"/>
  <c r="K1326" i="48"/>
  <c r="K176" i="48"/>
  <c r="K1051" i="48"/>
  <c r="K201" i="48"/>
  <c r="K651" i="48"/>
  <c r="K451" i="48"/>
  <c r="K1201" i="48"/>
  <c r="K1176" i="48"/>
  <c r="W1001" i="48"/>
  <c r="AJ451" i="48"/>
  <c r="W176" i="48"/>
  <c r="W1026" i="48"/>
  <c r="AJ601" i="48"/>
  <c r="W901" i="48"/>
  <c r="W251" i="48"/>
  <c r="V1051" i="48"/>
  <c r="W1051" i="48" s="1"/>
  <c r="V926" i="48"/>
  <c r="W76" i="48"/>
  <c r="V126" i="48"/>
  <c r="AJ126" i="48" s="1"/>
  <c r="AP126" i="48" s="1"/>
  <c r="AP128" i="48" s="1"/>
  <c r="W976" i="48"/>
  <c r="W651" i="48"/>
  <c r="W801" i="48"/>
  <c r="V726" i="48"/>
  <c r="W726" i="48" s="1"/>
  <c r="AJ1176" i="48"/>
  <c r="AK1177" i="48" s="1"/>
  <c r="W226" i="48"/>
  <c r="AJ401" i="48"/>
  <c r="W576" i="48"/>
  <c r="W151" i="48"/>
  <c r="W851" i="48"/>
  <c r="M176" i="48" l="1"/>
  <c r="M177" i="48"/>
  <c r="P52" i="48"/>
  <c r="M27" i="48"/>
  <c r="AK602" i="48"/>
  <c r="AK777" i="48"/>
  <c r="AK402" i="48"/>
  <c r="AK127" i="48"/>
  <c r="AK452" i="48"/>
  <c r="W351" i="48"/>
  <c r="X352" i="48" s="1"/>
  <c r="Y352" i="48" s="1"/>
  <c r="AJ351" i="48"/>
  <c r="AP351" i="48" s="1"/>
  <c r="AP353" i="48" s="1"/>
  <c r="M1351" i="48"/>
  <c r="M1352" i="48"/>
  <c r="M1326" i="48"/>
  <c r="M1327" i="48"/>
  <c r="M1301" i="48"/>
  <c r="M1302" i="48"/>
  <c r="M1276" i="48"/>
  <c r="M1277" i="48"/>
  <c r="M1251" i="48"/>
  <c r="M1252" i="48"/>
  <c r="M1226" i="48"/>
  <c r="M1227" i="48"/>
  <c r="M1201" i="48"/>
  <c r="M1202" i="48"/>
  <c r="M1176" i="48"/>
  <c r="M1177" i="48"/>
  <c r="M1151" i="48"/>
  <c r="M1152" i="48"/>
  <c r="P1152" i="48" s="1"/>
  <c r="M1126" i="48"/>
  <c r="M1127" i="48"/>
  <c r="P1127" i="48" s="1"/>
  <c r="M1101" i="48"/>
  <c r="M1102" i="48"/>
  <c r="P1102" i="48" s="1"/>
  <c r="M1076" i="48"/>
  <c r="M1077" i="48"/>
  <c r="P1077" i="48" s="1"/>
  <c r="X1051" i="48"/>
  <c r="X1052" i="48"/>
  <c r="Y1052" i="48" s="1"/>
  <c r="M1051" i="48"/>
  <c r="M1052" i="48"/>
  <c r="P1052" i="48" s="1"/>
  <c r="M1026" i="48"/>
  <c r="M1027" i="48"/>
  <c r="P1027" i="48" s="1"/>
  <c r="X1026" i="48"/>
  <c r="X1027" i="48"/>
  <c r="Y1027" i="48" s="1"/>
  <c r="M1001" i="48"/>
  <c r="M1002" i="48"/>
  <c r="P1002" i="48" s="1"/>
  <c r="X1001" i="48"/>
  <c r="X1002" i="48"/>
  <c r="Y1002" i="48" s="1"/>
  <c r="M976" i="48"/>
  <c r="M977" i="48"/>
  <c r="P977" i="48" s="1"/>
  <c r="X976" i="48"/>
  <c r="X977" i="48"/>
  <c r="Y977" i="48" s="1"/>
  <c r="M926" i="48"/>
  <c r="M927" i="48"/>
  <c r="P927" i="48" s="1"/>
  <c r="M901" i="48"/>
  <c r="M902" i="48"/>
  <c r="P902" i="48" s="1"/>
  <c r="X901" i="48"/>
  <c r="X902" i="48"/>
  <c r="Y902" i="48" s="1"/>
  <c r="M876" i="48"/>
  <c r="M877" i="48"/>
  <c r="P877" i="48" s="1"/>
  <c r="M851" i="48"/>
  <c r="M852" i="48"/>
  <c r="P852" i="48" s="1"/>
  <c r="X851" i="48"/>
  <c r="X852" i="48"/>
  <c r="Y852" i="48" s="1"/>
  <c r="M826" i="48"/>
  <c r="M827" i="48"/>
  <c r="P827" i="48" s="1"/>
  <c r="X801" i="48"/>
  <c r="X802" i="48"/>
  <c r="Y802" i="48" s="1"/>
  <c r="M801" i="48"/>
  <c r="M802" i="48"/>
  <c r="P802" i="48" s="1"/>
  <c r="M751" i="48"/>
  <c r="M752" i="48"/>
  <c r="P752" i="48" s="1"/>
  <c r="X726" i="48"/>
  <c r="X727" i="48"/>
  <c r="Y727" i="48" s="1"/>
  <c r="M726" i="48"/>
  <c r="M727" i="48"/>
  <c r="P727" i="48" s="1"/>
  <c r="M701" i="48"/>
  <c r="M702" i="48"/>
  <c r="P702" i="48" s="1"/>
  <c r="M676" i="48"/>
  <c r="M677" i="48"/>
  <c r="P677" i="48" s="1"/>
  <c r="X651" i="48"/>
  <c r="X652" i="48"/>
  <c r="Y652" i="48" s="1"/>
  <c r="M651" i="48"/>
  <c r="M652" i="48"/>
  <c r="P652" i="48" s="1"/>
  <c r="M601" i="48"/>
  <c r="M602" i="48"/>
  <c r="P602" i="48" s="1"/>
  <c r="X576" i="48"/>
  <c r="X577" i="48"/>
  <c r="Y577" i="48" s="1"/>
  <c r="M576" i="48"/>
  <c r="M577" i="48"/>
  <c r="P577" i="48" s="1"/>
  <c r="M551" i="48"/>
  <c r="M552" i="48"/>
  <c r="P552" i="48" s="1"/>
  <c r="M451" i="48"/>
  <c r="M452" i="48"/>
  <c r="P452" i="48" s="1"/>
  <c r="M401" i="48"/>
  <c r="M402" i="48"/>
  <c r="P402" i="48" s="1"/>
  <c r="M376" i="48"/>
  <c r="M377" i="48"/>
  <c r="P377" i="48" s="1"/>
  <c r="X351" i="48"/>
  <c r="M351" i="48"/>
  <c r="M352" i="48"/>
  <c r="P352" i="48" s="1"/>
  <c r="M326" i="48"/>
  <c r="M327" i="48"/>
  <c r="P327" i="48" s="1"/>
  <c r="M301" i="48"/>
  <c r="M302" i="48"/>
  <c r="P302" i="48" s="1"/>
  <c r="X251" i="48"/>
  <c r="X252" i="48"/>
  <c r="Y252" i="48" s="1"/>
  <c r="M251" i="48"/>
  <c r="M252" i="48"/>
  <c r="P252" i="48" s="1"/>
  <c r="X226" i="48"/>
  <c r="X227" i="48"/>
  <c r="Y227" i="48" s="1"/>
  <c r="M226" i="48"/>
  <c r="M227" i="48"/>
  <c r="M201" i="48"/>
  <c r="M202" i="48"/>
  <c r="X176" i="48"/>
  <c r="X177" i="48"/>
  <c r="Y177" i="48" s="1"/>
  <c r="X151" i="48"/>
  <c r="X152" i="48"/>
  <c r="Y152" i="48" s="1"/>
  <c r="M151" i="48"/>
  <c r="M152" i="48"/>
  <c r="M126" i="48"/>
  <c r="M127" i="48"/>
  <c r="M101" i="48"/>
  <c r="M102" i="48"/>
  <c r="X76" i="48"/>
  <c r="X77" i="48"/>
  <c r="Y77" i="48" s="1"/>
  <c r="M76" i="48"/>
  <c r="M77" i="48"/>
  <c r="AW666" i="48"/>
  <c r="AV667" i="48"/>
  <c r="AJ26" i="48"/>
  <c r="AK601" i="48"/>
  <c r="AK1176" i="48"/>
  <c r="AK126" i="48"/>
  <c r="AK451" i="48"/>
  <c r="AK401" i="48"/>
  <c r="AR776" i="48"/>
  <c r="AK776" i="48"/>
  <c r="AP776" i="48"/>
  <c r="AP778" i="48" s="1"/>
  <c r="AT776" i="48"/>
  <c r="AS776" i="48"/>
  <c r="AJ1051" i="48"/>
  <c r="AJ1026" i="48"/>
  <c r="AP401" i="48"/>
  <c r="N46" i="58" s="1"/>
  <c r="N48" i="58" s="1"/>
  <c r="I37" i="58" s="1"/>
  <c r="J37" i="58" s="1"/>
  <c r="AT401" i="48"/>
  <c r="AR401" i="48"/>
  <c r="AT601" i="48"/>
  <c r="AP601" i="48"/>
  <c r="AP603" i="48" s="1"/>
  <c r="AR601" i="48"/>
  <c r="AJ476" i="48"/>
  <c r="W476" i="48"/>
  <c r="AJ951" i="48"/>
  <c r="W951" i="48"/>
  <c r="AJ226" i="48"/>
  <c r="AP226" i="48" s="1"/>
  <c r="AP228" i="48" s="1"/>
  <c r="W1176" i="48"/>
  <c r="AS1176" i="48"/>
  <c r="AJ526" i="48"/>
  <c r="AP526" i="48" s="1"/>
  <c r="AP528" i="48" s="1"/>
  <c r="W526" i="48"/>
  <c r="W376" i="48"/>
  <c r="AJ901" i="48"/>
  <c r="W1351" i="48"/>
  <c r="AJ701" i="48"/>
  <c r="W701" i="48"/>
  <c r="AT1176" i="48"/>
  <c r="AP1176" i="48"/>
  <c r="AP1178" i="48" s="1"/>
  <c r="AT451" i="48"/>
  <c r="AP451" i="48"/>
  <c r="AP453" i="48" s="1"/>
  <c r="AT126" i="48"/>
  <c r="AJ626" i="48"/>
  <c r="W626" i="48"/>
  <c r="W1151" i="48"/>
  <c r="AJ1301" i="48"/>
  <c r="W1301" i="48"/>
  <c r="AJ501" i="48"/>
  <c r="W501" i="48"/>
  <c r="W926" i="48"/>
  <c r="W26" i="48"/>
  <c r="X27" i="48" s="1"/>
  <c r="Y27" i="48" s="1"/>
  <c r="AJ851" i="48"/>
  <c r="AJ301" i="48"/>
  <c r="AP301" i="48" s="1"/>
  <c r="AP303" i="48" s="1"/>
  <c r="W301" i="48"/>
  <c r="W601" i="48"/>
  <c r="AS601" i="48"/>
  <c r="AJ1326" i="48"/>
  <c r="W1326" i="48"/>
  <c r="AJ1201" i="48"/>
  <c r="W1201" i="48"/>
  <c r="AJ426" i="48"/>
  <c r="W426" i="48"/>
  <c r="AJ826" i="48"/>
  <c r="W826" i="48"/>
  <c r="AJ101" i="48"/>
  <c r="W101" i="48"/>
  <c r="AJ876" i="48"/>
  <c r="W876" i="48"/>
  <c r="AJ651" i="48"/>
  <c r="AJ176" i="48"/>
  <c r="AJ1001" i="48"/>
  <c r="AJ926" i="48"/>
  <c r="AJ1351" i="48"/>
  <c r="AJ976" i="48"/>
  <c r="W676" i="48"/>
  <c r="AJ326" i="48"/>
  <c r="AP326" i="48" s="1"/>
  <c r="AP328" i="48" s="1"/>
  <c r="W326" i="48"/>
  <c r="AJ201" i="48"/>
  <c r="AP201" i="48" s="1"/>
  <c r="AP203" i="48" s="1"/>
  <c r="W201" i="48"/>
  <c r="AJ1076" i="48"/>
  <c r="W1076" i="48"/>
  <c r="AJ51" i="48"/>
  <c r="W51" i="48"/>
  <c r="AJ1251" i="48"/>
  <c r="W1251" i="48"/>
  <c r="AJ801" i="48"/>
  <c r="AJ376" i="48"/>
  <c r="AJ751" i="48"/>
  <c r="AK752" i="48" s="1"/>
  <c r="W751" i="48"/>
  <c r="AJ1126" i="48"/>
  <c r="W1126" i="48"/>
  <c r="W126" i="48"/>
  <c r="AS126" i="48"/>
  <c r="AJ1276" i="48"/>
  <c r="W1276" i="48"/>
  <c r="W451" i="48"/>
  <c r="AS451" i="48"/>
  <c r="AJ1226" i="48"/>
  <c r="W1226" i="48"/>
  <c r="AJ151" i="48"/>
  <c r="AJ576" i="48"/>
  <c r="AJ551" i="48"/>
  <c r="W551" i="48"/>
  <c r="AJ251" i="48"/>
  <c r="AP251" i="48" s="1"/>
  <c r="AP253" i="48" s="1"/>
  <c r="AJ1151" i="48"/>
  <c r="W401" i="48"/>
  <c r="AS401" i="48"/>
  <c r="AJ76" i="48"/>
  <c r="AJ1101" i="48"/>
  <c r="W1101" i="48"/>
  <c r="AR1176" i="48"/>
  <c r="AR451" i="48"/>
  <c r="AR126" i="48"/>
  <c r="M26" i="48"/>
  <c r="AJ726" i="48"/>
  <c r="AJ676" i="48"/>
  <c r="P227" i="48" l="1"/>
  <c r="P202" i="48"/>
  <c r="P177" i="48"/>
  <c r="P152" i="48"/>
  <c r="P127" i="48"/>
  <c r="P102" i="48"/>
  <c r="P77" i="48"/>
  <c r="P27" i="48"/>
  <c r="F29" i="58"/>
  <c r="AO26" i="48" s="1"/>
  <c r="AP403" i="48"/>
  <c r="AK1227" i="48"/>
  <c r="AK52" i="48"/>
  <c r="AK177" i="48"/>
  <c r="AK902" i="48"/>
  <c r="AK1102" i="48"/>
  <c r="AK1152" i="48"/>
  <c r="AK577" i="48"/>
  <c r="AK1352" i="48"/>
  <c r="AK652" i="48"/>
  <c r="AK102" i="48"/>
  <c r="AK427" i="48"/>
  <c r="AK1327" i="48"/>
  <c r="AK302" i="48"/>
  <c r="AK1027" i="48"/>
  <c r="AP26" i="48"/>
  <c r="AL26" i="48"/>
  <c r="P57" i="59" s="1"/>
  <c r="K142" i="59" s="1"/>
  <c r="AK27" i="48"/>
  <c r="AK552" i="48"/>
  <c r="AK1127" i="48"/>
  <c r="AK977" i="48"/>
  <c r="AK677" i="48"/>
  <c r="AK77" i="48"/>
  <c r="AK152" i="48"/>
  <c r="AX1251" i="48"/>
  <c r="AG1251" i="48" s="1"/>
  <c r="AK1252" i="48"/>
  <c r="AK927" i="48"/>
  <c r="AK502" i="48"/>
  <c r="AK227" i="48"/>
  <c r="AK1052" i="48"/>
  <c r="AT351" i="48"/>
  <c r="AK351" i="48"/>
  <c r="AK352" i="48"/>
  <c r="AR351" i="48"/>
  <c r="AS351" i="48"/>
  <c r="AK1277" i="48"/>
  <c r="AK802" i="48"/>
  <c r="AK202" i="48"/>
  <c r="AK1302" i="48"/>
  <c r="AK952" i="48"/>
  <c r="AK252" i="48"/>
  <c r="AK1077" i="48"/>
  <c r="AK327" i="48"/>
  <c r="AK852" i="48"/>
  <c r="AK702" i="48"/>
  <c r="AK477" i="48"/>
  <c r="AK727" i="48"/>
  <c r="AK377" i="48"/>
  <c r="AK1002" i="48"/>
  <c r="AK877" i="48"/>
  <c r="AK827" i="48"/>
  <c r="AK1202" i="48"/>
  <c r="AK627" i="48"/>
  <c r="AK527" i="48"/>
  <c r="X1351" i="48"/>
  <c r="X1352" i="48"/>
  <c r="X1326" i="48"/>
  <c r="X1327" i="48"/>
  <c r="X1301" i="48"/>
  <c r="X1302" i="48"/>
  <c r="X1276" i="48"/>
  <c r="X1277" i="48"/>
  <c r="X1251" i="48"/>
  <c r="X1252" i="48"/>
  <c r="X1226" i="48"/>
  <c r="X1227" i="48"/>
  <c r="X1201" i="48"/>
  <c r="X1202" i="48"/>
  <c r="X1176" i="48"/>
  <c r="AU1176" i="48" s="1"/>
  <c r="AV1176" i="48" s="1"/>
  <c r="AW1176" i="48" s="1"/>
  <c r="AW1153" i="48" s="1"/>
  <c r="X1177" i="48"/>
  <c r="X1151" i="48"/>
  <c r="X1152" i="48"/>
  <c r="Y1152" i="48" s="1"/>
  <c r="X1126" i="48"/>
  <c r="X1127" i="48"/>
  <c r="Y1127" i="48" s="1"/>
  <c r="X1101" i="48"/>
  <c r="X1102" i="48"/>
  <c r="Y1102" i="48" s="1"/>
  <c r="X1076" i="48"/>
  <c r="X1077" i="48"/>
  <c r="Y1077" i="48" s="1"/>
  <c r="X951" i="48"/>
  <c r="X952" i="48"/>
  <c r="Y952" i="48" s="1"/>
  <c r="X926" i="48"/>
  <c r="X927" i="48"/>
  <c r="Y927" i="48" s="1"/>
  <c r="X876" i="48"/>
  <c r="X877" i="48"/>
  <c r="Y877" i="48" s="1"/>
  <c r="X826" i="48"/>
  <c r="X827" i="48"/>
  <c r="Y827" i="48" s="1"/>
  <c r="X751" i="48"/>
  <c r="X752" i="48"/>
  <c r="Y752" i="48" s="1"/>
  <c r="X701" i="48"/>
  <c r="X702" i="48"/>
  <c r="Y702" i="48" s="1"/>
  <c r="X676" i="48"/>
  <c r="X677" i="48"/>
  <c r="Y677" i="48" s="1"/>
  <c r="X626" i="48"/>
  <c r="X627" i="48"/>
  <c r="Y627" i="48" s="1"/>
  <c r="X601" i="48"/>
  <c r="AU601" i="48" s="1"/>
  <c r="AV601" i="48" s="1"/>
  <c r="AW601" i="48" s="1"/>
  <c r="AW578" i="48" s="1"/>
  <c r="X602" i="48"/>
  <c r="Y602" i="48" s="1"/>
  <c r="X551" i="48"/>
  <c r="X552" i="48"/>
  <c r="Y552" i="48" s="1"/>
  <c r="X526" i="48"/>
  <c r="X527" i="48"/>
  <c r="Y527" i="48" s="1"/>
  <c r="X501" i="48"/>
  <c r="X502" i="48"/>
  <c r="Y502" i="48" s="1"/>
  <c r="X476" i="48"/>
  <c r="X477" i="48"/>
  <c r="Y477" i="48" s="1"/>
  <c r="X451" i="48"/>
  <c r="AU451" i="48" s="1"/>
  <c r="AV451" i="48" s="1"/>
  <c r="AW451" i="48" s="1"/>
  <c r="AW428" i="48" s="1"/>
  <c r="X452" i="48"/>
  <c r="Y452" i="48" s="1"/>
  <c r="X426" i="48"/>
  <c r="X427" i="48"/>
  <c r="Y427" i="48" s="1"/>
  <c r="X401" i="48"/>
  <c r="AU401" i="48" s="1"/>
  <c r="AV401" i="48" s="1"/>
  <c r="AW401" i="48" s="1"/>
  <c r="AW378" i="48" s="1"/>
  <c r="X402" i="48"/>
  <c r="Y402" i="48" s="1"/>
  <c r="X376" i="48"/>
  <c r="X377" i="48"/>
  <c r="Y377" i="48" s="1"/>
  <c r="X326" i="48"/>
  <c r="X327" i="48"/>
  <c r="Y327" i="48" s="1"/>
  <c r="X301" i="48"/>
  <c r="X302" i="48"/>
  <c r="Y302" i="48" s="1"/>
  <c r="X201" i="48"/>
  <c r="X202" i="48"/>
  <c r="Y202" i="48" s="1"/>
  <c r="X126" i="48"/>
  <c r="AU126" i="48" s="1"/>
  <c r="AV126" i="48" s="1"/>
  <c r="AW126" i="48" s="1"/>
  <c r="AW103" i="48" s="1"/>
  <c r="X127" i="48"/>
  <c r="Y127" i="48" s="1"/>
  <c r="X101" i="48"/>
  <c r="X102" i="48"/>
  <c r="Y102" i="48" s="1"/>
  <c r="X51" i="48"/>
  <c r="X52" i="48"/>
  <c r="Y52" i="48" s="1"/>
  <c r="AV668" i="48"/>
  <c r="AW667" i="48"/>
  <c r="AT26" i="48"/>
  <c r="AT7" i="48" s="1"/>
  <c r="AR26" i="48"/>
  <c r="AR7" i="48" s="1"/>
  <c r="AS26" i="48"/>
  <c r="AS7" i="48" s="1"/>
  <c r="AK26" i="48"/>
  <c r="AK576" i="48"/>
  <c r="AK701" i="48"/>
  <c r="AS1051" i="48"/>
  <c r="AK676" i="48"/>
  <c r="AK151" i="48"/>
  <c r="AK1076" i="48"/>
  <c r="AK651" i="48"/>
  <c r="AK726" i="48"/>
  <c r="AK76" i="48"/>
  <c r="AK251" i="48"/>
  <c r="AK851" i="48"/>
  <c r="AK901" i="48"/>
  <c r="AK951" i="48"/>
  <c r="AK176" i="48"/>
  <c r="AK226" i="48"/>
  <c r="AK526" i="48"/>
  <c r="AK1226" i="48"/>
  <c r="AK801" i="48"/>
  <c r="AK976" i="48"/>
  <c r="AK1001" i="48"/>
  <c r="AK826" i="48"/>
  <c r="AU776" i="48"/>
  <c r="AV776" i="48" s="1"/>
  <c r="AW776" i="48" s="1"/>
  <c r="AW753" i="48" s="1"/>
  <c r="AP1026" i="48"/>
  <c r="AP1028" i="48" s="1"/>
  <c r="AK1026" i="48"/>
  <c r="AR1026" i="48"/>
  <c r="AS1101" i="48"/>
  <c r="AK1101" i="48"/>
  <c r="AS1151" i="48"/>
  <c r="AK1151" i="48"/>
  <c r="AS751" i="48"/>
  <c r="AK751" i="48"/>
  <c r="AS1251" i="48"/>
  <c r="AK1251" i="48"/>
  <c r="AS326" i="48"/>
  <c r="AK326" i="48"/>
  <c r="AS101" i="48"/>
  <c r="AK101" i="48"/>
  <c r="AS426" i="48"/>
  <c r="AK426" i="48"/>
  <c r="AS1326" i="48"/>
  <c r="AK1326" i="48"/>
  <c r="AS301" i="48"/>
  <c r="AK301" i="48"/>
  <c r="AS1301" i="48"/>
  <c r="AK1301" i="48"/>
  <c r="AT1026" i="48"/>
  <c r="AS476" i="48"/>
  <c r="AK476" i="48"/>
  <c r="AR1051" i="48"/>
  <c r="AK1051" i="48"/>
  <c r="AS626" i="48"/>
  <c r="AK626" i="48"/>
  <c r="AS376" i="48"/>
  <c r="AK376" i="48"/>
  <c r="AS926" i="48"/>
  <c r="AK926" i="48"/>
  <c r="AS1351" i="48"/>
  <c r="AK1351" i="48"/>
  <c r="AS551" i="48"/>
  <c r="AK551" i="48"/>
  <c r="AS1276" i="48"/>
  <c r="AK1276" i="48"/>
  <c r="AS1126" i="48"/>
  <c r="AK1126" i="48"/>
  <c r="AK51" i="48"/>
  <c r="AS201" i="48"/>
  <c r="AK201" i="48"/>
  <c r="AS876" i="48"/>
  <c r="AK876" i="48"/>
  <c r="AS1201" i="48"/>
  <c r="AK1201" i="48"/>
  <c r="AS501" i="48"/>
  <c r="AK501" i="48"/>
  <c r="AP1051" i="48"/>
  <c r="AP1053" i="48" s="1"/>
  <c r="AT1051" i="48"/>
  <c r="AS1026" i="48"/>
  <c r="AS51" i="48"/>
  <c r="AR526" i="48"/>
  <c r="AT526" i="48"/>
  <c r="AR951" i="48"/>
  <c r="AP951" i="48"/>
  <c r="M46" i="58" s="1"/>
  <c r="M48" i="58" s="1"/>
  <c r="I36" i="58" s="1"/>
  <c r="AT951" i="48"/>
  <c r="AT676" i="48"/>
  <c r="AP676" i="48"/>
  <c r="AP678" i="48" s="1"/>
  <c r="AR676" i="48"/>
  <c r="AS801" i="48"/>
  <c r="AT801" i="48"/>
  <c r="AP801" i="48"/>
  <c r="AP803" i="48" s="1"/>
  <c r="AR801" i="48"/>
  <c r="AS676" i="48"/>
  <c r="AS851" i="48"/>
  <c r="AT851" i="48"/>
  <c r="AP851" i="48"/>
  <c r="L46" i="58" s="1"/>
  <c r="L48" i="58" s="1"/>
  <c r="I35" i="58" s="1"/>
  <c r="J35" i="58" s="1"/>
  <c r="AR851" i="48"/>
  <c r="AP701" i="48"/>
  <c r="AP703" i="48" s="1"/>
  <c r="AT701" i="48"/>
  <c r="AR701" i="48"/>
  <c r="AP76" i="48"/>
  <c r="AP78" i="48" s="1"/>
  <c r="AT76" i="48"/>
  <c r="AR76" i="48"/>
  <c r="AS976" i="48"/>
  <c r="AP976" i="48"/>
  <c r="AP978" i="48" s="1"/>
  <c r="AT976" i="48"/>
  <c r="AR976" i="48"/>
  <c r="AP1326" i="48"/>
  <c r="AP1328" i="48" s="1"/>
  <c r="AT1326" i="48"/>
  <c r="AR1326" i="48"/>
  <c r="X26" i="48"/>
  <c r="AP1301" i="48"/>
  <c r="AP1303" i="48" s="1"/>
  <c r="AT1301" i="48"/>
  <c r="AR1301" i="48"/>
  <c r="AP1226" i="48"/>
  <c r="AP1228" i="48" s="1"/>
  <c r="AT1226" i="48"/>
  <c r="AR1226" i="48"/>
  <c r="AT1076" i="48"/>
  <c r="AP1076" i="48"/>
  <c r="K46" i="58" s="1"/>
  <c r="K48" i="58" s="1"/>
  <c r="I34" i="58" s="1"/>
  <c r="J34" i="58" s="1"/>
  <c r="AR1076" i="48"/>
  <c r="AT826" i="48"/>
  <c r="AP826" i="48"/>
  <c r="AP828" i="48" s="1"/>
  <c r="AR826" i="48"/>
  <c r="AP1126" i="48"/>
  <c r="AP1128" i="48" s="1"/>
  <c r="AT1126" i="48"/>
  <c r="AR1126" i="48"/>
  <c r="AT1251" i="48"/>
  <c r="AP1251" i="48"/>
  <c r="AP1253" i="48" s="1"/>
  <c r="AR1251" i="48"/>
  <c r="AT1351" i="48"/>
  <c r="AP1351" i="48"/>
  <c r="AP1353" i="48" s="1"/>
  <c r="AR1351" i="48"/>
  <c r="AT876" i="48"/>
  <c r="AP876" i="48"/>
  <c r="AR876" i="48"/>
  <c r="AS901" i="48"/>
  <c r="AT901" i="48"/>
  <c r="AP901" i="48"/>
  <c r="AP903" i="48" s="1"/>
  <c r="AR901" i="48"/>
  <c r="AS226" i="48"/>
  <c r="AT226" i="48"/>
  <c r="AR226" i="48"/>
  <c r="AS651" i="48"/>
  <c r="AT651" i="48"/>
  <c r="AP651" i="48"/>
  <c r="AP653" i="48" s="1"/>
  <c r="AR651" i="48"/>
  <c r="AP1151" i="48"/>
  <c r="AP1153" i="48" s="1"/>
  <c r="AT1151" i="48"/>
  <c r="AR1151" i="48"/>
  <c r="AP551" i="48"/>
  <c r="AP553" i="48" s="1"/>
  <c r="AT551" i="48"/>
  <c r="AR551" i="48"/>
  <c r="AT201" i="48"/>
  <c r="AR201" i="48"/>
  <c r="AR426" i="48"/>
  <c r="AT426" i="48"/>
  <c r="AP426" i="48"/>
  <c r="AP428" i="48" s="1"/>
  <c r="AR476" i="48"/>
  <c r="AP476" i="48"/>
  <c r="AP478" i="48" s="1"/>
  <c r="AT476" i="48"/>
  <c r="AS576" i="48"/>
  <c r="AP576" i="48"/>
  <c r="AP578" i="48" s="1"/>
  <c r="AT576" i="48"/>
  <c r="AR576" i="48"/>
  <c r="AT1101" i="48"/>
  <c r="AP1101" i="48"/>
  <c r="AP1103" i="48" s="1"/>
  <c r="AR1101" i="48"/>
  <c r="AS151" i="48"/>
  <c r="AT151" i="48"/>
  <c r="AP151" i="48"/>
  <c r="AP153" i="48" s="1"/>
  <c r="AR151" i="48"/>
  <c r="AP1276" i="48"/>
  <c r="AP1278" i="48" s="1"/>
  <c r="AT1276" i="48"/>
  <c r="AR1276" i="48"/>
  <c r="AT751" i="48"/>
  <c r="AP751" i="48"/>
  <c r="AP753" i="48" s="1"/>
  <c r="AR751" i="48"/>
  <c r="AR51" i="48"/>
  <c r="AP51" i="48"/>
  <c r="AP53" i="48" s="1"/>
  <c r="AT51" i="48"/>
  <c r="AS1001" i="48"/>
  <c r="AT1001" i="48"/>
  <c r="AP1001" i="48"/>
  <c r="AP1003" i="48" s="1"/>
  <c r="AR1001" i="48"/>
  <c r="AP101" i="48"/>
  <c r="AP103" i="48" s="1"/>
  <c r="AT101" i="48"/>
  <c r="AR101" i="48"/>
  <c r="AS526" i="48"/>
  <c r="AS726" i="48"/>
  <c r="AP726" i="48"/>
  <c r="AP728" i="48" s="1"/>
  <c r="AT726" i="48"/>
  <c r="AR726" i="48"/>
  <c r="AS251" i="48"/>
  <c r="AT251" i="48"/>
  <c r="AR251" i="48"/>
  <c r="AT926" i="48"/>
  <c r="AP926" i="48"/>
  <c r="AP928" i="48" s="1"/>
  <c r="AR926" i="48"/>
  <c r="AS76" i="48"/>
  <c r="AS1226" i="48"/>
  <c r="AT376" i="48"/>
  <c r="AP376" i="48"/>
  <c r="AR376" i="48"/>
  <c r="AS1076" i="48"/>
  <c r="AT326" i="48"/>
  <c r="AR326" i="48"/>
  <c r="AS176" i="48"/>
  <c r="AT176" i="48"/>
  <c r="AP176" i="48"/>
  <c r="AP178" i="48" s="1"/>
  <c r="AR176" i="48"/>
  <c r="AS826" i="48"/>
  <c r="AT1201" i="48"/>
  <c r="AP1201" i="48"/>
  <c r="AP1203" i="48" s="1"/>
  <c r="AR1201" i="48"/>
  <c r="AT301" i="48"/>
  <c r="AR301" i="48"/>
  <c r="AR501" i="48"/>
  <c r="AT501" i="48"/>
  <c r="AP501" i="48"/>
  <c r="AP503" i="48" s="1"/>
  <c r="AR626" i="48"/>
  <c r="AP626" i="48"/>
  <c r="AP628" i="48" s="1"/>
  <c r="AT626" i="48"/>
  <c r="AS701" i="48"/>
  <c r="AS951" i="48"/>
  <c r="AP878" i="48" l="1"/>
  <c r="J46" i="58"/>
  <c r="J48" i="58" s="1"/>
  <c r="I33" i="58" s="1"/>
  <c r="J33" i="58" s="1"/>
  <c r="AP378" i="48"/>
  <c r="I46" i="58"/>
  <c r="I48" i="58" s="1"/>
  <c r="I32" i="58" s="1"/>
  <c r="J32" i="58" s="1"/>
  <c r="AP28" i="48"/>
  <c r="O46" i="58"/>
  <c r="O48" i="58" s="1"/>
  <c r="I38" i="58" s="1"/>
  <c r="AO28" i="48"/>
  <c r="J19" i="58"/>
  <c r="J22" i="58" s="1"/>
  <c r="L22" i="58" s="1"/>
  <c r="AS3" i="48"/>
  <c r="AR3" i="48"/>
  <c r="AP953" i="48"/>
  <c r="AT3" i="48"/>
  <c r="P1251" i="48"/>
  <c r="J36" i="58"/>
  <c r="AX1126" i="48"/>
  <c r="P1126" i="48" s="1"/>
  <c r="AN26" i="48"/>
  <c r="AP1078" i="48"/>
  <c r="AP853" i="48"/>
  <c r="AX251" i="48"/>
  <c r="AX826" i="48"/>
  <c r="AX926" i="48"/>
  <c r="AX426" i="48"/>
  <c r="AX626" i="48"/>
  <c r="AX1301" i="48"/>
  <c r="AX351" i="48"/>
  <c r="AX226" i="48"/>
  <c r="AX176" i="48"/>
  <c r="AX1001" i="48"/>
  <c r="AX326" i="48"/>
  <c r="AX726" i="48"/>
  <c r="AX701" i="48"/>
  <c r="AX801" i="48"/>
  <c r="AX301" i="48"/>
  <c r="P301" i="48" s="1"/>
  <c r="AX1101" i="48"/>
  <c r="AX526" i="48"/>
  <c r="P526" i="48" s="1"/>
  <c r="AX1201" i="48"/>
  <c r="P1201" i="48" s="1"/>
  <c r="AX876" i="48"/>
  <c r="AX376" i="48"/>
  <c r="AX576" i="48"/>
  <c r="P576" i="48" s="1"/>
  <c r="AX151" i="48"/>
  <c r="AX676" i="48"/>
  <c r="P676" i="48" s="1"/>
  <c r="AX476" i="48"/>
  <c r="AX851" i="48"/>
  <c r="AX1076" i="48"/>
  <c r="P1076" i="48" s="1"/>
  <c r="AX951" i="48"/>
  <c r="AX201" i="48"/>
  <c r="AX1276" i="48"/>
  <c r="AX1051" i="48"/>
  <c r="P1051" i="48" s="1"/>
  <c r="AX501" i="48"/>
  <c r="AX76" i="48"/>
  <c r="P76" i="48" s="1"/>
  <c r="AX651" i="48"/>
  <c r="AX1226" i="48"/>
  <c r="AX1177" i="48"/>
  <c r="P1177" i="48" s="1"/>
  <c r="AX1252" i="48"/>
  <c r="AX1202" i="48"/>
  <c r="AX1352" i="48"/>
  <c r="AX1277" i="48"/>
  <c r="P1277" i="48" s="1"/>
  <c r="AX276" i="48"/>
  <c r="AX1302" i="48"/>
  <c r="P1302" i="48" s="1"/>
  <c r="AX1227" i="48"/>
  <c r="AX1327" i="48"/>
  <c r="P1327" i="48" s="1"/>
  <c r="AM27" i="48"/>
  <c r="U21" i="58" s="1"/>
  <c r="AX601" i="48"/>
  <c r="P601" i="48" s="1"/>
  <c r="AX126" i="48"/>
  <c r="P126" i="48" s="1"/>
  <c r="AX401" i="48"/>
  <c r="P401" i="48" s="1"/>
  <c r="AX776" i="48"/>
  <c r="P776" i="48" s="1"/>
  <c r="AX451" i="48"/>
  <c r="P451" i="48" s="1"/>
  <c r="AX1026" i="48"/>
  <c r="P1026" i="48" s="1"/>
  <c r="AX1326" i="48"/>
  <c r="P1326" i="48" s="1"/>
  <c r="AX101" i="48"/>
  <c r="P101" i="48" s="1"/>
  <c r="AX1351" i="48"/>
  <c r="P1351" i="48" s="1"/>
  <c r="AX1151" i="48"/>
  <c r="P1151" i="48" s="1"/>
  <c r="AX901" i="48"/>
  <c r="P901" i="48" s="1"/>
  <c r="AX51" i="48"/>
  <c r="P51" i="48" s="1"/>
  <c r="BA27" i="48"/>
  <c r="W21" i="58" s="1"/>
  <c r="AX976" i="48"/>
  <c r="P976" i="48" s="1"/>
  <c r="AX551" i="48"/>
  <c r="P551" i="48" s="1"/>
  <c r="AX26" i="48"/>
  <c r="P26" i="48" s="1"/>
  <c r="AW668" i="48"/>
  <c r="AV669" i="48"/>
  <c r="BA26" i="48"/>
  <c r="W20" i="58" s="1"/>
  <c r="AU51" i="48"/>
  <c r="AV51" i="48" s="1"/>
  <c r="AW51" i="48" s="1"/>
  <c r="AU201" i="48"/>
  <c r="AV201" i="48" s="1"/>
  <c r="AW201" i="48" s="1"/>
  <c r="AW178" i="48" s="1"/>
  <c r="AU176" i="48"/>
  <c r="AV176" i="48" s="1"/>
  <c r="AW176" i="48" s="1"/>
  <c r="AW153" i="48" s="1"/>
  <c r="AU1201" i="48"/>
  <c r="AV1201" i="48" s="1"/>
  <c r="AW1201" i="48" s="1"/>
  <c r="AW1178" i="48" s="1"/>
  <c r="AU626" i="48"/>
  <c r="AV626" i="48" s="1"/>
  <c r="AW626" i="48" s="1"/>
  <c r="AW603" i="48" s="1"/>
  <c r="AU926" i="48"/>
  <c r="AV926" i="48" s="1"/>
  <c r="AW926" i="48" s="1"/>
  <c r="AW903" i="48" s="1"/>
  <c r="AU1001" i="48"/>
  <c r="AV1001" i="48" s="1"/>
  <c r="AW1001" i="48" s="1"/>
  <c r="AW978" i="48" s="1"/>
  <c r="AU576" i="48"/>
  <c r="AV576" i="48" s="1"/>
  <c r="AW576" i="48" s="1"/>
  <c r="AW553" i="48" s="1"/>
  <c r="AU1151" i="48"/>
  <c r="AV1151" i="48" s="1"/>
  <c r="AW1151" i="48" s="1"/>
  <c r="AW1128" i="48" s="1"/>
  <c r="AU651" i="48"/>
  <c r="AV651" i="48" s="1"/>
  <c r="AW651" i="48" s="1"/>
  <c r="AW628" i="48" s="1"/>
  <c r="AU1251" i="48"/>
  <c r="AV1251" i="48" s="1"/>
  <c r="AW1251" i="48" s="1"/>
  <c r="AW1228" i="48" s="1"/>
  <c r="AU1301" i="48"/>
  <c r="AV1301" i="48" s="1"/>
  <c r="AW1301" i="48" s="1"/>
  <c r="AW1278" i="48" s="1"/>
  <c r="AU976" i="48"/>
  <c r="AV976" i="48" s="1"/>
  <c r="AW976" i="48" s="1"/>
  <c r="AW953" i="48" s="1"/>
  <c r="AU76" i="48"/>
  <c r="AV76" i="48" s="1"/>
  <c r="AW76" i="48" s="1"/>
  <c r="AW53" i="48" s="1"/>
  <c r="AU951" i="48"/>
  <c r="AV951" i="48" s="1"/>
  <c r="AW951" i="48" s="1"/>
  <c r="AW928" i="48" s="1"/>
  <c r="AU101" i="48"/>
  <c r="AV101" i="48" s="1"/>
  <c r="AW101" i="48" s="1"/>
  <c r="AW78" i="48" s="1"/>
  <c r="AU151" i="48"/>
  <c r="AV151" i="48" s="1"/>
  <c r="AW151" i="48" s="1"/>
  <c r="AW128" i="48" s="1"/>
  <c r="AU1101" i="48"/>
  <c r="AV1101" i="48" s="1"/>
  <c r="AW1101" i="48" s="1"/>
  <c r="AW1078" i="48" s="1"/>
  <c r="AU426" i="48"/>
  <c r="AV426" i="48" s="1"/>
  <c r="AW426" i="48" s="1"/>
  <c r="AW403" i="48" s="1"/>
  <c r="AU551" i="48"/>
  <c r="AV551" i="48" s="1"/>
  <c r="AW551" i="48" s="1"/>
  <c r="AW528" i="48" s="1"/>
  <c r="AU1351" i="48"/>
  <c r="AV1351" i="48" s="1"/>
  <c r="AW1351" i="48" s="1"/>
  <c r="AW1328" i="48" s="1"/>
  <c r="AU1226" i="48"/>
  <c r="AV1226" i="48" s="1"/>
  <c r="AW1226" i="48" s="1"/>
  <c r="AW1203" i="48" s="1"/>
  <c r="AU1326" i="48"/>
  <c r="AV1326" i="48" s="1"/>
  <c r="AW1326" i="48" s="1"/>
  <c r="AW1303" i="48" s="1"/>
  <c r="AU326" i="48"/>
  <c r="AV326" i="48" s="1"/>
  <c r="AW326" i="48" s="1"/>
  <c r="AW303" i="48" s="1"/>
  <c r="AU376" i="48"/>
  <c r="AV376" i="48" s="1"/>
  <c r="AW376" i="48" s="1"/>
  <c r="AW353" i="48" s="1"/>
  <c r="AU726" i="48"/>
  <c r="AV726" i="48" s="1"/>
  <c r="AW726" i="48" s="1"/>
  <c r="AW703" i="48" s="1"/>
  <c r="AU1276" i="48"/>
  <c r="AV1276" i="48" s="1"/>
  <c r="AW1276" i="48" s="1"/>
  <c r="AW1253" i="48" s="1"/>
  <c r="AU476" i="48"/>
  <c r="AV476" i="48" s="1"/>
  <c r="AW476" i="48" s="1"/>
  <c r="AW453" i="48" s="1"/>
  <c r="AU351" i="48"/>
  <c r="AV351" i="48" s="1"/>
  <c r="AW351" i="48" s="1"/>
  <c r="AW328" i="48" s="1"/>
  <c r="AU901" i="48"/>
  <c r="AV901" i="48" s="1"/>
  <c r="AW901" i="48" s="1"/>
  <c r="AW878" i="48" s="1"/>
  <c r="AU876" i="48"/>
  <c r="AV876" i="48" s="1"/>
  <c r="AW876" i="48" s="1"/>
  <c r="AW853" i="48" s="1"/>
  <c r="AU1076" i="48"/>
  <c r="AV1076" i="48" s="1"/>
  <c r="AW1076" i="48" s="1"/>
  <c r="AW1053" i="48" s="1"/>
  <c r="AU851" i="48"/>
  <c r="AV851" i="48" s="1"/>
  <c r="AW851" i="48" s="1"/>
  <c r="AW828" i="48" s="1"/>
  <c r="AU501" i="48"/>
  <c r="AV501" i="48" s="1"/>
  <c r="AW501" i="48" s="1"/>
  <c r="AW478" i="48" s="1"/>
  <c r="AU301" i="48"/>
  <c r="AV301" i="48" s="1"/>
  <c r="AW301" i="48" s="1"/>
  <c r="AW278" i="48" s="1"/>
  <c r="AU751" i="48"/>
  <c r="AV751" i="48" s="1"/>
  <c r="AW751" i="48" s="1"/>
  <c r="AW728" i="48" s="1"/>
  <c r="AU1126" i="48"/>
  <c r="AV1126" i="48" s="1"/>
  <c r="AW1126" i="48" s="1"/>
  <c r="AW1103" i="48" s="1"/>
  <c r="AU826" i="48"/>
  <c r="AV826" i="48" s="1"/>
  <c r="AW826" i="48" s="1"/>
  <c r="AW803" i="48" s="1"/>
  <c r="AU701" i="48"/>
  <c r="AV701" i="48" s="1"/>
  <c r="AW701" i="48" s="1"/>
  <c r="AW678" i="48" s="1"/>
  <c r="AU801" i="48"/>
  <c r="AV801" i="48" s="1"/>
  <c r="AW801" i="48" s="1"/>
  <c r="AW778" i="48" s="1"/>
  <c r="AU676" i="48"/>
  <c r="AU526" i="48"/>
  <c r="AV526" i="48" s="1"/>
  <c r="AW526" i="48" s="1"/>
  <c r="AW503" i="48" s="1"/>
  <c r="AU1051" i="48"/>
  <c r="AV1051" i="48" s="1"/>
  <c r="AW1051" i="48" s="1"/>
  <c r="AW1028" i="48" s="1"/>
  <c r="AU1026" i="48"/>
  <c r="AV1026" i="48" s="1"/>
  <c r="AW1026" i="48" s="1"/>
  <c r="AW1003" i="48" s="1"/>
  <c r="AU226" i="48"/>
  <c r="AV226" i="48" s="1"/>
  <c r="AW226" i="48" s="1"/>
  <c r="AW203" i="48" s="1"/>
  <c r="AU251" i="48"/>
  <c r="AV251" i="48" s="1"/>
  <c r="AW251" i="48" s="1"/>
  <c r="AW228" i="48" s="1"/>
  <c r="I29" i="58" l="1"/>
  <c r="J29" i="58" s="1"/>
  <c r="J38" i="58"/>
  <c r="AN28" i="48"/>
  <c r="I19" i="58"/>
  <c r="I22" i="58" s="1"/>
  <c r="K22" i="58" s="1"/>
  <c r="AG1126" i="48"/>
  <c r="AG1101" i="48"/>
  <c r="P1101" i="48"/>
  <c r="Y1352" i="48"/>
  <c r="P1352" i="48"/>
  <c r="AG501" i="48"/>
  <c r="P501" i="48"/>
  <c r="AG351" i="48"/>
  <c r="P351" i="48"/>
  <c r="Y1202" i="48"/>
  <c r="P1202" i="48"/>
  <c r="AG151" i="48"/>
  <c r="P151" i="48"/>
  <c r="AG801" i="48"/>
  <c r="P801" i="48"/>
  <c r="AG1301" i="48"/>
  <c r="P1301" i="48"/>
  <c r="Y1252" i="48"/>
  <c r="P1252" i="48"/>
  <c r="AG1276" i="48"/>
  <c r="P1276" i="48"/>
  <c r="AG701" i="48"/>
  <c r="P701" i="48"/>
  <c r="AG626" i="48"/>
  <c r="P626" i="48"/>
  <c r="AG201" i="48"/>
  <c r="P201" i="48"/>
  <c r="AG376" i="48"/>
  <c r="P376" i="48"/>
  <c r="AG726" i="48"/>
  <c r="P726" i="48"/>
  <c r="AG426" i="48"/>
  <c r="P426" i="48"/>
  <c r="AG226" i="48"/>
  <c r="P226" i="48"/>
  <c r="Y1227" i="48"/>
  <c r="P1227" i="48"/>
  <c r="AG951" i="48"/>
  <c r="P951" i="48"/>
  <c r="AG876" i="48"/>
  <c r="P876" i="48"/>
  <c r="AG326" i="48"/>
  <c r="P326" i="48"/>
  <c r="AG926" i="48"/>
  <c r="P926" i="48"/>
  <c r="AG1226" i="48"/>
  <c r="P1226" i="48"/>
  <c r="AG1001" i="48"/>
  <c r="P1001" i="48"/>
  <c r="AG826" i="48"/>
  <c r="P826" i="48"/>
  <c r="AG476" i="48"/>
  <c r="P476" i="48"/>
  <c r="AG651" i="48"/>
  <c r="P651" i="48"/>
  <c r="AG851" i="48"/>
  <c r="P851" i="48"/>
  <c r="AG176" i="48"/>
  <c r="P176" i="48"/>
  <c r="AG251" i="48"/>
  <c r="P251" i="48"/>
  <c r="W22" i="58"/>
  <c r="BA3" i="48"/>
  <c r="W5" i="58" s="1"/>
  <c r="AG526" i="48"/>
  <c r="AG576" i="48"/>
  <c r="AG76" i="48"/>
  <c r="AG1051" i="48"/>
  <c r="AG1076" i="48"/>
  <c r="AG1201" i="48"/>
  <c r="AG676" i="48"/>
  <c r="AG301" i="48"/>
  <c r="AG1326" i="48"/>
  <c r="AG1177" i="48"/>
  <c r="AY1177" i="48"/>
  <c r="AG976" i="48"/>
  <c r="AG1026" i="48"/>
  <c r="AG126" i="48"/>
  <c r="AG1227" i="48"/>
  <c r="AG1352" i="48"/>
  <c r="Y1177" i="48"/>
  <c r="AG1327" i="48"/>
  <c r="AG1351" i="48"/>
  <c r="AG451" i="48"/>
  <c r="AG601" i="48"/>
  <c r="AG1302" i="48"/>
  <c r="AG1202" i="48"/>
  <c r="Y1327" i="48"/>
  <c r="Y1302" i="48"/>
  <c r="AG551" i="48"/>
  <c r="AG901" i="48"/>
  <c r="AG401" i="48"/>
  <c r="AG1277" i="48"/>
  <c r="AG26" i="48"/>
  <c r="Y26" i="48"/>
  <c r="AG51" i="48"/>
  <c r="AG101" i="48"/>
  <c r="AG776" i="48"/>
  <c r="AG276" i="48"/>
  <c r="AG1252" i="48"/>
  <c r="Y1277" i="48"/>
  <c r="AW669" i="48"/>
  <c r="AV670" i="48"/>
  <c r="AZ26" i="48"/>
  <c r="AZ27" i="48" s="1"/>
  <c r="T1351" i="48" l="1"/>
  <c r="S1351" i="48" s="1"/>
  <c r="T1352" i="48"/>
  <c r="T1252" i="48"/>
  <c r="T1277" i="48"/>
  <c r="T1327" i="48"/>
  <c r="T1326" i="48"/>
  <c r="S1326" i="48" s="1"/>
  <c r="T1226" i="48"/>
  <c r="S1226" i="48" s="1"/>
  <c r="T1302" i="48"/>
  <c r="T1276" i="48"/>
  <c r="S1276" i="48" s="1"/>
  <c r="T1177" i="48"/>
  <c r="T627" i="48"/>
  <c r="T352" i="48"/>
  <c r="T927" i="48"/>
  <c r="T852" i="48"/>
  <c r="T102" i="48"/>
  <c r="T402" i="48"/>
  <c r="T727" i="48"/>
  <c r="T1052" i="48"/>
  <c r="T1002" i="48"/>
  <c r="T52" i="48"/>
  <c r="T677" i="48"/>
  <c r="T902" i="48"/>
  <c r="T802" i="48"/>
  <c r="T952" i="48"/>
  <c r="T577" i="48"/>
  <c r="T1027" i="48"/>
  <c r="T977" i="48"/>
  <c r="T152" i="48"/>
  <c r="T552" i="48"/>
  <c r="T752" i="48"/>
  <c r="T1077" i="48"/>
  <c r="T502" i="48"/>
  <c r="T127" i="48"/>
  <c r="T452" i="48"/>
  <c r="T1152" i="48"/>
  <c r="T27" i="48"/>
  <c r="R21" i="58" s="1"/>
  <c r="T327" i="48"/>
  <c r="T302" i="48"/>
  <c r="T777" i="48"/>
  <c r="T702" i="48"/>
  <c r="T477" i="48"/>
  <c r="T177" i="48"/>
  <c r="T1102" i="48"/>
  <c r="T202" i="48"/>
  <c r="T652" i="48"/>
  <c r="T877" i="48"/>
  <c r="T1127" i="48"/>
  <c r="T527" i="48"/>
  <c r="T227" i="48"/>
  <c r="T602" i="48"/>
  <c r="T252" i="48"/>
  <c r="T827" i="48"/>
  <c r="T377" i="48"/>
  <c r="T77" i="48"/>
  <c r="T427" i="48"/>
  <c r="T1251" i="48"/>
  <c r="S1251" i="48" s="1"/>
  <c r="T1201" i="48"/>
  <c r="S1201" i="48" s="1"/>
  <c r="AA27" i="48"/>
  <c r="S21" i="58" s="1"/>
  <c r="T1301" i="48"/>
  <c r="S1301" i="48" s="1"/>
  <c r="T1202" i="48"/>
  <c r="T1227" i="48"/>
  <c r="AI27" i="48"/>
  <c r="T21" i="58" s="1"/>
  <c r="AV671" i="48"/>
  <c r="AW670" i="48"/>
  <c r="S1352" i="48" l="1"/>
  <c r="S1227" i="48"/>
  <c r="S1277" i="48"/>
  <c r="S1252" i="48"/>
  <c r="S1302" i="48"/>
  <c r="S1327" i="48"/>
  <c r="AU27" i="48"/>
  <c r="S1202" i="48"/>
  <c r="AV672" i="48"/>
  <c r="AW671" i="48"/>
  <c r="AV673" i="48" l="1"/>
  <c r="AW672" i="48"/>
  <c r="AV674" i="48" l="1"/>
  <c r="AW673" i="48"/>
  <c r="AM11" i="48"/>
  <c r="AX736" i="48"/>
  <c r="P736" i="48" s="1"/>
  <c r="AX1161" i="48"/>
  <c r="P1161" i="48" s="1"/>
  <c r="AG1136" i="48"/>
  <c r="T36" i="48" l="1"/>
  <c r="AG736" i="48"/>
  <c r="AG1161" i="48"/>
  <c r="AV675" i="48"/>
  <c r="AW674" i="48"/>
  <c r="Y1272" i="48"/>
  <c r="Y261" i="48"/>
  <c r="Y1336" i="48"/>
  <c r="Y561" i="48"/>
  <c r="Y761" i="48"/>
  <c r="Y886" i="48"/>
  <c r="Y111" i="48"/>
  <c r="Y1086" i="48"/>
  <c r="Y1011" i="48"/>
  <c r="Y461" i="48"/>
  <c r="Y1186" i="48"/>
  <c r="Y1161" i="48"/>
  <c r="Y286" i="48"/>
  <c r="Y1286" i="48"/>
  <c r="Y186" i="48"/>
  <c r="Y686" i="48"/>
  <c r="Y386" i="48"/>
  <c r="Y636" i="48"/>
  <c r="Y786" i="48"/>
  <c r="Y411" i="48"/>
  <c r="Y36" i="48"/>
  <c r="Y211" i="48"/>
  <c r="Y1111" i="48"/>
  <c r="Y361" i="48"/>
  <c r="Y161" i="48"/>
  <c r="Y611" i="48"/>
  <c r="Y836" i="48"/>
  <c r="Y661" i="48"/>
  <c r="Y86" i="48"/>
  <c r="Y336" i="48"/>
  <c r="Y486" i="48"/>
  <c r="Y1211" i="48"/>
  <c r="Y811" i="48"/>
  <c r="Y861" i="48"/>
  <c r="Y961" i="48"/>
  <c r="Y1236" i="48"/>
  <c r="Y1136" i="48"/>
  <c r="Y586" i="48"/>
  <c r="Y1261" i="48"/>
  <c r="Y511" i="48"/>
  <c r="Y736" i="48"/>
  <c r="Y986" i="48"/>
  <c r="Y1061" i="48"/>
  <c r="Y911" i="48"/>
  <c r="Y136" i="48"/>
  <c r="Y536" i="48"/>
  <c r="Y711" i="48"/>
  <c r="Y1036" i="48"/>
  <c r="Y936" i="48"/>
  <c r="Y236" i="48"/>
  <c r="Y311" i="48"/>
  <c r="Y1311" i="48"/>
  <c r="Y61" i="48"/>
  <c r="Y436" i="48"/>
  <c r="AX751" i="48"/>
  <c r="P751" i="48" s="1"/>
  <c r="AX1176" i="48"/>
  <c r="P1176" i="48" s="1"/>
  <c r="AX743" i="48"/>
  <c r="P743" i="48" s="1"/>
  <c r="AX1168" i="48"/>
  <c r="P1168" i="48" s="1"/>
  <c r="AX747" i="48"/>
  <c r="P747" i="48" s="1"/>
  <c r="AX1172" i="48"/>
  <c r="P1172" i="48" s="1"/>
  <c r="AX739" i="48"/>
  <c r="P739" i="48" s="1"/>
  <c r="AX1164" i="48"/>
  <c r="P1164" i="48" s="1"/>
  <c r="AI11" i="48" l="1"/>
  <c r="AH11" i="48" s="1"/>
  <c r="AG1168" i="48"/>
  <c r="T1161" i="48"/>
  <c r="S1161" i="48" s="1"/>
  <c r="T1136" i="48"/>
  <c r="S1136" i="48" s="1"/>
  <c r="T1061" i="48"/>
  <c r="S1061" i="48" s="1"/>
  <c r="T1011" i="48"/>
  <c r="S1011" i="48" s="1"/>
  <c r="T761" i="48"/>
  <c r="S761" i="48" s="1"/>
  <c r="T836" i="48"/>
  <c r="S836" i="48" s="1"/>
  <c r="T986" i="48"/>
  <c r="S986" i="48" s="1"/>
  <c r="T811" i="48"/>
  <c r="S811" i="48" s="1"/>
  <c r="T1036" i="48"/>
  <c r="S1036" i="48" s="1"/>
  <c r="T911" i="48"/>
  <c r="S911" i="48" s="1"/>
  <c r="T786" i="48"/>
  <c r="S786" i="48" s="1"/>
  <c r="T936" i="48"/>
  <c r="S936" i="48" s="1"/>
  <c r="T1111" i="48"/>
  <c r="S1111" i="48" s="1"/>
  <c r="T861" i="48"/>
  <c r="S861" i="48" s="1"/>
  <c r="T1086" i="48"/>
  <c r="S1086" i="48" s="1"/>
  <c r="T886" i="48"/>
  <c r="S886" i="48" s="1"/>
  <c r="T961" i="48"/>
  <c r="S961" i="48" s="1"/>
  <c r="AG1172" i="48"/>
  <c r="AG743" i="48"/>
  <c r="AG1164" i="48"/>
  <c r="AG747" i="48"/>
  <c r="T736" i="48"/>
  <c r="S736" i="48" s="1"/>
  <c r="T61" i="48"/>
  <c r="S61" i="48" s="1"/>
  <c r="T336" i="48"/>
  <c r="S336" i="48" s="1"/>
  <c r="T236" i="48"/>
  <c r="S236" i="48" s="1"/>
  <c r="T636" i="48"/>
  <c r="S636" i="48" s="1"/>
  <c r="T161" i="48"/>
  <c r="S161" i="48" s="1"/>
  <c r="T536" i="48"/>
  <c r="S536" i="48" s="1"/>
  <c r="T486" i="48"/>
  <c r="S486" i="48" s="1"/>
  <c r="T411" i="48"/>
  <c r="S411" i="48" s="1"/>
  <c r="T586" i="48"/>
  <c r="S586" i="48" s="1"/>
  <c r="T686" i="48"/>
  <c r="S686" i="48" s="1"/>
  <c r="T311" i="48"/>
  <c r="S311" i="48" s="1"/>
  <c r="T561" i="48"/>
  <c r="S561" i="48" s="1"/>
  <c r="T611" i="48"/>
  <c r="S611" i="48" s="1"/>
  <c r="T261" i="48"/>
  <c r="S261" i="48" s="1"/>
  <c r="T661" i="48"/>
  <c r="S661" i="48" s="1"/>
  <c r="T186" i="48"/>
  <c r="S186" i="48" s="1"/>
  <c r="T286" i="48"/>
  <c r="S286" i="48" s="1"/>
  <c r="T511" i="48"/>
  <c r="S511" i="48" s="1"/>
  <c r="T436" i="48"/>
  <c r="S436" i="48" s="1"/>
  <c r="T211" i="48"/>
  <c r="S211" i="48" s="1"/>
  <c r="T86" i="48"/>
  <c r="S86" i="48" s="1"/>
  <c r="T361" i="48"/>
  <c r="S361" i="48" s="1"/>
  <c r="T111" i="48"/>
  <c r="S111" i="48" s="1"/>
  <c r="T386" i="48"/>
  <c r="S386" i="48" s="1"/>
  <c r="T711" i="48"/>
  <c r="S711" i="48" s="1"/>
  <c r="T11" i="48"/>
  <c r="T461" i="48"/>
  <c r="S461" i="48" s="1"/>
  <c r="T136" i="48"/>
  <c r="S136" i="48" s="1"/>
  <c r="AG751" i="48"/>
  <c r="AG739" i="48"/>
  <c r="AG1176" i="48"/>
  <c r="AW675" i="48"/>
  <c r="AV676" i="48"/>
  <c r="AW676" i="48" s="1"/>
  <c r="AY676" i="48" s="1"/>
  <c r="Y1214" i="48"/>
  <c r="AY1272" i="48"/>
  <c r="AY1214" i="48"/>
  <c r="AM22" i="48"/>
  <c r="U16" i="58" s="1"/>
  <c r="AM18" i="48"/>
  <c r="U12" i="58" s="1"/>
  <c r="AM26" i="48"/>
  <c r="U20" i="58" s="1"/>
  <c r="Y1314" i="48"/>
  <c r="Y1114" i="48"/>
  <c r="Y164" i="48"/>
  <c r="Y639" i="48"/>
  <c r="Y139" i="48"/>
  <c r="Y514" i="48"/>
  <c r="Y314" i="48"/>
  <c r="Y214" i="48"/>
  <c r="Y1268" i="48"/>
  <c r="Y1122" i="48"/>
  <c r="Y1022" i="48"/>
  <c r="Y922" i="48"/>
  <c r="Y797" i="48"/>
  <c r="Y697" i="48"/>
  <c r="Y597" i="48"/>
  <c r="Y122" i="48"/>
  <c r="Y47" i="48"/>
  <c r="Y447" i="48"/>
  <c r="Y347" i="48"/>
  <c r="Y247" i="48"/>
  <c r="Y1218" i="48"/>
  <c r="Y943" i="48"/>
  <c r="Y843" i="48"/>
  <c r="Y1118" i="48"/>
  <c r="Y1018" i="48"/>
  <c r="Y818" i="48"/>
  <c r="Y718" i="48"/>
  <c r="Y618" i="48"/>
  <c r="Y168" i="48"/>
  <c r="Y93" i="48"/>
  <c r="Y493" i="48"/>
  <c r="Y393" i="48"/>
  <c r="Y293" i="48"/>
  <c r="Y1039" i="48"/>
  <c r="Y1339" i="48"/>
  <c r="Y72" i="48"/>
  <c r="Y1014" i="48"/>
  <c r="Y914" i="48"/>
  <c r="Y739" i="48"/>
  <c r="Y539" i="48"/>
  <c r="Y414" i="48"/>
  <c r="Y1293" i="48"/>
  <c r="Y1318" i="48"/>
  <c r="Y1343" i="48"/>
  <c r="Y1222" i="48"/>
  <c r="Y1189" i="48"/>
  <c r="Y1089" i="48"/>
  <c r="Y989" i="48"/>
  <c r="Y889" i="48"/>
  <c r="Y814" i="48"/>
  <c r="Y714" i="48"/>
  <c r="Y614" i="48"/>
  <c r="Y64" i="48"/>
  <c r="Y89" i="48"/>
  <c r="Y489" i="48"/>
  <c r="Y389" i="48"/>
  <c r="Y289" i="48"/>
  <c r="Y822" i="48"/>
  <c r="Y1197" i="48"/>
  <c r="Y1097" i="48"/>
  <c r="Y997" i="48"/>
  <c r="Y897" i="48"/>
  <c r="Y772" i="48"/>
  <c r="Y672" i="48"/>
  <c r="Y572" i="48"/>
  <c r="Y522" i="48"/>
  <c r="Y422" i="48"/>
  <c r="Y322" i="48"/>
  <c r="Y222" i="48"/>
  <c r="Y1239" i="48"/>
  <c r="Y918" i="48"/>
  <c r="Y1193" i="48"/>
  <c r="Y1093" i="48"/>
  <c r="Y993" i="48"/>
  <c r="Y793" i="48"/>
  <c r="Y693" i="48"/>
  <c r="Y593" i="48"/>
  <c r="Y68" i="48"/>
  <c r="Y43" i="48"/>
  <c r="Y468" i="48"/>
  <c r="Y368" i="48"/>
  <c r="Y268" i="48"/>
  <c r="Y1264" i="48"/>
  <c r="Y1139" i="48"/>
  <c r="AG1139" i="48"/>
  <c r="Y939" i="48"/>
  <c r="Y839" i="48"/>
  <c r="Y764" i="48"/>
  <c r="Y664" i="48"/>
  <c r="Y564" i="48"/>
  <c r="Y189" i="48"/>
  <c r="Y439" i="48"/>
  <c r="Y339" i="48"/>
  <c r="Y239" i="48"/>
  <c r="Y1247" i="48"/>
  <c r="Y1147" i="48"/>
  <c r="AG1147" i="48"/>
  <c r="Y1047" i="48"/>
  <c r="Y947" i="48"/>
  <c r="Y847" i="48"/>
  <c r="Y722" i="48"/>
  <c r="Y622" i="48"/>
  <c r="Y172" i="48"/>
  <c r="Y97" i="48"/>
  <c r="Y472" i="48"/>
  <c r="Y372" i="48"/>
  <c r="Y272" i="48"/>
  <c r="Y1289" i="48"/>
  <c r="Y868" i="48"/>
  <c r="Y1143" i="48"/>
  <c r="AG1143" i="48"/>
  <c r="Y1043" i="48"/>
  <c r="Y118" i="48"/>
  <c r="Y743" i="48"/>
  <c r="Y643" i="48"/>
  <c r="Y543" i="48"/>
  <c r="Y143" i="48"/>
  <c r="Y518" i="48"/>
  <c r="Y418" i="48"/>
  <c r="Y318" i="48"/>
  <c r="Y218" i="48"/>
  <c r="Y1297" i="48"/>
  <c r="Y1322" i="48"/>
  <c r="Y1347" i="48"/>
  <c r="Y1243" i="48"/>
  <c r="Y1164" i="48"/>
  <c r="Y1064" i="48"/>
  <c r="Y964" i="48"/>
  <c r="Y864" i="48"/>
  <c r="Y789" i="48"/>
  <c r="Y689" i="48"/>
  <c r="Y589" i="48"/>
  <c r="Y114" i="48"/>
  <c r="Y39" i="48"/>
  <c r="Y464" i="48"/>
  <c r="Y364" i="48"/>
  <c r="Y264" i="48"/>
  <c r="Y1172" i="48"/>
  <c r="Y1072" i="48"/>
  <c r="Y972" i="48"/>
  <c r="Y872" i="48"/>
  <c r="Y747" i="48"/>
  <c r="Y647" i="48"/>
  <c r="Y547" i="48"/>
  <c r="Y147" i="48"/>
  <c r="Y497" i="48"/>
  <c r="Y397" i="48"/>
  <c r="Y297" i="48"/>
  <c r="Y197" i="48"/>
  <c r="Y893" i="48"/>
  <c r="Y1168" i="48"/>
  <c r="Y1068" i="48"/>
  <c r="Y968" i="48"/>
  <c r="Y768" i="48"/>
  <c r="Y668" i="48"/>
  <c r="Y568" i="48"/>
  <c r="Y193" i="48"/>
  <c r="Y443" i="48"/>
  <c r="Y343" i="48"/>
  <c r="Y243" i="48"/>
  <c r="AA11" i="48"/>
  <c r="Z11" i="48" s="1"/>
  <c r="Y1351" i="48"/>
  <c r="Y926" i="48"/>
  <c r="Y826" i="48"/>
  <c r="Y1126" i="48"/>
  <c r="Y1026" i="48"/>
  <c r="Y801" i="48"/>
  <c r="Y701" i="48"/>
  <c r="Y601" i="48"/>
  <c r="Y126" i="48"/>
  <c r="Y101" i="48"/>
  <c r="Y476" i="48"/>
  <c r="Y376" i="48"/>
  <c r="Y276" i="48"/>
  <c r="Y1326" i="48"/>
  <c r="Y1276" i="48"/>
  <c r="Y901" i="48"/>
  <c r="Y1201" i="48"/>
  <c r="Y1101" i="48"/>
  <c r="Y1001" i="48"/>
  <c r="Y776" i="48"/>
  <c r="Y676" i="48"/>
  <c r="Y576" i="48"/>
  <c r="Y176" i="48"/>
  <c r="Y51" i="48"/>
  <c r="Y451" i="48"/>
  <c r="Y351" i="48"/>
  <c r="Y251" i="48"/>
  <c r="Y1301" i="48"/>
  <c r="Y1251" i="48"/>
  <c r="Y876" i="48"/>
  <c r="Y1176" i="48"/>
  <c r="Y1076" i="48"/>
  <c r="Y976" i="48"/>
  <c r="Y751" i="48"/>
  <c r="Y651" i="48"/>
  <c r="Y551" i="48"/>
  <c r="Y76" i="48"/>
  <c r="Y426" i="48"/>
  <c r="Y326" i="48"/>
  <c r="Y226" i="48"/>
  <c r="Y1226" i="48"/>
  <c r="Y851" i="48"/>
  <c r="Y1151" i="48"/>
  <c r="AG1151" i="48"/>
  <c r="Y1051" i="48"/>
  <c r="Y951" i="48"/>
  <c r="Y726" i="48"/>
  <c r="Y626" i="48"/>
  <c r="Y526" i="48"/>
  <c r="Y151" i="48"/>
  <c r="Y501" i="48"/>
  <c r="Y401" i="48"/>
  <c r="Y301" i="48"/>
  <c r="Y201" i="48"/>
  <c r="AY1139" i="48"/>
  <c r="AY664" i="48"/>
  <c r="AY1339" i="48"/>
  <c r="AY1114" i="48"/>
  <c r="AY914" i="48"/>
  <c r="AY739" i="48"/>
  <c r="AY139" i="48"/>
  <c r="AY414" i="48"/>
  <c r="AY214" i="48"/>
  <c r="AY1268" i="48"/>
  <c r="AY1293" i="48"/>
  <c r="AY1343" i="48"/>
  <c r="AY1222" i="48"/>
  <c r="AY1089" i="48"/>
  <c r="AY989" i="48"/>
  <c r="AY814" i="48"/>
  <c r="AY714" i="48"/>
  <c r="AY614" i="48"/>
  <c r="AY64" i="48"/>
  <c r="AY89" i="48"/>
  <c r="AY489" i="48"/>
  <c r="AY389" i="48"/>
  <c r="AY289" i="48"/>
  <c r="AY822" i="48"/>
  <c r="AY1197" i="48"/>
  <c r="AY1097" i="48"/>
  <c r="AY997" i="48"/>
  <c r="AY897" i="48"/>
  <c r="AY772" i="48"/>
  <c r="AY672" i="48"/>
  <c r="AY572" i="48"/>
  <c r="AY522" i="48"/>
  <c r="AY422" i="48"/>
  <c r="AY322" i="48"/>
  <c r="AY222" i="48"/>
  <c r="AY1251" i="48"/>
  <c r="AY893" i="48"/>
  <c r="AY1168" i="48"/>
  <c r="AY1068" i="48"/>
  <c r="AY968" i="48"/>
  <c r="AY768" i="48"/>
  <c r="AY668" i="48"/>
  <c r="AY568" i="48"/>
  <c r="AY193" i="48"/>
  <c r="AY443" i="48"/>
  <c r="AY343" i="48"/>
  <c r="AY243" i="48"/>
  <c r="AY876" i="48"/>
  <c r="AY1176" i="48"/>
  <c r="AY1076" i="48"/>
  <c r="AY976" i="48"/>
  <c r="AY751" i="48"/>
  <c r="AY651" i="48"/>
  <c r="AY551" i="48"/>
  <c r="AY76" i="48"/>
  <c r="AY426" i="48"/>
  <c r="AY326" i="48"/>
  <c r="AY226" i="48"/>
  <c r="AY1351" i="48"/>
  <c r="AY939" i="48"/>
  <c r="AY764" i="48"/>
  <c r="AY1314" i="48"/>
  <c r="AY1276" i="48"/>
  <c r="AY1014" i="48"/>
  <c r="AY164" i="48"/>
  <c r="AY539" i="48"/>
  <c r="AY514" i="48"/>
  <c r="AY1022" i="48"/>
  <c r="AY1318" i="48"/>
  <c r="AY1189" i="48"/>
  <c r="AY889" i="48"/>
  <c r="AY1297" i="48"/>
  <c r="AY1322" i="48"/>
  <c r="AY1347" i="48"/>
  <c r="AY1243" i="48"/>
  <c r="AY1164" i="48"/>
  <c r="AY1064" i="48"/>
  <c r="AY964" i="48"/>
  <c r="AY864" i="48"/>
  <c r="AY789" i="48"/>
  <c r="AY689" i="48"/>
  <c r="AY589" i="48"/>
  <c r="AY114" i="48"/>
  <c r="AY39" i="48"/>
  <c r="AY464" i="48"/>
  <c r="AY364" i="48"/>
  <c r="AY264" i="48"/>
  <c r="AY1226" i="48"/>
  <c r="AY1172" i="48"/>
  <c r="AY1072" i="48"/>
  <c r="AY972" i="48"/>
  <c r="AY872" i="48"/>
  <c r="AY747" i="48"/>
  <c r="AY647" i="48"/>
  <c r="AY547" i="48"/>
  <c r="AY147" i="48"/>
  <c r="AY497" i="48"/>
  <c r="AY397" i="48"/>
  <c r="AY297" i="48"/>
  <c r="AY197" i="48"/>
  <c r="AY1289" i="48"/>
  <c r="AY868" i="48"/>
  <c r="AY1143" i="48"/>
  <c r="AY1043" i="48"/>
  <c r="AY118" i="48"/>
  <c r="AY743" i="48"/>
  <c r="AY643" i="48"/>
  <c r="AY543" i="48"/>
  <c r="AY143" i="48"/>
  <c r="AY518" i="48"/>
  <c r="AY418" i="48"/>
  <c r="AY318" i="48"/>
  <c r="AY218" i="48"/>
  <c r="AY851" i="48"/>
  <c r="AY1151" i="48"/>
  <c r="AY1051" i="48"/>
  <c r="AY951" i="48"/>
  <c r="AY726" i="48"/>
  <c r="AY626" i="48"/>
  <c r="AY526" i="48"/>
  <c r="AY151" i="48"/>
  <c r="AY501" i="48"/>
  <c r="AY401" i="48"/>
  <c r="AY301" i="48"/>
  <c r="AY201" i="48"/>
  <c r="AY1301" i="48"/>
  <c r="AY1039" i="48"/>
  <c r="AY839" i="48"/>
  <c r="AY564" i="48"/>
  <c r="AY189" i="48"/>
  <c r="AY439" i="48"/>
  <c r="AY339" i="48"/>
  <c r="AY239" i="48"/>
  <c r="AY1247" i="48"/>
  <c r="AY1147" i="48"/>
  <c r="AY1047" i="48"/>
  <c r="AY947" i="48"/>
  <c r="AY847" i="48"/>
  <c r="AY722" i="48"/>
  <c r="AY622" i="48"/>
  <c r="AY172" i="48"/>
  <c r="AY97" i="48"/>
  <c r="AY472" i="48"/>
  <c r="AY372" i="48"/>
  <c r="AY272" i="48"/>
  <c r="AY1218" i="48"/>
  <c r="AY943" i="48"/>
  <c r="AY843" i="48"/>
  <c r="AY1118" i="48"/>
  <c r="AY1018" i="48"/>
  <c r="AY818" i="48"/>
  <c r="AY718" i="48"/>
  <c r="AY618" i="48"/>
  <c r="AY168" i="48"/>
  <c r="AY93" i="48"/>
  <c r="AY493" i="48"/>
  <c r="AY393" i="48"/>
  <c r="AY293" i="48"/>
  <c r="AY926" i="48"/>
  <c r="AY826" i="48"/>
  <c r="AY1126" i="48"/>
  <c r="AY1026" i="48"/>
  <c r="AY801" i="48"/>
  <c r="AY701" i="48"/>
  <c r="AY601" i="48"/>
  <c r="AY126" i="48"/>
  <c r="AY101" i="48"/>
  <c r="AY476" i="48"/>
  <c r="AY376" i="48"/>
  <c r="AY1326" i="48"/>
  <c r="AY1264" i="48"/>
  <c r="AY72" i="48"/>
  <c r="AY639" i="48"/>
  <c r="AY314" i="48"/>
  <c r="AY1122" i="48"/>
  <c r="AY922" i="48"/>
  <c r="AY797" i="48"/>
  <c r="AY697" i="48"/>
  <c r="AY597" i="48"/>
  <c r="AY122" i="48"/>
  <c r="AY47" i="48"/>
  <c r="AY447" i="48"/>
  <c r="AY347" i="48"/>
  <c r="AY247" i="48"/>
  <c r="AY1239" i="48"/>
  <c r="AY918" i="48"/>
  <c r="AY1193" i="48"/>
  <c r="AY1093" i="48"/>
  <c r="AY993" i="48"/>
  <c r="AY793" i="48"/>
  <c r="AY693" i="48"/>
  <c r="AY593" i="48"/>
  <c r="AY68" i="48"/>
  <c r="AY43" i="48"/>
  <c r="AY468" i="48"/>
  <c r="AY368" i="48"/>
  <c r="AY268" i="48"/>
  <c r="AY901" i="48"/>
  <c r="AY1201" i="48"/>
  <c r="AY1101" i="48"/>
  <c r="AY1001" i="48"/>
  <c r="AY776" i="48"/>
  <c r="AY576" i="48"/>
  <c r="AY176" i="48"/>
  <c r="AY51" i="48"/>
  <c r="AY451" i="48"/>
  <c r="AY351" i="48"/>
  <c r="AY251" i="48"/>
  <c r="AX738" i="48"/>
  <c r="P738" i="48" s="1"/>
  <c r="AX1163" i="48"/>
  <c r="P1163" i="48" s="1"/>
  <c r="AX750" i="48"/>
  <c r="P750" i="48" s="1"/>
  <c r="AX1175" i="48"/>
  <c r="P1175" i="48" s="1"/>
  <c r="AX746" i="48"/>
  <c r="P746" i="48" s="1"/>
  <c r="AX1171" i="48"/>
  <c r="P1171" i="48" s="1"/>
  <c r="AM14" i="48"/>
  <c r="U8" i="58" s="1"/>
  <c r="AX742" i="48"/>
  <c r="P742" i="48" s="1"/>
  <c r="AX1167" i="48"/>
  <c r="P1167" i="48" s="1"/>
  <c r="S36" i="48" l="1"/>
  <c r="S11" i="48"/>
  <c r="AU11" i="48"/>
  <c r="AV11" i="48" s="1"/>
  <c r="AG1171" i="48"/>
  <c r="T1176" i="48"/>
  <c r="T1076" i="48"/>
  <c r="T1051" i="48"/>
  <c r="T1101" i="48"/>
  <c r="T1126" i="48"/>
  <c r="T951" i="48"/>
  <c r="T876" i="48"/>
  <c r="T1151" i="48"/>
  <c r="T1001" i="48"/>
  <c r="T926" i="48"/>
  <c r="T801" i="48"/>
  <c r="T851" i="48"/>
  <c r="T826" i="48"/>
  <c r="T776" i="48"/>
  <c r="T1026" i="48"/>
  <c r="T901" i="48"/>
  <c r="T976" i="48"/>
  <c r="T726" i="48"/>
  <c r="T751" i="48"/>
  <c r="T176" i="48"/>
  <c r="T676" i="48"/>
  <c r="T651" i="48"/>
  <c r="T451" i="48"/>
  <c r="T351" i="48"/>
  <c r="T701" i="48"/>
  <c r="T626" i="48"/>
  <c r="T151" i="48"/>
  <c r="T226" i="48"/>
  <c r="T326" i="48"/>
  <c r="T101" i="48"/>
  <c r="T376" i="48"/>
  <c r="T201" i="48"/>
  <c r="T576" i="48"/>
  <c r="T401" i="48"/>
  <c r="T76" i="48"/>
  <c r="T126" i="48"/>
  <c r="T426" i="48"/>
  <c r="T251" i="48"/>
  <c r="T526" i="48"/>
  <c r="T476" i="48"/>
  <c r="T501" i="48"/>
  <c r="T601" i="48"/>
  <c r="T301" i="48"/>
  <c r="T551" i="48"/>
  <c r="T51" i="48"/>
  <c r="T747" i="48"/>
  <c r="T397" i="48"/>
  <c r="T272" i="48"/>
  <c r="T422" i="48"/>
  <c r="T472" i="48"/>
  <c r="T222" i="48"/>
  <c r="T172" i="48"/>
  <c r="T522" i="48"/>
  <c r="T147" i="48"/>
  <c r="T547" i="48"/>
  <c r="T372" i="48"/>
  <c r="T647" i="48"/>
  <c r="T122" i="48"/>
  <c r="T47" i="48"/>
  <c r="T572" i="48"/>
  <c r="T622" i="48"/>
  <c r="T197" i="48"/>
  <c r="T97" i="48"/>
  <c r="T497" i="48"/>
  <c r="T297" i="48"/>
  <c r="T722" i="48"/>
  <c r="T672" i="48"/>
  <c r="T247" i="48"/>
  <c r="T447" i="48"/>
  <c r="T322" i="48"/>
  <c r="T597" i="48"/>
  <c r="T72" i="48"/>
  <c r="T697" i="48"/>
  <c r="T347" i="48"/>
  <c r="T718" i="48"/>
  <c r="T743" i="48"/>
  <c r="T668" i="48"/>
  <c r="T118" i="48"/>
  <c r="T468" i="48"/>
  <c r="T518" i="48"/>
  <c r="T243" i="48"/>
  <c r="T143" i="48"/>
  <c r="T693" i="48"/>
  <c r="T168" i="48"/>
  <c r="T93" i="48"/>
  <c r="T193" i="48"/>
  <c r="T293" i="48"/>
  <c r="T318" i="48"/>
  <c r="T418" i="48"/>
  <c r="T268" i="48"/>
  <c r="T343" i="48"/>
  <c r="T393" i="48"/>
  <c r="T493" i="48"/>
  <c r="T643" i="48"/>
  <c r="T568" i="48"/>
  <c r="T543" i="48"/>
  <c r="T618" i="48"/>
  <c r="T368" i="48"/>
  <c r="T593" i="48"/>
  <c r="T68" i="48"/>
  <c r="T443" i="48"/>
  <c r="T43" i="48"/>
  <c r="T218" i="48"/>
  <c r="AG1167" i="48"/>
  <c r="AG1163" i="48"/>
  <c r="T1168" i="48"/>
  <c r="T1143" i="48"/>
  <c r="T968" i="48"/>
  <c r="T793" i="48"/>
  <c r="T993" i="48"/>
  <c r="T1118" i="48"/>
  <c r="T1043" i="48"/>
  <c r="T943" i="48"/>
  <c r="T893" i="48"/>
  <c r="T868" i="48"/>
  <c r="T768" i="48"/>
  <c r="T1093" i="48"/>
  <c r="T818" i="48"/>
  <c r="T918" i="48"/>
  <c r="T1068" i="48"/>
  <c r="T1018" i="48"/>
  <c r="T843" i="48"/>
  <c r="AG750" i="48"/>
  <c r="AG746" i="48"/>
  <c r="AG742" i="48"/>
  <c r="AG1175" i="48"/>
  <c r="AG738" i="48"/>
  <c r="T564" i="48"/>
  <c r="T739" i="48"/>
  <c r="T589" i="48"/>
  <c r="T339" i="48"/>
  <c r="T439" i="48"/>
  <c r="T189" i="48"/>
  <c r="T289" i="48"/>
  <c r="T689" i="48"/>
  <c r="T389" i="48"/>
  <c r="T639" i="48"/>
  <c r="T364" i="48"/>
  <c r="T714" i="48"/>
  <c r="T139" i="48"/>
  <c r="T89" i="48"/>
  <c r="T539" i="48"/>
  <c r="T489" i="48"/>
  <c r="T664" i="48"/>
  <c r="T314" i="48"/>
  <c r="T164" i="48"/>
  <c r="T239" i="48"/>
  <c r="T264" i="48"/>
  <c r="T614" i="48"/>
  <c r="T414" i="48"/>
  <c r="T114" i="48"/>
  <c r="T464" i="48"/>
  <c r="T214" i="48"/>
  <c r="T64" i="48"/>
  <c r="T514" i="48"/>
  <c r="T39" i="48"/>
  <c r="T1039" i="48"/>
  <c r="T1164" i="48"/>
  <c r="T1139" i="48"/>
  <c r="T1014" i="48"/>
  <c r="T939" i="48"/>
  <c r="T1064" i="48"/>
  <c r="T1089" i="48"/>
  <c r="T839" i="48"/>
  <c r="T814" i="48"/>
  <c r="T989" i="48"/>
  <c r="T889" i="48"/>
  <c r="T764" i="48"/>
  <c r="T1114" i="48"/>
  <c r="T964" i="48"/>
  <c r="T789" i="48"/>
  <c r="T914" i="48"/>
  <c r="T864" i="48"/>
  <c r="T1097" i="48"/>
  <c r="T1172" i="48"/>
  <c r="T1147" i="48"/>
  <c r="T1072" i="48"/>
  <c r="T872" i="48"/>
  <c r="T847" i="48"/>
  <c r="T772" i="48"/>
  <c r="T822" i="48"/>
  <c r="T897" i="48"/>
  <c r="T972" i="48"/>
  <c r="T797" i="48"/>
  <c r="T922" i="48"/>
  <c r="T1022" i="48"/>
  <c r="T1122" i="48"/>
  <c r="T997" i="48"/>
  <c r="T947" i="48"/>
  <c r="T1047" i="48"/>
  <c r="AW653" i="48"/>
  <c r="AA18" i="48"/>
  <c r="S12" i="58" s="1"/>
  <c r="T22" i="48"/>
  <c r="R16" i="58" s="1"/>
  <c r="T14" i="48"/>
  <c r="R8" i="58" s="1"/>
  <c r="AI18" i="48"/>
  <c r="T12" i="58" s="1"/>
  <c r="AA14" i="48"/>
  <c r="S8" i="58" s="1"/>
  <c r="AA22" i="48"/>
  <c r="S16" i="58" s="1"/>
  <c r="AM21" i="48"/>
  <c r="U15" i="58" s="1"/>
  <c r="T18" i="48"/>
  <c r="R12" i="58" s="1"/>
  <c r="T26" i="48"/>
  <c r="R20" i="58" s="1"/>
  <c r="AA26" i="48"/>
  <c r="S20" i="58" s="1"/>
  <c r="Y1167" i="48"/>
  <c r="Y1067" i="48"/>
  <c r="Y442" i="48"/>
  <c r="Y642" i="48"/>
  <c r="Y542" i="48"/>
  <c r="Y367" i="48"/>
  <c r="Y167" i="48"/>
  <c r="Y1021" i="48"/>
  <c r="Y621" i="48"/>
  <c r="Y188" i="48"/>
  <c r="Y1342" i="48"/>
  <c r="Y1042" i="48"/>
  <c r="Y717" i="48"/>
  <c r="Y342" i="48"/>
  <c r="Y1096" i="48"/>
  <c r="Y696" i="48"/>
  <c r="Y371" i="48"/>
  <c r="Y271" i="48"/>
  <c r="Y146" i="48"/>
  <c r="Y1325" i="48"/>
  <c r="Y1225" i="48"/>
  <c r="Y1125" i="48"/>
  <c r="Y1025" i="48"/>
  <c r="Y400" i="48"/>
  <c r="Y850" i="48"/>
  <c r="Y200" i="48"/>
  <c r="Y225" i="48"/>
  <c r="Y750" i="48"/>
  <c r="Y650" i="48"/>
  <c r="Y550" i="48"/>
  <c r="Y425" i="48"/>
  <c r="Y125" i="48"/>
  <c r="Y1263" i="48"/>
  <c r="Y1163" i="48"/>
  <c r="Y1063" i="48"/>
  <c r="Y963" i="48"/>
  <c r="Y863" i="48"/>
  <c r="Y88" i="48"/>
  <c r="Y738" i="48"/>
  <c r="Y638" i="48"/>
  <c r="Y538" i="48"/>
  <c r="Y113" i="48"/>
  <c r="Y438" i="48"/>
  <c r="Y338" i="48"/>
  <c r="Y238" i="48"/>
  <c r="AI14" i="48"/>
  <c r="T8" i="58" s="1"/>
  <c r="AI22" i="48"/>
  <c r="T16" i="58" s="1"/>
  <c r="Y1267" i="48"/>
  <c r="Y967" i="48"/>
  <c r="Y867" i="48"/>
  <c r="Y742" i="48"/>
  <c r="Y267" i="48"/>
  <c r="Y67" i="48"/>
  <c r="Y1221" i="48"/>
  <c r="Y71" i="48"/>
  <c r="Y721" i="48"/>
  <c r="Y396" i="48"/>
  <c r="Y196" i="48"/>
  <c r="Y1350" i="48"/>
  <c r="Y1150" i="48"/>
  <c r="AG1150" i="48"/>
  <c r="Y950" i="48"/>
  <c r="Y250" i="48"/>
  <c r="Y275" i="48"/>
  <c r="Y575" i="48"/>
  <c r="Y150" i="48"/>
  <c r="Y1188" i="48"/>
  <c r="Y988" i="48"/>
  <c r="Y763" i="48"/>
  <c r="Y563" i="48"/>
  <c r="Y463" i="48"/>
  <c r="Y263" i="48"/>
  <c r="AI26" i="48"/>
  <c r="T20" i="58" s="1"/>
  <c r="Y1242" i="48"/>
  <c r="Y1142" i="48"/>
  <c r="AG1142" i="48"/>
  <c r="Y942" i="48"/>
  <c r="Y842" i="48"/>
  <c r="Y817" i="48"/>
  <c r="Y617" i="48"/>
  <c r="Y517" i="48"/>
  <c r="Y242" i="48"/>
  <c r="Y142" i="48"/>
  <c r="Y42" i="48"/>
  <c r="Y1296" i="48"/>
  <c r="Y896" i="48"/>
  <c r="Y796" i="48"/>
  <c r="Y471" i="48"/>
  <c r="Y1317" i="48"/>
  <c r="Y1217" i="48"/>
  <c r="Y1117" i="48"/>
  <c r="Y1017" i="48"/>
  <c r="Y917" i="48"/>
  <c r="Y492" i="48"/>
  <c r="Y792" i="48"/>
  <c r="Y692" i="48"/>
  <c r="Y592" i="48"/>
  <c r="Y467" i="48"/>
  <c r="Y317" i="48"/>
  <c r="Y217" i="48"/>
  <c r="Y117" i="48"/>
  <c r="Y1271" i="48"/>
  <c r="Y1171" i="48"/>
  <c r="Y1071" i="48"/>
  <c r="Y971" i="48"/>
  <c r="Y871" i="48"/>
  <c r="Y496" i="48"/>
  <c r="Y771" i="48"/>
  <c r="Y671" i="48"/>
  <c r="Y571" i="48"/>
  <c r="Y446" i="48"/>
  <c r="Y346" i="48"/>
  <c r="Y246" i="48"/>
  <c r="Y96" i="48"/>
  <c r="Y1300" i="48"/>
  <c r="Y1200" i="48"/>
  <c r="Y1100" i="48"/>
  <c r="Y1000" i="48"/>
  <c r="Y925" i="48"/>
  <c r="Y350" i="48"/>
  <c r="Y450" i="48"/>
  <c r="Y825" i="48"/>
  <c r="Y725" i="48"/>
  <c r="Y625" i="48"/>
  <c r="Y525" i="48"/>
  <c r="Y375" i="48"/>
  <c r="Y100" i="48"/>
  <c r="Y1338" i="48"/>
  <c r="Y1238" i="48"/>
  <c r="Y1138" i="48"/>
  <c r="AG1138" i="48"/>
  <c r="Y1038" i="48"/>
  <c r="Y938" i="48"/>
  <c r="Y838" i="48"/>
  <c r="Y813" i="48"/>
  <c r="Y713" i="48"/>
  <c r="Y613" i="48"/>
  <c r="Y138" i="48"/>
  <c r="Y63" i="48"/>
  <c r="Y413" i="48"/>
  <c r="Y313" i="48"/>
  <c r="Y213" i="48"/>
  <c r="Y1321" i="48"/>
  <c r="Y1121" i="48"/>
  <c r="Y921" i="48"/>
  <c r="Y821" i="48"/>
  <c r="Y121" i="48"/>
  <c r="Y296" i="48"/>
  <c r="Y1250" i="48"/>
  <c r="Y1050" i="48"/>
  <c r="Y875" i="48"/>
  <c r="Y775" i="48"/>
  <c r="Y675" i="48"/>
  <c r="Y475" i="48"/>
  <c r="Y50" i="48"/>
  <c r="Y1288" i="48"/>
  <c r="Y1088" i="48"/>
  <c r="Y888" i="48"/>
  <c r="Y663" i="48"/>
  <c r="Y163" i="48"/>
  <c r="Y363" i="48"/>
  <c r="Y1196" i="48"/>
  <c r="Y996" i="48"/>
  <c r="Y521" i="48"/>
  <c r="Y596" i="48"/>
  <c r="Y1292" i="48"/>
  <c r="Y1192" i="48"/>
  <c r="Y1092" i="48"/>
  <c r="Y992" i="48"/>
  <c r="Y892" i="48"/>
  <c r="Y392" i="48"/>
  <c r="Y767" i="48"/>
  <c r="Y667" i="48"/>
  <c r="Y567" i="48"/>
  <c r="Y417" i="48"/>
  <c r="Y292" i="48"/>
  <c r="Y192" i="48"/>
  <c r="Y92" i="48"/>
  <c r="Y1346" i="48"/>
  <c r="Y1246" i="48"/>
  <c r="Y1146" i="48"/>
  <c r="AG1146" i="48"/>
  <c r="Y1046" i="48"/>
  <c r="Y946" i="48"/>
  <c r="Y846" i="48"/>
  <c r="Y171" i="48"/>
  <c r="Y746" i="48"/>
  <c r="Y646" i="48"/>
  <c r="Y546" i="48"/>
  <c r="Y421" i="48"/>
  <c r="Y321" i="48"/>
  <c r="Y221" i="48"/>
  <c r="Y46" i="48"/>
  <c r="Y1275" i="48"/>
  <c r="Y1175" i="48"/>
  <c r="Y1075" i="48"/>
  <c r="Y975" i="48"/>
  <c r="Y900" i="48"/>
  <c r="Y300" i="48"/>
  <c r="Y325" i="48"/>
  <c r="Y800" i="48"/>
  <c r="Y700" i="48"/>
  <c r="Y600" i="48"/>
  <c r="Y500" i="48"/>
  <c r="Y175" i="48"/>
  <c r="Y75" i="48"/>
  <c r="Y1313" i="48"/>
  <c r="Y1213" i="48"/>
  <c r="Y1113" i="48"/>
  <c r="Y1013" i="48"/>
  <c r="Y913" i="48"/>
  <c r="Y513" i="48"/>
  <c r="Y788" i="48"/>
  <c r="Y688" i="48"/>
  <c r="Y588" i="48"/>
  <c r="Y38" i="48"/>
  <c r="Y488" i="48"/>
  <c r="Y388" i="48"/>
  <c r="Y288" i="48"/>
  <c r="AY1292" i="48"/>
  <c r="AY1092" i="48"/>
  <c r="AY392" i="48"/>
  <c r="AY667" i="48"/>
  <c r="AY292" i="48"/>
  <c r="AY1246" i="48"/>
  <c r="AY1046" i="48"/>
  <c r="AY171" i="48"/>
  <c r="AY546" i="48"/>
  <c r="AY321" i="48"/>
  <c r="AY46" i="48"/>
  <c r="AY975" i="48"/>
  <c r="AY1221" i="48"/>
  <c r="AY1021" i="48"/>
  <c r="AY71" i="48"/>
  <c r="AY721" i="48"/>
  <c r="AY121" i="48"/>
  <c r="AY296" i="48"/>
  <c r="AY1250" i="48"/>
  <c r="AY950" i="48"/>
  <c r="AY275" i="48"/>
  <c r="AY675" i="48"/>
  <c r="AY475" i="48"/>
  <c r="AY50" i="48"/>
  <c r="AY1188" i="48"/>
  <c r="AY988" i="48"/>
  <c r="AY188" i="48"/>
  <c r="AY663" i="48"/>
  <c r="AY163" i="48"/>
  <c r="AY363" i="48"/>
  <c r="AY1342" i="48"/>
  <c r="AY1242" i="48"/>
  <c r="AY1142" i="48"/>
  <c r="AY1042" i="48"/>
  <c r="AY942" i="48"/>
  <c r="AY842" i="48"/>
  <c r="AY817" i="48"/>
  <c r="AY717" i="48"/>
  <c r="AY617" i="48"/>
  <c r="AY517" i="48"/>
  <c r="AY342" i="48"/>
  <c r="AY242" i="48"/>
  <c r="AY142" i="48"/>
  <c r="AY42" i="48"/>
  <c r="AY1296" i="48"/>
  <c r="AY1196" i="48"/>
  <c r="AY1096" i="48"/>
  <c r="AY996" i="48"/>
  <c r="AY896" i="48"/>
  <c r="AY521" i="48"/>
  <c r="AY796" i="48"/>
  <c r="AY696" i="48"/>
  <c r="AY596" i="48"/>
  <c r="AY471" i="48"/>
  <c r="AY371" i="48"/>
  <c r="AY271" i="48"/>
  <c r="AY146" i="48"/>
  <c r="AY1325" i="48"/>
  <c r="AY1225" i="48"/>
  <c r="AY1125" i="48"/>
  <c r="AY1025" i="48"/>
  <c r="AY400" i="48"/>
  <c r="AY850" i="48"/>
  <c r="AY200" i="48"/>
  <c r="AY225" i="48"/>
  <c r="AY750" i="48"/>
  <c r="AY650" i="48"/>
  <c r="AY550" i="48"/>
  <c r="AY425" i="48"/>
  <c r="AY125" i="48"/>
  <c r="AY1263" i="48"/>
  <c r="AY1163" i="48"/>
  <c r="AY1063" i="48"/>
  <c r="AY963" i="48"/>
  <c r="AY863" i="48"/>
  <c r="AY88" i="48"/>
  <c r="AY738" i="48"/>
  <c r="AY638" i="48"/>
  <c r="AY538" i="48"/>
  <c r="AY113" i="48"/>
  <c r="AY438" i="48"/>
  <c r="AY338" i="48"/>
  <c r="AY238" i="48"/>
  <c r="AY1192" i="48"/>
  <c r="AY892" i="48"/>
  <c r="AY767" i="48"/>
  <c r="AY417" i="48"/>
  <c r="AY192" i="48"/>
  <c r="AY1346" i="48"/>
  <c r="AY946" i="48"/>
  <c r="AY846" i="48"/>
  <c r="AY646" i="48"/>
  <c r="AY421" i="48"/>
  <c r="AY221" i="48"/>
  <c r="AY1175" i="48"/>
  <c r="AY300" i="48"/>
  <c r="AY700" i="48"/>
  <c r="AY175" i="48"/>
  <c r="AY1213" i="48"/>
  <c r="AY1013" i="48"/>
  <c r="AY788" i="48"/>
  <c r="AY588" i="48"/>
  <c r="AY38" i="48"/>
  <c r="AY388" i="48"/>
  <c r="AY1267" i="48"/>
  <c r="AY1167" i="48"/>
  <c r="AY1067" i="48"/>
  <c r="AY967" i="48"/>
  <c r="AY867" i="48"/>
  <c r="AY442" i="48"/>
  <c r="AY642" i="48"/>
  <c r="AY542" i="48"/>
  <c r="AY367" i="48"/>
  <c r="AY267" i="48"/>
  <c r="AY167" i="48"/>
  <c r="AY67" i="48"/>
  <c r="AY1321" i="48"/>
  <c r="AY1121" i="48"/>
  <c r="AY921" i="48"/>
  <c r="AY821" i="48"/>
  <c r="AY621" i="48"/>
  <c r="AY396" i="48"/>
  <c r="AY196" i="48"/>
  <c r="AY1350" i="48"/>
  <c r="AY1050" i="48"/>
  <c r="AY875" i="48"/>
  <c r="AY250" i="48"/>
  <c r="AY775" i="48"/>
  <c r="AY575" i="48"/>
  <c r="AY150" i="48"/>
  <c r="AY1288" i="48"/>
  <c r="AY1088" i="48"/>
  <c r="AY888" i="48"/>
  <c r="AY763" i="48"/>
  <c r="AY563" i="48"/>
  <c r="AY463" i="48"/>
  <c r="AY263" i="48"/>
  <c r="AY1317" i="48"/>
  <c r="AY1217" i="48"/>
  <c r="AY1117" i="48"/>
  <c r="AY1017" i="48"/>
  <c r="AY917" i="48"/>
  <c r="AY492" i="48"/>
  <c r="AY792" i="48"/>
  <c r="AY692" i="48"/>
  <c r="AY592" i="48"/>
  <c r="AY467" i="48"/>
  <c r="AY317" i="48"/>
  <c r="AY217" i="48"/>
  <c r="AY117" i="48"/>
  <c r="AY1271" i="48"/>
  <c r="AY1171" i="48"/>
  <c r="AY1071" i="48"/>
  <c r="AY971" i="48"/>
  <c r="AY871" i="48"/>
  <c r="AY496" i="48"/>
  <c r="AY771" i="48"/>
  <c r="AY671" i="48"/>
  <c r="AY571" i="48"/>
  <c r="AY446" i="48"/>
  <c r="AY346" i="48"/>
  <c r="AY246" i="48"/>
  <c r="AY96" i="48"/>
  <c r="AY1300" i="48"/>
  <c r="AY1200" i="48"/>
  <c r="AY1100" i="48"/>
  <c r="AY1000" i="48"/>
  <c r="AY925" i="48"/>
  <c r="AY350" i="48"/>
  <c r="AY450" i="48"/>
  <c r="AY825" i="48"/>
  <c r="AY725" i="48"/>
  <c r="AY625" i="48"/>
  <c r="AY525" i="48"/>
  <c r="AY375" i="48"/>
  <c r="AY100" i="48"/>
  <c r="AY1338" i="48"/>
  <c r="AY1238" i="48"/>
  <c r="AY1138" i="48"/>
  <c r="AY1038" i="48"/>
  <c r="AY938" i="48"/>
  <c r="AY838" i="48"/>
  <c r="AY813" i="48"/>
  <c r="AY713" i="48"/>
  <c r="AY613" i="48"/>
  <c r="AY138" i="48"/>
  <c r="AY63" i="48"/>
  <c r="AY413" i="48"/>
  <c r="AY313" i="48"/>
  <c r="AY213" i="48"/>
  <c r="AY992" i="48"/>
  <c r="AY567" i="48"/>
  <c r="AY92" i="48"/>
  <c r="AY1146" i="48"/>
  <c r="AY746" i="48"/>
  <c r="AY1275" i="48"/>
  <c r="AY900" i="48"/>
  <c r="AY800" i="48"/>
  <c r="AY500" i="48"/>
  <c r="AY1313" i="48"/>
  <c r="AY913" i="48"/>
  <c r="AY688" i="48"/>
  <c r="AY488" i="48"/>
  <c r="AY288" i="48"/>
  <c r="AY1075" i="48"/>
  <c r="AY325" i="48"/>
  <c r="AY600" i="48"/>
  <c r="AY75" i="48"/>
  <c r="AY1113" i="48"/>
  <c r="AY513" i="48"/>
  <c r="AY742" i="48"/>
  <c r="AY1150" i="48"/>
  <c r="AM16" i="48"/>
  <c r="U10" i="58" s="1"/>
  <c r="AX1166" i="48"/>
  <c r="P1166" i="48" s="1"/>
  <c r="AX741" i="48"/>
  <c r="P741" i="48" s="1"/>
  <c r="AM12" i="48"/>
  <c r="U6" i="58" s="1"/>
  <c r="AY36" i="48"/>
  <c r="AY86" i="48"/>
  <c r="AY136" i="48"/>
  <c r="AY186" i="48"/>
  <c r="AY211" i="48"/>
  <c r="AY236" i="48"/>
  <c r="AY261" i="48"/>
  <c r="AY286" i="48"/>
  <c r="AY311" i="48"/>
  <c r="AY336" i="48"/>
  <c r="AY361" i="48"/>
  <c r="AY511" i="48"/>
  <c r="AY61" i="48"/>
  <c r="AY161" i="48"/>
  <c r="AY411" i="48"/>
  <c r="AY461" i="48"/>
  <c r="AY536" i="48"/>
  <c r="AY561" i="48"/>
  <c r="AY586" i="48"/>
  <c r="AY611" i="48"/>
  <c r="AY636" i="48"/>
  <c r="AY661" i="48"/>
  <c r="AY686" i="48"/>
  <c r="AY711" i="48"/>
  <c r="AY736" i="48"/>
  <c r="AY761" i="48"/>
  <c r="AY786" i="48"/>
  <c r="AY811" i="48"/>
  <c r="AY111" i="48"/>
  <c r="AY436" i="48"/>
  <c r="AY386" i="48"/>
  <c r="AX1162" i="48"/>
  <c r="P1162" i="48" s="1"/>
  <c r="AY486" i="48"/>
  <c r="AX737" i="48"/>
  <c r="P737" i="48" s="1"/>
  <c r="AY961" i="48"/>
  <c r="AY986" i="48"/>
  <c r="AY1011" i="48"/>
  <c r="AY1036" i="48"/>
  <c r="AY1061" i="48"/>
  <c r="AY1086" i="48"/>
  <c r="AY1111" i="48"/>
  <c r="AY1136" i="48"/>
  <c r="AY1161" i="48"/>
  <c r="AY1186" i="48"/>
  <c r="AY1211" i="48"/>
  <c r="AY1236" i="48"/>
  <c r="AY1261" i="48"/>
  <c r="AY1286" i="48"/>
  <c r="AY861" i="48"/>
  <c r="AY911" i="48"/>
  <c r="AY836" i="48"/>
  <c r="AY886" i="48"/>
  <c r="AY936" i="48"/>
  <c r="AY1311" i="48"/>
  <c r="AY1336" i="48"/>
  <c r="AM23" i="48"/>
  <c r="U17" i="58" s="1"/>
  <c r="AX748" i="48"/>
  <c r="P748" i="48" s="1"/>
  <c r="AX1173" i="48"/>
  <c r="P1173" i="48" s="1"/>
  <c r="AM19" i="48"/>
  <c r="U13" i="58" s="1"/>
  <c r="AX744" i="48"/>
  <c r="P744" i="48" s="1"/>
  <c r="AX1169" i="48"/>
  <c r="P1169" i="48" s="1"/>
  <c r="AM24" i="48"/>
  <c r="U18" i="58" s="1"/>
  <c r="AX1174" i="48"/>
  <c r="P1174" i="48" s="1"/>
  <c r="AX749" i="48"/>
  <c r="P749" i="48" s="1"/>
  <c r="AM13" i="48"/>
  <c r="U7" i="58" s="1"/>
  <c r="AM20" i="48"/>
  <c r="U14" i="58" s="1"/>
  <c r="AX1170" i="48"/>
  <c r="P1170" i="48" s="1"/>
  <c r="AX745" i="48"/>
  <c r="P745" i="48" s="1"/>
  <c r="AM17" i="48"/>
  <c r="U11" i="58" s="1"/>
  <c r="AM15" i="48"/>
  <c r="U9" i="58" s="1"/>
  <c r="AX740" i="48"/>
  <c r="P740" i="48" s="1"/>
  <c r="AX1165" i="48"/>
  <c r="P1165" i="48" s="1"/>
  <c r="AM25" i="48"/>
  <c r="U19" i="58" s="1"/>
  <c r="U28" i="48" l="1"/>
  <c r="U36" i="48"/>
  <c r="U43" i="48"/>
  <c r="U47" i="48"/>
  <c r="U50" i="48"/>
  <c r="U40" i="48"/>
  <c r="U48" i="48"/>
  <c r="U44" i="48"/>
  <c r="U42" i="48"/>
  <c r="U46" i="48"/>
  <c r="U45" i="48"/>
  <c r="U38" i="48"/>
  <c r="U37" i="48"/>
  <c r="U41" i="48"/>
  <c r="U52" i="48"/>
  <c r="U49" i="48"/>
  <c r="U51" i="48"/>
  <c r="U39" i="48"/>
  <c r="U22" i="58"/>
  <c r="T13" i="48"/>
  <c r="R7" i="58" s="1"/>
  <c r="AM3" i="48"/>
  <c r="U5" i="58" s="1"/>
  <c r="AU26" i="48"/>
  <c r="AG1165" i="48"/>
  <c r="AG740" i="48"/>
  <c r="AG745" i="48"/>
  <c r="AG1162" i="48"/>
  <c r="AG1166" i="48"/>
  <c r="AG741" i="48"/>
  <c r="T1175" i="48"/>
  <c r="T1150" i="48"/>
  <c r="T900" i="48"/>
  <c r="T850" i="48"/>
  <c r="T825" i="48"/>
  <c r="T975" i="48"/>
  <c r="T950" i="48"/>
  <c r="T775" i="48"/>
  <c r="T1125" i="48"/>
  <c r="T1000" i="48"/>
  <c r="T925" i="48"/>
  <c r="T800" i="48"/>
  <c r="T1050" i="48"/>
  <c r="T1100" i="48"/>
  <c r="T1025" i="48"/>
  <c r="T875" i="48"/>
  <c r="T1075" i="48"/>
  <c r="T746" i="48"/>
  <c r="T296" i="48"/>
  <c r="T46" i="48"/>
  <c r="T646" i="48"/>
  <c r="T371" i="48"/>
  <c r="T421" i="48"/>
  <c r="T571" i="48"/>
  <c r="T321" i="48"/>
  <c r="T621" i="48"/>
  <c r="T546" i="48"/>
  <c r="T246" i="48"/>
  <c r="T146" i="48"/>
  <c r="T171" i="48"/>
  <c r="T396" i="48"/>
  <c r="T596" i="48"/>
  <c r="T71" i="48"/>
  <c r="T446" i="48"/>
  <c r="T521" i="48"/>
  <c r="T721" i="48"/>
  <c r="T696" i="48"/>
  <c r="T196" i="48"/>
  <c r="T346" i="48"/>
  <c r="T271" i="48"/>
  <c r="T221" i="48"/>
  <c r="T121" i="48"/>
  <c r="T496" i="48"/>
  <c r="T471" i="48"/>
  <c r="T671" i="48"/>
  <c r="T96" i="48"/>
  <c r="AW11" i="48"/>
  <c r="AG1173" i="48"/>
  <c r="AU18" i="48"/>
  <c r="AU14" i="48"/>
  <c r="T438" i="48"/>
  <c r="T538" i="48"/>
  <c r="T288" i="48"/>
  <c r="T63" i="48"/>
  <c r="T488" i="48"/>
  <c r="T663" i="48"/>
  <c r="T163" i="48"/>
  <c r="T313" i="48"/>
  <c r="T513" i="48"/>
  <c r="T463" i="48"/>
  <c r="T688" i="48"/>
  <c r="T413" i="48"/>
  <c r="T638" i="48"/>
  <c r="T713" i="48"/>
  <c r="T263" i="48"/>
  <c r="T238" i="48"/>
  <c r="T588" i="48"/>
  <c r="T563" i="48"/>
  <c r="T338" i="48"/>
  <c r="T388" i="48"/>
  <c r="T38" i="48"/>
  <c r="T213" i="48"/>
  <c r="T188" i="48"/>
  <c r="T88" i="48"/>
  <c r="T363" i="48"/>
  <c r="T138" i="48"/>
  <c r="T738" i="48"/>
  <c r="T113" i="48"/>
  <c r="T613" i="48"/>
  <c r="T742" i="48"/>
  <c r="T542" i="48"/>
  <c r="T117" i="48"/>
  <c r="T467" i="48"/>
  <c r="T717" i="48"/>
  <c r="T692" i="48"/>
  <c r="T192" i="48"/>
  <c r="T92" i="48"/>
  <c r="T417" i="48"/>
  <c r="T67" i="48"/>
  <c r="T317" i="48"/>
  <c r="T292" i="48"/>
  <c r="T617" i="48"/>
  <c r="T642" i="48"/>
  <c r="T592" i="48"/>
  <c r="T492" i="48"/>
  <c r="T342" i="48"/>
  <c r="T667" i="48"/>
  <c r="T217" i="48"/>
  <c r="T142" i="48"/>
  <c r="T517" i="48"/>
  <c r="T267" i="48"/>
  <c r="T42" i="48"/>
  <c r="T442" i="48"/>
  <c r="T167" i="48"/>
  <c r="T367" i="48"/>
  <c r="T392" i="48"/>
  <c r="T567" i="48"/>
  <c r="T242" i="48"/>
  <c r="T750" i="48"/>
  <c r="T425" i="48"/>
  <c r="T650" i="48"/>
  <c r="T675" i="48"/>
  <c r="T275" i="48"/>
  <c r="T725" i="48"/>
  <c r="T475" i="48"/>
  <c r="T175" i="48"/>
  <c r="T325" i="48"/>
  <c r="T75" i="48"/>
  <c r="T250" i="48"/>
  <c r="T500" i="48"/>
  <c r="T450" i="48"/>
  <c r="T375" i="48"/>
  <c r="T575" i="48"/>
  <c r="T600" i="48"/>
  <c r="T200" i="48"/>
  <c r="T525" i="48"/>
  <c r="T100" i="48"/>
  <c r="T625" i="48"/>
  <c r="T150" i="48"/>
  <c r="T225" i="48"/>
  <c r="T50" i="48"/>
  <c r="T550" i="48"/>
  <c r="T400" i="48"/>
  <c r="T700" i="48"/>
  <c r="T350" i="48"/>
  <c r="T125" i="48"/>
  <c r="T300" i="48"/>
  <c r="T1167" i="48"/>
  <c r="T1142" i="48"/>
  <c r="T992" i="48"/>
  <c r="T1117" i="48"/>
  <c r="T917" i="48"/>
  <c r="T1017" i="48"/>
  <c r="T967" i="48"/>
  <c r="T842" i="48"/>
  <c r="T1092" i="48"/>
  <c r="T767" i="48"/>
  <c r="T1067" i="48"/>
  <c r="T792" i="48"/>
  <c r="T817" i="48"/>
  <c r="T942" i="48"/>
  <c r="T1042" i="48"/>
  <c r="T867" i="48"/>
  <c r="T892" i="48"/>
  <c r="T1138" i="48"/>
  <c r="T788" i="48"/>
  <c r="T1063" i="48"/>
  <c r="T1088" i="48"/>
  <c r="T1163" i="48"/>
  <c r="T938" i="48"/>
  <c r="T1013" i="48"/>
  <c r="T863" i="48"/>
  <c r="T988" i="48"/>
  <c r="T913" i="48"/>
  <c r="T813" i="48"/>
  <c r="T1113" i="48"/>
  <c r="T963" i="48"/>
  <c r="T763" i="48"/>
  <c r="T838" i="48"/>
  <c r="T888" i="48"/>
  <c r="T1038" i="48"/>
  <c r="AG1170" i="48"/>
  <c r="AG749" i="48"/>
  <c r="AG1169" i="48"/>
  <c r="AG1174" i="48"/>
  <c r="AG744" i="48"/>
  <c r="AG748" i="48"/>
  <c r="AG737" i="48"/>
  <c r="AU22" i="48"/>
  <c r="T1171" i="48"/>
  <c r="T1146" i="48"/>
  <c r="T996" i="48"/>
  <c r="T846" i="48"/>
  <c r="T1096" i="48"/>
  <c r="T921" i="48"/>
  <c r="T771" i="48"/>
  <c r="T1121" i="48"/>
  <c r="T896" i="48"/>
  <c r="T1071" i="48"/>
  <c r="T971" i="48"/>
  <c r="T1021" i="48"/>
  <c r="T821" i="48"/>
  <c r="T796" i="48"/>
  <c r="T1046" i="48"/>
  <c r="T871" i="48"/>
  <c r="T946" i="48"/>
  <c r="Y1090" i="48"/>
  <c r="Y915" i="48"/>
  <c r="Y740" i="48"/>
  <c r="Y40" i="48"/>
  <c r="Y895" i="48"/>
  <c r="Y595" i="48"/>
  <c r="Y470" i="48"/>
  <c r="Y70" i="48"/>
  <c r="Y99" i="48"/>
  <c r="Y773" i="48"/>
  <c r="Y1287" i="48"/>
  <c r="Y587" i="48"/>
  <c r="Y962" i="48"/>
  <c r="Y437" i="48"/>
  <c r="Y137" i="48"/>
  <c r="Y1291" i="48"/>
  <c r="Y1041" i="48"/>
  <c r="Y266" i="48"/>
  <c r="Y965" i="48"/>
  <c r="Y190" i="48"/>
  <c r="Y670" i="48"/>
  <c r="Y245" i="48"/>
  <c r="Y849" i="48"/>
  <c r="Y799" i="48"/>
  <c r="Y1249" i="48"/>
  <c r="Y774" i="48"/>
  <c r="Y574" i="48"/>
  <c r="Y549" i="48"/>
  <c r="Y1149" i="48"/>
  <c r="AG1149" i="48"/>
  <c r="Y1049" i="48"/>
  <c r="Y949" i="48"/>
  <c r="Y174" i="48"/>
  <c r="Y524" i="48"/>
  <c r="Y424" i="48"/>
  <c r="Y324" i="48"/>
  <c r="Y224" i="48"/>
  <c r="Y869" i="48"/>
  <c r="Y919" i="48"/>
  <c r="Y1194" i="48"/>
  <c r="Y1094" i="48"/>
  <c r="Y994" i="48"/>
  <c r="Y94" i="48"/>
  <c r="Y794" i="48"/>
  <c r="Y694" i="48"/>
  <c r="Y594" i="48"/>
  <c r="Y494" i="48"/>
  <c r="Y44" i="48"/>
  <c r="Y269" i="48"/>
  <c r="Y119" i="48"/>
  <c r="Y1273" i="48"/>
  <c r="Y1173" i="48"/>
  <c r="Y1073" i="48"/>
  <c r="Y973" i="48"/>
  <c r="Y873" i="48"/>
  <c r="Y498" i="48"/>
  <c r="Y148" i="48"/>
  <c r="Y748" i="48"/>
  <c r="Y648" i="48"/>
  <c r="Y548" i="48"/>
  <c r="Y323" i="48"/>
  <c r="Y223" i="48"/>
  <c r="Y123" i="48"/>
  <c r="Y1262" i="48"/>
  <c r="Y862" i="48"/>
  <c r="Y762" i="48"/>
  <c r="Y662" i="48"/>
  <c r="Y1137" i="48"/>
  <c r="AG1137" i="48"/>
  <c r="Y1037" i="48"/>
  <c r="Y512" i="48"/>
  <c r="Y412" i="48"/>
  <c r="Y312" i="48"/>
  <c r="Y212" i="48"/>
  <c r="Y112" i="48"/>
  <c r="Y916" i="48"/>
  <c r="Y691" i="48"/>
  <c r="Y1266" i="48"/>
  <c r="Y1316" i="48"/>
  <c r="Y816" i="48"/>
  <c r="Y616" i="48"/>
  <c r="Y1116" i="48"/>
  <c r="Y1016" i="48"/>
  <c r="Y541" i="48"/>
  <c r="Y191" i="48"/>
  <c r="Y66" i="48"/>
  <c r="Y441" i="48"/>
  <c r="Y341" i="48"/>
  <c r="Y241" i="48"/>
  <c r="AI21" i="48"/>
  <c r="T15" i="58" s="1"/>
  <c r="AI25" i="48"/>
  <c r="T19" i="58" s="1"/>
  <c r="Y1290" i="48"/>
  <c r="Y990" i="48"/>
  <c r="Y265" i="48"/>
  <c r="Y465" i="48"/>
  <c r="Y540" i="48"/>
  <c r="Y390" i="48"/>
  <c r="Y1320" i="48"/>
  <c r="Y695" i="48"/>
  <c r="Y970" i="48"/>
  <c r="Y370" i="48"/>
  <c r="Y170" i="48"/>
  <c r="Y899" i="48"/>
  <c r="Y874" i="48"/>
  <c r="Y1174" i="48"/>
  <c r="Y974" i="48"/>
  <c r="Y1294" i="48"/>
  <c r="Y1219" i="48"/>
  <c r="Y1019" i="48"/>
  <c r="Y819" i="48"/>
  <c r="Y619" i="48"/>
  <c r="Y144" i="48"/>
  <c r="Y294" i="48"/>
  <c r="Y169" i="48"/>
  <c r="Y1298" i="48"/>
  <c r="Y1098" i="48"/>
  <c r="Y523" i="48"/>
  <c r="Y673" i="48"/>
  <c r="Y348" i="48"/>
  <c r="Y248" i="48"/>
  <c r="Y787" i="48"/>
  <c r="Y1062" i="48"/>
  <c r="Y337" i="48"/>
  <c r="Y37" i="48"/>
  <c r="Y741" i="48"/>
  <c r="Y841" i="48"/>
  <c r="Y1141" i="48"/>
  <c r="AG1141" i="48"/>
  <c r="Y366" i="48"/>
  <c r="Y1265" i="48"/>
  <c r="Y1065" i="48"/>
  <c r="Y890" i="48"/>
  <c r="Y815" i="48"/>
  <c r="Y715" i="48"/>
  <c r="Y115" i="48"/>
  <c r="Y1295" i="48"/>
  <c r="Y770" i="48"/>
  <c r="Y1145" i="48"/>
  <c r="AG1145" i="48"/>
  <c r="Y345" i="48"/>
  <c r="Y45" i="48"/>
  <c r="Y240" i="48"/>
  <c r="Y1240" i="48"/>
  <c r="Y1140" i="48"/>
  <c r="AG1140" i="48"/>
  <c r="Y1040" i="48"/>
  <c r="Y290" i="48"/>
  <c r="Y865" i="48"/>
  <c r="Y365" i="48"/>
  <c r="Y65" i="48"/>
  <c r="Y790" i="48"/>
  <c r="Y690" i="48"/>
  <c r="Y590" i="48"/>
  <c r="Y490" i="48"/>
  <c r="Y140" i="48"/>
  <c r="Y1220" i="48"/>
  <c r="Y945" i="48"/>
  <c r="Y845" i="48"/>
  <c r="Y745" i="48"/>
  <c r="Y645" i="48"/>
  <c r="Y545" i="48"/>
  <c r="Y1120" i="48"/>
  <c r="Y1020" i="48"/>
  <c r="Y520" i="48"/>
  <c r="Y420" i="48"/>
  <c r="Y320" i="48"/>
  <c r="Y220" i="48"/>
  <c r="Y120" i="48"/>
  <c r="Y749" i="48"/>
  <c r="Y699" i="48"/>
  <c r="Y1224" i="48"/>
  <c r="Y724" i="48"/>
  <c r="Y1349" i="48"/>
  <c r="Y49" i="48"/>
  <c r="Y1124" i="48"/>
  <c r="Y1024" i="48"/>
  <c r="Y824" i="48"/>
  <c r="Y124" i="48"/>
  <c r="Y499" i="48"/>
  <c r="Y399" i="48"/>
  <c r="Y299" i="48"/>
  <c r="Y199" i="48"/>
  <c r="Y1344" i="48"/>
  <c r="Y944" i="48"/>
  <c r="Y1269" i="48"/>
  <c r="Y1169" i="48"/>
  <c r="Y1069" i="48"/>
  <c r="Y969" i="48"/>
  <c r="Y419" i="48"/>
  <c r="Y769" i="48"/>
  <c r="Y669" i="48"/>
  <c r="Y569" i="48"/>
  <c r="Y444" i="48"/>
  <c r="Y344" i="48"/>
  <c r="Y244" i="48"/>
  <c r="Y69" i="48"/>
  <c r="Y1348" i="48"/>
  <c r="Y1248" i="48"/>
  <c r="Y1148" i="48"/>
  <c r="AG1148" i="48"/>
  <c r="Y1048" i="48"/>
  <c r="Y948" i="48"/>
  <c r="Y848" i="48"/>
  <c r="Y48" i="48"/>
  <c r="Y823" i="48"/>
  <c r="Y723" i="48"/>
  <c r="Y623" i="48"/>
  <c r="Y448" i="48"/>
  <c r="Y298" i="48"/>
  <c r="Y198" i="48"/>
  <c r="Y73" i="48"/>
  <c r="Y1237" i="48"/>
  <c r="Y937" i="48"/>
  <c r="Y837" i="48"/>
  <c r="Y737" i="48"/>
  <c r="Y637" i="48"/>
  <c r="Y1212" i="48"/>
  <c r="Y1112" i="48"/>
  <c r="Y1012" i="48"/>
  <c r="Y487" i="48"/>
  <c r="Y387" i="48"/>
  <c r="Y287" i="48"/>
  <c r="Y187" i="48"/>
  <c r="Y87" i="48"/>
  <c r="Y866" i="48"/>
  <c r="Y641" i="48"/>
  <c r="Y1241" i="48"/>
  <c r="Y941" i="48"/>
  <c r="Y766" i="48"/>
  <c r="Y1191" i="48"/>
  <c r="Y1091" i="48"/>
  <c r="Y991" i="48"/>
  <c r="Y141" i="48"/>
  <c r="Y91" i="48"/>
  <c r="Y516" i="48"/>
  <c r="Y416" i="48"/>
  <c r="Y316" i="48"/>
  <c r="Y216" i="48"/>
  <c r="T21" i="48"/>
  <c r="R15" i="58" s="1"/>
  <c r="AI13" i="48"/>
  <c r="T7" i="58" s="1"/>
  <c r="AA21" i="48"/>
  <c r="S15" i="58" s="1"/>
  <c r="AA25" i="48"/>
  <c r="S19" i="58" s="1"/>
  <c r="AI17" i="48"/>
  <c r="T11" i="58" s="1"/>
  <c r="Y1340" i="48"/>
  <c r="Y1190" i="48"/>
  <c r="Y340" i="48"/>
  <c r="Y640" i="48"/>
  <c r="Y1270" i="48"/>
  <c r="Y795" i="48"/>
  <c r="Y1170" i="48"/>
  <c r="Y1070" i="48"/>
  <c r="Y270" i="48"/>
  <c r="Y1274" i="48"/>
  <c r="Y624" i="48"/>
  <c r="Y1299" i="48"/>
  <c r="Y1074" i="48"/>
  <c r="Y449" i="48"/>
  <c r="Y349" i="48"/>
  <c r="Y249" i="48"/>
  <c r="Y844" i="48"/>
  <c r="Y1119" i="48"/>
  <c r="Y369" i="48"/>
  <c r="Y719" i="48"/>
  <c r="Y519" i="48"/>
  <c r="Y1198" i="48"/>
  <c r="Y998" i="48"/>
  <c r="Y898" i="48"/>
  <c r="Y373" i="48"/>
  <c r="Y573" i="48"/>
  <c r="Y173" i="48"/>
  <c r="Y537" i="48"/>
  <c r="Y1312" i="48"/>
  <c r="Y887" i="48"/>
  <c r="Y687" i="48"/>
  <c r="Y1162" i="48"/>
  <c r="Y237" i="48"/>
  <c r="Y1341" i="48"/>
  <c r="Y666" i="48"/>
  <c r="Y566" i="48"/>
  <c r="Y116" i="48"/>
  <c r="Y466" i="48"/>
  <c r="T17" i="48"/>
  <c r="R11" i="58" s="1"/>
  <c r="T25" i="48"/>
  <c r="R19" i="58" s="1"/>
  <c r="Y1315" i="48"/>
  <c r="Y1165" i="48"/>
  <c r="Y415" i="48"/>
  <c r="Y215" i="48"/>
  <c r="Y615" i="48"/>
  <c r="Y1245" i="48"/>
  <c r="Y870" i="48"/>
  <c r="Y570" i="48"/>
  <c r="Y1045" i="48"/>
  <c r="Y445" i="48"/>
  <c r="Y145" i="48"/>
  <c r="Y165" i="48"/>
  <c r="Y1215" i="48"/>
  <c r="Y1115" i="48"/>
  <c r="Y1015" i="48"/>
  <c r="Y940" i="48"/>
  <c r="Y840" i="48"/>
  <c r="Y315" i="48"/>
  <c r="Y515" i="48"/>
  <c r="Y765" i="48"/>
  <c r="Y665" i="48"/>
  <c r="Y565" i="48"/>
  <c r="Y440" i="48"/>
  <c r="Y90" i="48"/>
  <c r="Y1345" i="48"/>
  <c r="Y920" i="48"/>
  <c r="Y820" i="48"/>
  <c r="Y720" i="48"/>
  <c r="Y620" i="48"/>
  <c r="Y1195" i="48"/>
  <c r="Y1095" i="48"/>
  <c r="Y995" i="48"/>
  <c r="Y495" i="48"/>
  <c r="Y395" i="48"/>
  <c r="Y295" i="48"/>
  <c r="Y195" i="48"/>
  <c r="Y95" i="48"/>
  <c r="Y649" i="48"/>
  <c r="Y599" i="48"/>
  <c r="Y924" i="48"/>
  <c r="Y674" i="48"/>
  <c r="Y1324" i="48"/>
  <c r="Y1199" i="48"/>
  <c r="Y1099" i="48"/>
  <c r="Y999" i="48"/>
  <c r="Y149" i="48"/>
  <c r="Y74" i="48"/>
  <c r="Y474" i="48"/>
  <c r="Y374" i="48"/>
  <c r="Y274" i="48"/>
  <c r="Y1319" i="48"/>
  <c r="Y894" i="48"/>
  <c r="Y1244" i="48"/>
  <c r="Y1144" i="48"/>
  <c r="AG1144" i="48"/>
  <c r="Y1044" i="48"/>
  <c r="Y469" i="48"/>
  <c r="Y194" i="48"/>
  <c r="Y744" i="48"/>
  <c r="Y644" i="48"/>
  <c r="Y544" i="48"/>
  <c r="Y394" i="48"/>
  <c r="Y319" i="48"/>
  <c r="Y219" i="48"/>
  <c r="Y1323" i="48"/>
  <c r="Y1223" i="48"/>
  <c r="Y1123" i="48"/>
  <c r="Y1023" i="48"/>
  <c r="Y923" i="48"/>
  <c r="Y423" i="48"/>
  <c r="Y473" i="48"/>
  <c r="Y798" i="48"/>
  <c r="Y698" i="48"/>
  <c r="Y598" i="48"/>
  <c r="Y398" i="48"/>
  <c r="Y273" i="48"/>
  <c r="Y98" i="48"/>
  <c r="Y1337" i="48"/>
  <c r="Y562" i="48"/>
  <c r="Y912" i="48"/>
  <c r="Y812" i="48"/>
  <c r="Y712" i="48"/>
  <c r="Y612" i="48"/>
  <c r="Y1187" i="48"/>
  <c r="Y1087" i="48"/>
  <c r="Y987" i="48"/>
  <c r="Y462" i="48"/>
  <c r="Y362" i="48"/>
  <c r="Y262" i="48"/>
  <c r="Y162" i="48"/>
  <c r="Y62" i="48"/>
  <c r="Y791" i="48"/>
  <c r="Y591" i="48"/>
  <c r="Y1216" i="48"/>
  <c r="Y891" i="48"/>
  <c r="Y716" i="48"/>
  <c r="Y1166" i="48"/>
  <c r="Y1066" i="48"/>
  <c r="Y966" i="48"/>
  <c r="Y41" i="48"/>
  <c r="Y166" i="48"/>
  <c r="Y491" i="48"/>
  <c r="Y391" i="48"/>
  <c r="Y291" i="48"/>
  <c r="AA13" i="48"/>
  <c r="S7" i="58" s="1"/>
  <c r="AA17" i="48"/>
  <c r="S11" i="58" s="1"/>
  <c r="AY1240" i="48"/>
  <c r="AY365" i="48"/>
  <c r="AY590" i="48"/>
  <c r="AY945" i="48"/>
  <c r="AY545" i="48"/>
  <c r="AY1020" i="48"/>
  <c r="AY320" i="48"/>
  <c r="AY120" i="48"/>
  <c r="AY749" i="48"/>
  <c r="AY1349" i="48"/>
  <c r="AY824" i="48"/>
  <c r="AY399" i="48"/>
  <c r="AY944" i="48"/>
  <c r="AY969" i="48"/>
  <c r="AY344" i="48"/>
  <c r="AY1248" i="48"/>
  <c r="AY198" i="48"/>
  <c r="AY1215" i="48"/>
  <c r="AY1015" i="48"/>
  <c r="AY840" i="48"/>
  <c r="AY515" i="48"/>
  <c r="AY665" i="48"/>
  <c r="AY440" i="48"/>
  <c r="AY920" i="48"/>
  <c r="AY720" i="48"/>
  <c r="AY1095" i="48"/>
  <c r="AY395" i="48"/>
  <c r="AY195" i="48"/>
  <c r="AY95" i="48"/>
  <c r="AY649" i="48"/>
  <c r="AY924" i="48"/>
  <c r="AY1199" i="48"/>
  <c r="AY999" i="48"/>
  <c r="AY74" i="48"/>
  <c r="AY274" i="48"/>
  <c r="AY1319" i="48"/>
  <c r="AY1244" i="48"/>
  <c r="AY1044" i="48"/>
  <c r="AY469" i="48"/>
  <c r="AY744" i="48"/>
  <c r="AY544" i="48"/>
  <c r="AY319" i="48"/>
  <c r="AY1223" i="48"/>
  <c r="AY923" i="48"/>
  <c r="AY473" i="48"/>
  <c r="AY698" i="48"/>
  <c r="AY273" i="48"/>
  <c r="AY562" i="48"/>
  <c r="AY812" i="48"/>
  <c r="AY612" i="48"/>
  <c r="AY1087" i="48"/>
  <c r="AY362" i="48"/>
  <c r="AY162" i="48"/>
  <c r="AY1216" i="48"/>
  <c r="AY1166" i="48"/>
  <c r="AY966" i="48"/>
  <c r="AY41" i="48"/>
  <c r="AY491" i="48"/>
  <c r="AY291" i="48"/>
  <c r="AY1340" i="48"/>
  <c r="AY1290" i="48"/>
  <c r="AY1190" i="48"/>
  <c r="AY1090" i="48"/>
  <c r="AY990" i="48"/>
  <c r="AY915" i="48"/>
  <c r="AY340" i="48"/>
  <c r="AY265" i="48"/>
  <c r="AY465" i="48"/>
  <c r="AY740" i="48"/>
  <c r="AY640" i="48"/>
  <c r="AY540" i="48"/>
  <c r="AY390" i="48"/>
  <c r="AY40" i="48"/>
  <c r="AY1270" i="48"/>
  <c r="AY1320" i="48"/>
  <c r="AY895" i="48"/>
  <c r="AY795" i="48"/>
  <c r="AY695" i="48"/>
  <c r="AY595" i="48"/>
  <c r="AY1170" i="48"/>
  <c r="AY1070" i="48"/>
  <c r="AY970" i="48"/>
  <c r="AY470" i="48"/>
  <c r="AY370" i="48"/>
  <c r="AY270" i="48"/>
  <c r="AY170" i="48"/>
  <c r="AY70" i="48"/>
  <c r="AY899" i="48"/>
  <c r="AY1274" i="48"/>
  <c r="AY874" i="48"/>
  <c r="AY624" i="48"/>
  <c r="AY1299" i="48"/>
  <c r="AY1174" i="48"/>
  <c r="AY1074" i="48"/>
  <c r="AY974" i="48"/>
  <c r="AY99" i="48"/>
  <c r="AY449" i="48"/>
  <c r="AY349" i="48"/>
  <c r="AY249" i="48"/>
  <c r="AY1294" i="48"/>
  <c r="AY844" i="48"/>
  <c r="AY1219" i="48"/>
  <c r="AY1119" i="48"/>
  <c r="AY1019" i="48"/>
  <c r="AY369" i="48"/>
  <c r="AY819" i="48"/>
  <c r="AY719" i="48"/>
  <c r="AY619" i="48"/>
  <c r="AY519" i="48"/>
  <c r="AY144" i="48"/>
  <c r="AY294" i="48"/>
  <c r="AY169" i="48"/>
  <c r="AY1298" i="48"/>
  <c r="AY1198" i="48"/>
  <c r="AY1098" i="48"/>
  <c r="AY998" i="48"/>
  <c r="AY898" i="48"/>
  <c r="AY523" i="48"/>
  <c r="AY373" i="48"/>
  <c r="AY773" i="48"/>
  <c r="AY673" i="48"/>
  <c r="AY573" i="48"/>
  <c r="AY348" i="48"/>
  <c r="AY248" i="48"/>
  <c r="AY173" i="48"/>
  <c r="AY537" i="48"/>
  <c r="AY1287" i="48"/>
  <c r="AY1312" i="48"/>
  <c r="AY887" i="48"/>
  <c r="AY787" i="48"/>
  <c r="AY687" i="48"/>
  <c r="AY587" i="48"/>
  <c r="AY1162" i="48"/>
  <c r="AY1062" i="48"/>
  <c r="AY962" i="48"/>
  <c r="AY437" i="48"/>
  <c r="AY337" i="48"/>
  <c r="AY237" i="48"/>
  <c r="AY137" i="48"/>
  <c r="AY37" i="48"/>
  <c r="AY741" i="48"/>
  <c r="AY1291" i="48"/>
  <c r="AY1341" i="48"/>
  <c r="AY841" i="48"/>
  <c r="AY666" i="48"/>
  <c r="AY1141" i="48"/>
  <c r="AY1041" i="48"/>
  <c r="AY566" i="48"/>
  <c r="AY116" i="48"/>
  <c r="AY466" i="48"/>
  <c r="AY366" i="48"/>
  <c r="AY266" i="48"/>
  <c r="AY1140" i="48"/>
  <c r="AY865" i="48"/>
  <c r="AY690" i="48"/>
  <c r="AY490" i="48"/>
  <c r="AY1220" i="48"/>
  <c r="AY645" i="48"/>
  <c r="AY1120" i="48"/>
  <c r="AY420" i="48"/>
  <c r="AY724" i="48"/>
  <c r="AY1024" i="48"/>
  <c r="AY499" i="48"/>
  <c r="AY199" i="48"/>
  <c r="AY1269" i="48"/>
  <c r="AY769" i="48"/>
  <c r="AY444" i="48"/>
  <c r="AY1348" i="48"/>
  <c r="AY73" i="48"/>
  <c r="AY165" i="48"/>
  <c r="AY1115" i="48"/>
  <c r="AY940" i="48"/>
  <c r="AY315" i="48"/>
  <c r="AY765" i="48"/>
  <c r="AY565" i="48"/>
  <c r="AY90" i="48"/>
  <c r="AY1345" i="48"/>
  <c r="AY820" i="48"/>
  <c r="AY1195" i="48"/>
  <c r="AY995" i="48"/>
  <c r="AY495" i="48"/>
  <c r="AY295" i="48"/>
  <c r="AY599" i="48"/>
  <c r="AY674" i="48"/>
  <c r="AY1324" i="48"/>
  <c r="AY1099" i="48"/>
  <c r="AY149" i="48"/>
  <c r="AY374" i="48"/>
  <c r="AY894" i="48"/>
  <c r="AY1144" i="48"/>
  <c r="AY194" i="48"/>
  <c r="AY644" i="48"/>
  <c r="AY394" i="48"/>
  <c r="AY219" i="48"/>
  <c r="AY1323" i="48"/>
  <c r="AY1123" i="48"/>
  <c r="AY423" i="48"/>
  <c r="AY798" i="48"/>
  <c r="AY598" i="48"/>
  <c r="AY398" i="48"/>
  <c r="AY98" i="48"/>
  <c r="AY1337" i="48"/>
  <c r="AY912" i="48"/>
  <c r="AY712" i="48"/>
  <c r="AY1187" i="48"/>
  <c r="AY987" i="48"/>
  <c r="AY462" i="48"/>
  <c r="AY262" i="48"/>
  <c r="AY62" i="48"/>
  <c r="AY791" i="48"/>
  <c r="AY591" i="48"/>
  <c r="AY891" i="48"/>
  <c r="AY1066" i="48"/>
  <c r="AY166" i="48"/>
  <c r="AY391" i="48"/>
  <c r="AY1315" i="48"/>
  <c r="AY1265" i="48"/>
  <c r="AY1165" i="48"/>
  <c r="AY1065" i="48"/>
  <c r="AY965" i="48"/>
  <c r="AY890" i="48"/>
  <c r="AY415" i="48"/>
  <c r="AY215" i="48"/>
  <c r="AY815" i="48"/>
  <c r="AY715" i="48"/>
  <c r="AY615" i="48"/>
  <c r="AY115" i="48"/>
  <c r="AY190" i="48"/>
  <c r="AY1245" i="48"/>
  <c r="AY1295" i="48"/>
  <c r="AY870" i="48"/>
  <c r="AY770" i="48"/>
  <c r="AY670" i="48"/>
  <c r="AY570" i="48"/>
  <c r="AY1145" i="48"/>
  <c r="AY1045" i="48"/>
  <c r="AY445" i="48"/>
  <c r="AY345" i="48"/>
  <c r="AY245" i="48"/>
  <c r="AY145" i="48"/>
  <c r="AY45" i="48"/>
  <c r="AY849" i="48"/>
  <c r="AY799" i="48"/>
  <c r="AY1249" i="48"/>
  <c r="AY774" i="48"/>
  <c r="AY574" i="48"/>
  <c r="AY549" i="48"/>
  <c r="AY1149" i="48"/>
  <c r="AY1049" i="48"/>
  <c r="AY949" i="48"/>
  <c r="AY174" i="48"/>
  <c r="AY524" i="48"/>
  <c r="AY424" i="48"/>
  <c r="AY324" i="48"/>
  <c r="AY224" i="48"/>
  <c r="AY869" i="48"/>
  <c r="AY919" i="48"/>
  <c r="AY1194" i="48"/>
  <c r="AY1094" i="48"/>
  <c r="AY994" i="48"/>
  <c r="AY94" i="48"/>
  <c r="AY794" i="48"/>
  <c r="AY694" i="48"/>
  <c r="AY594" i="48"/>
  <c r="AY494" i="48"/>
  <c r="AY44" i="48"/>
  <c r="AY269" i="48"/>
  <c r="AY119" i="48"/>
  <c r="AY1273" i="48"/>
  <c r="AY1173" i="48"/>
  <c r="AY1073" i="48"/>
  <c r="AY973" i="48"/>
  <c r="AY873" i="48"/>
  <c r="AY498" i="48"/>
  <c r="AY148" i="48"/>
  <c r="AY748" i="48"/>
  <c r="AY648" i="48"/>
  <c r="AY548" i="48"/>
  <c r="AY323" i="48"/>
  <c r="AY223" i="48"/>
  <c r="AY123" i="48"/>
  <c r="AY1262" i="48"/>
  <c r="AY862" i="48"/>
  <c r="AY762" i="48"/>
  <c r="AY662" i="48"/>
  <c r="AY1137" i="48"/>
  <c r="AY1037" i="48"/>
  <c r="AY512" i="48"/>
  <c r="AY412" i="48"/>
  <c r="AY312" i="48"/>
  <c r="AY212" i="48"/>
  <c r="AY112" i="48"/>
  <c r="AY916" i="48"/>
  <c r="AY691" i="48"/>
  <c r="AY1266" i="48"/>
  <c r="AY1316" i="48"/>
  <c r="AY816" i="48"/>
  <c r="AY616" i="48"/>
  <c r="AY1116" i="48"/>
  <c r="AY1016" i="48"/>
  <c r="AY541" i="48"/>
  <c r="AY191" i="48"/>
  <c r="AY66" i="48"/>
  <c r="AY441" i="48"/>
  <c r="AY341" i="48"/>
  <c r="AY241" i="48"/>
  <c r="AY240" i="48"/>
  <c r="AY290" i="48"/>
  <c r="AY790" i="48"/>
  <c r="AY745" i="48"/>
  <c r="AY520" i="48"/>
  <c r="AY220" i="48"/>
  <c r="AY1224" i="48"/>
  <c r="AY1124" i="48"/>
  <c r="AY299" i="48"/>
  <c r="AY1169" i="48"/>
  <c r="AY669" i="48"/>
  <c r="AY244" i="48"/>
  <c r="AY69" i="48"/>
  <c r="AY1148" i="48"/>
  <c r="AY1048" i="48"/>
  <c r="AY848" i="48"/>
  <c r="AY48" i="48"/>
  <c r="AY823" i="48"/>
  <c r="AY723" i="48"/>
  <c r="AY623" i="48"/>
  <c r="AY448" i="48"/>
  <c r="AY298" i="48"/>
  <c r="AY1237" i="48"/>
  <c r="AY937" i="48"/>
  <c r="AY837" i="48"/>
  <c r="AY737" i="48"/>
  <c r="AY637" i="48"/>
  <c r="AY1212" i="48"/>
  <c r="AY1112" i="48"/>
  <c r="AY1012" i="48"/>
  <c r="AY487" i="48"/>
  <c r="AY387" i="48"/>
  <c r="AY287" i="48"/>
  <c r="AY187" i="48"/>
  <c r="AY87" i="48"/>
  <c r="AY866" i="48"/>
  <c r="AY641" i="48"/>
  <c r="AY1241" i="48"/>
  <c r="AY941" i="48"/>
  <c r="AY766" i="48"/>
  <c r="AY1191" i="48"/>
  <c r="AY1091" i="48"/>
  <c r="AY991" i="48"/>
  <c r="AY141" i="48"/>
  <c r="AY91" i="48"/>
  <c r="AY516" i="48"/>
  <c r="AY416" i="48"/>
  <c r="AY316" i="48"/>
  <c r="AY216" i="48"/>
  <c r="AY1040" i="48"/>
  <c r="AY65" i="48"/>
  <c r="AY140" i="48"/>
  <c r="AY845" i="48"/>
  <c r="AY699" i="48"/>
  <c r="AY49" i="48"/>
  <c r="AY124" i="48"/>
  <c r="AY1344" i="48"/>
  <c r="AY1069" i="48"/>
  <c r="AY419" i="48"/>
  <c r="AY569" i="48"/>
  <c r="AY948" i="48"/>
  <c r="AY620" i="48"/>
  <c r="AY474" i="48"/>
  <c r="AY1023" i="48"/>
  <c r="AY716" i="48"/>
  <c r="U11" i="48" l="1"/>
  <c r="U18" i="48"/>
  <c r="U24" i="48"/>
  <c r="U17" i="48"/>
  <c r="U22" i="48"/>
  <c r="U25" i="48"/>
  <c r="U16" i="48"/>
  <c r="U27" i="48"/>
  <c r="U19" i="48"/>
  <c r="U21" i="48"/>
  <c r="U12" i="48"/>
  <c r="U20" i="48"/>
  <c r="U23" i="48"/>
  <c r="U14" i="48"/>
  <c r="U13" i="48"/>
  <c r="U15" i="48"/>
  <c r="U26" i="48"/>
  <c r="D14" i="58"/>
  <c r="AY11" i="48"/>
  <c r="AU25" i="48"/>
  <c r="T737" i="48"/>
  <c r="S737" i="48" s="1"/>
  <c r="S738" i="48" s="1"/>
  <c r="S739" i="48" s="1"/>
  <c r="T462" i="48"/>
  <c r="S462" i="48" s="1"/>
  <c r="S463" i="48" s="1"/>
  <c r="S464" i="48" s="1"/>
  <c r="T387" i="48"/>
  <c r="S387" i="48" s="1"/>
  <c r="S388" i="48" s="1"/>
  <c r="S389" i="48" s="1"/>
  <c r="T62" i="48"/>
  <c r="S62" i="48" s="1"/>
  <c r="S63" i="48" s="1"/>
  <c r="S64" i="48" s="1"/>
  <c r="T712" i="48"/>
  <c r="S712" i="48" s="1"/>
  <c r="S713" i="48" s="1"/>
  <c r="S714" i="48" s="1"/>
  <c r="T287" i="48"/>
  <c r="S287" i="48" s="1"/>
  <c r="S288" i="48" s="1"/>
  <c r="S289" i="48" s="1"/>
  <c r="T37" i="48"/>
  <c r="S37" i="48" s="1"/>
  <c r="S38" i="48" s="1"/>
  <c r="S39" i="48" s="1"/>
  <c r="T212" i="48"/>
  <c r="S212" i="48" s="1"/>
  <c r="S213" i="48" s="1"/>
  <c r="S214" i="48" s="1"/>
  <c r="T537" i="48"/>
  <c r="S537" i="48" s="1"/>
  <c r="S538" i="48" s="1"/>
  <c r="S539" i="48" s="1"/>
  <c r="T487" i="48"/>
  <c r="S487" i="48" s="1"/>
  <c r="S488" i="48" s="1"/>
  <c r="S489" i="48" s="1"/>
  <c r="T637" i="48"/>
  <c r="S637" i="48" s="1"/>
  <c r="S638" i="48" s="1"/>
  <c r="S639" i="48" s="1"/>
  <c r="T187" i="48"/>
  <c r="S187" i="48" s="1"/>
  <c r="S188" i="48" s="1"/>
  <c r="S189" i="48" s="1"/>
  <c r="T437" i="48"/>
  <c r="S437" i="48" s="1"/>
  <c r="S438" i="48" s="1"/>
  <c r="S439" i="48" s="1"/>
  <c r="T337" i="48"/>
  <c r="S337" i="48" s="1"/>
  <c r="S338" i="48" s="1"/>
  <c r="S339" i="48" s="1"/>
  <c r="T262" i="48"/>
  <c r="S262" i="48" s="1"/>
  <c r="S263" i="48" s="1"/>
  <c r="S264" i="48" s="1"/>
  <c r="T562" i="48"/>
  <c r="S562" i="48" s="1"/>
  <c r="S563" i="48" s="1"/>
  <c r="S564" i="48" s="1"/>
  <c r="T587" i="48"/>
  <c r="S587" i="48" s="1"/>
  <c r="S588" i="48" s="1"/>
  <c r="S589" i="48" s="1"/>
  <c r="T162" i="48"/>
  <c r="S162" i="48" s="1"/>
  <c r="S163" i="48" s="1"/>
  <c r="S164" i="48" s="1"/>
  <c r="T112" i="48"/>
  <c r="S112" i="48" s="1"/>
  <c r="S113" i="48" s="1"/>
  <c r="S114" i="48" s="1"/>
  <c r="T412" i="48"/>
  <c r="S412" i="48" s="1"/>
  <c r="S413" i="48" s="1"/>
  <c r="S414" i="48" s="1"/>
  <c r="T687" i="48"/>
  <c r="S687" i="48" s="1"/>
  <c r="S688" i="48" s="1"/>
  <c r="S689" i="48" s="1"/>
  <c r="T362" i="48"/>
  <c r="S362" i="48" s="1"/>
  <c r="S363" i="48" s="1"/>
  <c r="S364" i="48" s="1"/>
  <c r="T237" i="48"/>
  <c r="S237" i="48" s="1"/>
  <c r="S238" i="48" s="1"/>
  <c r="S239" i="48" s="1"/>
  <c r="T312" i="48"/>
  <c r="S312" i="48" s="1"/>
  <c r="S313" i="48" s="1"/>
  <c r="S314" i="48" s="1"/>
  <c r="T512" i="48"/>
  <c r="S512" i="48" s="1"/>
  <c r="S513" i="48" s="1"/>
  <c r="S514" i="48" s="1"/>
  <c r="T662" i="48"/>
  <c r="S662" i="48" s="1"/>
  <c r="S663" i="48" s="1"/>
  <c r="S664" i="48" s="1"/>
  <c r="T87" i="48"/>
  <c r="S87" i="48" s="1"/>
  <c r="S88" i="48" s="1"/>
  <c r="S89" i="48" s="1"/>
  <c r="T137" i="48"/>
  <c r="S137" i="48" s="1"/>
  <c r="S138" i="48" s="1"/>
  <c r="S139" i="48" s="1"/>
  <c r="T612" i="48"/>
  <c r="S612" i="48" s="1"/>
  <c r="S613" i="48" s="1"/>
  <c r="S614" i="48" s="1"/>
  <c r="T744" i="48"/>
  <c r="T669" i="48"/>
  <c r="T644" i="48"/>
  <c r="T269" i="48"/>
  <c r="T719" i="48"/>
  <c r="T144" i="48"/>
  <c r="T419" i="48"/>
  <c r="T44" i="48"/>
  <c r="T494" i="48"/>
  <c r="T569" i="48"/>
  <c r="T194" i="48"/>
  <c r="T544" i="48"/>
  <c r="T444" i="48"/>
  <c r="T244" i="48"/>
  <c r="T219" i="48"/>
  <c r="T69" i="48"/>
  <c r="T294" i="48"/>
  <c r="T94" i="48"/>
  <c r="T169" i="48"/>
  <c r="T369" i="48"/>
  <c r="T394" i="48"/>
  <c r="T319" i="48"/>
  <c r="T469" i="48"/>
  <c r="T344" i="48"/>
  <c r="T119" i="48"/>
  <c r="T694" i="48"/>
  <c r="T619" i="48"/>
  <c r="T594" i="48"/>
  <c r="T519" i="48"/>
  <c r="T740" i="48"/>
  <c r="T140" i="48"/>
  <c r="T490" i="48"/>
  <c r="T615" i="48"/>
  <c r="T190" i="48"/>
  <c r="T465" i="48"/>
  <c r="T240" i="48"/>
  <c r="T390" i="48"/>
  <c r="T590" i="48"/>
  <c r="T340" i="48"/>
  <c r="T515" i="48"/>
  <c r="T690" i="48"/>
  <c r="T715" i="48"/>
  <c r="T415" i="48"/>
  <c r="T640" i="48"/>
  <c r="T165" i="48"/>
  <c r="T65" i="48"/>
  <c r="T315" i="48"/>
  <c r="T290" i="48"/>
  <c r="T40" i="48"/>
  <c r="T665" i="48"/>
  <c r="T565" i="48"/>
  <c r="T540" i="48"/>
  <c r="T115" i="48"/>
  <c r="T265" i="48"/>
  <c r="T365" i="48"/>
  <c r="T440" i="48"/>
  <c r="T215" i="48"/>
  <c r="T90" i="48"/>
  <c r="AU21" i="48"/>
  <c r="T1169" i="48"/>
  <c r="T1144" i="48"/>
  <c r="T894" i="48"/>
  <c r="T844" i="48"/>
  <c r="T1094" i="48"/>
  <c r="T919" i="48"/>
  <c r="T794" i="48"/>
  <c r="T944" i="48"/>
  <c r="T869" i="48"/>
  <c r="T969" i="48"/>
  <c r="T819" i="48"/>
  <c r="T769" i="48"/>
  <c r="T1069" i="48"/>
  <c r="T1019" i="48"/>
  <c r="T1119" i="48"/>
  <c r="T1044" i="48"/>
  <c r="T994" i="48"/>
  <c r="T1170" i="48"/>
  <c r="T1145" i="48"/>
  <c r="T820" i="48"/>
  <c r="T970" i="48"/>
  <c r="T845" i="48"/>
  <c r="T895" i="48"/>
  <c r="T945" i="48"/>
  <c r="T1120" i="48"/>
  <c r="T795" i="48"/>
  <c r="T870" i="48"/>
  <c r="T1095" i="48"/>
  <c r="T920" i="48"/>
  <c r="T1045" i="48"/>
  <c r="T1020" i="48"/>
  <c r="T770" i="48"/>
  <c r="T1070" i="48"/>
  <c r="T995" i="48"/>
  <c r="T1162" i="48"/>
  <c r="S1162" i="48" s="1"/>
  <c r="S1163" i="48" s="1"/>
  <c r="S1164" i="48" s="1"/>
  <c r="T1137" i="48"/>
  <c r="S1137" i="48" s="1"/>
  <c r="S1138" i="48" s="1"/>
  <c r="S1139" i="48" s="1"/>
  <c r="T962" i="48"/>
  <c r="S962" i="48" s="1"/>
  <c r="S963" i="48" s="1"/>
  <c r="S964" i="48" s="1"/>
  <c r="T862" i="48"/>
  <c r="S862" i="48" s="1"/>
  <c r="S863" i="48" s="1"/>
  <c r="S864" i="48" s="1"/>
  <c r="T1112" i="48"/>
  <c r="S1112" i="48" s="1"/>
  <c r="S1113" i="48" s="1"/>
  <c r="S1114" i="48" s="1"/>
  <c r="T762" i="48"/>
  <c r="S762" i="48" s="1"/>
  <c r="S763" i="48" s="1"/>
  <c r="S764" i="48" s="1"/>
  <c r="T1037" i="48"/>
  <c r="S1037" i="48" s="1"/>
  <c r="S1038" i="48" s="1"/>
  <c r="S1039" i="48" s="1"/>
  <c r="T1012" i="48"/>
  <c r="S1012" i="48" s="1"/>
  <c r="S1013" i="48" s="1"/>
  <c r="S1014" i="48" s="1"/>
  <c r="T1087" i="48"/>
  <c r="S1087" i="48" s="1"/>
  <c r="S1088" i="48" s="1"/>
  <c r="S1089" i="48" s="1"/>
  <c r="T887" i="48"/>
  <c r="S887" i="48" s="1"/>
  <c r="S888" i="48" s="1"/>
  <c r="S889" i="48" s="1"/>
  <c r="T912" i="48"/>
  <c r="S912" i="48" s="1"/>
  <c r="S913" i="48" s="1"/>
  <c r="S914" i="48" s="1"/>
  <c r="T1062" i="48"/>
  <c r="S1062" i="48" s="1"/>
  <c r="S1063" i="48" s="1"/>
  <c r="S1064" i="48" s="1"/>
  <c r="T937" i="48"/>
  <c r="S937" i="48" s="1"/>
  <c r="S938" i="48" s="1"/>
  <c r="S939" i="48" s="1"/>
  <c r="T787" i="48"/>
  <c r="S787" i="48" s="1"/>
  <c r="S788" i="48" s="1"/>
  <c r="S789" i="48" s="1"/>
  <c r="T812" i="48"/>
  <c r="S812" i="48" s="1"/>
  <c r="S813" i="48" s="1"/>
  <c r="S814" i="48" s="1"/>
  <c r="T837" i="48"/>
  <c r="S837" i="48" s="1"/>
  <c r="S838" i="48" s="1"/>
  <c r="S839" i="48" s="1"/>
  <c r="T987" i="48"/>
  <c r="S987" i="48" s="1"/>
  <c r="S988" i="48" s="1"/>
  <c r="S989" i="48" s="1"/>
  <c r="AU17" i="48"/>
  <c r="AU13" i="48"/>
  <c r="T748" i="48"/>
  <c r="T48" i="48"/>
  <c r="T423" i="48"/>
  <c r="T398" i="48"/>
  <c r="T523" i="48"/>
  <c r="T73" i="48"/>
  <c r="T598" i="48"/>
  <c r="T448" i="48"/>
  <c r="T223" i="48"/>
  <c r="T548" i="48"/>
  <c r="T273" i="48"/>
  <c r="T173" i="48"/>
  <c r="T473" i="48"/>
  <c r="T98" i="48"/>
  <c r="T348" i="48"/>
  <c r="T623" i="48"/>
  <c r="T298" i="48"/>
  <c r="T123" i="48"/>
  <c r="T198" i="48"/>
  <c r="T148" i="48"/>
  <c r="T573" i="48"/>
  <c r="T673" i="48"/>
  <c r="T323" i="48"/>
  <c r="T723" i="48"/>
  <c r="T698" i="48"/>
  <c r="T248" i="48"/>
  <c r="T498" i="48"/>
  <c r="T373" i="48"/>
  <c r="T648" i="48"/>
  <c r="T1174" i="48"/>
  <c r="T1149" i="48"/>
  <c r="T899" i="48"/>
  <c r="T849" i="48"/>
  <c r="T1099" i="48"/>
  <c r="T999" i="48"/>
  <c r="T1049" i="48"/>
  <c r="T974" i="48"/>
  <c r="T799" i="48"/>
  <c r="T874" i="48"/>
  <c r="T774" i="48"/>
  <c r="T1124" i="48"/>
  <c r="T824" i="48"/>
  <c r="T1074" i="48"/>
  <c r="T949" i="48"/>
  <c r="T924" i="48"/>
  <c r="T1024" i="48"/>
  <c r="T1173" i="48"/>
  <c r="T1148" i="48"/>
  <c r="T1023" i="48"/>
  <c r="T823" i="48"/>
  <c r="T773" i="48"/>
  <c r="T1048" i="48"/>
  <c r="T998" i="48"/>
  <c r="T973" i="48"/>
  <c r="T848" i="48"/>
  <c r="T873" i="48"/>
  <c r="T798" i="48"/>
  <c r="T1073" i="48"/>
  <c r="T948" i="48"/>
  <c r="T1098" i="48"/>
  <c r="T1123" i="48"/>
  <c r="T898" i="48"/>
  <c r="T923" i="48"/>
  <c r="T1166" i="48"/>
  <c r="T1141" i="48"/>
  <c r="T1016" i="48"/>
  <c r="T816" i="48"/>
  <c r="T941" i="48"/>
  <c r="T1041" i="48"/>
  <c r="T966" i="48"/>
  <c r="T1091" i="48"/>
  <c r="T866" i="48"/>
  <c r="T766" i="48"/>
  <c r="T891" i="48"/>
  <c r="T991" i="48"/>
  <c r="T1066" i="48"/>
  <c r="T791" i="48"/>
  <c r="T1116" i="48"/>
  <c r="T841" i="48"/>
  <c r="T916" i="48"/>
  <c r="T745" i="48"/>
  <c r="T645" i="48"/>
  <c r="T70" i="48"/>
  <c r="T195" i="48"/>
  <c r="T395" i="48"/>
  <c r="T420" i="48"/>
  <c r="T145" i="48"/>
  <c r="T495" i="48"/>
  <c r="T570" i="48"/>
  <c r="T345" i="48"/>
  <c r="T95" i="48"/>
  <c r="T470" i="48"/>
  <c r="T695" i="48"/>
  <c r="T320" i="48"/>
  <c r="T620" i="48"/>
  <c r="T595" i="48"/>
  <c r="T170" i="48"/>
  <c r="T370" i="48"/>
  <c r="T120" i="48"/>
  <c r="T245" i="48"/>
  <c r="T545" i="48"/>
  <c r="T445" i="48"/>
  <c r="T295" i="48"/>
  <c r="T670" i="48"/>
  <c r="T45" i="48"/>
  <c r="T520" i="48"/>
  <c r="T270" i="48"/>
  <c r="T720" i="48"/>
  <c r="T220" i="48"/>
  <c r="T1165" i="48"/>
  <c r="T1140" i="48"/>
  <c r="T965" i="48"/>
  <c r="T1090" i="48"/>
  <c r="T940" i="48"/>
  <c r="T790" i="48"/>
  <c r="T865" i="48"/>
  <c r="T1115" i="48"/>
  <c r="T765" i="48"/>
  <c r="T1040" i="48"/>
  <c r="T1065" i="48"/>
  <c r="T990" i="48"/>
  <c r="T840" i="48"/>
  <c r="T890" i="48"/>
  <c r="T1015" i="48"/>
  <c r="T815" i="48"/>
  <c r="T915" i="48"/>
  <c r="T741" i="48"/>
  <c r="T666" i="48"/>
  <c r="T466" i="48"/>
  <c r="T641" i="48"/>
  <c r="T566" i="48"/>
  <c r="T291" i="48"/>
  <c r="T391" i="48"/>
  <c r="T416" i="48"/>
  <c r="T91" i="48"/>
  <c r="T266" i="48"/>
  <c r="T316" i="48"/>
  <c r="T41" i="48"/>
  <c r="T716" i="48"/>
  <c r="T241" i="48"/>
  <c r="T591" i="48"/>
  <c r="T66" i="48"/>
  <c r="T541" i="48"/>
  <c r="T366" i="48"/>
  <c r="T491" i="48"/>
  <c r="T341" i="48"/>
  <c r="T191" i="48"/>
  <c r="T166" i="48"/>
  <c r="T441" i="48"/>
  <c r="T141" i="48"/>
  <c r="T516" i="48"/>
  <c r="T616" i="48"/>
  <c r="T691" i="48"/>
  <c r="T216" i="48"/>
  <c r="T116" i="48"/>
  <c r="T749" i="48"/>
  <c r="T524" i="48"/>
  <c r="T199" i="48"/>
  <c r="T249" i="48"/>
  <c r="T149" i="48"/>
  <c r="T724" i="48"/>
  <c r="T424" i="48"/>
  <c r="T649" i="48"/>
  <c r="T124" i="48"/>
  <c r="T699" i="48"/>
  <c r="T99" i="48"/>
  <c r="T549" i="48"/>
  <c r="T374" i="48"/>
  <c r="T674" i="48"/>
  <c r="T574" i="48"/>
  <c r="T349" i="48"/>
  <c r="T299" i="48"/>
  <c r="T174" i="48"/>
  <c r="T399" i="48"/>
  <c r="T74" i="48"/>
  <c r="T324" i="48"/>
  <c r="T449" i="48"/>
  <c r="T49" i="48"/>
  <c r="T624" i="48"/>
  <c r="T274" i="48"/>
  <c r="T224" i="48"/>
  <c r="T499" i="48"/>
  <c r="T599" i="48"/>
  <c r="T474" i="48"/>
  <c r="AA24" i="48"/>
  <c r="S18" i="58" s="1"/>
  <c r="AA20" i="48"/>
  <c r="S14" i="58" s="1"/>
  <c r="AA15" i="48"/>
  <c r="S9" i="58" s="1"/>
  <c r="T12" i="48"/>
  <c r="R6" i="58" s="1"/>
  <c r="AA16" i="48"/>
  <c r="S10" i="58" s="1"/>
  <c r="AI15" i="48"/>
  <c r="T9" i="58" s="1"/>
  <c r="T24" i="48"/>
  <c r="R18" i="58" s="1"/>
  <c r="T23" i="48"/>
  <c r="R17" i="58" s="1"/>
  <c r="T20" i="48"/>
  <c r="R14" i="58" s="1"/>
  <c r="T15" i="48"/>
  <c r="R9" i="58" s="1"/>
  <c r="T16" i="48"/>
  <c r="R10" i="58" s="1"/>
  <c r="AI23" i="48"/>
  <c r="T17" i="58" s="1"/>
  <c r="AI12" i="48"/>
  <c r="AI19" i="48"/>
  <c r="T13" i="58" s="1"/>
  <c r="T19" i="48"/>
  <c r="R13" i="58" s="1"/>
  <c r="AI24" i="48"/>
  <c r="T18" i="58" s="1"/>
  <c r="AI20" i="48"/>
  <c r="T14" i="58" s="1"/>
  <c r="AI16" i="48"/>
  <c r="T10" i="58" s="1"/>
  <c r="AA23" i="48"/>
  <c r="S17" i="58" s="1"/>
  <c r="AA12" i="48"/>
  <c r="AA19" i="48"/>
  <c r="S13" i="58" s="1"/>
  <c r="S6" i="58" l="1"/>
  <c r="S22" i="58" s="1"/>
  <c r="AA3" i="48"/>
  <c r="T6" i="58"/>
  <c r="T22" i="58" s="1"/>
  <c r="AI3" i="48"/>
  <c r="T5" i="58" s="1"/>
  <c r="U3" i="48"/>
  <c r="R22" i="58"/>
  <c r="AU19" i="48"/>
  <c r="AU16" i="48"/>
  <c r="S765" i="48"/>
  <c r="S766" i="48" s="1"/>
  <c r="S767" i="48" s="1"/>
  <c r="S768" i="48" s="1"/>
  <c r="S769" i="48" s="1"/>
  <c r="S770" i="48" s="1"/>
  <c r="S771" i="48" s="1"/>
  <c r="S772" i="48" s="1"/>
  <c r="S773" i="48" s="1"/>
  <c r="S774" i="48" s="1"/>
  <c r="S775" i="48" s="1"/>
  <c r="S776" i="48" s="1"/>
  <c r="S777" i="48" s="1"/>
  <c r="S190" i="48"/>
  <c r="S191" i="48" s="1"/>
  <c r="S192" i="48" s="1"/>
  <c r="S193" i="48" s="1"/>
  <c r="S194" i="48" s="1"/>
  <c r="S195" i="48" s="1"/>
  <c r="S196" i="48" s="1"/>
  <c r="S197" i="48" s="1"/>
  <c r="S198" i="48" s="1"/>
  <c r="S199" i="48" s="1"/>
  <c r="S200" i="48" s="1"/>
  <c r="S201" i="48" s="1"/>
  <c r="S202" i="48" s="1"/>
  <c r="S215" i="48"/>
  <c r="S216" i="48" s="1"/>
  <c r="S217" i="48" s="1"/>
  <c r="S218" i="48" s="1"/>
  <c r="S219" i="48" s="1"/>
  <c r="S220" i="48" s="1"/>
  <c r="S221" i="48" s="1"/>
  <c r="S222" i="48" s="1"/>
  <c r="S223" i="48" s="1"/>
  <c r="S224" i="48" s="1"/>
  <c r="S225" i="48" s="1"/>
  <c r="S226" i="48" s="1"/>
  <c r="S227" i="48" s="1"/>
  <c r="S65" i="48"/>
  <c r="S66" i="48" s="1"/>
  <c r="S67" i="48" s="1"/>
  <c r="S68" i="48" s="1"/>
  <c r="S69" i="48" s="1"/>
  <c r="S70" i="48" s="1"/>
  <c r="S71" i="48" s="1"/>
  <c r="S72" i="48" s="1"/>
  <c r="S73" i="48" s="1"/>
  <c r="S74" i="48" s="1"/>
  <c r="S75" i="48" s="1"/>
  <c r="S76" i="48" s="1"/>
  <c r="S77" i="48" s="1"/>
  <c r="AU24" i="48"/>
  <c r="S890" i="48"/>
  <c r="S891" i="48" s="1"/>
  <c r="S892" i="48" s="1"/>
  <c r="S893" i="48" s="1"/>
  <c r="S894" i="48" s="1"/>
  <c r="S895" i="48" s="1"/>
  <c r="S896" i="48" s="1"/>
  <c r="S897" i="48" s="1"/>
  <c r="S898" i="48" s="1"/>
  <c r="S899" i="48" s="1"/>
  <c r="S900" i="48" s="1"/>
  <c r="S901" i="48" s="1"/>
  <c r="S902" i="48" s="1"/>
  <c r="S415" i="48"/>
  <c r="S416" i="48" s="1"/>
  <c r="S417" i="48" s="1"/>
  <c r="S418" i="48" s="1"/>
  <c r="S419" i="48" s="1"/>
  <c r="S420" i="48" s="1"/>
  <c r="S421" i="48" s="1"/>
  <c r="S422" i="48" s="1"/>
  <c r="S423" i="48" s="1"/>
  <c r="S424" i="48" s="1"/>
  <c r="S425" i="48" s="1"/>
  <c r="S426" i="48" s="1"/>
  <c r="S427" i="48" s="1"/>
  <c r="S565" i="48"/>
  <c r="S566" i="48" s="1"/>
  <c r="S567" i="48" s="1"/>
  <c r="S568" i="48" s="1"/>
  <c r="S569" i="48" s="1"/>
  <c r="S570" i="48" s="1"/>
  <c r="S571" i="48" s="1"/>
  <c r="S572" i="48" s="1"/>
  <c r="S573" i="48" s="1"/>
  <c r="S574" i="48" s="1"/>
  <c r="S575" i="48" s="1"/>
  <c r="S576" i="48" s="1"/>
  <c r="S577" i="48" s="1"/>
  <c r="AU15" i="48"/>
  <c r="S990" i="48"/>
  <c r="S991" i="48" s="1"/>
  <c r="S992" i="48" s="1"/>
  <c r="S993" i="48" s="1"/>
  <c r="S994" i="48" s="1"/>
  <c r="S995" i="48" s="1"/>
  <c r="S996" i="48" s="1"/>
  <c r="S997" i="48" s="1"/>
  <c r="S998" i="48" s="1"/>
  <c r="S999" i="48" s="1"/>
  <c r="S1000" i="48" s="1"/>
  <c r="S1001" i="48" s="1"/>
  <c r="S1002" i="48" s="1"/>
  <c r="S940" i="48"/>
  <c r="S941" i="48" s="1"/>
  <c r="S942" i="48" s="1"/>
  <c r="S943" i="48" s="1"/>
  <c r="S944" i="48" s="1"/>
  <c r="S945" i="48" s="1"/>
  <c r="S946" i="48" s="1"/>
  <c r="S947" i="48" s="1"/>
  <c r="S948" i="48" s="1"/>
  <c r="S949" i="48" s="1"/>
  <c r="S950" i="48" s="1"/>
  <c r="S951" i="48" s="1"/>
  <c r="S952" i="48" s="1"/>
  <c r="S1090" i="48"/>
  <c r="S1091" i="48" s="1"/>
  <c r="S1092" i="48" s="1"/>
  <c r="S1093" i="48" s="1"/>
  <c r="S1094" i="48" s="1"/>
  <c r="S1095" i="48" s="1"/>
  <c r="S1096" i="48" s="1"/>
  <c r="S1097" i="48" s="1"/>
  <c r="S1098" i="48" s="1"/>
  <c r="S1099" i="48" s="1"/>
  <c r="S1100" i="48" s="1"/>
  <c r="S1101" i="48" s="1"/>
  <c r="S1102" i="48" s="1"/>
  <c r="S1115" i="48"/>
  <c r="S1116" i="48" s="1"/>
  <c r="S1117" i="48" s="1"/>
  <c r="S1118" i="48" s="1"/>
  <c r="S1119" i="48" s="1"/>
  <c r="S1120" i="48" s="1"/>
  <c r="S1121" i="48" s="1"/>
  <c r="S1122" i="48" s="1"/>
  <c r="S1123" i="48" s="1"/>
  <c r="S1124" i="48" s="1"/>
  <c r="S1125" i="48" s="1"/>
  <c r="S1126" i="48" s="1"/>
  <c r="S1127" i="48" s="1"/>
  <c r="S1165" i="48"/>
  <c r="S1166" i="48" s="1"/>
  <c r="S1167" i="48" s="1"/>
  <c r="S1168" i="48" s="1"/>
  <c r="S1169" i="48" s="1"/>
  <c r="S1170" i="48" s="1"/>
  <c r="S1171" i="48" s="1"/>
  <c r="S1172" i="48" s="1"/>
  <c r="S1173" i="48" s="1"/>
  <c r="S1174" i="48" s="1"/>
  <c r="S1175" i="48" s="1"/>
  <c r="S1176" i="48" s="1"/>
  <c r="S1177" i="48" s="1"/>
  <c r="S90" i="48"/>
  <c r="S91" i="48" s="1"/>
  <c r="S92" i="48" s="1"/>
  <c r="S93" i="48" s="1"/>
  <c r="S94" i="48" s="1"/>
  <c r="S95" i="48" s="1"/>
  <c r="S96" i="48" s="1"/>
  <c r="S97" i="48" s="1"/>
  <c r="S98" i="48" s="1"/>
  <c r="S99" i="48" s="1"/>
  <c r="S100" i="48" s="1"/>
  <c r="S101" i="48" s="1"/>
  <c r="S102" i="48" s="1"/>
  <c r="S240" i="48"/>
  <c r="S241" i="48" s="1"/>
  <c r="S242" i="48" s="1"/>
  <c r="S243" i="48" s="1"/>
  <c r="S244" i="48" s="1"/>
  <c r="S245" i="48" s="1"/>
  <c r="S246" i="48" s="1"/>
  <c r="S247" i="48" s="1"/>
  <c r="S248" i="48" s="1"/>
  <c r="S249" i="48" s="1"/>
  <c r="S250" i="48" s="1"/>
  <c r="S251" i="48" s="1"/>
  <c r="S252" i="48" s="1"/>
  <c r="S115" i="48"/>
  <c r="S116" i="48" s="1"/>
  <c r="S117" i="48" s="1"/>
  <c r="S118" i="48" s="1"/>
  <c r="S119" i="48" s="1"/>
  <c r="S120" i="48" s="1"/>
  <c r="S121" i="48" s="1"/>
  <c r="S122" i="48" s="1"/>
  <c r="S123" i="48" s="1"/>
  <c r="S124" i="48" s="1"/>
  <c r="S125" i="48" s="1"/>
  <c r="S126" i="48" s="1"/>
  <c r="S127" i="48" s="1"/>
  <c r="S265" i="48"/>
  <c r="S266" i="48" s="1"/>
  <c r="S267" i="48" s="1"/>
  <c r="S268" i="48" s="1"/>
  <c r="S269" i="48" s="1"/>
  <c r="S270" i="48" s="1"/>
  <c r="S271" i="48" s="1"/>
  <c r="S272" i="48" s="1"/>
  <c r="S273" i="48" s="1"/>
  <c r="S274" i="48" s="1"/>
  <c r="S275" i="48" s="1"/>
  <c r="S640" i="48"/>
  <c r="S641" i="48" s="1"/>
  <c r="S642" i="48" s="1"/>
  <c r="S643" i="48" s="1"/>
  <c r="S644" i="48" s="1"/>
  <c r="S645" i="48" s="1"/>
  <c r="S646" i="48" s="1"/>
  <c r="S647" i="48" s="1"/>
  <c r="S648" i="48" s="1"/>
  <c r="S649" i="48" s="1"/>
  <c r="S650" i="48" s="1"/>
  <c r="S651" i="48" s="1"/>
  <c r="S652" i="48" s="1"/>
  <c r="S40" i="48"/>
  <c r="S41" i="48" s="1"/>
  <c r="S42" i="48" s="1"/>
  <c r="S43" i="48" s="1"/>
  <c r="S44" i="48" s="1"/>
  <c r="S45" i="48" s="1"/>
  <c r="S46" i="48" s="1"/>
  <c r="S47" i="48" s="1"/>
  <c r="S48" i="48" s="1"/>
  <c r="S49" i="48" s="1"/>
  <c r="S50" i="48" s="1"/>
  <c r="S51" i="48" s="1"/>
  <c r="S52" i="48" s="1"/>
  <c r="S390" i="48"/>
  <c r="S391" i="48" s="1"/>
  <c r="S392" i="48" s="1"/>
  <c r="S393" i="48" s="1"/>
  <c r="S394" i="48" s="1"/>
  <c r="S395" i="48" s="1"/>
  <c r="S396" i="48" s="1"/>
  <c r="S397" i="48" s="1"/>
  <c r="S398" i="48" s="1"/>
  <c r="S399" i="48" s="1"/>
  <c r="S400" i="48" s="1"/>
  <c r="S401" i="48" s="1"/>
  <c r="S402" i="48" s="1"/>
  <c r="S790" i="48"/>
  <c r="S791" i="48" s="1"/>
  <c r="S792" i="48" s="1"/>
  <c r="S793" i="48" s="1"/>
  <c r="S794" i="48" s="1"/>
  <c r="S795" i="48" s="1"/>
  <c r="S796" i="48" s="1"/>
  <c r="S797" i="48" s="1"/>
  <c r="S798" i="48" s="1"/>
  <c r="S799" i="48" s="1"/>
  <c r="S800" i="48" s="1"/>
  <c r="S801" i="48" s="1"/>
  <c r="S802" i="48" s="1"/>
  <c r="S1140" i="48"/>
  <c r="S1141" i="48" s="1"/>
  <c r="S1142" i="48" s="1"/>
  <c r="S1143" i="48" s="1"/>
  <c r="S1144" i="48" s="1"/>
  <c r="S1145" i="48" s="1"/>
  <c r="S1146" i="48" s="1"/>
  <c r="S1147" i="48" s="1"/>
  <c r="S1148" i="48" s="1"/>
  <c r="S1149" i="48" s="1"/>
  <c r="S1150" i="48" s="1"/>
  <c r="S1151" i="48" s="1"/>
  <c r="S1152" i="48" s="1"/>
  <c r="S140" i="48"/>
  <c r="S141" i="48" s="1"/>
  <c r="S142" i="48" s="1"/>
  <c r="S143" i="48" s="1"/>
  <c r="S144" i="48" s="1"/>
  <c r="S145" i="48" s="1"/>
  <c r="S146" i="48" s="1"/>
  <c r="S147" i="48" s="1"/>
  <c r="S148" i="48" s="1"/>
  <c r="S149" i="48" s="1"/>
  <c r="S150" i="48" s="1"/>
  <c r="S151" i="48" s="1"/>
  <c r="S152" i="48" s="1"/>
  <c r="AH12" i="48"/>
  <c r="AH13" i="48" s="1"/>
  <c r="AH14" i="48" s="1"/>
  <c r="AH15" i="48" s="1"/>
  <c r="AH16" i="48" s="1"/>
  <c r="AH17" i="48" s="1"/>
  <c r="AH18" i="48" s="1"/>
  <c r="AH19" i="48" s="1"/>
  <c r="AH20" i="48" s="1"/>
  <c r="AH21" i="48" s="1"/>
  <c r="AH22" i="48" s="1"/>
  <c r="AH23" i="48" s="1"/>
  <c r="AH24" i="48" s="1"/>
  <c r="AH25" i="48" s="1"/>
  <c r="AH26" i="48" s="1"/>
  <c r="AH27" i="48" s="1"/>
  <c r="S840" i="48"/>
  <c r="S841" i="48" s="1"/>
  <c r="S842" i="48" s="1"/>
  <c r="S843" i="48" s="1"/>
  <c r="S844" i="48" s="1"/>
  <c r="S845" i="48" s="1"/>
  <c r="S846" i="48" s="1"/>
  <c r="S847" i="48" s="1"/>
  <c r="S848" i="48" s="1"/>
  <c r="S849" i="48" s="1"/>
  <c r="S850" i="48" s="1"/>
  <c r="S851" i="48" s="1"/>
  <c r="S852" i="48" s="1"/>
  <c r="S1065" i="48"/>
  <c r="S1066" i="48" s="1"/>
  <c r="S1067" i="48" s="1"/>
  <c r="S1068" i="48" s="1"/>
  <c r="S1069" i="48" s="1"/>
  <c r="S1070" i="48" s="1"/>
  <c r="S1071" i="48" s="1"/>
  <c r="S1072" i="48" s="1"/>
  <c r="S1073" i="48" s="1"/>
  <c r="S1074" i="48" s="1"/>
  <c r="S1075" i="48" s="1"/>
  <c r="S1076" i="48" s="1"/>
  <c r="S1077" i="48" s="1"/>
  <c r="S1015" i="48"/>
  <c r="S1016" i="48" s="1"/>
  <c r="S1017" i="48" s="1"/>
  <c r="S1018" i="48" s="1"/>
  <c r="S1019" i="48" s="1"/>
  <c r="S1020" i="48" s="1"/>
  <c r="S1021" i="48" s="1"/>
  <c r="S1022" i="48" s="1"/>
  <c r="S1023" i="48" s="1"/>
  <c r="S1024" i="48" s="1"/>
  <c r="S1025" i="48" s="1"/>
  <c r="S1026" i="48" s="1"/>
  <c r="S1027" i="48" s="1"/>
  <c r="S865" i="48"/>
  <c r="S866" i="48" s="1"/>
  <c r="S867" i="48" s="1"/>
  <c r="S868" i="48" s="1"/>
  <c r="S869" i="48" s="1"/>
  <c r="S870" i="48" s="1"/>
  <c r="S871" i="48" s="1"/>
  <c r="S872" i="48" s="1"/>
  <c r="S873" i="48" s="1"/>
  <c r="S874" i="48" s="1"/>
  <c r="S875" i="48" s="1"/>
  <c r="S876" i="48" s="1"/>
  <c r="S877" i="48" s="1"/>
  <c r="S665" i="48"/>
  <c r="S666" i="48" s="1"/>
  <c r="S667" i="48" s="1"/>
  <c r="S668" i="48" s="1"/>
  <c r="S669" i="48" s="1"/>
  <c r="S670" i="48" s="1"/>
  <c r="S671" i="48" s="1"/>
  <c r="S672" i="48" s="1"/>
  <c r="S673" i="48" s="1"/>
  <c r="S674" i="48" s="1"/>
  <c r="S675" i="48" s="1"/>
  <c r="S676" i="48" s="1"/>
  <c r="S677" i="48" s="1"/>
  <c r="S365" i="48"/>
  <c r="S366" i="48" s="1"/>
  <c r="S367" i="48" s="1"/>
  <c r="S368" i="48" s="1"/>
  <c r="S369" i="48" s="1"/>
  <c r="S370" i="48" s="1"/>
  <c r="S371" i="48" s="1"/>
  <c r="S372" i="48" s="1"/>
  <c r="S373" i="48" s="1"/>
  <c r="S374" i="48" s="1"/>
  <c r="S375" i="48" s="1"/>
  <c r="S376" i="48" s="1"/>
  <c r="S377" i="48" s="1"/>
  <c r="S165" i="48"/>
  <c r="S166" i="48" s="1"/>
  <c r="S167" i="48" s="1"/>
  <c r="S168" i="48" s="1"/>
  <c r="S169" i="48" s="1"/>
  <c r="S170" i="48" s="1"/>
  <c r="S171" i="48" s="1"/>
  <c r="S172" i="48" s="1"/>
  <c r="S173" i="48" s="1"/>
  <c r="S174" i="48" s="1"/>
  <c r="S175" i="48" s="1"/>
  <c r="S176" i="48" s="1"/>
  <c r="S177" i="48" s="1"/>
  <c r="S340" i="48"/>
  <c r="S341" i="48" s="1"/>
  <c r="S342" i="48" s="1"/>
  <c r="S343" i="48" s="1"/>
  <c r="S344" i="48" s="1"/>
  <c r="S345" i="48" s="1"/>
  <c r="S346" i="48" s="1"/>
  <c r="S347" i="48" s="1"/>
  <c r="S348" i="48" s="1"/>
  <c r="S349" i="48" s="1"/>
  <c r="S350" i="48" s="1"/>
  <c r="S351" i="48" s="1"/>
  <c r="S352" i="48" s="1"/>
  <c r="S490" i="48"/>
  <c r="S491" i="48" s="1"/>
  <c r="S492" i="48" s="1"/>
  <c r="S493" i="48" s="1"/>
  <c r="S494" i="48" s="1"/>
  <c r="S495" i="48" s="1"/>
  <c r="S496" i="48" s="1"/>
  <c r="S497" i="48" s="1"/>
  <c r="S498" i="48" s="1"/>
  <c r="S499" i="48" s="1"/>
  <c r="S500" i="48" s="1"/>
  <c r="S501" i="48" s="1"/>
  <c r="S502" i="48" s="1"/>
  <c r="S290" i="48"/>
  <c r="S291" i="48" s="1"/>
  <c r="S292" i="48" s="1"/>
  <c r="S293" i="48" s="1"/>
  <c r="S294" i="48" s="1"/>
  <c r="S295" i="48" s="1"/>
  <c r="S296" i="48" s="1"/>
  <c r="S297" i="48" s="1"/>
  <c r="S298" i="48" s="1"/>
  <c r="S299" i="48" s="1"/>
  <c r="S300" i="48" s="1"/>
  <c r="S301" i="48" s="1"/>
  <c r="S302" i="48" s="1"/>
  <c r="S465" i="48"/>
  <c r="S466" i="48" s="1"/>
  <c r="S467" i="48" s="1"/>
  <c r="S468" i="48" s="1"/>
  <c r="S469" i="48" s="1"/>
  <c r="S470" i="48" s="1"/>
  <c r="S471" i="48" s="1"/>
  <c r="S472" i="48" s="1"/>
  <c r="S473" i="48" s="1"/>
  <c r="S474" i="48" s="1"/>
  <c r="S475" i="48" s="1"/>
  <c r="S476" i="48" s="1"/>
  <c r="S477" i="48" s="1"/>
  <c r="S315" i="48"/>
  <c r="S316" i="48" s="1"/>
  <c r="S317" i="48" s="1"/>
  <c r="S318" i="48" s="1"/>
  <c r="S319" i="48" s="1"/>
  <c r="S320" i="48" s="1"/>
  <c r="S321" i="48" s="1"/>
  <c r="S322" i="48" s="1"/>
  <c r="S323" i="48" s="1"/>
  <c r="S324" i="48" s="1"/>
  <c r="S325" i="48" s="1"/>
  <c r="S326" i="48" s="1"/>
  <c r="S327" i="48" s="1"/>
  <c r="AU20" i="48"/>
  <c r="S5" i="58"/>
  <c r="AU23" i="48"/>
  <c r="T3" i="48"/>
  <c r="R5" i="58" s="1"/>
  <c r="AU12" i="48"/>
  <c r="AV12" i="48" s="1"/>
  <c r="S815" i="48"/>
  <c r="S816" i="48" s="1"/>
  <c r="S817" i="48" s="1"/>
  <c r="S818" i="48" s="1"/>
  <c r="S819" i="48" s="1"/>
  <c r="S820" i="48" s="1"/>
  <c r="S821" i="48" s="1"/>
  <c r="S822" i="48" s="1"/>
  <c r="S823" i="48" s="1"/>
  <c r="S824" i="48" s="1"/>
  <c r="S825" i="48" s="1"/>
  <c r="S826" i="48" s="1"/>
  <c r="S827" i="48" s="1"/>
  <c r="S915" i="48"/>
  <c r="S916" i="48" s="1"/>
  <c r="S917" i="48" s="1"/>
  <c r="S918" i="48" s="1"/>
  <c r="S919" i="48" s="1"/>
  <c r="S920" i="48" s="1"/>
  <c r="S921" i="48" s="1"/>
  <c r="S922" i="48" s="1"/>
  <c r="S923" i="48" s="1"/>
  <c r="S924" i="48" s="1"/>
  <c r="S925" i="48" s="1"/>
  <c r="S926" i="48" s="1"/>
  <c r="S927" i="48" s="1"/>
  <c r="S1040" i="48"/>
  <c r="S1041" i="48" s="1"/>
  <c r="S1042" i="48" s="1"/>
  <c r="S1043" i="48" s="1"/>
  <c r="S1044" i="48" s="1"/>
  <c r="S1045" i="48" s="1"/>
  <c r="S1046" i="48" s="1"/>
  <c r="S1047" i="48" s="1"/>
  <c r="S1048" i="48" s="1"/>
  <c r="S1049" i="48" s="1"/>
  <c r="S1050" i="48" s="1"/>
  <c r="S1051" i="48" s="1"/>
  <c r="S1052" i="48" s="1"/>
  <c r="S965" i="48"/>
  <c r="S966" i="48" s="1"/>
  <c r="S967" i="48" s="1"/>
  <c r="S968" i="48" s="1"/>
  <c r="S969" i="48" s="1"/>
  <c r="S970" i="48" s="1"/>
  <c r="S971" i="48" s="1"/>
  <c r="S972" i="48" s="1"/>
  <c r="S973" i="48" s="1"/>
  <c r="S974" i="48" s="1"/>
  <c r="S975" i="48" s="1"/>
  <c r="S976" i="48" s="1"/>
  <c r="S977" i="48" s="1"/>
  <c r="S615" i="48"/>
  <c r="S616" i="48" s="1"/>
  <c r="S617" i="48" s="1"/>
  <c r="S618" i="48" s="1"/>
  <c r="S619" i="48" s="1"/>
  <c r="S620" i="48" s="1"/>
  <c r="S621" i="48" s="1"/>
  <c r="S622" i="48" s="1"/>
  <c r="S623" i="48" s="1"/>
  <c r="S624" i="48" s="1"/>
  <c r="S625" i="48" s="1"/>
  <c r="S626" i="48" s="1"/>
  <c r="S627" i="48" s="1"/>
  <c r="S515" i="48"/>
  <c r="S516" i="48" s="1"/>
  <c r="S517" i="48" s="1"/>
  <c r="S518" i="48" s="1"/>
  <c r="S519" i="48" s="1"/>
  <c r="S520" i="48" s="1"/>
  <c r="S521" i="48" s="1"/>
  <c r="S522" i="48" s="1"/>
  <c r="S523" i="48" s="1"/>
  <c r="S524" i="48" s="1"/>
  <c r="S525" i="48" s="1"/>
  <c r="S526" i="48" s="1"/>
  <c r="S527" i="48" s="1"/>
  <c r="S690" i="48"/>
  <c r="S691" i="48" s="1"/>
  <c r="S692" i="48" s="1"/>
  <c r="S693" i="48" s="1"/>
  <c r="S694" i="48" s="1"/>
  <c r="S695" i="48" s="1"/>
  <c r="S696" i="48" s="1"/>
  <c r="S697" i="48" s="1"/>
  <c r="S698" i="48" s="1"/>
  <c r="S699" i="48" s="1"/>
  <c r="S700" i="48" s="1"/>
  <c r="S701" i="48" s="1"/>
  <c r="S702" i="48" s="1"/>
  <c r="S590" i="48"/>
  <c r="S591" i="48" s="1"/>
  <c r="S592" i="48" s="1"/>
  <c r="S593" i="48" s="1"/>
  <c r="S594" i="48" s="1"/>
  <c r="S595" i="48" s="1"/>
  <c r="S596" i="48" s="1"/>
  <c r="S597" i="48" s="1"/>
  <c r="S598" i="48" s="1"/>
  <c r="S599" i="48" s="1"/>
  <c r="S600" i="48" s="1"/>
  <c r="S601" i="48" s="1"/>
  <c r="S602" i="48" s="1"/>
  <c r="S440" i="48"/>
  <c r="S441" i="48" s="1"/>
  <c r="S442" i="48" s="1"/>
  <c r="S443" i="48" s="1"/>
  <c r="S444" i="48" s="1"/>
  <c r="S445" i="48" s="1"/>
  <c r="S446" i="48" s="1"/>
  <c r="S447" i="48" s="1"/>
  <c r="S448" i="48" s="1"/>
  <c r="S449" i="48" s="1"/>
  <c r="S450" i="48" s="1"/>
  <c r="S451" i="48" s="1"/>
  <c r="S452" i="48" s="1"/>
  <c r="S540" i="48"/>
  <c r="S541" i="48" s="1"/>
  <c r="S542" i="48" s="1"/>
  <c r="S543" i="48" s="1"/>
  <c r="S544" i="48" s="1"/>
  <c r="S545" i="48" s="1"/>
  <c r="S546" i="48" s="1"/>
  <c r="S547" i="48" s="1"/>
  <c r="S548" i="48" s="1"/>
  <c r="S549" i="48" s="1"/>
  <c r="S550" i="48" s="1"/>
  <c r="S551" i="48" s="1"/>
  <c r="S552" i="48" s="1"/>
  <c r="S715" i="48"/>
  <c r="S716" i="48" s="1"/>
  <c r="S717" i="48" s="1"/>
  <c r="S718" i="48" s="1"/>
  <c r="S719" i="48" s="1"/>
  <c r="S720" i="48" s="1"/>
  <c r="S721" i="48" s="1"/>
  <c r="S722" i="48" s="1"/>
  <c r="S723" i="48" s="1"/>
  <c r="S724" i="48" s="1"/>
  <c r="S725" i="48" s="1"/>
  <c r="S726" i="48" s="1"/>
  <c r="S727" i="48" s="1"/>
  <c r="S740" i="48"/>
  <c r="S741" i="48" s="1"/>
  <c r="S742" i="48" s="1"/>
  <c r="S743" i="48" s="1"/>
  <c r="S744" i="48" s="1"/>
  <c r="S745" i="48" s="1"/>
  <c r="S746" i="48" s="1"/>
  <c r="S747" i="48" s="1"/>
  <c r="S748" i="48" s="1"/>
  <c r="S749" i="48" s="1"/>
  <c r="S750" i="48" s="1"/>
  <c r="S751" i="48" s="1"/>
  <c r="S752" i="48" s="1"/>
  <c r="Z12" i="48"/>
  <c r="Z13" i="48" s="1"/>
  <c r="Z14" i="48" s="1"/>
  <c r="Z15" i="48" s="1"/>
  <c r="Z16" i="48" s="1"/>
  <c r="Z17" i="48" s="1"/>
  <c r="Z18" i="48" s="1"/>
  <c r="Z19" i="48" s="1"/>
  <c r="Z20" i="48" s="1"/>
  <c r="Z21" i="48" s="1"/>
  <c r="Z22" i="48" s="1"/>
  <c r="Z23" i="48" s="1"/>
  <c r="Z24" i="48" s="1"/>
  <c r="Z25" i="48" s="1"/>
  <c r="Z26" i="48" s="1"/>
  <c r="Z27" i="48" s="1"/>
  <c r="S12" i="48"/>
  <c r="S13" i="48" s="1"/>
  <c r="S14" i="48" s="1"/>
  <c r="S15" i="48" s="1"/>
  <c r="S16" i="48" s="1"/>
  <c r="S17" i="48" s="1"/>
  <c r="S18" i="48" s="1"/>
  <c r="S19" i="48" s="1"/>
  <c r="S20" i="48" s="1"/>
  <c r="S21" i="48" s="1"/>
  <c r="S22" i="48" s="1"/>
  <c r="S23" i="48" s="1"/>
  <c r="S24" i="48" s="1"/>
  <c r="S25" i="48" s="1"/>
  <c r="S26" i="48" s="1"/>
  <c r="S27" i="48" s="1"/>
  <c r="AW12" i="48" l="1"/>
  <c r="V6" i="58" s="1"/>
  <c r="AV13" i="48"/>
  <c r="P6" i="58" l="1"/>
  <c r="D15" i="58"/>
  <c r="AY12" i="48"/>
  <c r="AV14" i="48"/>
  <c r="AW13" i="48"/>
  <c r="V7" i="58" s="1"/>
  <c r="P7" i="58" s="1"/>
  <c r="D16" i="58" l="1"/>
  <c r="AY13" i="48"/>
  <c r="AW14" i="48"/>
  <c r="V8" i="58" s="1"/>
  <c r="AV15" i="48"/>
  <c r="P8" i="58" l="1"/>
  <c r="D17" i="58"/>
  <c r="AY14" i="48"/>
  <c r="AV16" i="48"/>
  <c r="AW15" i="48"/>
  <c r="V9" i="58" s="1"/>
  <c r="P9" i="58" s="1"/>
  <c r="D18" i="58" l="1"/>
  <c r="AY15" i="48"/>
  <c r="AV17" i="48"/>
  <c r="AW16" i="48"/>
  <c r="V10" i="58" s="1"/>
  <c r="P10" i="58" s="1"/>
  <c r="D19" i="58" l="1"/>
  <c r="AY16" i="48"/>
  <c r="AW17" i="48"/>
  <c r="V11" i="58" s="1"/>
  <c r="P11" i="58" s="1"/>
  <c r="AV18" i="48"/>
  <c r="D20" i="58" l="1"/>
  <c r="AY17" i="48"/>
  <c r="AV19" i="48"/>
  <c r="AW18" i="48"/>
  <c r="V12" i="58" s="1"/>
  <c r="P12" i="58" s="1"/>
  <c r="D21" i="58" l="1"/>
  <c r="AY18" i="48"/>
  <c r="AW19" i="48"/>
  <c r="V13" i="58" s="1"/>
  <c r="P13" i="58" s="1"/>
  <c r="AV20" i="48"/>
  <c r="D22" i="58" l="1"/>
  <c r="AY19" i="48"/>
  <c r="AV21" i="48"/>
  <c r="AW20" i="48"/>
  <c r="D23" i="58" l="1"/>
  <c r="V14" i="58"/>
  <c r="P14" i="58" s="1"/>
  <c r="AY20" i="48"/>
  <c r="AV22" i="48"/>
  <c r="AW21" i="48"/>
  <c r="D24" i="58" l="1"/>
  <c r="V15" i="58"/>
  <c r="P15" i="58" s="1"/>
  <c r="AY21" i="48"/>
  <c r="AV23" i="48"/>
  <c r="AW22" i="48"/>
  <c r="D25" i="58" l="1"/>
  <c r="V16" i="58"/>
  <c r="P16" i="58" s="1"/>
  <c r="AY22" i="48"/>
  <c r="AV24" i="48"/>
  <c r="AW23" i="48"/>
  <c r="D26" i="58" l="1"/>
  <c r="V17" i="58"/>
  <c r="P17" i="58" s="1"/>
  <c r="AY23" i="48"/>
  <c r="AV25" i="48"/>
  <c r="AW24" i="48"/>
  <c r="D27" i="58" l="1"/>
  <c r="V18" i="58"/>
  <c r="P18" i="58" s="1"/>
  <c r="AY24" i="48"/>
  <c r="AW25" i="48"/>
  <c r="AV26" i="48"/>
  <c r="D28" i="58" l="1"/>
  <c r="V19" i="58"/>
  <c r="P19" i="58" s="1"/>
  <c r="AY25" i="48"/>
  <c r="AW26" i="48"/>
  <c r="AV27" i="48"/>
  <c r="AW27" i="48" s="1"/>
  <c r="D30" i="58" l="1"/>
  <c r="Q22" i="58" s="1"/>
  <c r="V21" i="58"/>
  <c r="D29" i="58"/>
  <c r="V20" i="58"/>
  <c r="P20" i="58" s="1"/>
  <c r="AW3" i="48"/>
  <c r="AY26" i="48"/>
  <c r="P21" i="58" l="1"/>
  <c r="V22" i="58"/>
  <c r="D6" i="58"/>
  <c r="P5" i="58" s="1"/>
  <c r="J9" i="58"/>
  <c r="K9" i="58" s="1"/>
  <c r="V5" i="58"/>
  <c r="P22" i="58" l="1"/>
  <c r="DI8" i="48"/>
</calcChain>
</file>

<file path=xl/sharedStrings.xml><?xml version="1.0" encoding="utf-8"?>
<sst xmlns="http://schemas.openxmlformats.org/spreadsheetml/2006/main" count="10399" uniqueCount="568">
  <si>
    <t>Summary</t>
  </si>
  <si>
    <t>US Customers     Output</t>
  </si>
  <si>
    <t>% Change  Output</t>
  </si>
  <si>
    <t>%Change TFP</t>
  </si>
  <si>
    <t>NE Customers</t>
  </si>
  <si>
    <t>NE Costs</t>
  </si>
  <si>
    <t>Time Period</t>
  </si>
  <si>
    <t>2006-22</t>
  </si>
  <si>
    <t>%Output</t>
  </si>
  <si>
    <t>%Input</t>
  </si>
  <si>
    <t>%TFP</t>
  </si>
  <si>
    <t>2006-2022</t>
  </si>
  <si>
    <t>2020-2022 Cost Benchmarking</t>
  </si>
  <si>
    <t>EGI</t>
  </si>
  <si>
    <t>US</t>
  </si>
  <si>
    <t>NE</t>
  </si>
  <si>
    <t>% Diff US</t>
  </si>
  <si>
    <t>% Diff NE</t>
  </si>
  <si>
    <t>2020-2022 Avg</t>
  </si>
  <si>
    <t xml:space="preserve">Peer Comparisons, 2020-2022 Avg.  </t>
  </si>
  <si>
    <t>Company</t>
  </si>
  <si>
    <t>2020-2022 Avg. Unit Cost</t>
  </si>
  <si>
    <t>% Difference</t>
  </si>
  <si>
    <t>Peer Avg.</t>
  </si>
  <si>
    <t>ConEd</t>
  </si>
  <si>
    <t>PGL&amp;Coke</t>
  </si>
  <si>
    <t>SoCalGas</t>
  </si>
  <si>
    <t>PG&amp;E</t>
  </si>
  <si>
    <t>PSE&amp;G</t>
  </si>
  <si>
    <t>Consumers Energy</t>
  </si>
  <si>
    <t>AGL</t>
  </si>
  <si>
    <t>Mean</t>
  </si>
  <si>
    <t>BoGas</t>
  </si>
  <si>
    <t>Colonial</t>
  </si>
  <si>
    <t>Combined</t>
  </si>
  <si>
    <t>Real</t>
  </si>
  <si>
    <t>Consolisted BoGas and Colonial Gas</t>
  </si>
  <si>
    <t>Cappadds</t>
  </si>
  <si>
    <t>K Stock</t>
  </si>
  <si>
    <t>% Change K</t>
  </si>
  <si>
    <t>BoGas Labor</t>
  </si>
  <si>
    <t>Combined Labor</t>
  </si>
  <si>
    <t>$</t>
  </si>
  <si>
    <t>BoGas NonL OM</t>
  </si>
  <si>
    <t>K Service Price</t>
  </si>
  <si>
    <t>% Change</t>
  </si>
  <si>
    <t>K Costs</t>
  </si>
  <si>
    <t>TC Share</t>
  </si>
  <si>
    <t>TC</t>
  </si>
  <si>
    <t>%Ch TC</t>
  </si>
  <si>
    <t>Share L</t>
  </si>
  <si>
    <t>Share NonLOM</t>
  </si>
  <si>
    <t>Share K</t>
  </si>
  <si>
    <t>Colonial  Labor</t>
  </si>
  <si>
    <t>Input Q Index</t>
  </si>
  <si>
    <t>% Ch. Input Q Index</t>
  </si>
  <si>
    <t>Colonial  NonL OM</t>
  </si>
  <si>
    <t>Combined NonL OM</t>
  </si>
  <si>
    <t>%Ch L</t>
  </si>
  <si>
    <t>% Ch M</t>
  </si>
  <si>
    <t>%ChK</t>
  </si>
  <si>
    <t>% Input Q</t>
  </si>
  <si>
    <t xml:space="preserve">Wtd % Ch Input Q </t>
  </si>
  <si>
    <t>Company Name</t>
  </si>
  <si>
    <t>SNL Institution Key</t>
  </si>
  <si>
    <t>State</t>
  </si>
  <si>
    <t>Year</t>
  </si>
  <si>
    <t>Nominal Labor</t>
  </si>
  <si>
    <t>Real Labor</t>
  </si>
  <si>
    <t>% Real Labor</t>
  </si>
  <si>
    <t>Wtd %ChL</t>
  </si>
  <si>
    <t>Industry Labor Input</t>
  </si>
  <si>
    <t>% Ch. Industry Labor Input</t>
  </si>
  <si>
    <t>Cost Materials</t>
  </si>
  <si>
    <t>Real Materials</t>
  </si>
  <si>
    <t>% Real Materials</t>
  </si>
  <si>
    <t>Wtd %ChM</t>
  </si>
  <si>
    <t>Industry Non-Labor OM Input</t>
  </si>
  <si>
    <t>% Ch. Industry NonL OM Input</t>
  </si>
  <si>
    <t>Cost
Capital  Input</t>
  </si>
  <si>
    <t>% Change Cost Capital Input</t>
  </si>
  <si>
    <t>Capital Input Quantity</t>
  </si>
  <si>
    <t>% Change Capital Input Quantity</t>
  </si>
  <si>
    <t>Industry Capital Input</t>
  </si>
  <si>
    <t>% Ch. Industry Capital Input</t>
  </si>
  <si>
    <t>Company Total Costs</t>
  </si>
  <si>
    <t>%Ch  Co. TC</t>
  </si>
  <si>
    <t>Industry TC</t>
  </si>
  <si>
    <t>Industry  % Ch TC</t>
  </si>
  <si>
    <t>Industry   UC</t>
  </si>
  <si>
    <t>NE UC</t>
  </si>
  <si>
    <t>Co. UC</t>
  </si>
  <si>
    <t>US Customer wts</t>
  </si>
  <si>
    <t xml:space="preserve">L Cost Share </t>
  </si>
  <si>
    <t xml:space="preserve">M Cost Share </t>
  </si>
  <si>
    <t xml:space="preserve">K Cost Share </t>
  </si>
  <si>
    <t>%Ch Input Q Index</t>
  </si>
  <si>
    <t>Cost share</t>
  </si>
  <si>
    <t>Wtdshare</t>
  </si>
  <si>
    <t>Industry Input Price Index</t>
  </si>
  <si>
    <t>% Ch Industry Input Price Index</t>
  </si>
  <si>
    <t>Company Total Customers</t>
  </si>
  <si>
    <t>%Ch Company Output</t>
  </si>
  <si>
    <t>Gross Dx Plant 1998</t>
  </si>
  <si>
    <t>Gross General Plant 1998</t>
  </si>
  <si>
    <t>Dx Plant Additions (1999 - 2020)</t>
  </si>
  <si>
    <t>General Plant Additions (1999 - 2020)</t>
  </si>
  <si>
    <t>Gen. Plant Allocator</t>
  </si>
  <si>
    <t>Allocatd Gen Additions</t>
  </si>
  <si>
    <t>Diff/Adj,</t>
  </si>
  <si>
    <t xml:space="preserve">AccumDep Distribution </t>
  </si>
  <si>
    <t>AccumDep General</t>
  </si>
  <si>
    <t>TWA 1998</t>
  </si>
  <si>
    <t>Gross Dx Plant</t>
  </si>
  <si>
    <t>Gross General Plant</t>
  </si>
  <si>
    <t>Net Plant</t>
  </si>
  <si>
    <t xml:space="preserve"> Total Gas Plant 1998</t>
  </si>
  <si>
    <t>AD 1998</t>
  </si>
  <si>
    <t>Net Gas Plant 1998</t>
  </si>
  <si>
    <t>1998 Net Plant/TWA</t>
  </si>
  <si>
    <t>Additions</t>
  </si>
  <si>
    <t>Adj. Adds</t>
  </si>
  <si>
    <t>Additions deflated by HW</t>
  </si>
  <si>
    <t>Efficiency Depreciation Hyperbolic</t>
  </si>
  <si>
    <t>Capital Stock Hyperbolic</t>
  </si>
  <si>
    <t>%Change Capital Stock Hyperbolic</t>
  </si>
  <si>
    <t>Annual Deprec.</t>
  </si>
  <si>
    <t>Smoothed Deprec.</t>
  </si>
  <si>
    <t>RoR</t>
  </si>
  <si>
    <t>Infl</t>
  </si>
  <si>
    <t>Real ROR</t>
  </si>
  <si>
    <t>R-D</t>
  </si>
  <si>
    <t>DeltaHW</t>
  </si>
  <si>
    <t>1-uz</t>
  </si>
  <si>
    <t>Computation of Average Z</t>
  </si>
  <si>
    <t>Corporate Tax Rate</t>
  </si>
  <si>
    <t>z-value</t>
  </si>
  <si>
    <t>%Ch K Service Price</t>
  </si>
  <si>
    <t>Cost of Capital</t>
  </si>
  <si>
    <t>Inflation Rate</t>
  </si>
  <si>
    <t>HW</t>
  </si>
  <si>
    <t>ECI</t>
  </si>
  <si>
    <t>% Ch ECI</t>
  </si>
  <si>
    <t>GDPPI</t>
  </si>
  <si>
    <t>% Ch GDPPI</t>
  </si>
  <si>
    <t>Company weights</t>
  </si>
  <si>
    <t>Avg real RoR</t>
  </si>
  <si>
    <t>Average z</t>
  </si>
  <si>
    <t>ATLANTA GAS LIGHT COMPANY</t>
  </si>
  <si>
    <t>GA</t>
  </si>
  <si>
    <t>1998 Y</t>
  </si>
  <si>
    <t>HW Year</t>
  </si>
  <si>
    <t>HW index</t>
  </si>
  <si>
    <t>HW weight</t>
  </si>
  <si>
    <t>Wtd value</t>
  </si>
  <si>
    <t>1999 Y</t>
  </si>
  <si>
    <t>2000 Y</t>
  </si>
  <si>
    <t>2001 Y</t>
  </si>
  <si>
    <t>2002 Y</t>
  </si>
  <si>
    <t>2003 Y</t>
  </si>
  <si>
    <t>2004 Y</t>
  </si>
  <si>
    <t>2005 Y</t>
  </si>
  <si>
    <t>2006 Y</t>
  </si>
  <si>
    <t>2007 Y</t>
  </si>
  <si>
    <t>2008 Y</t>
  </si>
  <si>
    <t>2009 Y</t>
  </si>
  <si>
    <t>2010 Y</t>
  </si>
  <si>
    <t>2011 Y</t>
  </si>
  <si>
    <t>2012 Y</t>
  </si>
  <si>
    <t>2013 Y</t>
  </si>
  <si>
    <t>2014 Y</t>
  </si>
  <si>
    <t>2015 Y</t>
  </si>
  <si>
    <t>2016 Y</t>
  </si>
  <si>
    <t>2017 Y</t>
  </si>
  <si>
    <t>2018 Y</t>
  </si>
  <si>
    <t>2019 Y</t>
  </si>
  <si>
    <t>2020 Y</t>
  </si>
  <si>
    <t>2021 Y</t>
  </si>
  <si>
    <t>2022Y</t>
  </si>
  <si>
    <t>AVISTA CORPORATION</t>
  </si>
  <si>
    <t>WA</t>
  </si>
  <si>
    <t>BALTIMORE GAS AND ELECTRIC COMPANY</t>
  </si>
  <si>
    <t>MD</t>
  </si>
  <si>
    <t>Output</t>
  </si>
  <si>
    <t>Input</t>
  </si>
  <si>
    <t>BERKSHIRE GAS COMPANY</t>
  </si>
  <si>
    <t>The Berkshire Gas Company</t>
  </si>
  <si>
    <t>MA</t>
  </si>
  <si>
    <t>BLACK HILLS ENERGY ARKANSAS, INC.</t>
  </si>
  <si>
    <t>AR</t>
  </si>
  <si>
    <t>BLUEFIELD GAS COMPANY</t>
  </si>
  <si>
    <t>WV</t>
  </si>
  <si>
    <t>BOSTON GAS COMPANY</t>
  </si>
  <si>
    <t>BROOKLYN UNION GAS COMPANY</t>
  </si>
  <si>
    <t>NY</t>
  </si>
  <si>
    <t>CASCADE NATURAL GAS CORPORATION</t>
  </si>
  <si>
    <t>CENTRAL HUDSON GAS &amp; ELECTRIC CORPORATION</t>
  </si>
  <si>
    <t>COLONIAL GAS COMPANY</t>
  </si>
  <si>
    <t>COLUMBIA GAS OF KENTUCKY, INCORPORATED</t>
  </si>
  <si>
    <t>OH</t>
  </si>
  <si>
    <t>COLUMBIA GAS OF MARYLAND, INCORPORATED</t>
  </si>
  <si>
    <t>PA</t>
  </si>
  <si>
    <t>CONNECTICUT NATURAL GAS CORPORATION</t>
  </si>
  <si>
    <t>CT</t>
  </si>
  <si>
    <t>CONSOLIDATED EDISON COMPANY OF NEW YORK, INC.</t>
  </si>
  <si>
    <t>CONSUMERS ENERGY COMPANY</t>
  </si>
  <si>
    <t>MI</t>
  </si>
  <si>
    <t>CORNING NATURAL GAS CORPORATION</t>
  </si>
  <si>
    <t>DELTA NATURAL GAS COMPANY, INC.</t>
  </si>
  <si>
    <t>KY</t>
  </si>
  <si>
    <t>DTE GAS COMPANY</t>
  </si>
  <si>
    <t>DUKE ENERGY OHIO, INC.</t>
  </si>
  <si>
    <t>LOUISVILLE GAS AND ELECTRIC COMPANY</t>
  </si>
  <si>
    <t>MADISON GAS AND ELECTRIC COMPANY</t>
  </si>
  <si>
    <t>WI</t>
  </si>
  <si>
    <t>MOUNTAINEER GAS COMPANY</t>
  </si>
  <si>
    <t>NATIONAL FUEL GAS DISTRIBUTION CORPORATION</t>
  </si>
  <si>
    <t>NEW JERSEY NATURAL GAS COMPANY</t>
  </si>
  <si>
    <t>NJ</t>
  </si>
  <si>
    <t>NEW YORK STATE ELECTRIC &amp; GAS CORPORATION</t>
  </si>
  <si>
    <t>NIAGARA MOHAWK POWER CORPORATION</t>
  </si>
  <si>
    <t>NORTH SHORE GAS COMPANY</t>
  </si>
  <si>
    <t>IL</t>
  </si>
  <si>
    <t>NORTHERN ILLINOIS GAS COMPANY</t>
  </si>
  <si>
    <t>NORTHERN INDIANA PUBLIC SERVICE COMPANY</t>
  </si>
  <si>
    <t>IN</t>
  </si>
  <si>
    <t>NORTHERN STATES POWER COMPANY - WI</t>
  </si>
  <si>
    <t>Northern States Power Company</t>
  </si>
  <si>
    <t>OHIO GAS COMPANY</t>
  </si>
  <si>
    <t>ORANGE AND ROCKLAND UTILITIES, INC.</t>
  </si>
  <si>
    <t>PACIFIC GAS AND ELECTRIC COMPANY</t>
  </si>
  <si>
    <t>CA</t>
  </si>
  <si>
    <t>PEOPLES GAS LIGHT AND COKE COMPANY</t>
  </si>
  <si>
    <t>The Peoples Gas Light and Coke Company</t>
  </si>
  <si>
    <t>PEOPLES GAS SYSTEM</t>
  </si>
  <si>
    <t>FL</t>
  </si>
  <si>
    <t>PUBLIC SERVICE COMPANY OF NORTH CAROLINA, INCORPORATED</t>
  </si>
  <si>
    <t>NC</t>
  </si>
  <si>
    <t>PUBLIC SERVICE ELECTRIC AND GAS COMPANY</t>
  </si>
  <si>
    <t>PUGET SOUND ENERGY, INC.</t>
  </si>
  <si>
    <t>QUESTAR GAS COMPANY</t>
  </si>
  <si>
    <t>UT</t>
  </si>
  <si>
    <t>ROCHESTER GAS AND ELECTRIC CORPORATION</t>
  </si>
  <si>
    <t>Rochester Gas and Electric Co</t>
  </si>
  <si>
    <t>SOUTH JERSEY GAS COMPANY</t>
  </si>
  <si>
    <t>SOUTHERN CALIFORNIA GAS COMPANY</t>
  </si>
  <si>
    <t>SOUTHERN CONNECTICUT GAS COMPANY</t>
  </si>
  <si>
    <t>The Southern Connecticut Gas Company</t>
  </si>
  <si>
    <t>SOUTHERN INDIANA GAS AND ELECTRIC COMPANY</t>
  </si>
  <si>
    <t>TX</t>
  </si>
  <si>
    <t>ST. JOE NATURAL GAS CO, INC.</t>
  </si>
  <si>
    <t>ST. LAWRENCE GAS COMPANY, INC.</t>
  </si>
  <si>
    <t>SUPERIOR WATER, LIGHT AND POWER COMPANY</t>
  </si>
  <si>
    <t>THE EAST OHIO GAS COMPANY</t>
  </si>
  <si>
    <t>VIRGINIA NATURAL GAS, INC.</t>
  </si>
  <si>
    <t>VA</t>
  </si>
  <si>
    <t>WASHINGTON GAS LIGHT COMPANY</t>
  </si>
  <si>
    <t>DC</t>
  </si>
  <si>
    <t>WISCONSIN GAS LLC</t>
  </si>
  <si>
    <t>WISCONSIN POWER AND LIGHT COMPANY</t>
  </si>
  <si>
    <t>YANKEE GAS SERVICES COMPANY</t>
  </si>
  <si>
    <t>Yankee Gas Services Company</t>
  </si>
  <si>
    <t>x</t>
  </si>
  <si>
    <t>LABOR EXPENDITURES
($000)</t>
  </si>
  <si>
    <t>IDENTIFIER</t>
  </si>
  <si>
    <t>SNL Company Name</t>
  </si>
  <si>
    <t>ARKANSAS OKLAHOMA GAS CORP.</t>
  </si>
  <si>
    <t>NA</t>
  </si>
  <si>
    <t>Northeast</t>
  </si>
  <si>
    <t>Eversource Gas Company of Massachusetts</t>
  </si>
  <si>
    <t>CHATTANOOGA GAS COMPANY</t>
  </si>
  <si>
    <t>CITIZENS GAS FUEL COMPANY</t>
  </si>
  <si>
    <t>COLUMBIA GAS OF OHIO, INC.</t>
  </si>
  <si>
    <t>COLUMBIA GAS OF PENNSYLVANIA, INC.</t>
  </si>
  <si>
    <t>COLUMBIA GAS OF VIRGINIA, INCORPORATED</t>
  </si>
  <si>
    <t>DUKE ENERGY KENTUCKY, INC.</t>
  </si>
  <si>
    <t>Fillmore Gas Company, Inc.</t>
  </si>
  <si>
    <t>HOPE GAS, INC.</t>
  </si>
  <si>
    <t>ILLINOIS GAS COMPANY</t>
  </si>
  <si>
    <t>INDIANA GAS COMPANY, INC.</t>
  </si>
  <si>
    <t>KANSAS GAS SERVICE COMPANY, INC.</t>
  </si>
  <si>
    <t>LIBERTY UTILITIES (ENERGYNORTH NATURAL GAS) CORP.</t>
  </si>
  <si>
    <t>MIDWEST NATURAL GAS CORPORATION</t>
  </si>
  <si>
    <t>MIDWEST NATURAL GAS, INC.</t>
  </si>
  <si>
    <t>NORTHWEST NATURAL HOLDING COMPANY</t>
  </si>
  <si>
    <t>NSTAR GAS COMPANY</t>
  </si>
  <si>
    <t>OHIO VALLEY GAS CORPORATION</t>
  </si>
  <si>
    <t>OKLAHOMA NATURAL GAS COMPANY</t>
  </si>
  <si>
    <t>PECO Energy Company</t>
  </si>
  <si>
    <t>PHILADELPHIA GAS WORKS CO.</t>
  </si>
  <si>
    <t>PIKE COUNTY LIGHT AND POWER COMPANY</t>
  </si>
  <si>
    <t>PIKE NATURAL GAS CO</t>
  </si>
  <si>
    <t>SAN DIEGO GAS &amp; ELECTRIC COMPANY</t>
  </si>
  <si>
    <t>SIERRA PACIFIC POWER COMPANY</t>
  </si>
  <si>
    <t>SPIRE MISSISSIPPI INC.</t>
  </si>
  <si>
    <t>SPIRE MISSOURI INC.</t>
  </si>
  <si>
    <t>UGI PENN NATURAL GAS, INC.</t>
  </si>
  <si>
    <t>VERMONT GAS SYSTEMS, INC.</t>
  </si>
  <si>
    <t>Wyoming Gas Company</t>
  </si>
  <si>
    <t>Multiplied (O&amp;M Expenditures - Labor Expenditures) by 1,000 to get real values before dividing by non-labor O&amp;M input price</t>
  </si>
  <si>
    <t>NON-LABOR Expenditures
($000)</t>
  </si>
  <si>
    <t>Total Natural Gas Customer_x000D_
(actual)</t>
  </si>
  <si>
    <t>TOTAL_NAT_GAS_CUSTOMER</t>
  </si>
  <si>
    <t>Distribution Plant-Gas_x000D_
($000)</t>
  </si>
  <si>
    <t>DIST_PLANT_GAS</t>
  </si>
  <si>
    <t>1997 Y</t>
  </si>
  <si>
    <t>1996 Y</t>
  </si>
  <si>
    <t>1995 Y</t>
  </si>
  <si>
    <t>Accum Depr: Distribution Plant_x000D_
($000)</t>
  </si>
  <si>
    <t>ACCUM_DEPR_DIST_PLANT</t>
  </si>
  <si>
    <t>General Plant-Gas_x000D_
($000)</t>
  </si>
  <si>
    <t>GENERAL_PLANT_GAS</t>
  </si>
  <si>
    <t>Accum Depr: General Plant_x000D_
($000)</t>
  </si>
  <si>
    <t>ACCUM_DEPR_GENERAL_PLANT</t>
  </si>
  <si>
    <t>Distribution Plt-Gas-Additions_x000D_
($000)</t>
  </si>
  <si>
    <t>General Plant-Gas-Additions_x000D_
2020 Y_x000D_
($000)</t>
  </si>
  <si>
    <t>General Plant-Gas-Additions_x000D_
2019 Y_x000D_
($000)</t>
  </si>
  <si>
    <t>General Plant-Gas-Additions_x000D_
2018 Y_x000D_
($000)</t>
  </si>
  <si>
    <t>General Plant-Gas-Additions_x000D_
2017 Y_x000D_
($000)</t>
  </si>
  <si>
    <t>General Plant-Gas-Additions_x000D_
2016 Y_x000D_
($000)</t>
  </si>
  <si>
    <t>General Plant-Gas-Additions_x000D_
2015 Y_x000D_
($000)</t>
  </si>
  <si>
    <t>General Plant-Gas-Additions_x000D_
2014 Y_x000D_
($000)</t>
  </si>
  <si>
    <t>General Plant-Gas-Additions_x000D_
2013 Y_x000D_
($000)</t>
  </si>
  <si>
    <t>General Plant-Gas-Additions_x000D_
2012 Y_x000D_
($000)</t>
  </si>
  <si>
    <t>General Plant-Gas-Additions_x000D_
2011 Y_x000D_
($000)</t>
  </si>
  <si>
    <t>General Plant-Gas-Additions_x000D_
2010 Y_x000D_
($000)</t>
  </si>
  <si>
    <t>General Plant-Gas-Additions_x000D_
2009 Y_x000D_
($000)</t>
  </si>
  <si>
    <t>General Plant-Gas-Additions_x000D_
2008 Y_x000D_
($000)</t>
  </si>
  <si>
    <t>General Plant-Gas-Additions_x000D_
2007 Y_x000D_
($000)</t>
  </si>
  <si>
    <t>General Plant-Gas-Additions_x000D_
2006 Y_x000D_
($000)</t>
  </si>
  <si>
    <t>General Plant-Gas-Additions_x000D_
2005 Y_x000D_
($000)</t>
  </si>
  <si>
    <t>General Plant-Gas-Additions_x000D_
2004 Y_x000D_
($000)</t>
  </si>
  <si>
    <t>General Plant-Gas-Additions_x000D_
2003 Y_x000D_
($000)</t>
  </si>
  <si>
    <t>General Plant-Gas-Additions_x000D_
2002 Y_x000D_
($000)</t>
  </si>
  <si>
    <t>General Plant-Gas-Additions_x000D_
2001 Y_x000D_
($000)</t>
  </si>
  <si>
    <t>General Plant-Gas-Additions_x000D_
2000 Y_x000D_
($000)</t>
  </si>
  <si>
    <t>General Plant-Gas-Additions_x000D_
1999 Y_x000D_
($000)</t>
  </si>
  <si>
    <t>General Plant-Gas-Additions_x000D_
1998 Y_x000D_
($000)</t>
  </si>
  <si>
    <t>General Plant-Gas-Additions_x000D_
1997 Y_x000D_
($000)</t>
  </si>
  <si>
    <t>General Plant-Gas-Additions_x000D_
1996 Y_x000D_
($000)</t>
  </si>
  <si>
    <t>General Plant-Gas-Additions_x000D_
1995 Y_x000D_
($000)</t>
  </si>
  <si>
    <t>DIST_PLANT_GAS_ADD</t>
  </si>
  <si>
    <t>GENERAL_PLANT_GAS_ADD</t>
  </si>
  <si>
    <t>General Plant-Gas-Additions_x000D_
($000)</t>
  </si>
  <si>
    <t>Total End User Natural Gas Customers_x000D_
(actual)</t>
  </si>
  <si>
    <t>TOTAL_END_USER_NAT_GAS_CUSTOMER</t>
  </si>
  <si>
    <t>PPI-Construction Materials</t>
  </si>
  <si>
    <t>Table 1.1.4. Price Indexes for Gross Domestic Product</t>
  </si>
  <si>
    <t>[Index numbers, 2012=100]</t>
  </si>
  <si>
    <t>Annual data from 1929 to 2021</t>
  </si>
  <si>
    <t>Bureau of Economic Analysis</t>
  </si>
  <si>
    <t>Data published June 29, 2022</t>
  </si>
  <si>
    <t>File created Jun 28 2022  1:25PM</t>
  </si>
  <si>
    <t>Line</t>
  </si>
  <si>
    <t>1</t>
  </si>
  <si>
    <t xml:space="preserve">    Gross domestic product</t>
  </si>
  <si>
    <t>A191RG</t>
  </si>
  <si>
    <t>2</t>
  </si>
  <si>
    <t>Personal consumption expenditures</t>
  </si>
  <si>
    <t>DPCERG</t>
  </si>
  <si>
    <t>3</t>
  </si>
  <si>
    <t xml:space="preserve">  Goods</t>
  </si>
  <si>
    <t>DGDSRG</t>
  </si>
  <si>
    <t>4</t>
  </si>
  <si>
    <t xml:space="preserve">    Durable goods</t>
  </si>
  <si>
    <t>DDURRG</t>
  </si>
  <si>
    <t>5</t>
  </si>
  <si>
    <t xml:space="preserve">    Nondurable goods</t>
  </si>
  <si>
    <t>DNDGRG</t>
  </si>
  <si>
    <t>6</t>
  </si>
  <si>
    <t xml:space="preserve">  Services</t>
  </si>
  <si>
    <t>DSERRG</t>
  </si>
  <si>
    <t>7</t>
  </si>
  <si>
    <t>Gross private domestic investment</t>
  </si>
  <si>
    <t>B006RG</t>
  </si>
  <si>
    <t>8</t>
  </si>
  <si>
    <t xml:space="preserve">  Fixed investment</t>
  </si>
  <si>
    <t>B007RG</t>
  </si>
  <si>
    <t>9</t>
  </si>
  <si>
    <t xml:space="preserve">    Nonresidential</t>
  </si>
  <si>
    <t>B008RG</t>
  </si>
  <si>
    <t>10</t>
  </si>
  <si>
    <t xml:space="preserve">      Structures</t>
  </si>
  <si>
    <t>B009RG</t>
  </si>
  <si>
    <t>11</t>
  </si>
  <si>
    <t xml:space="preserve">      Equipment</t>
  </si>
  <si>
    <t>Y033RG</t>
  </si>
  <si>
    <t>12</t>
  </si>
  <si>
    <t xml:space="preserve">      Intellectual property products</t>
  </si>
  <si>
    <t>Y001RG</t>
  </si>
  <si>
    <t>13</t>
  </si>
  <si>
    <t xml:space="preserve">    Residential</t>
  </si>
  <si>
    <t>B011RG</t>
  </si>
  <si>
    <t>14</t>
  </si>
  <si>
    <t xml:space="preserve">  Change in private inventories</t>
  </si>
  <si>
    <t>ZZZZZZ</t>
  </si>
  <si>
    <t>.....</t>
  </si>
  <si>
    <t>15</t>
  </si>
  <si>
    <t>Net exports of goods and services</t>
  </si>
  <si>
    <t>16</t>
  </si>
  <si>
    <t xml:space="preserve">  Exports</t>
  </si>
  <si>
    <t>B020RG</t>
  </si>
  <si>
    <t>17</t>
  </si>
  <si>
    <t xml:space="preserve">    Goods</t>
  </si>
  <si>
    <t>B253RG</t>
  </si>
  <si>
    <t>18</t>
  </si>
  <si>
    <t xml:space="preserve">    Services</t>
  </si>
  <si>
    <t>B646RG</t>
  </si>
  <si>
    <t>19</t>
  </si>
  <si>
    <t xml:space="preserve">  Imports</t>
  </si>
  <si>
    <t>B021RG</t>
  </si>
  <si>
    <t>20</t>
  </si>
  <si>
    <t>B255RG</t>
  </si>
  <si>
    <t>21</t>
  </si>
  <si>
    <t>B656RG</t>
  </si>
  <si>
    <t>22</t>
  </si>
  <si>
    <t>Government consumption expenditures and gross investment</t>
  </si>
  <si>
    <t>B822RG</t>
  </si>
  <si>
    <t>23</t>
  </si>
  <si>
    <t xml:space="preserve">  Federal</t>
  </si>
  <si>
    <t>B823RG</t>
  </si>
  <si>
    <t>24</t>
  </si>
  <si>
    <t xml:space="preserve">    National defense</t>
  </si>
  <si>
    <t>B824RG</t>
  </si>
  <si>
    <t>25</t>
  </si>
  <si>
    <t xml:space="preserve">    Nondefense</t>
  </si>
  <si>
    <t>B825RG</t>
  </si>
  <si>
    <t>26</t>
  </si>
  <si>
    <t xml:space="preserve">  State and local</t>
  </si>
  <si>
    <t>B829RG</t>
  </si>
  <si>
    <t>https://data.bls.gov/pdq/SurveyOutputServlet</t>
  </si>
  <si>
    <t>c</t>
  </si>
  <si>
    <t>CIS2014400000000I</t>
  </si>
  <si>
    <t>Employment Cost Index: Total compensation for Private industry workers in Utilities, Index Dec 2005=100, Annual, Seasonally Adjusted</t>
  </si>
  <si>
    <t>Frequency: Annual</t>
  </si>
  <si>
    <t>observation_date</t>
  </si>
  <si>
    <t>Period</t>
  </si>
  <si>
    <t>BLS Value</t>
  </si>
  <si>
    <t>Qtr1</t>
  </si>
  <si>
    <t>Qtr2</t>
  </si>
  <si>
    <t>Qtr3</t>
  </si>
  <si>
    <t>Qtr4</t>
  </si>
  <si>
    <t>ALFRED Graph Observations</t>
  </si>
  <si>
    <t>Archival Federal Reserve Economic Data</t>
  </si>
  <si>
    <t>Link: https://alfred.stlouisfed.org</t>
  </si>
  <si>
    <t>Help: https://alfred.stlouisfed.org/help</t>
  </si>
  <si>
    <t>Economic Research Division</t>
  </si>
  <si>
    <t>Federal Reserve Bank of St. Louis</t>
  </si>
  <si>
    <t>AAA_20160705</t>
  </si>
  <si>
    <t>Moody's Seasoned Aaa Corporate Bond Yield© Vintage: 2016-07-05, Percent, Monthly, Not Seasonally Adjusted</t>
  </si>
  <si>
    <t>AAA_20160801</t>
  </si>
  <si>
    <t>Moody's Seasoned Aaa Corporate Bond Yield© Vintage: 2016-08-01, Percent, Monthly, Not Seasonally Adjusted</t>
  </si>
  <si>
    <t>Frequency: Monthly</t>
  </si>
  <si>
    <t>AAA</t>
  </si>
  <si>
    <t>Average</t>
  </si>
  <si>
    <t>Moved to start at 2021</t>
  </si>
  <si>
    <t>Region</t>
  </si>
  <si>
    <t>Triangularized Weighted Average</t>
  </si>
  <si>
    <t>Distribution Plant - Weighted Average</t>
  </si>
  <si>
    <t>N Atlantic</t>
  </si>
  <si>
    <t>S Atlantic</t>
  </si>
  <si>
    <t xml:space="preserve">   Dx Plant - Structures &amp; Improvements</t>
  </si>
  <si>
    <t>N central</t>
  </si>
  <si>
    <t xml:space="preserve">   Mains, Cast Iron</t>
  </si>
  <si>
    <t xml:space="preserve">   Mains, Steel</t>
  </si>
  <si>
    <t>S Central</t>
  </si>
  <si>
    <t xml:space="preserve">   Mains, Plastic</t>
  </si>
  <si>
    <t xml:space="preserve">   Dx Plant - Compressor Station Equipment</t>
  </si>
  <si>
    <t>Plateau</t>
  </si>
  <si>
    <t xml:space="preserve">   Dx Plant - Meas. &amp; Reg. Sta. Equipment</t>
  </si>
  <si>
    <t xml:space="preserve">   Meas. &amp; Reg. Sta. Equipment-City Gt.</t>
  </si>
  <si>
    <t>Pacific</t>
  </si>
  <si>
    <t xml:space="preserve">   Services, Steel</t>
  </si>
  <si>
    <t xml:space="preserve">   Services, Plastic</t>
  </si>
  <si>
    <t>Avg</t>
  </si>
  <si>
    <t xml:space="preserve">   Meters</t>
  </si>
  <si>
    <t>HW Dx Avg</t>
  </si>
  <si>
    <t>COMPANY_NAME</t>
  </si>
  <si>
    <t>SNL_INSTN_KEY</t>
  </si>
  <si>
    <t>STATE</t>
  </si>
  <si>
    <t>Arkansas Oklahoma Gas Corp.</t>
  </si>
  <si>
    <t>Atlanta Gas Light Company</t>
  </si>
  <si>
    <t>Avista Corporation</t>
  </si>
  <si>
    <t>Baltimore Gas and Electric Company</t>
  </si>
  <si>
    <t>Black Hills Energy Arkansas, Inc.</t>
  </si>
  <si>
    <t>Bluefield Gas Company</t>
  </si>
  <si>
    <t>Boston Gas Company</t>
  </si>
  <si>
    <t>Brooklyn Union Gas Company</t>
  </si>
  <si>
    <t>Cascade Natural Gas Corporation</t>
  </si>
  <si>
    <t>Central Hudson Gas &amp; Electric Corporation</t>
  </si>
  <si>
    <t>Chattanooga Gas Company</t>
  </si>
  <si>
    <t>TN</t>
  </si>
  <si>
    <t>Citizens Gas Fuel Company</t>
  </si>
  <si>
    <t>Colonial Gas Company</t>
  </si>
  <si>
    <t>Columbia Gas of Kentucky, Incorporated</t>
  </si>
  <si>
    <t>Columbia Gas of Maryland, Incorporated</t>
  </si>
  <si>
    <t>Columbia Gas of Ohio, Inc.</t>
  </si>
  <si>
    <t>Columbia Gas of Pennsylvania, Inc.</t>
  </si>
  <si>
    <t>Columbia Gas of Virginia, Incorporated</t>
  </si>
  <si>
    <t>Connecticut Natural Gas Corporation</t>
  </si>
  <si>
    <t>Consolidated Edison Company of New York, Inc.</t>
  </si>
  <si>
    <t>Consumers Energy Company</t>
  </si>
  <si>
    <t>Corning Natural Gas Corporation</t>
  </si>
  <si>
    <t>Delta Natural Gas Company, Inc.</t>
  </si>
  <si>
    <t>DTE Gas Company</t>
  </si>
  <si>
    <t>Duke Energy Kentucky, Inc.</t>
  </si>
  <si>
    <t>Duke Energy Ohio, Inc.</t>
  </si>
  <si>
    <t>Hope Gas, Inc.</t>
  </si>
  <si>
    <t>Illinois Gas Company</t>
  </si>
  <si>
    <t>Indiana Gas Company, Inc.</t>
  </si>
  <si>
    <t>Kansas Gas Service Company, Inc.</t>
  </si>
  <si>
    <t>KS</t>
  </si>
  <si>
    <t>Liberty Utilities (EnergyNorth Natural Gas) Corp.</t>
  </si>
  <si>
    <t>NH</t>
  </si>
  <si>
    <t>Louisville Gas and Electric Company</t>
  </si>
  <si>
    <t>Madison Gas and Electric Company</t>
  </si>
  <si>
    <t>Midwest Natural Gas Corporation</t>
  </si>
  <si>
    <t>Midwest Natural Gas, Inc.</t>
  </si>
  <si>
    <t>Mountaineer Gas Company</t>
  </si>
  <si>
    <t>National Fuel Gas Distribution Corporation</t>
  </si>
  <si>
    <t>New Jersey Natural Gas Company</t>
  </si>
  <si>
    <t>New York State Electric &amp; Gas Corporation</t>
  </si>
  <si>
    <t>Niagara Mohawk Power Corporation</t>
  </si>
  <si>
    <t>North Shore Gas Company</t>
  </si>
  <si>
    <t>Northern Illinois Gas Company</t>
  </si>
  <si>
    <t>Northern Indiana Public Service Company</t>
  </si>
  <si>
    <t>Northwest Natural Holding Company</t>
  </si>
  <si>
    <t>OR</t>
  </si>
  <si>
    <t>NSTAR Gas Company</t>
  </si>
  <si>
    <t>Ohio Gas Company</t>
  </si>
  <si>
    <t>Ohio Valley Gas Corporation</t>
  </si>
  <si>
    <t>Oklahoma Natural Gas Company</t>
  </si>
  <si>
    <t>OK</t>
  </si>
  <si>
    <t>Orange and Rockland Utilities, Inc.</t>
  </si>
  <si>
    <t>Pacific Gas and Electric Company</t>
  </si>
  <si>
    <t>Peoples Gas System</t>
  </si>
  <si>
    <t>Philadelphia Gas Works Co.</t>
  </si>
  <si>
    <t>Pike County Light and Power Company</t>
  </si>
  <si>
    <t>Pike Natural Gas Co</t>
  </si>
  <si>
    <t>Public Service Company of North Carolina, Incorporated</t>
  </si>
  <si>
    <t>Public Service Electric and Gas Company</t>
  </si>
  <si>
    <t>Puget Sound Energy, Inc.</t>
  </si>
  <si>
    <t>Questar Gas Company</t>
  </si>
  <si>
    <t>San Diego Gas &amp; Electric Company</t>
  </si>
  <si>
    <t>Sierra Pacific Power Company</t>
  </si>
  <si>
    <t>NV</t>
  </si>
  <si>
    <t>South Jersey Gas Company</t>
  </si>
  <si>
    <t>Southern California Gas Company</t>
  </si>
  <si>
    <t>Southern Indiana Gas and Electric Company</t>
  </si>
  <si>
    <t>Spire Mississippi Inc.</t>
  </si>
  <si>
    <t>MS</t>
  </si>
  <si>
    <t>Spire Missouri Inc.</t>
  </si>
  <si>
    <t>MO</t>
  </si>
  <si>
    <t>St. Joe Natural Gas Co, Inc.</t>
  </si>
  <si>
    <t>St. Lawrence Gas Company, Inc.</t>
  </si>
  <si>
    <t>Superior Water, Light and Power Company</t>
  </si>
  <si>
    <t>The East Ohio Gas Company</t>
  </si>
  <si>
    <t>UGI Penn Natural Gas, Inc.</t>
  </si>
  <si>
    <t>Vermont Gas Systems, Inc.</t>
  </si>
  <si>
    <t>VT</t>
  </si>
  <si>
    <t>Virginia Natural Gas, Inc.</t>
  </si>
  <si>
    <t>Washington Gas Light Company</t>
  </si>
  <si>
    <t>Wisconsin Gas LLC</t>
  </si>
  <si>
    <t>Wisconsin Power and Light Company</t>
  </si>
  <si>
    <t>WY</t>
  </si>
  <si>
    <t>Sample Company Name</t>
  </si>
  <si>
    <t>FILLMORE GAS COMPANY, INC.</t>
  </si>
  <si>
    <t>WYOMING GAS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</si>
</sst>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#,##0;\(#,##0\)"/>
    <numFmt numFmtId="166" formatCode="0.0"/>
    <numFmt numFmtId="167" formatCode="#,##0.000"/>
    <numFmt numFmtId="168" formatCode="#,##0.0000_);\(#,##0.0000\)"/>
    <numFmt numFmtId="169" formatCode="_(* #,##0.0000_);_(* \(#,##0.0000\);_(* &quot;-&quot;??_);_(@_)"/>
    <numFmt numFmtId="170" formatCode="yyyy\-mm\-dd"/>
    <numFmt numFmtId="171" formatCode="_(* #,##0.000_);_(* \(#,##0.000\);_(* &quot;-&quot;??_);_(@_)"/>
    <numFmt numFmtId="172" formatCode="_(* #,##0.000000_);_(* \(#,##0.000000\);_(* &quot;-&quot;??_);_(@_)"/>
    <numFmt numFmtId="173" formatCode="0.0%"/>
    <numFmt numFmtId="174" formatCode="0.000"/>
    <numFmt numFmtId="175" formatCode="#,##0.0_);\(#,##0.0\)"/>
    <numFmt numFmtId="176" formatCode="0.0000"/>
    <numFmt numFmtId="177" formatCode="0_);\(0\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 val="singleAccounting"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  <font>
      <sz val="8"/>
      <color rgb="FF000000"/>
      <name val="Courier New"/>
      <family val="3"/>
    </font>
    <font>
      <b/>
      <sz val="11"/>
      <name val="Calibri"/>
      <family val="2"/>
      <scheme val="minor"/>
    </font>
    <font>
      <sz val="16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rgb="FF000000"/>
      </patternFill>
    </fill>
  </fills>
  <borders count="18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indexed="64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2" tint="-0.24994659260841701"/>
      </right>
      <top style="medium">
        <color indexed="64"/>
      </top>
      <bottom style="thin">
        <color theme="2" tint="-0.24994659260841701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448">
    <xf numFmtId="0" fontId="0" fillId="0" borderId="0" xfId="0"/>
    <xf numFmtId="0" fontId="4" fillId="0" borderId="0" xfId="2"/>
    <xf numFmtId="0" fontId="4" fillId="0" borderId="0" xfId="2" applyAlignment="1">
      <alignment horizontal="left" wrapText="1"/>
    </xf>
    <xf numFmtId="0" fontId="5" fillId="0" borderId="0" xfId="2" applyFont="1"/>
    <xf numFmtId="0" fontId="5" fillId="0" borderId="0" xfId="2" applyFont="1" applyAlignment="1">
      <alignment horizontal="left" wrapText="1"/>
    </xf>
    <xf numFmtId="0" fontId="5" fillId="0" borderId="0" xfId="2" applyFont="1" applyAlignment="1">
      <alignment horizontal="left"/>
    </xf>
    <xf numFmtId="0" fontId="4" fillId="0" borderId="0" xfId="2" applyAlignment="1">
      <alignment horizontal="left" vertical="top"/>
    </xf>
    <xf numFmtId="49" fontId="4" fillId="0" borderId="0" xfId="2" applyNumberFormat="1" applyAlignment="1">
      <alignment horizontal="left" vertical="top"/>
    </xf>
    <xf numFmtId="164" fontId="4" fillId="0" borderId="0" xfId="1" applyNumberFormat="1" applyFont="1" applyAlignment="1">
      <alignment horizontal="right" vertical="top"/>
    </xf>
    <xf numFmtId="0" fontId="4" fillId="0" borderId="0" xfId="2" applyAlignment="1">
      <alignment horizontal="right" wrapText="1"/>
    </xf>
    <xf numFmtId="0" fontId="5" fillId="0" borderId="0" xfId="2" applyFont="1" applyAlignment="1">
      <alignment horizontal="right" wrapText="1"/>
    </xf>
    <xf numFmtId="164" fontId="0" fillId="0" borderId="0" xfId="1" applyNumberFormat="1" applyFont="1" applyFill="1" applyBorder="1"/>
    <xf numFmtId="0" fontId="2" fillId="3" borderId="1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4" fillId="0" borderId="0" xfId="2" applyAlignment="1">
      <alignment horizontal="right" vertical="top"/>
    </xf>
    <xf numFmtId="165" fontId="4" fillId="0" borderId="0" xfId="2" applyNumberFormat="1" applyAlignment="1">
      <alignment horizontal="right" vertical="top"/>
    </xf>
    <xf numFmtId="164" fontId="4" fillId="0" borderId="0" xfId="3" applyNumberFormat="1" applyFont="1" applyAlignment="1">
      <alignment horizontal="right" vertical="top"/>
    </xf>
    <xf numFmtId="0" fontId="4" fillId="0" borderId="0" xfId="0" applyFont="1"/>
    <xf numFmtId="166" fontId="0" fillId="0" borderId="0" xfId="0" applyNumberFormat="1"/>
    <xf numFmtId="167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4"/>
    <xf numFmtId="0" fontId="7" fillId="0" borderId="0" xfId="4" applyFont="1"/>
    <xf numFmtId="43" fontId="0" fillId="0" borderId="0" xfId="1" applyFont="1"/>
    <xf numFmtId="164" fontId="0" fillId="0" borderId="0" xfId="1" applyNumberFormat="1" applyFont="1"/>
    <xf numFmtId="10" fontId="0" fillId="0" borderId="0" xfId="0" applyNumberFormat="1"/>
    <xf numFmtId="1" fontId="0" fillId="0" borderId="0" xfId="1" applyNumberFormat="1" applyFont="1"/>
    <xf numFmtId="1" fontId="0" fillId="0" borderId="0" xfId="1" applyNumberFormat="1" applyFont="1" applyAlignment="1">
      <alignment horizontal="right" indent="1"/>
    </xf>
    <xf numFmtId="2" fontId="0" fillId="0" borderId="0" xfId="0" applyNumberFormat="1"/>
    <xf numFmtId="168" fontId="0" fillId="0" borderId="0" xfId="1" applyNumberFormat="1" applyFont="1"/>
    <xf numFmtId="10" fontId="0" fillId="0" borderId="0" xfId="1" applyNumberFormat="1" applyFont="1"/>
    <xf numFmtId="0" fontId="0" fillId="0" borderId="0" xfId="0" applyAlignment="1">
      <alignment horizontal="center"/>
    </xf>
    <xf numFmtId="170" fontId="0" fillId="0" borderId="0" xfId="0" applyNumberFormat="1"/>
    <xf numFmtId="0" fontId="0" fillId="0" borderId="0" xfId="0" applyAlignment="1">
      <alignment horizontal="right"/>
    </xf>
    <xf numFmtId="169" fontId="0" fillId="0" borderId="0" xfId="0" applyNumberFormat="1"/>
    <xf numFmtId="43" fontId="4" fillId="0" borderId="0" xfId="1" applyFont="1"/>
    <xf numFmtId="10" fontId="0" fillId="0" borderId="0" xfId="5" applyNumberFormat="1" applyFont="1" applyAlignment="1">
      <alignment horizontal="right"/>
    </xf>
    <xf numFmtId="43" fontId="2" fillId="3" borderId="0" xfId="1" applyFont="1" applyFill="1" applyBorder="1" applyAlignment="1">
      <alignment horizontal="center" vertical="center" wrapText="1"/>
    </xf>
    <xf numFmtId="10" fontId="2" fillId="3" borderId="0" xfId="1" applyNumberFormat="1" applyFont="1" applyFill="1" applyBorder="1" applyAlignment="1">
      <alignment horizontal="center" vertical="center" wrapText="1"/>
    </xf>
    <xf numFmtId="2" fontId="0" fillId="0" borderId="0" xfId="1" applyNumberFormat="1" applyFont="1" applyFill="1" applyBorder="1"/>
    <xf numFmtId="0" fontId="0" fillId="2" borderId="0" xfId="0" applyFill="1"/>
    <xf numFmtId="164" fontId="2" fillId="3" borderId="0" xfId="1" applyNumberFormat="1" applyFont="1" applyFill="1" applyBorder="1" applyAlignment="1">
      <alignment horizontal="center" vertical="center" wrapText="1"/>
    </xf>
    <xf numFmtId="164" fontId="2" fillId="4" borderId="0" xfId="1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wrapText="1"/>
    </xf>
    <xf numFmtId="164" fontId="8" fillId="0" borderId="0" xfId="1" applyNumberFormat="1" applyFont="1" applyFill="1" applyBorder="1"/>
    <xf numFmtId="164" fontId="8" fillId="0" borderId="1" xfId="1" applyNumberFormat="1" applyFont="1" applyFill="1" applyBorder="1"/>
    <xf numFmtId="164" fontId="8" fillId="0" borderId="0" xfId="1" applyNumberFormat="1" applyFont="1"/>
    <xf numFmtId="2" fontId="8" fillId="0" borderId="0" xfId="1" applyNumberFormat="1" applyFont="1" applyFill="1" applyBorder="1"/>
    <xf numFmtId="3" fontId="8" fillId="0" borderId="0" xfId="1" applyNumberFormat="1" applyFont="1" applyFill="1" applyBorder="1"/>
    <xf numFmtId="2" fontId="8" fillId="0" borderId="0" xfId="0" applyNumberFormat="1" applyFont="1"/>
    <xf numFmtId="1" fontId="8" fillId="0" borderId="0" xfId="1" applyNumberFormat="1" applyFont="1"/>
    <xf numFmtId="0" fontId="8" fillId="0" borderId="0" xfId="0" applyFont="1"/>
    <xf numFmtId="168" fontId="8" fillId="0" borderId="0" xfId="1" applyNumberFormat="1" applyFont="1"/>
    <xf numFmtId="10" fontId="8" fillId="0" borderId="0" xfId="1" applyNumberFormat="1" applyFont="1"/>
    <xf numFmtId="10" fontId="8" fillId="0" borderId="0" xfId="0" applyNumberFormat="1" applyFont="1"/>
    <xf numFmtId="43" fontId="8" fillId="0" borderId="0" xfId="0" applyNumberFormat="1" applyFont="1"/>
    <xf numFmtId="174" fontId="8" fillId="0" borderId="0" xfId="0" applyNumberFormat="1" applyFont="1"/>
    <xf numFmtId="10" fontId="8" fillId="0" borderId="1" xfId="1" applyNumberFormat="1" applyFont="1" applyFill="1" applyBorder="1"/>
    <xf numFmtId="164" fontId="8" fillId="0" borderId="0" xfId="1" applyNumberFormat="1" applyFont="1" applyFill="1"/>
    <xf numFmtId="10" fontId="8" fillId="0" borderId="0" xfId="1" applyNumberFormat="1" applyFont="1" applyFill="1" applyBorder="1"/>
    <xf numFmtId="173" fontId="8" fillId="0" borderId="0" xfId="1" applyNumberFormat="1" applyFont="1" applyFill="1" applyBorder="1"/>
    <xf numFmtId="173" fontId="8" fillId="0" borderId="0" xfId="0" applyNumberFormat="1" applyFont="1"/>
    <xf numFmtId="0" fontId="8" fillId="0" borderId="0" xfId="0" applyFont="1" applyAlignment="1">
      <alignment vertical="center"/>
    </xf>
    <xf numFmtId="2" fontId="8" fillId="0" borderId="0" xfId="1" applyNumberFormat="1" applyFont="1" applyFill="1" applyBorder="1" applyAlignment="1">
      <alignment vertical="center"/>
    </xf>
    <xf numFmtId="0" fontId="8" fillId="0" borderId="0" xfId="0" applyFont="1" applyAlignment="1">
      <alignment horizontal="center" vertical="top"/>
    </xf>
    <xf numFmtId="2" fontId="8" fillId="0" borderId="0" xfId="1" applyNumberFormat="1" applyFont="1" applyFill="1" applyBorder="1" applyAlignment="1">
      <alignment horizontal="center" vertical="top"/>
    </xf>
    <xf numFmtId="2" fontId="8" fillId="0" borderId="0" xfId="1" applyNumberFormat="1" applyFont="1" applyFill="1" applyBorder="1" applyAlignment="1">
      <alignment horizontal="center"/>
    </xf>
    <xf numFmtId="164" fontId="2" fillId="6" borderId="1" xfId="1" applyNumberFormat="1" applyFont="1" applyFill="1" applyBorder="1" applyAlignment="1">
      <alignment horizontal="center" vertical="center" wrapText="1"/>
    </xf>
    <xf numFmtId="164" fontId="2" fillId="6" borderId="0" xfId="1" applyNumberFormat="1" applyFont="1" applyFill="1" applyBorder="1" applyAlignment="1">
      <alignment horizontal="center" vertical="center" wrapText="1"/>
    </xf>
    <xf numFmtId="43" fontId="2" fillId="6" borderId="0" xfId="1" applyFont="1" applyFill="1" applyBorder="1" applyAlignment="1">
      <alignment horizontal="center" vertical="center" wrapText="1"/>
    </xf>
    <xf numFmtId="164" fontId="2" fillId="7" borderId="0" xfId="1" applyNumberFormat="1" applyFont="1" applyFill="1" applyBorder="1" applyAlignment="1">
      <alignment horizontal="center" vertical="center" wrapText="1"/>
    </xf>
    <xf numFmtId="1" fontId="8" fillId="0" borderId="0" xfId="1" applyNumberFormat="1" applyFont="1" applyFill="1" applyBorder="1"/>
    <xf numFmtId="1" fontId="8" fillId="0" borderId="0" xfId="0" applyNumberFormat="1" applyFont="1"/>
    <xf numFmtId="164" fontId="8" fillId="2" borderId="1" xfId="1" applyNumberFormat="1" applyFont="1" applyFill="1" applyBorder="1"/>
    <xf numFmtId="1" fontId="8" fillId="0" borderId="0" xfId="1" applyNumberFormat="1" applyFont="1" applyFill="1"/>
    <xf numFmtId="168" fontId="8" fillId="0" borderId="0" xfId="1" applyNumberFormat="1" applyFont="1" applyFill="1"/>
    <xf numFmtId="10" fontId="8" fillId="0" borderId="0" xfId="1" applyNumberFormat="1" applyFont="1" applyFill="1"/>
    <xf numFmtId="1" fontId="8" fillId="0" borderId="0" xfId="1" applyNumberFormat="1" applyFont="1" applyFill="1" applyAlignment="1">
      <alignment horizontal="right" indent="1"/>
    </xf>
    <xf numFmtId="1" fontId="0" fillId="0" borderId="0" xfId="1" applyNumberFormat="1" applyFont="1" applyFill="1"/>
    <xf numFmtId="164" fontId="0" fillId="0" borderId="0" xfId="1" applyNumberFormat="1" applyFont="1" applyFill="1"/>
    <xf numFmtId="168" fontId="0" fillId="0" borderId="0" xfId="1" applyNumberFormat="1" applyFont="1" applyFill="1"/>
    <xf numFmtId="10" fontId="0" fillId="0" borderId="0" xfId="1" applyNumberFormat="1" applyFont="1" applyFill="1"/>
    <xf numFmtId="164" fontId="12" fillId="3" borderId="0" xfId="1" applyNumberFormat="1" applyFont="1" applyFill="1" applyBorder="1" applyAlignment="1">
      <alignment horizontal="center" vertical="center" wrapText="1"/>
    </xf>
    <xf numFmtId="175" fontId="8" fillId="0" borderId="1" xfId="1" applyNumberFormat="1" applyFont="1" applyFill="1" applyBorder="1"/>
    <xf numFmtId="166" fontId="8" fillId="0" borderId="0" xfId="1" applyNumberFormat="1" applyFont="1" applyFill="1" applyBorder="1"/>
    <xf numFmtId="1" fontId="0" fillId="0" borderId="0" xfId="0" applyNumberFormat="1"/>
    <xf numFmtId="164" fontId="13" fillId="8" borderId="1" xfId="1" applyNumberFormat="1" applyFont="1" applyFill="1" applyBorder="1"/>
    <xf numFmtId="43" fontId="8" fillId="0" borderId="0" xfId="1" applyFont="1" applyFill="1"/>
    <xf numFmtId="43" fontId="0" fillId="0" borderId="0" xfId="1" applyFont="1" applyFill="1"/>
    <xf numFmtId="164" fontId="14" fillId="0" borderId="0" xfId="1" applyNumberFormat="1" applyFont="1" applyFill="1"/>
    <xf numFmtId="10" fontId="14" fillId="0" borderId="0" xfId="1" applyNumberFormat="1" applyFont="1" applyFill="1"/>
    <xf numFmtId="173" fontId="14" fillId="0" borderId="0" xfId="1" applyNumberFormat="1" applyFont="1" applyFill="1" applyBorder="1"/>
    <xf numFmtId="1" fontId="14" fillId="0" borderId="0" xfId="1" applyNumberFormat="1" applyFont="1" applyFill="1"/>
    <xf numFmtId="169" fontId="2" fillId="3" borderId="0" xfId="1" applyNumberFormat="1" applyFont="1" applyFill="1" applyBorder="1" applyAlignment="1">
      <alignment horizontal="center" vertical="center" wrapText="1"/>
    </xf>
    <xf numFmtId="169" fontId="8" fillId="0" borderId="0" xfId="0" applyNumberFormat="1" applyFont="1"/>
    <xf numFmtId="176" fontId="8" fillId="0" borderId="0" xfId="0" applyNumberFormat="1" applyFont="1"/>
    <xf numFmtId="177" fontId="8" fillId="0" borderId="0" xfId="1" applyNumberFormat="1" applyFont="1" applyFill="1" applyBorder="1"/>
    <xf numFmtId="41" fontId="8" fillId="0" borderId="0" xfId="0" applyNumberFormat="1" applyFont="1"/>
    <xf numFmtId="0" fontId="8" fillId="0" borderId="0" xfId="0" applyFont="1" applyAlignment="1">
      <alignment horizontal="center" wrapText="1"/>
    </xf>
    <xf numFmtId="0" fontId="15" fillId="0" borderId="0" xfId="0" applyFont="1"/>
    <xf numFmtId="1" fontId="3" fillId="0" borderId="0" xfId="0" applyNumberFormat="1" applyFont="1"/>
    <xf numFmtId="1" fontId="16" fillId="0" borderId="0" xfId="0" applyNumberFormat="1" applyFont="1"/>
    <xf numFmtId="0" fontId="16" fillId="0" borderId="0" xfId="0" applyFont="1"/>
    <xf numFmtId="1" fontId="16" fillId="0" borderId="0" xfId="0" applyNumberFormat="1" applyFont="1" applyAlignment="1">
      <alignment horizontal="center"/>
    </xf>
    <xf numFmtId="37" fontId="8" fillId="0" borderId="0" xfId="0" applyNumberFormat="1" applyFont="1"/>
    <xf numFmtId="43" fontId="2" fillId="7" borderId="0" xfId="1" applyFont="1" applyFill="1" applyBorder="1" applyAlignment="1">
      <alignment horizontal="center" vertical="center" wrapText="1"/>
    </xf>
    <xf numFmtId="1" fontId="8" fillId="0" borderId="0" xfId="1" applyNumberFormat="1" applyFont="1" applyFill="1" applyBorder="1" applyAlignment="1">
      <alignment wrapText="1"/>
    </xf>
    <xf numFmtId="164" fontId="2" fillId="9" borderId="1" xfId="1" applyNumberFormat="1" applyFont="1" applyFill="1" applyBorder="1" applyAlignment="1">
      <alignment horizontal="center" vertical="center" wrapText="1"/>
    </xf>
    <xf numFmtId="43" fontId="2" fillId="9" borderId="1" xfId="1" applyFont="1" applyFill="1" applyBorder="1" applyAlignment="1">
      <alignment horizontal="center" vertical="center" wrapText="1"/>
    </xf>
    <xf numFmtId="43" fontId="2" fillId="9" borderId="0" xfId="1" applyFont="1" applyFill="1" applyBorder="1" applyAlignment="1">
      <alignment horizontal="center" vertical="center" wrapText="1"/>
    </xf>
    <xf numFmtId="10" fontId="2" fillId="9" borderId="0" xfId="1" applyNumberFormat="1" applyFont="1" applyFill="1" applyBorder="1" applyAlignment="1">
      <alignment horizontal="center" vertical="center" wrapText="1"/>
    </xf>
    <xf numFmtId="164" fontId="8" fillId="0" borderId="0" xfId="1" applyNumberFormat="1" applyFont="1" applyFill="1" applyBorder="1" applyAlignment="1">
      <alignment wrapText="1"/>
    </xf>
    <xf numFmtId="173" fontId="8" fillId="0" borderId="0" xfId="0" applyNumberFormat="1" applyFont="1" applyAlignment="1">
      <alignment wrapText="1"/>
    </xf>
    <xf numFmtId="1" fontId="16" fillId="0" borderId="0" xfId="0" applyNumberFormat="1" applyFont="1" applyAlignment="1">
      <alignment wrapText="1"/>
    </xf>
    <xf numFmtId="166" fontId="8" fillId="0" borderId="0" xfId="0" applyNumberFormat="1" applyFont="1"/>
    <xf numFmtId="1" fontId="8" fillId="6" borderId="0" xfId="1" applyNumberFormat="1" applyFont="1" applyFill="1" applyBorder="1" applyAlignment="1">
      <alignment wrapText="1"/>
    </xf>
    <xf numFmtId="10" fontId="8" fillId="6" borderId="0" xfId="1" applyNumberFormat="1" applyFont="1" applyFill="1" applyBorder="1"/>
    <xf numFmtId="2" fontId="8" fillId="0" borderId="1" xfId="1" applyNumberFormat="1" applyFont="1" applyFill="1" applyBorder="1"/>
    <xf numFmtId="2" fontId="15" fillId="0" borderId="0" xfId="0" applyNumberFormat="1" applyFont="1"/>
    <xf numFmtId="2" fontId="8" fillId="0" borderId="0" xfId="0" applyNumberFormat="1" applyFont="1" applyAlignment="1">
      <alignment horizontal="center" wrapText="1"/>
    </xf>
    <xf numFmtId="2" fontId="16" fillId="0" borderId="0" xfId="0" applyNumberFormat="1" applyFont="1"/>
    <xf numFmtId="2" fontId="16" fillId="0" borderId="0" xfId="0" applyNumberFormat="1" applyFont="1" applyAlignment="1">
      <alignment horizontal="center"/>
    </xf>
    <xf numFmtId="173" fontId="0" fillId="0" borderId="0" xfId="0" applyNumberFormat="1"/>
    <xf numFmtId="164" fontId="14" fillId="0" borderId="1" xfId="1" applyNumberFormat="1" applyFont="1" applyFill="1" applyBorder="1"/>
    <xf numFmtId="0" fontId="19" fillId="0" borderId="0" xfId="0" applyFont="1"/>
    <xf numFmtId="0" fontId="19" fillId="0" borderId="1" xfId="0" applyFont="1" applyBorder="1"/>
    <xf numFmtId="164" fontId="19" fillId="0" borderId="0" xfId="1" applyNumberFormat="1" applyFont="1" applyFill="1" applyBorder="1"/>
    <xf numFmtId="164" fontId="14" fillId="0" borderId="0" xfId="1" applyNumberFormat="1" applyFont="1" applyFill="1" applyBorder="1"/>
    <xf numFmtId="10" fontId="14" fillId="0" borderId="1" xfId="5" applyNumberFormat="1" applyFont="1" applyFill="1" applyBorder="1"/>
    <xf numFmtId="10" fontId="14" fillId="0" borderId="1" xfId="1" applyNumberFormat="1" applyFont="1" applyFill="1" applyBorder="1"/>
    <xf numFmtId="2" fontId="14" fillId="0" borderId="0" xfId="1" applyNumberFormat="1" applyFont="1" applyFill="1" applyBorder="1"/>
    <xf numFmtId="1" fontId="14" fillId="0" borderId="0" xfId="1" applyNumberFormat="1" applyFont="1" applyFill="1" applyBorder="1"/>
    <xf numFmtId="10" fontId="14" fillId="0" borderId="0" xfId="1" applyNumberFormat="1" applyFont="1" applyFill="1" applyBorder="1"/>
    <xf numFmtId="10" fontId="14" fillId="0" borderId="0" xfId="0" applyNumberFormat="1" applyFont="1"/>
    <xf numFmtId="166" fontId="14" fillId="0" borderId="0" xfId="1" applyNumberFormat="1" applyFont="1" applyFill="1" applyBorder="1"/>
    <xf numFmtId="0" fontId="14" fillId="0" borderId="0" xfId="0" applyFont="1"/>
    <xf numFmtId="168" fontId="14" fillId="0" borderId="0" xfId="1" applyNumberFormat="1" applyFont="1" applyFill="1"/>
    <xf numFmtId="169" fontId="14" fillId="0" borderId="0" xfId="0" applyNumberFormat="1" applyFont="1"/>
    <xf numFmtId="43" fontId="14" fillId="0" borderId="0" xfId="1" applyFont="1" applyFill="1"/>
    <xf numFmtId="43" fontId="14" fillId="0" borderId="0" xfId="0" applyNumberFormat="1" applyFont="1"/>
    <xf numFmtId="171" fontId="14" fillId="0" borderId="0" xfId="1" applyNumberFormat="1" applyFont="1" applyFill="1"/>
    <xf numFmtId="175" fontId="14" fillId="0" borderId="1" xfId="1" applyNumberFormat="1" applyFont="1" applyFill="1" applyBorder="1"/>
    <xf numFmtId="0" fontId="19" fillId="0" borderId="0" xfId="0" applyFont="1" applyAlignment="1">
      <alignment horizontal="center"/>
    </xf>
    <xf numFmtId="1" fontId="14" fillId="0" borderId="0" xfId="0" applyNumberFormat="1" applyFont="1"/>
    <xf numFmtId="173" fontId="14" fillId="0" borderId="0" xfId="0" applyNumberFormat="1" applyFont="1"/>
    <xf numFmtId="2" fontId="19" fillId="0" borderId="0" xfId="0" applyNumberFormat="1" applyFont="1"/>
    <xf numFmtId="2" fontId="14" fillId="0" borderId="0" xfId="1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0" fontId="14" fillId="0" borderId="0" xfId="0" applyNumberFormat="1" applyFont="1" applyAlignment="1">
      <alignment horizontal="center"/>
    </xf>
    <xf numFmtId="164" fontId="4" fillId="0" borderId="0" xfId="1" applyNumberFormat="1" applyFont="1" applyFill="1" applyAlignment="1">
      <alignment horizontal="right" vertical="top"/>
    </xf>
    <xf numFmtId="0" fontId="19" fillId="0" borderId="0" xfId="0" applyFont="1" applyAlignment="1">
      <alignment horizontal="right" wrapText="1"/>
    </xf>
    <xf numFmtId="164" fontId="19" fillId="0" borderId="0" xfId="3" applyNumberFormat="1" applyFont="1" applyFill="1" applyAlignment="1">
      <alignment horizontal="right" vertical="top"/>
    </xf>
    <xf numFmtId="0" fontId="9" fillId="0" borderId="0" xfId="2" applyFont="1"/>
    <xf numFmtId="0" fontId="10" fillId="0" borderId="0" xfId="2" applyFont="1"/>
    <xf numFmtId="0" fontId="10" fillId="0" borderId="0" xfId="2" applyFont="1" applyAlignment="1">
      <alignment horizontal="left" wrapText="1"/>
    </xf>
    <xf numFmtId="0" fontId="11" fillId="0" borderId="0" xfId="2" applyFont="1" applyAlignment="1">
      <alignment horizontal="left" wrapText="1"/>
    </xf>
    <xf numFmtId="0" fontId="11" fillId="0" borderId="0" xfId="2" applyFont="1" applyAlignment="1">
      <alignment horizontal="left"/>
    </xf>
    <xf numFmtId="0" fontId="10" fillId="0" borderId="0" xfId="2" applyFont="1" applyAlignment="1">
      <alignment horizontal="left" vertical="top"/>
    </xf>
    <xf numFmtId="49" fontId="10" fillId="0" borderId="0" xfId="2" applyNumberFormat="1" applyFont="1" applyAlignment="1">
      <alignment horizontal="left" vertical="top"/>
    </xf>
    <xf numFmtId="0" fontId="20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164" fontId="20" fillId="0" borderId="0" xfId="3" applyNumberFormat="1" applyFont="1" applyFill="1" applyAlignment="1">
      <alignment horizontal="right" vertical="top"/>
    </xf>
    <xf numFmtId="164" fontId="14" fillId="0" borderId="0" xfId="3" applyNumberFormat="1" applyFont="1" applyFill="1" applyAlignment="1">
      <alignment horizontal="right" vertical="top"/>
    </xf>
    <xf numFmtId="10" fontId="20" fillId="0" borderId="0" xfId="3" applyNumberFormat="1" applyFont="1" applyFill="1" applyAlignment="1">
      <alignment horizontal="right" vertical="top"/>
    </xf>
    <xf numFmtId="10" fontId="14" fillId="0" borderId="0" xfId="3" applyNumberFormat="1" applyFont="1" applyFill="1" applyAlignment="1">
      <alignment horizontal="right" vertical="top"/>
    </xf>
    <xf numFmtId="0" fontId="20" fillId="0" borderId="0" xfId="0" applyFont="1"/>
    <xf numFmtId="10" fontId="19" fillId="0" borderId="0" xfId="3" applyNumberFormat="1" applyFont="1" applyFill="1" applyAlignment="1">
      <alignment horizontal="right" vertical="top"/>
    </xf>
    <xf numFmtId="164" fontId="14" fillId="2" borderId="0" xfId="1" applyNumberFormat="1" applyFont="1" applyFill="1" applyBorder="1"/>
    <xf numFmtId="171" fontId="8" fillId="0" borderId="0" xfId="1" applyNumberFormat="1" applyFont="1" applyFill="1"/>
    <xf numFmtId="164" fontId="2" fillId="0" borderId="0" xfId="1" applyNumberFormat="1" applyFont="1" applyFill="1" applyBorder="1" applyAlignment="1">
      <alignment horizontal="center" vertical="center" wrapText="1"/>
    </xf>
    <xf numFmtId="43" fontId="3" fillId="6" borderId="0" xfId="1" applyFont="1" applyFill="1" applyBorder="1" applyAlignment="1">
      <alignment horizontal="center" vertical="center" wrapText="1"/>
    </xf>
    <xf numFmtId="164" fontId="21" fillId="4" borderId="0" xfId="1" applyNumberFormat="1" applyFont="1" applyFill="1" applyBorder="1" applyAlignment="1">
      <alignment horizontal="center" vertical="center" wrapText="1"/>
    </xf>
    <xf numFmtId="10" fontId="0" fillId="0" borderId="0" xfId="1" applyNumberFormat="1" applyFont="1" applyFill="1" applyBorder="1"/>
    <xf numFmtId="174" fontId="8" fillId="0" borderId="0" xfId="1" applyNumberFormat="1" applyFont="1"/>
    <xf numFmtId="174" fontId="0" fillId="0" borderId="0" xfId="0" applyNumberFormat="1"/>
    <xf numFmtId="164" fontId="2" fillId="11" borderId="0" xfId="1" applyNumberFormat="1" applyFont="1" applyFill="1" applyBorder="1" applyAlignment="1">
      <alignment horizontal="center" vertical="center" wrapText="1"/>
    </xf>
    <xf numFmtId="43" fontId="2" fillId="12" borderId="0" xfId="1" applyFont="1" applyFill="1" applyBorder="1" applyAlignment="1">
      <alignment horizontal="center" vertical="center" wrapText="1"/>
    </xf>
    <xf numFmtId="164" fontId="2" fillId="12" borderId="1" xfId="1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/>
    <xf numFmtId="164" fontId="2" fillId="6" borderId="3" xfId="1" applyNumberFormat="1" applyFont="1" applyFill="1" applyBorder="1" applyAlignment="1">
      <alignment horizontal="center" vertical="center" wrapText="1"/>
    </xf>
    <xf numFmtId="164" fontId="0" fillId="0" borderId="4" xfId="1" applyNumberFormat="1" applyFont="1" applyFill="1" applyBorder="1"/>
    <xf numFmtId="164" fontId="0" fillId="0" borderId="5" xfId="1" applyNumberFormat="1" applyFont="1" applyFill="1" applyBorder="1"/>
    <xf numFmtId="164" fontId="0" fillId="0" borderId="6" xfId="1" applyNumberFormat="1" applyFont="1" applyFill="1" applyBorder="1"/>
    <xf numFmtId="43" fontId="17" fillId="0" borderId="0" xfId="0" applyNumberFormat="1" applyFont="1"/>
    <xf numFmtId="10" fontId="8" fillId="6" borderId="0" xfId="0" applyNumberFormat="1" applyFont="1" applyFill="1"/>
    <xf numFmtId="3" fontId="8" fillId="0" borderId="5" xfId="1" applyNumberFormat="1" applyFont="1" applyFill="1" applyBorder="1"/>
    <xf numFmtId="2" fontId="8" fillId="0" borderId="6" xfId="1" applyNumberFormat="1" applyFont="1" applyFill="1" applyBorder="1"/>
    <xf numFmtId="43" fontId="8" fillId="0" borderId="5" xfId="0" applyNumberFormat="1" applyFont="1" applyBorder="1"/>
    <xf numFmtId="10" fontId="8" fillId="0" borderId="0" xfId="1" applyNumberFormat="1" applyFont="1" applyFill="1" applyBorder="1" applyAlignment="1">
      <alignment horizontal="center"/>
    </xf>
    <xf numFmtId="2" fontId="8" fillId="0" borderId="6" xfId="1" applyNumberFormat="1" applyFont="1" applyFill="1" applyBorder="1" applyAlignment="1">
      <alignment horizontal="center"/>
    </xf>
    <xf numFmtId="43" fontId="0" fillId="0" borderId="5" xfId="0" applyNumberFormat="1" applyBorder="1"/>
    <xf numFmtId="177" fontId="8" fillId="0" borderId="5" xfId="0" applyNumberFormat="1" applyFont="1" applyBorder="1"/>
    <xf numFmtId="166" fontId="8" fillId="0" borderId="6" xfId="1" applyNumberFormat="1" applyFont="1" applyFill="1" applyBorder="1"/>
    <xf numFmtId="166" fontId="8" fillId="0" borderId="0" xfId="1" applyNumberFormat="1" applyFont="1" applyBorder="1"/>
    <xf numFmtId="1" fontId="8" fillId="0" borderId="5" xfId="1" applyNumberFormat="1" applyFont="1" applyBorder="1"/>
    <xf numFmtId="173" fontId="8" fillId="0" borderId="6" xfId="1" applyNumberFormat="1" applyFont="1" applyFill="1" applyBorder="1"/>
    <xf numFmtId="2" fontId="8" fillId="0" borderId="5" xfId="1" applyNumberFormat="1" applyFont="1" applyFill="1" applyBorder="1"/>
    <xf numFmtId="177" fontId="14" fillId="0" borderId="5" xfId="0" applyNumberFormat="1" applyFont="1" applyBorder="1"/>
    <xf numFmtId="166" fontId="14" fillId="0" borderId="6" xfId="1" applyNumberFormat="1" applyFont="1" applyFill="1" applyBorder="1"/>
    <xf numFmtId="1" fontId="14" fillId="0" borderId="5" xfId="1" applyNumberFormat="1" applyFont="1" applyFill="1" applyBorder="1"/>
    <xf numFmtId="173" fontId="14" fillId="0" borderId="6" xfId="1" applyNumberFormat="1" applyFont="1" applyFill="1" applyBorder="1"/>
    <xf numFmtId="2" fontId="14" fillId="0" borderId="5" xfId="1" applyNumberFormat="1" applyFont="1" applyFill="1" applyBorder="1"/>
    <xf numFmtId="2" fontId="14" fillId="0" borderId="6" xfId="1" applyNumberFormat="1" applyFont="1" applyFill="1" applyBorder="1"/>
    <xf numFmtId="2" fontId="14" fillId="0" borderId="7" xfId="1" applyNumberFormat="1" applyFont="1" applyFill="1" applyBorder="1"/>
    <xf numFmtId="2" fontId="14" fillId="0" borderId="8" xfId="1" applyNumberFormat="1" applyFont="1" applyFill="1" applyBorder="1"/>
    <xf numFmtId="173" fontId="14" fillId="0" borderId="8" xfId="1" applyNumberFormat="1" applyFont="1" applyFill="1" applyBorder="1"/>
    <xf numFmtId="2" fontId="14" fillId="0" borderId="9" xfId="1" applyNumberFormat="1" applyFont="1" applyFill="1" applyBorder="1"/>
    <xf numFmtId="0" fontId="2" fillId="3" borderId="10" xfId="0" applyFont="1" applyFill="1" applyBorder="1" applyAlignment="1">
      <alignment horizontal="center" vertical="center" wrapText="1"/>
    </xf>
    <xf numFmtId="164" fontId="2" fillId="0" borderId="10" xfId="1" applyNumberFormat="1" applyFont="1" applyFill="1" applyBorder="1" applyAlignment="1">
      <alignment horizontal="center" vertical="center" wrapText="1"/>
    </xf>
    <xf numFmtId="164" fontId="2" fillId="9" borderId="10" xfId="1" applyNumberFormat="1" applyFont="1" applyFill="1" applyBorder="1" applyAlignment="1">
      <alignment horizontal="center" vertical="center" wrapText="1"/>
    </xf>
    <xf numFmtId="164" fontId="2" fillId="12" borderId="10" xfId="1" applyNumberFormat="1" applyFont="1" applyFill="1" applyBorder="1" applyAlignment="1">
      <alignment horizontal="center" vertical="center" wrapText="1"/>
    </xf>
    <xf numFmtId="164" fontId="2" fillId="6" borderId="10" xfId="1" applyNumberFormat="1" applyFont="1" applyFill="1" applyBorder="1" applyAlignment="1">
      <alignment horizontal="center" vertical="center" wrapText="1"/>
    </xf>
    <xf numFmtId="43" fontId="2" fillId="9" borderId="10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11" xfId="0" applyBorder="1"/>
    <xf numFmtId="164" fontId="0" fillId="0" borderId="3" xfId="1" applyNumberFormat="1" applyFont="1" applyFill="1" applyBorder="1"/>
    <xf numFmtId="164" fontId="8" fillId="0" borderId="3" xfId="1" applyNumberFormat="1" applyFont="1" applyFill="1" applyBorder="1"/>
    <xf numFmtId="164" fontId="8" fillId="0" borderId="11" xfId="1" applyNumberFormat="1" applyFont="1" applyFill="1" applyBorder="1"/>
    <xf numFmtId="1" fontId="8" fillId="6" borderId="3" xfId="1" applyNumberFormat="1" applyFont="1" applyFill="1" applyBorder="1" applyAlignment="1">
      <alignment wrapText="1"/>
    </xf>
    <xf numFmtId="10" fontId="8" fillId="6" borderId="11" xfId="1" applyNumberFormat="1" applyFont="1" applyFill="1" applyBorder="1"/>
    <xf numFmtId="173" fontId="8" fillId="0" borderId="11" xfId="1" applyNumberFormat="1" applyFont="1" applyFill="1" applyBorder="1"/>
    <xf numFmtId="173" fontId="8" fillId="0" borderId="3" xfId="1" applyNumberFormat="1" applyFont="1" applyFill="1" applyBorder="1"/>
    <xf numFmtId="1" fontId="8" fillId="0" borderId="3" xfId="1" applyNumberFormat="1" applyFont="1" applyFill="1" applyBorder="1"/>
    <xf numFmtId="10" fontId="8" fillId="0" borderId="3" xfId="1" applyNumberFormat="1" applyFont="1" applyFill="1" applyBorder="1"/>
    <xf numFmtId="2" fontId="14" fillId="0" borderId="3" xfId="1" applyNumberFormat="1" applyFont="1" applyFill="1" applyBorder="1"/>
    <xf numFmtId="10" fontId="8" fillId="6" borderId="3" xfId="1" applyNumberFormat="1" applyFont="1" applyFill="1" applyBorder="1"/>
    <xf numFmtId="164" fontId="8" fillId="0" borderId="4" xfId="1" applyNumberFormat="1" applyFont="1" applyFill="1" applyBorder="1"/>
    <xf numFmtId="0" fontId="0" fillId="0" borderId="5" xfId="0" applyBorder="1"/>
    <xf numFmtId="164" fontId="8" fillId="0" borderId="6" xfId="1" applyNumberFormat="1" applyFont="1" applyFill="1" applyBorder="1"/>
    <xf numFmtId="164" fontId="8" fillId="0" borderId="0" xfId="1" applyNumberFormat="1" applyFont="1" applyBorder="1"/>
    <xf numFmtId="10" fontId="8" fillId="0" borderId="0" xfId="1" applyNumberFormat="1" applyFont="1" applyBorder="1"/>
    <xf numFmtId="0" fontId="19" fillId="0" borderId="5" xfId="0" applyFont="1" applyBorder="1"/>
    <xf numFmtId="164" fontId="14" fillId="0" borderId="6" xfId="1" applyNumberFormat="1" applyFont="1" applyFill="1" applyBorder="1"/>
    <xf numFmtId="0" fontId="19" fillId="0" borderId="7" xfId="0" applyFont="1" applyBorder="1"/>
    <xf numFmtId="0" fontId="19" fillId="0" borderId="8" xfId="0" applyFont="1" applyBorder="1"/>
    <xf numFmtId="0" fontId="19" fillId="0" borderId="12" xfId="0" applyFont="1" applyBorder="1"/>
    <xf numFmtId="164" fontId="19" fillId="0" borderId="8" xfId="1" applyNumberFormat="1" applyFont="1" applyFill="1" applyBorder="1"/>
    <xf numFmtId="164" fontId="14" fillId="0" borderId="8" xfId="1" applyNumberFormat="1" applyFont="1" applyFill="1" applyBorder="1"/>
    <xf numFmtId="164" fontId="14" fillId="0" borderId="12" xfId="1" applyNumberFormat="1" applyFont="1" applyFill="1" applyBorder="1"/>
    <xf numFmtId="10" fontId="14" fillId="0" borderId="12" xfId="5" applyNumberFormat="1" applyFont="1" applyFill="1" applyBorder="1"/>
    <xf numFmtId="10" fontId="8" fillId="0" borderId="12" xfId="1" applyNumberFormat="1" applyFont="1" applyFill="1" applyBorder="1"/>
    <xf numFmtId="10" fontId="14" fillId="0" borderId="8" xfId="1" applyNumberFormat="1" applyFont="1" applyFill="1" applyBorder="1"/>
    <xf numFmtId="10" fontId="14" fillId="0" borderId="12" xfId="1" applyNumberFormat="1" applyFont="1" applyFill="1" applyBorder="1"/>
    <xf numFmtId="1" fontId="14" fillId="0" borderId="8" xfId="1" applyNumberFormat="1" applyFont="1" applyFill="1" applyBorder="1"/>
    <xf numFmtId="1" fontId="8" fillId="0" borderId="8" xfId="1" applyNumberFormat="1" applyFont="1" applyFill="1" applyBorder="1"/>
    <xf numFmtId="173" fontId="8" fillId="0" borderId="8" xfId="1" applyNumberFormat="1" applyFont="1" applyFill="1" applyBorder="1"/>
    <xf numFmtId="10" fontId="8" fillId="0" borderId="8" xfId="0" applyNumberFormat="1" applyFont="1" applyBorder="1"/>
    <xf numFmtId="10" fontId="14" fillId="0" borderId="8" xfId="0" applyNumberFormat="1" applyFont="1" applyBorder="1"/>
    <xf numFmtId="164" fontId="14" fillId="0" borderId="9" xfId="1" applyNumberFormat="1" applyFont="1" applyFill="1" applyBorder="1"/>
    <xf numFmtId="0" fontId="19" fillId="0" borderId="2" xfId="0" applyFont="1" applyBorder="1"/>
    <xf numFmtId="0" fontId="19" fillId="0" borderId="11" xfId="0" applyFont="1" applyBorder="1"/>
    <xf numFmtId="164" fontId="19" fillId="0" borderId="3" xfId="1" applyNumberFormat="1" applyFont="1" applyFill="1" applyBorder="1"/>
    <xf numFmtId="164" fontId="14" fillId="0" borderId="3" xfId="1" applyNumberFormat="1" applyFont="1" applyFill="1" applyBorder="1"/>
    <xf numFmtId="164" fontId="14" fillId="0" borderId="11" xfId="1" applyNumberFormat="1" applyFont="1" applyFill="1" applyBorder="1"/>
    <xf numFmtId="10" fontId="14" fillId="0" borderId="3" xfId="1" applyNumberFormat="1" applyFont="1" applyFill="1" applyBorder="1"/>
    <xf numFmtId="1" fontId="8" fillId="0" borderId="3" xfId="1" applyNumberFormat="1" applyFont="1" applyFill="1" applyBorder="1" applyAlignment="1">
      <alignment wrapText="1"/>
    </xf>
    <xf numFmtId="10" fontId="8" fillId="0" borderId="11" xfId="1" applyNumberFormat="1" applyFont="1" applyFill="1" applyBorder="1"/>
    <xf numFmtId="10" fontId="14" fillId="0" borderId="11" xfId="1" applyNumberFormat="1" applyFont="1" applyFill="1" applyBorder="1"/>
    <xf numFmtId="1" fontId="14" fillId="0" borderId="3" xfId="1" applyNumberFormat="1" applyFont="1" applyFill="1" applyBorder="1"/>
    <xf numFmtId="173" fontId="14" fillId="0" borderId="3" xfId="1" applyNumberFormat="1" applyFont="1" applyFill="1" applyBorder="1"/>
    <xf numFmtId="164" fontId="14" fillId="0" borderId="4" xfId="1" applyNumberFormat="1" applyFont="1" applyFill="1" applyBorder="1"/>
    <xf numFmtId="43" fontId="19" fillId="0" borderId="0" xfId="0" applyNumberFormat="1" applyFont="1"/>
    <xf numFmtId="164" fontId="14" fillId="2" borderId="8" xfId="1" applyNumberFormat="1" applyFont="1" applyFill="1" applyBorder="1"/>
    <xf numFmtId="0" fontId="19" fillId="0" borderId="3" xfId="0" applyFont="1" applyBorder="1"/>
    <xf numFmtId="0" fontId="19" fillId="0" borderId="3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10" fontId="8" fillId="0" borderId="13" xfId="1" applyNumberFormat="1" applyFont="1" applyBorder="1"/>
    <xf numFmtId="10" fontId="8" fillId="0" borderId="14" xfId="1" applyNumberFormat="1" applyFont="1" applyBorder="1"/>
    <xf numFmtId="10" fontId="8" fillId="0" borderId="15" xfId="1" applyNumberFormat="1" applyFont="1" applyBorder="1"/>
    <xf numFmtId="10" fontId="8" fillId="0" borderId="2" xfId="1" applyNumberFormat="1" applyFont="1" applyBorder="1"/>
    <xf numFmtId="164" fontId="2" fillId="6" borderId="16" xfId="1" applyNumberFormat="1" applyFont="1" applyFill="1" applyBorder="1" applyAlignment="1">
      <alignment horizontal="center" vertical="center" wrapText="1"/>
    </xf>
    <xf numFmtId="164" fontId="2" fillId="11" borderId="3" xfId="1" applyNumberFormat="1" applyFont="1" applyFill="1" applyBorder="1" applyAlignment="1">
      <alignment horizontal="center" vertical="center" wrapText="1"/>
    </xf>
    <xf numFmtId="10" fontId="2" fillId="3" borderId="3" xfId="1" applyNumberFormat="1" applyFont="1" applyFill="1" applyBorder="1" applyAlignment="1">
      <alignment horizontal="center" vertical="center" wrapText="1"/>
    </xf>
    <xf numFmtId="10" fontId="2" fillId="3" borderId="4" xfId="1" applyNumberFormat="1" applyFont="1" applyFill="1" applyBorder="1" applyAlignment="1">
      <alignment horizontal="center" vertical="center" wrapText="1"/>
    </xf>
    <xf numFmtId="164" fontId="2" fillId="6" borderId="5" xfId="1" applyNumberFormat="1" applyFont="1" applyFill="1" applyBorder="1" applyAlignment="1">
      <alignment horizontal="center" vertical="center" wrapText="1"/>
    </xf>
    <xf numFmtId="10" fontId="2" fillId="3" borderId="6" xfId="1" applyNumberFormat="1" applyFont="1" applyFill="1" applyBorder="1" applyAlignment="1">
      <alignment horizontal="center" vertical="center" wrapText="1"/>
    </xf>
    <xf numFmtId="1" fontId="8" fillId="6" borderId="5" xfId="1" applyNumberFormat="1" applyFont="1" applyFill="1" applyBorder="1" applyAlignment="1">
      <alignment wrapText="1"/>
    </xf>
    <xf numFmtId="10" fontId="8" fillId="6" borderId="0" xfId="1" applyNumberFormat="1" applyFont="1" applyFill="1" applyBorder="1" applyAlignment="1">
      <alignment horizontal="center"/>
    </xf>
    <xf numFmtId="3" fontId="8" fillId="0" borderId="5" xfId="1" applyNumberFormat="1" applyFont="1" applyBorder="1"/>
    <xf numFmtId="164" fontId="8" fillId="0" borderId="5" xfId="1" applyNumberFormat="1" applyFont="1" applyFill="1" applyBorder="1"/>
    <xf numFmtId="164" fontId="14" fillId="0" borderId="5" xfId="1" applyNumberFormat="1" applyFont="1" applyFill="1" applyBorder="1"/>
    <xf numFmtId="10" fontId="14" fillId="0" borderId="5" xfId="1" applyNumberFormat="1" applyFont="1" applyFill="1" applyBorder="1"/>
    <xf numFmtId="10" fontId="14" fillId="0" borderId="7" xfId="1" applyNumberFormat="1" applyFont="1" applyFill="1" applyBorder="1"/>
    <xf numFmtId="166" fontId="14" fillId="0" borderId="8" xfId="1" applyNumberFormat="1" applyFont="1" applyFill="1" applyBorder="1"/>
    <xf numFmtId="0" fontId="0" fillId="0" borderId="0" xfId="1" applyNumberFormat="1" applyFont="1" applyFill="1" applyBorder="1"/>
    <xf numFmtId="0" fontId="14" fillId="0" borderId="0" xfId="1" applyNumberFormat="1" applyFont="1" applyFill="1" applyBorder="1" applyAlignment="1">
      <alignment horizontal="center"/>
    </xf>
    <xf numFmtId="0" fontId="8" fillId="0" borderId="0" xfId="1" applyNumberFormat="1" applyFont="1" applyFill="1" applyBorder="1" applyAlignment="1">
      <alignment horizontal="center" vertical="top"/>
    </xf>
    <xf numFmtId="0" fontId="8" fillId="0" borderId="0" xfId="1" applyNumberFormat="1" applyFont="1" applyFill="1" applyBorder="1" applyAlignment="1">
      <alignment vertical="center"/>
    </xf>
    <xf numFmtId="0" fontId="8" fillId="0" borderId="0" xfId="1" applyNumberFormat="1" applyFont="1" applyFill="1" applyBorder="1"/>
    <xf numFmtId="0" fontId="0" fillId="0" borderId="3" xfId="0" applyBorder="1"/>
    <xf numFmtId="0" fontId="0" fillId="0" borderId="4" xfId="0" applyBorder="1"/>
    <xf numFmtId="10" fontId="22" fillId="10" borderId="0" xfId="0" applyNumberFormat="1" applyFont="1" applyFill="1"/>
    <xf numFmtId="174" fontId="22" fillId="10" borderId="0" xfId="0" applyNumberFormat="1" applyFont="1" applyFill="1"/>
    <xf numFmtId="0" fontId="22" fillId="10" borderId="0" xfId="0" applyFont="1" applyFill="1"/>
    <xf numFmtId="2" fontId="22" fillId="10" borderId="0" xfId="0" applyNumberFormat="1" applyFont="1" applyFill="1"/>
    <xf numFmtId="0" fontId="0" fillId="3" borderId="0" xfId="0" applyFill="1"/>
    <xf numFmtId="0" fontId="0" fillId="0" borderId="6" xfId="0" applyBorder="1"/>
    <xf numFmtId="164" fontId="8" fillId="0" borderId="5" xfId="1" applyNumberFormat="1" applyFont="1" applyBorder="1"/>
    <xf numFmtId="0" fontId="8" fillId="0" borderId="0" xfId="1" applyNumberFormat="1" applyFont="1" applyBorder="1"/>
    <xf numFmtId="174" fontId="8" fillId="0" borderId="0" xfId="1" applyNumberFormat="1" applyFont="1" applyBorder="1"/>
    <xf numFmtId="43" fontId="8" fillId="0" borderId="0" xfId="1" applyFont="1" applyBorder="1"/>
    <xf numFmtId="43" fontId="8" fillId="0" borderId="0" xfId="1" applyFont="1" applyFill="1" applyBorder="1"/>
    <xf numFmtId="171" fontId="8" fillId="0" borderId="0" xfId="1" applyNumberFormat="1" applyFont="1" applyFill="1" applyBorder="1"/>
    <xf numFmtId="172" fontId="8" fillId="0" borderId="0" xfId="1" applyNumberFormat="1" applyFont="1" applyFill="1" applyBorder="1"/>
    <xf numFmtId="164" fontId="8" fillId="0" borderId="7" xfId="1" applyNumberFormat="1" applyFont="1" applyBorder="1"/>
    <xf numFmtId="0" fontId="8" fillId="0" borderId="8" xfId="1" applyNumberFormat="1" applyFont="1" applyBorder="1"/>
    <xf numFmtId="164" fontId="8" fillId="0" borderId="8" xfId="1" applyNumberFormat="1" applyFont="1" applyBorder="1"/>
    <xf numFmtId="174" fontId="8" fillId="0" borderId="8" xfId="1" applyNumberFormat="1" applyFont="1" applyBorder="1"/>
    <xf numFmtId="0" fontId="14" fillId="0" borderId="8" xfId="0" applyFont="1" applyBorder="1"/>
    <xf numFmtId="2" fontId="14" fillId="0" borderId="8" xfId="0" applyNumberFormat="1" applyFont="1" applyBorder="1"/>
    <xf numFmtId="39" fontId="14" fillId="0" borderId="8" xfId="1" applyNumberFormat="1" applyFont="1" applyFill="1" applyBorder="1"/>
    <xf numFmtId="164" fontId="8" fillId="0" borderId="8" xfId="1" applyNumberFormat="1" applyFont="1" applyFill="1" applyBorder="1"/>
    <xf numFmtId="169" fontId="14" fillId="0" borderId="8" xfId="0" applyNumberFormat="1" applyFont="1" applyBorder="1"/>
    <xf numFmtId="174" fontId="14" fillId="0" borderId="8" xfId="0" applyNumberFormat="1" applyFont="1" applyBorder="1"/>
    <xf numFmtId="43" fontId="14" fillId="0" borderId="8" xfId="1" applyFont="1" applyFill="1" applyBorder="1"/>
    <xf numFmtId="43" fontId="8" fillId="0" borderId="8" xfId="1" applyFont="1" applyBorder="1"/>
    <xf numFmtId="43" fontId="14" fillId="0" borderId="8" xfId="0" applyNumberFormat="1" applyFont="1" applyBorder="1"/>
    <xf numFmtId="171" fontId="14" fillId="0" borderId="8" xfId="1" applyNumberFormat="1" applyFont="1" applyFill="1" applyBorder="1"/>
    <xf numFmtId="164" fontId="8" fillId="0" borderId="2" xfId="1" applyNumberFormat="1" applyFont="1" applyBorder="1"/>
    <xf numFmtId="0" fontId="8" fillId="0" borderId="3" xfId="1" applyNumberFormat="1" applyFont="1" applyBorder="1"/>
    <xf numFmtId="164" fontId="8" fillId="0" borderId="3" xfId="1" applyNumberFormat="1" applyFont="1" applyBorder="1"/>
    <xf numFmtId="0" fontId="14" fillId="0" borderId="3" xfId="0" applyFont="1" applyBorder="1"/>
    <xf numFmtId="39" fontId="14" fillId="0" borderId="3" xfId="1" applyNumberFormat="1" applyFont="1" applyFill="1" applyBorder="1"/>
    <xf numFmtId="10" fontId="14" fillId="0" borderId="3" xfId="0" applyNumberFormat="1" applyFont="1" applyBorder="1"/>
    <xf numFmtId="10" fontId="8" fillId="0" borderId="3" xfId="0" applyNumberFormat="1" applyFont="1" applyBorder="1"/>
    <xf numFmtId="169" fontId="14" fillId="0" borderId="3" xfId="0" applyNumberFormat="1" applyFont="1" applyBorder="1"/>
    <xf numFmtId="174" fontId="14" fillId="0" borderId="3" xfId="0" applyNumberFormat="1" applyFont="1" applyBorder="1"/>
    <xf numFmtId="43" fontId="14" fillId="0" borderId="3" xfId="1" applyFont="1" applyFill="1" applyBorder="1"/>
    <xf numFmtId="43" fontId="8" fillId="0" borderId="3" xfId="1" applyFont="1" applyBorder="1"/>
    <xf numFmtId="43" fontId="14" fillId="0" borderId="3" xfId="0" applyNumberFormat="1" applyFont="1" applyBorder="1"/>
    <xf numFmtId="171" fontId="14" fillId="0" borderId="3" xfId="1" applyNumberFormat="1" applyFont="1" applyFill="1" applyBorder="1"/>
    <xf numFmtId="2" fontId="14" fillId="0" borderId="0" xfId="0" applyNumberFormat="1" applyFont="1"/>
    <xf numFmtId="39" fontId="14" fillId="0" borderId="0" xfId="1" applyNumberFormat="1" applyFont="1" applyFill="1" applyBorder="1"/>
    <xf numFmtId="174" fontId="14" fillId="0" borderId="0" xfId="0" applyNumberFormat="1" applyFont="1"/>
    <xf numFmtId="43" fontId="14" fillId="0" borderId="0" xfId="1" applyFont="1" applyFill="1" applyBorder="1"/>
    <xf numFmtId="174" fontId="14" fillId="0" borderId="8" xfId="1" applyNumberFormat="1" applyFont="1" applyFill="1" applyBorder="1"/>
    <xf numFmtId="174" fontId="8" fillId="0" borderId="3" xfId="1" applyNumberFormat="1" applyFont="1" applyBorder="1"/>
    <xf numFmtId="164" fontId="21" fillId="0" borderId="0" xfId="1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171" fontId="14" fillId="0" borderId="0" xfId="1" applyNumberFormat="1" applyFont="1" applyFill="1" applyBorder="1"/>
    <xf numFmtId="174" fontId="14" fillId="0" borderId="0" xfId="1" applyNumberFormat="1" applyFont="1" applyFill="1" applyBorder="1"/>
    <xf numFmtId="0" fontId="8" fillId="0" borderId="3" xfId="0" applyFont="1" applyBorder="1"/>
    <xf numFmtId="2" fontId="8" fillId="0" borderId="3" xfId="0" applyNumberFormat="1" applyFont="1" applyBorder="1"/>
    <xf numFmtId="1" fontId="8" fillId="0" borderId="3" xfId="1" applyNumberFormat="1" applyFont="1" applyBorder="1"/>
    <xf numFmtId="10" fontId="8" fillId="0" borderId="3" xfId="1" applyNumberFormat="1" applyFont="1" applyBorder="1"/>
    <xf numFmtId="169" fontId="8" fillId="0" borderId="3" xfId="0" applyNumberFormat="1" applyFont="1" applyBorder="1"/>
    <xf numFmtId="43" fontId="8" fillId="0" borderId="3" xfId="0" applyNumberFormat="1" applyFont="1" applyBorder="1"/>
    <xf numFmtId="174" fontId="8" fillId="0" borderId="3" xfId="0" applyNumberFormat="1" applyFont="1" applyBorder="1"/>
    <xf numFmtId="43" fontId="8" fillId="0" borderId="3" xfId="1" applyFont="1" applyFill="1" applyBorder="1"/>
    <xf numFmtId="171" fontId="8" fillId="0" borderId="3" xfId="1" applyNumberFormat="1" applyFont="1" applyBorder="1"/>
    <xf numFmtId="10" fontId="0" fillId="0" borderId="3" xfId="0" applyNumberFormat="1" applyBorder="1"/>
    <xf numFmtId="171" fontId="8" fillId="0" borderId="3" xfId="1" applyNumberFormat="1" applyFont="1" applyFill="1" applyBorder="1"/>
    <xf numFmtId="10" fontId="8" fillId="0" borderId="6" xfId="0" applyNumberFormat="1" applyFont="1" applyBorder="1"/>
    <xf numFmtId="10" fontId="14" fillId="0" borderId="6" xfId="0" applyNumberFormat="1" applyFont="1" applyBorder="1"/>
    <xf numFmtId="10" fontId="14" fillId="0" borderId="9" xfId="0" applyNumberFormat="1" applyFont="1" applyBorder="1"/>
    <xf numFmtId="0" fontId="8" fillId="0" borderId="8" xfId="0" applyFont="1" applyBorder="1"/>
    <xf numFmtId="43" fontId="14" fillId="2" borderId="0" xfId="0" applyNumberFormat="1" applyFont="1" applyFill="1"/>
    <xf numFmtId="43" fontId="8" fillId="0" borderId="8" xfId="1" applyFont="1" applyFill="1" applyBorder="1"/>
    <xf numFmtId="171" fontId="8" fillId="0" borderId="8" xfId="1" applyNumberFormat="1" applyFont="1" applyFill="1" applyBorder="1"/>
    <xf numFmtId="166" fontId="14" fillId="0" borderId="7" xfId="1" applyNumberFormat="1" applyFont="1" applyFill="1" applyBorder="1"/>
    <xf numFmtId="0" fontId="14" fillId="0" borderId="8" xfId="1" applyNumberFormat="1" applyFont="1" applyFill="1" applyBorder="1"/>
    <xf numFmtId="43" fontId="8" fillId="0" borderId="0" xfId="1" applyFont="1"/>
    <xf numFmtId="0" fontId="23" fillId="0" borderId="0" xfId="0" applyFont="1" applyAlignment="1">
      <alignment horizontal="left" vertical="center"/>
    </xf>
    <xf numFmtId="43" fontId="14" fillId="0" borderId="0" xfId="1" applyFont="1"/>
    <xf numFmtId="10" fontId="0" fillId="0" borderId="0" xfId="5" applyNumberFormat="1" applyFont="1" applyAlignment="1">
      <alignment wrapText="1"/>
    </xf>
    <xf numFmtId="173" fontId="6" fillId="0" borderId="0" xfId="5" applyNumberFormat="1" applyFont="1"/>
    <xf numFmtId="10" fontId="6" fillId="0" borderId="0" xfId="4" applyNumberFormat="1"/>
    <xf numFmtId="0" fontId="0" fillId="0" borderId="8" xfId="0" applyBorder="1"/>
    <xf numFmtId="164" fontId="0" fillId="0" borderId="8" xfId="0" applyNumberFormat="1" applyBorder="1" applyAlignment="1">
      <alignment wrapText="1"/>
    </xf>
    <xf numFmtId="164" fontId="0" fillId="0" borderId="8" xfId="0" applyNumberFormat="1" applyBorder="1"/>
    <xf numFmtId="0" fontId="0" fillId="0" borderId="8" xfId="0" applyBorder="1" applyAlignment="1">
      <alignment wrapText="1"/>
    </xf>
    <xf numFmtId="43" fontId="0" fillId="0" borderId="8" xfId="0" applyNumberFormat="1" applyBorder="1" applyAlignment="1">
      <alignment wrapText="1"/>
    </xf>
    <xf numFmtId="0" fontId="3" fillId="0" borderId="8" xfId="0" applyFont="1" applyBorder="1" applyAlignment="1">
      <alignment horizontal="centerContinuous"/>
    </xf>
    <xf numFmtId="10" fontId="3" fillId="0" borderId="0" xfId="5" applyNumberFormat="1" applyFont="1"/>
    <xf numFmtId="10" fontId="3" fillId="0" borderId="0" xfId="0" applyNumberFormat="1" applyFont="1"/>
    <xf numFmtId="10" fontId="3" fillId="0" borderId="0" xfId="5" applyNumberFormat="1" applyFont="1" applyAlignment="1">
      <alignment wrapText="1"/>
    </xf>
    <xf numFmtId="0" fontId="24" fillId="0" borderId="8" xfId="0" applyFont="1" applyBorder="1" applyAlignment="1">
      <alignment horizontal="centerContinuous"/>
    </xf>
    <xf numFmtId="10" fontId="3" fillId="2" borderId="0" xfId="5" applyNumberFormat="1" applyFont="1" applyFill="1" applyAlignment="1">
      <alignment wrapText="1"/>
    </xf>
    <xf numFmtId="164" fontId="24" fillId="0" borderId="1" xfId="1" applyNumberFormat="1" applyFont="1" applyFill="1" applyBorder="1" applyAlignment="1">
      <alignment horizontal="center" vertical="center" wrapText="1"/>
    </xf>
    <xf numFmtId="10" fontId="8" fillId="0" borderId="8" xfId="1" applyNumberFormat="1" applyFont="1" applyFill="1" applyBorder="1"/>
    <xf numFmtId="9" fontId="2" fillId="12" borderId="1" xfId="5" applyFont="1" applyFill="1" applyBorder="1" applyAlignment="1">
      <alignment horizontal="center" vertical="center" wrapText="1"/>
    </xf>
    <xf numFmtId="9" fontId="2" fillId="12" borderId="10" xfId="5" applyFont="1" applyFill="1" applyBorder="1" applyAlignment="1">
      <alignment horizontal="center" vertical="center" wrapText="1"/>
    </xf>
    <xf numFmtId="9" fontId="8" fillId="0" borderId="3" xfId="5" applyFont="1" applyFill="1" applyBorder="1"/>
    <xf numFmtId="9" fontId="8" fillId="0" borderId="1" xfId="5" applyFont="1" applyFill="1" applyBorder="1"/>
    <xf numFmtId="9" fontId="8" fillId="0" borderId="0" xfId="5" applyFont="1" applyFill="1" applyBorder="1"/>
    <xf numFmtId="9" fontId="19" fillId="0" borderId="0" xfId="5" applyFont="1"/>
    <xf numFmtId="9" fontId="0" fillId="0" borderId="0" xfId="5" applyFont="1"/>
    <xf numFmtId="9" fontId="8" fillId="0" borderId="8" xfId="5" applyFont="1" applyFill="1" applyBorder="1"/>
    <xf numFmtId="0" fontId="0" fillId="0" borderId="1" xfId="0" applyBorder="1"/>
    <xf numFmtId="10" fontId="8" fillId="0" borderId="5" xfId="1" applyNumberFormat="1" applyFont="1" applyFill="1" applyBorder="1"/>
    <xf numFmtId="174" fontId="8" fillId="0" borderId="0" xfId="1" applyNumberFormat="1" applyFont="1" applyFill="1" applyBorder="1"/>
    <xf numFmtId="10" fontId="8" fillId="0" borderId="0" xfId="5" applyNumberFormat="1" applyFont="1" applyFill="1" applyBorder="1"/>
    <xf numFmtId="173" fontId="8" fillId="0" borderId="0" xfId="5" applyNumberFormat="1" applyFont="1" applyFill="1" applyBorder="1"/>
    <xf numFmtId="39" fontId="8" fillId="0" borderId="0" xfId="1" applyNumberFormat="1" applyFont="1" applyFill="1" applyBorder="1"/>
    <xf numFmtId="41" fontId="8" fillId="0" borderId="0" xfId="1" applyNumberFormat="1" applyFont="1" applyFill="1" applyBorder="1"/>
    <xf numFmtId="10" fontId="19" fillId="0" borderId="0" xfId="0" applyNumberFormat="1" applyFont="1"/>
    <xf numFmtId="41" fontId="8" fillId="0" borderId="8" xfId="1" applyNumberFormat="1" applyFont="1" applyFill="1" applyBorder="1"/>
    <xf numFmtId="10" fontId="8" fillId="0" borderId="7" xfId="1" applyNumberFormat="1" applyFont="1" applyFill="1" applyBorder="1"/>
    <xf numFmtId="164" fontId="8" fillId="0" borderId="7" xfId="1" applyNumberFormat="1" applyFont="1" applyFill="1" applyBorder="1"/>
    <xf numFmtId="0" fontId="8" fillId="0" borderId="8" xfId="1" applyNumberFormat="1" applyFont="1" applyFill="1" applyBorder="1"/>
    <xf numFmtId="10" fontId="19" fillId="0" borderId="8" xfId="0" applyNumberFormat="1" applyFont="1" applyBorder="1"/>
    <xf numFmtId="0" fontId="0" fillId="0" borderId="9" xfId="0" applyBorder="1"/>
    <xf numFmtId="43" fontId="19" fillId="0" borderId="3" xfId="0" applyNumberFormat="1" applyFont="1" applyBorder="1"/>
    <xf numFmtId="10" fontId="8" fillId="0" borderId="2" xfId="1" applyNumberFormat="1" applyFont="1" applyFill="1" applyBorder="1"/>
    <xf numFmtId="164" fontId="8" fillId="0" borderId="2" xfId="1" applyNumberFormat="1" applyFont="1" applyFill="1" applyBorder="1"/>
    <xf numFmtId="0" fontId="8" fillId="0" borderId="3" xfId="1" applyNumberFormat="1" applyFont="1" applyFill="1" applyBorder="1"/>
    <xf numFmtId="174" fontId="8" fillId="0" borderId="3" xfId="1" applyNumberFormat="1" applyFont="1" applyFill="1" applyBorder="1"/>
    <xf numFmtId="2" fontId="14" fillId="0" borderId="3" xfId="0" applyNumberFormat="1" applyFont="1" applyBorder="1"/>
    <xf numFmtId="10" fontId="8" fillId="0" borderId="14" xfId="1" applyNumberFormat="1" applyFont="1" applyFill="1" applyBorder="1"/>
    <xf numFmtId="10" fontId="8" fillId="0" borderId="15" xfId="1" applyNumberFormat="1" applyFont="1" applyFill="1" applyBorder="1"/>
    <xf numFmtId="10" fontId="8" fillId="0" borderId="13" xfId="1" applyNumberFormat="1" applyFont="1" applyFill="1" applyBorder="1"/>
    <xf numFmtId="10" fontId="19" fillId="0" borderId="0" xfId="0" applyNumberFormat="1" applyFont="1" applyAlignment="1">
      <alignment horizontal="center"/>
    </xf>
    <xf numFmtId="174" fontId="8" fillId="0" borderId="8" xfId="1" applyNumberFormat="1" applyFont="1" applyFill="1" applyBorder="1"/>
    <xf numFmtId="1" fontId="14" fillId="0" borderId="17" xfId="1" applyNumberFormat="1" applyFont="1" applyFill="1" applyBorder="1"/>
    <xf numFmtId="173" fontId="8" fillId="6" borderId="3" xfId="1" applyNumberFormat="1" applyFont="1" applyFill="1" applyBorder="1"/>
    <xf numFmtId="164" fontId="18" fillId="2" borderId="0" xfId="1" applyNumberFormat="1" applyFont="1" applyFill="1" applyBorder="1" applyAlignment="1">
      <alignment horizontal="center" wrapText="1"/>
    </xf>
    <xf numFmtId="10" fontId="8" fillId="2" borderId="0" xfId="1" applyNumberFormat="1" applyFont="1" applyFill="1" applyBorder="1" applyAlignment="1">
      <alignment horizontal="center"/>
    </xf>
    <xf numFmtId="173" fontId="8" fillId="2" borderId="0" xfId="1" applyNumberFormat="1" applyFont="1" applyFill="1" applyBorder="1" applyAlignment="1">
      <alignment horizontal="center"/>
    </xf>
    <xf numFmtId="164" fontId="8" fillId="2" borderId="0" xfId="1" applyNumberFormat="1" applyFont="1" applyFill="1" applyBorder="1"/>
    <xf numFmtId="173" fontId="8" fillId="2" borderId="0" xfId="1" applyNumberFormat="1" applyFont="1" applyFill="1" applyBorder="1"/>
    <xf numFmtId="166" fontId="14" fillId="2" borderId="0" xfId="1" applyNumberFormat="1" applyFont="1" applyFill="1" applyBorder="1"/>
    <xf numFmtId="173" fontId="14" fillId="2" borderId="0" xfId="1" applyNumberFormat="1" applyFont="1" applyFill="1" applyBorder="1"/>
    <xf numFmtId="2" fontId="14" fillId="2" borderId="0" xfId="1" applyNumberFormat="1" applyFont="1" applyFill="1" applyBorder="1"/>
    <xf numFmtId="2" fontId="14" fillId="2" borderId="0" xfId="1" applyNumberFormat="1" applyFont="1" applyFill="1" applyBorder="1" applyAlignment="1">
      <alignment wrapText="1"/>
    </xf>
    <xf numFmtId="2" fontId="14" fillId="2" borderId="8" xfId="1" applyNumberFormat="1" applyFont="1" applyFill="1" applyBorder="1"/>
    <xf numFmtId="173" fontId="14" fillId="2" borderId="8" xfId="1" applyNumberFormat="1" applyFont="1" applyFill="1" applyBorder="1"/>
    <xf numFmtId="166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wrapText="1"/>
    </xf>
    <xf numFmtId="2" fontId="0" fillId="0" borderId="4" xfId="0" applyNumberFormat="1" applyBorder="1" applyAlignment="1">
      <alignment horizontal="center"/>
    </xf>
    <xf numFmtId="164" fontId="0" fillId="0" borderId="0" xfId="1" applyNumberFormat="1" applyFont="1" applyBorder="1"/>
    <xf numFmtId="1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right"/>
    </xf>
    <xf numFmtId="1" fontId="0" fillId="0" borderId="8" xfId="0" applyNumberFormat="1" applyBorder="1"/>
    <xf numFmtId="164" fontId="0" fillId="0" borderId="8" xfId="1" applyNumberFormat="1" applyFont="1" applyBorder="1"/>
    <xf numFmtId="2" fontId="8" fillId="2" borderId="0" xfId="1" applyNumberFormat="1" applyFont="1" applyFill="1" applyBorder="1" applyAlignment="1"/>
    <xf numFmtId="2" fontId="14" fillId="2" borderId="0" xfId="1" applyNumberFormat="1" applyFont="1" applyFill="1" applyBorder="1" applyAlignment="1"/>
    <xf numFmtId="2" fontId="14" fillId="2" borderId="8" xfId="1" applyNumberFormat="1" applyFont="1" applyFill="1" applyBorder="1" applyAlignment="1"/>
    <xf numFmtId="2" fontId="8" fillId="0" borderId="0" xfId="1" applyNumberFormat="1" applyFont="1" applyBorder="1"/>
    <xf numFmtId="164" fontId="0" fillId="0" borderId="9" xfId="1" applyNumberFormat="1" applyFont="1" applyBorder="1" applyAlignment="1">
      <alignment horizontal="right" vertical="center"/>
    </xf>
    <xf numFmtId="176" fontId="0" fillId="0" borderId="0" xfId="0" applyNumberFormat="1"/>
    <xf numFmtId="0" fontId="25" fillId="13" borderId="0" xfId="0" applyFont="1" applyFill="1" applyBorder="1" applyAlignment="1"/>
    <xf numFmtId="2" fontId="8" fillId="6" borderId="5" xfId="1" applyNumberFormat="1" applyFont="1" applyFill="1" applyBorder="1" applyAlignment="1">
      <alignment horizontal="center"/>
    </xf>
    <xf numFmtId="2" fontId="8" fillId="6" borderId="0" xfId="1" applyNumberFormat="1" applyFont="1" applyFill="1" applyBorder="1" applyAlignment="1">
      <alignment horizontal="center"/>
    </xf>
    <xf numFmtId="2" fontId="8" fillId="6" borderId="6" xfId="1" applyNumberFormat="1" applyFont="1" applyFill="1" applyBorder="1" applyAlignment="1">
      <alignment horizontal="center"/>
    </xf>
  </cellXfs>
  <cellStyles count="6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  <cellStyle name="Normal 4" xfId="4" xr:uid="{00000000-0005-0000-0000-000004000000}"/>
    <cellStyle name="Percent" xfId="5" builtinId="5"/>
  </cellStyles>
  <dxfs count="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114300</xdr:colOff>
      <xdr:row>51</xdr:row>
      <xdr:rowOff>171450</xdr:rowOff>
    </xdr:to>
    <xdr:sp macro="" textlink="">
      <xdr:nvSpPr>
        <xdr:cNvPr id="2" name="AutoShape 83">
          <a:extLst>
            <a:ext uri="{FF2B5EF4-FFF2-40B4-BE49-F238E27FC236}">
              <a16:creationId xmlns:a16="http://schemas.microsoft.com/office/drawing/2014/main" id="{6DCC4CE2-FD10-48EE-91E9-B3B34AED93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D97A7-23E6-4B62-8BE8-EDC812FF2D9B}">
  <dimension ref="B3:W48"/>
  <sheetViews>
    <sheetView tabSelected="1" topLeftCell="A9" zoomScale="70" zoomScaleNormal="70" workbookViewId="0">
      <selection activeCell="H18" sqref="H18:H20"/>
    </sheetView>
  </sheetViews>
  <sheetFormatPr defaultRowHeight="14.4" x14ac:dyDescent="0.3"/>
  <cols>
    <col min="2" max="2" width="15.33203125" bestFit="1" customWidth="1"/>
    <col min="3" max="3" width="8.6640625" bestFit="1" customWidth="1"/>
    <col min="4" max="4" width="9.6640625" bestFit="1" customWidth="1"/>
    <col min="5" max="6" width="15.5546875" bestFit="1" customWidth="1"/>
    <col min="7" max="7" width="19.33203125" bestFit="1" customWidth="1"/>
    <col min="8" max="8" width="44.44140625" bestFit="1" customWidth="1"/>
    <col min="9" max="9" width="12.33203125" bestFit="1" customWidth="1"/>
    <col min="10" max="10" width="14.6640625" customWidth="1"/>
    <col min="11" max="11" width="11.88671875" bestFit="1" customWidth="1"/>
    <col min="12" max="12" width="12" bestFit="1" customWidth="1"/>
    <col min="15" max="23" width="12.6640625" customWidth="1"/>
  </cols>
  <sheetData>
    <row r="3" spans="2:23" ht="15" thickBot="1" x14ac:dyDescent="0.35">
      <c r="O3" s="375" t="s">
        <v>0</v>
      </c>
      <c r="P3" s="375"/>
      <c r="Q3" s="375"/>
      <c r="R3" s="379"/>
      <c r="S3" s="375"/>
      <c r="T3" s="375"/>
      <c r="U3" s="375"/>
      <c r="V3" s="375"/>
      <c r="W3" s="375"/>
    </row>
    <row r="4" spans="2:23" ht="43.8" thickBot="1" x14ac:dyDescent="0.35">
      <c r="B4" s="272" t="s">
        <v>1</v>
      </c>
      <c r="C4" s="181" t="s">
        <v>2</v>
      </c>
      <c r="D4" s="181" t="s">
        <v>3</v>
      </c>
      <c r="E4" s="273" t="s">
        <v>4</v>
      </c>
      <c r="F4" s="273" t="s">
        <v>5</v>
      </c>
      <c r="G4" s="274"/>
      <c r="H4" s="274"/>
      <c r="I4" s="274"/>
      <c r="J4" s="274"/>
      <c r="K4" s="274"/>
      <c r="L4" s="274"/>
      <c r="M4" s="275"/>
      <c r="O4" s="370" t="s">
        <v>6</v>
      </c>
      <c r="P4" s="371" t="str">
        <f>D4</f>
        <v>%Change TFP</v>
      </c>
      <c r="Q4" s="372" t="str">
        <f>B4</f>
        <v>US Customers     Output</v>
      </c>
      <c r="R4" s="373" t="str">
        <f>Calculation!T1</f>
        <v>% Ch. Industry Labor Input</v>
      </c>
      <c r="S4" s="373" t="str">
        <f>Calculation!AA1</f>
        <v>% Ch. Industry NonL OM Input</v>
      </c>
      <c r="T4" s="373" t="str">
        <f>Calculation!AI1</f>
        <v>% Ch. Industry Capital Input</v>
      </c>
      <c r="U4" s="373" t="str">
        <f>Calculation!AM1</f>
        <v>Industry  % Ch TC</v>
      </c>
      <c r="V4" s="374" t="str">
        <f>Calculation!AW1</f>
        <v>%Ch Input Q Index</v>
      </c>
      <c r="W4" s="374" t="str">
        <f>Calculation!BA1</f>
        <v>% Ch Industry Input Price Index</v>
      </c>
    </row>
    <row r="5" spans="2:23" ht="15" thickBot="1" x14ac:dyDescent="0.35">
      <c r="B5" s="276"/>
      <c r="C5" s="70"/>
      <c r="D5" s="70"/>
      <c r="E5" s="15"/>
      <c r="F5" s="15"/>
      <c r="G5" s="40"/>
      <c r="H5" s="40"/>
      <c r="I5" s="40"/>
      <c r="J5" s="40"/>
      <c r="K5" s="40"/>
      <c r="L5" s="40"/>
      <c r="M5" s="277"/>
      <c r="O5" s="102" t="str">
        <f>Calculation!S3</f>
        <v>2006-22</v>
      </c>
      <c r="P5" s="376">
        <f ca="1">D6</f>
        <v>-1.3329792057774079E-2</v>
      </c>
      <c r="Q5" s="376">
        <f>C6</f>
        <v>6.7790709726071943E-3</v>
      </c>
      <c r="R5" s="377">
        <f ca="1">Calculation!T3</f>
        <v>1.0043584769466103E-2</v>
      </c>
      <c r="S5" s="377">
        <f>Calculation!AA3</f>
        <v>1.0669577934373323E-2</v>
      </c>
      <c r="T5" s="378">
        <f>Calculation!AI3</f>
        <v>3.2721839558613734E-2</v>
      </c>
      <c r="U5" s="380">
        <f>Calculation!AM3</f>
        <v>3.7061532113432688E-2</v>
      </c>
      <c r="V5" s="380">
        <f ca="1">Calculation!AW3</f>
        <v>2.0108863030381272E-2</v>
      </c>
      <c r="W5" s="377">
        <f ca="1">Calculation!BA3</f>
        <v>2.038105481328608E-2</v>
      </c>
    </row>
    <row r="6" spans="2:23" ht="21" x14ac:dyDescent="0.4">
      <c r="B6" s="278" t="s">
        <v>7</v>
      </c>
      <c r="C6" s="279">
        <f>AVERAGE(C15:C30)</f>
        <v>6.7790709726071943E-3</v>
      </c>
      <c r="D6" s="279">
        <f ca="1">AVERAGE(D15:D30)</f>
        <v>-1.3329792057774079E-2</v>
      </c>
      <c r="E6" s="15"/>
      <c r="F6" s="15"/>
      <c r="G6" s="180"/>
      <c r="H6" s="181"/>
      <c r="I6" s="181"/>
      <c r="J6" s="181"/>
      <c r="K6" s="181"/>
      <c r="L6" s="182"/>
      <c r="M6" s="188"/>
      <c r="O6" t="str">
        <f>Calculation!G12</f>
        <v>2007 Y</v>
      </c>
      <c r="P6" s="27">
        <f ca="1">Q6-V6</f>
        <v>-2.3029569782882904E-2</v>
      </c>
      <c r="Q6" s="27">
        <f>C15</f>
        <v>7.5575578042563303E-3</v>
      </c>
      <c r="R6" s="27">
        <f ca="1">Calculation!T12</f>
        <v>7.5228453902266873E-2</v>
      </c>
      <c r="S6" s="27">
        <f>Calculation!AA12</f>
        <v>3.0633250682372158E-3</v>
      </c>
      <c r="T6" s="27">
        <f>Calculation!AI12</f>
        <v>2.7285278435961131E-2</v>
      </c>
      <c r="U6" s="27">
        <f>Calculation!AM12</f>
        <v>4.7011562243197837E-2</v>
      </c>
      <c r="V6" s="367">
        <f ca="1">Calculation!AW12</f>
        <v>3.0587127587139235E-2</v>
      </c>
      <c r="W6" s="27">
        <f ca="1">Calculation!BA12</f>
        <v>2.1585010989531167E-2</v>
      </c>
    </row>
    <row r="7" spans="2:23" ht="21" x14ac:dyDescent="0.4">
      <c r="B7" s="192"/>
      <c r="C7" s="57"/>
      <c r="D7" s="57"/>
      <c r="E7" s="15"/>
      <c r="F7" s="15"/>
      <c r="G7" s="183"/>
      <c r="H7" s="15"/>
      <c r="I7" s="15"/>
      <c r="J7" s="15"/>
      <c r="K7" s="15"/>
      <c r="L7" s="184"/>
      <c r="M7" s="188"/>
      <c r="O7" t="str">
        <f>Calculation!G13</f>
        <v>2008 Y</v>
      </c>
      <c r="P7" s="27">
        <f t="shared" ref="P7:P21" ca="1" si="0">Q7-V7</f>
        <v>-2.6885488367291207E-3</v>
      </c>
      <c r="Q7" s="27">
        <f t="shared" ref="Q7:Q21" si="1">C16</f>
        <v>5.3609207418405091E-3</v>
      </c>
      <c r="R7" s="27">
        <f ca="1">Calculation!T13</f>
        <v>-1.3815343150004095E-2</v>
      </c>
      <c r="S7" s="27">
        <f>Calculation!AA13</f>
        <v>-9.4409137808455334E-4</v>
      </c>
      <c r="T7" s="27">
        <f>Calculation!AI13</f>
        <v>2.7805236614413656E-2</v>
      </c>
      <c r="U7" s="27">
        <f>Calculation!AM13</f>
        <v>5.3878859453380563E-2</v>
      </c>
      <c r="V7" s="367">
        <f ca="1">Calculation!AW13</f>
        <v>8.0494695785696298E-3</v>
      </c>
      <c r="W7" s="27">
        <f ca="1">Calculation!BA13</f>
        <v>6.37139007221071E-2</v>
      </c>
    </row>
    <row r="8" spans="2:23" ht="21" x14ac:dyDescent="0.4">
      <c r="B8" s="280">
        <f>+Calculation!BB5+Calculation!BB30+Calculation!BB55+Calculation!BB80+Calculation!BB105+Calculation!BB130+Calculation!BB155+Calculation!BB180+Calculation!BB205+Calculation!BB230+Calculation!BB255+Calculation!BB280+Calculation!BB305+Calculation!BB330+Calculation!BB355+Calculation!BB380+Calculation!BB405+Calculation!BB430+Calculation!BB455+Calculation!BB480+Calculation!BB505+Calculation!BB530+Calculation!BB555+Calculation!BB580+Calculation!BB605+Calculation!BB630+Calculation!BB655+Calculation!BB680+Calculation!BB705+Calculation!BB730+Calculation!BB756+Calculation!BB780+Calculation!BB805+Calculation!BB830+Calculation!BB855+Calculation!BB880+Calculation!BB905+Calculation!BB930+Calculation!BB955+Calculation!BB980+Calculation!BB1005+Calculation!BB1030+Calculation!BB1055+Calculation!BB1080+Calculation!BB1105+Calculation!BB1130+Calculation!BB1155+Calculation!BB1180+Calculation!BB1205+Calculation!BB1230+Calculation!BB1255+Calculation!BB1280+Calculation!BB1305+Calculation!BB1330</f>
        <v>32142052</v>
      </c>
      <c r="C8" s="57"/>
      <c r="D8" s="57"/>
      <c r="E8" s="15"/>
      <c r="F8" s="15"/>
      <c r="G8" s="183"/>
      <c r="H8" s="15"/>
      <c r="I8" s="185" t="s">
        <v>8</v>
      </c>
      <c r="J8" s="185" t="s">
        <v>9</v>
      </c>
      <c r="K8" s="185" t="s">
        <v>10</v>
      </c>
      <c r="L8" s="184"/>
      <c r="M8" s="191"/>
      <c r="O8" t="str">
        <f>Calculation!G14</f>
        <v>2009 Y</v>
      </c>
      <c r="P8" s="27">
        <f t="shared" ca="1" si="0"/>
        <v>-4.6213263581825939E-2</v>
      </c>
      <c r="Q8" s="27">
        <f t="shared" si="1"/>
        <v>1.2755866976324999E-3</v>
      </c>
      <c r="R8" s="27">
        <f ca="1">Calculation!T14</f>
        <v>5.1331641684336231E-2</v>
      </c>
      <c r="S8" s="27">
        <f>Calculation!AA14</f>
        <v>7.1220130801434994E-2</v>
      </c>
      <c r="T8" s="27">
        <f>Calculation!AI14</f>
        <v>2.6435532136673507E-2</v>
      </c>
      <c r="U8" s="27">
        <f>Calculation!AM14</f>
        <v>4.4382640810928929E-2</v>
      </c>
      <c r="V8" s="367">
        <f ca="1">Calculation!AW14</f>
        <v>4.7488850279458442E-2</v>
      </c>
      <c r="W8" s="27">
        <f ca="1">Calculation!BA14</f>
        <v>-1.2795896292238564E-2</v>
      </c>
    </row>
    <row r="9" spans="2:23" ht="21" x14ac:dyDescent="0.4">
      <c r="B9" s="280">
        <f>+Calculation!BB6+Calculation!BB31+Calculation!BB56+Calculation!BB81+Calculation!BB106+Calculation!BB131+Calculation!BB156+Calculation!BB181+Calculation!BB206+Calculation!BB231+Calculation!BB256+Calculation!BB281+Calculation!BB306+Calculation!BB331+Calculation!BB356+Calculation!BB381+Calculation!BB406+Calculation!BB431+Calculation!BB456+Calculation!BB481+Calculation!BB506+Calculation!BB531+Calculation!BB556+Calculation!BB581+Calculation!BB606+Calculation!BB631+Calculation!BB656+Calculation!BB681+Calculation!BB706+Calculation!BB731+Calculation!BB757+Calculation!BB781+Calculation!BB806+Calculation!BB831+Calculation!BB856+Calculation!BB881+Calculation!BB906+Calculation!BB931+Calculation!BB956+Calculation!BB981+Calculation!BB1006+Calculation!BB1031+Calculation!BB1056+Calculation!BB1081+Calculation!BB1106+Calculation!BB1131+Calculation!BB1156+Calculation!BB1181+Calculation!BB1206+Calculation!BB1231+Calculation!BB1256+Calculation!BB1281+Calculation!BB1306+Calculation!BB1331</f>
        <v>32759727</v>
      </c>
      <c r="C9" s="232">
        <f t="shared" ref="C9:C30" si="2">LN(B9/B8)</f>
        <v>1.9034721670323575E-2</v>
      </c>
      <c r="D9" s="232"/>
      <c r="E9" s="231"/>
      <c r="F9" s="231"/>
      <c r="G9" s="183"/>
      <c r="H9" s="117" t="s">
        <v>11</v>
      </c>
      <c r="I9" s="118">
        <f>+C6</f>
        <v>6.7790709726071943E-3</v>
      </c>
      <c r="J9" s="186">
        <f ca="1">+Calculation!AW3</f>
        <v>2.0108863030381272E-2</v>
      </c>
      <c r="K9" s="118">
        <f ca="1">+I9-J9</f>
        <v>-1.3329792057774077E-2</v>
      </c>
      <c r="L9" s="184"/>
      <c r="M9" s="188"/>
      <c r="O9" t="str">
        <f>Calculation!G15</f>
        <v>2010 Y</v>
      </c>
      <c r="P9" s="27">
        <f t="shared" ca="1" si="0"/>
        <v>-7.0376902619922969E-3</v>
      </c>
      <c r="Q9" s="27">
        <f t="shared" si="1"/>
        <v>5.4864352885065065E-3</v>
      </c>
      <c r="R9" s="27">
        <f ca="1">Calculation!T15</f>
        <v>-2.2306233708934441E-2</v>
      </c>
      <c r="S9" s="27">
        <f>Calculation!AA15</f>
        <v>1.8764283871399442E-2</v>
      </c>
      <c r="T9" s="27">
        <f>Calculation!AI15</f>
        <v>2.7425532433563375E-2</v>
      </c>
      <c r="U9" s="27">
        <f>Calculation!AM15</f>
        <v>3.0364303617829668E-2</v>
      </c>
      <c r="V9" s="367">
        <f ca="1">Calculation!AW15</f>
        <v>1.2524125550498803E-2</v>
      </c>
      <c r="W9" s="27">
        <f ca="1">Calculation!BA15</f>
        <v>2.3343155402729146E-2</v>
      </c>
    </row>
    <row r="10" spans="2:23" ht="21" x14ac:dyDescent="0.4">
      <c r="B10" s="280">
        <f>+Calculation!BB7+Calculation!BB32+Calculation!BB57+Calculation!BB82+Calculation!BB107+Calculation!BB132+Calculation!BB157+Calculation!BB182+Calculation!BB207+Calculation!BB232+Calculation!BB257+Calculation!BB282+Calculation!BB307+Calculation!BB332+Calculation!BB357+Calculation!BB382+Calculation!BB407+Calculation!BB432+Calculation!BB457+Calculation!BB482+Calculation!BB507+Calculation!BB532+Calculation!BB557+Calculation!BB582+Calculation!BB607+Calculation!BB632+Calculation!BB657+Calculation!BB682+Calculation!BB707+Calculation!BB732+Calculation!BB758+Calculation!BB782+Calculation!BB807+Calculation!BB832+Calculation!BB857+Calculation!BB882+Calculation!BB907+Calculation!BB932+Calculation!BB957+Calculation!BB982+Calculation!BB1007+Calculation!BB1032+Calculation!BB1057+Calculation!BB1082+Calculation!BB1107+Calculation!BB1132+Calculation!BB1157+Calculation!BB1182+Calculation!BB1207+Calculation!BB1232+Calculation!BB1257+Calculation!BB1282+Calculation!BB1307+Calculation!BB1332</f>
        <v>33101015</v>
      </c>
      <c r="C10" s="232">
        <f t="shared" si="2"/>
        <v>1.0364020948621372E-2</v>
      </c>
      <c r="D10" s="232"/>
      <c r="E10" s="231"/>
      <c r="F10" s="231"/>
      <c r="G10" s="183"/>
      <c r="H10" s="11"/>
      <c r="I10" s="174"/>
      <c r="J10" s="174"/>
      <c r="K10" s="174"/>
      <c r="L10" s="184"/>
      <c r="M10" s="194"/>
      <c r="O10" t="str">
        <f>Calculation!G16</f>
        <v>2011 Y</v>
      </c>
      <c r="P10" s="27">
        <f t="shared" ca="1" si="0"/>
        <v>-6.2659223329175531E-3</v>
      </c>
      <c r="Q10" s="27">
        <f t="shared" si="1"/>
        <v>4.8366679560601609E-3</v>
      </c>
      <c r="R10" s="27">
        <f ca="1">Calculation!T16</f>
        <v>-1.1025542770953257E-2</v>
      </c>
      <c r="S10" s="27">
        <f>Calculation!AA16</f>
        <v>1.5753997992192673E-3</v>
      </c>
      <c r="T10" s="27">
        <f>Calculation!AI16</f>
        <v>3.0517654466569705E-2</v>
      </c>
      <c r="U10" s="27">
        <f>Calculation!AM16</f>
        <v>3.9929893977223747E-2</v>
      </c>
      <c r="V10" s="367">
        <f ca="1">Calculation!AW16</f>
        <v>1.1102590288977714E-2</v>
      </c>
      <c r="W10" s="27">
        <f ca="1">Calculation!BA16</f>
        <v>3.8650951383527574E-2</v>
      </c>
    </row>
    <row r="11" spans="2:23" ht="21" x14ac:dyDescent="0.4">
      <c r="B11" s="280">
        <f>+Calculation!BB8+Calculation!BB33+Calculation!BB58+Calculation!BB83+Calculation!BB108+Calculation!BB133+Calculation!BB158+Calculation!BB183+Calculation!BB208+Calculation!BB233+Calculation!BB258+Calculation!BB283+Calculation!BB308+Calculation!BB333+Calculation!BB358+Calculation!BB383+Calculation!BB408+Calculation!BB433+Calculation!BB458+Calculation!BB483+Calculation!BB508+Calculation!BB533+Calculation!BB558+Calculation!BB583+Calculation!BB608+Calculation!BB633+Calculation!BB658+Calculation!BB683+Calculation!BB708+Calculation!BB733+Calculation!BB759+Calculation!BB783+Calculation!BB808+Calculation!BB833+Calculation!BB858+Calculation!BB883+Calculation!BB908+Calculation!BB933+Calculation!BB958+Calculation!BB983+Calculation!BB1008+Calculation!BB1033+Calculation!BB1058+Calculation!BB1083+Calculation!BB1108+Calculation!BB1133+Calculation!BB1158+Calculation!BB1183+Calculation!BB1208+Calculation!BB1233+Calculation!BB1258+Calculation!BB1283+Calculation!BB1308+Calculation!BB1333</f>
        <v>33430818</v>
      </c>
      <c r="C11" s="232">
        <f t="shared" si="2"/>
        <v>9.9142226069954369E-3</v>
      </c>
      <c r="D11" s="232"/>
      <c r="E11" s="231"/>
      <c r="F11" s="231"/>
      <c r="G11" s="183"/>
      <c r="H11" s="11"/>
      <c r="I11" s="11"/>
      <c r="J11" s="11"/>
      <c r="K11" s="174"/>
      <c r="L11" s="184"/>
      <c r="M11" s="194"/>
      <c r="O11" t="str">
        <f>Calculation!G17</f>
        <v>2012 Y</v>
      </c>
      <c r="P11" s="27">
        <f t="shared" ca="1" si="0"/>
        <v>4.0522237795521943E-4</v>
      </c>
      <c r="Q11" s="27">
        <f t="shared" si="1"/>
        <v>4.8038389639993477E-3</v>
      </c>
      <c r="R11" s="27">
        <f ca="1">Calculation!T17</f>
        <v>-2.415243108699151E-2</v>
      </c>
      <c r="S11" s="27">
        <f>Calculation!AA17</f>
        <v>-1.1254403072877587E-2</v>
      </c>
      <c r="T11" s="27">
        <f>Calculation!AI17</f>
        <v>2.897329236682589E-2</v>
      </c>
      <c r="U11" s="27">
        <f>Calculation!AM17</f>
        <v>3.4202763418619449E-2</v>
      </c>
      <c r="V11" s="367">
        <f ca="1">Calculation!AW17</f>
        <v>4.3986165860441283E-3</v>
      </c>
      <c r="W11" s="27">
        <f ca="1">Calculation!BA17</f>
        <v>4.4249115524604928E-2</v>
      </c>
    </row>
    <row r="12" spans="2:23" ht="21" x14ac:dyDescent="0.4">
      <c r="B12" s="280">
        <f>+Calculation!BB9+Calculation!BB34+Calculation!BB59+Calculation!BB84+Calculation!BB109+Calculation!BB134+Calculation!BB159+Calculation!BB184+Calculation!BB209+Calculation!BB234+Calculation!BB259+Calculation!BB284+Calculation!BB309+Calculation!BB334+Calculation!BB359+Calculation!BB384+Calculation!BB409+Calculation!BB434+Calculation!BB459+Calculation!BB484+Calculation!BB509+Calculation!BB534+Calculation!BB559+Calculation!BB584+Calculation!BB609+Calculation!BB634+Calculation!BB659+Calculation!BB684+Calculation!BB709+Calculation!BB734+Calculation!BB760+Calculation!BB784+Calculation!BB809+Calculation!BB834+Calculation!BB859+Calculation!BB884+Calculation!BB909+Calculation!BB934+Calculation!BB959+Calculation!BB984+Calculation!BB1009+Calculation!BB1034+Calculation!BB1059+Calculation!BB1084+Calculation!BB1109+Calculation!BB1134+Calculation!BB1159+Calculation!BB1184+Calculation!BB1209+Calculation!BB1234+Calculation!BB1259+Calculation!BB1284+Calculation!BB1309+Calculation!BB1334</f>
        <v>33771156</v>
      </c>
      <c r="C12" s="232">
        <f t="shared" si="2"/>
        <v>1.0128896205638893E-2</v>
      </c>
      <c r="D12" s="232"/>
      <c r="E12" s="46">
        <f>+Calculation!BB84+Calculation!BB159+Calculation!BB184+Calculation!BB234+Calculation!BB259+Calculation!BB334+Calculation!BB359+Calculation!BB409+Calculation!BB584+Calculation!BB609+Calculation!BB634+Calculation!BB659+Calculation!BB809+Calculation!BB934+Calculation!BB1009+Calculation!BB1034+Calculation!BB1084+Calculation!BB1159+1383</f>
        <v>7944994</v>
      </c>
      <c r="F12" s="46">
        <f>+Calculation!AJ84+Calculation!AJ159+Calculation!AJ184+Calculation!AJ234+Calculation!AJ259+Calculation!AJ334+Calculation!AJ359+Calculation!AJ409+Calculation!AJ584+Calculation!AJ609+Calculation!AJ634+Calculation!AJ659+Calculation!AJ809+Calculation!AJ934+Calculation!AJ1009+Calculation!AJ1034+Calculation!AJ1084+Calculation!AJ1159+Calculation!AJ1334</f>
        <v>2037049.1651524426</v>
      </c>
      <c r="G12" s="183"/>
      <c r="H12" s="11"/>
      <c r="I12" s="11"/>
      <c r="J12" s="11"/>
      <c r="K12" s="11"/>
      <c r="L12" s="184"/>
      <c r="M12" s="194"/>
      <c r="O12" t="str">
        <f>Calculation!G18</f>
        <v>2013 Y</v>
      </c>
      <c r="P12" s="27">
        <f t="shared" ca="1" si="0"/>
        <v>-2.9192560549792457E-2</v>
      </c>
      <c r="Q12" s="27">
        <f t="shared" si="1"/>
        <v>6.3937197935447802E-3</v>
      </c>
      <c r="R12" s="27">
        <f ca="1">Calculation!T18</f>
        <v>3.9302622050529507E-2</v>
      </c>
      <c r="S12" s="27">
        <f>Calculation!AA18</f>
        <v>3.7626131855514097E-2</v>
      </c>
      <c r="T12" s="27">
        <f>Calculation!AI18</f>
        <v>3.2437065592454448E-2</v>
      </c>
      <c r="U12" s="27">
        <f>Calculation!AM18</f>
        <v>3.5802702294848075E-2</v>
      </c>
      <c r="V12" s="367">
        <f ca="1">Calculation!AW18</f>
        <v>3.5586280343337238E-2</v>
      </c>
      <c r="W12" s="27">
        <f ca="1">Calculation!BA18</f>
        <v>-4.457494697064128E-3</v>
      </c>
    </row>
    <row r="13" spans="2:23" ht="21" x14ac:dyDescent="0.4">
      <c r="B13" s="280">
        <f>+Calculation!BB10+Calculation!BB35+Calculation!BB60+Calculation!BB85+Calculation!BB110+Calculation!BB135+Calculation!BB160+Calculation!BB185+Calculation!BB210+Calculation!BB235+Calculation!BB260+Calculation!BB285+Calculation!BB310+Calculation!BB335+Calculation!BB360+Calculation!BB385+Calculation!BB410+Calculation!BB435+Calculation!BB460+Calculation!BB485+Calculation!BB510+Calculation!BB535+Calculation!BB560+Calculation!BB585+Calculation!BB610+Calculation!BB635+Calculation!BB660+Calculation!BB685+Calculation!BB710+Calculation!BB735+Calculation!BB761+Calculation!BB785+Calculation!BB810+Calculation!BB835+Calculation!BB860+Calculation!BB885+Calculation!BB910+Calculation!BB935+Calculation!BB960+Calculation!BB985+Calculation!BB1010+Calculation!BB1035+Calculation!BB1060+Calculation!BB1085+Calculation!BB1110+Calculation!BB1135+Calculation!BB1160+Calculation!BB1185+Calculation!BB1210+Calculation!BB1235+Calculation!BB1260+Calculation!BB1285+Calculation!BB1310+Calculation!BB1335</f>
        <v>34294154</v>
      </c>
      <c r="C13" s="232">
        <f t="shared" si="2"/>
        <v>1.5367836949950975E-2</v>
      </c>
      <c r="D13" s="232"/>
      <c r="E13" s="46">
        <f>+Calculation!BB85+Calculation!BB160+Calculation!BB185+Calculation!BB235+Calculation!BB260+Calculation!BB335+Calculation!BB360+Calculation!BB410+Calculation!BB585+Calculation!BB610+Calculation!BB635+Calculation!BB660+Calculation!BB810+Calculation!BB935+Calculation!BB1010+Calculation!BB1035+Calculation!BB1085+Calculation!BB1160+1383</f>
        <v>7937779</v>
      </c>
      <c r="F13" s="46">
        <f>+Calculation!AJ85+Calculation!AJ160+Calculation!AJ185+Calculation!AJ235+Calculation!AJ260+Calculation!AJ335+Calculation!AJ360+Calculation!AJ410+Calculation!AJ585+Calculation!AJ610+Calculation!AJ635+Calculation!AJ660+Calculation!AJ810+Calculation!AJ935+Calculation!AJ1010+Calculation!AJ1035+Calculation!AJ1085+Calculation!AJ1160+Calculation!AJ1335</f>
        <v>2301006.1924817292</v>
      </c>
      <c r="G13" s="183"/>
      <c r="H13" s="11"/>
      <c r="I13" s="11"/>
      <c r="J13" s="11"/>
      <c r="K13" s="11"/>
      <c r="L13" s="184"/>
      <c r="M13" s="194"/>
      <c r="O13" t="str">
        <f>Calculation!G19</f>
        <v>2014 Y</v>
      </c>
      <c r="P13" s="27">
        <f t="shared" ca="1" si="0"/>
        <v>-6.1166454642483112E-3</v>
      </c>
      <c r="Q13" s="27">
        <f t="shared" si="1"/>
        <v>5.358038498433095E-3</v>
      </c>
      <c r="R13" s="27">
        <f ca="1">Calculation!T19</f>
        <v>-1.1281577445603852E-2</v>
      </c>
      <c r="S13" s="27">
        <f>Calculation!AA19</f>
        <v>-9.2300183413755923E-3</v>
      </c>
      <c r="T13" s="27">
        <f>Calculation!AI19</f>
        <v>3.6687174481198716E-2</v>
      </c>
      <c r="U13" s="27">
        <f>Calculation!AM19</f>
        <v>1.8191977146988732E-2</v>
      </c>
      <c r="V13" s="367">
        <f ca="1">Calculation!AW19</f>
        <v>1.1474683962681406E-2</v>
      </c>
      <c r="W13" s="27">
        <f ca="1">Calculation!BA19</f>
        <v>1.5075266857295357E-2</v>
      </c>
    </row>
    <row r="14" spans="2:23" ht="21" x14ac:dyDescent="0.4">
      <c r="B14" s="280">
        <f>+Calculation!BB11+Calculation!BB36+Calculation!BB61+Calculation!BB86+Calculation!BB111+Calculation!BB136+Calculation!BB161+Calculation!BB186+Calculation!BB211+Calculation!BB236+Calculation!BB261+Calculation!BB286+Calculation!BB311+Calculation!BB336+Calculation!BB361+Calculation!BB386+Calculation!BB411+Calculation!BB436+Calculation!BB461+Calculation!BB486+Calculation!BB511+Calculation!BB536+Calculation!BB561+Calculation!BB586+Calculation!BB611+Calculation!BB636+Calculation!BB661+Calculation!BB686+Calculation!BB711+Calculation!BB736+Calculation!BB762+Calculation!BB786+Calculation!BB811+Calculation!BB836+Calculation!BB861+Calculation!BB886+Calculation!BB911+Calculation!BB936+Calculation!BB961+Calculation!BB986+Calculation!BB1011+Calculation!BB1036+Calculation!BB1061+Calculation!BB1086+Calculation!BB1111+Calculation!BB1136+Calculation!BB1161+Calculation!BB1186+Calculation!BB1211+Calculation!BB1236+Calculation!BB1261+Calculation!BB1286+Calculation!BB1311+Calculation!BB1336</f>
        <v>34681449</v>
      </c>
      <c r="C14" s="232">
        <f t="shared" si="2"/>
        <v>1.123003071839797E-2</v>
      </c>
      <c r="D14" s="232">
        <f ca="1">+C14-Calculation!AW11</f>
        <v>4.7360754192413257E-2</v>
      </c>
      <c r="E14" s="46">
        <f>+Calculation!BB86+Calculation!BB161+Calculation!BB186+Calculation!BB236+Calculation!BB261+Calculation!BB336+Calculation!BB361+Calculation!BB411+Calculation!BB586+Calculation!BB611+Calculation!BB636+Calculation!BB661+Calculation!BB811+Calculation!BB936+Calculation!BB1011+Calculation!BB1036+Calculation!BB1086+Calculation!BB1161+1383</f>
        <v>8064642</v>
      </c>
      <c r="F14" s="46">
        <f>+Calculation!AJ86+Calculation!AJ161+Calculation!AJ186+Calculation!AJ236+Calculation!AJ261+Calculation!AJ336+Calculation!AJ361+Calculation!AJ411+Calculation!AJ586+Calculation!AJ611+Calculation!AJ636+Calculation!AJ661+Calculation!AJ811+Calculation!AJ936+Calculation!AJ1011+Calculation!AJ1036+Calculation!AJ1086+Calculation!AJ1161+Calculation!AJ1336</f>
        <v>2265593.2262507803</v>
      </c>
      <c r="G14" s="187"/>
      <c r="H14" s="50"/>
      <c r="I14" s="50"/>
      <c r="J14" s="50"/>
      <c r="K14" s="50"/>
      <c r="L14" s="188"/>
      <c r="M14" s="197"/>
      <c r="O14" t="str">
        <f>Calculation!G20</f>
        <v>2015 Y</v>
      </c>
      <c r="P14" s="27">
        <f t="shared" ca="1" si="0"/>
        <v>-7.413616396432246E-3</v>
      </c>
      <c r="Q14" s="27">
        <f t="shared" si="1"/>
        <v>8.1645404245792169E-3</v>
      </c>
      <c r="R14" s="27">
        <f ca="1">Calculation!T20</f>
        <v>-2.0798424502026087E-2</v>
      </c>
      <c r="S14" s="27">
        <f>Calculation!AA20</f>
        <v>8.7006265857503306E-4</v>
      </c>
      <c r="T14" s="27">
        <f>Calculation!AI20</f>
        <v>4.2695234764268973E-2</v>
      </c>
      <c r="U14" s="27">
        <f>Calculation!AM20</f>
        <v>5.1685599699569209E-3</v>
      </c>
      <c r="V14" s="367">
        <f ca="1">Calculation!AW20</f>
        <v>1.5578156821011463E-2</v>
      </c>
      <c r="W14" s="27">
        <f ca="1">Calculation!BA20</f>
        <v>-6.3060881472460275E-3</v>
      </c>
    </row>
    <row r="15" spans="2:23" ht="21" x14ac:dyDescent="0.4">
      <c r="B15" s="280">
        <f>+Calculation!BB12+Calculation!BB37+Calculation!BB62+Calculation!BB87+Calculation!BB112+Calculation!BB137+Calculation!BB162+Calculation!BB187+Calculation!BB212+Calculation!BB237+Calculation!BB262+Calculation!BB287+Calculation!BB312+Calculation!BB337+Calculation!BB362+Calculation!BB387+Calculation!BB412+Calculation!BB437+Calculation!BB462+Calculation!BB487+Calculation!BB512+Calculation!BB537+Calculation!BB562+Calculation!BB587+Calculation!BB612+Calculation!BB637+Calculation!BB662+Calculation!BB687+Calculation!BB712+Calculation!BB737+Calculation!BB763+Calculation!BB787+Calculation!BB812+Calculation!BB837+Calculation!BB862+Calculation!BB887+Calculation!BB912+Calculation!BB937+Calculation!BB962+Calculation!BB987+Calculation!BB1012+Calculation!BB1037+Calculation!BB1062+Calculation!BB1087+Calculation!BB1112+Calculation!BB1137+Calculation!BB1162+Calculation!BB1187+Calculation!BB1212+Calculation!BB1237+Calculation!BB1262+Calculation!BB1287+Calculation!BB1312+Calculation!BB1337</f>
        <v>34944549</v>
      </c>
      <c r="C15" s="232">
        <f t="shared" si="2"/>
        <v>7.5575578042563303E-3</v>
      </c>
      <c r="D15" s="232">
        <f ca="1">+C15-Calculation!AW12</f>
        <v>-2.3029569782882904E-2</v>
      </c>
      <c r="E15" s="46">
        <f>+Calculation!BB87+Calculation!BB162+Calculation!BB187+Calculation!BB237+Calculation!BB262+Calculation!BB337+Calculation!BB362+Calculation!BB412+Calculation!BB587+Calculation!BB612+Calculation!BB637+Calculation!BB662+Calculation!BB812+Calculation!BB937+Calculation!BB1012+Calculation!BB1037+Calculation!BB1087+Calculation!BB1162+1383</f>
        <v>8001755</v>
      </c>
      <c r="F15" s="46">
        <f>+Calculation!AJ87+Calculation!AJ162+Calculation!AJ187+Calculation!AJ237+Calculation!AJ262+Calculation!AJ337+Calculation!AJ362+Calculation!AJ412+Calculation!AJ587+Calculation!AJ612+Calculation!AJ637+Calculation!AJ662+Calculation!AJ812+Calculation!AJ937+Calculation!AJ1012+Calculation!AJ1037+Calculation!AJ1087+Calculation!AJ1162+Calculation!AJ1337</f>
        <v>2376847.9555396736</v>
      </c>
      <c r="G15" s="445" t="s">
        <v>12</v>
      </c>
      <c r="H15" s="446"/>
      <c r="I15" s="446"/>
      <c r="J15" s="446"/>
      <c r="K15" s="446"/>
      <c r="L15" s="447"/>
      <c r="M15" s="188"/>
      <c r="O15" t="str">
        <f>Calculation!G21</f>
        <v>2016 Y</v>
      </c>
      <c r="P15" s="27">
        <f t="shared" ca="1" si="0"/>
        <v>-2.5075780207463889E-2</v>
      </c>
      <c r="Q15" s="27">
        <f t="shared" si="1"/>
        <v>8.6789522848895982E-3</v>
      </c>
      <c r="R15" s="27">
        <f ca="1">Calculation!T21</f>
        <v>1.6100803594562629E-2</v>
      </c>
      <c r="S15" s="27">
        <f>Calculation!AA21</f>
        <v>3.1189752459504585E-2</v>
      </c>
      <c r="T15" s="27">
        <f>Calculation!AI21</f>
        <v>4.4463757254805503E-2</v>
      </c>
      <c r="U15" s="27">
        <f>Calculation!AM21</f>
        <v>3.1814164405952403E-2</v>
      </c>
      <c r="V15" s="367">
        <f ca="1">Calculation!AW21</f>
        <v>3.3754732492353487E-2</v>
      </c>
      <c r="W15" s="27">
        <f ca="1">Calculation!BA21</f>
        <v>-4.1228925442518584E-3</v>
      </c>
    </row>
    <row r="16" spans="2:23" ht="21" x14ac:dyDescent="0.4">
      <c r="B16" s="280">
        <f>+Calculation!BB13+Calculation!BB38+Calculation!BB63+Calculation!BB88+Calculation!BB113+Calculation!BB138+Calculation!BB163+Calculation!BB188+Calculation!BB213+Calculation!BB238+Calculation!BB263+Calculation!BB288+Calculation!BB313+Calculation!BB338+Calculation!BB363+Calculation!BB388+Calculation!BB413+Calculation!BB438+Calculation!BB463+Calculation!BB488+Calculation!BB513+Calculation!BB538+Calculation!BB563+Calculation!BB588+Calculation!BB613+Calculation!BB638+Calculation!BB663+Calculation!BB688+Calculation!BB713+Calculation!BB738+Calculation!BB764+Calculation!BB788+Calculation!BB813+Calculation!BB838+Calculation!BB863+Calculation!BB888+Calculation!BB913+Calculation!BB938+Calculation!BB963+Calculation!BB988+Calculation!BB1013+Calculation!BB1038+Calculation!BB1063+Calculation!BB1088+Calculation!BB1113+Calculation!BB1138+Calculation!BB1163+Calculation!BB1188+Calculation!BB1213+Calculation!BB1238+Calculation!BB1263+Calculation!BB1288+Calculation!BB1313+Calculation!BB1338</f>
        <v>35132387</v>
      </c>
      <c r="C16" s="232">
        <f t="shared" si="2"/>
        <v>5.3609207418405091E-3</v>
      </c>
      <c r="D16" s="232">
        <f ca="1">+C16-Calculation!AW13</f>
        <v>-2.6885488367291207E-3</v>
      </c>
      <c r="E16" s="46">
        <f>+Calculation!BB88+Calculation!BB163+Calculation!BB188+Calculation!BB238+Calculation!BB263+Calculation!BB338+Calculation!BB363+Calculation!BB413+Calculation!BB588+Calculation!BB613+Calculation!BB638+Calculation!BB663+Calculation!BB813+Calculation!BB938+Calculation!BB1013+Calculation!BB1038+Calculation!BB1088+Calculation!BB1163+1383</f>
        <v>8055968</v>
      </c>
      <c r="F16" s="46">
        <f>+Calculation!AJ88+Calculation!AJ163+Calculation!AJ188+Calculation!AJ238+Calculation!AJ263+Calculation!AJ338+Calculation!AJ363+Calculation!AJ413+Calculation!AJ588+Calculation!AJ613+Calculation!AJ638+Calculation!AJ663+Calculation!AJ813+Calculation!AJ938+Calculation!AJ1013+Calculation!AJ1038+Calculation!AJ1088+Calculation!AJ1163+Calculation!AJ1338</f>
        <v>2580147.0405812636</v>
      </c>
      <c r="G16" s="189"/>
      <c r="H16" s="190" t="s">
        <v>13</v>
      </c>
      <c r="I16" s="68" t="s">
        <v>14</v>
      </c>
      <c r="J16" s="190" t="s">
        <v>15</v>
      </c>
      <c r="K16" s="68" t="s">
        <v>16</v>
      </c>
      <c r="L16" s="191" t="s">
        <v>17</v>
      </c>
      <c r="M16" s="188"/>
      <c r="O16" t="str">
        <f>Calculation!G22</f>
        <v>2017 Y</v>
      </c>
      <c r="P16" s="27">
        <f t="shared" ca="1" si="0"/>
        <v>-1.5764101795316256E-2</v>
      </c>
      <c r="Q16" s="27">
        <f t="shared" si="1"/>
        <v>7.541524790036302E-3</v>
      </c>
      <c r="R16" s="27">
        <f ca="1">Calculation!T22</f>
        <v>5.0906248304912116E-3</v>
      </c>
      <c r="S16" s="27">
        <f>Calculation!AA22</f>
        <v>1.144867920722991E-2</v>
      </c>
      <c r="T16" s="27">
        <f>Calculation!AI22</f>
        <v>4.2779453499571331E-2</v>
      </c>
      <c r="U16" s="27">
        <f>Calculation!AM22</f>
        <v>-3.3270213503890209E-4</v>
      </c>
      <c r="V16" s="367">
        <f ca="1">Calculation!AW22</f>
        <v>2.3305626585352558E-2</v>
      </c>
      <c r="W16" s="27">
        <f ca="1">Calculation!BA22</f>
        <v>-3.1359881646672812E-2</v>
      </c>
    </row>
    <row r="17" spans="2:23" ht="21" x14ac:dyDescent="0.4">
      <c r="B17" s="280">
        <f>+Calculation!BB14+Calculation!BB39+Calculation!BB64+Calculation!BB89+Calculation!BB114+Calculation!BB139+Calculation!BB164+Calculation!BB189+Calculation!BB214+Calculation!BB239+Calculation!BB264+Calculation!BB289+Calculation!BB314+Calculation!BB339+Calculation!BB364+Calculation!BB389+Calculation!BB414+Calculation!BB439+Calculation!BB464+Calculation!BB489+Calculation!BB514+Calculation!BB539+Calculation!BB564+Calculation!BB589+Calculation!BB614+Calculation!BB639+Calculation!BB664+Calculation!BB689+Calculation!BB714+Calculation!BB739+Calculation!BB765+Calculation!BB789+Calculation!BB814+Calculation!BB839+Calculation!BB864+Calculation!BB889+Calculation!BB914+Calculation!BB939+Calculation!BB964+Calculation!BB989+Calculation!BB1014+Calculation!BB1039+Calculation!BB1064+Calculation!BB1089+Calculation!BB1114+Calculation!BB1139+Calculation!BB1164+Calculation!BB1189+Calculation!BB1214+Calculation!BB1239+Calculation!BB1264+Calculation!BB1289+Calculation!BB1314+Calculation!BB1339</f>
        <v>35177230</v>
      </c>
      <c r="C17" s="232">
        <f t="shared" si="2"/>
        <v>1.2755866976324999E-3</v>
      </c>
      <c r="D17" s="232">
        <f ca="1">+C17-Calculation!AW14</f>
        <v>-4.6213263581825939E-2</v>
      </c>
      <c r="E17" s="46">
        <f>+Calculation!BB89+Calculation!BB164+Calculation!BB189+Calculation!BB239+Calculation!BB264+Calculation!BB339+Calculation!BB364+Calculation!BB414+Calculation!BB589+Calculation!BB614+Calculation!BB639+Calculation!BB664+Calculation!BB814+Calculation!BB939+Calculation!BB1014+Calculation!BB1039+Calculation!BB1089+Calculation!BB1164+1383</f>
        <v>8147214</v>
      </c>
      <c r="F17" s="46">
        <f>+Calculation!AJ89+Calculation!AJ164+Calculation!AJ189+Calculation!AJ239+Calculation!AJ264+Calculation!AJ339+Calculation!AJ364+Calculation!AJ414+Calculation!AJ589+Calculation!AJ614+Calculation!AJ639+Calculation!AJ664+Calculation!AJ814+Calculation!AJ939+Calculation!AJ1014+Calculation!AJ1039+Calculation!AJ1089+Calculation!AJ1164+Calculation!AJ1339</f>
        <v>2697706.1311437176</v>
      </c>
      <c r="G17" s="192"/>
      <c r="H17" s="61"/>
      <c r="I17" s="49"/>
      <c r="J17" s="57"/>
      <c r="K17" s="46"/>
      <c r="L17" s="188"/>
      <c r="M17" s="188"/>
      <c r="O17" t="str">
        <f>Calculation!G23</f>
        <v>2018 Y</v>
      </c>
      <c r="P17" s="27">
        <f t="shared" ca="1" si="0"/>
        <v>-4.5203143963750442E-2</v>
      </c>
      <c r="Q17" s="27">
        <f t="shared" si="1"/>
        <v>8.7964523781095504E-3</v>
      </c>
      <c r="R17" s="27">
        <f ca="1">Calculation!T23</f>
        <v>6.0599123026443456E-2</v>
      </c>
      <c r="S17" s="27">
        <f>Calculation!AA23</f>
        <v>6.5103312462305191E-2</v>
      </c>
      <c r="T17" s="27">
        <f>Calculation!AI23</f>
        <v>4.0993994858551278E-2</v>
      </c>
      <c r="U17" s="27">
        <f>Calculation!AM23</f>
        <v>7.9344369420411842E-2</v>
      </c>
      <c r="V17" s="367">
        <f ca="1">Calculation!AW23</f>
        <v>5.3999596341859996E-2</v>
      </c>
      <c r="W17" s="27">
        <f ca="1">Calculation!BA23</f>
        <v>2.7808764650201379E-2</v>
      </c>
    </row>
    <row r="18" spans="2:23" ht="21" x14ac:dyDescent="0.4">
      <c r="B18" s="280">
        <f>+Calculation!BB15+Calculation!BB40+Calculation!BB65+Calculation!BB90+Calculation!BB115+Calculation!BB140+Calculation!BB165+Calculation!BB190+Calculation!BB215+Calculation!BB240+Calculation!BB265+Calculation!BB290+Calculation!BB315+Calculation!BB340+Calculation!BB365+Calculation!BB390+Calculation!BB415+Calculation!BB440+Calculation!BB465+Calculation!BB490+Calculation!BB515+Calculation!BB540+Calculation!BB565+Calculation!BB590+Calculation!BB615+Calculation!BB640+Calculation!BB665+Calculation!BB690+Calculation!BB715+Calculation!BB740+Calculation!BB766+Calculation!BB790+Calculation!BB815+Calculation!BB840+Calculation!BB865+Calculation!BB890+Calculation!BB915+Calculation!BB940+Calculation!BB965+Calculation!BB990+Calculation!BB1015+Calculation!BB1040+Calculation!BB1065+Calculation!BB1090+Calculation!BB1115+Calculation!BB1140+Calculation!BB1165+Calculation!BB1190+Calculation!BB1215+Calculation!BB1240+Calculation!BB1265+Calculation!BB1290+Calculation!BB1315+Calculation!BB1340</f>
        <v>35370758</v>
      </c>
      <c r="C18" s="232">
        <f t="shared" si="2"/>
        <v>5.4864352885065065E-3</v>
      </c>
      <c r="D18" s="232">
        <f ca="1">+C18-Calculation!AW15</f>
        <v>-7.0376902619922969E-3</v>
      </c>
      <c r="E18" s="46">
        <f>+Calculation!BB90+Calculation!BB165+Calculation!BB190+Calculation!BB240+Calculation!BB265+Calculation!BB340+Calculation!BB365+Calculation!BB415+Calculation!BB590+Calculation!BB615+Calculation!BB640+Calculation!BB665+Calculation!BB815+Calculation!BB940+Calculation!BB1015+Calculation!BB1040+Calculation!BB1090+Calculation!BB1165+1383</f>
        <v>8214445</v>
      </c>
      <c r="F18" s="46">
        <f>+Calculation!AJ90+Calculation!AJ165+Calculation!AJ190+Calculation!AJ240+Calculation!AJ265+Calculation!AJ340+Calculation!AJ365+Calculation!AJ415+Calculation!AJ590+Calculation!AJ615+Calculation!AJ640+Calculation!AJ665+Calculation!AJ815+Calculation!AJ940+Calculation!AJ1015+Calculation!AJ1040+Calculation!AJ1090+Calculation!AJ1165+Calculation!AJ1340</f>
        <v>2799845.8927840134</v>
      </c>
      <c r="G18" s="193">
        <v>2020</v>
      </c>
      <c r="H18" s="444">
        <v>278.60000000000002</v>
      </c>
      <c r="I18" s="86">
        <f>Calculation!AN25</f>
        <v>305.85583285617435</v>
      </c>
      <c r="J18" s="86">
        <f>Calculation!AO25</f>
        <v>400.52738966875046</v>
      </c>
      <c r="K18" s="86"/>
      <c r="L18" s="194"/>
      <c r="M18" s="188"/>
      <c r="O18" t="str">
        <f>Calculation!G24</f>
        <v>2019 Y</v>
      </c>
      <c r="P18" s="27">
        <f t="shared" ca="1" si="0"/>
        <v>-1.0936248253871954E-2</v>
      </c>
      <c r="Q18" s="27">
        <f t="shared" si="1"/>
        <v>8.2813784631454203E-3</v>
      </c>
      <c r="R18" s="27">
        <f ca="1">Calculation!T24</f>
        <v>-7.8596968604878557E-3</v>
      </c>
      <c r="S18" s="27">
        <f>Calculation!AA24</f>
        <v>9.7453491890565347E-3</v>
      </c>
      <c r="T18" s="27">
        <f>Calculation!AI24</f>
        <v>4.2786812624708029E-2</v>
      </c>
      <c r="U18" s="27">
        <f>Calculation!AM24</f>
        <v>2.3549303228817965E-2</v>
      </c>
      <c r="V18" s="367">
        <f ca="1">Calculation!AW24</f>
        <v>1.9217626717017374E-2</v>
      </c>
      <c r="W18" s="27">
        <f ca="1">Calculation!BA24</f>
        <v>1.2981117000803451E-2</v>
      </c>
    </row>
    <row r="19" spans="2:23" ht="21" x14ac:dyDescent="0.4">
      <c r="B19" s="280">
        <f>+Calculation!BB16+Calculation!BB41+Calculation!BB66+Calculation!BB91+Calculation!BB116+Calculation!BB141+Calculation!BB166+Calculation!BB191+Calculation!BB216+Calculation!BB241+Calculation!BB266+Calculation!BB291+Calculation!BB316+Calculation!BB341+Calculation!BB366+Calculation!BB391+Calculation!BB416+Calculation!BB441+Calculation!BB466+Calculation!BB491+Calculation!BB516+Calculation!BB541+Calculation!BB566+Calculation!BB591+Calculation!BB616+Calculation!BB641+Calculation!BB666+Calculation!BB691+Calculation!BB716+Calculation!BB741+Calculation!BB767+Calculation!BB791+Calculation!BB816+Calculation!BB841+Calculation!BB866+Calculation!BB891+Calculation!BB916+Calculation!BB941+Calculation!BB966+Calculation!BB991+Calculation!BB1016+Calculation!BB1041+Calculation!BB1066+Calculation!BB1091+Calculation!BB1116+Calculation!BB1141+Calculation!BB1166+Calculation!BB1191+Calculation!BB1216+Calculation!BB1241+Calculation!BB1266+Calculation!BB1291+Calculation!BB1316+Calculation!BB1341</f>
        <v>35542249</v>
      </c>
      <c r="C19" s="232">
        <f t="shared" si="2"/>
        <v>4.8366679560601609E-3</v>
      </c>
      <c r="D19" s="232">
        <f ca="1">+C19-Calculation!AW16</f>
        <v>-6.2659223329175531E-3</v>
      </c>
      <c r="E19" s="46">
        <f>+Calculation!BB91+Calculation!BB166+Calculation!BB191+Calculation!BB241+Calculation!BB266+Calculation!BB341+Calculation!BB366+Calculation!BB416+Calculation!BB591+Calculation!BB616+Calculation!BB641+Calculation!BB666+Calculation!BB816+Calculation!BB941+Calculation!BB1016+Calculation!BB1041+Calculation!BB1091+Calculation!BB1166+1383</f>
        <v>8246976</v>
      </c>
      <c r="F19" s="46">
        <f>+Calculation!AJ91+Calculation!AJ166+Calculation!AJ191+Calculation!AJ241+Calculation!AJ266+Calculation!AJ341+Calculation!AJ366+Calculation!AJ416+Calculation!AJ591+Calculation!AJ616+Calculation!AJ641+Calculation!AJ666+Calculation!AJ816+Calculation!AJ941+Calculation!AJ1016+Calculation!AJ1041+Calculation!AJ1091+Calculation!AJ1166+Calculation!AJ1341</f>
        <v>2942237.2145363889</v>
      </c>
      <c r="G19" s="193">
        <v>2021</v>
      </c>
      <c r="H19" s="444">
        <v>245.6</v>
      </c>
      <c r="I19" s="86">
        <f>Calculation!AN26</f>
        <v>332.72246308192763</v>
      </c>
      <c r="J19" s="86">
        <f>Calculation!AO26</f>
        <v>433.15254658985845</v>
      </c>
      <c r="K19" s="86"/>
      <c r="M19" s="188"/>
      <c r="O19" t="str">
        <f>Calculation!G25</f>
        <v>2020 Y</v>
      </c>
      <c r="P19" s="27">
        <f t="shared" ca="1" si="0"/>
        <v>4.540663358593139E-3</v>
      </c>
      <c r="Q19" s="27">
        <f t="shared" si="1"/>
        <v>7.0866191041360155E-3</v>
      </c>
      <c r="R19" s="27">
        <f ca="1">Calculation!T25</f>
        <v>-2.6410642910459494E-2</v>
      </c>
      <c r="S19" s="27">
        <f>Calculation!AA25</f>
        <v>-1.5003698717225148E-2</v>
      </c>
      <c r="T19" s="27">
        <f>Calculation!AI25</f>
        <v>3.5135662023190267E-2</v>
      </c>
      <c r="U19" s="27">
        <f>Calculation!AM25</f>
        <v>1.8176713454075764E-2</v>
      </c>
      <c r="V19" s="367">
        <f ca="1">Calculation!AW25</f>
        <v>2.5459557455428765E-3</v>
      </c>
      <c r="W19" s="27">
        <f ca="1">Calculation!BA25</f>
        <v>1.7970525040094089E-2</v>
      </c>
    </row>
    <row r="20" spans="2:23" ht="21" x14ac:dyDescent="0.4">
      <c r="B20" s="280">
        <f>+Calculation!BB17+Calculation!BB42+Calculation!BB67+Calculation!BB92+Calculation!BB117+Calculation!BB142+Calculation!BB167+Calculation!BB192+Calculation!BB217+Calculation!BB242+Calculation!BB267+Calculation!BB292+Calculation!BB317+Calculation!BB342+Calculation!BB367+Calculation!BB392+Calculation!BB417+Calculation!BB442+Calculation!BB467+Calculation!BB492+Calculation!BB517+Calculation!BB542+Calculation!BB567+Calculation!BB592+Calculation!BB617+Calculation!BB642+Calculation!BB667+Calculation!BB692+Calculation!BB717+Calculation!BB742+Calculation!BB768+Calculation!BB792+Calculation!BB817+Calculation!BB842+Calculation!BB867+Calculation!BB892+Calculation!BB917+Calculation!BB942+Calculation!BB967+Calculation!BB992+Calculation!BB1017+Calculation!BB1042+Calculation!BB1067+Calculation!BB1092+Calculation!BB1117+Calculation!BB1142+Calculation!BB1167+Calculation!BB1192+Calculation!BB1217+Calculation!BB1242+Calculation!BB1267+Calculation!BB1292+Calculation!BB1317+Calculation!BB1342</f>
        <v>35713399</v>
      </c>
      <c r="C20" s="232">
        <f t="shared" si="2"/>
        <v>4.8038389639993477E-3</v>
      </c>
      <c r="D20" s="232">
        <f ca="1">+C20-Calculation!AW17</f>
        <v>4.0522237795521943E-4</v>
      </c>
      <c r="E20" s="46">
        <f>+Calculation!BB92+Calculation!BB167+Calculation!BB192+Calculation!BB242+Calculation!BB267+Calculation!BB342+Calculation!BB367+Calculation!BB417+Calculation!BB592+Calculation!BB617+Calculation!BB642+Calculation!BB667+Calculation!BB817+Calculation!BB942+Calculation!BB1017+Calculation!BB1042+Calculation!BB1092+Calculation!BB1167+1383</f>
        <v>8290486</v>
      </c>
      <c r="F20" s="46">
        <f>+Calculation!AJ92+Calculation!AJ167+Calculation!AJ192+Calculation!AJ242+Calculation!AJ267+Calculation!AJ342+Calculation!AJ367+Calculation!AJ417+Calculation!AJ592+Calculation!AJ617+Calculation!AJ642+Calculation!AJ667+Calculation!AJ817+Calculation!AJ942+Calculation!AJ1017+Calculation!AJ1042+Calculation!AJ1092+Calculation!AJ1167+Calculation!AJ1342</f>
        <v>3013417.6162859187</v>
      </c>
      <c r="G20" s="193">
        <v>2022</v>
      </c>
      <c r="H20" s="444">
        <v>266.7</v>
      </c>
      <c r="I20" s="86">
        <f>Calculation!AN27</f>
        <v>342.32834740495935</v>
      </c>
      <c r="J20" s="86">
        <f>Calculation!AO27</f>
        <v>460.09883366972343</v>
      </c>
      <c r="K20" s="86"/>
      <c r="L20" s="194"/>
      <c r="M20" s="188"/>
      <c r="O20" t="str">
        <f>Calculation!G26</f>
        <v>2021 Y</v>
      </c>
      <c r="P20" s="27">
        <f t="shared" ca="1" si="0"/>
        <v>3.3073719504174322E-3</v>
      </c>
      <c r="Q20" s="27">
        <f t="shared" si="1"/>
        <v>1.7587677083692119E-2</v>
      </c>
      <c r="R20" s="27">
        <f ca="1">Calculation!T26</f>
        <v>5.0663010227332363E-2</v>
      </c>
      <c r="S20" s="27">
        <f>Calculation!AA26</f>
        <v>3.3086426732996462E-3</v>
      </c>
      <c r="T20" s="27">
        <f>Calculation!AI26</f>
        <v>1.4422959534345476E-3</v>
      </c>
      <c r="U20" s="27">
        <f>Calculation!AM26</f>
        <v>0.10178251888128052</v>
      </c>
      <c r="V20" s="367">
        <f ca="1">Calculation!AW26</f>
        <v>1.4280305133274687E-2</v>
      </c>
      <c r="W20" s="27">
        <f ca="1">Calculation!BA26</f>
        <v>3.2548399995472724E-2</v>
      </c>
    </row>
    <row r="21" spans="2:23" ht="21" x14ac:dyDescent="0.4">
      <c r="B21" s="280">
        <f>+Calculation!BB18+Calculation!BB43+Calculation!BB68+Calculation!BB93+Calculation!BB118+Calculation!BB143+Calculation!BB168+Calculation!BB193+Calculation!BB218+Calculation!BB243+Calculation!BB268+Calculation!BB293+Calculation!BB318+Calculation!BB343+Calculation!BB368+Calculation!BB393+Calculation!BB418+Calculation!BB443+Calculation!BB468+Calculation!BB493+Calculation!BB518+Calculation!BB543+Calculation!BB568+Calculation!BB593+Calculation!BB618+Calculation!BB643+Calculation!BB668+Calculation!BB693+Calculation!BB718+Calculation!BB743+Calculation!BB769+Calculation!BB793+Calculation!BB818+Calculation!BB843+Calculation!BB868+Calculation!BB893+Calculation!BB918+Calculation!BB943+Calculation!BB968+Calculation!BB993+Calculation!BB1018+Calculation!BB1043+Calculation!BB1068+Calculation!BB1093+Calculation!BB1118+Calculation!BB1143+Calculation!BB1168+Calculation!BB1193+Calculation!BB1218+Calculation!BB1243+Calculation!BB1268+Calculation!BB1293+Calculation!BB1318+Calculation!BB1343</f>
        <v>35942472</v>
      </c>
      <c r="C21" s="232">
        <f t="shared" si="2"/>
        <v>6.3937197935447802E-3</v>
      </c>
      <c r="D21" s="232">
        <f ca="1">+C21-Calculation!AW18</f>
        <v>-2.9192560549792457E-2</v>
      </c>
      <c r="E21" s="46">
        <f>+Calculation!BB93+Calculation!BB168+Calculation!BB193+Calculation!BB243+Calculation!BB268+Calculation!BB343+Calculation!BB368+Calculation!BB418+Calculation!BB593+Calculation!BB618+Calculation!BB643+Calculation!BB668+Calculation!BB818+Calculation!BB943+Calculation!BB1018+Calculation!BB1043+Calculation!BB1093+Calculation!BB1168+1383</f>
        <v>8337254</v>
      </c>
      <c r="F21" s="46">
        <f>+Calculation!AJ93+Calculation!AJ168+Calculation!AJ193+Calculation!AJ243+Calculation!AJ268+Calculation!AJ343+Calculation!AJ368+Calculation!AJ418+Calculation!AJ593+Calculation!AJ618+Calculation!AJ643+Calculation!AJ668+Calculation!AJ818+Calculation!AJ943+Calculation!AJ1018+Calculation!AJ1043+Calculation!AJ1093+Calculation!AJ1168+Calculation!AJ1343</f>
        <v>3081044.5280947601</v>
      </c>
      <c r="G21" s="196"/>
      <c r="H21" s="195"/>
      <c r="I21" s="195"/>
      <c r="J21" s="195"/>
      <c r="K21" s="86"/>
      <c r="L21" s="194"/>
      <c r="M21" s="188"/>
      <c r="O21" t="str">
        <f>Calculation!G27</f>
        <v>2022Y</v>
      </c>
      <c r="P21" s="27">
        <f t="shared" ca="1" si="0"/>
        <v>3.4071608158723382E-3</v>
      </c>
      <c r="Q21" s="27">
        <f t="shared" si="1"/>
        <v>1.2552252888536541E-3</v>
      </c>
      <c r="R21" s="27">
        <f ca="1">Calculation!T27</f>
        <v>3.096943095597511E-5</v>
      </c>
      <c r="S21" s="27">
        <f>Calculation!AA27</f>
        <v>-4.6769611586239858E-2</v>
      </c>
      <c r="T21" s="27">
        <f>Calculation!AI27</f>
        <v>3.5685455431629411E-2</v>
      </c>
      <c r="U21" s="27">
        <f>Calculation!AM27</f>
        <v>2.9716883626449579E-2</v>
      </c>
      <c r="V21" s="367">
        <f ca="1">Calculation!AW27</f>
        <v>-2.1519355270186841E-3</v>
      </c>
      <c r="W21" s="27">
        <f ca="1">Calculation!BA27</f>
        <v>8.7212922773683837E-2</v>
      </c>
    </row>
    <row r="22" spans="2:23" ht="21" x14ac:dyDescent="0.4">
      <c r="B22" s="280">
        <f>+Calculation!BB19+Calculation!BB44+Calculation!BB69+Calculation!BB94+Calculation!BB119+Calculation!BB144+Calculation!BB169+Calculation!BB194+Calculation!BB219+Calculation!BB244+Calculation!BB269+Calculation!BB294+Calculation!BB319+Calculation!BB344+Calculation!BB369+Calculation!BB394+Calculation!BB419+Calculation!BB444+Calculation!BB469+Calculation!BB494+Calculation!BB519+Calculation!BB544+Calculation!BB569+Calculation!BB594+Calculation!BB619+Calculation!BB644+Calculation!BB669+Calculation!BB694+Calculation!BB719+Calculation!BB744+Calculation!BB770+Calculation!BB794+Calculation!BB819+Calculation!BB844+Calculation!BB869+Calculation!BB894+Calculation!BB919+Calculation!BB944+Calculation!BB969+Calculation!BB994+Calculation!BB1019+Calculation!BB1044+Calculation!BB1069+Calculation!BB1094+Calculation!BB1119+Calculation!BB1144+Calculation!BB1169+Calculation!BB1194+Calculation!BB1219+Calculation!BB1244+Calculation!BB1269+Calculation!BB1294+Calculation!BB1319+Calculation!BB1344</f>
        <v>36135570</v>
      </c>
      <c r="C22" s="232">
        <f t="shared" si="2"/>
        <v>5.358038498433095E-3</v>
      </c>
      <c r="D22" s="232">
        <f ca="1">+C22-Calculation!AW19</f>
        <v>-6.1166454642483112E-3</v>
      </c>
      <c r="E22" s="46">
        <f>+Calculation!BB94+Calculation!BB169+Calculation!BB194+Calculation!BB244+Calculation!BB269+Calculation!BB344+Calculation!BB369+Calculation!BB419+Calculation!BB594+Calculation!BB619+Calculation!BB644+Calculation!BB669+Calculation!BB819+Calculation!BB944+Calculation!BB1019+Calculation!BB1044+Calculation!BB1094+Calculation!BB1169+1383</f>
        <v>8397564</v>
      </c>
      <c r="F22" s="46">
        <f>+Calculation!AJ94+Calculation!AJ169+Calculation!AJ194+Calculation!AJ244+Calculation!AJ269+Calculation!AJ344+Calculation!AJ369+Calculation!AJ419+Calculation!AJ594+Calculation!AJ619+Calculation!AJ644+Calculation!AJ669+Calculation!AJ819+Calculation!AJ944+Calculation!AJ1019+Calculation!AJ1044+Calculation!AJ1094+Calculation!AJ1169+Calculation!AJ1344</f>
        <v>3209690.1018826985</v>
      </c>
      <c r="G22" s="196" t="s">
        <v>18</v>
      </c>
      <c r="H22" s="195">
        <f>+(H20+H19+H18)/3</f>
        <v>263.63333333333333</v>
      </c>
      <c r="I22" s="441">
        <f>AVERAGE(I18:I20)</f>
        <v>326.96888111435379</v>
      </c>
      <c r="J22" s="441">
        <f>AVERAGE(J18:J20)</f>
        <v>431.25958997611082</v>
      </c>
      <c r="K22" s="62">
        <f>+H22/I22-1</f>
        <v>-0.19370512436891374</v>
      </c>
      <c r="L22" s="197">
        <f>+H22/J22-1</f>
        <v>-0.38868992258714286</v>
      </c>
      <c r="M22" s="188"/>
      <c r="P22" s="27">
        <f ca="1">AVERAGE(P6:P21)</f>
        <v>-1.3329792057774079E-2</v>
      </c>
      <c r="Q22" s="27">
        <f>AVERAGE(Q6:Q21)</f>
        <v>6.7790709726071943E-3</v>
      </c>
      <c r="R22" s="27">
        <f t="shared" ref="R22:W22" ca="1" si="3">AVERAGE(R6:R21)</f>
        <v>1.0043584769466103E-2</v>
      </c>
      <c r="S22" s="27">
        <f t="shared" si="3"/>
        <v>1.0669577934373323E-2</v>
      </c>
      <c r="T22" s="27">
        <f t="shared" si="3"/>
        <v>3.2721839558613734E-2</v>
      </c>
      <c r="U22" s="27">
        <f t="shared" si="3"/>
        <v>3.7061532113432688E-2</v>
      </c>
      <c r="V22" s="27">
        <f t="shared" ca="1" si="3"/>
        <v>2.0108863030381272E-2</v>
      </c>
      <c r="W22" s="27">
        <f t="shared" ca="1" si="3"/>
        <v>2.038105481328608E-2</v>
      </c>
    </row>
    <row r="23" spans="2:23" ht="21" x14ac:dyDescent="0.4">
      <c r="B23" s="280">
        <f>+Calculation!BB20+Calculation!BB45+Calculation!BB70+Calculation!BB95+Calculation!BB120+Calculation!BB145+Calculation!BB170+Calculation!BB195+Calculation!BB220+Calculation!BB245+Calculation!BB270+Calculation!BB295+Calculation!BB320+Calculation!BB345+Calculation!BB370+Calculation!BB395+Calculation!BB420+Calculation!BB445+Calculation!BB470+Calculation!BB495+Calculation!BB520+Calculation!BB545+Calculation!BB570+Calculation!BB595+Calculation!BB620+Calculation!BB645+Calculation!BB670+Calculation!BB695+Calculation!BB720+Calculation!BB745+Calculation!BB771+Calculation!BB795+Calculation!BB820+Calculation!BB845+Calculation!BB870+Calculation!BB895+Calculation!BB920+Calculation!BB945+Calculation!BB970+Calculation!BB995+Calculation!BB1020+Calculation!BB1045+Calculation!BB1070+Calculation!BB1095+Calculation!BB1120+Calculation!BB1145+Calculation!BB1170+Calculation!BB1195+Calculation!BB1220+Calculation!BB1245+Calculation!BB1270+Calculation!BB1295+Calculation!BB1320+Calculation!BB1345</f>
        <v>36431808</v>
      </c>
      <c r="C23" s="232">
        <f t="shared" si="2"/>
        <v>8.1645404245792169E-3</v>
      </c>
      <c r="D23" s="232">
        <f ca="1">+C23-Calculation!AW20</f>
        <v>-7.413616396432246E-3</v>
      </c>
      <c r="E23" s="46">
        <f>+Calculation!BB95+Calculation!BB170+Calculation!BB195+Calculation!BB245+Calculation!BB270+Calculation!BB345+Calculation!BB370+Calculation!BB420+Calculation!BB595+Calculation!BB620+Calculation!BB645+Calculation!BB670+Calculation!BB820+Calculation!BB945+Calculation!BB1020+Calculation!BB1045+Calculation!BB1095+Calculation!BB1170+1383</f>
        <v>8453535</v>
      </c>
      <c r="F23" s="46">
        <f>+Calculation!AJ95+Calculation!AJ170+Calculation!AJ195+Calculation!AJ245+Calculation!AJ270+Calculation!AJ345+Calculation!AJ370+Calculation!AJ420+Calculation!AJ595+Calculation!AJ620+Calculation!AJ645+Calculation!AJ670+Calculation!AJ820+Calculation!AJ945+Calculation!AJ1020+Calculation!AJ1045+Calculation!AJ1095+Calculation!AJ1170+Calculation!AJ1345</f>
        <v>3204637.0237800879</v>
      </c>
      <c r="G23" s="198"/>
      <c r="H23" s="49"/>
      <c r="I23" s="49"/>
      <c r="J23" s="49"/>
      <c r="K23" s="49"/>
      <c r="L23" s="188"/>
      <c r="M23" s="188"/>
      <c r="P23" s="27"/>
      <c r="Q23" s="27"/>
      <c r="R23" s="27"/>
      <c r="S23" s="27"/>
      <c r="T23" s="27"/>
      <c r="U23" s="27"/>
      <c r="V23" s="27"/>
      <c r="W23" s="27"/>
    </row>
    <row r="24" spans="2:23" ht="21" x14ac:dyDescent="0.4">
      <c r="B24" s="280">
        <f>+Calculation!BB21+Calculation!BB46+Calculation!BB71+Calculation!BB96+Calculation!BB121+Calculation!BB146+Calculation!BB171+Calculation!BB196+Calculation!BB221+Calculation!BB246+Calculation!BB271+Calculation!BB296+Calculation!BB321+Calculation!BB346+Calculation!BB371+Calculation!BB396+Calculation!BB421+Calculation!BB446+Calculation!BB471+Calculation!BB496+Calculation!BB521+Calculation!BB546+Calculation!BB571+Calculation!BB596+Calculation!BB621+Calculation!BB646+Calculation!BB671+Calculation!BB696+Calculation!BB721+Calculation!BB746+Calculation!BB772+Calculation!BB796+Calculation!BB821+Calculation!BB846+Calculation!BB871+Calculation!BB896+Calculation!BB921+Calculation!BB946+Calculation!BB971+Calculation!BB996+Calculation!BB1021+Calculation!BB1046+Calculation!BB1071+Calculation!BB1096+Calculation!BB1121+Calculation!BB1146+Calculation!BB1171+Calculation!BB1196+Calculation!BB1221+Calculation!BB1246+Calculation!BB1271+Calculation!BB1296+Calculation!BB1321+Calculation!BB1346</f>
        <v>36749374</v>
      </c>
      <c r="C24" s="232">
        <f t="shared" si="2"/>
        <v>8.6789522848895982E-3</v>
      </c>
      <c r="D24" s="232">
        <f ca="1">+C24-Calculation!AW21</f>
        <v>-2.5075780207463889E-2</v>
      </c>
      <c r="E24" s="46">
        <f>+Calculation!BB96+Calculation!BB171+Calculation!BB196+Calculation!BB246+Calculation!BB271+Calculation!BB346+Calculation!BB371+Calculation!BB421+Calculation!BB596+Calculation!BB621+Calculation!BB646+Calculation!BB671+Calculation!BB821+Calculation!BB946+Calculation!BB1021+Calculation!BB1046+Calculation!BB1096+Calculation!BB1171+1383</f>
        <v>8550215</v>
      </c>
      <c r="F24" s="46">
        <f>+Calculation!AJ96+Calculation!AJ171+Calculation!AJ196+Calculation!AJ246+Calculation!AJ271+Calculation!AJ346+Calculation!AJ371+Calculation!AJ421+Calculation!AJ596+Calculation!AJ621+Calculation!AJ646+Calculation!AJ671+Calculation!AJ821+Calculation!AJ946+Calculation!AJ1021+Calculation!AJ1046+Calculation!AJ1096+Calculation!AJ1171+Calculation!AJ1346</f>
        <v>3281229.1478939978</v>
      </c>
      <c r="G24" s="198"/>
      <c r="H24" s="61" t="s">
        <v>19</v>
      </c>
      <c r="I24" s="49"/>
      <c r="J24" s="57"/>
      <c r="K24" s="49"/>
      <c r="L24" s="188"/>
      <c r="M24" s="188"/>
    </row>
    <row r="25" spans="2:23" ht="21" x14ac:dyDescent="0.4">
      <c r="B25" s="280">
        <f>+Calculation!BB22+Calculation!BB47+Calculation!BB72+Calculation!BB97+Calculation!BB122+Calculation!BB147+Calculation!BB172+Calculation!BB197+Calculation!BB222+Calculation!BB247+Calculation!BB272+Calculation!BB297+Calculation!BB322+Calculation!BB347+Calculation!BB372+Calculation!BB397+Calculation!BB422+Calculation!BB447+Calculation!BB472+Calculation!BB497+Calculation!BB522+Calculation!BB547+Calculation!BB572+Calculation!BB597+Calculation!BB622+Calculation!BB647+Calculation!BB672+Calculation!BB697+Calculation!BB722+Calculation!BB747+Calculation!BB773+Calculation!BB797+Calculation!BB822+Calculation!BB847+Calculation!BB872+Calculation!BB897+Calculation!BB922+Calculation!BB947+Calculation!BB972+Calculation!BB997+Calculation!BB1022+Calculation!BB1047+Calculation!BB1072+Calculation!BB1097+Calculation!BB1122+Calculation!BB1147+Calculation!BB1172+Calculation!BB1197+Calculation!BB1222+Calculation!BB1247+Calculation!BB1272+Calculation!BB1297+Calculation!BB1322+Calculation!BB1347</f>
        <v>37027568</v>
      </c>
      <c r="C25" s="232">
        <f t="shared" si="2"/>
        <v>7.541524790036302E-3</v>
      </c>
      <c r="D25" s="232">
        <f ca="1">+C25-Calculation!AW22</f>
        <v>-1.5764101795316256E-2</v>
      </c>
      <c r="E25" s="46">
        <f>+Calculation!BB97+Calculation!BB172+Calculation!BB197+Calculation!BB247+Calculation!BB272+Calculation!BB347+Calculation!BB372+Calculation!BB422+Calculation!BB597+Calculation!BB622+Calculation!BB647+Calculation!BB672+Calculation!BB822+Calculation!BB947+Calculation!BB1022+Calculation!BB1047+Calculation!BB1097+Calculation!BB1172+1383</f>
        <v>8611899</v>
      </c>
      <c r="F25" s="46">
        <f>+Calculation!AJ97+Calculation!AJ172+Calculation!AJ197+Calculation!AJ247+Calculation!AJ272+Calculation!AJ347+Calculation!AJ372+Calculation!AJ422+Calculation!AJ597+Calculation!AJ622+Calculation!AJ647+Calculation!AJ672+Calculation!AJ822+Calculation!AJ947+Calculation!AJ1022+Calculation!AJ1047+Calculation!AJ1097+Calculation!AJ1172+Calculation!AJ1347</f>
        <v>3388094.0470107701</v>
      </c>
      <c r="G25" s="189"/>
      <c r="H25" s="11"/>
      <c r="I25" s="11"/>
      <c r="J25" s="11"/>
      <c r="K25" s="11"/>
      <c r="L25" s="191"/>
      <c r="M25" s="188"/>
    </row>
    <row r="26" spans="2:23" ht="98.4" x14ac:dyDescent="0.7">
      <c r="B26" s="280">
        <f>+Calculation!BB23+Calculation!BB48+Calculation!BB73+Calculation!BB98+Calculation!BB123+Calculation!BB148+Calculation!BB173+Calculation!BB198+Calculation!BB223+Calculation!BB248+Calculation!BB273+Calculation!BB298+Calculation!BB323+Calculation!BB348+Calculation!BB373+Calculation!BB398+Calculation!BB423+Calculation!BB448+Calculation!BB473+Calculation!BB498+Calculation!BB523+Calculation!BB548+Calculation!BB573+Calculation!BB598+Calculation!BB623+Calculation!BB648+Calculation!BB673+Calculation!BB698+Calculation!BB723+Calculation!BB748+Calculation!BB774+Calculation!BB798+Calculation!BB823+Calculation!BB848+Calculation!BB873+Calculation!BB898+Calculation!BB923+Calculation!BB948+Calculation!BB973+Calculation!BB998+Calculation!BB1023+Calculation!BB1048+Calculation!BB1073+Calculation!BB1098+Calculation!BB1123+Calculation!BB1148+Calculation!BB1173+Calculation!BB1198+Calculation!BB1223+Calculation!BB1248+Calculation!BB1273+Calculation!BB1298+Calculation!BB1323+Calculation!BB1348</f>
        <v>37354716</v>
      </c>
      <c r="C26" s="232">
        <f t="shared" si="2"/>
        <v>8.7964523781095504E-3</v>
      </c>
      <c r="D26" s="232">
        <f ca="1">+C26-Calculation!AW23</f>
        <v>-4.5203143963750442E-2</v>
      </c>
      <c r="E26" s="46">
        <f>+Calculation!BB98+Calculation!BB173+Calculation!BB198+Calculation!BB248+Calculation!BB273+Calculation!BB348+Calculation!BB373+Calculation!BB423+Calculation!BB598+Calculation!BB623+Calculation!BB648+Calculation!BB673+Calculation!BB823+Calculation!BB948+Calculation!BB1023+Calculation!BB1048+Calculation!BB1098+Calculation!BB1173+1383</f>
        <v>8695098</v>
      </c>
      <c r="F26" s="46">
        <f>+Calculation!AJ98+Calculation!AJ173+Calculation!AJ198+Calculation!AJ248+Calculation!AJ273+Calculation!AJ348+Calculation!AJ373+Calculation!AJ423+Calculation!AJ598+Calculation!AJ623+Calculation!AJ648+Calculation!AJ673+Calculation!AJ823+Calculation!AJ948+Calculation!AJ1023+Calculation!AJ1048+Calculation!AJ1098+Calculation!AJ1173+Calculation!AJ1348</f>
        <v>3884071.9581963643</v>
      </c>
      <c r="G26" s="192"/>
      <c r="H26" s="418" t="s">
        <v>20</v>
      </c>
      <c r="I26" s="418" t="s">
        <v>21</v>
      </c>
      <c r="J26" s="418" t="s">
        <v>22</v>
      </c>
      <c r="K26" s="11"/>
      <c r="L26" s="188"/>
      <c r="M26" s="188"/>
    </row>
    <row r="27" spans="2:23" ht="21" x14ac:dyDescent="0.4">
      <c r="B27" s="280">
        <f>+Calculation!BB24+Calculation!BB49+Calculation!BB74+Calculation!BB99+Calculation!BB124+Calculation!BB149+Calculation!BB174+Calculation!BB199+Calculation!BB224+Calculation!BB249+Calculation!BB274+Calculation!BB299+Calculation!BB324+Calculation!BB349+Calculation!BB374+Calculation!BB399+Calculation!BB424+Calculation!BB449+Calculation!BB474+Calculation!BB499+Calculation!BB524+Calculation!BB549+Calculation!BB574+Calculation!BB599+Calculation!BB624+Calculation!BB649+Calculation!BB674+Calculation!BB699+Calculation!BB724+Calculation!BB749+Calculation!BB775+Calculation!BB799+Calculation!BB824+Calculation!BB849+Calculation!BB874+Calculation!BB899+Calculation!BB924+Calculation!BB949+Calculation!BB974+Calculation!BB999+Calculation!BB1024+Calculation!BB1049+Calculation!BB1074+Calculation!BB1099+Calculation!BB1124+Calculation!BB1149+Calculation!BB1174+Calculation!BB1199+Calculation!BB1224+Calculation!BB1249+Calculation!BB1274+Calculation!BB1299+Calculation!BB1324+Calculation!BB1349</f>
        <v>37665349</v>
      </c>
      <c r="C27" s="232">
        <f t="shared" si="2"/>
        <v>8.2813784631454203E-3</v>
      </c>
      <c r="D27" s="232">
        <f ca="1">+C27-Calculation!AW24</f>
        <v>-1.0936248253871954E-2</v>
      </c>
      <c r="E27" s="46">
        <f>+Calculation!BB99+Calculation!BB174+Calculation!BB199+Calculation!BB249+Calculation!BB274+Calculation!BB349+Calculation!BB374+Calculation!BB424+Calculation!BB599+Calculation!BB624+Calculation!BB649+Calculation!BB674+Calculation!BB824+Calculation!BB949+Calculation!BB1024+Calculation!BB1049+Calculation!BB1099+Calculation!BB1174+1383</f>
        <v>8740437</v>
      </c>
      <c r="F27" s="46">
        <f>+Calculation!AJ99+Calculation!AJ174+Calculation!AJ199+Calculation!AJ249+Calculation!AJ274+Calculation!AJ349+Calculation!AJ374+Calculation!AJ424+Calculation!AJ599+Calculation!AJ624+Calculation!AJ649+Calculation!AJ674+Calculation!AJ824+Calculation!AJ949+Calculation!AJ1024+Calculation!AJ1049+Calculation!AJ1099+Calculation!AJ1174+Calculation!AJ1349</f>
        <v>3611772.6456181444</v>
      </c>
      <c r="G27" s="193"/>
      <c r="H27" s="419" t="s">
        <v>13</v>
      </c>
      <c r="I27" s="438">
        <f>+H22</f>
        <v>263.63333333333333</v>
      </c>
      <c r="J27" s="420"/>
      <c r="K27" s="46"/>
      <c r="L27" s="194"/>
      <c r="M27" s="188"/>
    </row>
    <row r="28" spans="2:23" ht="21" x14ac:dyDescent="0.4">
      <c r="B28" s="280">
        <f>+Calculation!BB25+Calculation!BB50+Calculation!BB75+Calculation!BB100+Calculation!BB125+Calculation!BB150+Calculation!BB175+Calculation!BB200+Calculation!BB225+Calculation!BB250+Calculation!BB275+Calculation!BB300+Calculation!BB325+Calculation!BB350+Calculation!BB375+Calculation!BB400+Calculation!BB425+Calculation!BB450+Calculation!BB475+Calculation!BB500+Calculation!BB525+Calculation!BB550+Calculation!BB575+Calculation!BB600+Calculation!BB625+Calculation!BB650+Calculation!BB675+Calculation!BB700+Calculation!BB725+Calculation!BB750+Calculation!BB776+Calculation!BB800+Calculation!BB825+Calculation!BB850+Calculation!BB875+Calculation!BB900+Calculation!BB925+Calculation!BB950+Calculation!BB975+Calculation!BB1000+Calculation!BB1025+Calculation!BB1050+Calculation!BB1075+Calculation!BB1100+Calculation!BB1125+Calculation!BB1150+Calculation!BB1175+Calculation!BB1200+Calculation!BB1225+Calculation!BB1250+Calculation!BB1275+Calculation!BB1300+Calculation!BB1325+Calculation!BB1350</f>
        <v>37933217</v>
      </c>
      <c r="C28" s="232">
        <f t="shared" si="2"/>
        <v>7.0866191041360155E-3</v>
      </c>
      <c r="D28" s="232">
        <f ca="1">+C28-Calculation!AW25</f>
        <v>4.540663358593139E-3</v>
      </c>
      <c r="E28" s="46">
        <f>+Calculation!BB100+Calculation!BB175+Calculation!BB200+Calculation!BB250+Calculation!BB275+Calculation!BB350+Calculation!BB375+Calculation!BB425+Calculation!BB600+Calculation!BB625+Calculation!BB650+Calculation!BB675+Calculation!BB825+Calculation!BB950+Calculation!BB1025+Calculation!BB1050+Calculation!BB1100+Calculation!BB1175+1383</f>
        <v>8837015</v>
      </c>
      <c r="F28" s="46">
        <f>+Calculation!AJ100+Calculation!AJ175+Calculation!AJ200+Calculation!AJ250+Calculation!AJ275+Calculation!AJ350+Calculation!AJ375+Calculation!AJ425+Calculation!AJ600+Calculation!AJ625+Calculation!AJ650+Calculation!AJ675+Calculation!AJ825+Calculation!AJ950+Calculation!AJ1025+Calculation!AJ1050+Calculation!AJ1100+Calculation!AJ1175+Calculation!AJ1350</f>
        <v>3539466.5504135927</v>
      </c>
      <c r="G28" s="193"/>
      <c r="H28" s="421"/>
      <c r="I28" s="438"/>
      <c r="J28" s="422"/>
      <c r="K28" s="86"/>
      <c r="L28" s="194"/>
      <c r="M28" s="188"/>
    </row>
    <row r="29" spans="2:23" ht="21" x14ac:dyDescent="0.4">
      <c r="B29" s="280">
        <f>+Calculation!BB26+Calculation!BB51+Calculation!BB76+Calculation!BB101+Calculation!BB126+Calculation!BB151+Calculation!BB176+Calculation!BB201+Calculation!BB226+Calculation!BB251+Calculation!BB276+Calculation!BB301+Calculation!BB326+Calculation!BB351+Calculation!BB376+Calculation!BB401+Calculation!BB426+Calculation!BB451+Calculation!BB476+Calculation!BB501+Calculation!BB526+Calculation!BB551+Calculation!BB576+Calculation!BB601+Calculation!BB626+Calculation!BB651+Calculation!BB676+Calculation!BB701+Calculation!BB726+Calculation!BB751+Calculation!BB777+Calculation!BB801+Calculation!BB826+Calculation!BB851+Calculation!BB876+Calculation!BB901+Calculation!BB926+Calculation!BB951+Calculation!BB976+Calculation!BB1001+Calculation!BB1026+Calculation!BB1051+Calculation!BB1076+Calculation!BB1101+Calculation!BB1126+Calculation!BB1151+Calculation!BB1176+Calculation!BB1201+Calculation!BB1226+Calculation!BB1251+Calculation!BB1276+Calculation!BB1301+Calculation!BB1326+Calculation!BB1351</f>
        <v>38606275.590439521</v>
      </c>
      <c r="C29" s="232">
        <f t="shared" si="2"/>
        <v>1.7587677083692119E-2</v>
      </c>
      <c r="D29" s="232">
        <f ca="1">+C29-Calculation!AW26</f>
        <v>3.3073719504174322E-3</v>
      </c>
      <c r="E29" s="46">
        <f>+Calculation!BB101+Calculation!BB176+Calculation!BB201+Calculation!BB251+Calculation!BB276+Calculation!BB351+Calculation!BB376+Calculation!BB426+Calculation!BB601+Calculation!BB626+Calculation!BB651+Calculation!BB676+Calculation!BB826+Calculation!BB951+Calculation!BB1026+Calculation!BB1051+Calculation!BB1101+Calculation!BB1176+1383</f>
        <v>8921177</v>
      </c>
      <c r="F29" s="46">
        <f>+Calculation!AJ101+Calculation!AJ176+Calculation!AJ201+Calculation!AJ251+Calculation!AJ276+Calculation!AJ351+Calculation!AJ376+Calculation!AJ426+Calculation!AJ601+Calculation!AJ626+Calculation!AJ651+Calculation!AJ676+Calculation!AJ826+Calculation!AJ951+Calculation!AJ1026+Calculation!AJ1051+Calculation!AJ1101+Calculation!AJ1176+Calculation!AJ1351</f>
        <v>3864230.5361288739</v>
      </c>
      <c r="G29" s="199"/>
      <c r="H29" s="423" t="s">
        <v>23</v>
      </c>
      <c r="I29" s="439">
        <f>AVERAGE(I32:I38)</f>
        <v>332.89131042257821</v>
      </c>
      <c r="J29" s="424">
        <f>+I27/I29-1</f>
        <v>-0.20804981962829716</v>
      </c>
      <c r="K29" s="136"/>
      <c r="L29" s="200"/>
      <c r="M29" s="204"/>
    </row>
    <row r="30" spans="2:23" ht="21" x14ac:dyDescent="0.4">
      <c r="B30" s="280">
        <f>+Calculation!BB27+Calculation!BB52+Calculation!BB77+Calculation!BB102+Calculation!BB127+Calculation!BB152+Calculation!BB177+Calculation!BB202+Calculation!BB227+Calculation!BB252+Calculation!BB277+Calculation!BB302+Calculation!BB327+Calculation!BB352+Calculation!BB377+Calculation!BB402+Calculation!BB427+Calculation!BB452+Calculation!BB477+Calculation!BB502+Calculation!BB527+Calculation!BB552+Calculation!BB577+Calculation!BB602+Calculation!BB627+Calculation!BB652+Calculation!BB677+Calculation!BB702+Calculation!BB727+Calculation!BB752+Calculation!BB778+Calculation!BB802+Calculation!BB827+Calculation!BB852+Calculation!BB877+Calculation!BB902+Calculation!BB927+Calculation!BB952+Calculation!BB977+Calculation!BB1002+Calculation!BB1027+Calculation!BB1052+Calculation!BB1077+Calculation!BB1102+Calculation!BB1127+Calculation!BB1152+Calculation!BB1177+Calculation!BB1202+Calculation!BB1227+Calculation!BB1252+Calculation!BB1277+Calculation!BB1302+Calculation!BB1327+Calculation!BB1352</f>
        <v>38654765.590439521</v>
      </c>
      <c r="C30" s="232">
        <f t="shared" si="2"/>
        <v>1.2552252888536541E-3</v>
      </c>
      <c r="D30" s="232">
        <f ca="1">+C30-Calculation!AW27</f>
        <v>3.4071608158723382E-3</v>
      </c>
      <c r="E30" s="46">
        <f>+Calculation!BB102+Calculation!BB177+Calculation!BB202+Calculation!BB252+Calculation!BB277+Calculation!BB352+Calculation!BB377+Calculation!BB427+Calculation!BB602+Calculation!BB627+Calculation!BB652+Calculation!BB677+Calculation!BB827+Calculation!BB952+Calculation!BB1027+Calculation!BB1052+Calculation!BB1102+Calculation!BB1177+1383</f>
        <v>8892005</v>
      </c>
      <c r="F30" s="46">
        <f>+Calculation!AJ102+Calculation!AJ177+Calculation!AJ202+Calculation!AJ252+Calculation!AJ277+Calculation!AJ352+Calculation!AJ377+Calculation!AJ427+Calculation!AJ602+Calculation!AJ627+Calculation!AJ652+Calculation!AJ677+Calculation!AJ827+Calculation!AJ952+Calculation!AJ1027+Calculation!AJ1052+Calculation!AJ1102+Calculation!AJ1177+Calculation!AJ1352</f>
        <v>4091201.1294853492</v>
      </c>
      <c r="G30" s="199"/>
      <c r="H30" s="423"/>
      <c r="I30" s="439"/>
      <c r="J30" s="424"/>
      <c r="K30" s="136"/>
      <c r="L30" s="200"/>
      <c r="M30" s="204"/>
    </row>
    <row r="31" spans="2:23" ht="21" x14ac:dyDescent="0.4">
      <c r="B31" s="281"/>
      <c r="C31" s="129"/>
      <c r="D31" s="129"/>
      <c r="E31" s="133"/>
      <c r="F31" s="133"/>
      <c r="G31" s="201"/>
      <c r="H31" s="423"/>
      <c r="I31" s="439"/>
      <c r="J31" s="424"/>
      <c r="K31" s="136"/>
      <c r="L31" s="200"/>
      <c r="M31" s="204"/>
    </row>
    <row r="32" spans="2:23" ht="21" x14ac:dyDescent="0.4">
      <c r="B32" s="282"/>
      <c r="C32" s="129"/>
      <c r="D32" s="129"/>
      <c r="E32" s="263"/>
      <c r="F32" s="263"/>
      <c r="G32" s="201"/>
      <c r="H32" s="423" t="s">
        <v>24</v>
      </c>
      <c r="I32" s="439">
        <f>I48</f>
        <v>517.29363357086481</v>
      </c>
      <c r="J32" s="424">
        <f>+I27/I32-1</f>
        <v>-0.49036037518289344</v>
      </c>
      <c r="K32" s="93"/>
      <c r="L32" s="202"/>
      <c r="M32" s="204"/>
    </row>
    <row r="33" spans="2:15" ht="21" x14ac:dyDescent="0.4">
      <c r="B33" s="283"/>
      <c r="C33" s="134"/>
      <c r="D33" s="134"/>
      <c r="E33" s="263"/>
      <c r="F33" s="263"/>
      <c r="G33" s="203"/>
      <c r="H33" s="425" t="s">
        <v>25</v>
      </c>
      <c r="I33" s="439">
        <f>J48</f>
        <v>471.52953208276659</v>
      </c>
      <c r="J33" s="424">
        <f t="shared" ref="J33:J38" si="4">+$I$27/I33-1</f>
        <v>-0.44089751458651305</v>
      </c>
      <c r="K33" s="132"/>
      <c r="L33" s="204"/>
      <c r="M33" s="204"/>
    </row>
    <row r="34" spans="2:15" ht="21" x14ac:dyDescent="0.4">
      <c r="B34" s="283"/>
      <c r="C34" s="134"/>
      <c r="D34" s="134"/>
      <c r="E34" s="263"/>
      <c r="F34" s="263"/>
      <c r="G34" s="203"/>
      <c r="H34" s="425" t="s">
        <v>26</v>
      </c>
      <c r="I34" s="439">
        <f>K48</f>
        <v>275.25173760746685</v>
      </c>
      <c r="J34" s="424">
        <f t="shared" si="4"/>
        <v>-4.2210103286259293E-2</v>
      </c>
      <c r="K34" s="132"/>
      <c r="L34" s="204"/>
      <c r="M34" s="204"/>
    </row>
    <row r="35" spans="2:15" ht="21" x14ac:dyDescent="0.4">
      <c r="B35" s="283"/>
      <c r="C35" s="134"/>
      <c r="D35" s="134"/>
      <c r="E35" s="263"/>
      <c r="F35" s="263"/>
      <c r="G35" s="203"/>
      <c r="H35" s="425" t="s">
        <v>27</v>
      </c>
      <c r="I35" s="439">
        <f>L48</f>
        <v>356.2891833842163</v>
      </c>
      <c r="J35" s="424">
        <f t="shared" si="4"/>
        <v>-0.26005799325926904</v>
      </c>
      <c r="K35" s="132"/>
      <c r="L35" s="204"/>
      <c r="M35" s="204"/>
    </row>
    <row r="36" spans="2:15" ht="21" x14ac:dyDescent="0.4">
      <c r="B36" s="283"/>
      <c r="C36" s="134"/>
      <c r="D36" s="134"/>
      <c r="E36" s="263"/>
      <c r="F36" s="263"/>
      <c r="G36" s="203"/>
      <c r="H36" s="425" t="s">
        <v>28</v>
      </c>
      <c r="I36" s="439">
        <f>M48</f>
        <v>274.94284479133233</v>
      </c>
      <c r="J36" s="424">
        <f t="shared" si="4"/>
        <v>-4.1134045392533736E-2</v>
      </c>
      <c r="K36" s="132"/>
      <c r="L36" s="204"/>
      <c r="M36" s="204"/>
    </row>
    <row r="37" spans="2:15" ht="21" x14ac:dyDescent="0.4">
      <c r="B37" s="283"/>
      <c r="C37" s="134"/>
      <c r="D37" s="134"/>
      <c r="E37" s="263"/>
      <c r="F37" s="263"/>
      <c r="G37" s="203"/>
      <c r="H37" s="426" t="s">
        <v>29</v>
      </c>
      <c r="I37" s="439">
        <f>N48</f>
        <v>233.17485493708145</v>
      </c>
      <c r="J37" s="424">
        <f t="shared" si="4"/>
        <v>0.13062505562390347</v>
      </c>
      <c r="K37" s="132"/>
      <c r="L37" s="204"/>
      <c r="M37" s="204"/>
    </row>
    <row r="38" spans="2:15" ht="21.6" thickBot="1" x14ac:dyDescent="0.45">
      <c r="B38" s="283"/>
      <c r="C38" s="134"/>
      <c r="D38" s="134"/>
      <c r="E38" s="263"/>
      <c r="F38" s="263"/>
      <c r="G38" s="205"/>
      <c r="H38" s="427" t="s">
        <v>30</v>
      </c>
      <c r="I38" s="440">
        <f>O48</f>
        <v>201.75738658431905</v>
      </c>
      <c r="J38" s="428">
        <f t="shared" si="4"/>
        <v>0.30668491397788245</v>
      </c>
      <c r="K38" s="206"/>
      <c r="L38" s="208"/>
      <c r="M38" s="204"/>
    </row>
    <row r="39" spans="2:15" ht="21.6" thickBot="1" x14ac:dyDescent="0.45">
      <c r="B39" s="284"/>
      <c r="C39" s="243"/>
      <c r="D39" s="243"/>
      <c r="E39" s="245"/>
      <c r="F39" s="245"/>
      <c r="G39" s="206"/>
      <c r="H39" s="206"/>
      <c r="I39" s="285"/>
      <c r="J39" s="206"/>
      <c r="K39" s="206"/>
      <c r="L39" s="206"/>
      <c r="M39" s="208"/>
    </row>
    <row r="43" spans="2:15" ht="15" thickBot="1" x14ac:dyDescent="0.35"/>
    <row r="44" spans="2:15" ht="28.8" x14ac:dyDescent="0.3">
      <c r="H44" s="215"/>
      <c r="I44" s="429" t="str">
        <f>H32</f>
        <v>ConEd</v>
      </c>
      <c r="J44" s="430" t="str">
        <f>H33</f>
        <v>PGL&amp;Coke</v>
      </c>
      <c r="K44" s="430" t="str">
        <f>H34</f>
        <v>SoCalGas</v>
      </c>
      <c r="L44" s="430" t="str">
        <f>H35</f>
        <v>PG&amp;E</v>
      </c>
      <c r="M44" s="430" t="str">
        <f>H36</f>
        <v>PSE&amp;G</v>
      </c>
      <c r="N44" s="431" t="str">
        <f>H37</f>
        <v>Consumers Energy</v>
      </c>
      <c r="O44" s="432" t="str">
        <f>H38</f>
        <v>AGL</v>
      </c>
    </row>
    <row r="45" spans="2:15" x14ac:dyDescent="0.3">
      <c r="H45" s="229">
        <v>2020</v>
      </c>
      <c r="I45" s="87">
        <f>Calculation!AP375</f>
        <v>483.15296248229231</v>
      </c>
      <c r="J45" s="87">
        <f>Calculation!AP875</f>
        <v>463.28247786707573</v>
      </c>
      <c r="K45" s="87">
        <f>Calculation!AP1075</f>
        <v>271.93352307788734</v>
      </c>
      <c r="L45" s="87">
        <f>Calculation!AP850</f>
        <v>322.77153582049192</v>
      </c>
      <c r="M45" s="87">
        <f>Calculation!AP950</f>
        <v>257.87504430955482</v>
      </c>
      <c r="N45" s="433">
        <f>Calculation!AP400</f>
        <v>213.8372070841142</v>
      </c>
      <c r="O45" s="434">
        <f>Calculation!AP25</f>
        <v>187.48170491361898</v>
      </c>
    </row>
    <row r="46" spans="2:15" x14ac:dyDescent="0.3">
      <c r="H46" s="229">
        <v>2021</v>
      </c>
      <c r="I46" s="87">
        <f>Calculation!AP376</f>
        <v>474.26097072561754</v>
      </c>
      <c r="J46" s="87">
        <f>Calculation!AP876</f>
        <v>398.33735956232175</v>
      </c>
      <c r="K46" s="87">
        <f>Calculation!AP1076</f>
        <v>277.15883658068077</v>
      </c>
      <c r="L46" s="87">
        <f>Calculation!AP851</f>
        <v>425.32903516949068</v>
      </c>
      <c r="M46" s="87">
        <f>Calculation!AP951</f>
        <v>288.27850986594206</v>
      </c>
      <c r="N46" s="433">
        <f>Calculation!AP401</f>
        <v>231.06680010261499</v>
      </c>
      <c r="O46" s="434">
        <f>Calculation!AP26</f>
        <v>194.42786251979078</v>
      </c>
    </row>
    <row r="47" spans="2:15" x14ac:dyDescent="0.3">
      <c r="H47" s="229">
        <v>2022</v>
      </c>
      <c r="I47" s="87">
        <f>Calculation!AP377</f>
        <v>594.46696750468459</v>
      </c>
      <c r="J47" s="87">
        <f>Calculation!AP877</f>
        <v>552.96875881890242</v>
      </c>
      <c r="K47" s="87">
        <f>Calculation!AP1077</f>
        <v>276.66285316383261</v>
      </c>
      <c r="L47" s="87">
        <f>Calculation!AP852</f>
        <v>320.76697916266625</v>
      </c>
      <c r="M47" s="87">
        <f>Calculation!AP952</f>
        <v>278.67498019850018</v>
      </c>
      <c r="N47" s="433">
        <f>Calculation!AP402</f>
        <v>254.62055762451513</v>
      </c>
      <c r="O47" s="434">
        <f>Calculation!AP27</f>
        <v>223.36259231954745</v>
      </c>
    </row>
    <row r="48" spans="2:15" ht="15" thickBot="1" x14ac:dyDescent="0.35">
      <c r="H48" s="435" t="s">
        <v>31</v>
      </c>
      <c r="I48" s="436">
        <f t="shared" ref="I48:O48" si="5">AVERAGE(I45:I47)</f>
        <v>517.29363357086481</v>
      </c>
      <c r="J48" s="436">
        <f t="shared" si="5"/>
        <v>471.52953208276659</v>
      </c>
      <c r="K48" s="436">
        <f t="shared" si="5"/>
        <v>275.25173760746685</v>
      </c>
      <c r="L48" s="436">
        <f t="shared" si="5"/>
        <v>356.2891833842163</v>
      </c>
      <c r="M48" s="436">
        <f t="shared" si="5"/>
        <v>274.94284479133233</v>
      </c>
      <c r="N48" s="437">
        <f t="shared" si="5"/>
        <v>233.17485493708145</v>
      </c>
      <c r="O48" s="442">
        <f t="shared" si="5"/>
        <v>201.75738658431905</v>
      </c>
    </row>
  </sheetData>
  <mergeCells count="1">
    <mergeCell ref="G15:L1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3:AC94"/>
  <sheetViews>
    <sheetView topLeftCell="B1" zoomScale="75" zoomScaleNormal="75" workbookViewId="0">
      <selection activeCell="B1" sqref="B1"/>
    </sheetView>
  </sheetViews>
  <sheetFormatPr defaultColWidth="9.33203125" defaultRowHeight="14.4" x14ac:dyDescent="0.3"/>
  <cols>
    <col min="1" max="1" width="14.33203125" style="1" bestFit="1" customWidth="1"/>
    <col min="2" max="2" width="63.6640625" style="1" bestFit="1" customWidth="1"/>
    <col min="3" max="3" width="22" style="1" customWidth="1"/>
    <col min="4" max="29" width="17.5546875" style="126" customWidth="1"/>
    <col min="30" max="16384" width="9.33203125" style="126"/>
  </cols>
  <sheetData>
    <row r="3" spans="1:29" ht="43.2" x14ac:dyDescent="0.3">
      <c r="D3" s="152" t="s">
        <v>312</v>
      </c>
      <c r="E3" s="152" t="s">
        <v>312</v>
      </c>
      <c r="F3" s="152" t="s">
        <v>312</v>
      </c>
      <c r="G3" s="152" t="s">
        <v>312</v>
      </c>
      <c r="H3" s="152" t="s">
        <v>312</v>
      </c>
      <c r="I3" s="152" t="s">
        <v>312</v>
      </c>
      <c r="J3" s="152" t="s">
        <v>312</v>
      </c>
      <c r="K3" s="152" t="s">
        <v>312</v>
      </c>
      <c r="L3" s="152" t="s">
        <v>312</v>
      </c>
      <c r="M3" s="152" t="s">
        <v>312</v>
      </c>
      <c r="N3" s="152" t="s">
        <v>312</v>
      </c>
      <c r="O3" s="152" t="s">
        <v>312</v>
      </c>
      <c r="P3" s="152" t="s">
        <v>312</v>
      </c>
      <c r="Q3" s="152" t="s">
        <v>312</v>
      </c>
      <c r="R3" s="152" t="s">
        <v>312</v>
      </c>
      <c r="S3" s="152" t="s">
        <v>312</v>
      </c>
      <c r="T3" s="152" t="s">
        <v>312</v>
      </c>
      <c r="U3" s="152" t="s">
        <v>312</v>
      </c>
      <c r="V3" s="152" t="s">
        <v>312</v>
      </c>
      <c r="W3" s="152" t="s">
        <v>312</v>
      </c>
      <c r="X3" s="152" t="s">
        <v>312</v>
      </c>
      <c r="Y3" s="152" t="s">
        <v>312</v>
      </c>
      <c r="Z3" s="152" t="s">
        <v>312</v>
      </c>
      <c r="AA3" s="152" t="s">
        <v>312</v>
      </c>
      <c r="AB3" s="152" t="s">
        <v>312</v>
      </c>
      <c r="AC3" s="152" t="s">
        <v>312</v>
      </c>
    </row>
    <row r="4" spans="1:29" ht="28.8" x14ac:dyDescent="0.3">
      <c r="B4" s="2"/>
      <c r="C4" s="2"/>
      <c r="D4" s="152" t="s">
        <v>313</v>
      </c>
      <c r="E4" s="152" t="s">
        <v>313</v>
      </c>
      <c r="F4" s="152" t="s">
        <v>313</v>
      </c>
      <c r="G4" s="152" t="s">
        <v>313</v>
      </c>
      <c r="H4" s="152" t="s">
        <v>313</v>
      </c>
      <c r="I4" s="152" t="s">
        <v>313</v>
      </c>
      <c r="J4" s="152" t="s">
        <v>313</v>
      </c>
      <c r="K4" s="152" t="s">
        <v>313</v>
      </c>
      <c r="L4" s="152" t="s">
        <v>313</v>
      </c>
      <c r="M4" s="152" t="s">
        <v>313</v>
      </c>
      <c r="N4" s="152" t="s">
        <v>313</v>
      </c>
      <c r="O4" s="152" t="s">
        <v>313</v>
      </c>
      <c r="P4" s="152" t="s">
        <v>313</v>
      </c>
      <c r="Q4" s="152" t="s">
        <v>313</v>
      </c>
      <c r="R4" s="152" t="s">
        <v>313</v>
      </c>
      <c r="S4" s="152" t="s">
        <v>313</v>
      </c>
      <c r="T4" s="152" t="s">
        <v>313</v>
      </c>
      <c r="U4" s="152" t="s">
        <v>313</v>
      </c>
      <c r="V4" s="152" t="s">
        <v>313</v>
      </c>
      <c r="W4" s="152" t="s">
        <v>313</v>
      </c>
      <c r="X4" s="152" t="s">
        <v>313</v>
      </c>
      <c r="Y4" s="152" t="s">
        <v>313</v>
      </c>
      <c r="Z4" s="152" t="s">
        <v>313</v>
      </c>
      <c r="AA4" s="152" t="s">
        <v>313</v>
      </c>
      <c r="AB4" s="152" t="s">
        <v>313</v>
      </c>
      <c r="AC4" s="152" t="s">
        <v>313</v>
      </c>
    </row>
    <row r="5" spans="1:29" x14ac:dyDescent="0.3">
      <c r="A5" s="3" t="s">
        <v>264</v>
      </c>
      <c r="B5" s="4" t="s">
        <v>265</v>
      </c>
      <c r="C5" s="5" t="s">
        <v>64</v>
      </c>
      <c r="D5" s="152" t="s">
        <v>176</v>
      </c>
      <c r="E5" s="152" t="s">
        <v>175</v>
      </c>
      <c r="F5" s="152" t="s">
        <v>174</v>
      </c>
      <c r="G5" s="152" t="s">
        <v>173</v>
      </c>
      <c r="H5" s="152" t="s">
        <v>172</v>
      </c>
      <c r="I5" s="152" t="s">
        <v>171</v>
      </c>
      <c r="J5" s="152" t="s">
        <v>170</v>
      </c>
      <c r="K5" s="152" t="s">
        <v>169</v>
      </c>
      <c r="L5" s="152" t="s">
        <v>168</v>
      </c>
      <c r="M5" s="152" t="s">
        <v>167</v>
      </c>
      <c r="N5" s="152" t="s">
        <v>166</v>
      </c>
      <c r="O5" s="152" t="s">
        <v>165</v>
      </c>
      <c r="P5" s="152" t="s">
        <v>164</v>
      </c>
      <c r="Q5" s="152" t="s">
        <v>163</v>
      </c>
      <c r="R5" s="152" t="s">
        <v>162</v>
      </c>
      <c r="S5" s="152" t="s">
        <v>161</v>
      </c>
      <c r="T5" s="152" t="s">
        <v>160</v>
      </c>
      <c r="U5" s="152" t="s">
        <v>159</v>
      </c>
      <c r="V5" s="152" t="s">
        <v>158</v>
      </c>
      <c r="W5" s="152" t="s">
        <v>157</v>
      </c>
      <c r="X5" s="152" t="s">
        <v>156</v>
      </c>
      <c r="Y5" s="152" t="s">
        <v>155</v>
      </c>
      <c r="Z5" s="152" t="s">
        <v>150</v>
      </c>
      <c r="AA5" s="152" t="s">
        <v>305</v>
      </c>
      <c r="AB5" s="152" t="s">
        <v>306</v>
      </c>
      <c r="AC5" s="152" t="s">
        <v>307</v>
      </c>
    </row>
    <row r="6" spans="1:29" x14ac:dyDescent="0.3">
      <c r="B6" s="2"/>
      <c r="C6" s="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x14ac:dyDescent="0.3">
      <c r="B7" s="6" t="s">
        <v>266</v>
      </c>
      <c r="C7" s="7">
        <v>4058513</v>
      </c>
      <c r="D7" s="153" t="s">
        <v>267</v>
      </c>
      <c r="E7" s="153" t="s">
        <v>267</v>
      </c>
      <c r="F7" s="153" t="s">
        <v>267</v>
      </c>
      <c r="G7" s="153">
        <v>11167</v>
      </c>
      <c r="H7" s="153">
        <v>10064</v>
      </c>
      <c r="I7" s="153">
        <v>9171</v>
      </c>
      <c r="J7" s="153">
        <v>8527</v>
      </c>
      <c r="K7" s="153">
        <v>8205</v>
      </c>
      <c r="L7" s="153">
        <v>8585</v>
      </c>
      <c r="M7" s="153">
        <v>8186</v>
      </c>
      <c r="N7" s="153">
        <v>8402</v>
      </c>
      <c r="O7" s="153">
        <v>7921</v>
      </c>
      <c r="P7" s="153">
        <v>7587</v>
      </c>
      <c r="Q7" s="153">
        <v>7315</v>
      </c>
      <c r="R7" s="153">
        <v>7520</v>
      </c>
      <c r="S7" s="153">
        <v>7355</v>
      </c>
      <c r="T7" s="153" t="s">
        <v>267</v>
      </c>
      <c r="U7" s="153" t="s">
        <v>267</v>
      </c>
      <c r="V7" s="153" t="s">
        <v>267</v>
      </c>
      <c r="W7" s="153">
        <v>0</v>
      </c>
      <c r="X7" s="153">
        <v>5958</v>
      </c>
      <c r="Y7" s="153">
        <v>5543</v>
      </c>
      <c r="Z7" s="153">
        <v>5146</v>
      </c>
      <c r="AA7" s="153">
        <v>5158</v>
      </c>
      <c r="AB7" s="153">
        <v>5506</v>
      </c>
      <c r="AC7" s="153">
        <v>5189</v>
      </c>
    </row>
    <row r="8" spans="1:29" x14ac:dyDescent="0.3">
      <c r="B8" s="6" t="s">
        <v>148</v>
      </c>
      <c r="C8" s="7">
        <v>4054707</v>
      </c>
      <c r="D8" s="153">
        <v>100168</v>
      </c>
      <c r="E8" s="153">
        <v>152868</v>
      </c>
      <c r="F8" s="153">
        <v>129940</v>
      </c>
      <c r="G8" s="153">
        <v>109772</v>
      </c>
      <c r="H8" s="153">
        <v>124397</v>
      </c>
      <c r="I8" s="153">
        <v>115692</v>
      </c>
      <c r="J8" s="153">
        <v>84242</v>
      </c>
      <c r="K8" s="153">
        <v>54299</v>
      </c>
      <c r="L8" s="153">
        <v>66744</v>
      </c>
      <c r="M8" s="153">
        <v>36147</v>
      </c>
      <c r="N8" s="153">
        <v>71779</v>
      </c>
      <c r="O8" s="153">
        <v>54558</v>
      </c>
      <c r="P8" s="153">
        <v>28752</v>
      </c>
      <c r="Q8" s="153">
        <v>59329</v>
      </c>
      <c r="R8" s="153">
        <v>27865</v>
      </c>
      <c r="S8" s="153">
        <v>40574</v>
      </c>
      <c r="T8" s="153" t="s">
        <v>267</v>
      </c>
      <c r="U8" s="153" t="s">
        <v>267</v>
      </c>
      <c r="V8" s="153" t="s">
        <v>267</v>
      </c>
      <c r="W8" s="153" t="s">
        <v>267</v>
      </c>
      <c r="X8" s="153" t="s">
        <v>267</v>
      </c>
      <c r="Y8" s="153" t="s">
        <v>267</v>
      </c>
      <c r="Z8" s="153" t="s">
        <v>267</v>
      </c>
      <c r="AA8" s="153" t="s">
        <v>267</v>
      </c>
      <c r="AB8" s="153" t="s">
        <v>267</v>
      </c>
      <c r="AC8" s="153" t="s">
        <v>267</v>
      </c>
    </row>
    <row r="9" spans="1:29" x14ac:dyDescent="0.3">
      <c r="B9" s="6"/>
      <c r="C9" s="7"/>
      <c r="D9" s="168"/>
      <c r="E9" s="168">
        <f>+D8/E8-1</f>
        <v>-0.3447418688018421</v>
      </c>
      <c r="F9" s="168">
        <f t="shared" ref="F9:S9" si="0">+E8/F8-1</f>
        <v>0.17645066953978761</v>
      </c>
      <c r="G9" s="168">
        <f t="shared" si="0"/>
        <v>0.18372626899391475</v>
      </c>
      <c r="H9" s="168">
        <f t="shared" si="0"/>
        <v>-0.11756714390218415</v>
      </c>
      <c r="I9" s="168">
        <f t="shared" si="0"/>
        <v>7.5242886284272004E-2</v>
      </c>
      <c r="J9" s="168">
        <f t="shared" si="0"/>
        <v>0.37332921820469589</v>
      </c>
      <c r="K9" s="168">
        <f t="shared" si="0"/>
        <v>0.55144661964308739</v>
      </c>
      <c r="L9" s="168">
        <f t="shared" si="0"/>
        <v>-0.18645870789883734</v>
      </c>
      <c r="M9" s="168">
        <f t="shared" si="0"/>
        <v>0.84646028716076027</v>
      </c>
      <c r="N9" s="168">
        <f t="shared" si="0"/>
        <v>-0.4964125997854526</v>
      </c>
      <c r="O9" s="168">
        <f t="shared" si="0"/>
        <v>0.31564573481432601</v>
      </c>
      <c r="P9" s="168">
        <f t="shared" si="0"/>
        <v>0.89753756260434048</v>
      </c>
      <c r="Q9" s="168">
        <f t="shared" si="0"/>
        <v>-0.51538033676616823</v>
      </c>
      <c r="R9" s="168">
        <f t="shared" si="0"/>
        <v>1.1291584424905796</v>
      </c>
      <c r="S9" s="168">
        <f t="shared" si="0"/>
        <v>-0.31323014738502486</v>
      </c>
      <c r="T9" s="168"/>
      <c r="U9" s="168"/>
      <c r="V9" s="168"/>
      <c r="W9" s="168"/>
      <c r="X9" s="168"/>
      <c r="Y9" s="168"/>
      <c r="Z9" s="168"/>
      <c r="AA9" s="168"/>
      <c r="AB9" s="168"/>
      <c r="AC9" s="168"/>
    </row>
    <row r="10" spans="1:29" x14ac:dyDescent="0.3">
      <c r="B10" s="6"/>
      <c r="C10" s="7"/>
      <c r="D10" s="168"/>
      <c r="E10" s="168">
        <f>AVERAGE(E9:S9)</f>
        <v>0.17168045901308365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</row>
    <row r="11" spans="1:29" x14ac:dyDescent="0.3">
      <c r="B11" s="6" t="s">
        <v>179</v>
      </c>
      <c r="C11" s="7">
        <v>4057075</v>
      </c>
      <c r="D11" s="153">
        <v>24000</v>
      </c>
      <c r="E11" s="153">
        <v>21435</v>
      </c>
      <c r="F11" s="153">
        <v>19909</v>
      </c>
      <c r="G11" s="153">
        <v>18547</v>
      </c>
      <c r="H11" s="153">
        <v>16127</v>
      </c>
      <c r="I11" s="153">
        <v>14289</v>
      </c>
      <c r="J11" s="153">
        <v>12936</v>
      </c>
      <c r="K11" s="153">
        <v>11186</v>
      </c>
      <c r="L11" s="153">
        <v>9199</v>
      </c>
      <c r="M11" s="153">
        <v>8831</v>
      </c>
      <c r="N11" s="153">
        <v>8955</v>
      </c>
      <c r="O11" s="153">
        <v>8906</v>
      </c>
      <c r="P11" s="153">
        <v>48618</v>
      </c>
      <c r="Q11" s="153">
        <v>7904</v>
      </c>
      <c r="R11" s="153">
        <v>7898</v>
      </c>
      <c r="S11" s="153">
        <v>6112</v>
      </c>
      <c r="T11" s="153">
        <v>6696</v>
      </c>
      <c r="U11" s="153">
        <v>6405</v>
      </c>
      <c r="V11" s="153">
        <v>6036</v>
      </c>
      <c r="W11" s="153">
        <v>5808</v>
      </c>
      <c r="X11" s="153">
        <v>5240</v>
      </c>
      <c r="Y11" s="153">
        <v>4943</v>
      </c>
      <c r="Z11" s="153">
        <v>4431</v>
      </c>
      <c r="AA11" s="153" t="s">
        <v>267</v>
      </c>
      <c r="AB11" s="153">
        <v>3365</v>
      </c>
      <c r="AC11" s="153">
        <v>2902</v>
      </c>
    </row>
    <row r="12" spans="1:29" x14ac:dyDescent="0.3">
      <c r="A12" s="1" t="s">
        <v>268</v>
      </c>
      <c r="B12" s="6" t="s">
        <v>181</v>
      </c>
      <c r="C12" s="7">
        <v>4007784</v>
      </c>
      <c r="D12" s="153">
        <v>7847</v>
      </c>
      <c r="E12" s="153">
        <v>6800</v>
      </c>
      <c r="F12" s="153">
        <v>7280</v>
      </c>
      <c r="G12" s="153">
        <v>6777</v>
      </c>
      <c r="H12" s="153">
        <v>7210</v>
      </c>
      <c r="I12" s="153">
        <v>2406</v>
      </c>
      <c r="J12" s="153">
        <v>74</v>
      </c>
      <c r="K12" s="153">
        <v>1829</v>
      </c>
      <c r="L12" s="153">
        <v>5442</v>
      </c>
      <c r="M12" s="153">
        <v>4468</v>
      </c>
      <c r="N12" s="153">
        <v>4038</v>
      </c>
      <c r="O12" s="153">
        <v>3420</v>
      </c>
      <c r="P12" s="153" t="s">
        <v>267</v>
      </c>
      <c r="Q12" s="153">
        <v>1488</v>
      </c>
      <c r="R12" s="153">
        <v>1127</v>
      </c>
      <c r="S12" s="153">
        <v>853</v>
      </c>
      <c r="T12" s="153">
        <v>-1571</v>
      </c>
      <c r="U12" s="153">
        <v>-2265</v>
      </c>
      <c r="V12" s="153">
        <v>-1497</v>
      </c>
      <c r="W12" s="153">
        <v>-1496</v>
      </c>
      <c r="X12" s="153">
        <v>-807</v>
      </c>
      <c r="Y12" s="153">
        <v>-661</v>
      </c>
      <c r="Z12" s="153">
        <v>747</v>
      </c>
      <c r="AA12" s="153">
        <v>643</v>
      </c>
      <c r="AB12" s="153">
        <v>816</v>
      </c>
      <c r="AC12" s="153">
        <v>1173</v>
      </c>
    </row>
    <row r="13" spans="1:29" x14ac:dyDescent="0.3">
      <c r="A13" s="1" t="s">
        <v>268</v>
      </c>
      <c r="B13" s="6" t="s">
        <v>269</v>
      </c>
      <c r="C13" s="7">
        <v>4058656</v>
      </c>
      <c r="D13" s="153" t="s">
        <v>267</v>
      </c>
      <c r="E13" s="153" t="s">
        <v>267</v>
      </c>
      <c r="F13" s="153" t="s">
        <v>267</v>
      </c>
      <c r="G13" s="153" t="s">
        <v>267</v>
      </c>
      <c r="H13" s="153" t="s">
        <v>267</v>
      </c>
      <c r="I13" s="153" t="s">
        <v>267</v>
      </c>
      <c r="J13" s="153" t="s">
        <v>267</v>
      </c>
      <c r="K13" s="153" t="s">
        <v>267</v>
      </c>
      <c r="L13" s="153" t="s">
        <v>267</v>
      </c>
      <c r="M13" s="153" t="s">
        <v>267</v>
      </c>
      <c r="N13" s="153" t="s">
        <v>267</v>
      </c>
      <c r="O13" s="153" t="s">
        <v>267</v>
      </c>
      <c r="P13" s="153" t="s">
        <v>267</v>
      </c>
      <c r="Q13" s="153" t="s">
        <v>267</v>
      </c>
      <c r="R13" s="153" t="s">
        <v>267</v>
      </c>
      <c r="S13" s="153" t="s">
        <v>267</v>
      </c>
      <c r="T13" s="153" t="s">
        <v>267</v>
      </c>
      <c r="U13" s="153" t="s">
        <v>267</v>
      </c>
      <c r="V13" s="153" t="s">
        <v>267</v>
      </c>
      <c r="W13" s="153" t="s">
        <v>267</v>
      </c>
      <c r="X13" s="153" t="s">
        <v>267</v>
      </c>
      <c r="Y13" s="153" t="s">
        <v>267</v>
      </c>
      <c r="Z13" s="153" t="s">
        <v>267</v>
      </c>
      <c r="AA13" s="153" t="s">
        <v>267</v>
      </c>
      <c r="AB13" s="153" t="s">
        <v>267</v>
      </c>
      <c r="AC13" s="153" t="s">
        <v>267</v>
      </c>
    </row>
    <row r="14" spans="1:29" x14ac:dyDescent="0.3">
      <c r="A14" s="1" t="s">
        <v>268</v>
      </c>
      <c r="B14" s="6" t="s">
        <v>186</v>
      </c>
      <c r="C14" s="7">
        <v>4057110</v>
      </c>
      <c r="D14" s="153" t="s">
        <v>267</v>
      </c>
      <c r="E14" s="153" t="s">
        <v>267</v>
      </c>
      <c r="F14" s="153" t="s">
        <v>267</v>
      </c>
      <c r="G14" s="153" t="s">
        <v>267</v>
      </c>
      <c r="H14" s="153" t="s">
        <v>267</v>
      </c>
      <c r="I14" s="153" t="s">
        <v>267</v>
      </c>
      <c r="J14" s="153" t="s">
        <v>267</v>
      </c>
      <c r="K14" s="153" t="s">
        <v>267</v>
      </c>
      <c r="L14" s="153" t="s">
        <v>267</v>
      </c>
      <c r="M14" s="153" t="s">
        <v>267</v>
      </c>
      <c r="N14" s="153" t="s">
        <v>267</v>
      </c>
      <c r="O14" s="153" t="s">
        <v>267</v>
      </c>
      <c r="P14" s="153" t="s">
        <v>267</v>
      </c>
      <c r="Q14" s="153" t="s">
        <v>267</v>
      </c>
      <c r="R14" s="153" t="s">
        <v>267</v>
      </c>
      <c r="S14" s="153" t="s">
        <v>267</v>
      </c>
      <c r="T14" s="153" t="s">
        <v>267</v>
      </c>
      <c r="U14" s="153" t="s">
        <v>267</v>
      </c>
      <c r="V14" s="153" t="s">
        <v>267</v>
      </c>
      <c r="W14" s="153" t="s">
        <v>267</v>
      </c>
      <c r="X14" s="153" t="s">
        <v>267</v>
      </c>
      <c r="Y14" s="153" t="s">
        <v>267</v>
      </c>
      <c r="Z14" s="153" t="s">
        <v>267</v>
      </c>
      <c r="AA14" s="153" t="s">
        <v>267</v>
      </c>
      <c r="AB14" s="153" t="s">
        <v>267</v>
      </c>
      <c r="AC14" s="153" t="s">
        <v>267</v>
      </c>
    </row>
    <row r="15" spans="1:29" x14ac:dyDescent="0.3">
      <c r="B15" s="6" t="s">
        <v>188</v>
      </c>
      <c r="C15" s="7">
        <v>4058516</v>
      </c>
      <c r="D15" s="153">
        <v>8181</v>
      </c>
      <c r="E15" s="153">
        <v>9052</v>
      </c>
      <c r="F15" s="153">
        <v>13768</v>
      </c>
      <c r="G15" s="153">
        <v>15693</v>
      </c>
      <c r="H15" s="153">
        <v>17573</v>
      </c>
      <c r="I15" s="153">
        <v>15451</v>
      </c>
      <c r="J15" s="153">
        <v>16013</v>
      </c>
      <c r="K15" s="153">
        <v>14151</v>
      </c>
      <c r="L15" s="153">
        <v>12638</v>
      </c>
      <c r="M15" s="153">
        <v>13381</v>
      </c>
      <c r="N15" s="153">
        <v>16460</v>
      </c>
      <c r="O15" s="153">
        <v>15529</v>
      </c>
      <c r="P15" s="153">
        <v>14172</v>
      </c>
      <c r="Q15" s="153">
        <v>14622</v>
      </c>
      <c r="R15" s="153">
        <v>13768</v>
      </c>
      <c r="S15" s="153">
        <v>13053</v>
      </c>
      <c r="T15" s="153">
        <v>12681</v>
      </c>
      <c r="U15" s="153">
        <v>12736</v>
      </c>
      <c r="V15" s="153">
        <v>12040</v>
      </c>
      <c r="W15" s="153">
        <v>11128</v>
      </c>
      <c r="X15" s="153">
        <v>10722</v>
      </c>
      <c r="Y15" s="153">
        <v>10961</v>
      </c>
      <c r="Z15" s="153">
        <v>10028</v>
      </c>
      <c r="AA15" s="153">
        <v>9164</v>
      </c>
      <c r="AB15" s="153">
        <v>8719</v>
      </c>
      <c r="AC15" s="153">
        <v>8417</v>
      </c>
    </row>
    <row r="16" spans="1:29" x14ac:dyDescent="0.3">
      <c r="B16" s="6" t="s">
        <v>190</v>
      </c>
      <c r="C16" s="7">
        <v>4058793</v>
      </c>
      <c r="D16" s="153" t="s">
        <v>267</v>
      </c>
      <c r="E16" s="153" t="s">
        <v>267</v>
      </c>
      <c r="F16" s="153" t="s">
        <v>267</v>
      </c>
      <c r="G16" s="153" t="s">
        <v>267</v>
      </c>
      <c r="H16" s="153" t="s">
        <v>267</v>
      </c>
      <c r="I16" s="153" t="s">
        <v>267</v>
      </c>
      <c r="J16" s="153" t="s">
        <v>267</v>
      </c>
      <c r="K16" s="153" t="s">
        <v>267</v>
      </c>
      <c r="L16" s="153" t="s">
        <v>267</v>
      </c>
      <c r="M16" s="153" t="s">
        <v>267</v>
      </c>
      <c r="N16" s="153" t="s">
        <v>267</v>
      </c>
      <c r="O16" s="153" t="s">
        <v>267</v>
      </c>
      <c r="P16" s="153" t="s">
        <v>267</v>
      </c>
      <c r="Q16" s="153">
        <v>498</v>
      </c>
      <c r="R16" s="153">
        <v>393</v>
      </c>
      <c r="S16" s="153">
        <v>349</v>
      </c>
      <c r="T16" s="153">
        <v>347</v>
      </c>
      <c r="U16" s="153">
        <v>353</v>
      </c>
      <c r="V16" s="153" t="s">
        <v>267</v>
      </c>
      <c r="W16" s="153" t="s">
        <v>267</v>
      </c>
      <c r="X16" s="153" t="s">
        <v>267</v>
      </c>
      <c r="Y16" s="153">
        <v>191</v>
      </c>
      <c r="Z16" s="153">
        <v>174</v>
      </c>
      <c r="AA16" s="153">
        <v>0</v>
      </c>
      <c r="AB16" s="153">
        <v>270</v>
      </c>
      <c r="AC16" s="153">
        <v>0</v>
      </c>
    </row>
    <row r="17" spans="1:29" x14ac:dyDescent="0.3">
      <c r="A17" s="1" t="s">
        <v>268</v>
      </c>
      <c r="B17" s="6" t="s">
        <v>192</v>
      </c>
      <c r="C17" s="7">
        <v>4057111</v>
      </c>
      <c r="D17" s="153" t="s">
        <v>267</v>
      </c>
      <c r="E17" s="153" t="s">
        <v>267</v>
      </c>
      <c r="F17" s="153" t="s">
        <v>267</v>
      </c>
      <c r="G17" s="153" t="s">
        <v>267</v>
      </c>
      <c r="H17" s="153" t="s">
        <v>267</v>
      </c>
      <c r="I17" s="153" t="s">
        <v>267</v>
      </c>
      <c r="J17" s="153" t="s">
        <v>267</v>
      </c>
      <c r="K17" s="153" t="s">
        <v>267</v>
      </c>
      <c r="L17" s="153" t="s">
        <v>267</v>
      </c>
      <c r="M17" s="153" t="s">
        <v>267</v>
      </c>
      <c r="N17" s="153" t="s">
        <v>267</v>
      </c>
      <c r="O17" s="153" t="s">
        <v>267</v>
      </c>
      <c r="P17" s="153" t="s">
        <v>267</v>
      </c>
      <c r="Q17" s="153" t="s">
        <v>267</v>
      </c>
      <c r="R17" s="153" t="s">
        <v>267</v>
      </c>
      <c r="S17" s="153" t="s">
        <v>267</v>
      </c>
      <c r="T17" s="153" t="s">
        <v>267</v>
      </c>
      <c r="U17" s="153" t="s">
        <v>267</v>
      </c>
      <c r="V17" s="153" t="s">
        <v>267</v>
      </c>
      <c r="W17" s="153" t="s">
        <v>267</v>
      </c>
      <c r="X17" s="153" t="s">
        <v>267</v>
      </c>
      <c r="Y17" s="153" t="s">
        <v>267</v>
      </c>
      <c r="Z17" s="153" t="s">
        <v>267</v>
      </c>
      <c r="AA17" s="153">
        <v>28232</v>
      </c>
      <c r="AB17" s="153">
        <v>24740</v>
      </c>
      <c r="AC17" s="153">
        <v>17196</v>
      </c>
    </row>
    <row r="18" spans="1:29" x14ac:dyDescent="0.3">
      <c r="A18" s="1" t="s">
        <v>268</v>
      </c>
      <c r="B18" s="6" t="s">
        <v>193</v>
      </c>
      <c r="C18" s="7">
        <v>4018679</v>
      </c>
      <c r="D18" s="153">
        <v>82388</v>
      </c>
      <c r="E18" s="153">
        <v>76076</v>
      </c>
      <c r="F18" s="153">
        <v>42173</v>
      </c>
      <c r="G18" s="153">
        <v>44475</v>
      </c>
      <c r="H18" s="153">
        <v>37412</v>
      </c>
      <c r="I18" s="153">
        <v>58280</v>
      </c>
      <c r="J18" s="153">
        <v>50714</v>
      </c>
      <c r="K18" s="153">
        <v>49471</v>
      </c>
      <c r="L18" s="153">
        <v>45770</v>
      </c>
      <c r="M18" s="153">
        <v>47058</v>
      </c>
      <c r="N18" s="153">
        <v>53274</v>
      </c>
      <c r="O18" s="153">
        <v>51619</v>
      </c>
      <c r="P18" s="153">
        <v>56089</v>
      </c>
      <c r="Q18" s="153">
        <v>55832</v>
      </c>
      <c r="R18" s="153">
        <v>56770</v>
      </c>
      <c r="S18" s="153">
        <v>61182</v>
      </c>
      <c r="T18" s="153">
        <v>158826</v>
      </c>
      <c r="U18" s="153">
        <v>79009</v>
      </c>
      <c r="V18" s="153">
        <v>69551</v>
      </c>
      <c r="W18" s="153">
        <v>61877</v>
      </c>
      <c r="X18" s="153">
        <v>58866</v>
      </c>
      <c r="Y18" s="153">
        <v>57039</v>
      </c>
      <c r="Z18" s="153">
        <v>49161</v>
      </c>
      <c r="AA18" s="153">
        <v>39351</v>
      </c>
      <c r="AB18" s="153">
        <v>41573</v>
      </c>
      <c r="AC18" s="153">
        <v>45993</v>
      </c>
    </row>
    <row r="19" spans="1:29" x14ac:dyDescent="0.3">
      <c r="B19" s="6" t="s">
        <v>195</v>
      </c>
      <c r="C19" s="7">
        <v>4057112</v>
      </c>
      <c r="D19" s="153">
        <v>31306</v>
      </c>
      <c r="E19" s="153">
        <v>25911</v>
      </c>
      <c r="F19" s="153">
        <v>29116</v>
      </c>
      <c r="G19" s="153">
        <v>27375</v>
      </c>
      <c r="H19" s="153">
        <v>26398</v>
      </c>
      <c r="I19" s="153">
        <v>25786</v>
      </c>
      <c r="J19" s="153">
        <v>25700</v>
      </c>
      <c r="K19" s="153">
        <v>24832</v>
      </c>
      <c r="L19" s="153">
        <v>28356</v>
      </c>
      <c r="M19" s="153">
        <v>27731</v>
      </c>
      <c r="N19" s="153">
        <v>26878</v>
      </c>
      <c r="O19" s="153">
        <v>27219</v>
      </c>
      <c r="P19" s="153">
        <v>29975</v>
      </c>
      <c r="Q19" s="153">
        <v>29043</v>
      </c>
      <c r="R19" s="153">
        <v>26592</v>
      </c>
      <c r="S19" s="153">
        <v>24350</v>
      </c>
      <c r="T19" s="153">
        <v>22678</v>
      </c>
      <c r="U19" s="153">
        <v>20976</v>
      </c>
      <c r="V19" s="153">
        <v>14518</v>
      </c>
      <c r="W19" s="153">
        <v>19120</v>
      </c>
      <c r="X19" s="153">
        <v>18131</v>
      </c>
      <c r="Y19" s="153">
        <v>17275</v>
      </c>
      <c r="Z19" s="153">
        <v>17352</v>
      </c>
      <c r="AA19" s="153">
        <v>28267</v>
      </c>
      <c r="AB19" s="153">
        <v>26197</v>
      </c>
      <c r="AC19" s="153">
        <v>23748</v>
      </c>
    </row>
    <row r="20" spans="1:29" x14ac:dyDescent="0.3">
      <c r="A20" s="1" t="s">
        <v>268</v>
      </c>
      <c r="B20" s="6" t="s">
        <v>196</v>
      </c>
      <c r="C20" s="7">
        <v>4057076</v>
      </c>
      <c r="D20" s="153" t="s">
        <v>267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3">
        <v>0</v>
      </c>
      <c r="W20" s="153">
        <v>0</v>
      </c>
      <c r="X20" s="153">
        <v>328</v>
      </c>
      <c r="Y20" s="153">
        <v>636</v>
      </c>
      <c r="Z20" s="153">
        <v>944</v>
      </c>
      <c r="AA20" s="153" t="s">
        <v>267</v>
      </c>
      <c r="AB20" s="153">
        <v>1560</v>
      </c>
      <c r="AC20" s="153">
        <v>1891</v>
      </c>
    </row>
    <row r="21" spans="1:29" x14ac:dyDescent="0.3">
      <c r="B21" s="6" t="s">
        <v>270</v>
      </c>
      <c r="C21" s="7">
        <v>4059166</v>
      </c>
      <c r="D21" s="153">
        <v>10446</v>
      </c>
      <c r="E21" s="153">
        <v>11600</v>
      </c>
      <c r="F21" s="153">
        <v>11113</v>
      </c>
      <c r="G21" s="153">
        <v>11350</v>
      </c>
      <c r="H21" s="153">
        <v>10654</v>
      </c>
      <c r="I21" s="153">
        <v>10323</v>
      </c>
      <c r="J21" s="153">
        <v>9782</v>
      </c>
      <c r="K21" s="153">
        <v>6956</v>
      </c>
      <c r="L21" s="153">
        <v>6865</v>
      </c>
      <c r="M21" s="153">
        <v>6261</v>
      </c>
      <c r="N21" s="153">
        <v>5816</v>
      </c>
      <c r="O21" s="153">
        <v>6258</v>
      </c>
      <c r="P21" s="153">
        <v>5228</v>
      </c>
      <c r="Q21" s="153">
        <v>5785</v>
      </c>
      <c r="R21" s="153">
        <v>7098</v>
      </c>
      <c r="S21" s="153">
        <v>7040</v>
      </c>
      <c r="T21" s="153" t="s">
        <v>267</v>
      </c>
      <c r="U21" s="153" t="s">
        <v>267</v>
      </c>
      <c r="V21" s="153" t="s">
        <v>267</v>
      </c>
      <c r="W21" s="153" t="s">
        <v>267</v>
      </c>
      <c r="X21" s="153">
        <v>4212</v>
      </c>
      <c r="Y21" s="153" t="s">
        <v>267</v>
      </c>
      <c r="Z21" s="153" t="s">
        <v>267</v>
      </c>
      <c r="AA21" s="153">
        <v>3922</v>
      </c>
      <c r="AB21" s="153">
        <v>3827</v>
      </c>
      <c r="AC21" s="153">
        <v>3178</v>
      </c>
    </row>
    <row r="22" spans="1:29" x14ac:dyDescent="0.3">
      <c r="B22" s="6" t="s">
        <v>271</v>
      </c>
      <c r="C22" s="7">
        <v>4059227</v>
      </c>
      <c r="D22" s="153" t="s">
        <v>267</v>
      </c>
      <c r="E22" s="153" t="s">
        <v>267</v>
      </c>
      <c r="F22" s="153" t="s">
        <v>267</v>
      </c>
      <c r="G22" s="153" t="s">
        <v>267</v>
      </c>
      <c r="H22" s="153" t="s">
        <v>267</v>
      </c>
      <c r="I22" s="153" t="s">
        <v>267</v>
      </c>
      <c r="J22" s="153" t="s">
        <v>267</v>
      </c>
      <c r="K22" s="153" t="s">
        <v>267</v>
      </c>
      <c r="L22" s="153" t="s">
        <v>267</v>
      </c>
      <c r="M22" s="153" t="s">
        <v>267</v>
      </c>
      <c r="N22" s="153" t="s">
        <v>267</v>
      </c>
      <c r="O22" s="153" t="s">
        <v>267</v>
      </c>
      <c r="P22" s="153" t="s">
        <v>267</v>
      </c>
      <c r="Q22" s="153" t="s">
        <v>267</v>
      </c>
      <c r="R22" s="153" t="s">
        <v>267</v>
      </c>
      <c r="S22" s="153" t="s">
        <v>267</v>
      </c>
      <c r="T22" s="153" t="s">
        <v>267</v>
      </c>
      <c r="U22" s="153" t="s">
        <v>267</v>
      </c>
      <c r="V22" s="153" t="s">
        <v>267</v>
      </c>
      <c r="W22" s="153" t="s">
        <v>267</v>
      </c>
      <c r="X22" s="153" t="s">
        <v>267</v>
      </c>
      <c r="Y22" s="153" t="s">
        <v>267</v>
      </c>
      <c r="Z22" s="153" t="s">
        <v>267</v>
      </c>
      <c r="AA22" s="153" t="s">
        <v>267</v>
      </c>
      <c r="AB22" s="153">
        <v>0</v>
      </c>
      <c r="AC22" s="153">
        <v>0</v>
      </c>
    </row>
    <row r="23" spans="1:29" x14ac:dyDescent="0.3">
      <c r="A23" s="1" t="s">
        <v>268</v>
      </c>
      <c r="B23" s="6" t="s">
        <v>197</v>
      </c>
      <c r="C23" s="7">
        <v>4057114</v>
      </c>
      <c r="D23" s="153" t="s">
        <v>267</v>
      </c>
      <c r="E23" s="153" t="s">
        <v>267</v>
      </c>
      <c r="F23" s="153" t="s">
        <v>267</v>
      </c>
      <c r="G23" s="153" t="s">
        <v>267</v>
      </c>
      <c r="H23" s="153" t="s">
        <v>267</v>
      </c>
      <c r="I23" s="153" t="s">
        <v>267</v>
      </c>
      <c r="J23" s="153" t="s">
        <v>267</v>
      </c>
      <c r="K23" s="153" t="s">
        <v>267</v>
      </c>
      <c r="L23" s="153" t="s">
        <v>267</v>
      </c>
      <c r="M23" s="153" t="s">
        <v>267</v>
      </c>
      <c r="N23" s="153" t="s">
        <v>267</v>
      </c>
      <c r="O23" s="153" t="s">
        <v>267</v>
      </c>
      <c r="P23" s="153" t="s">
        <v>267</v>
      </c>
      <c r="Q23" s="153" t="s">
        <v>267</v>
      </c>
      <c r="R23" s="153" t="s">
        <v>267</v>
      </c>
      <c r="S23" s="153" t="s">
        <v>267</v>
      </c>
      <c r="T23" s="153" t="s">
        <v>267</v>
      </c>
      <c r="U23" s="153" t="s">
        <v>267</v>
      </c>
      <c r="V23" s="153" t="s">
        <v>267</v>
      </c>
      <c r="W23" s="153" t="s">
        <v>267</v>
      </c>
      <c r="X23" s="153" t="s">
        <v>267</v>
      </c>
      <c r="Y23" s="153" t="s">
        <v>267</v>
      </c>
      <c r="Z23" s="153" t="s">
        <v>267</v>
      </c>
      <c r="AA23" s="153" t="s">
        <v>267</v>
      </c>
      <c r="AB23" s="153" t="s">
        <v>267</v>
      </c>
      <c r="AC23" s="153" t="s">
        <v>267</v>
      </c>
    </row>
    <row r="24" spans="1:29" x14ac:dyDescent="0.3">
      <c r="B24" s="6" t="s">
        <v>198</v>
      </c>
      <c r="C24" s="7">
        <v>4059355</v>
      </c>
      <c r="D24" s="153">
        <v>248</v>
      </c>
      <c r="E24" s="153">
        <v>236</v>
      </c>
      <c r="F24" s="153">
        <v>291</v>
      </c>
      <c r="G24" s="153">
        <v>239</v>
      </c>
      <c r="H24" s="153">
        <v>227</v>
      </c>
      <c r="I24" s="153">
        <v>207</v>
      </c>
      <c r="J24" s="153">
        <v>538</v>
      </c>
      <c r="K24" s="153">
        <v>521</v>
      </c>
      <c r="L24" s="153">
        <v>953</v>
      </c>
      <c r="M24" s="153">
        <v>929</v>
      </c>
      <c r="N24" s="153">
        <v>907</v>
      </c>
      <c r="O24" s="153">
        <v>858</v>
      </c>
      <c r="P24" s="153">
        <v>804</v>
      </c>
      <c r="Q24" s="153">
        <v>568</v>
      </c>
      <c r="R24" s="153">
        <v>745</v>
      </c>
      <c r="S24" s="153">
        <v>775</v>
      </c>
      <c r="T24" s="153">
        <v>1045</v>
      </c>
      <c r="U24" s="153">
        <v>944</v>
      </c>
      <c r="V24" s="153">
        <v>662</v>
      </c>
      <c r="W24" s="153">
        <v>809</v>
      </c>
      <c r="X24" s="153" t="s">
        <v>267</v>
      </c>
      <c r="Y24" s="153">
        <v>650</v>
      </c>
      <c r="Z24" s="153">
        <v>619</v>
      </c>
      <c r="AA24" s="153">
        <v>619</v>
      </c>
      <c r="AB24" s="153">
        <v>1777</v>
      </c>
      <c r="AC24" s="153">
        <v>1587</v>
      </c>
    </row>
    <row r="25" spans="1:29" x14ac:dyDescent="0.3">
      <c r="B25" s="6" t="s">
        <v>200</v>
      </c>
      <c r="C25" s="7">
        <v>4088325</v>
      </c>
      <c r="D25" s="153">
        <v>1106</v>
      </c>
      <c r="E25" s="153">
        <v>1055</v>
      </c>
      <c r="F25" s="153">
        <v>988</v>
      </c>
      <c r="G25" s="153">
        <v>206</v>
      </c>
      <c r="H25" s="153">
        <v>224</v>
      </c>
      <c r="I25" s="153">
        <v>220</v>
      </c>
      <c r="J25" s="153">
        <v>182</v>
      </c>
      <c r="K25" s="153">
        <v>172</v>
      </c>
      <c r="L25" s="153">
        <v>169</v>
      </c>
      <c r="M25" s="153">
        <v>201</v>
      </c>
      <c r="N25" s="153">
        <v>262</v>
      </c>
      <c r="O25" s="153">
        <v>258</v>
      </c>
      <c r="P25" s="153">
        <v>255</v>
      </c>
      <c r="Q25" s="153">
        <v>243</v>
      </c>
      <c r="R25" s="153">
        <v>251</v>
      </c>
      <c r="S25" s="153">
        <v>222</v>
      </c>
      <c r="T25" s="153">
        <v>212</v>
      </c>
      <c r="U25" s="153">
        <v>213</v>
      </c>
      <c r="V25" s="153" t="s">
        <v>267</v>
      </c>
      <c r="W25" s="153" t="s">
        <v>267</v>
      </c>
      <c r="X25" s="153" t="s">
        <v>267</v>
      </c>
      <c r="Y25" s="153">
        <v>225</v>
      </c>
      <c r="Z25" s="153">
        <v>205</v>
      </c>
      <c r="AA25" s="153">
        <v>181</v>
      </c>
      <c r="AB25" s="153">
        <v>600</v>
      </c>
      <c r="AC25" s="153">
        <v>581</v>
      </c>
    </row>
    <row r="26" spans="1:29" x14ac:dyDescent="0.3">
      <c r="B26" s="6" t="s">
        <v>272</v>
      </c>
      <c r="C26" s="7">
        <v>4088326</v>
      </c>
      <c r="D26" s="153">
        <v>1181</v>
      </c>
      <c r="E26" s="153">
        <v>1181</v>
      </c>
      <c r="F26" s="153">
        <v>1230</v>
      </c>
      <c r="G26" s="153">
        <v>1121</v>
      </c>
      <c r="H26" s="153">
        <v>1326</v>
      </c>
      <c r="I26" s="153">
        <v>1960</v>
      </c>
      <c r="J26" s="153">
        <v>2340</v>
      </c>
      <c r="K26" s="153">
        <v>2340</v>
      </c>
      <c r="L26" s="153">
        <v>2841</v>
      </c>
      <c r="M26" s="153">
        <v>1910</v>
      </c>
      <c r="N26" s="153">
        <v>1982</v>
      </c>
      <c r="O26" s="153">
        <v>2739</v>
      </c>
      <c r="P26" s="153">
        <v>5819</v>
      </c>
      <c r="Q26" s="153">
        <v>5040</v>
      </c>
      <c r="R26" s="153">
        <v>5942</v>
      </c>
      <c r="S26" s="153">
        <v>6034</v>
      </c>
      <c r="T26" s="153">
        <v>5714</v>
      </c>
      <c r="U26" s="153">
        <v>7435</v>
      </c>
      <c r="V26" s="153">
        <v>6938</v>
      </c>
      <c r="W26" s="153">
        <v>6971</v>
      </c>
      <c r="X26" s="153" t="s">
        <v>267</v>
      </c>
      <c r="Y26" s="153">
        <v>8535</v>
      </c>
      <c r="Z26" s="153">
        <v>22530</v>
      </c>
      <c r="AA26" s="153">
        <v>19602</v>
      </c>
      <c r="AB26" s="153">
        <v>17525</v>
      </c>
      <c r="AC26" s="153">
        <v>16095</v>
      </c>
    </row>
    <row r="27" spans="1:29" x14ac:dyDescent="0.3">
      <c r="A27" s="1" t="s">
        <v>268</v>
      </c>
      <c r="B27" s="6" t="s">
        <v>273</v>
      </c>
      <c r="C27" s="7">
        <v>4059358</v>
      </c>
      <c r="D27" s="153" t="s">
        <v>267</v>
      </c>
      <c r="E27" s="153" t="s">
        <v>267</v>
      </c>
      <c r="F27" s="153" t="s">
        <v>267</v>
      </c>
      <c r="G27" s="153" t="s">
        <v>267</v>
      </c>
      <c r="H27" s="153" t="s">
        <v>267</v>
      </c>
      <c r="I27" s="153" t="s">
        <v>267</v>
      </c>
      <c r="J27" s="153" t="s">
        <v>267</v>
      </c>
      <c r="K27" s="153" t="s">
        <v>267</v>
      </c>
      <c r="L27" s="153" t="s">
        <v>267</v>
      </c>
      <c r="M27" s="153" t="s">
        <v>267</v>
      </c>
      <c r="N27" s="153" t="s">
        <v>267</v>
      </c>
      <c r="O27" s="153" t="s">
        <v>267</v>
      </c>
      <c r="P27" s="153" t="s">
        <v>267</v>
      </c>
      <c r="Q27" s="153" t="s">
        <v>267</v>
      </c>
      <c r="R27" s="153" t="s">
        <v>267</v>
      </c>
      <c r="S27" s="153" t="s">
        <v>267</v>
      </c>
      <c r="T27" s="153" t="s">
        <v>267</v>
      </c>
      <c r="U27" s="153" t="s">
        <v>267</v>
      </c>
      <c r="V27" s="153" t="s">
        <v>267</v>
      </c>
      <c r="W27" s="153" t="s">
        <v>267</v>
      </c>
      <c r="X27" s="153">
        <v>7</v>
      </c>
      <c r="Y27" s="153" t="s">
        <v>267</v>
      </c>
      <c r="Z27" s="153" t="s">
        <v>267</v>
      </c>
      <c r="AA27" s="153" t="s">
        <v>267</v>
      </c>
      <c r="AB27" s="153" t="s">
        <v>267</v>
      </c>
      <c r="AC27" s="153" t="s">
        <v>267</v>
      </c>
    </row>
    <row r="28" spans="1:29" x14ac:dyDescent="0.3">
      <c r="B28" s="6" t="s">
        <v>274</v>
      </c>
      <c r="C28" s="7">
        <v>4059359</v>
      </c>
      <c r="D28" s="153">
        <v>4295</v>
      </c>
      <c r="E28" s="153">
        <v>3218</v>
      </c>
      <c r="F28" s="153">
        <v>2336</v>
      </c>
      <c r="G28" s="153">
        <v>0</v>
      </c>
      <c r="H28" s="153">
        <v>1880</v>
      </c>
      <c r="I28" s="153">
        <v>1578</v>
      </c>
      <c r="J28" s="153">
        <v>1635</v>
      </c>
      <c r="K28" s="153">
        <v>1480</v>
      </c>
      <c r="L28" s="153">
        <v>1447</v>
      </c>
      <c r="M28" s="153">
        <v>1419</v>
      </c>
      <c r="N28" s="153">
        <v>1526</v>
      </c>
      <c r="O28" s="153">
        <v>1640</v>
      </c>
      <c r="P28" s="153">
        <v>1807</v>
      </c>
      <c r="Q28" s="153">
        <v>1730</v>
      </c>
      <c r="R28" s="153">
        <v>1750</v>
      </c>
      <c r="S28" s="153">
        <v>1772</v>
      </c>
      <c r="T28" s="153">
        <v>1656</v>
      </c>
      <c r="U28" s="153" t="s">
        <v>267</v>
      </c>
      <c r="V28" s="153" t="s">
        <v>267</v>
      </c>
      <c r="W28" s="153" t="s">
        <v>267</v>
      </c>
      <c r="X28" s="153" t="s">
        <v>267</v>
      </c>
      <c r="Y28" s="153" t="s">
        <v>267</v>
      </c>
      <c r="Z28" s="153">
        <v>831</v>
      </c>
      <c r="AA28" s="153">
        <v>679</v>
      </c>
      <c r="AB28" s="153" t="s">
        <v>267</v>
      </c>
      <c r="AC28" s="153" t="s">
        <v>267</v>
      </c>
    </row>
    <row r="29" spans="1:29" x14ac:dyDescent="0.3">
      <c r="A29" s="1" t="s">
        <v>268</v>
      </c>
      <c r="B29" s="6" t="s">
        <v>202</v>
      </c>
      <c r="C29" s="7">
        <v>4059402</v>
      </c>
      <c r="D29" s="153">
        <v>27537</v>
      </c>
      <c r="E29" s="153">
        <v>24618</v>
      </c>
      <c r="F29" s="153">
        <v>23909</v>
      </c>
      <c r="G29" s="153">
        <v>22431</v>
      </c>
      <c r="H29" s="153" t="s">
        <v>267</v>
      </c>
      <c r="I29" s="153">
        <v>19928</v>
      </c>
      <c r="J29" s="153">
        <v>18981</v>
      </c>
      <c r="K29" s="153">
        <v>17529</v>
      </c>
      <c r="L29" s="153">
        <v>16822</v>
      </c>
      <c r="M29" s="153">
        <v>16854</v>
      </c>
      <c r="N29" s="153">
        <v>16733</v>
      </c>
      <c r="O29" s="153">
        <v>14581</v>
      </c>
      <c r="P29" s="153">
        <v>14097</v>
      </c>
      <c r="Q29" s="153">
        <v>13004</v>
      </c>
      <c r="R29" s="153">
        <v>12053</v>
      </c>
      <c r="S29" s="153">
        <v>12044</v>
      </c>
      <c r="T29" s="153">
        <v>10637</v>
      </c>
      <c r="U29" s="153">
        <v>25749</v>
      </c>
      <c r="V29" s="153" t="s">
        <v>267</v>
      </c>
      <c r="W29" s="153" t="s">
        <v>267</v>
      </c>
      <c r="X29" s="153" t="s">
        <v>267</v>
      </c>
      <c r="Y29" s="153">
        <v>19455</v>
      </c>
      <c r="Z29" s="153">
        <v>16390</v>
      </c>
      <c r="AA29" s="153">
        <v>15305</v>
      </c>
      <c r="AB29" s="153">
        <v>13307</v>
      </c>
      <c r="AC29" s="153">
        <v>13549</v>
      </c>
    </row>
    <row r="30" spans="1:29" x14ac:dyDescent="0.3">
      <c r="A30" s="1" t="s">
        <v>268</v>
      </c>
      <c r="B30" s="6" t="s">
        <v>204</v>
      </c>
      <c r="C30" s="7">
        <v>4057080</v>
      </c>
      <c r="D30" s="153">
        <v>1405</v>
      </c>
      <c r="E30" s="153">
        <v>0</v>
      </c>
      <c r="F30" s="153">
        <v>0</v>
      </c>
      <c r="G30" s="153">
        <v>0</v>
      </c>
      <c r="H30" s="153">
        <v>-1</v>
      </c>
      <c r="I30" s="153">
        <v>0</v>
      </c>
      <c r="J30" s="153">
        <v>0</v>
      </c>
      <c r="K30" s="153">
        <v>5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3">
        <v>0</v>
      </c>
      <c r="R30" s="153">
        <v>0</v>
      </c>
      <c r="S30" s="153">
        <v>0</v>
      </c>
      <c r="T30" s="153">
        <v>0</v>
      </c>
      <c r="U30" s="153">
        <v>0</v>
      </c>
      <c r="V30" s="153">
        <v>0</v>
      </c>
      <c r="W30" s="153">
        <v>0</v>
      </c>
      <c r="X30" s="153">
        <v>0</v>
      </c>
      <c r="Y30" s="153">
        <v>0</v>
      </c>
      <c r="Z30" s="153">
        <v>0</v>
      </c>
      <c r="AA30" s="153">
        <v>0</v>
      </c>
      <c r="AB30" s="153">
        <v>0</v>
      </c>
      <c r="AC30" s="153">
        <v>0</v>
      </c>
    </row>
    <row r="31" spans="1:29" x14ac:dyDescent="0.3">
      <c r="B31" s="6" t="s">
        <v>205</v>
      </c>
      <c r="C31" s="7">
        <v>4057081</v>
      </c>
      <c r="D31" s="153">
        <v>103586</v>
      </c>
      <c r="E31" s="153">
        <v>86867</v>
      </c>
      <c r="F31" s="153">
        <v>73755</v>
      </c>
      <c r="G31" s="153">
        <v>61821</v>
      </c>
      <c r="H31" s="153">
        <v>53270</v>
      </c>
      <c r="I31" s="153">
        <v>45932</v>
      </c>
      <c r="J31" s="153">
        <v>40492</v>
      </c>
      <c r="K31" s="153">
        <v>38751</v>
      </c>
      <c r="L31" s="153">
        <v>34927</v>
      </c>
      <c r="M31" s="153">
        <v>32081</v>
      </c>
      <c r="N31" s="153">
        <v>27958</v>
      </c>
      <c r="O31" s="153">
        <v>26980</v>
      </c>
      <c r="P31" s="153">
        <v>28665</v>
      </c>
      <c r="Q31" s="153">
        <v>26055</v>
      </c>
      <c r="R31" s="153">
        <v>24459</v>
      </c>
      <c r="S31" s="153">
        <v>26737</v>
      </c>
      <c r="T31" s="153">
        <v>24724</v>
      </c>
      <c r="U31" s="153">
        <v>24418</v>
      </c>
      <c r="V31" s="153">
        <v>22042</v>
      </c>
      <c r="W31" s="153">
        <v>17836</v>
      </c>
      <c r="X31" s="153">
        <v>22487</v>
      </c>
      <c r="Y31" s="153">
        <v>23036</v>
      </c>
      <c r="Z31" s="153">
        <v>21272</v>
      </c>
      <c r="AA31" s="153">
        <v>15225</v>
      </c>
      <c r="AB31" s="153">
        <v>18620</v>
      </c>
      <c r="AC31" s="153">
        <v>15110</v>
      </c>
    </row>
    <row r="32" spans="1:29" x14ac:dyDescent="0.3">
      <c r="A32" s="1" t="s">
        <v>268</v>
      </c>
      <c r="B32" s="6" t="s">
        <v>207</v>
      </c>
      <c r="C32" s="7">
        <v>4059459</v>
      </c>
      <c r="D32" s="153">
        <v>8379</v>
      </c>
      <c r="E32" s="153">
        <v>8862</v>
      </c>
      <c r="F32" s="153">
        <v>8501</v>
      </c>
      <c r="G32" s="153">
        <v>8027</v>
      </c>
      <c r="H32" s="153">
        <v>10250</v>
      </c>
      <c r="I32" s="153">
        <v>6428</v>
      </c>
      <c r="J32" s="153">
        <v>5892</v>
      </c>
      <c r="K32" s="153">
        <v>5134</v>
      </c>
      <c r="L32" s="153">
        <v>5004</v>
      </c>
      <c r="M32" s="153">
        <v>4956</v>
      </c>
      <c r="N32" s="153">
        <v>4910</v>
      </c>
      <c r="O32" s="153">
        <v>4916</v>
      </c>
      <c r="P32" s="153">
        <v>3687</v>
      </c>
      <c r="Q32" s="153">
        <v>3501</v>
      </c>
      <c r="R32" s="153">
        <v>3321</v>
      </c>
      <c r="S32" s="153">
        <v>3128</v>
      </c>
      <c r="T32" s="153">
        <v>2900</v>
      </c>
      <c r="U32" s="153">
        <v>2689</v>
      </c>
      <c r="V32" s="153">
        <v>2573</v>
      </c>
      <c r="W32" s="153">
        <v>2376</v>
      </c>
      <c r="X32" s="153">
        <v>2247</v>
      </c>
      <c r="Y32" s="153">
        <v>2039</v>
      </c>
      <c r="Z32" s="153">
        <v>2414</v>
      </c>
      <c r="AA32" s="153">
        <v>2150</v>
      </c>
      <c r="AB32" s="153">
        <v>1867</v>
      </c>
      <c r="AC32" s="153">
        <v>1713</v>
      </c>
    </row>
    <row r="33" spans="2:29" x14ac:dyDescent="0.3">
      <c r="B33" s="6" t="s">
        <v>208</v>
      </c>
      <c r="C33" s="7">
        <v>4057118</v>
      </c>
      <c r="D33" s="153">
        <v>10855</v>
      </c>
      <c r="E33" s="153">
        <v>10595</v>
      </c>
      <c r="F33" s="153">
        <v>9902</v>
      </c>
      <c r="G33" s="153">
        <v>13647</v>
      </c>
      <c r="H33" s="153">
        <v>13451</v>
      </c>
      <c r="I33" s="153">
        <v>13240</v>
      </c>
      <c r="J33" s="153">
        <v>12909</v>
      </c>
      <c r="K33" s="153">
        <v>12810</v>
      </c>
      <c r="L33" s="153">
        <v>12517</v>
      </c>
      <c r="M33" s="153">
        <v>11912</v>
      </c>
      <c r="N33" s="153">
        <v>11570</v>
      </c>
      <c r="O33" s="153">
        <v>10824</v>
      </c>
      <c r="P33" s="153">
        <v>10536</v>
      </c>
      <c r="Q33" s="153">
        <v>10252</v>
      </c>
      <c r="R33" s="153">
        <v>9156</v>
      </c>
      <c r="S33" s="153">
        <v>9689</v>
      </c>
      <c r="T33" s="153">
        <v>9640</v>
      </c>
      <c r="U33" s="153">
        <v>9655</v>
      </c>
      <c r="V33" s="153">
        <v>9247</v>
      </c>
      <c r="W33" s="153">
        <v>9281</v>
      </c>
      <c r="X33" s="153">
        <v>8847</v>
      </c>
      <c r="Y33" s="153">
        <v>8098</v>
      </c>
      <c r="Z33" s="153">
        <v>7576</v>
      </c>
      <c r="AA33" s="153">
        <v>6458</v>
      </c>
      <c r="AB33" s="153">
        <v>5685</v>
      </c>
      <c r="AC33" s="153">
        <v>5093</v>
      </c>
    </row>
    <row r="34" spans="2:29" x14ac:dyDescent="0.3">
      <c r="B34" s="6" t="s">
        <v>210</v>
      </c>
      <c r="C34" s="7">
        <v>4057126</v>
      </c>
      <c r="D34" s="153">
        <v>97732</v>
      </c>
      <c r="E34" s="153">
        <v>112061</v>
      </c>
      <c r="F34" s="153">
        <v>120680</v>
      </c>
      <c r="G34" s="153">
        <v>113687</v>
      </c>
      <c r="H34" s="153">
        <v>108012</v>
      </c>
      <c r="I34" s="153">
        <v>114292</v>
      </c>
      <c r="J34" s="153">
        <v>117870</v>
      </c>
      <c r="K34" s="153">
        <v>123573</v>
      </c>
      <c r="L34" s="153">
        <v>131682</v>
      </c>
      <c r="M34" s="153">
        <v>147981</v>
      </c>
      <c r="N34" s="153">
        <v>147062</v>
      </c>
      <c r="O34" s="153">
        <v>160857</v>
      </c>
      <c r="P34" s="153">
        <v>207680</v>
      </c>
      <c r="Q34" s="153">
        <v>194922</v>
      </c>
      <c r="R34" s="153">
        <v>182394</v>
      </c>
      <c r="S34" s="153">
        <v>166820</v>
      </c>
      <c r="T34" s="153">
        <v>141319</v>
      </c>
      <c r="U34" s="153">
        <v>137328</v>
      </c>
      <c r="V34" s="153">
        <v>145195</v>
      </c>
      <c r="W34" s="153">
        <v>127549</v>
      </c>
      <c r="X34" s="153">
        <v>118070</v>
      </c>
      <c r="Y34" s="153">
        <v>113171</v>
      </c>
      <c r="Z34" s="153">
        <v>97435</v>
      </c>
      <c r="AA34" s="153">
        <v>87320</v>
      </c>
      <c r="AB34" s="153">
        <v>84741</v>
      </c>
      <c r="AC34" s="153">
        <v>74150</v>
      </c>
    </row>
    <row r="35" spans="2:29" x14ac:dyDescent="0.3">
      <c r="B35" s="6" t="s">
        <v>275</v>
      </c>
      <c r="C35" s="7">
        <v>4057103</v>
      </c>
      <c r="D35" s="153" t="s">
        <v>267</v>
      </c>
      <c r="E35" s="153">
        <v>80</v>
      </c>
      <c r="F35" s="153">
        <v>-112</v>
      </c>
      <c r="G35" s="153">
        <v>12</v>
      </c>
      <c r="H35" s="153" t="s">
        <v>267</v>
      </c>
      <c r="I35" s="153">
        <v>60</v>
      </c>
      <c r="J35" s="153">
        <v>60</v>
      </c>
      <c r="K35" s="153">
        <v>60</v>
      </c>
      <c r="L35" s="153">
        <v>60</v>
      </c>
      <c r="M35" s="153">
        <v>60</v>
      </c>
      <c r="N35" s="153">
        <v>325</v>
      </c>
      <c r="O35" s="153">
        <v>47</v>
      </c>
      <c r="P35" s="153">
        <v>46</v>
      </c>
      <c r="Q35" s="153">
        <v>46</v>
      </c>
      <c r="R35" s="153">
        <v>46</v>
      </c>
      <c r="S35" s="153">
        <v>46</v>
      </c>
      <c r="T35" s="153">
        <v>46</v>
      </c>
      <c r="U35" s="153">
        <v>151</v>
      </c>
      <c r="V35" s="153">
        <v>189</v>
      </c>
      <c r="W35" s="153" t="s">
        <v>267</v>
      </c>
      <c r="X35" s="153" t="s">
        <v>267</v>
      </c>
      <c r="Y35" s="153">
        <v>1625</v>
      </c>
      <c r="Z35" s="153">
        <v>1505</v>
      </c>
      <c r="AA35" s="153">
        <v>1414</v>
      </c>
      <c r="AB35" s="153">
        <v>2033</v>
      </c>
      <c r="AC35" s="153">
        <v>1924</v>
      </c>
    </row>
    <row r="36" spans="2:29" x14ac:dyDescent="0.3">
      <c r="B36" s="6" t="s">
        <v>211</v>
      </c>
      <c r="C36" s="7">
        <v>4057079</v>
      </c>
      <c r="D36" s="153">
        <v>24961</v>
      </c>
      <c r="E36" s="153">
        <v>22111</v>
      </c>
      <c r="F36" s="153">
        <v>18069</v>
      </c>
      <c r="G36" s="153">
        <v>15532</v>
      </c>
      <c r="H36" s="153">
        <v>13257</v>
      </c>
      <c r="I36" s="153">
        <v>11170</v>
      </c>
      <c r="J36" s="153">
        <v>8681</v>
      </c>
      <c r="K36" s="153">
        <v>6208</v>
      </c>
      <c r="L36" s="153">
        <v>4131</v>
      </c>
      <c r="M36" s="153">
        <v>1260</v>
      </c>
      <c r="N36" s="153">
        <v>2047</v>
      </c>
      <c r="O36" s="153">
        <v>971</v>
      </c>
      <c r="P36" s="153">
        <v>881</v>
      </c>
      <c r="Q36" s="153">
        <v>791</v>
      </c>
      <c r="R36" s="153">
        <v>678</v>
      </c>
      <c r="S36" s="153">
        <v>398</v>
      </c>
      <c r="T36" s="153">
        <v>46</v>
      </c>
      <c r="U36" s="153">
        <v>1034</v>
      </c>
      <c r="V36" s="153">
        <v>2037</v>
      </c>
      <c r="W36" s="153">
        <v>2856</v>
      </c>
      <c r="X36" s="153">
        <v>4910</v>
      </c>
      <c r="Y36" s="153">
        <v>4720</v>
      </c>
      <c r="Z36" s="153">
        <v>4678</v>
      </c>
      <c r="AA36" s="153">
        <v>4625</v>
      </c>
      <c r="AB36" s="153">
        <v>6773</v>
      </c>
      <c r="AC36" s="153">
        <v>6101</v>
      </c>
    </row>
    <row r="37" spans="2:29" x14ac:dyDescent="0.3">
      <c r="B37" s="6" t="s">
        <v>276</v>
      </c>
      <c r="C37" s="7">
        <v>4081251</v>
      </c>
      <c r="D37" s="153" t="s">
        <v>267</v>
      </c>
      <c r="E37" s="153" t="s">
        <v>267</v>
      </c>
      <c r="F37" s="153" t="s">
        <v>267</v>
      </c>
      <c r="G37" s="153" t="s">
        <v>267</v>
      </c>
      <c r="H37" s="153" t="s">
        <v>267</v>
      </c>
      <c r="I37" s="153" t="s">
        <v>267</v>
      </c>
      <c r="J37" s="153" t="s">
        <v>267</v>
      </c>
      <c r="K37" s="153" t="s">
        <v>267</v>
      </c>
      <c r="L37" s="153" t="s">
        <v>267</v>
      </c>
      <c r="M37" s="153" t="s">
        <v>267</v>
      </c>
      <c r="N37" s="153" t="s">
        <v>267</v>
      </c>
      <c r="O37" s="153" t="s">
        <v>267</v>
      </c>
      <c r="P37" s="153" t="s">
        <v>267</v>
      </c>
      <c r="Q37" s="153" t="s">
        <v>267</v>
      </c>
      <c r="R37" s="153" t="s">
        <v>267</v>
      </c>
      <c r="S37" s="153" t="s">
        <v>267</v>
      </c>
      <c r="T37" s="153" t="s">
        <v>267</v>
      </c>
      <c r="U37" s="153" t="s">
        <v>267</v>
      </c>
      <c r="V37" s="153" t="s">
        <v>267</v>
      </c>
      <c r="W37" s="153" t="s">
        <v>267</v>
      </c>
      <c r="X37" s="153" t="s">
        <v>267</v>
      </c>
      <c r="Y37" s="153" t="s">
        <v>267</v>
      </c>
      <c r="Z37" s="153" t="s">
        <v>267</v>
      </c>
      <c r="AA37" s="153" t="s">
        <v>267</v>
      </c>
      <c r="AB37" s="153" t="s">
        <v>267</v>
      </c>
      <c r="AC37" s="153" t="s">
        <v>267</v>
      </c>
    </row>
    <row r="38" spans="2:29" x14ac:dyDescent="0.3">
      <c r="B38" s="6" t="s">
        <v>277</v>
      </c>
      <c r="C38" s="7">
        <v>4060572</v>
      </c>
      <c r="D38" s="153">
        <v>4121</v>
      </c>
      <c r="E38" s="153">
        <v>2085</v>
      </c>
      <c r="F38" s="153">
        <v>3353</v>
      </c>
      <c r="G38" s="153">
        <v>2400</v>
      </c>
      <c r="H38" s="153">
        <v>3136</v>
      </c>
      <c r="I38" s="153">
        <v>3816</v>
      </c>
      <c r="J38" s="153">
        <v>3713</v>
      </c>
      <c r="K38" s="153">
        <v>3944</v>
      </c>
      <c r="L38" s="153">
        <v>4236</v>
      </c>
      <c r="M38" s="153">
        <v>4031</v>
      </c>
      <c r="N38" s="153">
        <v>3737</v>
      </c>
      <c r="O38" s="153">
        <v>3391</v>
      </c>
      <c r="P38" s="153">
        <v>3712</v>
      </c>
      <c r="Q38" s="153">
        <v>3823</v>
      </c>
      <c r="R38" s="153">
        <v>3772</v>
      </c>
      <c r="S38" s="153">
        <v>6168</v>
      </c>
      <c r="T38" s="153">
        <v>5785</v>
      </c>
      <c r="U38" s="153">
        <v>5572</v>
      </c>
      <c r="V38" s="153" t="s">
        <v>267</v>
      </c>
      <c r="W38" s="153" t="s">
        <v>267</v>
      </c>
      <c r="X38" s="153" t="s">
        <v>267</v>
      </c>
      <c r="Y38" s="153" t="s">
        <v>267</v>
      </c>
      <c r="Z38" s="153" t="s">
        <v>267</v>
      </c>
      <c r="AA38" s="153">
        <v>4139</v>
      </c>
      <c r="AB38" s="153">
        <v>3478</v>
      </c>
      <c r="AC38" s="153" t="s">
        <v>267</v>
      </c>
    </row>
    <row r="39" spans="2:29" x14ac:dyDescent="0.3">
      <c r="B39" s="6" t="s">
        <v>278</v>
      </c>
      <c r="C39" s="7">
        <v>4083318</v>
      </c>
      <c r="D39" s="153">
        <v>2350</v>
      </c>
      <c r="E39" s="153">
        <v>2294</v>
      </c>
      <c r="F39" s="153">
        <v>2402</v>
      </c>
      <c r="G39" s="153">
        <v>2402</v>
      </c>
      <c r="H39" s="153">
        <v>2289</v>
      </c>
      <c r="I39" s="153">
        <v>2070</v>
      </c>
      <c r="J39" s="153">
        <v>1954</v>
      </c>
      <c r="K39" s="153">
        <v>1823</v>
      </c>
      <c r="L39" s="153">
        <v>1686</v>
      </c>
      <c r="M39" s="153">
        <v>1467</v>
      </c>
      <c r="N39" s="153">
        <v>1467</v>
      </c>
      <c r="O39" s="153">
        <v>1457</v>
      </c>
      <c r="P39" s="153">
        <v>1340</v>
      </c>
      <c r="Q39" s="153" t="s">
        <v>267</v>
      </c>
      <c r="R39" s="153" t="s">
        <v>267</v>
      </c>
      <c r="S39" s="153" t="s">
        <v>267</v>
      </c>
      <c r="T39" s="153">
        <v>1118</v>
      </c>
      <c r="U39" s="153">
        <v>963</v>
      </c>
      <c r="V39" s="153">
        <v>1076</v>
      </c>
      <c r="W39" s="153" t="s">
        <v>267</v>
      </c>
      <c r="X39" s="153" t="s">
        <v>267</v>
      </c>
      <c r="Y39" s="153" t="s">
        <v>267</v>
      </c>
      <c r="Z39" s="153" t="s">
        <v>267</v>
      </c>
      <c r="AA39" s="153" t="s">
        <v>267</v>
      </c>
      <c r="AB39" s="153">
        <v>862</v>
      </c>
      <c r="AC39" s="153">
        <v>825</v>
      </c>
    </row>
    <row r="40" spans="2:29" x14ac:dyDescent="0.3">
      <c r="B40" s="6" t="s">
        <v>279</v>
      </c>
      <c r="C40" s="7">
        <v>4057125</v>
      </c>
      <c r="D40" s="153" t="s">
        <v>267</v>
      </c>
      <c r="E40" s="153" t="s">
        <v>267</v>
      </c>
      <c r="F40" s="153" t="s">
        <v>267</v>
      </c>
      <c r="G40" s="153" t="s">
        <v>267</v>
      </c>
      <c r="H40" s="153" t="s">
        <v>267</v>
      </c>
      <c r="I40" s="153" t="s">
        <v>267</v>
      </c>
      <c r="J40" s="153" t="s">
        <v>267</v>
      </c>
      <c r="K40" s="153" t="s">
        <v>267</v>
      </c>
      <c r="L40" s="153" t="s">
        <v>267</v>
      </c>
      <c r="M40" s="153" t="s">
        <v>267</v>
      </c>
      <c r="N40" s="153" t="s">
        <v>267</v>
      </c>
      <c r="O40" s="153" t="s">
        <v>267</v>
      </c>
      <c r="P40" s="153" t="s">
        <v>267</v>
      </c>
      <c r="Q40" s="153" t="s">
        <v>267</v>
      </c>
      <c r="R40" s="153" t="s">
        <v>267</v>
      </c>
      <c r="S40" s="153" t="s">
        <v>267</v>
      </c>
      <c r="T40" s="153" t="s">
        <v>267</v>
      </c>
      <c r="U40" s="153" t="s">
        <v>267</v>
      </c>
      <c r="V40" s="153" t="s">
        <v>267</v>
      </c>
      <c r="W40" s="153" t="s">
        <v>267</v>
      </c>
      <c r="X40" s="153" t="s">
        <v>267</v>
      </c>
      <c r="Y40" s="153" t="s">
        <v>267</v>
      </c>
      <c r="Z40" s="153" t="s">
        <v>267</v>
      </c>
      <c r="AA40" s="153" t="s">
        <v>267</v>
      </c>
      <c r="AB40" s="153" t="s">
        <v>267</v>
      </c>
      <c r="AC40" s="153" t="s">
        <v>267</v>
      </c>
    </row>
    <row r="41" spans="2:29" x14ac:dyDescent="0.3">
      <c r="B41" s="6" t="s">
        <v>280</v>
      </c>
      <c r="C41" s="7">
        <v>4087741</v>
      </c>
      <c r="D41" s="153" t="s">
        <v>267</v>
      </c>
      <c r="E41" s="153" t="s">
        <v>267</v>
      </c>
      <c r="F41" s="153">
        <v>44615</v>
      </c>
      <c r="G41" s="153">
        <v>43197</v>
      </c>
      <c r="H41" s="153">
        <v>42805</v>
      </c>
      <c r="I41" s="153">
        <v>41081</v>
      </c>
      <c r="J41" s="153">
        <v>39548</v>
      </c>
      <c r="K41" s="153">
        <v>36029</v>
      </c>
      <c r="L41" s="153">
        <v>38139</v>
      </c>
      <c r="M41" s="153">
        <v>33253</v>
      </c>
      <c r="N41" s="153">
        <v>33093</v>
      </c>
      <c r="O41" s="153">
        <v>31445</v>
      </c>
      <c r="P41" s="153">
        <v>33481</v>
      </c>
      <c r="Q41" s="153">
        <v>30974</v>
      </c>
      <c r="R41" s="153">
        <v>40129</v>
      </c>
      <c r="S41" s="153">
        <v>38418</v>
      </c>
      <c r="T41" s="153">
        <v>33041</v>
      </c>
      <c r="U41" s="153">
        <v>27740</v>
      </c>
      <c r="V41" s="153">
        <v>27573</v>
      </c>
      <c r="W41" s="153" t="s">
        <v>267</v>
      </c>
      <c r="X41" s="153">
        <v>18268</v>
      </c>
      <c r="Y41" s="153" t="s">
        <v>267</v>
      </c>
      <c r="Z41" s="153" t="s">
        <v>267</v>
      </c>
      <c r="AA41" s="153" t="s">
        <v>267</v>
      </c>
      <c r="AB41" s="153" t="s">
        <v>267</v>
      </c>
      <c r="AC41" s="153" t="s">
        <v>267</v>
      </c>
    </row>
    <row r="42" spans="2:29" x14ac:dyDescent="0.3">
      <c r="B42" s="6" t="s">
        <v>281</v>
      </c>
      <c r="C42" s="7">
        <v>4059875</v>
      </c>
      <c r="D42" s="153">
        <v>31423</v>
      </c>
      <c r="E42" s="153">
        <v>21311</v>
      </c>
      <c r="F42" s="153">
        <v>18705</v>
      </c>
      <c r="G42" s="153">
        <v>4924</v>
      </c>
      <c r="H42" s="153">
        <v>10932</v>
      </c>
      <c r="I42" s="153">
        <v>8280</v>
      </c>
      <c r="J42" s="153">
        <v>3663</v>
      </c>
      <c r="K42" s="153">
        <v>3562</v>
      </c>
      <c r="L42" s="153" t="s">
        <v>267</v>
      </c>
      <c r="M42" s="153" t="s">
        <v>267</v>
      </c>
      <c r="N42" s="153" t="s">
        <v>267</v>
      </c>
      <c r="O42" s="153" t="s">
        <v>267</v>
      </c>
      <c r="P42" s="153" t="s">
        <v>267</v>
      </c>
      <c r="Q42" s="153" t="s">
        <v>267</v>
      </c>
      <c r="R42" s="153" t="s">
        <v>267</v>
      </c>
      <c r="S42" s="153" t="s">
        <v>267</v>
      </c>
      <c r="T42" s="153" t="s">
        <v>267</v>
      </c>
      <c r="U42" s="153">
        <v>81</v>
      </c>
      <c r="V42" s="153" t="s">
        <v>267</v>
      </c>
      <c r="W42" s="153" t="s">
        <v>267</v>
      </c>
      <c r="X42" s="153" t="s">
        <v>267</v>
      </c>
      <c r="Y42" s="153" t="s">
        <v>267</v>
      </c>
      <c r="Z42" s="153" t="s">
        <v>267</v>
      </c>
      <c r="AA42" s="153" t="s">
        <v>267</v>
      </c>
      <c r="AB42" s="153" t="s">
        <v>267</v>
      </c>
      <c r="AC42" s="153" t="s">
        <v>267</v>
      </c>
    </row>
    <row r="43" spans="2:29" x14ac:dyDescent="0.3">
      <c r="B43" s="6" t="s">
        <v>212</v>
      </c>
      <c r="C43" s="7">
        <v>4057090</v>
      </c>
      <c r="D43" s="153">
        <v>6136</v>
      </c>
      <c r="E43" s="153">
        <v>6051</v>
      </c>
      <c r="F43" s="153">
        <v>5843</v>
      </c>
      <c r="G43" s="153">
        <v>5689</v>
      </c>
      <c r="H43" s="153">
        <v>5752</v>
      </c>
      <c r="I43" s="153">
        <v>5601</v>
      </c>
      <c r="J43" s="153">
        <v>5462</v>
      </c>
      <c r="K43" s="153">
        <v>5130</v>
      </c>
      <c r="L43" s="153">
        <v>4868</v>
      </c>
      <c r="M43" s="153">
        <v>4788</v>
      </c>
      <c r="N43" s="153">
        <v>-172</v>
      </c>
      <c r="O43" s="153">
        <v>6249</v>
      </c>
      <c r="P43" s="153">
        <v>5911</v>
      </c>
      <c r="Q43" s="153">
        <v>5623</v>
      </c>
      <c r="R43" s="153">
        <v>6789</v>
      </c>
      <c r="S43" s="153">
        <v>6413</v>
      </c>
      <c r="T43" s="153">
        <v>5886</v>
      </c>
      <c r="U43" s="153">
        <v>4923</v>
      </c>
      <c r="V43" s="153">
        <v>4988</v>
      </c>
      <c r="W43" s="153">
        <v>6260</v>
      </c>
      <c r="X43" s="153">
        <v>6753</v>
      </c>
      <c r="Y43" s="153">
        <v>6414</v>
      </c>
      <c r="Z43" s="153">
        <v>5927</v>
      </c>
      <c r="AA43" s="153">
        <v>6690</v>
      </c>
      <c r="AB43" s="153">
        <v>5726</v>
      </c>
      <c r="AC43" s="153" t="s">
        <v>267</v>
      </c>
    </row>
    <row r="44" spans="2:29" x14ac:dyDescent="0.3">
      <c r="B44" s="6" t="s">
        <v>213</v>
      </c>
      <c r="C44" s="7">
        <v>4008754</v>
      </c>
      <c r="D44" s="153">
        <v>2851</v>
      </c>
      <c r="E44" s="153">
        <v>2479</v>
      </c>
      <c r="F44" s="153">
        <v>1640</v>
      </c>
      <c r="G44" s="153">
        <v>1531</v>
      </c>
      <c r="H44" s="153">
        <v>1535</v>
      </c>
      <c r="I44" s="153">
        <v>2814</v>
      </c>
      <c r="J44" s="153">
        <v>2643</v>
      </c>
      <c r="K44" s="153">
        <v>2324</v>
      </c>
      <c r="L44" s="153">
        <v>2090</v>
      </c>
      <c r="M44" s="153">
        <v>1975</v>
      </c>
      <c r="N44" s="153">
        <v>1762</v>
      </c>
      <c r="O44" s="153">
        <v>1797</v>
      </c>
      <c r="P44" s="153">
        <v>1661</v>
      </c>
      <c r="Q44" s="153">
        <v>1539</v>
      </c>
      <c r="R44" s="153">
        <v>1684</v>
      </c>
      <c r="S44" s="153">
        <v>1524</v>
      </c>
      <c r="T44" s="153">
        <v>1997</v>
      </c>
      <c r="U44" s="153">
        <v>2488</v>
      </c>
      <c r="V44" s="153">
        <v>2772</v>
      </c>
      <c r="W44" s="153">
        <v>3192</v>
      </c>
      <c r="X44" s="153">
        <v>3580</v>
      </c>
      <c r="Y44" s="153">
        <v>3934</v>
      </c>
      <c r="Z44" s="153">
        <v>4304</v>
      </c>
      <c r="AA44" s="153">
        <v>4691</v>
      </c>
      <c r="AB44" s="153">
        <v>5743</v>
      </c>
      <c r="AC44" s="153">
        <v>6114</v>
      </c>
    </row>
    <row r="45" spans="2:29" x14ac:dyDescent="0.3">
      <c r="B45" s="6" t="s">
        <v>282</v>
      </c>
      <c r="C45" s="7">
        <v>4061474</v>
      </c>
      <c r="D45" s="153" t="s">
        <v>267</v>
      </c>
      <c r="E45" s="153" t="s">
        <v>267</v>
      </c>
      <c r="F45" s="153" t="s">
        <v>267</v>
      </c>
      <c r="G45" s="153" t="s">
        <v>267</v>
      </c>
      <c r="H45" s="153" t="s">
        <v>267</v>
      </c>
      <c r="I45" s="153" t="s">
        <v>267</v>
      </c>
      <c r="J45" s="153" t="s">
        <v>267</v>
      </c>
      <c r="K45" s="153" t="s">
        <v>267</v>
      </c>
      <c r="L45" s="153" t="s">
        <v>267</v>
      </c>
      <c r="M45" s="153" t="s">
        <v>267</v>
      </c>
      <c r="N45" s="153" t="s">
        <v>267</v>
      </c>
      <c r="O45" s="153" t="s">
        <v>267</v>
      </c>
      <c r="P45" s="153" t="s">
        <v>267</v>
      </c>
      <c r="Q45" s="153" t="s">
        <v>267</v>
      </c>
      <c r="R45" s="153" t="s">
        <v>267</v>
      </c>
      <c r="S45" s="153" t="s">
        <v>267</v>
      </c>
      <c r="T45" s="153" t="s">
        <v>267</v>
      </c>
      <c r="U45" s="153" t="s">
        <v>267</v>
      </c>
      <c r="V45" s="153" t="s">
        <v>267</v>
      </c>
      <c r="W45" s="153" t="s">
        <v>267</v>
      </c>
      <c r="X45" s="153" t="s">
        <v>267</v>
      </c>
      <c r="Y45" s="153" t="s">
        <v>267</v>
      </c>
      <c r="Z45" s="153" t="s">
        <v>267</v>
      </c>
      <c r="AA45" s="153" t="s">
        <v>267</v>
      </c>
      <c r="AB45" s="153" t="s">
        <v>267</v>
      </c>
      <c r="AC45" s="153" t="s">
        <v>267</v>
      </c>
    </row>
    <row r="46" spans="2:29" x14ac:dyDescent="0.3">
      <c r="B46" s="6" t="s">
        <v>283</v>
      </c>
      <c r="C46" s="7">
        <v>4076679</v>
      </c>
      <c r="D46" s="153">
        <v>1807</v>
      </c>
      <c r="E46" s="153">
        <v>1836</v>
      </c>
      <c r="F46" s="153">
        <v>1708</v>
      </c>
      <c r="G46" s="153">
        <v>1597</v>
      </c>
      <c r="H46" s="153">
        <v>1492</v>
      </c>
      <c r="I46" s="153">
        <v>1447</v>
      </c>
      <c r="J46" s="153">
        <v>1418</v>
      </c>
      <c r="K46" s="153">
        <v>1332</v>
      </c>
      <c r="L46" s="153">
        <v>1238</v>
      </c>
      <c r="M46" s="153">
        <v>1150</v>
      </c>
      <c r="N46" s="153">
        <v>1055</v>
      </c>
      <c r="O46" s="153">
        <v>995</v>
      </c>
      <c r="P46" s="153">
        <v>940</v>
      </c>
      <c r="Q46" s="153">
        <v>943</v>
      </c>
      <c r="R46" s="153">
        <v>854</v>
      </c>
      <c r="S46" s="153">
        <v>761</v>
      </c>
      <c r="T46" s="153">
        <v>665</v>
      </c>
      <c r="U46" s="153">
        <v>576</v>
      </c>
      <c r="V46" s="153">
        <v>501</v>
      </c>
      <c r="W46" s="153">
        <v>441</v>
      </c>
      <c r="X46" s="153">
        <v>379</v>
      </c>
      <c r="Y46" s="153" t="s">
        <v>267</v>
      </c>
      <c r="Z46" s="153" t="s">
        <v>267</v>
      </c>
      <c r="AA46" s="153" t="s">
        <v>267</v>
      </c>
      <c r="AB46" s="153" t="s">
        <v>267</v>
      </c>
      <c r="AC46" s="153" t="s">
        <v>267</v>
      </c>
    </row>
    <row r="47" spans="2:29" x14ac:dyDescent="0.3">
      <c r="B47" s="6" t="s">
        <v>215</v>
      </c>
      <c r="C47" s="7">
        <v>4061634</v>
      </c>
      <c r="D47" s="153">
        <v>16969</v>
      </c>
      <c r="E47" s="153">
        <v>16057</v>
      </c>
      <c r="F47" s="153">
        <v>15621</v>
      </c>
      <c r="G47" s="153">
        <v>15161</v>
      </c>
      <c r="H47" s="153">
        <v>14706</v>
      </c>
      <c r="I47" s="153">
        <v>17518</v>
      </c>
      <c r="J47" s="153">
        <v>18360</v>
      </c>
      <c r="K47" s="153">
        <v>17835</v>
      </c>
      <c r="L47" s="153">
        <v>18099</v>
      </c>
      <c r="M47" s="153">
        <v>19613</v>
      </c>
      <c r="N47" s="153">
        <v>20724</v>
      </c>
      <c r="O47" s="153">
        <v>19848</v>
      </c>
      <c r="P47" s="153">
        <v>20162</v>
      </c>
      <c r="Q47" s="153" t="s">
        <v>267</v>
      </c>
      <c r="R47" s="153" t="s">
        <v>267</v>
      </c>
      <c r="S47" s="153" t="s">
        <v>267</v>
      </c>
      <c r="T47" s="153">
        <v>30024</v>
      </c>
      <c r="U47" s="153" t="s">
        <v>267</v>
      </c>
      <c r="V47" s="153" t="s">
        <v>267</v>
      </c>
      <c r="W47" s="153" t="s">
        <v>267</v>
      </c>
      <c r="X47" s="153" t="s">
        <v>267</v>
      </c>
      <c r="Y47" s="153">
        <v>18124</v>
      </c>
      <c r="Z47" s="153">
        <v>14938</v>
      </c>
      <c r="AA47" s="153">
        <v>13461</v>
      </c>
      <c r="AB47" s="153">
        <v>11298</v>
      </c>
      <c r="AC47" s="153">
        <v>10309</v>
      </c>
    </row>
    <row r="48" spans="2:29" x14ac:dyDescent="0.3">
      <c r="B48" s="6" t="s">
        <v>216</v>
      </c>
      <c r="C48" s="7">
        <v>4061687</v>
      </c>
      <c r="D48" s="153">
        <v>83504</v>
      </c>
      <c r="E48" s="153">
        <v>74445</v>
      </c>
      <c r="F48" s="153">
        <v>65899</v>
      </c>
      <c r="G48" s="153">
        <v>55721</v>
      </c>
      <c r="H48" s="153">
        <v>46294</v>
      </c>
      <c r="I48" s="153">
        <v>42604</v>
      </c>
      <c r="J48" s="153">
        <v>38572</v>
      </c>
      <c r="K48" s="153">
        <v>35772</v>
      </c>
      <c r="L48" s="153">
        <v>33495</v>
      </c>
      <c r="M48" s="153">
        <v>32935</v>
      </c>
      <c r="N48" s="153">
        <v>29457</v>
      </c>
      <c r="O48" s="153">
        <v>26368</v>
      </c>
      <c r="P48" s="153">
        <v>24536</v>
      </c>
      <c r="Q48" s="153">
        <v>20454</v>
      </c>
      <c r="R48" s="153">
        <v>7734</v>
      </c>
      <c r="S48" s="153">
        <v>14008</v>
      </c>
      <c r="T48" s="153">
        <v>12120</v>
      </c>
      <c r="U48" s="153">
        <v>12420</v>
      </c>
      <c r="V48" s="153">
        <v>12062</v>
      </c>
      <c r="W48" s="153">
        <v>7116</v>
      </c>
      <c r="X48" s="153" t="s">
        <v>267</v>
      </c>
      <c r="Y48" s="153">
        <v>9189</v>
      </c>
      <c r="Z48" s="153">
        <v>8006</v>
      </c>
      <c r="AA48" s="153">
        <v>9294</v>
      </c>
      <c r="AB48" s="153">
        <v>10547</v>
      </c>
      <c r="AC48" s="153">
        <v>10017</v>
      </c>
    </row>
    <row r="49" spans="1:29" x14ac:dyDescent="0.3">
      <c r="A49" s="1" t="s">
        <v>268</v>
      </c>
      <c r="B49" s="6" t="s">
        <v>217</v>
      </c>
      <c r="C49" s="7">
        <v>4061755</v>
      </c>
      <c r="D49" s="153">
        <v>71238</v>
      </c>
      <c r="E49" s="153">
        <v>64304</v>
      </c>
      <c r="F49" s="153">
        <v>70191</v>
      </c>
      <c r="G49" s="153">
        <v>57941</v>
      </c>
      <c r="H49" s="153">
        <v>45913</v>
      </c>
      <c r="I49" s="153">
        <v>37325</v>
      </c>
      <c r="J49" s="153">
        <v>32063</v>
      </c>
      <c r="K49" s="153">
        <v>30468</v>
      </c>
      <c r="L49" s="153">
        <v>26187</v>
      </c>
      <c r="M49" s="153">
        <v>23779</v>
      </c>
      <c r="N49" s="153">
        <v>47079</v>
      </c>
      <c r="O49" s="153">
        <v>47079</v>
      </c>
      <c r="P49" s="153">
        <v>45525</v>
      </c>
      <c r="Q49" s="153">
        <v>43212</v>
      </c>
      <c r="R49" s="153">
        <v>40666</v>
      </c>
      <c r="S49" s="153">
        <v>43574</v>
      </c>
      <c r="T49" s="153">
        <v>43384</v>
      </c>
      <c r="U49" s="153">
        <v>44428</v>
      </c>
      <c r="V49" s="153">
        <v>40463</v>
      </c>
      <c r="W49" s="153">
        <v>36388</v>
      </c>
      <c r="X49" s="153">
        <v>30882</v>
      </c>
      <c r="Y49" s="153">
        <v>34286</v>
      </c>
      <c r="Z49" s="153">
        <v>28080</v>
      </c>
      <c r="AA49" s="153">
        <v>23005</v>
      </c>
      <c r="AB49" s="153">
        <v>17536</v>
      </c>
      <c r="AC49" s="153">
        <v>16262</v>
      </c>
    </row>
    <row r="50" spans="1:29" x14ac:dyDescent="0.3">
      <c r="A50" s="1" t="s">
        <v>268</v>
      </c>
      <c r="B50" s="6" t="s">
        <v>219</v>
      </c>
      <c r="C50" s="7">
        <v>4004389</v>
      </c>
      <c r="D50" s="153">
        <v>14458</v>
      </c>
      <c r="E50" s="153">
        <v>13800</v>
      </c>
      <c r="F50" s="153">
        <v>13184</v>
      </c>
      <c r="G50" s="153">
        <v>12394</v>
      </c>
      <c r="H50" s="153">
        <v>11713</v>
      </c>
      <c r="I50" s="153">
        <v>10763</v>
      </c>
      <c r="J50" s="153">
        <v>10517</v>
      </c>
      <c r="K50" s="153">
        <v>13684</v>
      </c>
      <c r="L50" s="153">
        <v>12438</v>
      </c>
      <c r="M50" s="153">
        <v>11237</v>
      </c>
      <c r="N50" s="153">
        <v>12960</v>
      </c>
      <c r="O50" s="153">
        <v>11642</v>
      </c>
      <c r="P50" s="153">
        <v>10858</v>
      </c>
      <c r="Q50" s="153">
        <v>9922</v>
      </c>
      <c r="R50" s="153">
        <v>8699</v>
      </c>
      <c r="S50" s="153">
        <v>7606</v>
      </c>
      <c r="T50" s="153">
        <v>7708</v>
      </c>
      <c r="U50" s="153">
        <v>11105</v>
      </c>
      <c r="V50" s="153">
        <v>11028</v>
      </c>
      <c r="W50" s="153">
        <v>9968</v>
      </c>
      <c r="X50" s="153" t="s">
        <v>267</v>
      </c>
      <c r="Y50" s="153">
        <v>7229</v>
      </c>
      <c r="Z50" s="153">
        <v>6693</v>
      </c>
      <c r="AA50" s="153">
        <v>6648</v>
      </c>
      <c r="AB50" s="153">
        <v>5069</v>
      </c>
      <c r="AC50" s="153">
        <v>4329</v>
      </c>
    </row>
    <row r="51" spans="1:29" x14ac:dyDescent="0.3">
      <c r="A51" s="1" t="s">
        <v>268</v>
      </c>
      <c r="B51" s="6" t="s">
        <v>220</v>
      </c>
      <c r="C51" s="7">
        <v>4057014</v>
      </c>
      <c r="D51" s="153">
        <v>45271</v>
      </c>
      <c r="E51" s="153">
        <v>44074</v>
      </c>
      <c r="F51" s="153">
        <v>42178</v>
      </c>
      <c r="G51" s="153">
        <v>38991</v>
      </c>
      <c r="H51" s="153">
        <v>35456</v>
      </c>
      <c r="I51" s="153">
        <v>43358</v>
      </c>
      <c r="J51" s="153">
        <v>39470</v>
      </c>
      <c r="K51" s="153">
        <v>35662</v>
      </c>
      <c r="L51" s="153">
        <v>46323</v>
      </c>
      <c r="M51" s="153">
        <v>28635</v>
      </c>
      <c r="N51" s="153">
        <v>25090</v>
      </c>
      <c r="O51" s="153">
        <v>21871</v>
      </c>
      <c r="P51" s="153">
        <v>29144</v>
      </c>
      <c r="Q51" s="153">
        <v>25231</v>
      </c>
      <c r="R51" s="153">
        <v>13187</v>
      </c>
      <c r="S51" s="153">
        <v>17256</v>
      </c>
      <c r="T51" s="153">
        <v>15132</v>
      </c>
      <c r="U51" s="153">
        <v>12731</v>
      </c>
      <c r="V51" s="153">
        <v>15954</v>
      </c>
      <c r="W51" s="153">
        <v>13655</v>
      </c>
      <c r="X51" s="153">
        <v>9841</v>
      </c>
      <c r="Y51" s="153">
        <v>7314</v>
      </c>
      <c r="Z51" s="153" t="s">
        <v>267</v>
      </c>
      <c r="AA51" s="153">
        <v>4722</v>
      </c>
      <c r="AB51" s="153">
        <v>2516</v>
      </c>
      <c r="AC51" s="153">
        <v>999</v>
      </c>
    </row>
    <row r="52" spans="1:29" x14ac:dyDescent="0.3">
      <c r="B52" s="6" t="s">
        <v>221</v>
      </c>
      <c r="C52" s="7">
        <v>4057130</v>
      </c>
      <c r="D52" s="153">
        <v>8137</v>
      </c>
      <c r="E52" s="153">
        <v>7687</v>
      </c>
      <c r="F52" s="153">
        <v>7650</v>
      </c>
      <c r="G52" s="153">
        <v>7440</v>
      </c>
      <c r="H52" s="153">
        <v>7188</v>
      </c>
      <c r="I52" s="153">
        <v>9016</v>
      </c>
      <c r="J52" s="153">
        <v>8623</v>
      </c>
      <c r="K52" s="153">
        <v>7852</v>
      </c>
      <c r="L52" s="153">
        <v>7390</v>
      </c>
      <c r="M52" s="153">
        <v>6974</v>
      </c>
      <c r="N52" s="153">
        <v>7033</v>
      </c>
      <c r="O52" s="153">
        <v>9230</v>
      </c>
      <c r="P52" s="153">
        <v>8678</v>
      </c>
      <c r="Q52" s="153">
        <v>7832</v>
      </c>
      <c r="R52" s="153">
        <v>8643</v>
      </c>
      <c r="S52" s="153">
        <v>8500</v>
      </c>
      <c r="T52" s="153">
        <v>9205</v>
      </c>
      <c r="U52" s="153">
        <v>8525</v>
      </c>
      <c r="V52" s="153">
        <v>8484</v>
      </c>
      <c r="W52" s="153">
        <v>8356</v>
      </c>
      <c r="X52" s="153">
        <v>8211</v>
      </c>
      <c r="Y52" s="153">
        <v>7879</v>
      </c>
      <c r="Z52" s="153">
        <v>7165</v>
      </c>
      <c r="AA52" s="153">
        <v>6343</v>
      </c>
      <c r="AB52" s="153">
        <v>6081</v>
      </c>
      <c r="AC52" s="153" t="s">
        <v>267</v>
      </c>
    </row>
    <row r="53" spans="1:29" x14ac:dyDescent="0.3">
      <c r="B53" s="6" t="s">
        <v>223</v>
      </c>
      <c r="C53" s="7">
        <v>4057131</v>
      </c>
      <c r="D53" s="153">
        <v>174352</v>
      </c>
      <c r="E53" s="153">
        <v>163976</v>
      </c>
      <c r="F53" s="153">
        <v>151760</v>
      </c>
      <c r="G53" s="153">
        <v>145649</v>
      </c>
      <c r="H53" s="153">
        <v>150737</v>
      </c>
      <c r="I53" s="153">
        <v>157151</v>
      </c>
      <c r="J53" s="153">
        <v>158457</v>
      </c>
      <c r="K53" s="153">
        <v>155472</v>
      </c>
      <c r="L53" s="153">
        <v>208885</v>
      </c>
      <c r="M53" s="153">
        <v>200428</v>
      </c>
      <c r="N53" s="153">
        <v>183792</v>
      </c>
      <c r="O53" s="153">
        <v>172593</v>
      </c>
      <c r="P53" s="153">
        <v>159930</v>
      </c>
      <c r="Q53" s="153">
        <v>143255</v>
      </c>
      <c r="R53" s="153">
        <v>126980</v>
      </c>
      <c r="S53" s="153">
        <v>130135</v>
      </c>
      <c r="T53" s="153">
        <v>126079</v>
      </c>
      <c r="U53" s="153">
        <v>116381</v>
      </c>
      <c r="V53" s="153">
        <v>108022</v>
      </c>
      <c r="W53" s="153">
        <v>100711</v>
      </c>
      <c r="X53" s="153">
        <v>99562</v>
      </c>
      <c r="Y53" s="153">
        <v>91914</v>
      </c>
      <c r="Z53" s="153">
        <v>82123</v>
      </c>
      <c r="AA53" s="153">
        <v>72017</v>
      </c>
      <c r="AB53" s="153">
        <v>64515</v>
      </c>
      <c r="AC53" s="153">
        <v>55809</v>
      </c>
    </row>
    <row r="54" spans="1:29" x14ac:dyDescent="0.3">
      <c r="B54" s="6" t="s">
        <v>224</v>
      </c>
      <c r="C54" s="7">
        <v>4012860</v>
      </c>
      <c r="D54" s="153">
        <v>-77207</v>
      </c>
      <c r="E54" s="153">
        <v>-59933</v>
      </c>
      <c r="F54" s="153">
        <v>-39625</v>
      </c>
      <c r="G54" s="153">
        <v>-6494</v>
      </c>
      <c r="H54" s="153">
        <v>6020</v>
      </c>
      <c r="I54" s="153">
        <v>21757</v>
      </c>
      <c r="J54" s="153">
        <v>24840</v>
      </c>
      <c r="K54" s="153">
        <v>30381</v>
      </c>
      <c r="L54" s="153">
        <v>33278</v>
      </c>
      <c r="M54" s="153">
        <v>40576</v>
      </c>
      <c r="N54" s="153">
        <v>36658</v>
      </c>
      <c r="O54" s="153">
        <v>38248</v>
      </c>
      <c r="P54" s="153">
        <v>39348</v>
      </c>
      <c r="Q54" s="153">
        <v>40600</v>
      </c>
      <c r="R54" s="153">
        <v>46327</v>
      </c>
      <c r="S54" s="153">
        <v>45731</v>
      </c>
      <c r="T54" s="153">
        <v>43241</v>
      </c>
      <c r="U54" s="153">
        <v>46909</v>
      </c>
      <c r="V54" s="153">
        <v>43750</v>
      </c>
      <c r="W54" s="153">
        <v>107836</v>
      </c>
      <c r="X54" s="153">
        <v>39483</v>
      </c>
      <c r="Y54" s="153">
        <v>37753</v>
      </c>
      <c r="Z54" s="153">
        <v>34463</v>
      </c>
      <c r="AA54" s="153">
        <v>31240</v>
      </c>
      <c r="AB54" s="153">
        <v>32819</v>
      </c>
      <c r="AC54" s="153">
        <v>37579</v>
      </c>
    </row>
    <row r="55" spans="1:29" x14ac:dyDescent="0.3">
      <c r="B55" s="6" t="s">
        <v>227</v>
      </c>
      <c r="C55" s="7">
        <v>4061925</v>
      </c>
      <c r="D55" s="153">
        <v>12124</v>
      </c>
      <c r="E55" s="153">
        <v>11171</v>
      </c>
      <c r="F55" s="153">
        <v>9618</v>
      </c>
      <c r="G55" s="153">
        <v>9852</v>
      </c>
      <c r="H55" s="153">
        <v>8692</v>
      </c>
      <c r="I55" s="153">
        <v>8289</v>
      </c>
      <c r="J55" s="153">
        <v>6300</v>
      </c>
      <c r="K55" s="153">
        <v>5081</v>
      </c>
      <c r="L55" s="153">
        <v>4639</v>
      </c>
      <c r="M55" s="153">
        <v>4215</v>
      </c>
      <c r="N55" s="153">
        <v>3450</v>
      </c>
      <c r="O55" s="153">
        <v>3212</v>
      </c>
      <c r="P55" s="153">
        <v>2081</v>
      </c>
      <c r="Q55" s="153">
        <v>1879</v>
      </c>
      <c r="R55" s="153">
        <v>1976</v>
      </c>
      <c r="S55" s="153">
        <v>1738</v>
      </c>
      <c r="T55" s="153">
        <v>1533</v>
      </c>
      <c r="U55" s="153">
        <v>1348</v>
      </c>
      <c r="V55" s="153">
        <v>1535</v>
      </c>
      <c r="W55" s="153">
        <v>1445</v>
      </c>
      <c r="X55" s="153">
        <v>1349</v>
      </c>
      <c r="Y55" s="153">
        <v>1248</v>
      </c>
      <c r="Z55" s="153">
        <v>1459</v>
      </c>
      <c r="AA55" s="153">
        <v>1152</v>
      </c>
      <c r="AB55" s="153">
        <v>1128</v>
      </c>
      <c r="AC55" s="153">
        <v>1098</v>
      </c>
    </row>
    <row r="56" spans="1:29" x14ac:dyDescent="0.3">
      <c r="B56" s="6" t="s">
        <v>284</v>
      </c>
      <c r="C56" s="7">
        <v>4057132</v>
      </c>
      <c r="D56" s="153" t="s">
        <v>267</v>
      </c>
      <c r="E56" s="153" t="s">
        <v>267</v>
      </c>
      <c r="F56" s="153" t="s">
        <v>267</v>
      </c>
      <c r="G56" s="153">
        <v>126728</v>
      </c>
      <c r="H56" s="153">
        <v>119532</v>
      </c>
      <c r="I56" s="153">
        <v>118388</v>
      </c>
      <c r="J56" s="153">
        <v>118935</v>
      </c>
      <c r="K56" s="153">
        <v>135401</v>
      </c>
      <c r="L56" s="153">
        <v>128985</v>
      </c>
      <c r="M56" s="153">
        <v>119935</v>
      </c>
      <c r="N56" s="153">
        <v>112051</v>
      </c>
      <c r="O56" s="153">
        <v>112074</v>
      </c>
      <c r="P56" s="153">
        <v>106838</v>
      </c>
      <c r="Q56" s="153" t="s">
        <v>267</v>
      </c>
      <c r="R56" s="153" t="s">
        <v>267</v>
      </c>
      <c r="S56" s="153" t="s">
        <v>267</v>
      </c>
      <c r="T56" s="153" t="s">
        <v>267</v>
      </c>
      <c r="U56" s="153" t="s">
        <v>267</v>
      </c>
      <c r="V56" s="153">
        <v>25516</v>
      </c>
      <c r="W56" s="153">
        <v>21135</v>
      </c>
      <c r="X56" s="153">
        <v>24206</v>
      </c>
      <c r="Y56" s="153">
        <v>31090</v>
      </c>
      <c r="Z56" s="153">
        <v>22523</v>
      </c>
      <c r="AA56" s="153">
        <v>19837</v>
      </c>
      <c r="AB56" s="153">
        <v>17643</v>
      </c>
      <c r="AC56" s="153">
        <v>16899</v>
      </c>
    </row>
    <row r="57" spans="1:29" x14ac:dyDescent="0.3">
      <c r="A57" s="1" t="s">
        <v>268</v>
      </c>
      <c r="B57" s="6" t="s">
        <v>285</v>
      </c>
      <c r="C57" s="7">
        <v>4057115</v>
      </c>
      <c r="D57" s="153" t="s">
        <v>267</v>
      </c>
      <c r="E57" s="153" t="s">
        <v>267</v>
      </c>
      <c r="F57" s="153" t="s">
        <v>267</v>
      </c>
      <c r="G57" s="153" t="s">
        <v>267</v>
      </c>
      <c r="H57" s="153" t="s">
        <v>267</v>
      </c>
      <c r="I57" s="153" t="s">
        <v>267</v>
      </c>
      <c r="J57" s="153" t="s">
        <v>267</v>
      </c>
      <c r="K57" s="153" t="s">
        <v>267</v>
      </c>
      <c r="L57" s="153" t="s">
        <v>267</v>
      </c>
      <c r="M57" s="153" t="s">
        <v>267</v>
      </c>
      <c r="N57" s="153" t="s">
        <v>267</v>
      </c>
      <c r="O57" s="153" t="s">
        <v>267</v>
      </c>
      <c r="P57" s="153" t="s">
        <v>267</v>
      </c>
      <c r="Q57" s="153" t="s">
        <v>267</v>
      </c>
      <c r="R57" s="153" t="s">
        <v>267</v>
      </c>
      <c r="S57" s="153" t="s">
        <v>267</v>
      </c>
      <c r="T57" s="153" t="s">
        <v>267</v>
      </c>
      <c r="U57" s="153" t="s">
        <v>267</v>
      </c>
      <c r="V57" s="153" t="s">
        <v>267</v>
      </c>
      <c r="W57" s="153" t="s">
        <v>267</v>
      </c>
      <c r="X57" s="153" t="s">
        <v>267</v>
      </c>
      <c r="Y57" s="153" t="s">
        <v>267</v>
      </c>
      <c r="Z57" s="153" t="s">
        <v>267</v>
      </c>
      <c r="AA57" s="153" t="s">
        <v>267</v>
      </c>
      <c r="AB57" s="153" t="s">
        <v>267</v>
      </c>
      <c r="AC57" s="153" t="s">
        <v>267</v>
      </c>
    </row>
    <row r="58" spans="1:29" x14ac:dyDescent="0.3">
      <c r="B58" s="6" t="s">
        <v>228</v>
      </c>
      <c r="C58" s="7">
        <v>4064479</v>
      </c>
      <c r="D58" s="153">
        <v>3218</v>
      </c>
      <c r="E58" s="153">
        <v>3176</v>
      </c>
      <c r="F58" s="153">
        <v>3071</v>
      </c>
      <c r="G58" s="153">
        <v>2913</v>
      </c>
      <c r="H58" s="153">
        <v>3495</v>
      </c>
      <c r="I58" s="153">
        <v>6038</v>
      </c>
      <c r="J58" s="153">
        <v>5521</v>
      </c>
      <c r="K58" s="153">
        <v>5083</v>
      </c>
      <c r="L58" s="153">
        <v>4508</v>
      </c>
      <c r="M58" s="153">
        <v>4021</v>
      </c>
      <c r="N58" s="153">
        <v>3705</v>
      </c>
      <c r="O58" s="153">
        <v>3336</v>
      </c>
      <c r="P58" s="153">
        <v>2977</v>
      </c>
      <c r="Q58" s="153">
        <v>2695</v>
      </c>
      <c r="R58" s="153">
        <v>2503</v>
      </c>
      <c r="S58" s="153">
        <v>2404</v>
      </c>
      <c r="T58" s="153">
        <v>2394</v>
      </c>
      <c r="U58" s="153">
        <v>2315</v>
      </c>
      <c r="V58" s="153">
        <v>1612</v>
      </c>
      <c r="W58" s="153">
        <v>2030</v>
      </c>
      <c r="X58" s="153">
        <v>1936</v>
      </c>
      <c r="Y58" s="153">
        <v>1736</v>
      </c>
      <c r="Z58" s="153">
        <v>1601</v>
      </c>
      <c r="AA58" s="153">
        <v>1477</v>
      </c>
      <c r="AB58" s="153">
        <v>1351</v>
      </c>
      <c r="AC58" s="153">
        <v>1171</v>
      </c>
    </row>
    <row r="59" spans="1:29" x14ac:dyDescent="0.3">
      <c r="B59" s="6" t="s">
        <v>286</v>
      </c>
      <c r="C59" s="7">
        <v>4062025</v>
      </c>
      <c r="D59" s="153" t="s">
        <v>267</v>
      </c>
      <c r="E59" s="153" t="s">
        <v>267</v>
      </c>
      <c r="F59" s="153" t="s">
        <v>267</v>
      </c>
      <c r="G59" s="153" t="s">
        <v>267</v>
      </c>
      <c r="H59" s="153" t="s">
        <v>267</v>
      </c>
      <c r="I59" s="153" t="s">
        <v>267</v>
      </c>
      <c r="J59" s="153" t="s">
        <v>267</v>
      </c>
      <c r="K59" s="153" t="s">
        <v>267</v>
      </c>
      <c r="L59" s="153" t="s">
        <v>267</v>
      </c>
      <c r="M59" s="153" t="s">
        <v>267</v>
      </c>
      <c r="N59" s="153" t="s">
        <v>267</v>
      </c>
      <c r="O59" s="153" t="s">
        <v>267</v>
      </c>
      <c r="P59" s="153" t="s">
        <v>267</v>
      </c>
      <c r="Q59" s="153" t="s">
        <v>267</v>
      </c>
      <c r="R59" s="153" t="s">
        <v>267</v>
      </c>
      <c r="S59" s="153" t="s">
        <v>267</v>
      </c>
      <c r="T59" s="153" t="s">
        <v>267</v>
      </c>
      <c r="U59" s="153" t="s">
        <v>267</v>
      </c>
      <c r="V59" s="153" t="s">
        <v>267</v>
      </c>
      <c r="W59" s="153" t="s">
        <v>267</v>
      </c>
      <c r="X59" s="153" t="s">
        <v>267</v>
      </c>
      <c r="Y59" s="153" t="s">
        <v>267</v>
      </c>
      <c r="Z59" s="153" t="s">
        <v>267</v>
      </c>
      <c r="AA59" s="153" t="s">
        <v>267</v>
      </c>
      <c r="AB59" s="153" t="s">
        <v>267</v>
      </c>
      <c r="AC59" s="153" t="s">
        <v>267</v>
      </c>
    </row>
    <row r="60" spans="1:29" x14ac:dyDescent="0.3">
      <c r="B60" s="6" t="s">
        <v>287</v>
      </c>
      <c r="C60" s="7">
        <v>4064481</v>
      </c>
      <c r="D60" s="153" t="s">
        <v>267</v>
      </c>
      <c r="E60" s="153" t="s">
        <v>267</v>
      </c>
      <c r="F60" s="153">
        <v>74083</v>
      </c>
      <c r="G60" s="153">
        <v>69708</v>
      </c>
      <c r="H60" s="153">
        <v>63149</v>
      </c>
      <c r="I60" s="153">
        <v>56979</v>
      </c>
      <c r="J60" s="153">
        <v>48953</v>
      </c>
      <c r="K60" s="153">
        <v>41555</v>
      </c>
      <c r="L60" s="153">
        <v>35465</v>
      </c>
      <c r="M60" s="153">
        <v>32301</v>
      </c>
      <c r="N60" s="153">
        <v>31761</v>
      </c>
      <c r="O60" s="153">
        <v>26696</v>
      </c>
      <c r="P60" s="153">
        <v>24590</v>
      </c>
      <c r="Q60" s="153">
        <v>21331</v>
      </c>
      <c r="R60" s="153">
        <v>19851</v>
      </c>
      <c r="S60" s="153">
        <v>24595</v>
      </c>
      <c r="T60" s="153">
        <v>40867</v>
      </c>
      <c r="U60" s="153">
        <v>47446</v>
      </c>
      <c r="V60" s="153">
        <v>49734</v>
      </c>
      <c r="W60" s="153">
        <v>44650</v>
      </c>
      <c r="X60" s="153">
        <v>41104</v>
      </c>
      <c r="Y60" s="153">
        <v>37547</v>
      </c>
      <c r="Z60" s="153">
        <v>22493</v>
      </c>
      <c r="AA60" s="153">
        <v>33592</v>
      </c>
      <c r="AB60" s="153" t="s">
        <v>267</v>
      </c>
      <c r="AC60" s="153" t="s">
        <v>267</v>
      </c>
    </row>
    <row r="61" spans="1:29" x14ac:dyDescent="0.3">
      <c r="A61" s="1" t="s">
        <v>268</v>
      </c>
      <c r="B61" s="6" t="s">
        <v>229</v>
      </c>
      <c r="C61" s="7">
        <v>4057093</v>
      </c>
      <c r="D61" s="153">
        <v>9392</v>
      </c>
      <c r="E61" s="153">
        <v>9149</v>
      </c>
      <c r="F61" s="153">
        <v>21956</v>
      </c>
      <c r="G61" s="153">
        <v>20395</v>
      </c>
      <c r="H61" s="153">
        <v>18722</v>
      </c>
      <c r="I61" s="153">
        <v>16969</v>
      </c>
      <c r="J61" s="153">
        <v>15823</v>
      </c>
      <c r="K61" s="153">
        <v>15556</v>
      </c>
      <c r="L61" s="153">
        <v>14677</v>
      </c>
      <c r="M61" s="153">
        <v>13786</v>
      </c>
      <c r="N61" s="153">
        <v>13316</v>
      </c>
      <c r="O61" s="153">
        <v>13095</v>
      </c>
      <c r="P61" s="153">
        <v>12065</v>
      </c>
      <c r="Q61" s="153">
        <v>2352</v>
      </c>
      <c r="R61" s="153">
        <v>2562</v>
      </c>
      <c r="S61" s="153">
        <v>2987</v>
      </c>
      <c r="T61" s="153">
        <v>8461</v>
      </c>
      <c r="U61" s="153">
        <v>9215</v>
      </c>
      <c r="V61" s="153">
        <v>9664</v>
      </c>
      <c r="W61" s="153">
        <v>10417</v>
      </c>
      <c r="X61" s="153">
        <v>10911</v>
      </c>
      <c r="Y61" s="153">
        <v>5482</v>
      </c>
      <c r="Z61" s="153">
        <v>6561</v>
      </c>
      <c r="AA61" s="153">
        <v>7759</v>
      </c>
      <c r="AB61" s="153">
        <v>9044</v>
      </c>
      <c r="AC61" s="153">
        <v>11759</v>
      </c>
    </row>
    <row r="62" spans="1:29" x14ac:dyDescent="0.3">
      <c r="B62" s="6" t="s">
        <v>230</v>
      </c>
      <c r="C62" s="7">
        <v>4004218</v>
      </c>
      <c r="D62" s="153">
        <v>87470</v>
      </c>
      <c r="E62" s="153">
        <v>78244</v>
      </c>
      <c r="F62" s="153">
        <v>65706</v>
      </c>
      <c r="G62" s="153">
        <v>52753</v>
      </c>
      <c r="H62" s="153">
        <v>41931</v>
      </c>
      <c r="I62" s="153">
        <v>34254</v>
      </c>
      <c r="J62" s="153">
        <v>38002</v>
      </c>
      <c r="K62" s="153">
        <v>31130</v>
      </c>
      <c r="L62" s="153">
        <v>26672</v>
      </c>
      <c r="M62" s="153">
        <v>25620</v>
      </c>
      <c r="N62" s="153">
        <v>30053</v>
      </c>
      <c r="O62" s="153">
        <v>28591</v>
      </c>
      <c r="P62" s="153">
        <v>27583</v>
      </c>
      <c r="Q62" s="153">
        <v>26046</v>
      </c>
      <c r="R62" s="153">
        <v>25795</v>
      </c>
      <c r="S62" s="153">
        <v>26337</v>
      </c>
      <c r="T62" s="153">
        <v>25631</v>
      </c>
      <c r="U62" s="153">
        <v>24396</v>
      </c>
      <c r="V62" s="153">
        <v>23580</v>
      </c>
      <c r="W62" s="153">
        <v>23112</v>
      </c>
      <c r="X62" s="153">
        <v>21732</v>
      </c>
      <c r="Y62" s="153">
        <v>20711</v>
      </c>
      <c r="Z62" s="153">
        <v>19029</v>
      </c>
      <c r="AA62" s="153">
        <v>17180</v>
      </c>
      <c r="AB62" s="153">
        <v>15318</v>
      </c>
      <c r="AC62" s="153">
        <v>14093</v>
      </c>
    </row>
    <row r="63" spans="1:29" x14ac:dyDescent="0.3">
      <c r="A63" s="1" t="s">
        <v>268</v>
      </c>
      <c r="B63" s="6" t="s">
        <v>288</v>
      </c>
      <c r="C63" s="7">
        <v>4062222</v>
      </c>
      <c r="D63" s="153" t="s">
        <v>267</v>
      </c>
      <c r="E63" s="153" t="s">
        <v>267</v>
      </c>
      <c r="F63" s="153" t="s">
        <v>267</v>
      </c>
      <c r="G63" s="153" t="s">
        <v>267</v>
      </c>
      <c r="H63" s="153" t="s">
        <v>267</v>
      </c>
      <c r="I63" s="153" t="s">
        <v>267</v>
      </c>
      <c r="J63" s="153" t="s">
        <v>267</v>
      </c>
      <c r="K63" s="153" t="s">
        <v>267</v>
      </c>
      <c r="L63" s="153" t="s">
        <v>267</v>
      </c>
      <c r="M63" s="153" t="s">
        <v>267</v>
      </c>
      <c r="N63" s="153" t="s">
        <v>267</v>
      </c>
      <c r="O63" s="153" t="s">
        <v>267</v>
      </c>
      <c r="P63" s="153" t="s">
        <v>267</v>
      </c>
      <c r="Q63" s="153" t="s">
        <v>267</v>
      </c>
      <c r="R63" s="153" t="s">
        <v>267</v>
      </c>
      <c r="S63" s="153" t="s">
        <v>267</v>
      </c>
      <c r="T63" s="153" t="s">
        <v>267</v>
      </c>
      <c r="U63" s="153" t="s">
        <v>267</v>
      </c>
      <c r="V63" s="153" t="s">
        <v>267</v>
      </c>
      <c r="W63" s="153" t="s">
        <v>267</v>
      </c>
      <c r="X63" s="153" t="s">
        <v>267</v>
      </c>
      <c r="Y63" s="153" t="s">
        <v>267</v>
      </c>
      <c r="Z63" s="153" t="s">
        <v>267</v>
      </c>
      <c r="AA63" s="153" t="s">
        <v>267</v>
      </c>
      <c r="AB63" s="153" t="s">
        <v>267</v>
      </c>
      <c r="AC63" s="153" t="s">
        <v>267</v>
      </c>
    </row>
    <row r="64" spans="1:29" x14ac:dyDescent="0.3">
      <c r="B64" s="6" t="s">
        <v>233</v>
      </c>
      <c r="C64" s="7">
        <v>4057135</v>
      </c>
      <c r="D64" s="153">
        <v>46257</v>
      </c>
      <c r="E64" s="153">
        <v>44152</v>
      </c>
      <c r="F64" s="153">
        <v>45419</v>
      </c>
      <c r="G64" s="153">
        <v>44651</v>
      </c>
      <c r="H64" s="153">
        <v>41884</v>
      </c>
      <c r="I64" s="153">
        <v>44479</v>
      </c>
      <c r="J64" s="153">
        <v>47025</v>
      </c>
      <c r="K64" s="153">
        <v>40659</v>
      </c>
      <c r="L64" s="153">
        <v>38159</v>
      </c>
      <c r="M64" s="153">
        <v>34180</v>
      </c>
      <c r="N64" s="153">
        <v>39023</v>
      </c>
      <c r="O64" s="153">
        <v>38654</v>
      </c>
      <c r="P64" s="153">
        <v>34762</v>
      </c>
      <c r="Q64" s="153">
        <v>46375</v>
      </c>
      <c r="R64" s="153">
        <v>47197</v>
      </c>
      <c r="S64" s="153">
        <v>46634</v>
      </c>
      <c r="T64" s="153">
        <v>80485</v>
      </c>
      <c r="U64" s="153">
        <v>74149</v>
      </c>
      <c r="V64" s="153">
        <v>66064</v>
      </c>
      <c r="W64" s="153">
        <v>57925</v>
      </c>
      <c r="X64" s="153">
        <v>51763</v>
      </c>
      <c r="Y64" s="153">
        <v>52236</v>
      </c>
      <c r="Z64" s="153">
        <v>45858</v>
      </c>
      <c r="AA64" s="153">
        <v>39854</v>
      </c>
      <c r="AB64" s="153">
        <v>37528</v>
      </c>
      <c r="AC64" s="153">
        <v>34820</v>
      </c>
    </row>
    <row r="65" spans="1:29" x14ac:dyDescent="0.3">
      <c r="B65" s="6" t="s">
        <v>234</v>
      </c>
      <c r="C65" s="7">
        <v>4063341</v>
      </c>
      <c r="D65" s="153">
        <v>45131</v>
      </c>
      <c r="E65" s="153">
        <v>39601</v>
      </c>
      <c r="F65" s="153">
        <v>35263</v>
      </c>
      <c r="G65" s="153">
        <v>30446</v>
      </c>
      <c r="H65" s="153">
        <v>27669</v>
      </c>
      <c r="I65" s="153">
        <v>36385</v>
      </c>
      <c r="J65" s="153">
        <v>39163</v>
      </c>
      <c r="K65" s="153">
        <v>42296</v>
      </c>
      <c r="L65" s="153">
        <v>20578</v>
      </c>
      <c r="M65" s="153">
        <v>40714</v>
      </c>
      <c r="N65" s="153">
        <v>35432</v>
      </c>
      <c r="O65" s="153">
        <v>35414</v>
      </c>
      <c r="P65" s="153">
        <v>35857</v>
      </c>
      <c r="Q65" s="153">
        <v>3270</v>
      </c>
      <c r="R65" s="153">
        <v>32478</v>
      </c>
      <c r="S65" s="153">
        <v>30349</v>
      </c>
      <c r="T65" s="153">
        <v>26170</v>
      </c>
      <c r="U65" s="153">
        <v>25511</v>
      </c>
      <c r="V65" s="153">
        <v>18714</v>
      </c>
      <c r="W65" s="153" t="s">
        <v>267</v>
      </c>
      <c r="X65" s="153" t="s">
        <v>267</v>
      </c>
      <c r="Y65" s="153">
        <v>19890</v>
      </c>
      <c r="Z65" s="153">
        <v>18643</v>
      </c>
      <c r="AA65" s="153" t="s">
        <v>267</v>
      </c>
      <c r="AB65" s="153" t="s">
        <v>267</v>
      </c>
      <c r="AC65" s="153" t="s">
        <v>267</v>
      </c>
    </row>
    <row r="66" spans="1:29" x14ac:dyDescent="0.3">
      <c r="A66" s="1" t="s">
        <v>268</v>
      </c>
      <c r="B66" s="6" t="s">
        <v>289</v>
      </c>
      <c r="C66" s="7">
        <v>4083575</v>
      </c>
      <c r="D66" s="153" t="s">
        <v>267</v>
      </c>
      <c r="E66" s="153" t="s">
        <v>267</v>
      </c>
      <c r="F66" s="153" t="s">
        <v>267</v>
      </c>
      <c r="G66" s="153" t="s">
        <v>267</v>
      </c>
      <c r="H66" s="153" t="s">
        <v>267</v>
      </c>
      <c r="I66" s="153" t="s">
        <v>267</v>
      </c>
      <c r="J66" s="153" t="s">
        <v>267</v>
      </c>
      <c r="K66" s="153" t="s">
        <v>267</v>
      </c>
      <c r="L66" s="153" t="s">
        <v>267</v>
      </c>
      <c r="M66" s="153" t="s">
        <v>267</v>
      </c>
      <c r="N66" s="153" t="s">
        <v>267</v>
      </c>
      <c r="O66" s="153" t="s">
        <v>267</v>
      </c>
      <c r="P66" s="153" t="s">
        <v>267</v>
      </c>
      <c r="Q66" s="153" t="s">
        <v>267</v>
      </c>
      <c r="R66" s="153" t="s">
        <v>267</v>
      </c>
      <c r="S66" s="153" t="s">
        <v>267</v>
      </c>
      <c r="T66" s="153" t="s">
        <v>267</v>
      </c>
      <c r="U66" s="153" t="s">
        <v>267</v>
      </c>
      <c r="V66" s="153" t="s">
        <v>267</v>
      </c>
      <c r="W66" s="153" t="s">
        <v>267</v>
      </c>
      <c r="X66" s="153" t="s">
        <v>267</v>
      </c>
      <c r="Y66" s="153" t="s">
        <v>267</v>
      </c>
      <c r="Z66" s="153" t="s">
        <v>267</v>
      </c>
      <c r="AA66" s="153" t="s">
        <v>267</v>
      </c>
      <c r="AB66" s="153" t="s">
        <v>267</v>
      </c>
      <c r="AC66" s="153" t="s">
        <v>267</v>
      </c>
    </row>
    <row r="67" spans="1:29" x14ac:dyDescent="0.3">
      <c r="B67" s="6" t="s">
        <v>290</v>
      </c>
      <c r="C67" s="7">
        <v>4062303</v>
      </c>
      <c r="D67" s="153" t="s">
        <v>267</v>
      </c>
      <c r="E67" s="153" t="s">
        <v>267</v>
      </c>
      <c r="F67" s="153" t="s">
        <v>267</v>
      </c>
      <c r="G67" s="153" t="s">
        <v>267</v>
      </c>
      <c r="H67" s="153" t="s">
        <v>267</v>
      </c>
      <c r="I67" s="153" t="s">
        <v>267</v>
      </c>
      <c r="J67" s="153" t="s">
        <v>267</v>
      </c>
      <c r="K67" s="153" t="s">
        <v>267</v>
      </c>
      <c r="L67" s="153" t="s">
        <v>267</v>
      </c>
      <c r="M67" s="153" t="s">
        <v>267</v>
      </c>
      <c r="N67" s="153" t="s">
        <v>267</v>
      </c>
      <c r="O67" s="153" t="s">
        <v>267</v>
      </c>
      <c r="P67" s="153" t="s">
        <v>267</v>
      </c>
      <c r="Q67" s="153" t="s">
        <v>267</v>
      </c>
      <c r="R67" s="153" t="s">
        <v>267</v>
      </c>
      <c r="S67" s="153" t="s">
        <v>267</v>
      </c>
      <c r="T67" s="153" t="s">
        <v>267</v>
      </c>
      <c r="U67" s="153" t="s">
        <v>267</v>
      </c>
      <c r="V67" s="153" t="s">
        <v>267</v>
      </c>
      <c r="W67" s="153" t="s">
        <v>267</v>
      </c>
      <c r="X67" s="153" t="s">
        <v>267</v>
      </c>
      <c r="Y67" s="153" t="s">
        <v>267</v>
      </c>
      <c r="Z67" s="153" t="s">
        <v>267</v>
      </c>
      <c r="AA67" s="153" t="s">
        <v>267</v>
      </c>
      <c r="AB67" s="153" t="s">
        <v>267</v>
      </c>
      <c r="AC67" s="153" t="s">
        <v>267</v>
      </c>
    </row>
    <row r="68" spans="1:29" x14ac:dyDescent="0.3">
      <c r="B68" s="6" t="s">
        <v>291</v>
      </c>
      <c r="C68" s="7">
        <v>4083581</v>
      </c>
      <c r="D68" s="153">
        <v>411</v>
      </c>
      <c r="E68" s="153">
        <v>377</v>
      </c>
      <c r="F68" s="153">
        <v>339</v>
      </c>
      <c r="G68" s="153">
        <v>291</v>
      </c>
      <c r="H68" s="153">
        <v>243</v>
      </c>
      <c r="I68" s="153">
        <v>183</v>
      </c>
      <c r="J68" s="153">
        <v>127</v>
      </c>
      <c r="K68" s="153">
        <v>832</v>
      </c>
      <c r="L68" s="153">
        <v>832</v>
      </c>
      <c r="M68" s="153">
        <v>843</v>
      </c>
      <c r="N68" s="153">
        <v>689</v>
      </c>
      <c r="O68" s="153">
        <v>642</v>
      </c>
      <c r="P68" s="153">
        <v>612</v>
      </c>
      <c r="Q68" s="153">
        <v>585</v>
      </c>
      <c r="R68" s="153">
        <v>536</v>
      </c>
      <c r="S68" s="153">
        <v>529</v>
      </c>
      <c r="T68" s="153">
        <v>493</v>
      </c>
      <c r="U68" s="153">
        <v>485</v>
      </c>
      <c r="V68" s="153">
        <v>495</v>
      </c>
      <c r="W68" s="153">
        <v>446</v>
      </c>
      <c r="X68" s="153" t="s">
        <v>267</v>
      </c>
      <c r="Y68" s="153" t="s">
        <v>267</v>
      </c>
      <c r="Z68" s="153" t="s">
        <v>267</v>
      </c>
      <c r="AA68" s="153" t="s">
        <v>267</v>
      </c>
      <c r="AB68" s="153" t="s">
        <v>267</v>
      </c>
      <c r="AC68" s="153" t="s">
        <v>267</v>
      </c>
    </row>
    <row r="69" spans="1:29" x14ac:dyDescent="0.3">
      <c r="B69" s="6" t="s">
        <v>236</v>
      </c>
      <c r="C69" s="7">
        <v>4057139</v>
      </c>
      <c r="D69" s="153">
        <v>42983</v>
      </c>
      <c r="E69" s="153">
        <v>35874</v>
      </c>
      <c r="F69" s="153">
        <v>32522</v>
      </c>
      <c r="G69" s="153">
        <v>23274</v>
      </c>
      <c r="H69" s="153">
        <v>16813</v>
      </c>
      <c r="I69" s="153">
        <v>17547</v>
      </c>
      <c r="J69" s="153">
        <v>20688</v>
      </c>
      <c r="K69" s="153">
        <v>19384</v>
      </c>
      <c r="L69" s="153">
        <v>21439</v>
      </c>
      <c r="M69" s="153">
        <v>25005</v>
      </c>
      <c r="N69" s="153">
        <v>28237</v>
      </c>
      <c r="O69" s="153">
        <v>30020</v>
      </c>
      <c r="P69" s="153">
        <v>28188</v>
      </c>
      <c r="Q69" s="153">
        <v>28555</v>
      </c>
      <c r="R69" s="153">
        <v>38301</v>
      </c>
      <c r="S69" s="153">
        <v>34896</v>
      </c>
      <c r="T69" s="153">
        <v>33531</v>
      </c>
      <c r="U69" s="153">
        <v>43843</v>
      </c>
      <c r="V69" s="153">
        <v>51880</v>
      </c>
      <c r="W69" s="153">
        <v>44288</v>
      </c>
      <c r="X69" s="153">
        <v>31121</v>
      </c>
      <c r="Y69" s="153">
        <v>37540</v>
      </c>
      <c r="Z69" s="153">
        <v>0</v>
      </c>
      <c r="AA69" s="153">
        <v>33944</v>
      </c>
      <c r="AB69" s="153">
        <v>29714</v>
      </c>
      <c r="AC69" s="153">
        <v>26446</v>
      </c>
    </row>
    <row r="70" spans="1:29" x14ac:dyDescent="0.3">
      <c r="A70" s="1" t="s">
        <v>268</v>
      </c>
      <c r="B70" s="6" t="s">
        <v>238</v>
      </c>
      <c r="C70" s="7">
        <v>4057095</v>
      </c>
      <c r="D70" s="153" t="s">
        <v>267</v>
      </c>
      <c r="E70" s="153">
        <v>82631</v>
      </c>
      <c r="F70" s="153">
        <v>69907</v>
      </c>
      <c r="G70" s="153">
        <v>55843</v>
      </c>
      <c r="H70" s="153">
        <v>48515</v>
      </c>
      <c r="I70" s="153">
        <v>46882</v>
      </c>
      <c r="J70" s="153">
        <v>46682</v>
      </c>
      <c r="K70" s="153">
        <v>53154</v>
      </c>
      <c r="L70" s="153">
        <v>52913</v>
      </c>
      <c r="M70" s="153">
        <v>51112</v>
      </c>
      <c r="N70" s="153">
        <v>51989</v>
      </c>
      <c r="O70" s="153">
        <v>65252</v>
      </c>
      <c r="P70" s="153">
        <v>79196</v>
      </c>
      <c r="Q70" s="153">
        <v>71340</v>
      </c>
      <c r="R70" s="153">
        <v>76654</v>
      </c>
      <c r="S70" s="153">
        <v>83431</v>
      </c>
      <c r="T70" s="153">
        <v>78156</v>
      </c>
      <c r="U70" s="153">
        <v>68552</v>
      </c>
      <c r="V70" s="153">
        <v>55396</v>
      </c>
      <c r="W70" s="153">
        <v>40967</v>
      </c>
      <c r="X70" s="153">
        <v>38646</v>
      </c>
      <c r="Y70" s="153">
        <v>31961</v>
      </c>
      <c r="Z70" s="153">
        <f>+Y70/(1+Z71)</f>
        <v>30191.851569170041</v>
      </c>
      <c r="AA70" s="153" t="s">
        <v>267</v>
      </c>
      <c r="AB70" s="153" t="s">
        <v>267</v>
      </c>
      <c r="AC70" s="153" t="s">
        <v>267</v>
      </c>
    </row>
    <row r="71" spans="1:29" x14ac:dyDescent="0.3">
      <c r="B71" s="6"/>
      <c r="C71" s="7"/>
      <c r="D71" s="168"/>
      <c r="E71" s="168"/>
      <c r="F71" s="168">
        <f t="shared" ref="F71:X71" si="1">+E70/F70-1</f>
        <v>0.18201324616991155</v>
      </c>
      <c r="G71" s="168">
        <f t="shared" si="1"/>
        <v>0.25184893361746319</v>
      </c>
      <c r="H71" s="168">
        <f t="shared" si="1"/>
        <v>0.15104606822632172</v>
      </c>
      <c r="I71" s="168">
        <f t="shared" si="1"/>
        <v>3.4832131734994221E-2</v>
      </c>
      <c r="J71" s="168">
        <f t="shared" si="1"/>
        <v>4.2843065849791362E-3</v>
      </c>
      <c r="K71" s="168">
        <f t="shared" si="1"/>
        <v>-0.12175941603642249</v>
      </c>
      <c r="L71" s="168">
        <f t="shared" si="1"/>
        <v>4.554646306200727E-3</v>
      </c>
      <c r="M71" s="168">
        <f t="shared" si="1"/>
        <v>3.5236343715761453E-2</v>
      </c>
      <c r="N71" s="168">
        <f t="shared" si="1"/>
        <v>-1.6868953047760149E-2</v>
      </c>
      <c r="O71" s="168">
        <f t="shared" si="1"/>
        <v>-0.20325813768160361</v>
      </c>
      <c r="P71" s="168">
        <f t="shared" si="1"/>
        <v>-0.17606949845951814</v>
      </c>
      <c r="Q71" s="168">
        <f t="shared" si="1"/>
        <v>0.11012054948135686</v>
      </c>
      <c r="R71" s="168">
        <f t="shared" si="1"/>
        <v>-6.9324497090823667E-2</v>
      </c>
      <c r="S71" s="168">
        <f t="shared" si="1"/>
        <v>-8.1228799846579824E-2</v>
      </c>
      <c r="T71" s="168">
        <f t="shared" si="1"/>
        <v>6.7493218690823475E-2</v>
      </c>
      <c r="U71" s="168">
        <f t="shared" si="1"/>
        <v>0.14009802777453606</v>
      </c>
      <c r="V71" s="168">
        <f t="shared" si="1"/>
        <v>0.23749007148530588</v>
      </c>
      <c r="W71" s="168">
        <f t="shared" si="1"/>
        <v>0.35221031561988925</v>
      </c>
      <c r="X71" s="168">
        <f t="shared" si="1"/>
        <v>6.00579620141799E-2</v>
      </c>
      <c r="Y71" s="168">
        <f>+X70/Y70-1</f>
        <v>0.2091611651700509</v>
      </c>
      <c r="Z71" s="168">
        <f>AVERAGE(F71:Y71)</f>
        <v>5.859688422145333E-2</v>
      </c>
      <c r="AA71" s="153"/>
      <c r="AB71" s="153"/>
      <c r="AC71" s="153"/>
    </row>
    <row r="72" spans="1:29" x14ac:dyDescent="0.3">
      <c r="B72" s="6" t="s">
        <v>239</v>
      </c>
      <c r="C72" s="7">
        <v>4062485</v>
      </c>
      <c r="D72" s="153">
        <v>13976</v>
      </c>
      <c r="E72" s="153">
        <v>13286</v>
      </c>
      <c r="F72" s="153">
        <v>8385</v>
      </c>
      <c r="G72" s="153">
        <v>6937</v>
      </c>
      <c r="H72" s="153">
        <v>17253</v>
      </c>
      <c r="I72" s="153">
        <v>15623</v>
      </c>
      <c r="J72" s="153">
        <v>14420</v>
      </c>
      <c r="K72" s="153">
        <v>17238</v>
      </c>
      <c r="L72" s="153">
        <v>11316</v>
      </c>
      <c r="M72" s="153">
        <v>8239</v>
      </c>
      <c r="N72" s="153">
        <v>5752</v>
      </c>
      <c r="O72" s="153">
        <v>-2004</v>
      </c>
      <c r="P72" s="153">
        <v>25129</v>
      </c>
      <c r="Q72" s="153">
        <v>23204</v>
      </c>
      <c r="R72" s="153">
        <v>18332</v>
      </c>
      <c r="S72" s="153">
        <v>19972</v>
      </c>
      <c r="T72" s="153">
        <v>19677</v>
      </c>
      <c r="U72" s="153">
        <v>17541</v>
      </c>
      <c r="V72" s="153">
        <v>20762</v>
      </c>
      <c r="W72" s="153">
        <v>19466</v>
      </c>
      <c r="X72" s="153">
        <v>18084</v>
      </c>
      <c r="Y72" s="153">
        <v>17355</v>
      </c>
      <c r="Z72" s="153">
        <v>22649</v>
      </c>
      <c r="AA72" s="153">
        <v>21613</v>
      </c>
      <c r="AB72" s="153">
        <v>24465</v>
      </c>
      <c r="AC72" s="153">
        <v>19795</v>
      </c>
    </row>
    <row r="73" spans="1:29" x14ac:dyDescent="0.3">
      <c r="B73" s="6" t="s">
        <v>240</v>
      </c>
      <c r="C73" s="7">
        <v>4057140</v>
      </c>
      <c r="D73" s="153">
        <v>133468</v>
      </c>
      <c r="E73" s="153">
        <v>129855</v>
      </c>
      <c r="F73" s="153">
        <v>134553</v>
      </c>
      <c r="G73" s="153">
        <v>128845</v>
      </c>
      <c r="H73" s="153">
        <v>149721</v>
      </c>
      <c r="I73" s="153">
        <v>132819</v>
      </c>
      <c r="J73" s="153">
        <v>130905</v>
      </c>
      <c r="K73" s="153">
        <v>105395</v>
      </c>
      <c r="L73" s="153">
        <v>127494</v>
      </c>
      <c r="M73" s="153">
        <v>131572</v>
      </c>
      <c r="N73" s="153">
        <v>77124</v>
      </c>
      <c r="O73" s="153">
        <v>133855</v>
      </c>
      <c r="P73" s="153">
        <v>130646</v>
      </c>
      <c r="Q73" s="153">
        <v>82689</v>
      </c>
      <c r="R73" s="153">
        <v>77516</v>
      </c>
      <c r="S73" s="153">
        <v>122399</v>
      </c>
      <c r="T73" s="153">
        <v>111043</v>
      </c>
      <c r="U73" s="153">
        <v>103509</v>
      </c>
      <c r="V73" s="153" t="s">
        <v>267</v>
      </c>
      <c r="W73" s="153">
        <v>323836</v>
      </c>
      <c r="X73" s="153">
        <v>75710</v>
      </c>
      <c r="Y73" s="153">
        <v>73735</v>
      </c>
      <c r="Z73" s="153">
        <v>59307</v>
      </c>
      <c r="AA73" s="153">
        <v>50832</v>
      </c>
      <c r="AB73" s="153">
        <v>43447</v>
      </c>
      <c r="AC73" s="153">
        <v>35884</v>
      </c>
    </row>
    <row r="74" spans="1:29" x14ac:dyDescent="0.3">
      <c r="A74" s="1" t="s">
        <v>268</v>
      </c>
      <c r="B74" s="6" t="s">
        <v>243</v>
      </c>
      <c r="C74" s="7">
        <v>4057096</v>
      </c>
      <c r="D74" s="153">
        <v>3667</v>
      </c>
      <c r="E74" s="153">
        <v>3470</v>
      </c>
      <c r="F74" s="153">
        <v>3136</v>
      </c>
      <c r="G74" s="153">
        <v>2889</v>
      </c>
      <c r="H74" s="153">
        <v>2686</v>
      </c>
      <c r="I74" s="153">
        <v>4307</v>
      </c>
      <c r="J74" s="153">
        <v>2195</v>
      </c>
      <c r="K74" s="153">
        <v>2405</v>
      </c>
      <c r="L74" s="153">
        <v>2235</v>
      </c>
      <c r="M74" s="153">
        <v>2093</v>
      </c>
      <c r="N74" s="153">
        <v>2040</v>
      </c>
      <c r="O74" s="153">
        <v>1969</v>
      </c>
      <c r="P74" s="153">
        <v>1675</v>
      </c>
      <c r="Q74" s="153">
        <v>1541</v>
      </c>
      <c r="R74" s="153">
        <v>1578</v>
      </c>
      <c r="S74" s="153">
        <v>1451</v>
      </c>
      <c r="T74" s="153">
        <v>1400</v>
      </c>
      <c r="U74" s="153" t="s">
        <v>267</v>
      </c>
      <c r="V74" s="153" t="s">
        <v>267</v>
      </c>
      <c r="W74" s="153">
        <v>2079</v>
      </c>
      <c r="X74" s="153">
        <v>1928</v>
      </c>
      <c r="Y74" s="153">
        <v>1784</v>
      </c>
      <c r="Z74" s="153">
        <v>1649</v>
      </c>
      <c r="AA74" s="153">
        <v>1520</v>
      </c>
      <c r="AB74" s="153">
        <v>1320</v>
      </c>
      <c r="AC74" s="153">
        <v>1278</v>
      </c>
    </row>
    <row r="75" spans="1:29" x14ac:dyDescent="0.3">
      <c r="B75" s="6" t="s">
        <v>292</v>
      </c>
      <c r="C75" s="7">
        <v>4057097</v>
      </c>
      <c r="D75" s="153" t="s">
        <v>267</v>
      </c>
      <c r="E75" s="153" t="s">
        <v>267</v>
      </c>
      <c r="F75" s="153">
        <v>5423</v>
      </c>
      <c r="G75" s="153">
        <v>4912</v>
      </c>
      <c r="H75" s="153">
        <v>5650</v>
      </c>
      <c r="I75" s="153">
        <v>5351</v>
      </c>
      <c r="J75" s="153">
        <v>5186</v>
      </c>
      <c r="K75" s="153">
        <v>4673</v>
      </c>
      <c r="L75" s="153">
        <v>4659</v>
      </c>
      <c r="M75" s="153">
        <v>4614</v>
      </c>
      <c r="N75" s="153">
        <v>4272</v>
      </c>
      <c r="O75" s="153">
        <v>4301</v>
      </c>
      <c r="P75" s="153">
        <v>4062</v>
      </c>
      <c r="Q75" s="153">
        <v>3890</v>
      </c>
      <c r="R75" s="153">
        <v>3401</v>
      </c>
      <c r="S75" s="153">
        <v>3117</v>
      </c>
      <c r="T75" s="153">
        <v>2605</v>
      </c>
      <c r="U75" s="153">
        <v>2494</v>
      </c>
      <c r="V75" s="153">
        <v>2058</v>
      </c>
      <c r="W75" s="153">
        <v>1656</v>
      </c>
      <c r="X75" s="153">
        <v>1346</v>
      </c>
      <c r="Y75" s="153">
        <v>1320</v>
      </c>
      <c r="Z75" s="153">
        <v>1233</v>
      </c>
      <c r="AA75" s="153">
        <v>1093</v>
      </c>
      <c r="AB75" s="153">
        <v>1592</v>
      </c>
      <c r="AC75" s="153">
        <v>1726</v>
      </c>
    </row>
    <row r="76" spans="1:29" x14ac:dyDescent="0.3">
      <c r="B76" s="6" t="s">
        <v>293</v>
      </c>
      <c r="C76" s="7">
        <v>4057098</v>
      </c>
      <c r="D76" s="153" t="s">
        <v>267</v>
      </c>
      <c r="E76" s="153">
        <v>9135</v>
      </c>
      <c r="F76" s="153">
        <v>8313</v>
      </c>
      <c r="G76" s="153">
        <v>7536</v>
      </c>
      <c r="H76" s="153">
        <v>7765</v>
      </c>
      <c r="I76" s="153">
        <v>6032</v>
      </c>
      <c r="J76" s="153">
        <v>4593</v>
      </c>
      <c r="K76" s="153">
        <v>3149</v>
      </c>
      <c r="L76" s="153">
        <v>1631</v>
      </c>
      <c r="M76" s="153">
        <v>879</v>
      </c>
      <c r="N76" s="153">
        <v>649</v>
      </c>
      <c r="O76" s="153">
        <v>41</v>
      </c>
      <c r="P76" s="153">
        <v>-266</v>
      </c>
      <c r="Q76" s="153">
        <v>94</v>
      </c>
      <c r="R76" s="153">
        <v>-333</v>
      </c>
      <c r="S76" s="153">
        <v>750</v>
      </c>
      <c r="T76" s="153">
        <v>639</v>
      </c>
      <c r="U76" s="153">
        <v>708</v>
      </c>
      <c r="V76" s="153">
        <v>803</v>
      </c>
      <c r="W76" s="153" t="s">
        <v>267</v>
      </c>
      <c r="X76" s="153">
        <v>1198</v>
      </c>
      <c r="Y76" s="153">
        <v>1194</v>
      </c>
      <c r="Z76" s="153">
        <v>1210</v>
      </c>
      <c r="AA76" s="153">
        <v>1237</v>
      </c>
      <c r="AB76" s="153">
        <v>1195</v>
      </c>
      <c r="AC76" s="153" t="s">
        <v>267</v>
      </c>
    </row>
    <row r="77" spans="1:29" x14ac:dyDescent="0.3">
      <c r="A77" s="1" t="s">
        <v>268</v>
      </c>
      <c r="B77" s="6" t="s">
        <v>244</v>
      </c>
      <c r="C77" s="7">
        <v>4063023</v>
      </c>
      <c r="D77" s="153" t="s">
        <v>267</v>
      </c>
      <c r="E77" s="153">
        <v>64475</v>
      </c>
      <c r="F77" s="153">
        <v>56557</v>
      </c>
      <c r="G77" s="153">
        <v>53152</v>
      </c>
      <c r="H77" s="153">
        <v>41434</v>
      </c>
      <c r="I77" s="153">
        <v>29423</v>
      </c>
      <c r="J77" s="153">
        <v>24046</v>
      </c>
      <c r="K77" s="153">
        <v>19148</v>
      </c>
      <c r="L77" s="153">
        <v>19523</v>
      </c>
      <c r="M77" s="153">
        <v>23793</v>
      </c>
      <c r="N77" s="153">
        <v>22897</v>
      </c>
      <c r="O77" s="153">
        <v>20259</v>
      </c>
      <c r="P77" s="153">
        <v>17304</v>
      </c>
      <c r="Q77" s="153">
        <v>15723</v>
      </c>
      <c r="R77" s="153">
        <v>14445</v>
      </c>
      <c r="S77" s="153">
        <v>13963</v>
      </c>
      <c r="T77" s="153">
        <v>14449</v>
      </c>
      <c r="U77" s="153">
        <v>11130</v>
      </c>
      <c r="V77" s="153">
        <v>9966</v>
      </c>
      <c r="W77" s="153">
        <v>9085</v>
      </c>
      <c r="X77" s="153">
        <v>9263</v>
      </c>
      <c r="Y77" s="153">
        <v>7896</v>
      </c>
      <c r="Z77" s="153">
        <v>8120</v>
      </c>
      <c r="AA77" s="153">
        <v>7533</v>
      </c>
      <c r="AB77" s="153">
        <v>7808</v>
      </c>
      <c r="AC77" s="153">
        <v>7022</v>
      </c>
    </row>
    <row r="78" spans="1:29" x14ac:dyDescent="0.3">
      <c r="B78" s="6" t="s">
        <v>245</v>
      </c>
      <c r="C78" s="7">
        <v>4057146</v>
      </c>
      <c r="D78" s="153" t="s">
        <v>267</v>
      </c>
      <c r="E78" s="153">
        <v>1213595</v>
      </c>
      <c r="F78" s="153">
        <v>1102814</v>
      </c>
      <c r="G78" s="153">
        <v>964742</v>
      </c>
      <c r="H78" s="153">
        <v>876767</v>
      </c>
      <c r="I78" s="153">
        <v>766104</v>
      </c>
      <c r="J78" s="153">
        <v>675741</v>
      </c>
      <c r="K78" s="153">
        <v>570350</v>
      </c>
      <c r="L78" s="153">
        <v>460539</v>
      </c>
      <c r="M78" s="153">
        <v>399254</v>
      </c>
      <c r="N78" s="153">
        <v>425482</v>
      </c>
      <c r="O78" s="153">
        <v>382593</v>
      </c>
      <c r="P78" s="153">
        <v>345452</v>
      </c>
      <c r="Q78" s="153">
        <v>310010</v>
      </c>
      <c r="R78" s="153">
        <v>329561</v>
      </c>
      <c r="S78" s="153">
        <v>303875</v>
      </c>
      <c r="T78" s="153">
        <v>306755</v>
      </c>
      <c r="U78" s="153">
        <v>268886</v>
      </c>
      <c r="V78" s="153">
        <v>222865</v>
      </c>
      <c r="W78" s="153">
        <v>203946</v>
      </c>
      <c r="X78" s="153">
        <v>184022</v>
      </c>
      <c r="Y78" s="153">
        <v>152975</v>
      </c>
      <c r="Z78" s="153">
        <v>127100</v>
      </c>
      <c r="AA78" s="153">
        <v>109818</v>
      </c>
      <c r="AB78" s="153" t="s">
        <v>267</v>
      </c>
      <c r="AC78" s="153" t="s">
        <v>267</v>
      </c>
    </row>
    <row r="79" spans="1:29" x14ac:dyDescent="0.3">
      <c r="A79" s="1" t="s">
        <v>268</v>
      </c>
      <c r="B79" s="6" t="s">
        <v>247</v>
      </c>
      <c r="C79" s="7">
        <v>4063060</v>
      </c>
      <c r="D79" s="153">
        <v>18158</v>
      </c>
      <c r="E79" s="153">
        <v>15083</v>
      </c>
      <c r="F79" s="153">
        <v>12541</v>
      </c>
      <c r="G79" s="153">
        <v>9210</v>
      </c>
      <c r="H79" s="153">
        <v>7264</v>
      </c>
      <c r="I79" s="153">
        <v>6649</v>
      </c>
      <c r="J79" s="153">
        <v>5812</v>
      </c>
      <c r="K79" s="153">
        <v>6199</v>
      </c>
      <c r="L79" s="153">
        <v>5458</v>
      </c>
      <c r="M79" s="153">
        <v>6858</v>
      </c>
      <c r="N79" s="153">
        <v>15098</v>
      </c>
      <c r="O79" s="153">
        <v>15445</v>
      </c>
      <c r="P79" s="153">
        <v>13566</v>
      </c>
      <c r="Q79" s="153">
        <v>14818</v>
      </c>
      <c r="R79" s="153">
        <v>27386</v>
      </c>
      <c r="S79" s="153">
        <v>24623</v>
      </c>
      <c r="T79" s="153">
        <v>21304</v>
      </c>
      <c r="U79" s="153">
        <v>18049</v>
      </c>
      <c r="V79" s="153">
        <v>14310</v>
      </c>
      <c r="W79" s="153">
        <v>10655</v>
      </c>
      <c r="X79" s="153">
        <v>11305</v>
      </c>
      <c r="Y79" s="153" t="s">
        <v>267</v>
      </c>
      <c r="Z79" s="153">
        <v>9501</v>
      </c>
      <c r="AA79" s="153">
        <v>10933</v>
      </c>
      <c r="AB79" s="153">
        <v>9603</v>
      </c>
      <c r="AC79" s="153">
        <v>9431</v>
      </c>
    </row>
    <row r="80" spans="1:29" x14ac:dyDescent="0.3">
      <c r="B80" s="6" t="s">
        <v>248</v>
      </c>
      <c r="C80" s="7">
        <v>4057100</v>
      </c>
      <c r="D80" s="153">
        <v>7570</v>
      </c>
      <c r="E80" s="153" t="s">
        <v>267</v>
      </c>
      <c r="F80" s="153">
        <v>7373</v>
      </c>
      <c r="G80" s="153">
        <v>6869</v>
      </c>
      <c r="H80" s="153">
        <v>6699</v>
      </c>
      <c r="I80" s="153">
        <v>6230</v>
      </c>
      <c r="J80" s="153">
        <v>5896</v>
      </c>
      <c r="K80" s="153">
        <v>5908</v>
      </c>
      <c r="L80" s="153">
        <v>6032</v>
      </c>
      <c r="M80" s="153">
        <v>6258</v>
      </c>
      <c r="N80" s="153">
        <v>5988</v>
      </c>
      <c r="O80" s="153">
        <v>5436</v>
      </c>
      <c r="P80" s="153">
        <v>5141</v>
      </c>
      <c r="Q80" s="153">
        <v>4663</v>
      </c>
      <c r="R80" s="153">
        <v>4276</v>
      </c>
      <c r="S80" s="153">
        <v>4130</v>
      </c>
      <c r="T80" s="153">
        <v>3779</v>
      </c>
      <c r="U80" s="153">
        <v>3466</v>
      </c>
      <c r="V80" s="153">
        <v>3403</v>
      </c>
      <c r="W80" s="153">
        <v>3029</v>
      </c>
      <c r="X80" s="153">
        <v>2855</v>
      </c>
      <c r="Y80" s="153">
        <v>2632</v>
      </c>
      <c r="Z80" s="153">
        <v>2602</v>
      </c>
      <c r="AA80" s="153">
        <v>2426</v>
      </c>
      <c r="AB80" s="153">
        <v>2381</v>
      </c>
      <c r="AC80" s="153">
        <v>2265</v>
      </c>
    </row>
    <row r="81" spans="1:29" x14ac:dyDescent="0.3">
      <c r="B81" s="6" t="s">
        <v>294</v>
      </c>
      <c r="C81" s="7">
        <v>4064035</v>
      </c>
      <c r="D81" s="153" t="s">
        <v>267</v>
      </c>
      <c r="E81" s="153">
        <v>3838</v>
      </c>
      <c r="F81" s="153">
        <v>3732</v>
      </c>
      <c r="G81" s="153">
        <v>4678</v>
      </c>
      <c r="H81" s="153">
        <v>4531</v>
      </c>
      <c r="I81" s="153">
        <v>4299</v>
      </c>
      <c r="J81" s="153">
        <v>4102</v>
      </c>
      <c r="K81" s="153">
        <v>3898</v>
      </c>
      <c r="L81" s="153">
        <v>3912</v>
      </c>
      <c r="M81" s="153">
        <v>3793</v>
      </c>
      <c r="N81" s="153">
        <v>3629</v>
      </c>
      <c r="O81" s="153">
        <v>3448</v>
      </c>
      <c r="P81" s="153">
        <v>3327</v>
      </c>
      <c r="Q81" s="153">
        <v>3716</v>
      </c>
      <c r="R81" s="153" t="s">
        <v>267</v>
      </c>
      <c r="S81" s="153">
        <v>3488</v>
      </c>
      <c r="T81" s="153">
        <v>3336</v>
      </c>
      <c r="U81" s="153" t="s">
        <v>267</v>
      </c>
      <c r="V81" s="153" t="s">
        <v>267</v>
      </c>
      <c r="W81" s="153">
        <v>2995</v>
      </c>
      <c r="X81" s="153" t="s">
        <v>267</v>
      </c>
      <c r="Y81" s="153" t="s">
        <v>267</v>
      </c>
      <c r="Z81" s="153" t="s">
        <v>267</v>
      </c>
      <c r="AA81" s="153" t="s">
        <v>267</v>
      </c>
      <c r="AB81" s="153" t="s">
        <v>267</v>
      </c>
      <c r="AC81" s="153" t="s">
        <v>267</v>
      </c>
    </row>
    <row r="82" spans="1:29" x14ac:dyDescent="0.3">
      <c r="B82" s="6" t="s">
        <v>295</v>
      </c>
      <c r="C82" s="7">
        <v>4060957</v>
      </c>
      <c r="D82" s="153">
        <v>59584</v>
      </c>
      <c r="E82" s="153">
        <v>50727</v>
      </c>
      <c r="F82" s="153">
        <v>44746</v>
      </c>
      <c r="G82" s="153">
        <v>37556</v>
      </c>
      <c r="H82" s="153">
        <v>33777</v>
      </c>
      <c r="I82" s="153">
        <v>32187</v>
      </c>
      <c r="J82" s="153">
        <v>30381</v>
      </c>
      <c r="K82" s="153">
        <v>28097</v>
      </c>
      <c r="L82" s="153">
        <v>24972</v>
      </c>
      <c r="M82" s="153">
        <v>22366</v>
      </c>
      <c r="N82" s="153">
        <v>21478</v>
      </c>
      <c r="O82" s="153">
        <v>22548</v>
      </c>
      <c r="P82" s="153">
        <v>21948</v>
      </c>
      <c r="Q82" s="153">
        <v>22104</v>
      </c>
      <c r="R82" s="153">
        <v>25334</v>
      </c>
      <c r="S82" s="153">
        <v>27266</v>
      </c>
      <c r="T82" s="153">
        <v>29674</v>
      </c>
      <c r="U82" s="153">
        <v>28525</v>
      </c>
      <c r="V82" s="153">
        <v>25545</v>
      </c>
      <c r="W82" s="153">
        <v>24577</v>
      </c>
      <c r="X82" s="153">
        <v>27352</v>
      </c>
      <c r="Y82" s="153">
        <v>24147</v>
      </c>
      <c r="Z82" s="153">
        <v>23177</v>
      </c>
      <c r="AA82" s="153">
        <v>20827</v>
      </c>
      <c r="AB82" s="153">
        <v>18934</v>
      </c>
      <c r="AC82" s="153">
        <v>16969</v>
      </c>
    </row>
    <row r="83" spans="1:29" x14ac:dyDescent="0.3">
      <c r="B83" s="6" t="s">
        <v>250</v>
      </c>
      <c r="C83" s="7">
        <v>4063179</v>
      </c>
      <c r="D83" s="153">
        <v>592</v>
      </c>
      <c r="E83" s="153" t="s">
        <v>267</v>
      </c>
      <c r="F83" s="153">
        <v>526</v>
      </c>
      <c r="G83" s="153">
        <v>503</v>
      </c>
      <c r="H83" s="153">
        <v>437</v>
      </c>
      <c r="I83" s="153">
        <v>496</v>
      </c>
      <c r="J83" s="153">
        <v>479</v>
      </c>
      <c r="K83" s="153">
        <v>424</v>
      </c>
      <c r="L83" s="153">
        <v>409</v>
      </c>
      <c r="M83" s="153">
        <v>378</v>
      </c>
      <c r="N83" s="153">
        <v>342</v>
      </c>
      <c r="O83" s="153">
        <v>320</v>
      </c>
      <c r="P83" s="153">
        <v>327</v>
      </c>
      <c r="Q83" s="153">
        <v>277</v>
      </c>
      <c r="R83" s="153">
        <v>339</v>
      </c>
      <c r="S83" s="153">
        <v>317</v>
      </c>
      <c r="T83" s="153">
        <v>318</v>
      </c>
      <c r="U83" s="153">
        <v>280</v>
      </c>
      <c r="V83" s="153">
        <v>340</v>
      </c>
      <c r="W83" s="153" t="s">
        <v>267</v>
      </c>
      <c r="X83" s="153" t="s">
        <v>267</v>
      </c>
      <c r="Y83" s="153">
        <v>247</v>
      </c>
      <c r="Z83" s="153">
        <v>213</v>
      </c>
      <c r="AA83" s="153">
        <v>174</v>
      </c>
      <c r="AB83" s="153" t="s">
        <v>267</v>
      </c>
      <c r="AC83" s="153" t="s">
        <v>267</v>
      </c>
    </row>
    <row r="84" spans="1:29" x14ac:dyDescent="0.3">
      <c r="A84" s="1" t="s">
        <v>268</v>
      </c>
      <c r="B84" s="6" t="s">
        <v>251</v>
      </c>
      <c r="C84" s="7">
        <v>4063183</v>
      </c>
      <c r="D84" s="153">
        <v>6497</v>
      </c>
      <c r="E84" s="153">
        <v>5829</v>
      </c>
      <c r="F84" s="153">
        <v>5439</v>
      </c>
      <c r="G84" s="153" t="s">
        <v>267</v>
      </c>
      <c r="H84" s="153">
        <v>5170</v>
      </c>
      <c r="I84" s="153">
        <v>4799</v>
      </c>
      <c r="J84" s="153">
        <v>4306</v>
      </c>
      <c r="K84" s="153">
        <v>3724</v>
      </c>
      <c r="L84" s="153">
        <v>3492</v>
      </c>
      <c r="M84" s="153">
        <v>3153</v>
      </c>
      <c r="N84" s="153">
        <v>2877</v>
      </c>
      <c r="O84" s="153">
        <v>2640</v>
      </c>
      <c r="P84" s="153">
        <v>2291</v>
      </c>
      <c r="Q84" s="153">
        <v>2220</v>
      </c>
      <c r="R84" s="153">
        <v>2013</v>
      </c>
      <c r="S84" s="153">
        <v>2136</v>
      </c>
      <c r="T84" s="153">
        <v>2166</v>
      </c>
      <c r="U84" s="153">
        <v>2028</v>
      </c>
      <c r="V84" s="153">
        <v>1868</v>
      </c>
      <c r="W84" s="153">
        <v>1684</v>
      </c>
      <c r="X84" s="153">
        <v>1537</v>
      </c>
      <c r="Y84" s="153">
        <v>1392</v>
      </c>
      <c r="Z84" s="153">
        <v>1303</v>
      </c>
      <c r="AA84" s="153" t="s">
        <v>267</v>
      </c>
      <c r="AB84" s="153">
        <v>824</v>
      </c>
      <c r="AC84" s="153">
        <v>614</v>
      </c>
    </row>
    <row r="85" spans="1:29" x14ac:dyDescent="0.3">
      <c r="B85" s="6" t="s">
        <v>252</v>
      </c>
      <c r="C85" s="7">
        <v>4063281</v>
      </c>
      <c r="D85" s="153">
        <v>1000</v>
      </c>
      <c r="E85" s="153">
        <v>856</v>
      </c>
      <c r="F85" s="153">
        <v>494</v>
      </c>
      <c r="G85" s="153">
        <v>474</v>
      </c>
      <c r="H85" s="153">
        <v>521</v>
      </c>
      <c r="I85" s="153">
        <v>549</v>
      </c>
      <c r="J85" s="153">
        <v>478</v>
      </c>
      <c r="K85" s="153">
        <v>420</v>
      </c>
      <c r="L85" s="153">
        <v>270</v>
      </c>
      <c r="M85" s="153">
        <v>365</v>
      </c>
      <c r="N85" s="153">
        <v>262</v>
      </c>
      <c r="O85" s="153">
        <v>246</v>
      </c>
      <c r="P85" s="153">
        <v>198</v>
      </c>
      <c r="Q85" s="153">
        <v>179</v>
      </c>
      <c r="R85" s="153">
        <v>169</v>
      </c>
      <c r="S85" s="153">
        <v>168</v>
      </c>
      <c r="T85" s="153">
        <v>148</v>
      </c>
      <c r="U85" s="153">
        <v>126</v>
      </c>
      <c r="V85" s="153">
        <v>112</v>
      </c>
      <c r="W85" s="153">
        <v>102</v>
      </c>
      <c r="X85" s="153">
        <v>93</v>
      </c>
      <c r="Y85" s="153">
        <v>83</v>
      </c>
      <c r="Z85" s="153">
        <v>74</v>
      </c>
      <c r="AA85" s="153">
        <v>65</v>
      </c>
      <c r="AB85" s="153">
        <v>56</v>
      </c>
      <c r="AC85" s="153">
        <v>50</v>
      </c>
    </row>
    <row r="86" spans="1:29" x14ac:dyDescent="0.3">
      <c r="B86" s="6" t="s">
        <v>253</v>
      </c>
      <c r="C86" s="7">
        <v>4059746</v>
      </c>
      <c r="D86" s="153">
        <v>-134693</v>
      </c>
      <c r="E86" s="153">
        <v>-111209</v>
      </c>
      <c r="F86" s="153">
        <v>-147341</v>
      </c>
      <c r="G86" s="153">
        <v>-124017</v>
      </c>
      <c r="H86" s="153">
        <v>-100896</v>
      </c>
      <c r="I86" s="153">
        <v>-2784</v>
      </c>
      <c r="J86" s="153">
        <v>14505</v>
      </c>
      <c r="K86" s="153">
        <v>33064</v>
      </c>
      <c r="L86" s="153">
        <v>47271</v>
      </c>
      <c r="M86" s="153">
        <v>61309</v>
      </c>
      <c r="N86" s="153">
        <v>70978</v>
      </c>
      <c r="O86" s="153">
        <v>80139</v>
      </c>
      <c r="P86" s="153">
        <v>89350</v>
      </c>
      <c r="Q86" s="153">
        <v>83528</v>
      </c>
      <c r="R86" s="153">
        <v>76859</v>
      </c>
      <c r="S86" s="153">
        <v>82645</v>
      </c>
      <c r="T86" s="153">
        <v>140244</v>
      </c>
      <c r="U86" s="153">
        <v>138844</v>
      </c>
      <c r="V86" s="153">
        <v>26110</v>
      </c>
      <c r="W86" s="153">
        <v>41761</v>
      </c>
      <c r="X86" s="153">
        <v>41638</v>
      </c>
      <c r="Y86" s="153">
        <v>38602</v>
      </c>
      <c r="Z86" s="153">
        <v>36560</v>
      </c>
      <c r="AA86" s="153">
        <v>33139</v>
      </c>
      <c r="AB86" s="153">
        <v>22896</v>
      </c>
      <c r="AC86" s="153" t="s">
        <v>267</v>
      </c>
    </row>
    <row r="87" spans="1:29" x14ac:dyDescent="0.3">
      <c r="A87" s="1" t="s">
        <v>268</v>
      </c>
      <c r="B87" s="6" t="s">
        <v>296</v>
      </c>
      <c r="C87" s="7">
        <v>4062279</v>
      </c>
      <c r="D87" s="153" t="s">
        <v>267</v>
      </c>
      <c r="E87" s="153" t="s">
        <v>267</v>
      </c>
      <c r="F87" s="153" t="s">
        <v>267</v>
      </c>
      <c r="G87" s="153" t="s">
        <v>267</v>
      </c>
      <c r="H87" s="153" t="s">
        <v>267</v>
      </c>
      <c r="I87" s="153" t="s">
        <v>267</v>
      </c>
      <c r="J87" s="153" t="s">
        <v>267</v>
      </c>
      <c r="K87" s="153" t="s">
        <v>267</v>
      </c>
      <c r="L87" s="153" t="s">
        <v>267</v>
      </c>
      <c r="M87" s="153" t="s">
        <v>267</v>
      </c>
      <c r="N87" s="153" t="s">
        <v>267</v>
      </c>
      <c r="O87" s="153" t="s">
        <v>267</v>
      </c>
      <c r="P87" s="153" t="s">
        <v>267</v>
      </c>
      <c r="Q87" s="153" t="s">
        <v>267</v>
      </c>
      <c r="R87" s="153" t="s">
        <v>267</v>
      </c>
      <c r="S87" s="153" t="s">
        <v>267</v>
      </c>
      <c r="T87" s="153" t="s">
        <v>267</v>
      </c>
      <c r="U87" s="153" t="s">
        <v>267</v>
      </c>
      <c r="V87" s="153" t="s">
        <v>267</v>
      </c>
      <c r="W87" s="153" t="s">
        <v>267</v>
      </c>
      <c r="X87" s="153" t="s">
        <v>267</v>
      </c>
      <c r="Y87" s="153" t="s">
        <v>267</v>
      </c>
      <c r="Z87" s="153" t="s">
        <v>267</v>
      </c>
      <c r="AA87" s="153" t="s">
        <v>267</v>
      </c>
      <c r="AB87" s="153" t="s">
        <v>267</v>
      </c>
      <c r="AC87" s="153" t="s">
        <v>267</v>
      </c>
    </row>
    <row r="88" spans="1:29" x14ac:dyDescent="0.3">
      <c r="A88" s="1" t="s">
        <v>268</v>
      </c>
      <c r="B88" s="6" t="s">
        <v>297</v>
      </c>
      <c r="C88" s="7">
        <v>4063729</v>
      </c>
      <c r="D88" s="153" t="s">
        <v>267</v>
      </c>
      <c r="E88" s="153" t="s">
        <v>267</v>
      </c>
      <c r="F88" s="153" t="s">
        <v>267</v>
      </c>
      <c r="G88" s="153">
        <v>6333</v>
      </c>
      <c r="H88" s="153">
        <v>5472</v>
      </c>
      <c r="I88" s="153">
        <v>5085</v>
      </c>
      <c r="J88" s="153">
        <v>19937</v>
      </c>
      <c r="K88" s="153">
        <v>18140</v>
      </c>
      <c r="L88" s="153">
        <v>17050</v>
      </c>
      <c r="M88" s="153">
        <v>16282</v>
      </c>
      <c r="N88" s="153">
        <v>15496</v>
      </c>
      <c r="O88" s="153">
        <v>13319</v>
      </c>
      <c r="P88" s="153">
        <v>12446</v>
      </c>
      <c r="Q88" s="153">
        <v>10527</v>
      </c>
      <c r="R88" s="153">
        <v>8708</v>
      </c>
      <c r="S88" s="153">
        <v>4766</v>
      </c>
      <c r="T88" s="153">
        <v>4361</v>
      </c>
      <c r="U88" s="153">
        <v>3770</v>
      </c>
      <c r="V88" s="153">
        <v>3634</v>
      </c>
      <c r="W88" s="153">
        <v>3271</v>
      </c>
      <c r="X88" s="153">
        <v>2977</v>
      </c>
      <c r="Y88" s="153">
        <v>2626</v>
      </c>
      <c r="Z88" s="153" t="s">
        <v>267</v>
      </c>
      <c r="AA88" s="153" t="s">
        <v>267</v>
      </c>
      <c r="AB88" s="153">
        <v>2113</v>
      </c>
      <c r="AC88" s="153">
        <v>1453</v>
      </c>
    </row>
    <row r="89" spans="1:29" x14ac:dyDescent="0.3">
      <c r="B89" s="6" t="s">
        <v>254</v>
      </c>
      <c r="C89" s="7">
        <v>4063762</v>
      </c>
      <c r="D89" s="153">
        <v>7317</v>
      </c>
      <c r="E89" s="153">
        <v>10445</v>
      </c>
      <c r="F89" s="153">
        <v>9476</v>
      </c>
      <c r="G89" s="153">
        <v>7617</v>
      </c>
      <c r="H89" s="153">
        <v>5380</v>
      </c>
      <c r="I89" s="153">
        <v>4987</v>
      </c>
      <c r="J89" s="153">
        <v>5165</v>
      </c>
      <c r="K89" s="153">
        <v>9012</v>
      </c>
      <c r="L89" s="153">
        <v>4637</v>
      </c>
      <c r="M89" s="153">
        <v>2874</v>
      </c>
      <c r="N89" s="153">
        <v>2041</v>
      </c>
      <c r="O89" s="153">
        <v>459</v>
      </c>
      <c r="P89" s="153">
        <v>275</v>
      </c>
      <c r="Q89" s="153">
        <v>-620</v>
      </c>
      <c r="R89" s="153">
        <v>1886</v>
      </c>
      <c r="S89" s="153">
        <v>1964</v>
      </c>
      <c r="T89" s="153">
        <v>11127</v>
      </c>
      <c r="U89" s="153">
        <v>9785</v>
      </c>
      <c r="V89" s="153">
        <v>7902</v>
      </c>
      <c r="W89" s="153">
        <v>6652</v>
      </c>
      <c r="X89" s="153">
        <v>6247</v>
      </c>
      <c r="Y89" s="153">
        <v>6122</v>
      </c>
      <c r="Z89" s="153">
        <v>6204</v>
      </c>
      <c r="AA89" s="153">
        <v>7510</v>
      </c>
      <c r="AB89" s="153">
        <v>7134</v>
      </c>
      <c r="AC89" s="153" t="s">
        <v>267</v>
      </c>
    </row>
    <row r="90" spans="1:29" x14ac:dyDescent="0.3">
      <c r="B90" s="6" t="s">
        <v>256</v>
      </c>
      <c r="C90" s="7">
        <v>4058284</v>
      </c>
      <c r="D90" s="153">
        <v>46616</v>
      </c>
      <c r="E90" s="153">
        <v>42961</v>
      </c>
      <c r="F90" s="153">
        <v>35137</v>
      </c>
      <c r="G90" s="153">
        <v>31725</v>
      </c>
      <c r="H90" s="153">
        <v>25651</v>
      </c>
      <c r="I90" s="153">
        <v>28850</v>
      </c>
      <c r="J90" s="153">
        <v>25548</v>
      </c>
      <c r="K90" s="153">
        <v>21682</v>
      </c>
      <c r="L90" s="153">
        <v>18581</v>
      </c>
      <c r="M90" s="153">
        <v>28902</v>
      </c>
      <c r="N90" s="153">
        <v>25805</v>
      </c>
      <c r="O90" s="153">
        <v>28050</v>
      </c>
      <c r="P90" s="153">
        <v>5837</v>
      </c>
      <c r="Q90" s="153">
        <v>11132</v>
      </c>
      <c r="R90" s="153">
        <v>28000</v>
      </c>
      <c r="S90" s="153">
        <v>24842</v>
      </c>
      <c r="T90" s="153">
        <v>23484</v>
      </c>
      <c r="U90" s="153">
        <v>22159</v>
      </c>
      <c r="V90" s="153">
        <v>31765</v>
      </c>
      <c r="W90" s="153">
        <v>49299</v>
      </c>
      <c r="X90" s="153">
        <v>49539</v>
      </c>
      <c r="Y90" s="153">
        <v>49243</v>
      </c>
      <c r="Z90" s="153">
        <v>45220</v>
      </c>
      <c r="AA90" s="153">
        <v>43438</v>
      </c>
      <c r="AB90" s="153">
        <v>43661</v>
      </c>
      <c r="AC90" s="153">
        <v>39008</v>
      </c>
    </row>
    <row r="91" spans="1:29" x14ac:dyDescent="0.3">
      <c r="B91" s="6" t="s">
        <v>258</v>
      </c>
      <c r="C91" s="7">
        <v>4008752</v>
      </c>
      <c r="D91" s="153">
        <v>48867</v>
      </c>
      <c r="E91" s="153">
        <v>43290</v>
      </c>
      <c r="F91" s="153">
        <v>51133</v>
      </c>
      <c r="G91" s="153">
        <v>59381</v>
      </c>
      <c r="H91" s="153">
        <v>59722</v>
      </c>
      <c r="I91" s="153">
        <v>69976</v>
      </c>
      <c r="J91" s="153">
        <v>66112</v>
      </c>
      <c r="K91" s="153">
        <v>59324</v>
      </c>
      <c r="L91" s="153">
        <v>54584</v>
      </c>
      <c r="M91" s="153">
        <v>49597</v>
      </c>
      <c r="N91" s="153">
        <v>44692</v>
      </c>
      <c r="O91" s="153">
        <v>42450</v>
      </c>
      <c r="P91" s="153">
        <v>37032</v>
      </c>
      <c r="Q91" s="153">
        <v>33383</v>
      </c>
      <c r="R91" s="153">
        <v>29057</v>
      </c>
      <c r="S91" s="153">
        <v>27525</v>
      </c>
      <c r="T91" s="153">
        <v>23536</v>
      </c>
      <c r="U91" s="153">
        <v>22643</v>
      </c>
      <c r="V91" s="153">
        <v>66580</v>
      </c>
      <c r="W91" s="153">
        <v>73390</v>
      </c>
      <c r="X91" s="153">
        <v>63851</v>
      </c>
      <c r="Y91" s="153">
        <v>61181</v>
      </c>
      <c r="Z91" s="153">
        <v>56207</v>
      </c>
      <c r="AA91" s="153">
        <v>51877</v>
      </c>
      <c r="AB91" s="153">
        <v>61781</v>
      </c>
      <c r="AC91" s="153">
        <v>53157</v>
      </c>
    </row>
    <row r="92" spans="1:29" x14ac:dyDescent="0.3">
      <c r="B92" s="6" t="s">
        <v>259</v>
      </c>
      <c r="C92" s="7">
        <v>4008669</v>
      </c>
      <c r="D92" s="153">
        <v>4931</v>
      </c>
      <c r="E92" s="153">
        <v>4349</v>
      </c>
      <c r="F92" s="153">
        <v>3366</v>
      </c>
      <c r="G92" s="153">
        <v>5053</v>
      </c>
      <c r="H92" s="153">
        <v>5544</v>
      </c>
      <c r="I92" s="153">
        <v>5296</v>
      </c>
      <c r="J92" s="153">
        <v>5152</v>
      </c>
      <c r="K92" s="153">
        <v>4858</v>
      </c>
      <c r="L92" s="153">
        <v>4364</v>
      </c>
      <c r="M92" s="153">
        <v>3637</v>
      </c>
      <c r="N92" s="153">
        <v>3212</v>
      </c>
      <c r="O92" s="153">
        <v>3043</v>
      </c>
      <c r="P92" s="153">
        <v>2379</v>
      </c>
      <c r="Q92" s="153">
        <v>4896</v>
      </c>
      <c r="R92" s="153">
        <v>-6963</v>
      </c>
      <c r="S92" s="153">
        <v>9111</v>
      </c>
      <c r="T92" s="153">
        <v>7939</v>
      </c>
      <c r="U92" s="153">
        <v>6928</v>
      </c>
      <c r="V92" s="153">
        <v>7042</v>
      </c>
      <c r="W92" s="153">
        <v>5601</v>
      </c>
      <c r="X92" s="153">
        <v>4811</v>
      </c>
      <c r="Y92" s="153">
        <v>3042</v>
      </c>
      <c r="Z92" s="153">
        <v>3179</v>
      </c>
      <c r="AA92" s="153">
        <v>2629</v>
      </c>
      <c r="AB92" s="153">
        <v>2152</v>
      </c>
      <c r="AC92" s="153">
        <v>1880</v>
      </c>
    </row>
    <row r="93" spans="1:29" x14ac:dyDescent="0.3">
      <c r="B93" s="6" t="s">
        <v>298</v>
      </c>
      <c r="C93" s="7">
        <v>4076892</v>
      </c>
      <c r="D93" s="153">
        <v>2595</v>
      </c>
      <c r="E93" s="153">
        <v>2497</v>
      </c>
      <c r="F93" s="153">
        <v>2333</v>
      </c>
      <c r="G93" s="153">
        <v>2174</v>
      </c>
      <c r="H93" s="153">
        <v>2097</v>
      </c>
      <c r="I93" s="153">
        <v>1958</v>
      </c>
      <c r="J93" s="153">
        <v>1880</v>
      </c>
      <c r="K93" s="153">
        <v>1948</v>
      </c>
      <c r="L93" s="153">
        <v>1843</v>
      </c>
      <c r="M93" s="153">
        <v>1706</v>
      </c>
      <c r="N93" s="153">
        <v>1601</v>
      </c>
      <c r="O93" s="153">
        <v>1365</v>
      </c>
      <c r="P93" s="153">
        <v>1264</v>
      </c>
      <c r="Q93" s="153">
        <v>1323</v>
      </c>
      <c r="R93" s="153">
        <v>1309</v>
      </c>
      <c r="S93" s="153">
        <v>1268</v>
      </c>
      <c r="T93" s="153">
        <v>1220</v>
      </c>
      <c r="U93" s="153">
        <v>1216</v>
      </c>
      <c r="V93" s="153" t="s">
        <v>267</v>
      </c>
      <c r="W93" s="153" t="s">
        <v>267</v>
      </c>
      <c r="X93" s="153" t="s">
        <v>267</v>
      </c>
      <c r="Y93" s="153" t="s">
        <v>267</v>
      </c>
      <c r="Z93" s="153" t="s">
        <v>267</v>
      </c>
      <c r="AA93" s="153" t="s">
        <v>267</v>
      </c>
      <c r="AB93" s="153" t="s">
        <v>267</v>
      </c>
      <c r="AC93" s="153" t="s">
        <v>267</v>
      </c>
    </row>
    <row r="94" spans="1:29" x14ac:dyDescent="0.3">
      <c r="A94" s="1" t="s">
        <v>268</v>
      </c>
      <c r="B94" s="6" t="s">
        <v>261</v>
      </c>
      <c r="C94" s="7">
        <v>4064141</v>
      </c>
      <c r="D94" s="153">
        <v>34015</v>
      </c>
      <c r="E94" s="153">
        <v>29590</v>
      </c>
      <c r="F94" s="153">
        <v>26926</v>
      </c>
      <c r="G94" s="153">
        <v>28244</v>
      </c>
      <c r="H94" s="153">
        <v>26367</v>
      </c>
      <c r="I94" s="153">
        <v>27938</v>
      </c>
      <c r="J94" s="153">
        <v>25956</v>
      </c>
      <c r="K94" s="153">
        <v>43520</v>
      </c>
      <c r="L94" s="153">
        <v>38728</v>
      </c>
      <c r="M94" s="153">
        <v>35203</v>
      </c>
      <c r="N94" s="153">
        <v>30594</v>
      </c>
      <c r="O94" s="153">
        <v>30213</v>
      </c>
      <c r="P94" s="153">
        <v>56503</v>
      </c>
      <c r="Q94" s="153">
        <v>50882</v>
      </c>
      <c r="R94" s="153">
        <v>43671</v>
      </c>
      <c r="S94" s="153">
        <v>37642</v>
      </c>
      <c r="T94" s="153">
        <v>33109</v>
      </c>
      <c r="U94" s="153">
        <v>29686</v>
      </c>
      <c r="V94" s="153">
        <v>26384</v>
      </c>
      <c r="W94" s="153" t="s">
        <v>267</v>
      </c>
      <c r="X94" s="153" t="s">
        <v>267</v>
      </c>
      <c r="Y94" s="153">
        <v>12606</v>
      </c>
      <c r="Z94" s="153">
        <v>10549</v>
      </c>
      <c r="AA94" s="153">
        <v>9061</v>
      </c>
      <c r="AB94" s="153">
        <v>7550</v>
      </c>
      <c r="AC94" s="153">
        <v>9271</v>
      </c>
    </row>
  </sheetData>
  <conditionalFormatting sqref="D7:D207">
    <cfRule type="cellIs" dxfId="0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3:AD91"/>
  <sheetViews>
    <sheetView topLeftCell="B1" zoomScale="75" zoomScaleNormal="75" workbookViewId="0">
      <selection activeCell="B1" sqref="B1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7" width="19" style="1" customWidth="1"/>
    <col min="8" max="20" width="17.5546875" style="1" customWidth="1"/>
    <col min="21" max="21" width="19" style="1" customWidth="1"/>
    <col min="22" max="26" width="17.5546875" style="1" customWidth="1"/>
    <col min="27" max="16384" width="9.33203125" style="1"/>
  </cols>
  <sheetData>
    <row r="3" spans="1:30" ht="53.4" x14ac:dyDescent="0.3">
      <c r="D3" s="152" t="s">
        <v>314</v>
      </c>
      <c r="E3" s="9" t="s">
        <v>315</v>
      </c>
      <c r="F3" s="9" t="s">
        <v>316</v>
      </c>
      <c r="G3" s="9" t="s">
        <v>317</v>
      </c>
      <c r="H3" s="9" t="s">
        <v>318</v>
      </c>
      <c r="I3" s="9" t="s">
        <v>319</v>
      </c>
      <c r="J3" s="9" t="s">
        <v>320</v>
      </c>
      <c r="K3" s="9" t="s">
        <v>321</v>
      </c>
      <c r="L3" s="9" t="s">
        <v>322</v>
      </c>
      <c r="M3" s="9" t="s">
        <v>323</v>
      </c>
      <c r="N3" s="9" t="s">
        <v>324</v>
      </c>
      <c r="O3" s="9" t="s">
        <v>325</v>
      </c>
      <c r="P3" s="9" t="s">
        <v>326</v>
      </c>
      <c r="Q3" s="9" t="s">
        <v>327</v>
      </c>
      <c r="R3" s="9" t="s">
        <v>328</v>
      </c>
      <c r="S3" s="9" t="s">
        <v>329</v>
      </c>
      <c r="T3" s="9" t="s">
        <v>330</v>
      </c>
      <c r="U3" s="9" t="s">
        <v>331</v>
      </c>
      <c r="V3" s="9" t="s">
        <v>332</v>
      </c>
      <c r="W3" s="9" t="s">
        <v>333</v>
      </c>
      <c r="X3" s="9" t="s">
        <v>334</v>
      </c>
      <c r="Y3" s="9" t="s">
        <v>335</v>
      </c>
      <c r="Z3" s="9" t="s">
        <v>336</v>
      </c>
      <c r="AA3" s="1" t="s">
        <v>337</v>
      </c>
      <c r="AB3" s="1" t="s">
        <v>338</v>
      </c>
      <c r="AC3" s="1" t="s">
        <v>339</v>
      </c>
      <c r="AD3" s="1" t="s">
        <v>340</v>
      </c>
    </row>
    <row r="4" spans="1:30" ht="28.8" x14ac:dyDescent="0.3">
      <c r="B4" s="2"/>
      <c r="C4" s="2"/>
      <c r="D4" s="152" t="s">
        <v>341</v>
      </c>
      <c r="E4" s="9" t="s">
        <v>342</v>
      </c>
      <c r="F4" s="9" t="s">
        <v>342</v>
      </c>
      <c r="G4" s="9" t="s">
        <v>342</v>
      </c>
      <c r="H4" s="9" t="s">
        <v>342</v>
      </c>
      <c r="I4" s="9" t="s">
        <v>342</v>
      </c>
      <c r="J4" s="9" t="s">
        <v>342</v>
      </c>
      <c r="K4" s="9" t="s">
        <v>342</v>
      </c>
      <c r="L4" s="9" t="s">
        <v>342</v>
      </c>
      <c r="M4" s="9" t="s">
        <v>342</v>
      </c>
      <c r="N4" s="9" t="s">
        <v>342</v>
      </c>
      <c r="O4" s="9" t="s">
        <v>342</v>
      </c>
      <c r="P4" s="9" t="s">
        <v>342</v>
      </c>
      <c r="Q4" s="9" t="s">
        <v>342</v>
      </c>
      <c r="R4" s="9" t="s">
        <v>342</v>
      </c>
      <c r="S4" s="9" t="s">
        <v>342</v>
      </c>
      <c r="T4" s="9" t="s">
        <v>342</v>
      </c>
      <c r="U4" s="9" t="s">
        <v>342</v>
      </c>
      <c r="V4" s="9" t="s">
        <v>342</v>
      </c>
      <c r="W4" s="9" t="s">
        <v>342</v>
      </c>
      <c r="X4" s="9" t="s">
        <v>342</v>
      </c>
      <c r="Y4" s="9" t="s">
        <v>342</v>
      </c>
      <c r="Z4" s="9" t="s">
        <v>342</v>
      </c>
      <c r="AA4" s="1" t="s">
        <v>342</v>
      </c>
      <c r="AB4" s="1" t="s">
        <v>342</v>
      </c>
      <c r="AC4" s="1" t="s">
        <v>342</v>
      </c>
      <c r="AD4" s="1" t="s">
        <v>342</v>
      </c>
    </row>
    <row r="5" spans="1:30" ht="14.4" x14ac:dyDescent="0.3">
      <c r="A5" s="3" t="s">
        <v>264</v>
      </c>
      <c r="B5" s="4" t="s">
        <v>265</v>
      </c>
      <c r="C5" s="5" t="s">
        <v>64</v>
      </c>
      <c r="D5" s="152" t="s">
        <v>177</v>
      </c>
      <c r="E5" s="9" t="s">
        <v>176</v>
      </c>
      <c r="F5" s="9" t="s">
        <v>175</v>
      </c>
      <c r="G5" s="9" t="s">
        <v>174</v>
      </c>
      <c r="H5" s="9" t="s">
        <v>173</v>
      </c>
      <c r="I5" s="9" t="s">
        <v>172</v>
      </c>
      <c r="J5" s="9" t="s">
        <v>171</v>
      </c>
      <c r="K5" s="9" t="s">
        <v>170</v>
      </c>
      <c r="L5" s="9" t="s">
        <v>169</v>
      </c>
      <c r="M5" s="9" t="s">
        <v>168</v>
      </c>
      <c r="N5" s="9" t="s">
        <v>167</v>
      </c>
      <c r="O5" s="9" t="s">
        <v>166</v>
      </c>
      <c r="P5" s="9" t="s">
        <v>165</v>
      </c>
      <c r="Q5" s="9" t="s">
        <v>164</v>
      </c>
      <c r="R5" s="9" t="s">
        <v>163</v>
      </c>
      <c r="S5" s="9" t="s">
        <v>162</v>
      </c>
      <c r="T5" s="9" t="s">
        <v>161</v>
      </c>
      <c r="U5" s="9" t="s">
        <v>160</v>
      </c>
      <c r="V5" s="9" t="s">
        <v>159</v>
      </c>
      <c r="W5" s="9" t="s">
        <v>158</v>
      </c>
      <c r="X5" s="9" t="s">
        <v>157</v>
      </c>
      <c r="Y5" s="9" t="s">
        <v>156</v>
      </c>
      <c r="Z5" s="9" t="s">
        <v>155</v>
      </c>
      <c r="AA5" s="1" t="s">
        <v>150</v>
      </c>
      <c r="AB5" s="1" t="s">
        <v>305</v>
      </c>
      <c r="AC5" s="1" t="s">
        <v>306</v>
      </c>
      <c r="AD5" s="1" t="s">
        <v>307</v>
      </c>
    </row>
    <row r="6" spans="1:30" x14ac:dyDescent="0.25">
      <c r="B6" s="2"/>
      <c r="C6" s="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0" x14ac:dyDescent="0.25">
      <c r="B7" s="6" t="s">
        <v>266</v>
      </c>
      <c r="C7" s="7">
        <v>4058513</v>
      </c>
      <c r="D7" s="151" t="s">
        <v>267</v>
      </c>
      <c r="E7" s="151" t="s">
        <v>267</v>
      </c>
      <c r="F7" s="151" t="s">
        <v>267</v>
      </c>
      <c r="G7" s="151" t="s">
        <v>267</v>
      </c>
      <c r="H7" s="151">
        <v>8904</v>
      </c>
      <c r="I7" s="151">
        <v>4226</v>
      </c>
      <c r="J7" s="151">
        <v>4502</v>
      </c>
      <c r="K7" s="151">
        <v>4013</v>
      </c>
      <c r="L7" s="151">
        <v>3396</v>
      </c>
      <c r="M7" s="151">
        <v>2259</v>
      </c>
      <c r="N7" s="151">
        <v>2122</v>
      </c>
      <c r="O7" s="151">
        <v>3110</v>
      </c>
      <c r="P7" s="151">
        <v>3606</v>
      </c>
      <c r="Q7" s="151">
        <v>2853</v>
      </c>
      <c r="R7" s="151">
        <v>3257</v>
      </c>
      <c r="S7" s="151">
        <v>2875</v>
      </c>
      <c r="T7" s="151">
        <v>2826</v>
      </c>
      <c r="U7" s="151">
        <v>1937</v>
      </c>
      <c r="V7" s="151">
        <v>1305</v>
      </c>
      <c r="W7" s="151">
        <v>1902</v>
      </c>
      <c r="X7" s="151" t="s">
        <v>267</v>
      </c>
      <c r="Y7" s="151" t="s">
        <v>267</v>
      </c>
      <c r="Z7" s="151" t="s">
        <v>267</v>
      </c>
      <c r="AA7" s="1" t="s">
        <v>267</v>
      </c>
      <c r="AB7" s="1" t="s">
        <v>267</v>
      </c>
      <c r="AC7" s="1" t="s">
        <v>267</v>
      </c>
      <c r="AD7" s="1" t="s">
        <v>267</v>
      </c>
    </row>
    <row r="8" spans="1:30" x14ac:dyDescent="0.25">
      <c r="B8" s="6" t="s">
        <v>148</v>
      </c>
      <c r="C8" s="7">
        <v>4054707</v>
      </c>
      <c r="D8" s="151">
        <v>262371</v>
      </c>
      <c r="E8" s="151">
        <v>163650</v>
      </c>
      <c r="F8" s="151">
        <v>210651</v>
      </c>
      <c r="G8" s="151">
        <v>199177</v>
      </c>
      <c r="H8" s="151">
        <v>197431</v>
      </c>
      <c r="I8" s="151">
        <v>197690</v>
      </c>
      <c r="J8" s="151">
        <v>225205</v>
      </c>
      <c r="K8" s="151">
        <v>176212</v>
      </c>
      <c r="L8" s="151">
        <v>143553</v>
      </c>
      <c r="M8" s="151">
        <v>69639</v>
      </c>
      <c r="N8" s="151">
        <v>223485</v>
      </c>
      <c r="O8" s="151">
        <v>112536</v>
      </c>
      <c r="P8" s="151">
        <v>175450</v>
      </c>
      <c r="Q8" s="151">
        <v>125734</v>
      </c>
      <c r="R8" s="151">
        <v>90558</v>
      </c>
      <c r="S8" s="151">
        <v>70711</v>
      </c>
      <c r="T8" s="151">
        <v>156227</v>
      </c>
      <c r="U8" s="151">
        <v>89428</v>
      </c>
      <c r="V8" s="151">
        <v>79948</v>
      </c>
      <c r="W8" s="151">
        <v>96943</v>
      </c>
      <c r="X8" s="151">
        <v>92757</v>
      </c>
      <c r="Y8" s="151">
        <v>96835</v>
      </c>
      <c r="Z8" s="151">
        <v>109283</v>
      </c>
      <c r="AA8" s="1">
        <v>84798</v>
      </c>
      <c r="AB8" s="1">
        <v>0</v>
      </c>
      <c r="AC8" s="1">
        <v>0</v>
      </c>
      <c r="AD8" s="1">
        <v>0</v>
      </c>
    </row>
    <row r="9" spans="1:30" x14ac:dyDescent="0.25">
      <c r="B9" s="6" t="s">
        <v>179</v>
      </c>
      <c r="C9" s="7">
        <v>4057075</v>
      </c>
      <c r="D9" s="151">
        <v>15077</v>
      </c>
      <c r="E9" s="151">
        <v>83187</v>
      </c>
      <c r="F9" s="151">
        <v>96658</v>
      </c>
      <c r="G9" s="151">
        <v>96973</v>
      </c>
      <c r="H9" s="151">
        <v>82850</v>
      </c>
      <c r="I9" s="151">
        <v>78774</v>
      </c>
      <c r="J9" s="151">
        <v>70596</v>
      </c>
      <c r="K9" s="151">
        <v>52761</v>
      </c>
      <c r="L9" s="151">
        <v>62293</v>
      </c>
      <c r="M9" s="151">
        <v>24260</v>
      </c>
      <c r="N9" s="151">
        <v>34464</v>
      </c>
      <c r="O9" s="151">
        <v>26396</v>
      </c>
      <c r="P9" s="151">
        <v>35762</v>
      </c>
      <c r="Q9" s="151">
        <v>54381</v>
      </c>
      <c r="R9" s="151">
        <v>46636</v>
      </c>
      <c r="S9" s="151">
        <v>33443</v>
      </c>
      <c r="T9" s="151">
        <v>24415</v>
      </c>
      <c r="U9" s="151">
        <v>20977</v>
      </c>
      <c r="V9" s="151">
        <v>20064</v>
      </c>
      <c r="W9" s="151">
        <v>16713</v>
      </c>
      <c r="X9" s="151">
        <v>16438</v>
      </c>
      <c r="Y9" s="151">
        <v>24644</v>
      </c>
      <c r="Z9" s="151">
        <v>20879</v>
      </c>
      <c r="AA9" s="1">
        <v>24460</v>
      </c>
      <c r="AB9" s="1" t="s">
        <v>267</v>
      </c>
      <c r="AC9" s="1">
        <v>0</v>
      </c>
      <c r="AD9" s="1">
        <v>0</v>
      </c>
    </row>
    <row r="10" spans="1:30" x14ac:dyDescent="0.25">
      <c r="A10" s="1" t="s">
        <v>268</v>
      </c>
      <c r="B10" s="6" t="s">
        <v>181</v>
      </c>
      <c r="C10" s="7">
        <v>4007784</v>
      </c>
      <c r="D10" s="151">
        <v>401846.52</v>
      </c>
      <c r="E10" s="151">
        <v>336562</v>
      </c>
      <c r="F10" s="151">
        <v>399000</v>
      </c>
      <c r="G10" s="151">
        <v>253684</v>
      </c>
      <c r="H10" s="151">
        <v>232572</v>
      </c>
      <c r="I10" s="151">
        <v>222151</v>
      </c>
      <c r="J10" s="151">
        <v>195451</v>
      </c>
      <c r="K10" s="151">
        <v>108610</v>
      </c>
      <c r="L10" s="151">
        <v>111865</v>
      </c>
      <c r="M10" s="151">
        <v>164182</v>
      </c>
      <c r="N10" s="151">
        <v>74924</v>
      </c>
      <c r="O10" s="151">
        <v>61438</v>
      </c>
      <c r="P10" s="151">
        <v>43244</v>
      </c>
      <c r="Q10" s="151">
        <v>48406</v>
      </c>
      <c r="R10" s="151">
        <v>40267</v>
      </c>
      <c r="S10" s="151">
        <v>40545</v>
      </c>
      <c r="T10" s="151">
        <v>41985</v>
      </c>
      <c r="U10" s="151">
        <v>36090</v>
      </c>
      <c r="V10" s="151">
        <v>36538</v>
      </c>
      <c r="W10" s="151">
        <v>38181</v>
      </c>
      <c r="X10" s="151">
        <v>44374</v>
      </c>
      <c r="Y10" s="151">
        <v>48342</v>
      </c>
      <c r="Z10" s="151">
        <v>54256</v>
      </c>
      <c r="AA10" s="1">
        <v>73204</v>
      </c>
      <c r="AB10" s="1" t="s">
        <v>267</v>
      </c>
      <c r="AC10" s="1" t="s">
        <v>267</v>
      </c>
      <c r="AD10" s="1">
        <v>78002</v>
      </c>
    </row>
    <row r="11" spans="1:30" x14ac:dyDescent="0.25">
      <c r="A11" s="1" t="s">
        <v>268</v>
      </c>
      <c r="B11" s="6" t="s">
        <v>269</v>
      </c>
      <c r="C11" s="7">
        <v>4058656</v>
      </c>
      <c r="D11" s="151" t="s">
        <v>267</v>
      </c>
      <c r="E11" s="151">
        <v>57032</v>
      </c>
      <c r="F11" s="151">
        <v>332981</v>
      </c>
      <c r="G11" s="151">
        <v>131256</v>
      </c>
      <c r="H11" s="151">
        <v>117081</v>
      </c>
      <c r="I11" s="151">
        <v>120067</v>
      </c>
      <c r="J11" s="151">
        <v>72338</v>
      </c>
      <c r="K11" s="151">
        <v>98296</v>
      </c>
      <c r="L11" s="151">
        <v>53926</v>
      </c>
      <c r="M11" s="151">
        <v>65105</v>
      </c>
      <c r="N11" s="151">
        <v>49525</v>
      </c>
      <c r="O11" s="151">
        <v>34792</v>
      </c>
      <c r="P11" s="151">
        <v>44981</v>
      </c>
      <c r="Q11" s="151">
        <v>52662</v>
      </c>
      <c r="R11" s="151">
        <v>51131</v>
      </c>
      <c r="S11" s="151">
        <v>54619</v>
      </c>
      <c r="T11" s="151">
        <v>29428</v>
      </c>
      <c r="U11" s="151">
        <v>18850</v>
      </c>
      <c r="V11" s="151">
        <v>17166</v>
      </c>
      <c r="W11" s="151">
        <v>15710</v>
      </c>
      <c r="X11" s="151">
        <v>16448</v>
      </c>
      <c r="Y11" s="151" t="s">
        <v>267</v>
      </c>
      <c r="Z11" s="151">
        <v>14893</v>
      </c>
      <c r="AA11" s="1" t="s">
        <v>267</v>
      </c>
      <c r="AB11" s="1" t="s">
        <v>267</v>
      </c>
      <c r="AC11" s="1" t="s">
        <v>267</v>
      </c>
      <c r="AD11" s="1" t="s">
        <v>267</v>
      </c>
    </row>
    <row r="12" spans="1:30" x14ac:dyDescent="0.25">
      <c r="A12" s="1" t="s">
        <v>268</v>
      </c>
      <c r="B12" s="6" t="s">
        <v>186</v>
      </c>
      <c r="C12" s="7">
        <v>4057110</v>
      </c>
      <c r="D12" s="151">
        <v>876</v>
      </c>
      <c r="E12" s="151">
        <v>4902</v>
      </c>
      <c r="F12" s="151">
        <v>4079</v>
      </c>
      <c r="G12" s="151">
        <v>4956</v>
      </c>
      <c r="H12" s="151">
        <v>4743</v>
      </c>
      <c r="I12" s="151">
        <v>5372</v>
      </c>
      <c r="J12" s="151">
        <v>4286</v>
      </c>
      <c r="K12" s="151">
        <v>4788</v>
      </c>
      <c r="L12" s="151">
        <v>6163</v>
      </c>
      <c r="M12" s="151">
        <v>4877</v>
      </c>
      <c r="N12" s="151">
        <v>3244</v>
      </c>
      <c r="O12" s="151">
        <v>2721</v>
      </c>
      <c r="P12" s="151">
        <v>2270</v>
      </c>
      <c r="Q12" s="151">
        <v>3233</v>
      </c>
      <c r="R12" s="151">
        <v>2552</v>
      </c>
      <c r="S12" s="151">
        <v>2166</v>
      </c>
      <c r="T12" s="151">
        <v>2187</v>
      </c>
      <c r="U12" s="151">
        <v>2293</v>
      </c>
      <c r="V12" s="151">
        <v>1597</v>
      </c>
      <c r="W12" s="151">
        <v>1930</v>
      </c>
      <c r="X12" s="151">
        <v>2035</v>
      </c>
      <c r="Y12" s="151">
        <v>2234</v>
      </c>
      <c r="Z12" s="151">
        <v>1884</v>
      </c>
      <c r="AA12" s="1">
        <v>5166</v>
      </c>
      <c r="AB12" s="1" t="s">
        <v>267</v>
      </c>
      <c r="AC12" s="1" t="s">
        <v>267</v>
      </c>
      <c r="AD12" s="1" t="s">
        <v>267</v>
      </c>
    </row>
    <row r="13" spans="1:30" x14ac:dyDescent="0.25">
      <c r="B13" s="6" t="s">
        <v>188</v>
      </c>
      <c r="C13" s="7">
        <v>4058516</v>
      </c>
      <c r="D13" s="151">
        <v>58721</v>
      </c>
      <c r="E13" s="151">
        <v>23450</v>
      </c>
      <c r="F13" s="151">
        <v>22039</v>
      </c>
      <c r="G13" s="151">
        <v>17938</v>
      </c>
      <c r="H13" s="151">
        <v>32070</v>
      </c>
      <c r="I13" s="151">
        <v>35697</v>
      </c>
      <c r="J13" s="151">
        <v>24837</v>
      </c>
      <c r="K13" s="151">
        <v>16710</v>
      </c>
      <c r="L13" s="151">
        <v>15461</v>
      </c>
      <c r="M13" s="151">
        <v>15379</v>
      </c>
      <c r="N13" s="151">
        <v>11183</v>
      </c>
      <c r="O13" s="151">
        <v>5455</v>
      </c>
      <c r="P13" s="151">
        <v>3673</v>
      </c>
      <c r="Q13" s="151">
        <v>1868</v>
      </c>
      <c r="R13" s="151">
        <v>5232</v>
      </c>
      <c r="S13" s="151">
        <v>7575</v>
      </c>
      <c r="T13" s="151">
        <v>7170</v>
      </c>
      <c r="U13" s="151">
        <v>5319</v>
      </c>
      <c r="V13" s="151">
        <v>4413</v>
      </c>
      <c r="W13" s="151">
        <v>3179</v>
      </c>
      <c r="X13" s="151">
        <v>2569</v>
      </c>
      <c r="Y13" s="151">
        <v>3129</v>
      </c>
      <c r="Z13" s="151">
        <v>4408</v>
      </c>
      <c r="AA13" s="1">
        <v>5691</v>
      </c>
      <c r="AB13" s="1">
        <v>0</v>
      </c>
      <c r="AC13" s="1">
        <v>0</v>
      </c>
      <c r="AD13" s="1">
        <v>0</v>
      </c>
    </row>
    <row r="14" spans="1:30" x14ac:dyDescent="0.25">
      <c r="B14" s="6" t="s">
        <v>190</v>
      </c>
      <c r="C14" s="7">
        <v>4058793</v>
      </c>
      <c r="D14" s="151">
        <v>2314</v>
      </c>
      <c r="E14" s="151">
        <v>2423</v>
      </c>
      <c r="F14" s="151">
        <v>1570</v>
      </c>
      <c r="G14" s="151">
        <v>1603</v>
      </c>
      <c r="H14" s="151">
        <v>68</v>
      </c>
      <c r="I14" s="151">
        <v>465</v>
      </c>
      <c r="J14" s="151">
        <v>270</v>
      </c>
      <c r="K14" s="151">
        <v>103</v>
      </c>
      <c r="L14" s="151">
        <v>56</v>
      </c>
      <c r="M14" s="151">
        <v>420</v>
      </c>
      <c r="N14" s="151">
        <v>226</v>
      </c>
      <c r="O14" s="151">
        <v>202</v>
      </c>
      <c r="P14" s="151">
        <v>440</v>
      </c>
      <c r="Q14" s="151">
        <v>366</v>
      </c>
      <c r="R14" s="151">
        <v>374</v>
      </c>
      <c r="S14" s="151">
        <v>466</v>
      </c>
      <c r="T14" s="151">
        <v>652</v>
      </c>
      <c r="U14" s="151">
        <v>748</v>
      </c>
      <c r="V14" s="151">
        <v>391</v>
      </c>
      <c r="W14" s="151">
        <v>475</v>
      </c>
      <c r="X14" s="151">
        <v>613</v>
      </c>
      <c r="Y14" s="151">
        <v>409</v>
      </c>
      <c r="Z14" s="151">
        <v>483</v>
      </c>
      <c r="AA14" s="1">
        <v>440</v>
      </c>
      <c r="AB14" s="1" t="s">
        <v>267</v>
      </c>
      <c r="AC14" s="1" t="s">
        <v>267</v>
      </c>
      <c r="AD14" s="1" t="s">
        <v>267</v>
      </c>
    </row>
    <row r="15" spans="1:30" x14ac:dyDescent="0.25">
      <c r="A15" s="1" t="s">
        <v>268</v>
      </c>
      <c r="B15" s="6" t="s">
        <v>192</v>
      </c>
      <c r="C15" s="7">
        <v>4057111</v>
      </c>
      <c r="D15" s="151">
        <v>170443.24400000001</v>
      </c>
      <c r="E15" s="151">
        <v>115249</v>
      </c>
      <c r="F15" s="151">
        <v>120908</v>
      </c>
      <c r="G15" s="151">
        <v>90088</v>
      </c>
      <c r="H15" s="151">
        <v>99053</v>
      </c>
      <c r="I15" s="151">
        <v>86820</v>
      </c>
      <c r="J15" s="151">
        <v>80387</v>
      </c>
      <c r="K15" s="151">
        <v>85068</v>
      </c>
      <c r="L15" s="151">
        <v>56659</v>
      </c>
      <c r="M15" s="151">
        <v>91463</v>
      </c>
      <c r="N15" s="151">
        <v>88772</v>
      </c>
      <c r="O15" s="151">
        <v>82414</v>
      </c>
      <c r="P15" s="151">
        <v>102421</v>
      </c>
      <c r="Q15" s="151">
        <v>71787</v>
      </c>
      <c r="R15" s="151">
        <v>48309</v>
      </c>
      <c r="S15" s="151">
        <v>50191</v>
      </c>
      <c r="T15" s="151">
        <v>26478</v>
      </c>
      <c r="U15" s="151">
        <v>57010</v>
      </c>
      <c r="V15" s="151">
        <v>42717</v>
      </c>
      <c r="W15" s="151">
        <v>96693</v>
      </c>
      <c r="X15" s="151">
        <v>95946</v>
      </c>
      <c r="Y15" s="151">
        <v>59222</v>
      </c>
      <c r="Z15" s="151">
        <v>44686</v>
      </c>
      <c r="AA15" s="1">
        <v>49200</v>
      </c>
      <c r="AB15" s="1">
        <v>0</v>
      </c>
      <c r="AC15" s="1">
        <v>0</v>
      </c>
      <c r="AD15" s="1">
        <v>0</v>
      </c>
    </row>
    <row r="16" spans="1:30" x14ac:dyDescent="0.25">
      <c r="A16" s="1" t="s">
        <v>268</v>
      </c>
      <c r="B16" s="6" t="s">
        <v>193</v>
      </c>
      <c r="C16" s="7">
        <v>4018679</v>
      </c>
      <c r="D16" s="151">
        <v>476594</v>
      </c>
      <c r="E16" s="151">
        <v>370927</v>
      </c>
      <c r="F16" s="151">
        <v>899746</v>
      </c>
      <c r="G16" s="151">
        <v>627568</v>
      </c>
      <c r="H16" s="151">
        <v>443763</v>
      </c>
      <c r="I16" s="151">
        <v>257319</v>
      </c>
      <c r="J16" s="151">
        <v>268204</v>
      </c>
      <c r="K16" s="151">
        <v>309923</v>
      </c>
      <c r="L16" s="151">
        <v>94476</v>
      </c>
      <c r="M16" s="151">
        <v>114225</v>
      </c>
      <c r="N16" s="151">
        <v>161069</v>
      </c>
      <c r="O16" s="151">
        <v>155300</v>
      </c>
      <c r="P16" s="151">
        <v>126296</v>
      </c>
      <c r="Q16" s="151">
        <v>179733</v>
      </c>
      <c r="R16" s="151">
        <v>108370</v>
      </c>
      <c r="S16" s="151">
        <v>133989</v>
      </c>
      <c r="T16" s="151">
        <v>110310</v>
      </c>
      <c r="U16" s="151">
        <v>146160</v>
      </c>
      <c r="V16" s="151">
        <v>130161</v>
      </c>
      <c r="W16" s="151">
        <v>112651</v>
      </c>
      <c r="X16" s="151">
        <v>67776</v>
      </c>
      <c r="Y16" s="151">
        <v>94562</v>
      </c>
      <c r="Z16" s="151">
        <v>88293</v>
      </c>
      <c r="AA16" s="1">
        <v>72879</v>
      </c>
      <c r="AB16" s="1">
        <v>0</v>
      </c>
      <c r="AC16" s="1">
        <v>0</v>
      </c>
      <c r="AD16" s="1">
        <v>0</v>
      </c>
    </row>
    <row r="17" spans="1:30" x14ac:dyDescent="0.25">
      <c r="B17" s="6" t="s">
        <v>195</v>
      </c>
      <c r="C17" s="7">
        <v>4057112</v>
      </c>
      <c r="D17" s="151">
        <v>56437</v>
      </c>
      <c r="E17" s="151">
        <v>96416</v>
      </c>
      <c r="F17" s="151">
        <v>73360</v>
      </c>
      <c r="G17" s="151">
        <v>88477</v>
      </c>
      <c r="H17" s="151">
        <v>64716</v>
      </c>
      <c r="I17" s="151">
        <v>53044</v>
      </c>
      <c r="J17" s="151">
        <v>58575</v>
      </c>
      <c r="K17" s="151">
        <v>26317</v>
      </c>
      <c r="L17" s="151">
        <v>25482</v>
      </c>
      <c r="M17" s="151">
        <v>28477</v>
      </c>
      <c r="N17" s="151">
        <v>14019</v>
      </c>
      <c r="O17" s="151">
        <v>7534</v>
      </c>
      <c r="P17" s="151">
        <v>9872</v>
      </c>
      <c r="Q17" s="151">
        <v>20724</v>
      </c>
      <c r="R17" s="151">
        <v>24566</v>
      </c>
      <c r="S17" s="151">
        <v>18247</v>
      </c>
      <c r="T17" s="151">
        <v>20988</v>
      </c>
      <c r="U17" s="151">
        <v>29310</v>
      </c>
      <c r="V17" s="151">
        <v>22030</v>
      </c>
      <c r="W17" s="151">
        <v>14800</v>
      </c>
      <c r="X17" s="151">
        <v>14397</v>
      </c>
      <c r="Y17" s="151">
        <v>16919</v>
      </c>
      <c r="Z17" s="151">
        <v>20610</v>
      </c>
      <c r="AA17" s="1">
        <v>23848</v>
      </c>
      <c r="AB17" s="1">
        <v>0</v>
      </c>
      <c r="AC17" s="1">
        <v>0</v>
      </c>
      <c r="AD17" s="1">
        <v>0</v>
      </c>
    </row>
    <row r="18" spans="1:30" x14ac:dyDescent="0.25">
      <c r="A18" s="1" t="s">
        <v>268</v>
      </c>
      <c r="B18" s="6" t="s">
        <v>196</v>
      </c>
      <c r="C18" s="7">
        <v>4057076</v>
      </c>
      <c r="D18" s="151">
        <v>59179</v>
      </c>
      <c r="E18" s="151" t="s">
        <v>267</v>
      </c>
      <c r="F18" s="151">
        <v>53165</v>
      </c>
      <c r="G18" s="151">
        <v>67272</v>
      </c>
      <c r="H18" s="151">
        <v>48366</v>
      </c>
      <c r="I18" s="151">
        <v>43308</v>
      </c>
      <c r="J18" s="151">
        <v>36670</v>
      </c>
      <c r="K18" s="151">
        <v>23525</v>
      </c>
      <c r="L18" s="151">
        <v>36005</v>
      </c>
      <c r="M18" s="151">
        <v>19448</v>
      </c>
      <c r="N18" s="151">
        <v>13088</v>
      </c>
      <c r="O18" s="151">
        <v>10974</v>
      </c>
      <c r="P18" s="151">
        <v>17213</v>
      </c>
      <c r="Q18" s="151">
        <v>14866</v>
      </c>
      <c r="R18" s="151">
        <v>12228</v>
      </c>
      <c r="S18" s="151">
        <v>12556</v>
      </c>
      <c r="T18" s="151">
        <v>12340</v>
      </c>
      <c r="U18" s="151">
        <v>15738</v>
      </c>
      <c r="V18" s="151">
        <v>10063</v>
      </c>
      <c r="W18" s="151">
        <v>8861</v>
      </c>
      <c r="X18" s="151">
        <v>7022</v>
      </c>
      <c r="Y18" s="151">
        <v>7529</v>
      </c>
      <c r="Z18" s="151">
        <v>6332</v>
      </c>
      <c r="AA18" s="1">
        <v>7337</v>
      </c>
      <c r="AB18" s="1">
        <v>0</v>
      </c>
      <c r="AC18" s="1">
        <v>0</v>
      </c>
      <c r="AD18" s="1">
        <v>0</v>
      </c>
    </row>
    <row r="19" spans="1:30" x14ac:dyDescent="0.25">
      <c r="B19" s="6" t="s">
        <v>270</v>
      </c>
      <c r="C19" s="7">
        <v>4059166</v>
      </c>
      <c r="D19" s="151" t="s">
        <v>267</v>
      </c>
      <c r="E19" s="151">
        <v>15892</v>
      </c>
      <c r="F19" s="151">
        <v>48213</v>
      </c>
      <c r="G19" s="151">
        <v>4426</v>
      </c>
      <c r="H19" s="151">
        <v>9349</v>
      </c>
      <c r="I19" s="151">
        <v>9850</v>
      </c>
      <c r="J19" s="151">
        <v>13147</v>
      </c>
      <c r="K19" s="151">
        <v>19657</v>
      </c>
      <c r="L19" s="151">
        <v>4125</v>
      </c>
      <c r="M19" s="151">
        <v>4387</v>
      </c>
      <c r="N19" s="151">
        <v>8001</v>
      </c>
      <c r="O19" s="151">
        <v>1525</v>
      </c>
      <c r="P19" s="151">
        <v>9832</v>
      </c>
      <c r="Q19" s="151">
        <v>6035</v>
      </c>
      <c r="R19" s="151">
        <v>4989</v>
      </c>
      <c r="S19" s="151">
        <v>6699</v>
      </c>
      <c r="T19" s="151">
        <v>2283</v>
      </c>
      <c r="U19" s="151">
        <v>4200</v>
      </c>
      <c r="V19" s="151">
        <v>3507</v>
      </c>
      <c r="W19" s="151">
        <v>1366</v>
      </c>
      <c r="X19" s="151">
        <v>4537</v>
      </c>
      <c r="Y19" s="151">
        <v>3111</v>
      </c>
      <c r="Z19" s="151" t="s">
        <v>267</v>
      </c>
      <c r="AA19" s="1" t="s">
        <v>267</v>
      </c>
      <c r="AB19" s="1">
        <v>0</v>
      </c>
      <c r="AC19" s="1">
        <v>0</v>
      </c>
      <c r="AD19" s="1">
        <v>0</v>
      </c>
    </row>
    <row r="20" spans="1:30" x14ac:dyDescent="0.25">
      <c r="B20" s="6" t="s">
        <v>271</v>
      </c>
      <c r="C20" s="7">
        <v>4059227</v>
      </c>
      <c r="D20" s="151" t="s">
        <v>267</v>
      </c>
      <c r="E20" s="151">
        <v>699</v>
      </c>
      <c r="F20" s="151">
        <v>535</v>
      </c>
      <c r="G20" s="151">
        <v>602</v>
      </c>
      <c r="H20" s="151">
        <v>759</v>
      </c>
      <c r="I20" s="151">
        <v>725</v>
      </c>
      <c r="J20" s="151">
        <v>424</v>
      </c>
      <c r="K20" s="151">
        <v>62</v>
      </c>
      <c r="L20" s="151">
        <v>911</v>
      </c>
      <c r="M20" s="151">
        <v>274</v>
      </c>
      <c r="N20" s="151">
        <v>366</v>
      </c>
      <c r="O20" s="151">
        <v>521</v>
      </c>
      <c r="P20" s="151">
        <v>287</v>
      </c>
      <c r="Q20" s="151">
        <v>700</v>
      </c>
      <c r="R20" s="151">
        <v>63</v>
      </c>
      <c r="S20" s="151">
        <v>456</v>
      </c>
      <c r="T20" s="151">
        <v>387</v>
      </c>
      <c r="U20" s="151" t="s">
        <v>267</v>
      </c>
      <c r="V20" s="151">
        <v>356</v>
      </c>
      <c r="W20" s="151">
        <v>597</v>
      </c>
      <c r="X20" s="151" t="s">
        <v>267</v>
      </c>
      <c r="Y20" s="151">
        <v>520</v>
      </c>
      <c r="Z20" s="151" t="s">
        <v>267</v>
      </c>
      <c r="AA20" s="1" t="s">
        <v>267</v>
      </c>
      <c r="AB20" s="1" t="s">
        <v>267</v>
      </c>
      <c r="AC20" s="1">
        <v>0</v>
      </c>
      <c r="AD20" s="1">
        <v>0</v>
      </c>
    </row>
    <row r="21" spans="1:30" x14ac:dyDescent="0.25">
      <c r="A21" s="1" t="s">
        <v>268</v>
      </c>
      <c r="B21" s="6" t="s">
        <v>197</v>
      </c>
      <c r="C21" s="7">
        <v>4057114</v>
      </c>
      <c r="D21" s="151" t="s">
        <v>267</v>
      </c>
      <c r="E21" s="151">
        <v>37935</v>
      </c>
      <c r="F21" s="151">
        <v>20813</v>
      </c>
      <c r="G21" s="151">
        <v>20302</v>
      </c>
      <c r="H21" s="151">
        <v>16910</v>
      </c>
      <c r="I21" s="151">
        <v>15411</v>
      </c>
      <c r="J21" s="151">
        <v>12714</v>
      </c>
      <c r="K21" s="151">
        <v>15374</v>
      </c>
      <c r="L21" s="151">
        <v>11885</v>
      </c>
      <c r="M21" s="151">
        <v>17040</v>
      </c>
      <c r="N21" s="151">
        <v>15303</v>
      </c>
      <c r="O21" s="151">
        <v>10193</v>
      </c>
      <c r="P21" s="151">
        <v>13753</v>
      </c>
      <c r="Q21" s="151">
        <v>9098</v>
      </c>
      <c r="R21" s="151">
        <v>12350</v>
      </c>
      <c r="S21" s="151">
        <v>7201</v>
      </c>
      <c r="T21" s="151">
        <v>8863</v>
      </c>
      <c r="U21" s="151">
        <v>10670</v>
      </c>
      <c r="V21" s="151">
        <v>10170</v>
      </c>
      <c r="W21" s="151">
        <v>20282</v>
      </c>
      <c r="X21" s="151">
        <v>22350</v>
      </c>
      <c r="Y21" s="151">
        <v>12467</v>
      </c>
      <c r="Z21" s="151">
        <v>24088</v>
      </c>
      <c r="AA21" s="1">
        <v>22978</v>
      </c>
      <c r="AB21" s="1">
        <v>0</v>
      </c>
      <c r="AC21" s="1">
        <v>0</v>
      </c>
      <c r="AD21" s="1">
        <v>0</v>
      </c>
    </row>
    <row r="22" spans="1:30" x14ac:dyDescent="0.25">
      <c r="B22" s="6" t="s">
        <v>198</v>
      </c>
      <c r="C22" s="7">
        <v>4059355</v>
      </c>
      <c r="D22" s="151">
        <v>65321</v>
      </c>
      <c r="E22" s="151">
        <v>59334</v>
      </c>
      <c r="F22" s="151">
        <v>54071</v>
      </c>
      <c r="G22" s="151">
        <v>36820</v>
      </c>
      <c r="H22" s="151">
        <v>33566</v>
      </c>
      <c r="I22" s="151">
        <v>33397</v>
      </c>
      <c r="J22" s="151">
        <v>31981</v>
      </c>
      <c r="K22" s="151">
        <v>30152</v>
      </c>
      <c r="L22" s="151">
        <v>20770</v>
      </c>
      <c r="M22" s="151">
        <v>17628</v>
      </c>
      <c r="N22" s="151">
        <v>14062</v>
      </c>
      <c r="O22" s="151">
        <v>8574</v>
      </c>
      <c r="P22" s="151">
        <v>12789</v>
      </c>
      <c r="Q22" s="151">
        <v>12674</v>
      </c>
      <c r="R22" s="151">
        <v>9282</v>
      </c>
      <c r="S22" s="151">
        <v>10771</v>
      </c>
      <c r="T22" s="151">
        <v>6468</v>
      </c>
      <c r="U22" s="151">
        <v>7903</v>
      </c>
      <c r="V22" s="151">
        <v>8279</v>
      </c>
      <c r="W22" s="151">
        <v>11911</v>
      </c>
      <c r="X22" s="151">
        <v>10108</v>
      </c>
      <c r="Y22" s="151">
        <v>0</v>
      </c>
      <c r="Z22" s="151">
        <v>9952</v>
      </c>
      <c r="AA22" s="1">
        <v>10063</v>
      </c>
      <c r="AB22" s="1">
        <v>0</v>
      </c>
      <c r="AC22" s="1">
        <v>0</v>
      </c>
      <c r="AD22" s="1">
        <v>0</v>
      </c>
    </row>
    <row r="23" spans="1:30" x14ac:dyDescent="0.25">
      <c r="B23" s="6" t="s">
        <v>200</v>
      </c>
      <c r="C23" s="7">
        <v>4088325</v>
      </c>
      <c r="D23" s="151">
        <v>32117</v>
      </c>
      <c r="E23" s="151">
        <v>21186</v>
      </c>
      <c r="F23" s="151">
        <v>26770</v>
      </c>
      <c r="G23" s="151">
        <v>21894</v>
      </c>
      <c r="H23" s="151">
        <v>17957</v>
      </c>
      <c r="I23" s="151">
        <v>11541</v>
      </c>
      <c r="J23" s="151">
        <v>15680</v>
      </c>
      <c r="K23" s="151">
        <v>13403</v>
      </c>
      <c r="L23" s="151">
        <v>8974</v>
      </c>
      <c r="M23" s="151">
        <v>8967</v>
      </c>
      <c r="N23" s="151">
        <v>8306</v>
      </c>
      <c r="O23" s="151">
        <v>6179</v>
      </c>
      <c r="P23" s="151">
        <v>9773</v>
      </c>
      <c r="Q23" s="151">
        <v>4823</v>
      </c>
      <c r="R23" s="151">
        <v>4424</v>
      </c>
      <c r="S23" s="151">
        <v>3823</v>
      </c>
      <c r="T23" s="151">
        <v>3900</v>
      </c>
      <c r="U23" s="151">
        <v>3107</v>
      </c>
      <c r="V23" s="151">
        <v>943</v>
      </c>
      <c r="W23" s="151">
        <v>1751</v>
      </c>
      <c r="X23" s="151">
        <v>3868</v>
      </c>
      <c r="Y23" s="151">
        <v>3364</v>
      </c>
      <c r="Z23" s="151">
        <v>3292</v>
      </c>
      <c r="AA23" s="1">
        <v>5144</v>
      </c>
      <c r="AB23" s="1">
        <v>0</v>
      </c>
      <c r="AC23" s="1">
        <v>0</v>
      </c>
      <c r="AD23" s="1">
        <v>0</v>
      </c>
    </row>
    <row r="24" spans="1:30" x14ac:dyDescent="0.25">
      <c r="B24" s="6" t="s">
        <v>272</v>
      </c>
      <c r="C24" s="7">
        <v>4088326</v>
      </c>
      <c r="D24" s="151" t="s">
        <v>267</v>
      </c>
      <c r="E24" s="151">
        <v>388392</v>
      </c>
      <c r="F24" s="151">
        <v>355188</v>
      </c>
      <c r="G24" s="151">
        <v>312741</v>
      </c>
      <c r="H24" s="151">
        <v>333972</v>
      </c>
      <c r="I24" s="151">
        <v>371110</v>
      </c>
      <c r="J24" s="151">
        <v>279713</v>
      </c>
      <c r="K24" s="151">
        <v>263070</v>
      </c>
      <c r="L24" s="151">
        <v>242141</v>
      </c>
      <c r="M24" s="151">
        <v>226068</v>
      </c>
      <c r="N24" s="151">
        <v>172262</v>
      </c>
      <c r="O24" s="151">
        <v>165128</v>
      </c>
      <c r="P24" s="151">
        <v>153346</v>
      </c>
      <c r="Q24" s="151">
        <v>170581</v>
      </c>
      <c r="R24" s="151">
        <v>64764</v>
      </c>
      <c r="S24" s="151">
        <v>91393</v>
      </c>
      <c r="T24" s="151">
        <v>55080</v>
      </c>
      <c r="U24" s="151">
        <v>54236</v>
      </c>
      <c r="V24" s="151">
        <v>43607</v>
      </c>
      <c r="W24" s="151">
        <v>64451</v>
      </c>
      <c r="X24" s="151">
        <v>44930</v>
      </c>
      <c r="Y24" s="151" t="s">
        <v>267</v>
      </c>
      <c r="Z24" s="151">
        <v>61257</v>
      </c>
      <c r="AA24" s="1">
        <v>56947</v>
      </c>
      <c r="AB24" s="1">
        <v>0</v>
      </c>
      <c r="AC24" s="1">
        <v>0</v>
      </c>
      <c r="AD24" s="1">
        <v>0</v>
      </c>
    </row>
    <row r="25" spans="1:30" x14ac:dyDescent="0.25">
      <c r="A25" s="1" t="s">
        <v>268</v>
      </c>
      <c r="B25" s="6" t="s">
        <v>273</v>
      </c>
      <c r="C25" s="7">
        <v>4059358</v>
      </c>
      <c r="D25" s="151" t="s">
        <v>267</v>
      </c>
      <c r="E25" s="151">
        <v>304069</v>
      </c>
      <c r="F25" s="151">
        <v>272448</v>
      </c>
      <c r="G25" s="151">
        <v>278099</v>
      </c>
      <c r="H25" s="151">
        <v>228500</v>
      </c>
      <c r="I25" s="151">
        <v>213236</v>
      </c>
      <c r="J25" s="151">
        <v>173788</v>
      </c>
      <c r="K25" s="151">
        <v>171218</v>
      </c>
      <c r="L25" s="151">
        <v>150935</v>
      </c>
      <c r="M25" s="151">
        <v>134954</v>
      </c>
      <c r="N25" s="151">
        <v>99275</v>
      </c>
      <c r="O25" s="151">
        <v>62713</v>
      </c>
      <c r="P25" s="151">
        <v>83379</v>
      </c>
      <c r="Q25" s="151">
        <v>70094</v>
      </c>
      <c r="R25" s="151">
        <v>48721</v>
      </c>
      <c r="S25" s="151">
        <v>44718</v>
      </c>
      <c r="T25" s="151">
        <v>40374</v>
      </c>
      <c r="U25" s="151">
        <v>21051</v>
      </c>
      <c r="V25" s="151">
        <v>19999</v>
      </c>
      <c r="W25" s="151">
        <v>21008</v>
      </c>
      <c r="X25" s="151">
        <v>27507</v>
      </c>
      <c r="Y25" s="151">
        <v>24413</v>
      </c>
      <c r="Z25" s="151">
        <v>19747</v>
      </c>
      <c r="AA25" s="1">
        <v>32364</v>
      </c>
      <c r="AB25" s="1">
        <v>0</v>
      </c>
      <c r="AC25" s="1">
        <v>0</v>
      </c>
      <c r="AD25" s="1">
        <v>0</v>
      </c>
    </row>
    <row r="26" spans="1:30" x14ac:dyDescent="0.25">
      <c r="B26" s="6" t="s">
        <v>274</v>
      </c>
      <c r="C26" s="7">
        <v>4059359</v>
      </c>
      <c r="D26" s="151" t="s">
        <v>267</v>
      </c>
      <c r="E26" s="151">
        <v>101546</v>
      </c>
      <c r="F26" s="151">
        <v>120165</v>
      </c>
      <c r="G26" s="151">
        <v>82496</v>
      </c>
      <c r="H26" s="151">
        <v>89660</v>
      </c>
      <c r="I26" s="151">
        <v>97249</v>
      </c>
      <c r="J26" s="151">
        <v>76043</v>
      </c>
      <c r="K26" s="151">
        <v>92305</v>
      </c>
      <c r="L26" s="151">
        <v>80991</v>
      </c>
      <c r="M26" s="151">
        <v>50461</v>
      </c>
      <c r="N26" s="151">
        <v>30238</v>
      </c>
      <c r="O26" s="151">
        <v>65348</v>
      </c>
      <c r="P26" s="151">
        <v>24678</v>
      </c>
      <c r="Q26" s="151">
        <v>30523</v>
      </c>
      <c r="R26" s="151">
        <v>26827</v>
      </c>
      <c r="S26" s="151">
        <v>26809</v>
      </c>
      <c r="T26" s="151">
        <v>27796</v>
      </c>
      <c r="U26" s="151">
        <v>22439</v>
      </c>
      <c r="V26" s="151">
        <v>33915</v>
      </c>
      <c r="W26" s="151">
        <v>19839</v>
      </c>
      <c r="X26" s="151">
        <v>28887</v>
      </c>
      <c r="Y26" s="151">
        <v>29266</v>
      </c>
      <c r="Z26" s="151" t="s">
        <v>267</v>
      </c>
      <c r="AA26" s="1">
        <v>40467</v>
      </c>
      <c r="AB26" s="1">
        <v>0</v>
      </c>
      <c r="AC26" s="1" t="s">
        <v>267</v>
      </c>
      <c r="AD26" s="1" t="s">
        <v>267</v>
      </c>
    </row>
    <row r="27" spans="1:30" x14ac:dyDescent="0.25">
      <c r="A27" s="1" t="s">
        <v>268</v>
      </c>
      <c r="B27" s="6" t="s">
        <v>202</v>
      </c>
      <c r="C27" s="7">
        <v>4059402</v>
      </c>
      <c r="D27" s="151">
        <v>51678</v>
      </c>
      <c r="E27" s="151">
        <v>38432</v>
      </c>
      <c r="F27" s="151">
        <v>43649</v>
      </c>
      <c r="G27" s="151">
        <v>41115</v>
      </c>
      <c r="H27" s="151">
        <v>36900</v>
      </c>
      <c r="I27" s="151">
        <v>48310</v>
      </c>
      <c r="J27" s="151">
        <v>52106</v>
      </c>
      <c r="K27" s="151">
        <v>42858</v>
      </c>
      <c r="L27" s="151">
        <v>30921</v>
      </c>
      <c r="M27" s="151">
        <v>29963</v>
      </c>
      <c r="N27" s="151">
        <v>23110</v>
      </c>
      <c r="O27" s="151">
        <v>19085</v>
      </c>
      <c r="P27" s="151">
        <v>13808</v>
      </c>
      <c r="Q27" s="151">
        <v>21327</v>
      </c>
      <c r="R27" s="151">
        <v>22797</v>
      </c>
      <c r="S27" s="151">
        <v>19187</v>
      </c>
      <c r="T27" s="151">
        <v>18769</v>
      </c>
      <c r="U27" s="151">
        <v>17251</v>
      </c>
      <c r="V27" s="151">
        <v>16792</v>
      </c>
      <c r="W27" s="151">
        <v>18818</v>
      </c>
      <c r="X27" s="151">
        <v>20283</v>
      </c>
      <c r="Y27" s="151">
        <v>16150</v>
      </c>
      <c r="Z27" s="151">
        <v>16352</v>
      </c>
      <c r="AA27" s="1">
        <v>17494</v>
      </c>
      <c r="AB27" s="1">
        <v>0</v>
      </c>
      <c r="AC27" s="1">
        <v>0</v>
      </c>
      <c r="AD27" s="1">
        <v>0</v>
      </c>
    </row>
    <row r="28" spans="1:30" x14ac:dyDescent="0.25">
      <c r="A28" s="1" t="s">
        <v>268</v>
      </c>
      <c r="B28" s="6" t="s">
        <v>204</v>
      </c>
      <c r="C28" s="7">
        <v>4057080</v>
      </c>
      <c r="D28" s="151">
        <v>1174807</v>
      </c>
      <c r="E28" s="151">
        <v>600822</v>
      </c>
      <c r="F28" s="151">
        <v>821756</v>
      </c>
      <c r="G28" s="151">
        <v>739835</v>
      </c>
      <c r="H28" s="151">
        <v>677610</v>
      </c>
      <c r="I28" s="151">
        <v>547152</v>
      </c>
      <c r="J28" s="151">
        <v>657034</v>
      </c>
      <c r="K28" s="151">
        <v>508904</v>
      </c>
      <c r="L28" s="151">
        <v>335339</v>
      </c>
      <c r="M28" s="151">
        <v>324103</v>
      </c>
      <c r="N28" s="151">
        <v>319478</v>
      </c>
      <c r="O28" s="151">
        <v>289439</v>
      </c>
      <c r="P28" s="151">
        <v>253099</v>
      </c>
      <c r="Q28" s="151">
        <v>231151</v>
      </c>
      <c r="R28" s="151">
        <v>146195</v>
      </c>
      <c r="S28" s="151">
        <v>161831</v>
      </c>
      <c r="T28" s="151">
        <v>140485</v>
      </c>
      <c r="U28" s="151">
        <v>142023</v>
      </c>
      <c r="V28" s="151">
        <v>138071</v>
      </c>
      <c r="W28" s="151">
        <v>120419</v>
      </c>
      <c r="X28" s="151">
        <v>94152</v>
      </c>
      <c r="Y28" s="151">
        <v>87371</v>
      </c>
      <c r="Z28" s="151">
        <v>91883</v>
      </c>
      <c r="AA28" s="1">
        <v>94451</v>
      </c>
      <c r="AB28" s="1">
        <v>0</v>
      </c>
      <c r="AC28" s="1">
        <v>0</v>
      </c>
      <c r="AD28" s="1">
        <v>0</v>
      </c>
    </row>
    <row r="29" spans="1:30" x14ac:dyDescent="0.25">
      <c r="B29" s="6" t="s">
        <v>205</v>
      </c>
      <c r="C29" s="7">
        <v>4057081</v>
      </c>
      <c r="D29" s="151">
        <v>656622</v>
      </c>
      <c r="E29" s="151">
        <v>481405</v>
      </c>
      <c r="F29" s="151">
        <v>590954</v>
      </c>
      <c r="G29" s="151">
        <v>486899</v>
      </c>
      <c r="H29" s="151">
        <v>394545</v>
      </c>
      <c r="I29" s="151">
        <v>324644</v>
      </c>
      <c r="J29" s="151">
        <v>273076</v>
      </c>
      <c r="K29" s="151">
        <v>240078</v>
      </c>
      <c r="L29" s="151">
        <v>163183</v>
      </c>
      <c r="M29" s="151">
        <v>128481</v>
      </c>
      <c r="N29" s="151">
        <v>97700</v>
      </c>
      <c r="O29" s="151">
        <v>106197</v>
      </c>
      <c r="P29" s="151">
        <v>110951</v>
      </c>
      <c r="Q29" s="151">
        <v>81780</v>
      </c>
      <c r="R29" s="151">
        <v>77548</v>
      </c>
      <c r="S29" s="151">
        <v>85018</v>
      </c>
      <c r="T29" s="151">
        <v>91333</v>
      </c>
      <c r="U29" s="151">
        <v>88031</v>
      </c>
      <c r="V29" s="151">
        <v>83974</v>
      </c>
      <c r="W29" s="151">
        <v>97186</v>
      </c>
      <c r="X29" s="151">
        <v>90232</v>
      </c>
      <c r="Y29" s="151">
        <v>88307</v>
      </c>
      <c r="Z29" s="151">
        <v>83445</v>
      </c>
      <c r="AA29" s="1">
        <v>82485</v>
      </c>
      <c r="AB29" s="1">
        <v>0</v>
      </c>
      <c r="AC29" s="1">
        <v>0</v>
      </c>
      <c r="AD29" s="1">
        <v>0</v>
      </c>
    </row>
    <row r="30" spans="1:30" x14ac:dyDescent="0.25">
      <c r="A30" s="1" t="s">
        <v>268</v>
      </c>
      <c r="B30" s="6" t="s">
        <v>207</v>
      </c>
      <c r="C30" s="7">
        <v>4059459</v>
      </c>
      <c r="D30" s="151">
        <v>8379</v>
      </c>
      <c r="E30" s="151">
        <v>4861</v>
      </c>
      <c r="F30" s="151">
        <v>3761</v>
      </c>
      <c r="G30" s="151">
        <v>6215</v>
      </c>
      <c r="H30" s="151">
        <v>3554</v>
      </c>
      <c r="I30" s="151">
        <v>10186</v>
      </c>
      <c r="J30" s="151">
        <v>2247</v>
      </c>
      <c r="K30" s="151">
        <v>6646</v>
      </c>
      <c r="L30" s="151">
        <v>6217</v>
      </c>
      <c r="M30" s="151">
        <v>5772</v>
      </c>
      <c r="N30" s="151">
        <v>4544</v>
      </c>
      <c r="O30" s="151">
        <v>5193</v>
      </c>
      <c r="P30" s="151">
        <v>4713</v>
      </c>
      <c r="Q30" s="151">
        <v>5152</v>
      </c>
      <c r="R30" s="151">
        <v>1429</v>
      </c>
      <c r="S30" s="151">
        <v>1885</v>
      </c>
      <c r="T30" s="151">
        <v>981</v>
      </c>
      <c r="U30" s="151">
        <v>623</v>
      </c>
      <c r="V30" s="151">
        <v>707</v>
      </c>
      <c r="W30" s="151">
        <v>649</v>
      </c>
      <c r="X30" s="151">
        <v>649</v>
      </c>
      <c r="Y30" s="151">
        <v>518</v>
      </c>
      <c r="Z30" s="151">
        <v>595</v>
      </c>
      <c r="AA30" s="1">
        <v>717</v>
      </c>
      <c r="AB30" s="1">
        <v>0</v>
      </c>
      <c r="AC30" s="1">
        <v>0</v>
      </c>
      <c r="AD30" s="1">
        <v>0</v>
      </c>
    </row>
    <row r="31" spans="1:30" x14ac:dyDescent="0.25">
      <c r="B31" s="6" t="s">
        <v>208</v>
      </c>
      <c r="C31" s="7">
        <v>4057118</v>
      </c>
      <c r="D31" s="151">
        <v>4193</v>
      </c>
      <c r="E31" s="151">
        <v>8636</v>
      </c>
      <c r="F31" s="151">
        <v>9438</v>
      </c>
      <c r="G31" s="151">
        <v>4739</v>
      </c>
      <c r="H31" s="151">
        <v>4393</v>
      </c>
      <c r="I31" s="151">
        <v>4339</v>
      </c>
      <c r="J31" s="151">
        <v>3777</v>
      </c>
      <c r="K31" s="151">
        <v>4318</v>
      </c>
      <c r="L31" s="151">
        <v>3694</v>
      </c>
      <c r="M31" s="151">
        <v>5470</v>
      </c>
      <c r="N31" s="151">
        <v>3005</v>
      </c>
      <c r="O31" s="151">
        <v>2936</v>
      </c>
      <c r="P31" s="151">
        <v>2541</v>
      </c>
      <c r="Q31" s="151">
        <v>3723</v>
      </c>
      <c r="R31" s="151">
        <v>2565</v>
      </c>
      <c r="S31" s="151">
        <v>2836</v>
      </c>
      <c r="T31" s="151">
        <v>2909</v>
      </c>
      <c r="U31" s="151">
        <v>3082</v>
      </c>
      <c r="V31" s="151">
        <v>4452</v>
      </c>
      <c r="W31" s="151">
        <v>2590</v>
      </c>
      <c r="X31" s="151">
        <v>3102</v>
      </c>
      <c r="Y31" s="151">
        <v>4328</v>
      </c>
      <c r="Z31" s="151">
        <v>4714</v>
      </c>
      <c r="AA31" s="1">
        <v>6817</v>
      </c>
      <c r="AB31" s="1">
        <v>0</v>
      </c>
      <c r="AC31" s="1">
        <v>0</v>
      </c>
      <c r="AD31" s="1">
        <v>0</v>
      </c>
    </row>
    <row r="32" spans="1:30" x14ac:dyDescent="0.25">
      <c r="B32" s="6" t="s">
        <v>210</v>
      </c>
      <c r="C32" s="7">
        <v>4057126</v>
      </c>
      <c r="D32" s="151">
        <v>409680</v>
      </c>
      <c r="E32" s="151">
        <v>399983</v>
      </c>
      <c r="F32" s="151">
        <v>289984</v>
      </c>
      <c r="G32" s="151">
        <v>312736</v>
      </c>
      <c r="H32" s="151">
        <v>225243</v>
      </c>
      <c r="I32" s="151">
        <v>221966</v>
      </c>
      <c r="J32" s="151">
        <v>158781</v>
      </c>
      <c r="K32" s="151">
        <v>172353</v>
      </c>
      <c r="L32" s="151">
        <v>174586</v>
      </c>
      <c r="M32" s="151">
        <v>104107</v>
      </c>
      <c r="N32" s="151">
        <v>140740</v>
      </c>
      <c r="O32" s="151">
        <v>88996</v>
      </c>
      <c r="P32" s="151">
        <v>84063</v>
      </c>
      <c r="Q32" s="151">
        <v>155119</v>
      </c>
      <c r="R32" s="151">
        <v>17300</v>
      </c>
      <c r="S32" s="151">
        <v>95326</v>
      </c>
      <c r="T32" s="151">
        <v>76034</v>
      </c>
      <c r="U32" s="151">
        <v>63639</v>
      </c>
      <c r="V32" s="151">
        <v>62464</v>
      </c>
      <c r="W32" s="151">
        <v>56512</v>
      </c>
      <c r="X32" s="151">
        <v>64405</v>
      </c>
      <c r="Y32" s="151">
        <v>75957</v>
      </c>
      <c r="Z32" s="151">
        <v>67599</v>
      </c>
      <c r="AA32" s="1">
        <v>59234</v>
      </c>
      <c r="AB32" s="1">
        <v>0</v>
      </c>
      <c r="AC32" s="1">
        <v>0</v>
      </c>
      <c r="AD32" s="1">
        <v>0</v>
      </c>
    </row>
    <row r="33" spans="1:30" x14ac:dyDescent="0.25">
      <c r="B33" s="6" t="s">
        <v>275</v>
      </c>
      <c r="C33" s="7">
        <v>4057103</v>
      </c>
      <c r="D33" s="151" t="s">
        <v>267</v>
      </c>
      <c r="E33" s="151" t="s">
        <v>267</v>
      </c>
      <c r="F33" s="151">
        <v>68080</v>
      </c>
      <c r="G33" s="151">
        <v>78538</v>
      </c>
      <c r="H33" s="151">
        <v>31828</v>
      </c>
      <c r="I33" s="151" t="s">
        <v>267</v>
      </c>
      <c r="J33" s="151">
        <v>10957</v>
      </c>
      <c r="K33" s="151">
        <v>8542</v>
      </c>
      <c r="L33" s="151">
        <v>9069</v>
      </c>
      <c r="M33" s="151">
        <v>15165</v>
      </c>
      <c r="N33" s="151">
        <v>10571</v>
      </c>
      <c r="O33" s="151">
        <v>18629</v>
      </c>
      <c r="P33" s="151">
        <v>34926</v>
      </c>
      <c r="Q33" s="151">
        <v>28817</v>
      </c>
      <c r="R33" s="151">
        <v>24535</v>
      </c>
      <c r="S33" s="151">
        <v>24007</v>
      </c>
      <c r="T33" s="151">
        <v>22331</v>
      </c>
      <c r="U33" s="151">
        <v>18406</v>
      </c>
      <c r="V33" s="151">
        <v>25292</v>
      </c>
      <c r="W33" s="151">
        <v>19928</v>
      </c>
      <c r="X33" s="151">
        <v>14413</v>
      </c>
      <c r="Y33" s="151">
        <v>11384</v>
      </c>
      <c r="Z33" s="151">
        <v>10170</v>
      </c>
      <c r="AA33" s="1">
        <v>9690</v>
      </c>
      <c r="AB33" s="1">
        <v>0</v>
      </c>
      <c r="AC33" s="1">
        <v>0</v>
      </c>
      <c r="AD33" s="1">
        <v>0</v>
      </c>
    </row>
    <row r="34" spans="1:30" x14ac:dyDescent="0.25">
      <c r="B34" s="6" t="s">
        <v>211</v>
      </c>
      <c r="C34" s="7">
        <v>4057079</v>
      </c>
      <c r="D34" s="151">
        <v>217785</v>
      </c>
      <c r="E34" s="151">
        <v>150021</v>
      </c>
      <c r="F34" s="151">
        <v>135381</v>
      </c>
      <c r="G34" s="151">
        <v>97092</v>
      </c>
      <c r="H34" s="151">
        <v>84688</v>
      </c>
      <c r="I34" s="151">
        <v>76635</v>
      </c>
      <c r="J34" s="151">
        <v>90603</v>
      </c>
      <c r="K34" s="151">
        <v>92946</v>
      </c>
      <c r="L34" s="151">
        <v>99677</v>
      </c>
      <c r="M34" s="151">
        <v>97772</v>
      </c>
      <c r="N34" s="151">
        <v>108388</v>
      </c>
      <c r="O34" s="151">
        <v>109756</v>
      </c>
      <c r="P34" s="151">
        <v>102390</v>
      </c>
      <c r="Q34" s="151">
        <v>112409</v>
      </c>
      <c r="R34" s="151">
        <v>85638</v>
      </c>
      <c r="S34" s="151">
        <v>80358</v>
      </c>
      <c r="T34" s="151">
        <v>80239</v>
      </c>
      <c r="U34" s="151">
        <v>85199</v>
      </c>
      <c r="V34" s="151">
        <v>84077</v>
      </c>
      <c r="W34" s="151">
        <v>64139</v>
      </c>
      <c r="X34" s="151">
        <v>51387</v>
      </c>
      <c r="Y34" s="151">
        <v>26924</v>
      </c>
      <c r="Z34" s="151">
        <v>29583</v>
      </c>
      <c r="AA34" s="1">
        <v>29962</v>
      </c>
      <c r="AB34" s="1">
        <v>0</v>
      </c>
      <c r="AC34" s="1">
        <v>0</v>
      </c>
      <c r="AD34" s="1">
        <v>0</v>
      </c>
    </row>
    <row r="35" spans="1:30" x14ac:dyDescent="0.25">
      <c r="B35" s="6" t="s">
        <v>276</v>
      </c>
      <c r="C35" s="7">
        <v>4081251</v>
      </c>
      <c r="D35" s="151" t="s">
        <v>267</v>
      </c>
      <c r="E35" s="151" t="s">
        <v>267</v>
      </c>
      <c r="F35" s="151">
        <v>43</v>
      </c>
      <c r="G35" s="151">
        <v>0</v>
      </c>
      <c r="H35" s="151">
        <v>0</v>
      </c>
      <c r="I35" s="151">
        <v>57</v>
      </c>
      <c r="J35" s="151" t="s">
        <v>267</v>
      </c>
      <c r="K35" s="151">
        <v>84</v>
      </c>
      <c r="L35" s="151">
        <v>25</v>
      </c>
      <c r="M35" s="151">
        <v>56</v>
      </c>
      <c r="N35" s="151">
        <v>52</v>
      </c>
      <c r="O35" s="151">
        <v>45</v>
      </c>
      <c r="P35" s="151">
        <v>23</v>
      </c>
      <c r="Q35" s="151">
        <v>42</v>
      </c>
      <c r="R35" s="151">
        <v>35</v>
      </c>
      <c r="S35" s="151">
        <v>20</v>
      </c>
      <c r="T35" s="151">
        <v>79</v>
      </c>
      <c r="U35" s="151">
        <v>33</v>
      </c>
      <c r="V35" s="151">
        <v>37</v>
      </c>
      <c r="W35" s="151">
        <v>59</v>
      </c>
      <c r="X35" s="151">
        <v>19</v>
      </c>
      <c r="Y35" s="151">
        <v>24</v>
      </c>
      <c r="Z35" s="151" t="s">
        <v>267</v>
      </c>
      <c r="AA35" s="1" t="s">
        <v>267</v>
      </c>
      <c r="AB35" s="1" t="s">
        <v>267</v>
      </c>
      <c r="AC35" s="1" t="s">
        <v>267</v>
      </c>
      <c r="AD35" s="1" t="s">
        <v>267</v>
      </c>
    </row>
    <row r="36" spans="1:30" x14ac:dyDescent="0.25">
      <c r="B36" s="6" t="s">
        <v>277</v>
      </c>
      <c r="C36" s="7">
        <v>4060572</v>
      </c>
      <c r="D36" s="151" t="s">
        <v>267</v>
      </c>
      <c r="E36" s="151">
        <v>44643</v>
      </c>
      <c r="F36" s="151">
        <v>36843</v>
      </c>
      <c r="G36" s="151">
        <v>31096</v>
      </c>
      <c r="H36" s="151">
        <v>34539</v>
      </c>
      <c r="I36" s="151">
        <v>36786</v>
      </c>
      <c r="J36" s="151">
        <v>15416</v>
      </c>
      <c r="K36" s="151">
        <v>20635</v>
      </c>
      <c r="L36" s="151">
        <v>7904</v>
      </c>
      <c r="M36" s="151">
        <v>8003</v>
      </c>
      <c r="N36" s="151">
        <v>10753</v>
      </c>
      <c r="O36" s="151">
        <v>7208</v>
      </c>
      <c r="P36" s="151">
        <v>8810</v>
      </c>
      <c r="Q36" s="151">
        <v>9611</v>
      </c>
      <c r="R36" s="151">
        <v>8456</v>
      </c>
      <c r="S36" s="151">
        <v>8685</v>
      </c>
      <c r="T36" s="151">
        <v>7187</v>
      </c>
      <c r="U36" s="151">
        <v>7056</v>
      </c>
      <c r="V36" s="151">
        <v>10577</v>
      </c>
      <c r="W36" s="151">
        <v>10240</v>
      </c>
      <c r="X36" s="151">
        <v>8890</v>
      </c>
      <c r="Y36" s="151">
        <v>7121</v>
      </c>
      <c r="Z36" s="151" t="s">
        <v>267</v>
      </c>
      <c r="AA36" s="1" t="s">
        <v>267</v>
      </c>
      <c r="AB36" s="1">
        <v>0</v>
      </c>
      <c r="AC36" s="1">
        <v>0</v>
      </c>
      <c r="AD36" s="1">
        <v>0</v>
      </c>
    </row>
    <row r="37" spans="1:30" x14ac:dyDescent="0.25">
      <c r="B37" s="6" t="s">
        <v>278</v>
      </c>
      <c r="C37" s="7">
        <v>4083318</v>
      </c>
      <c r="D37" s="151" t="s">
        <v>267</v>
      </c>
      <c r="E37" s="151">
        <v>528</v>
      </c>
      <c r="F37" s="151">
        <v>312</v>
      </c>
      <c r="G37" s="151">
        <v>316</v>
      </c>
      <c r="H37" s="151">
        <v>176</v>
      </c>
      <c r="I37" s="151">
        <v>258</v>
      </c>
      <c r="J37" s="151">
        <v>498</v>
      </c>
      <c r="K37" s="151">
        <v>341</v>
      </c>
      <c r="L37" s="151">
        <v>486</v>
      </c>
      <c r="M37" s="151">
        <v>314</v>
      </c>
      <c r="N37" s="151">
        <v>304</v>
      </c>
      <c r="O37" s="151">
        <v>237</v>
      </c>
      <c r="P37" s="151">
        <v>202</v>
      </c>
      <c r="Q37" s="151">
        <v>156</v>
      </c>
      <c r="R37" s="151">
        <v>158</v>
      </c>
      <c r="S37" s="151">
        <v>207</v>
      </c>
      <c r="T37" s="151">
        <v>186</v>
      </c>
      <c r="U37" s="151">
        <v>223</v>
      </c>
      <c r="V37" s="151">
        <v>283</v>
      </c>
      <c r="W37" s="151">
        <v>371</v>
      </c>
      <c r="X37" s="151" t="s">
        <v>267</v>
      </c>
      <c r="Y37" s="151" t="s">
        <v>267</v>
      </c>
      <c r="Z37" s="151" t="s">
        <v>267</v>
      </c>
      <c r="AA37" s="1" t="s">
        <v>267</v>
      </c>
      <c r="AB37" s="1" t="s">
        <v>267</v>
      </c>
      <c r="AC37" s="1">
        <v>0</v>
      </c>
      <c r="AD37" s="1">
        <v>0</v>
      </c>
    </row>
    <row r="38" spans="1:30" x14ac:dyDescent="0.25">
      <c r="B38" s="6" t="s">
        <v>279</v>
      </c>
      <c r="C38" s="7">
        <v>4057125</v>
      </c>
      <c r="D38" s="151" t="s">
        <v>267</v>
      </c>
      <c r="E38" s="151">
        <v>67968</v>
      </c>
      <c r="F38" s="151">
        <v>300551</v>
      </c>
      <c r="G38" s="151">
        <v>246286</v>
      </c>
      <c r="H38" s="151">
        <v>43345</v>
      </c>
      <c r="I38" s="151">
        <v>59540</v>
      </c>
      <c r="J38" s="151">
        <v>83772</v>
      </c>
      <c r="K38" s="151">
        <v>44323</v>
      </c>
      <c r="L38" s="151">
        <v>52979</v>
      </c>
      <c r="M38" s="151">
        <v>83287</v>
      </c>
      <c r="N38" s="151">
        <v>25622</v>
      </c>
      <c r="O38" s="151">
        <v>23878</v>
      </c>
      <c r="P38" s="151">
        <v>89149</v>
      </c>
      <c r="Q38" s="151">
        <v>19488</v>
      </c>
      <c r="R38" s="151">
        <v>22712</v>
      </c>
      <c r="S38" s="151">
        <v>26676</v>
      </c>
      <c r="T38" s="151">
        <v>99533</v>
      </c>
      <c r="U38" s="151">
        <v>60972</v>
      </c>
      <c r="V38" s="151">
        <v>28696</v>
      </c>
      <c r="W38" s="151">
        <v>19037</v>
      </c>
      <c r="X38" s="151">
        <v>77427</v>
      </c>
      <c r="Y38" s="151">
        <v>31665</v>
      </c>
      <c r="Z38" s="151">
        <v>35737</v>
      </c>
      <c r="AA38" s="1">
        <v>36483</v>
      </c>
      <c r="AB38" s="1">
        <v>0</v>
      </c>
      <c r="AC38" s="1">
        <v>0</v>
      </c>
      <c r="AD38" s="1">
        <v>0</v>
      </c>
    </row>
    <row r="39" spans="1:30" x14ac:dyDescent="0.25">
      <c r="B39" s="6" t="s">
        <v>280</v>
      </c>
      <c r="C39" s="7">
        <v>4087741</v>
      </c>
      <c r="D39" s="151" t="s">
        <v>267</v>
      </c>
      <c r="E39" s="151" t="s">
        <v>267</v>
      </c>
      <c r="F39" s="151" t="s">
        <v>267</v>
      </c>
      <c r="G39" s="151">
        <v>83827</v>
      </c>
      <c r="H39" s="151">
        <v>69702</v>
      </c>
      <c r="I39" s="151">
        <v>66586</v>
      </c>
      <c r="J39" s="151">
        <v>53817</v>
      </c>
      <c r="K39" s="151">
        <v>53969</v>
      </c>
      <c r="L39" s="151">
        <v>44188</v>
      </c>
      <c r="M39" s="151">
        <v>48344</v>
      </c>
      <c r="N39" s="151">
        <v>36472</v>
      </c>
      <c r="O39" s="151">
        <v>38559</v>
      </c>
      <c r="P39" s="151">
        <v>37074</v>
      </c>
      <c r="Q39" s="151">
        <v>45748</v>
      </c>
      <c r="R39" s="151">
        <v>42022</v>
      </c>
      <c r="S39" s="151">
        <v>44846</v>
      </c>
      <c r="T39" s="151">
        <v>45887</v>
      </c>
      <c r="U39" s="151">
        <v>41866</v>
      </c>
      <c r="V39" s="151">
        <v>49019</v>
      </c>
      <c r="W39" s="151">
        <v>69880</v>
      </c>
      <c r="X39" s="151" t="s">
        <v>267</v>
      </c>
      <c r="Y39" s="151">
        <v>43097</v>
      </c>
      <c r="Z39" s="151" t="s">
        <v>267</v>
      </c>
      <c r="AA39" s="1" t="s">
        <v>267</v>
      </c>
      <c r="AB39" s="1" t="s">
        <v>267</v>
      </c>
      <c r="AC39" s="1" t="s">
        <v>267</v>
      </c>
      <c r="AD39" s="1" t="s">
        <v>267</v>
      </c>
    </row>
    <row r="40" spans="1:30" x14ac:dyDescent="0.25">
      <c r="B40" s="6" t="s">
        <v>281</v>
      </c>
      <c r="C40" s="7">
        <v>4059875</v>
      </c>
      <c r="D40" s="151" t="s">
        <v>267</v>
      </c>
      <c r="E40" s="151">
        <v>80720</v>
      </c>
      <c r="F40" s="151">
        <v>51564</v>
      </c>
      <c r="G40" s="151">
        <v>40671</v>
      </c>
      <c r="H40" s="151">
        <v>36982</v>
      </c>
      <c r="I40" s="151">
        <v>17576</v>
      </c>
      <c r="J40" s="151">
        <v>28241</v>
      </c>
      <c r="K40" s="151">
        <v>13605</v>
      </c>
      <c r="L40" s="151">
        <v>6963</v>
      </c>
      <c r="M40" s="151">
        <v>8700</v>
      </c>
      <c r="N40" s="151">
        <v>11360</v>
      </c>
      <c r="O40" s="151">
        <v>9567</v>
      </c>
      <c r="P40" s="151">
        <v>19063</v>
      </c>
      <c r="Q40" s="151">
        <v>15247</v>
      </c>
      <c r="R40" s="151">
        <v>17521</v>
      </c>
      <c r="S40" s="151">
        <v>18134</v>
      </c>
      <c r="T40" s="151">
        <v>3902</v>
      </c>
      <c r="U40" s="151">
        <v>13444</v>
      </c>
      <c r="V40" s="151">
        <v>25755</v>
      </c>
      <c r="W40" s="151">
        <v>10688</v>
      </c>
      <c r="X40" s="151" t="s">
        <v>267</v>
      </c>
      <c r="Y40" s="151">
        <v>11760</v>
      </c>
      <c r="Z40" s="151">
        <v>8857</v>
      </c>
      <c r="AA40" s="1">
        <v>11337</v>
      </c>
      <c r="AB40" s="1">
        <v>0</v>
      </c>
      <c r="AC40" s="1">
        <v>0</v>
      </c>
      <c r="AD40" s="1">
        <v>0</v>
      </c>
    </row>
    <row r="41" spans="1:30" x14ac:dyDescent="0.25">
      <c r="B41" s="6" t="s">
        <v>212</v>
      </c>
      <c r="C41" s="7">
        <v>4057090</v>
      </c>
      <c r="D41" s="151">
        <v>79674</v>
      </c>
      <c r="E41" s="151">
        <v>55589</v>
      </c>
      <c r="F41" s="151">
        <v>49021</v>
      </c>
      <c r="G41" s="151">
        <v>43630</v>
      </c>
      <c r="H41" s="151">
        <v>63064</v>
      </c>
      <c r="I41" s="151">
        <v>74085</v>
      </c>
      <c r="J41" s="151">
        <v>69167</v>
      </c>
      <c r="K41" s="151">
        <v>64319</v>
      </c>
      <c r="L41" s="151">
        <v>64443</v>
      </c>
      <c r="M41" s="151">
        <v>36861</v>
      </c>
      <c r="N41" s="151">
        <v>42431</v>
      </c>
      <c r="O41" s="151">
        <v>39862</v>
      </c>
      <c r="P41" s="151">
        <v>42188</v>
      </c>
      <c r="Q41" s="151">
        <v>48893</v>
      </c>
      <c r="R41" s="151">
        <v>25972</v>
      </c>
      <c r="S41" s="151">
        <v>17851</v>
      </c>
      <c r="T41" s="151">
        <v>20975</v>
      </c>
      <c r="U41" s="151">
        <v>17399</v>
      </c>
      <c r="V41" s="151">
        <v>39077</v>
      </c>
      <c r="W41" s="151">
        <v>27104</v>
      </c>
      <c r="X41" s="151">
        <v>20337</v>
      </c>
      <c r="Y41" s="151">
        <v>22737</v>
      </c>
      <c r="Z41" s="151">
        <v>26841</v>
      </c>
      <c r="AA41" s="1">
        <v>6220</v>
      </c>
      <c r="AB41" s="1">
        <v>0</v>
      </c>
      <c r="AC41" s="1">
        <v>0</v>
      </c>
      <c r="AD41" s="1">
        <v>0</v>
      </c>
    </row>
    <row r="42" spans="1:30" x14ac:dyDescent="0.25">
      <c r="B42" s="6" t="s">
        <v>213</v>
      </c>
      <c r="C42" s="7">
        <v>4008754</v>
      </c>
      <c r="D42" s="151">
        <v>23646</v>
      </c>
      <c r="E42" s="151">
        <v>23919</v>
      </c>
      <c r="F42" s="151">
        <v>20698</v>
      </c>
      <c r="G42" s="151">
        <v>23442</v>
      </c>
      <c r="H42" s="151">
        <v>19801</v>
      </c>
      <c r="I42" s="151">
        <v>16001</v>
      </c>
      <c r="J42" s="151">
        <v>15330</v>
      </c>
      <c r="K42" s="151">
        <v>19537</v>
      </c>
      <c r="L42" s="151">
        <v>17556</v>
      </c>
      <c r="M42" s="151">
        <v>13517</v>
      </c>
      <c r="N42" s="151">
        <v>15740</v>
      </c>
      <c r="O42" s="151">
        <v>10446</v>
      </c>
      <c r="P42" s="151">
        <v>15675</v>
      </c>
      <c r="Q42" s="151">
        <v>10456</v>
      </c>
      <c r="R42" s="151">
        <v>7492</v>
      </c>
      <c r="S42" s="151">
        <v>7622</v>
      </c>
      <c r="T42" s="151">
        <v>10180</v>
      </c>
      <c r="U42" s="151">
        <v>8119</v>
      </c>
      <c r="V42" s="151">
        <v>10717</v>
      </c>
      <c r="W42" s="151">
        <v>14372</v>
      </c>
      <c r="X42" s="151">
        <v>4552</v>
      </c>
      <c r="Y42" s="151">
        <v>6920</v>
      </c>
      <c r="Z42" s="151">
        <v>4932</v>
      </c>
      <c r="AA42" s="1">
        <v>3563</v>
      </c>
      <c r="AB42" s="1">
        <v>0</v>
      </c>
      <c r="AC42" s="1">
        <v>0</v>
      </c>
      <c r="AD42" s="1">
        <v>0</v>
      </c>
    </row>
    <row r="43" spans="1:30" x14ac:dyDescent="0.25">
      <c r="B43" s="6" t="s">
        <v>282</v>
      </c>
      <c r="C43" s="7">
        <v>4061474</v>
      </c>
      <c r="D43" s="151" t="s">
        <v>267</v>
      </c>
      <c r="E43" s="151">
        <v>1018</v>
      </c>
      <c r="F43" s="151">
        <v>1042</v>
      </c>
      <c r="G43" s="151">
        <v>844</v>
      </c>
      <c r="H43" s="151">
        <v>832</v>
      </c>
      <c r="I43" s="151">
        <v>757</v>
      </c>
      <c r="J43" s="151">
        <v>1283</v>
      </c>
      <c r="K43" s="151">
        <v>1153</v>
      </c>
      <c r="L43" s="151">
        <v>921</v>
      </c>
      <c r="M43" s="151">
        <v>534</v>
      </c>
      <c r="N43" s="151">
        <v>509</v>
      </c>
      <c r="O43" s="151">
        <v>926</v>
      </c>
      <c r="P43" s="151">
        <v>633</v>
      </c>
      <c r="Q43" s="151">
        <v>830</v>
      </c>
      <c r="R43" s="151">
        <v>366</v>
      </c>
      <c r="S43" s="151">
        <v>460</v>
      </c>
      <c r="T43" s="151">
        <v>467</v>
      </c>
      <c r="U43" s="151">
        <v>494</v>
      </c>
      <c r="V43" s="151">
        <v>4448</v>
      </c>
      <c r="W43" s="151">
        <v>456</v>
      </c>
      <c r="X43" s="151" t="s">
        <v>267</v>
      </c>
      <c r="Y43" s="151">
        <v>503</v>
      </c>
      <c r="Z43" s="151" t="s">
        <v>267</v>
      </c>
      <c r="AA43" s="1" t="s">
        <v>267</v>
      </c>
      <c r="AB43" s="1">
        <v>0</v>
      </c>
      <c r="AC43" s="1">
        <v>0</v>
      </c>
      <c r="AD43" s="1">
        <v>0</v>
      </c>
    </row>
    <row r="44" spans="1:30" x14ac:dyDescent="0.25">
      <c r="B44" s="6" t="s">
        <v>283</v>
      </c>
      <c r="C44" s="7">
        <v>4076679</v>
      </c>
      <c r="D44" s="151" t="s">
        <v>267</v>
      </c>
      <c r="E44" s="151">
        <v>1921</v>
      </c>
      <c r="F44" s="151">
        <v>2212</v>
      </c>
      <c r="G44" s="151">
        <v>2042</v>
      </c>
      <c r="H44" s="151">
        <v>1755</v>
      </c>
      <c r="I44" s="151">
        <v>1854</v>
      </c>
      <c r="J44" s="151">
        <v>3377</v>
      </c>
      <c r="K44" s="151">
        <v>2375</v>
      </c>
      <c r="L44" s="151">
        <v>1180</v>
      </c>
      <c r="M44" s="151">
        <v>1006</v>
      </c>
      <c r="N44" s="151">
        <v>1183</v>
      </c>
      <c r="O44" s="151">
        <v>1210</v>
      </c>
      <c r="P44" s="151">
        <v>872</v>
      </c>
      <c r="Q44" s="151">
        <v>1035</v>
      </c>
      <c r="R44" s="151">
        <v>858</v>
      </c>
      <c r="S44" s="151">
        <v>1650</v>
      </c>
      <c r="T44" s="151">
        <v>1277</v>
      </c>
      <c r="U44" s="151">
        <v>803</v>
      </c>
      <c r="V44" s="151">
        <v>1320</v>
      </c>
      <c r="W44" s="151">
        <v>1844</v>
      </c>
      <c r="X44" s="151">
        <v>925</v>
      </c>
      <c r="Y44" s="151">
        <v>660</v>
      </c>
      <c r="Z44" s="151" t="s">
        <v>267</v>
      </c>
      <c r="AA44" s="1" t="s">
        <v>267</v>
      </c>
      <c r="AB44" s="1" t="s">
        <v>267</v>
      </c>
      <c r="AC44" s="1" t="s">
        <v>267</v>
      </c>
      <c r="AD44" s="1" t="s">
        <v>267</v>
      </c>
    </row>
    <row r="45" spans="1:30" x14ac:dyDescent="0.25">
      <c r="B45" s="6" t="s">
        <v>215</v>
      </c>
      <c r="C45" s="7">
        <v>4061634</v>
      </c>
      <c r="D45" s="151">
        <v>34726</v>
      </c>
      <c r="E45" s="151">
        <v>47499</v>
      </c>
      <c r="F45" s="151">
        <v>53712</v>
      </c>
      <c r="G45" s="151">
        <v>59885</v>
      </c>
      <c r="H45" s="151">
        <v>25315</v>
      </c>
      <c r="I45" s="151">
        <v>18926</v>
      </c>
      <c r="J45" s="151">
        <v>18247</v>
      </c>
      <c r="K45" s="151">
        <v>14265</v>
      </c>
      <c r="L45" s="151">
        <v>11404</v>
      </c>
      <c r="M45" s="151">
        <v>10956</v>
      </c>
      <c r="N45" s="151">
        <v>10551</v>
      </c>
      <c r="O45" s="151">
        <v>11418</v>
      </c>
      <c r="P45" s="151">
        <v>11861</v>
      </c>
      <c r="Q45" s="151">
        <v>15381</v>
      </c>
      <c r="R45" s="151">
        <v>9453</v>
      </c>
      <c r="S45" s="151">
        <v>11302</v>
      </c>
      <c r="T45" s="151">
        <v>8032</v>
      </c>
      <c r="U45" s="151">
        <v>14431</v>
      </c>
      <c r="V45" s="151">
        <v>9272</v>
      </c>
      <c r="W45" s="151">
        <v>10629</v>
      </c>
      <c r="X45" s="151">
        <v>5359</v>
      </c>
      <c r="Y45" s="151">
        <v>9021</v>
      </c>
      <c r="Z45" s="151">
        <v>7613</v>
      </c>
      <c r="AA45" s="1">
        <v>6695</v>
      </c>
      <c r="AB45" s="1">
        <v>0</v>
      </c>
      <c r="AC45" s="1">
        <v>0</v>
      </c>
      <c r="AD45" s="1">
        <v>0</v>
      </c>
    </row>
    <row r="46" spans="1:30" x14ac:dyDescent="0.25">
      <c r="B46" s="6" t="s">
        <v>216</v>
      </c>
      <c r="C46" s="7">
        <v>4061687</v>
      </c>
      <c r="D46" s="151">
        <v>30339</v>
      </c>
      <c r="E46" s="151">
        <v>27578</v>
      </c>
      <c r="F46" s="151">
        <v>26424</v>
      </c>
      <c r="G46" s="151">
        <v>24784</v>
      </c>
      <c r="H46" s="151">
        <v>23354</v>
      </c>
      <c r="I46" s="151">
        <v>22866</v>
      </c>
      <c r="J46" s="151">
        <v>13136</v>
      </c>
      <c r="K46" s="151">
        <v>53890</v>
      </c>
      <c r="L46" s="151">
        <v>43554</v>
      </c>
      <c r="M46" s="151">
        <v>51368</v>
      </c>
      <c r="N46" s="151">
        <v>45129</v>
      </c>
      <c r="O46" s="151">
        <v>48215</v>
      </c>
      <c r="P46" s="151">
        <v>41216</v>
      </c>
      <c r="Q46" s="151">
        <v>50025</v>
      </c>
      <c r="R46" s="151">
        <v>45253</v>
      </c>
      <c r="S46" s="151">
        <v>46149</v>
      </c>
      <c r="T46" s="151">
        <v>40851</v>
      </c>
      <c r="U46" s="151">
        <v>43937</v>
      </c>
      <c r="V46" s="151">
        <v>46370</v>
      </c>
      <c r="W46" s="151">
        <v>45547</v>
      </c>
      <c r="X46" s="151">
        <v>12458</v>
      </c>
      <c r="Y46" s="151">
        <v>45762</v>
      </c>
      <c r="Z46" s="151">
        <v>45387</v>
      </c>
      <c r="AA46" s="1">
        <v>43375</v>
      </c>
      <c r="AB46" s="1">
        <v>60513</v>
      </c>
      <c r="AC46" s="1">
        <v>58859</v>
      </c>
      <c r="AD46" s="1">
        <v>60650</v>
      </c>
    </row>
    <row r="47" spans="1:30" x14ac:dyDescent="0.25">
      <c r="A47" s="1" t="s">
        <v>268</v>
      </c>
      <c r="B47" s="6" t="s">
        <v>217</v>
      </c>
      <c r="C47" s="7">
        <v>4061755</v>
      </c>
      <c r="D47" s="151">
        <v>270229.40100000001</v>
      </c>
      <c r="E47" s="151">
        <v>143086</v>
      </c>
      <c r="F47" s="151">
        <v>204775</v>
      </c>
      <c r="G47" s="151">
        <v>131089</v>
      </c>
      <c r="H47" s="151">
        <v>150679</v>
      </c>
      <c r="I47" s="151">
        <v>127654</v>
      </c>
      <c r="J47" s="151">
        <v>120059</v>
      </c>
      <c r="K47" s="151">
        <v>103472</v>
      </c>
      <c r="L47" s="151">
        <v>81631</v>
      </c>
      <c r="M47" s="151">
        <v>38735</v>
      </c>
      <c r="N47" s="151">
        <v>63151</v>
      </c>
      <c r="O47" s="151">
        <v>35802</v>
      </c>
      <c r="P47" s="151">
        <v>45492</v>
      </c>
      <c r="Q47" s="151">
        <v>45068</v>
      </c>
      <c r="R47" s="151">
        <v>41352</v>
      </c>
      <c r="S47" s="151">
        <v>36902</v>
      </c>
      <c r="T47" s="151">
        <v>42588</v>
      </c>
      <c r="U47" s="151">
        <v>45942</v>
      </c>
      <c r="V47" s="151">
        <v>33977</v>
      </c>
      <c r="W47" s="151">
        <v>36913</v>
      </c>
      <c r="X47" s="151">
        <v>35879</v>
      </c>
      <c r="Y47" s="151">
        <v>38779</v>
      </c>
      <c r="Z47" s="151">
        <v>39322</v>
      </c>
      <c r="AA47" s="1">
        <v>37147</v>
      </c>
      <c r="AB47" s="1">
        <v>0</v>
      </c>
      <c r="AC47" s="1">
        <v>0</v>
      </c>
      <c r="AD47" s="1">
        <v>0</v>
      </c>
    </row>
    <row r="48" spans="1:30" x14ac:dyDescent="0.25">
      <c r="A48" s="1" t="s">
        <v>268</v>
      </c>
      <c r="B48" s="6" t="s">
        <v>219</v>
      </c>
      <c r="C48" s="7">
        <v>4004389</v>
      </c>
      <c r="D48" s="151">
        <v>93161</v>
      </c>
      <c r="E48" s="151">
        <v>63498</v>
      </c>
      <c r="F48" s="151">
        <v>84505</v>
      </c>
      <c r="G48" s="151">
        <v>42463</v>
      </c>
      <c r="H48" s="151">
        <v>63067</v>
      </c>
      <c r="I48" s="151">
        <v>49602</v>
      </c>
      <c r="J48" s="151">
        <v>32774</v>
      </c>
      <c r="K48" s="151">
        <v>66849</v>
      </c>
      <c r="L48" s="151">
        <v>33014</v>
      </c>
      <c r="M48" s="151">
        <v>35356</v>
      </c>
      <c r="N48" s="151">
        <v>30900</v>
      </c>
      <c r="O48" s="151">
        <v>20137</v>
      </c>
      <c r="P48" s="151">
        <v>19528</v>
      </c>
      <c r="Q48" s="151">
        <v>24819</v>
      </c>
      <c r="R48" s="151">
        <v>17520</v>
      </c>
      <c r="S48" s="151">
        <v>16310</v>
      </c>
      <c r="T48" s="151">
        <v>15345</v>
      </c>
      <c r="U48" s="151">
        <v>19542</v>
      </c>
      <c r="V48" s="151">
        <v>22051</v>
      </c>
      <c r="W48" s="151">
        <v>21493</v>
      </c>
      <c r="X48" s="151">
        <v>22013</v>
      </c>
      <c r="Y48" s="151">
        <v>20185</v>
      </c>
      <c r="Z48" s="151">
        <v>26200</v>
      </c>
      <c r="AA48" s="1">
        <v>31449</v>
      </c>
      <c r="AB48" s="1">
        <v>0</v>
      </c>
      <c r="AC48" s="1">
        <v>0</v>
      </c>
      <c r="AD48" s="1">
        <v>0</v>
      </c>
    </row>
    <row r="49" spans="1:30" x14ac:dyDescent="0.25">
      <c r="A49" s="1" t="s">
        <v>268</v>
      </c>
      <c r="B49" s="6" t="s">
        <v>220</v>
      </c>
      <c r="C49" s="7">
        <v>4057014</v>
      </c>
      <c r="D49" s="151">
        <v>122093</v>
      </c>
      <c r="E49" s="151">
        <v>99009</v>
      </c>
      <c r="F49" s="151">
        <v>101385</v>
      </c>
      <c r="G49" s="151">
        <v>97827</v>
      </c>
      <c r="H49" s="151">
        <v>95505</v>
      </c>
      <c r="I49" s="151">
        <v>81144</v>
      </c>
      <c r="J49" s="151">
        <v>107916</v>
      </c>
      <c r="K49" s="151">
        <v>83801</v>
      </c>
      <c r="L49" s="151">
        <v>51741</v>
      </c>
      <c r="M49" s="151">
        <v>46545</v>
      </c>
      <c r="N49" s="151">
        <v>59802</v>
      </c>
      <c r="O49" s="151">
        <v>55435</v>
      </c>
      <c r="P49" s="151">
        <v>62903</v>
      </c>
      <c r="Q49" s="151">
        <v>63450</v>
      </c>
      <c r="R49" s="151">
        <v>54148</v>
      </c>
      <c r="S49" s="151">
        <v>64046</v>
      </c>
      <c r="T49" s="151">
        <v>74924</v>
      </c>
      <c r="U49" s="151">
        <v>33944</v>
      </c>
      <c r="V49" s="151">
        <v>50984</v>
      </c>
      <c r="W49" s="151">
        <v>5996</v>
      </c>
      <c r="X49" s="151">
        <v>39514</v>
      </c>
      <c r="Y49" s="151">
        <v>50931</v>
      </c>
      <c r="Z49" s="151">
        <v>71563</v>
      </c>
      <c r="AA49" s="1">
        <v>41808</v>
      </c>
      <c r="AB49" s="1">
        <v>0</v>
      </c>
      <c r="AC49" s="1">
        <v>0</v>
      </c>
      <c r="AD49" s="1">
        <v>0</v>
      </c>
    </row>
    <row r="50" spans="1:30" x14ac:dyDescent="0.25">
      <c r="B50" s="6" t="s">
        <v>221</v>
      </c>
      <c r="C50" s="7">
        <v>4057130</v>
      </c>
      <c r="D50" s="151">
        <v>31660</v>
      </c>
      <c r="E50" s="151">
        <v>19592</v>
      </c>
      <c r="F50" s="151">
        <v>27330</v>
      </c>
      <c r="G50" s="151">
        <v>53291</v>
      </c>
      <c r="H50" s="151">
        <v>30029</v>
      </c>
      <c r="I50" s="151">
        <v>17652</v>
      </c>
      <c r="J50" s="151">
        <v>32687</v>
      </c>
      <c r="K50" s="151">
        <v>31214</v>
      </c>
      <c r="L50" s="151">
        <v>25173</v>
      </c>
      <c r="M50" s="151">
        <v>15082</v>
      </c>
      <c r="N50" s="151">
        <v>5979</v>
      </c>
      <c r="O50" s="151">
        <v>9532</v>
      </c>
      <c r="P50" s="151">
        <v>6411</v>
      </c>
      <c r="Q50" s="151">
        <v>9519</v>
      </c>
      <c r="R50" s="151">
        <v>6792</v>
      </c>
      <c r="S50" s="151">
        <v>7710</v>
      </c>
      <c r="T50" s="151">
        <v>12834</v>
      </c>
      <c r="U50" s="151">
        <v>8464</v>
      </c>
      <c r="V50" s="151">
        <v>7123</v>
      </c>
      <c r="W50" s="151">
        <v>9639</v>
      </c>
      <c r="X50" s="151">
        <v>6639</v>
      </c>
      <c r="Y50" s="151">
        <v>10573</v>
      </c>
      <c r="Z50" s="151">
        <v>10053</v>
      </c>
      <c r="AA50" s="1">
        <v>10025</v>
      </c>
      <c r="AB50" s="1">
        <v>0</v>
      </c>
      <c r="AC50" s="1">
        <v>0</v>
      </c>
      <c r="AD50" s="1" t="s">
        <v>267</v>
      </c>
    </row>
    <row r="51" spans="1:30" x14ac:dyDescent="0.25">
      <c r="B51" s="6" t="s">
        <v>223</v>
      </c>
      <c r="C51" s="7">
        <v>4057131</v>
      </c>
      <c r="D51" s="151">
        <v>378489</v>
      </c>
      <c r="E51" s="151">
        <v>411692</v>
      </c>
      <c r="F51" s="151">
        <v>473456</v>
      </c>
      <c r="G51" s="151">
        <v>371808</v>
      </c>
      <c r="H51" s="151">
        <v>267330</v>
      </c>
      <c r="I51" s="151">
        <v>239184</v>
      </c>
      <c r="J51" s="151">
        <v>250988</v>
      </c>
      <c r="K51" s="151">
        <v>138561</v>
      </c>
      <c r="L51" s="151">
        <v>127289</v>
      </c>
      <c r="M51" s="151">
        <v>111344</v>
      </c>
      <c r="N51" s="151">
        <v>106288</v>
      </c>
      <c r="O51" s="151">
        <v>110513</v>
      </c>
      <c r="P51" s="151">
        <v>112762</v>
      </c>
      <c r="Q51" s="151">
        <v>121628</v>
      </c>
      <c r="R51" s="151">
        <v>105278</v>
      </c>
      <c r="S51" s="151">
        <v>111073</v>
      </c>
      <c r="T51" s="151">
        <v>114566</v>
      </c>
      <c r="U51" s="151">
        <v>107642</v>
      </c>
      <c r="V51" s="151">
        <v>117190</v>
      </c>
      <c r="W51" s="151">
        <v>101672</v>
      </c>
      <c r="X51" s="151">
        <v>105964</v>
      </c>
      <c r="Y51" s="151">
        <v>86506</v>
      </c>
      <c r="Z51" s="151">
        <v>83643</v>
      </c>
      <c r="AA51" s="1">
        <v>69195</v>
      </c>
      <c r="AB51" s="1">
        <v>0</v>
      </c>
      <c r="AC51" s="1">
        <v>0</v>
      </c>
      <c r="AD51" s="1">
        <v>0</v>
      </c>
    </row>
    <row r="52" spans="1:30" x14ac:dyDescent="0.25">
      <c r="B52" s="6" t="s">
        <v>224</v>
      </c>
      <c r="C52" s="7">
        <v>4012860</v>
      </c>
      <c r="D52" s="151">
        <v>244298</v>
      </c>
      <c r="E52" s="151">
        <v>130762</v>
      </c>
      <c r="F52" s="151">
        <v>131761</v>
      </c>
      <c r="G52" s="151">
        <v>135793</v>
      </c>
      <c r="H52" s="151">
        <v>105974</v>
      </c>
      <c r="I52" s="151">
        <v>124523</v>
      </c>
      <c r="J52" s="151">
        <v>92122</v>
      </c>
      <c r="K52" s="151">
        <v>97440</v>
      </c>
      <c r="L52" s="151">
        <v>83381</v>
      </c>
      <c r="M52" s="151">
        <v>75555</v>
      </c>
      <c r="N52" s="151">
        <v>44416</v>
      </c>
      <c r="O52" s="151">
        <v>24429</v>
      </c>
      <c r="P52" s="151">
        <v>34996</v>
      </c>
      <c r="Q52" s="151">
        <v>37490</v>
      </c>
      <c r="R52" s="151">
        <v>37090</v>
      </c>
      <c r="S52" s="151">
        <v>46886</v>
      </c>
      <c r="T52" s="151">
        <v>32919</v>
      </c>
      <c r="U52" s="151">
        <v>36162</v>
      </c>
      <c r="V52" s="151">
        <v>40086</v>
      </c>
      <c r="W52" s="151">
        <v>37118</v>
      </c>
      <c r="X52" s="151">
        <v>40816</v>
      </c>
      <c r="Y52" s="151">
        <v>44945</v>
      </c>
      <c r="Z52" s="151">
        <v>31879</v>
      </c>
      <c r="AA52" s="1">
        <v>36444</v>
      </c>
      <c r="AB52" s="1">
        <v>0</v>
      </c>
      <c r="AC52" s="1">
        <v>0</v>
      </c>
      <c r="AD52" s="1">
        <v>0</v>
      </c>
    </row>
    <row r="53" spans="1:30" x14ac:dyDescent="0.25">
      <c r="B53" s="6" t="s">
        <v>227</v>
      </c>
      <c r="C53" s="7">
        <v>4061925</v>
      </c>
      <c r="D53" s="151">
        <v>31200</v>
      </c>
      <c r="E53" s="151">
        <v>26374</v>
      </c>
      <c r="F53" s="151">
        <v>18435</v>
      </c>
      <c r="G53" s="151">
        <v>19791</v>
      </c>
      <c r="H53" s="151">
        <v>23159</v>
      </c>
      <c r="I53" s="151">
        <v>19987</v>
      </c>
      <c r="J53" s="151">
        <v>19330</v>
      </c>
      <c r="K53" s="151">
        <v>20466</v>
      </c>
      <c r="L53" s="151">
        <v>11933</v>
      </c>
      <c r="M53" s="151">
        <v>10056</v>
      </c>
      <c r="N53" s="151">
        <v>13190</v>
      </c>
      <c r="O53" s="151">
        <v>9607</v>
      </c>
      <c r="P53" s="151">
        <v>9896</v>
      </c>
      <c r="Q53" s="151">
        <v>4148</v>
      </c>
      <c r="R53" s="151">
        <v>6844</v>
      </c>
      <c r="S53" s="151">
        <v>5032</v>
      </c>
      <c r="T53" s="151">
        <v>8735</v>
      </c>
      <c r="U53" s="151">
        <v>8263</v>
      </c>
      <c r="V53" s="151">
        <v>7292</v>
      </c>
      <c r="W53" s="151">
        <v>4884</v>
      </c>
      <c r="X53" s="151">
        <v>3838</v>
      </c>
      <c r="Y53" s="151">
        <v>7313</v>
      </c>
      <c r="Z53" s="151">
        <v>6291</v>
      </c>
      <c r="AA53" s="1">
        <v>6740</v>
      </c>
      <c r="AB53" s="1">
        <v>0</v>
      </c>
      <c r="AC53" s="1">
        <v>0</v>
      </c>
      <c r="AD53" s="1">
        <v>0</v>
      </c>
    </row>
    <row r="54" spans="1:30" x14ac:dyDescent="0.25">
      <c r="B54" s="6" t="s">
        <v>284</v>
      </c>
      <c r="C54" s="7">
        <v>4057132</v>
      </c>
      <c r="D54" s="151" t="s">
        <v>267</v>
      </c>
      <c r="E54" s="151" t="s">
        <v>267</v>
      </c>
      <c r="F54" s="151" t="s">
        <v>267</v>
      </c>
      <c r="G54" s="151" t="s">
        <v>267</v>
      </c>
      <c r="H54" s="151">
        <v>87873</v>
      </c>
      <c r="I54" s="151">
        <v>83468</v>
      </c>
      <c r="J54" s="151">
        <v>73446</v>
      </c>
      <c r="K54" s="151">
        <v>73398</v>
      </c>
      <c r="L54" s="151">
        <v>62428</v>
      </c>
      <c r="M54" s="151">
        <v>57124</v>
      </c>
      <c r="N54" s="151">
        <v>52393</v>
      </c>
      <c r="O54" s="151">
        <v>46937</v>
      </c>
      <c r="P54" s="151">
        <v>66267</v>
      </c>
      <c r="Q54" s="151">
        <v>77066</v>
      </c>
      <c r="R54" s="151">
        <v>83764</v>
      </c>
      <c r="S54" s="151">
        <v>87315</v>
      </c>
      <c r="T54" s="151">
        <v>69018</v>
      </c>
      <c r="U54" s="151">
        <v>76206</v>
      </c>
      <c r="V54" s="151" t="s">
        <v>267</v>
      </c>
      <c r="W54" s="151">
        <v>60713</v>
      </c>
      <c r="X54" s="151">
        <v>56307</v>
      </c>
      <c r="Y54" s="151">
        <v>61342</v>
      </c>
      <c r="Z54" s="151">
        <v>62575</v>
      </c>
      <c r="AA54" s="1">
        <v>60796</v>
      </c>
      <c r="AB54" s="1">
        <v>0</v>
      </c>
      <c r="AC54" s="1">
        <v>0</v>
      </c>
      <c r="AD54" s="1">
        <v>0</v>
      </c>
    </row>
    <row r="55" spans="1:30" x14ac:dyDescent="0.25">
      <c r="A55" s="1" t="s">
        <v>268</v>
      </c>
      <c r="B55" s="6" t="s">
        <v>285</v>
      </c>
      <c r="C55" s="7">
        <v>4057115</v>
      </c>
      <c r="D55" s="151" t="s">
        <v>267</v>
      </c>
      <c r="E55" s="151">
        <v>60819</v>
      </c>
      <c r="F55" s="151">
        <v>66379</v>
      </c>
      <c r="G55" s="151">
        <v>58594</v>
      </c>
      <c r="H55" s="151">
        <v>50520</v>
      </c>
      <c r="I55" s="151">
        <v>44972</v>
      </c>
      <c r="J55" s="151">
        <v>35446</v>
      </c>
      <c r="K55" s="151">
        <v>23248</v>
      </c>
      <c r="L55" s="151">
        <v>26653</v>
      </c>
      <c r="M55" s="151">
        <v>28612</v>
      </c>
      <c r="N55" s="151">
        <v>24229</v>
      </c>
      <c r="O55" s="151">
        <v>14420</v>
      </c>
      <c r="P55" s="151">
        <v>19250</v>
      </c>
      <c r="Q55" s="151">
        <v>17157</v>
      </c>
      <c r="R55" s="151">
        <v>14822</v>
      </c>
      <c r="S55" s="151">
        <v>16354</v>
      </c>
      <c r="T55" s="151">
        <v>11562</v>
      </c>
      <c r="U55" s="151">
        <v>15445</v>
      </c>
      <c r="V55" s="151" t="s">
        <v>267</v>
      </c>
      <c r="W55" s="151">
        <v>35901</v>
      </c>
      <c r="X55" s="151" t="s">
        <v>267</v>
      </c>
      <c r="Y55" s="151">
        <v>0</v>
      </c>
      <c r="Z55" s="151" t="s">
        <v>267</v>
      </c>
      <c r="AA55" s="1">
        <v>18490</v>
      </c>
      <c r="AB55" s="1">
        <v>0</v>
      </c>
      <c r="AC55" s="1">
        <v>0</v>
      </c>
      <c r="AD55" s="1">
        <v>0</v>
      </c>
    </row>
    <row r="56" spans="1:30" x14ac:dyDescent="0.25">
      <c r="B56" s="6" t="s">
        <v>228</v>
      </c>
      <c r="C56" s="7">
        <v>4064479</v>
      </c>
      <c r="D56" s="151">
        <v>2084</v>
      </c>
      <c r="E56" s="151">
        <v>3191</v>
      </c>
      <c r="F56" s="151">
        <v>2362</v>
      </c>
      <c r="G56" s="151">
        <v>2416</v>
      </c>
      <c r="H56" s="151">
        <v>2541</v>
      </c>
      <c r="I56" s="151">
        <v>2458</v>
      </c>
      <c r="J56" s="151">
        <v>2302</v>
      </c>
      <c r="K56" s="151">
        <v>1491</v>
      </c>
      <c r="L56" s="151">
        <v>2240</v>
      </c>
      <c r="M56" s="151">
        <v>2057</v>
      </c>
      <c r="N56" s="151">
        <v>2196</v>
      </c>
      <c r="O56" s="151">
        <v>2532</v>
      </c>
      <c r="P56" s="151">
        <v>1275</v>
      </c>
      <c r="Q56" s="151">
        <v>1831</v>
      </c>
      <c r="R56" s="151">
        <v>1483</v>
      </c>
      <c r="S56" s="151">
        <v>1813</v>
      </c>
      <c r="T56" s="151">
        <v>1601</v>
      </c>
      <c r="U56" s="151">
        <v>1504</v>
      </c>
      <c r="V56" s="151">
        <v>1399</v>
      </c>
      <c r="W56" s="151">
        <v>1288</v>
      </c>
      <c r="X56" s="151">
        <v>1580</v>
      </c>
      <c r="Y56" s="151">
        <v>1515</v>
      </c>
      <c r="Z56" s="151">
        <v>1446</v>
      </c>
      <c r="AA56" s="1">
        <v>1332</v>
      </c>
      <c r="AB56" s="1">
        <v>0</v>
      </c>
      <c r="AC56" s="1">
        <v>1903</v>
      </c>
      <c r="AD56" s="1">
        <v>0</v>
      </c>
    </row>
    <row r="57" spans="1:30" x14ac:dyDescent="0.25">
      <c r="B57" s="6" t="s">
        <v>286</v>
      </c>
      <c r="C57" s="7">
        <v>4062025</v>
      </c>
      <c r="D57" s="151" t="s">
        <v>267</v>
      </c>
      <c r="E57" s="151">
        <v>9517</v>
      </c>
      <c r="F57" s="151">
        <v>1799</v>
      </c>
      <c r="G57" s="151">
        <v>1779</v>
      </c>
      <c r="H57" s="151">
        <v>2484</v>
      </c>
      <c r="I57" s="151">
        <v>4624</v>
      </c>
      <c r="J57" s="151">
        <v>2525</v>
      </c>
      <c r="K57" s="151">
        <v>5111</v>
      </c>
      <c r="L57" s="151">
        <v>1785</v>
      </c>
      <c r="M57" s="151">
        <v>2037</v>
      </c>
      <c r="N57" s="151">
        <v>1986</v>
      </c>
      <c r="O57" s="151">
        <v>1345</v>
      </c>
      <c r="P57" s="151">
        <v>1719</v>
      </c>
      <c r="Q57" s="151">
        <v>2380</v>
      </c>
      <c r="R57" s="151">
        <v>1955</v>
      </c>
      <c r="S57" s="151">
        <v>1330</v>
      </c>
      <c r="T57" s="151">
        <v>973</v>
      </c>
      <c r="U57" s="151">
        <v>1831</v>
      </c>
      <c r="V57" s="151">
        <v>1255</v>
      </c>
      <c r="W57" s="151">
        <v>1177</v>
      </c>
      <c r="X57" s="151">
        <v>1300</v>
      </c>
      <c r="Y57" s="151">
        <v>985</v>
      </c>
      <c r="Z57" s="151">
        <v>1480</v>
      </c>
      <c r="AA57" s="1">
        <v>1803</v>
      </c>
      <c r="AB57" s="1">
        <v>0</v>
      </c>
      <c r="AC57" s="1">
        <v>0</v>
      </c>
      <c r="AD57" s="1">
        <v>0</v>
      </c>
    </row>
    <row r="58" spans="1:30" x14ac:dyDescent="0.25">
      <c r="B58" s="6" t="s">
        <v>287</v>
      </c>
      <c r="C58" s="7">
        <v>4064481</v>
      </c>
      <c r="D58" s="151" t="s">
        <v>267</v>
      </c>
      <c r="E58" s="151" t="s">
        <v>267</v>
      </c>
      <c r="F58" s="151" t="s">
        <v>267</v>
      </c>
      <c r="G58" s="151">
        <v>86155</v>
      </c>
      <c r="H58" s="151">
        <v>99013</v>
      </c>
      <c r="I58" s="151">
        <v>100005</v>
      </c>
      <c r="J58" s="151">
        <v>114587</v>
      </c>
      <c r="K58" s="151">
        <v>103546</v>
      </c>
      <c r="L58" s="151">
        <v>96914</v>
      </c>
      <c r="M58" s="151">
        <v>83988</v>
      </c>
      <c r="N58" s="151">
        <v>75155</v>
      </c>
      <c r="O58" s="151">
        <v>92465</v>
      </c>
      <c r="P58" s="151">
        <v>63785</v>
      </c>
      <c r="Q58" s="151">
        <v>78581</v>
      </c>
      <c r="R58" s="151">
        <v>71591</v>
      </c>
      <c r="S58" s="151">
        <v>47755</v>
      </c>
      <c r="T58" s="151">
        <v>54857</v>
      </c>
      <c r="U58" s="151">
        <v>48724</v>
      </c>
      <c r="V58" s="151">
        <v>72218</v>
      </c>
      <c r="W58" s="151">
        <v>29168</v>
      </c>
      <c r="X58" s="151">
        <v>49017</v>
      </c>
      <c r="Y58" s="151">
        <v>45068</v>
      </c>
      <c r="Z58" s="151">
        <v>37836</v>
      </c>
      <c r="AA58" s="1">
        <v>31146</v>
      </c>
      <c r="AB58" s="1">
        <v>0</v>
      </c>
      <c r="AC58" s="1">
        <v>0</v>
      </c>
      <c r="AD58" s="1" t="s">
        <v>267</v>
      </c>
    </row>
    <row r="59" spans="1:30" x14ac:dyDescent="0.25">
      <c r="A59" s="1" t="s">
        <v>268</v>
      </c>
      <c r="B59" s="6" t="s">
        <v>229</v>
      </c>
      <c r="C59" s="7">
        <v>4057093</v>
      </c>
      <c r="D59" s="151">
        <v>54730</v>
      </c>
      <c r="E59" s="151">
        <v>40093</v>
      </c>
      <c r="F59" s="151">
        <v>61074</v>
      </c>
      <c r="G59" s="151">
        <v>45951</v>
      </c>
      <c r="H59" s="151">
        <v>47212</v>
      </c>
      <c r="I59" s="151">
        <v>43855</v>
      </c>
      <c r="J59" s="151">
        <v>38576</v>
      </c>
      <c r="K59" s="151">
        <v>24311</v>
      </c>
      <c r="L59" s="151">
        <v>28708</v>
      </c>
      <c r="M59" s="151">
        <v>38746</v>
      </c>
      <c r="N59" s="151">
        <v>27377</v>
      </c>
      <c r="O59" s="151">
        <v>35852</v>
      </c>
      <c r="P59" s="151">
        <v>21247</v>
      </c>
      <c r="Q59" s="151">
        <v>20764</v>
      </c>
      <c r="R59" s="151">
        <v>17723</v>
      </c>
      <c r="S59" s="151">
        <v>19456</v>
      </c>
      <c r="T59" s="151">
        <v>17182</v>
      </c>
      <c r="U59" s="151">
        <v>16225</v>
      </c>
      <c r="V59" s="151">
        <v>15557</v>
      </c>
      <c r="W59" s="151">
        <v>12975</v>
      </c>
      <c r="X59" s="151">
        <v>12679</v>
      </c>
      <c r="Y59" s="151">
        <v>17319</v>
      </c>
      <c r="Z59" s="151">
        <v>17400</v>
      </c>
      <c r="AA59" s="1">
        <v>14717</v>
      </c>
      <c r="AB59" s="1">
        <v>0</v>
      </c>
      <c r="AC59" s="1">
        <v>0</v>
      </c>
      <c r="AD59" s="1">
        <v>0</v>
      </c>
    </row>
    <row r="60" spans="1:30" x14ac:dyDescent="0.25">
      <c r="B60" s="6" t="s">
        <v>230</v>
      </c>
      <c r="C60" s="7">
        <v>4004218</v>
      </c>
      <c r="D60" s="151">
        <v>1199092.95</v>
      </c>
      <c r="E60" s="151">
        <v>1051764</v>
      </c>
      <c r="F60" s="151">
        <v>914707</v>
      </c>
      <c r="G60" s="151">
        <v>959458</v>
      </c>
      <c r="H60" s="151">
        <v>843826</v>
      </c>
      <c r="I60" s="151">
        <v>938464</v>
      </c>
      <c r="J60" s="151">
        <v>671886</v>
      </c>
      <c r="K60" s="151">
        <v>596995</v>
      </c>
      <c r="L60" s="151">
        <v>594565</v>
      </c>
      <c r="M60" s="151">
        <v>450738</v>
      </c>
      <c r="N60" s="151">
        <v>344276</v>
      </c>
      <c r="O60" s="151">
        <v>280787</v>
      </c>
      <c r="P60" s="151">
        <v>262792</v>
      </c>
      <c r="Q60" s="151">
        <v>248068</v>
      </c>
      <c r="R60" s="151">
        <v>204236</v>
      </c>
      <c r="S60" s="151">
        <v>201139</v>
      </c>
      <c r="T60" s="151">
        <v>188063</v>
      </c>
      <c r="U60" s="151">
        <v>170384</v>
      </c>
      <c r="V60" s="151">
        <v>171847</v>
      </c>
      <c r="W60" s="151">
        <v>178769</v>
      </c>
      <c r="X60" s="151">
        <v>164978</v>
      </c>
      <c r="Y60" s="151">
        <v>150169</v>
      </c>
      <c r="Z60" s="151">
        <v>186974</v>
      </c>
      <c r="AA60" s="1">
        <v>196405</v>
      </c>
      <c r="AB60" s="1">
        <v>0</v>
      </c>
      <c r="AC60" s="1">
        <v>0</v>
      </c>
      <c r="AD60" s="1">
        <v>0</v>
      </c>
    </row>
    <row r="61" spans="1:30" x14ac:dyDescent="0.25">
      <c r="A61" s="1" t="s">
        <v>268</v>
      </c>
      <c r="B61" s="6" t="s">
        <v>288</v>
      </c>
      <c r="C61" s="7">
        <v>4062222</v>
      </c>
      <c r="D61" s="151" t="s">
        <v>267</v>
      </c>
      <c r="E61" s="151">
        <v>206824</v>
      </c>
      <c r="F61" s="151">
        <v>217513</v>
      </c>
      <c r="G61" s="151">
        <v>184940</v>
      </c>
      <c r="H61" s="151">
        <v>158413</v>
      </c>
      <c r="I61" s="151">
        <v>137240</v>
      </c>
      <c r="J61" s="151">
        <v>134210</v>
      </c>
      <c r="K61" s="151">
        <v>116388</v>
      </c>
      <c r="L61" s="151">
        <v>83326</v>
      </c>
      <c r="M61" s="151">
        <v>79110</v>
      </c>
      <c r="N61" s="151">
        <v>64693</v>
      </c>
      <c r="O61" s="151">
        <v>61532</v>
      </c>
      <c r="P61" s="151">
        <v>53440</v>
      </c>
      <c r="Q61" s="151">
        <v>59187</v>
      </c>
      <c r="R61" s="151">
        <v>48693</v>
      </c>
      <c r="S61" s="151">
        <v>56193</v>
      </c>
      <c r="T61" s="151">
        <v>47940</v>
      </c>
      <c r="U61" s="151">
        <v>53750</v>
      </c>
      <c r="V61" s="151">
        <v>60543</v>
      </c>
      <c r="W61" s="151">
        <v>38989</v>
      </c>
      <c r="X61" s="151">
        <v>106712</v>
      </c>
      <c r="Y61" s="151" t="s">
        <v>267</v>
      </c>
      <c r="Z61" s="151">
        <v>3713</v>
      </c>
      <c r="AA61" s="1">
        <v>5243</v>
      </c>
      <c r="AB61" s="1">
        <v>0</v>
      </c>
      <c r="AC61" s="1">
        <v>0</v>
      </c>
      <c r="AD61" s="1">
        <v>0</v>
      </c>
    </row>
    <row r="62" spans="1:30" x14ac:dyDescent="0.25">
      <c r="B62" s="6" t="s">
        <v>233</v>
      </c>
      <c r="C62" s="7">
        <v>4057135</v>
      </c>
      <c r="D62" s="151">
        <v>338834</v>
      </c>
      <c r="E62" s="151">
        <v>534562</v>
      </c>
      <c r="F62" s="151">
        <v>414285</v>
      </c>
      <c r="G62" s="151">
        <v>352003</v>
      </c>
      <c r="H62" s="151">
        <v>355876</v>
      </c>
      <c r="I62" s="151">
        <v>229083</v>
      </c>
      <c r="J62" s="151">
        <v>332216</v>
      </c>
      <c r="K62" s="151">
        <v>259442</v>
      </c>
      <c r="L62" s="151">
        <v>304610</v>
      </c>
      <c r="M62" s="151">
        <v>223706</v>
      </c>
      <c r="N62" s="151">
        <v>191552</v>
      </c>
      <c r="O62" s="151">
        <v>168910</v>
      </c>
      <c r="P62" s="151">
        <v>56714</v>
      </c>
      <c r="Q62" s="151">
        <v>117769</v>
      </c>
      <c r="R62" s="151">
        <v>78853</v>
      </c>
      <c r="S62" s="151">
        <v>70211</v>
      </c>
      <c r="T62" s="151">
        <v>54795</v>
      </c>
      <c r="U62" s="151">
        <v>50016</v>
      </c>
      <c r="V62" s="151">
        <v>35405</v>
      </c>
      <c r="W62" s="151">
        <v>50577</v>
      </c>
      <c r="X62" s="151">
        <v>68464</v>
      </c>
      <c r="Y62" s="151">
        <v>56835</v>
      </c>
      <c r="Z62" s="151">
        <v>49270</v>
      </c>
      <c r="AA62" s="1">
        <v>41407</v>
      </c>
      <c r="AB62" s="1">
        <v>0</v>
      </c>
      <c r="AC62" s="1">
        <v>0</v>
      </c>
      <c r="AD62" s="1">
        <v>0</v>
      </c>
    </row>
    <row r="63" spans="1:30" x14ac:dyDescent="0.25">
      <c r="B63" s="6" t="s">
        <v>234</v>
      </c>
      <c r="C63" s="7">
        <v>4063341</v>
      </c>
      <c r="D63" s="151">
        <v>287153</v>
      </c>
      <c r="E63" s="151">
        <v>241689</v>
      </c>
      <c r="F63" s="151">
        <v>174542</v>
      </c>
      <c r="G63" s="151">
        <v>146440</v>
      </c>
      <c r="H63" s="151">
        <v>117169</v>
      </c>
      <c r="I63" s="151">
        <v>111742</v>
      </c>
      <c r="J63" s="151">
        <v>92874</v>
      </c>
      <c r="K63" s="151">
        <v>68179</v>
      </c>
      <c r="L63" s="151">
        <v>82623</v>
      </c>
      <c r="M63" s="151">
        <v>53089</v>
      </c>
      <c r="N63" s="151">
        <v>58176</v>
      </c>
      <c r="O63" s="151">
        <v>48022</v>
      </c>
      <c r="P63" s="151">
        <v>59754</v>
      </c>
      <c r="Q63" s="151">
        <v>42244</v>
      </c>
      <c r="R63" s="151">
        <v>33594</v>
      </c>
      <c r="S63" s="151">
        <v>49421</v>
      </c>
      <c r="T63" s="151">
        <v>31836</v>
      </c>
      <c r="U63" s="151">
        <v>37869</v>
      </c>
      <c r="V63" s="151">
        <v>69653</v>
      </c>
      <c r="W63" s="151">
        <v>47016</v>
      </c>
      <c r="X63" s="151">
        <v>25807</v>
      </c>
      <c r="Y63" s="151">
        <v>0</v>
      </c>
      <c r="Z63" s="151">
        <v>70775</v>
      </c>
      <c r="AA63" s="1">
        <v>0</v>
      </c>
      <c r="AB63" s="1">
        <v>0</v>
      </c>
      <c r="AC63" s="1">
        <v>0</v>
      </c>
      <c r="AD63" s="1">
        <v>0</v>
      </c>
    </row>
    <row r="64" spans="1:30" x14ac:dyDescent="0.25">
      <c r="A64" s="1" t="s">
        <v>268</v>
      </c>
      <c r="B64" s="6" t="s">
        <v>289</v>
      </c>
      <c r="C64" s="7">
        <v>4083575</v>
      </c>
      <c r="D64" s="151" t="s">
        <v>267</v>
      </c>
      <c r="E64" s="151">
        <v>68883</v>
      </c>
      <c r="F64" s="151">
        <v>36907</v>
      </c>
      <c r="G64" s="151">
        <v>66097</v>
      </c>
      <c r="H64" s="151">
        <v>35034</v>
      </c>
      <c r="I64" s="151">
        <v>56501</v>
      </c>
      <c r="J64" s="151">
        <v>23606</v>
      </c>
      <c r="K64" s="151">
        <v>45175</v>
      </c>
      <c r="L64" s="151">
        <v>44350</v>
      </c>
      <c r="M64" s="151">
        <v>26941</v>
      </c>
      <c r="N64" s="151">
        <v>24515</v>
      </c>
      <c r="O64" s="151">
        <v>27877</v>
      </c>
      <c r="P64" s="151">
        <v>37652</v>
      </c>
      <c r="Q64" s="151">
        <v>36855</v>
      </c>
      <c r="R64" s="151">
        <v>38262</v>
      </c>
      <c r="S64" s="151">
        <v>36953</v>
      </c>
      <c r="T64" s="151">
        <v>34855</v>
      </c>
      <c r="U64" s="151">
        <v>36517</v>
      </c>
      <c r="V64" s="151">
        <v>29691</v>
      </c>
      <c r="W64" s="151">
        <v>73545</v>
      </c>
      <c r="X64" s="151">
        <v>28194</v>
      </c>
      <c r="Y64" s="151" t="s">
        <v>267</v>
      </c>
      <c r="Z64" s="151" t="s">
        <v>267</v>
      </c>
      <c r="AA64" s="1" t="s">
        <v>267</v>
      </c>
      <c r="AB64" s="1" t="s">
        <v>267</v>
      </c>
      <c r="AC64" s="1" t="s">
        <v>267</v>
      </c>
      <c r="AD64" s="1" t="s">
        <v>267</v>
      </c>
    </row>
    <row r="65" spans="1:30" x14ac:dyDescent="0.25">
      <c r="B65" s="6" t="s">
        <v>290</v>
      </c>
      <c r="C65" s="7">
        <v>4062303</v>
      </c>
      <c r="D65" s="151" t="s">
        <v>267</v>
      </c>
      <c r="E65" s="151">
        <v>84</v>
      </c>
      <c r="F65" s="151">
        <v>322</v>
      </c>
      <c r="G65" s="151">
        <v>114</v>
      </c>
      <c r="H65" s="151" t="s">
        <v>267</v>
      </c>
      <c r="I65" s="151" t="s">
        <v>267</v>
      </c>
      <c r="J65" s="151">
        <v>134</v>
      </c>
      <c r="K65" s="151">
        <v>73</v>
      </c>
      <c r="L65" s="151">
        <v>127</v>
      </c>
      <c r="M65" s="151">
        <v>492</v>
      </c>
      <c r="N65" s="151">
        <v>95</v>
      </c>
      <c r="O65" s="151">
        <v>122</v>
      </c>
      <c r="P65" s="151">
        <v>71</v>
      </c>
      <c r="Q65" s="151">
        <v>190</v>
      </c>
      <c r="R65" s="151">
        <v>181</v>
      </c>
      <c r="S65" s="151">
        <v>152</v>
      </c>
      <c r="T65" s="151">
        <v>361</v>
      </c>
      <c r="U65" s="151">
        <v>58</v>
      </c>
      <c r="V65" s="151">
        <v>25</v>
      </c>
      <c r="W65" s="151">
        <v>84</v>
      </c>
      <c r="X65" s="151">
        <v>100</v>
      </c>
      <c r="Y65" s="151">
        <v>6</v>
      </c>
      <c r="Z65" s="151" t="s">
        <v>267</v>
      </c>
      <c r="AA65" s="1" t="s">
        <v>267</v>
      </c>
      <c r="AB65" s="1" t="s">
        <v>267</v>
      </c>
      <c r="AC65" s="1" t="s">
        <v>267</v>
      </c>
      <c r="AD65" s="1" t="s">
        <v>267</v>
      </c>
    </row>
    <row r="66" spans="1:30" x14ac:dyDescent="0.25">
      <c r="B66" s="6" t="s">
        <v>291</v>
      </c>
      <c r="C66" s="7">
        <v>4083581</v>
      </c>
      <c r="D66" s="151" t="s">
        <v>267</v>
      </c>
      <c r="E66" s="151">
        <v>298</v>
      </c>
      <c r="F66" s="151">
        <v>239</v>
      </c>
      <c r="G66" s="151">
        <v>292</v>
      </c>
      <c r="H66" s="151">
        <v>740</v>
      </c>
      <c r="I66" s="151">
        <v>469</v>
      </c>
      <c r="J66" s="151">
        <v>569</v>
      </c>
      <c r="K66" s="151">
        <v>308</v>
      </c>
      <c r="L66" s="151">
        <v>346</v>
      </c>
      <c r="M66" s="151">
        <v>5</v>
      </c>
      <c r="N66" s="151">
        <v>7</v>
      </c>
      <c r="O66" s="151">
        <v>0</v>
      </c>
      <c r="P66" s="151">
        <v>11</v>
      </c>
      <c r="Q66" s="151">
        <v>8</v>
      </c>
      <c r="R66" s="151">
        <v>122</v>
      </c>
      <c r="S66" s="151">
        <v>81</v>
      </c>
      <c r="T66" s="151">
        <v>316</v>
      </c>
      <c r="U66" s="151">
        <v>351</v>
      </c>
      <c r="V66" s="151">
        <v>128</v>
      </c>
      <c r="W66" s="151" t="s">
        <v>267</v>
      </c>
      <c r="X66" s="151">
        <v>351</v>
      </c>
      <c r="Y66" s="151">
        <v>50</v>
      </c>
      <c r="Z66" s="151" t="s">
        <v>267</v>
      </c>
      <c r="AA66" s="1" t="s">
        <v>267</v>
      </c>
      <c r="AB66" s="1" t="s">
        <v>267</v>
      </c>
      <c r="AC66" s="1" t="s">
        <v>267</v>
      </c>
      <c r="AD66" s="1" t="s">
        <v>267</v>
      </c>
    </row>
    <row r="67" spans="1:30" x14ac:dyDescent="0.25">
      <c r="B67" s="6" t="s">
        <v>236</v>
      </c>
      <c r="C67" s="7">
        <v>4057139</v>
      </c>
      <c r="D67" s="151">
        <v>135423.149</v>
      </c>
      <c r="E67" s="151">
        <v>115197</v>
      </c>
      <c r="F67" s="151">
        <v>142060</v>
      </c>
      <c r="G67" s="151">
        <v>72919</v>
      </c>
      <c r="H67" s="151">
        <v>70861</v>
      </c>
      <c r="I67" s="151">
        <v>98653</v>
      </c>
      <c r="J67" s="151">
        <v>75856</v>
      </c>
      <c r="K67" s="151">
        <v>93556</v>
      </c>
      <c r="L67" s="151">
        <v>45046</v>
      </c>
      <c r="M67" s="151">
        <v>44813</v>
      </c>
      <c r="N67" s="151">
        <v>51184</v>
      </c>
      <c r="O67" s="151">
        <v>34391</v>
      </c>
      <c r="P67" s="151">
        <v>26503</v>
      </c>
      <c r="Q67" s="151">
        <v>57881</v>
      </c>
      <c r="R67" s="151">
        <v>74266</v>
      </c>
      <c r="S67" s="151">
        <v>73730</v>
      </c>
      <c r="T67" s="151">
        <v>51666</v>
      </c>
      <c r="U67" s="151">
        <v>41557</v>
      </c>
      <c r="V67" s="151">
        <v>38931</v>
      </c>
      <c r="W67" s="151">
        <v>37114</v>
      </c>
      <c r="X67" s="151">
        <v>57307</v>
      </c>
      <c r="Y67" s="151">
        <v>21130</v>
      </c>
      <c r="Z67" s="151">
        <v>27352</v>
      </c>
      <c r="AA67" s="1">
        <v>40284</v>
      </c>
      <c r="AB67" s="1">
        <v>0</v>
      </c>
      <c r="AC67" s="1">
        <v>0</v>
      </c>
      <c r="AD67" s="1">
        <v>0</v>
      </c>
    </row>
    <row r="68" spans="1:30" x14ac:dyDescent="0.25">
      <c r="A68" s="1" t="s">
        <v>268</v>
      </c>
      <c r="B68" s="6" t="s">
        <v>238</v>
      </c>
      <c r="C68" s="7">
        <v>4057095</v>
      </c>
      <c r="D68" s="151">
        <v>646217.01100000006</v>
      </c>
      <c r="E68" s="151" t="s">
        <v>267</v>
      </c>
      <c r="F68" s="151">
        <v>663349</v>
      </c>
      <c r="G68" s="151">
        <v>764322</v>
      </c>
      <c r="H68" s="151">
        <v>733366</v>
      </c>
      <c r="I68" s="151">
        <v>566819</v>
      </c>
      <c r="J68" s="151">
        <v>437196</v>
      </c>
      <c r="K68" s="151">
        <v>277317</v>
      </c>
      <c r="L68" s="151">
        <v>143751</v>
      </c>
      <c r="M68" s="151">
        <v>213179</v>
      </c>
      <c r="N68" s="151">
        <v>189163</v>
      </c>
      <c r="O68" s="151">
        <v>291120</v>
      </c>
      <c r="P68" s="151">
        <v>223510</v>
      </c>
      <c r="Q68" s="151">
        <v>200011</v>
      </c>
      <c r="R68" s="151">
        <v>166946</v>
      </c>
      <c r="S68" s="151">
        <v>187959</v>
      </c>
      <c r="T68" s="151">
        <v>187512</v>
      </c>
      <c r="U68" s="151">
        <v>155225</v>
      </c>
      <c r="V68" s="151">
        <v>153387</v>
      </c>
      <c r="W68" s="151">
        <v>150814</v>
      </c>
      <c r="X68" s="151">
        <v>135898</v>
      </c>
      <c r="Y68" s="151">
        <v>135607</v>
      </c>
      <c r="Z68" s="151">
        <v>127298</v>
      </c>
      <c r="AA68" s="1">
        <v>140541</v>
      </c>
      <c r="AB68" s="1">
        <v>0</v>
      </c>
      <c r="AC68" s="1">
        <v>0</v>
      </c>
      <c r="AD68" s="1">
        <v>0</v>
      </c>
    </row>
    <row r="69" spans="1:30" x14ac:dyDescent="0.25">
      <c r="B69" s="6" t="s">
        <v>239</v>
      </c>
      <c r="C69" s="7">
        <v>4062485</v>
      </c>
      <c r="D69" s="151">
        <v>223517</v>
      </c>
      <c r="E69" s="151">
        <v>280663</v>
      </c>
      <c r="F69" s="151">
        <v>271692</v>
      </c>
      <c r="G69" s="151">
        <v>242041</v>
      </c>
      <c r="H69" s="151">
        <v>239404</v>
      </c>
      <c r="I69" s="151">
        <v>196495</v>
      </c>
      <c r="J69" s="151">
        <v>150535</v>
      </c>
      <c r="K69" s="151">
        <v>164006</v>
      </c>
      <c r="L69" s="151">
        <v>128154</v>
      </c>
      <c r="M69" s="151">
        <v>151987</v>
      </c>
      <c r="N69" s="151">
        <v>107466</v>
      </c>
      <c r="O69" s="151">
        <v>124742</v>
      </c>
      <c r="P69" s="151">
        <v>172488</v>
      </c>
      <c r="Q69" s="151">
        <v>166450</v>
      </c>
      <c r="R69" s="151">
        <v>197844</v>
      </c>
      <c r="S69" s="151">
        <v>151290</v>
      </c>
      <c r="T69" s="151">
        <v>121279</v>
      </c>
      <c r="U69" s="151">
        <v>112319</v>
      </c>
      <c r="V69" s="151">
        <v>94930</v>
      </c>
      <c r="W69" s="151">
        <v>108344</v>
      </c>
      <c r="X69" s="151">
        <v>120053</v>
      </c>
      <c r="Y69" s="151">
        <v>87479</v>
      </c>
      <c r="Z69" s="151">
        <v>105976</v>
      </c>
      <c r="AA69" s="1">
        <v>84052</v>
      </c>
      <c r="AB69" s="1" t="s">
        <v>267</v>
      </c>
      <c r="AC69" s="1" t="s">
        <v>267</v>
      </c>
      <c r="AD69" s="1">
        <v>0</v>
      </c>
    </row>
    <row r="70" spans="1:30" x14ac:dyDescent="0.25">
      <c r="B70" s="6" t="s">
        <v>240</v>
      </c>
      <c r="C70" s="7">
        <v>4057140</v>
      </c>
      <c r="D70" s="151">
        <v>263420</v>
      </c>
      <c r="E70" s="151">
        <v>1732</v>
      </c>
      <c r="F70" s="151">
        <v>4678</v>
      </c>
      <c r="G70" s="151">
        <v>132274</v>
      </c>
      <c r="H70" s="151">
        <v>185269</v>
      </c>
      <c r="I70" s="151">
        <v>200009</v>
      </c>
      <c r="J70" s="151">
        <v>203899</v>
      </c>
      <c r="K70" s="151">
        <v>172069</v>
      </c>
      <c r="L70" s="151">
        <v>179458</v>
      </c>
      <c r="M70" s="151">
        <v>125343</v>
      </c>
      <c r="N70" s="151">
        <v>98619</v>
      </c>
      <c r="O70" s="151">
        <v>78057</v>
      </c>
      <c r="P70" s="151">
        <v>54532</v>
      </c>
      <c r="Q70" s="151">
        <v>122491</v>
      </c>
      <c r="R70" s="151">
        <v>117447</v>
      </c>
      <c r="S70" s="151">
        <v>74190</v>
      </c>
      <c r="T70" s="151">
        <v>58907</v>
      </c>
      <c r="U70" s="151">
        <v>57921</v>
      </c>
      <c r="V70" s="151">
        <v>63959</v>
      </c>
      <c r="W70" s="151">
        <v>78626</v>
      </c>
      <c r="X70" s="151">
        <v>56613</v>
      </c>
      <c r="Y70" s="151">
        <v>95334</v>
      </c>
      <c r="Z70" s="151">
        <v>40107</v>
      </c>
      <c r="AA70" s="1">
        <v>49562</v>
      </c>
      <c r="AB70" s="1">
        <v>0</v>
      </c>
      <c r="AC70" s="1">
        <v>0</v>
      </c>
      <c r="AD70" s="1">
        <v>0</v>
      </c>
    </row>
    <row r="71" spans="1:30" x14ac:dyDescent="0.25">
      <c r="A71" s="1" t="s">
        <v>268</v>
      </c>
      <c r="B71" s="6" t="s">
        <v>243</v>
      </c>
      <c r="C71" s="7">
        <v>4057096</v>
      </c>
      <c r="D71" s="151">
        <v>106714</v>
      </c>
      <c r="E71" s="151">
        <v>45298</v>
      </c>
      <c r="F71" s="151">
        <v>87764</v>
      </c>
      <c r="G71" s="151">
        <v>38809</v>
      </c>
      <c r="H71" s="151">
        <v>82147</v>
      </c>
      <c r="I71" s="151">
        <v>35666</v>
      </c>
      <c r="J71" s="151">
        <v>22894</v>
      </c>
      <c r="K71" s="151">
        <v>30330</v>
      </c>
      <c r="L71" s="151">
        <v>27676</v>
      </c>
      <c r="M71" s="151">
        <v>34218</v>
      </c>
      <c r="N71" s="151">
        <v>24337</v>
      </c>
      <c r="O71" s="151">
        <v>20074</v>
      </c>
      <c r="P71" s="151">
        <v>13647</v>
      </c>
      <c r="Q71" s="151">
        <v>21592</v>
      </c>
      <c r="R71" s="151">
        <v>16470</v>
      </c>
      <c r="S71" s="151">
        <v>15100</v>
      </c>
      <c r="T71" s="151">
        <v>16673</v>
      </c>
      <c r="U71" s="151">
        <v>42137</v>
      </c>
      <c r="V71" s="151" t="s">
        <v>267</v>
      </c>
      <c r="W71" s="151" t="s">
        <v>267</v>
      </c>
      <c r="X71" s="151">
        <v>29742</v>
      </c>
      <c r="Y71" s="151">
        <v>21145</v>
      </c>
      <c r="Z71" s="151">
        <v>22320</v>
      </c>
      <c r="AA71" s="1">
        <v>20438</v>
      </c>
      <c r="AB71" s="1">
        <v>0</v>
      </c>
      <c r="AC71" s="1">
        <v>0</v>
      </c>
      <c r="AD71" s="1">
        <v>0</v>
      </c>
    </row>
    <row r="72" spans="1:30" x14ac:dyDescent="0.25">
      <c r="B72" s="6" t="s">
        <v>292</v>
      </c>
      <c r="C72" s="7">
        <v>4057097</v>
      </c>
      <c r="D72" s="151" t="s">
        <v>267</v>
      </c>
      <c r="E72" s="151" t="s">
        <v>267</v>
      </c>
      <c r="F72" s="151" t="s">
        <v>267</v>
      </c>
      <c r="G72" s="151">
        <v>176983</v>
      </c>
      <c r="H72" s="151">
        <v>267106</v>
      </c>
      <c r="I72" s="151">
        <v>225907</v>
      </c>
      <c r="J72" s="151">
        <v>62318</v>
      </c>
      <c r="K72" s="151">
        <v>67544</v>
      </c>
      <c r="L72" s="151">
        <v>30616</v>
      </c>
      <c r="M72" s="151">
        <v>41694</v>
      </c>
      <c r="N72" s="151">
        <v>40715</v>
      </c>
      <c r="O72" s="151">
        <v>71642</v>
      </c>
      <c r="P72" s="151">
        <v>45433</v>
      </c>
      <c r="Q72" s="151">
        <v>20126</v>
      </c>
      <c r="R72" s="151">
        <v>24488</v>
      </c>
      <c r="S72" s="151">
        <v>30091</v>
      </c>
      <c r="T72" s="151">
        <v>22858</v>
      </c>
      <c r="U72" s="151">
        <v>24156</v>
      </c>
      <c r="V72" s="151">
        <v>32926</v>
      </c>
      <c r="W72" s="151">
        <v>25682</v>
      </c>
      <c r="X72" s="151">
        <v>23200</v>
      </c>
      <c r="Y72" s="151">
        <v>22303</v>
      </c>
      <c r="Z72" s="151">
        <v>26369</v>
      </c>
      <c r="AA72" s="1">
        <v>20160</v>
      </c>
      <c r="AB72" s="1">
        <v>0</v>
      </c>
      <c r="AC72" s="1">
        <v>0</v>
      </c>
      <c r="AD72" s="1">
        <v>0</v>
      </c>
    </row>
    <row r="73" spans="1:30" x14ac:dyDescent="0.25">
      <c r="B73" s="6" t="s">
        <v>293</v>
      </c>
      <c r="C73" s="7">
        <v>4057098</v>
      </c>
      <c r="D73" s="151" t="s">
        <v>267</v>
      </c>
      <c r="E73" s="151" t="s">
        <v>267</v>
      </c>
      <c r="F73" s="151">
        <v>14830</v>
      </c>
      <c r="G73" s="151">
        <v>14398</v>
      </c>
      <c r="H73" s="151">
        <v>9323</v>
      </c>
      <c r="I73" s="151">
        <v>7425</v>
      </c>
      <c r="J73" s="151">
        <v>9908</v>
      </c>
      <c r="K73" s="151">
        <v>9629</v>
      </c>
      <c r="L73" s="151">
        <v>16477</v>
      </c>
      <c r="M73" s="151">
        <v>28751</v>
      </c>
      <c r="N73" s="151">
        <v>9554</v>
      </c>
      <c r="O73" s="151">
        <v>11400</v>
      </c>
      <c r="P73" s="151">
        <v>18128</v>
      </c>
      <c r="Q73" s="151">
        <v>12045</v>
      </c>
      <c r="R73" s="151">
        <v>15289</v>
      </c>
      <c r="S73" s="151">
        <v>11936</v>
      </c>
      <c r="T73" s="151">
        <v>13886</v>
      </c>
      <c r="U73" s="151">
        <v>9906</v>
      </c>
      <c r="V73" s="151">
        <v>16062</v>
      </c>
      <c r="W73" s="151">
        <v>12116</v>
      </c>
      <c r="X73" s="151" t="s">
        <v>267</v>
      </c>
      <c r="Y73" s="151">
        <v>12964</v>
      </c>
      <c r="Z73" s="151">
        <v>7412</v>
      </c>
      <c r="AA73" s="1">
        <v>8170</v>
      </c>
      <c r="AB73" s="1">
        <v>0</v>
      </c>
      <c r="AC73" s="1">
        <v>0</v>
      </c>
      <c r="AD73" s="1">
        <v>0</v>
      </c>
    </row>
    <row r="74" spans="1:30" x14ac:dyDescent="0.25">
      <c r="A74" s="1" t="s">
        <v>268</v>
      </c>
      <c r="B74" s="6" t="s">
        <v>244</v>
      </c>
      <c r="C74" s="7">
        <v>4063023</v>
      </c>
      <c r="D74" s="151">
        <v>239351.49900000001</v>
      </c>
      <c r="E74" s="151" t="s">
        <v>267</v>
      </c>
      <c r="F74" s="151">
        <v>245163</v>
      </c>
      <c r="G74" s="151">
        <v>209117</v>
      </c>
      <c r="H74" s="151">
        <v>196188</v>
      </c>
      <c r="I74" s="151">
        <v>184744</v>
      </c>
      <c r="J74" s="151">
        <v>161566</v>
      </c>
      <c r="K74" s="151">
        <v>142763</v>
      </c>
      <c r="L74" s="151">
        <v>126662</v>
      </c>
      <c r="M74" s="151">
        <v>130046</v>
      </c>
      <c r="N74" s="151">
        <v>94075</v>
      </c>
      <c r="O74" s="151">
        <v>65494</v>
      </c>
      <c r="P74" s="151">
        <v>65868</v>
      </c>
      <c r="Q74" s="151">
        <v>47235</v>
      </c>
      <c r="R74" s="151">
        <v>45155</v>
      </c>
      <c r="S74" s="151">
        <v>50256</v>
      </c>
      <c r="T74" s="151">
        <v>54874</v>
      </c>
      <c r="U74" s="151">
        <v>51008</v>
      </c>
      <c r="V74" s="151">
        <v>39065</v>
      </c>
      <c r="W74" s="151">
        <v>38906</v>
      </c>
      <c r="X74" s="151">
        <v>36892</v>
      </c>
      <c r="Y74" s="151">
        <v>38416</v>
      </c>
      <c r="Z74" s="151">
        <v>35223</v>
      </c>
      <c r="AA74" s="1">
        <v>36447</v>
      </c>
      <c r="AB74" s="1">
        <v>0</v>
      </c>
      <c r="AC74" s="1">
        <v>0</v>
      </c>
      <c r="AD74" s="1">
        <v>0</v>
      </c>
    </row>
    <row r="75" spans="1:30" x14ac:dyDescent="0.25">
      <c r="B75" s="6" t="s">
        <v>245</v>
      </c>
      <c r="C75" s="7">
        <v>4057146</v>
      </c>
      <c r="D75" s="151">
        <v>773734.55299999996</v>
      </c>
      <c r="E75" s="151" t="s">
        <v>267</v>
      </c>
      <c r="F75" s="151">
        <v>590467</v>
      </c>
      <c r="G75" s="151">
        <v>588006</v>
      </c>
      <c r="H75" s="151">
        <v>720721</v>
      </c>
      <c r="I75" s="151">
        <v>736668</v>
      </c>
      <c r="J75" s="151">
        <v>692498</v>
      </c>
      <c r="K75" s="151">
        <v>537091</v>
      </c>
      <c r="L75" s="151">
        <v>368615</v>
      </c>
      <c r="M75" s="151">
        <v>338643</v>
      </c>
      <c r="N75" s="151">
        <v>499476</v>
      </c>
      <c r="O75" s="151">
        <v>264309</v>
      </c>
      <c r="P75" s="151">
        <v>250929</v>
      </c>
      <c r="Q75" s="151">
        <v>243215</v>
      </c>
      <c r="R75" s="151">
        <v>284009</v>
      </c>
      <c r="S75" s="151">
        <v>305454</v>
      </c>
      <c r="T75" s="151">
        <v>333799</v>
      </c>
      <c r="U75" s="151">
        <v>238031</v>
      </c>
      <c r="V75" s="151">
        <v>212920</v>
      </c>
      <c r="W75" s="151">
        <v>172199</v>
      </c>
      <c r="X75" s="151">
        <v>133617</v>
      </c>
      <c r="Y75" s="151">
        <v>124796</v>
      </c>
      <c r="Z75" s="151">
        <v>97757</v>
      </c>
      <c r="AA75" s="1">
        <v>95686</v>
      </c>
      <c r="AB75" s="1">
        <v>0</v>
      </c>
      <c r="AC75" s="1">
        <v>0</v>
      </c>
      <c r="AD75" s="1" t="s">
        <v>267</v>
      </c>
    </row>
    <row r="76" spans="1:30" x14ac:dyDescent="0.25">
      <c r="A76" s="1" t="s">
        <v>268</v>
      </c>
      <c r="B76" s="6" t="s">
        <v>247</v>
      </c>
      <c r="C76" s="7">
        <v>4063060</v>
      </c>
      <c r="D76" s="151">
        <v>52875</v>
      </c>
      <c r="E76" s="151">
        <v>65744</v>
      </c>
      <c r="F76" s="151">
        <v>62806</v>
      </c>
      <c r="G76" s="151">
        <v>54189</v>
      </c>
      <c r="H76" s="151">
        <v>45219</v>
      </c>
      <c r="I76" s="151">
        <v>45675</v>
      </c>
      <c r="J76" s="151">
        <v>60039</v>
      </c>
      <c r="K76" s="151">
        <v>48986</v>
      </c>
      <c r="L76" s="151">
        <v>46418</v>
      </c>
      <c r="M76" s="151">
        <v>36182</v>
      </c>
      <c r="N76" s="151">
        <v>23801</v>
      </c>
      <c r="O76" s="151">
        <v>19771</v>
      </c>
      <c r="P76" s="151">
        <v>20092</v>
      </c>
      <c r="Q76" s="151">
        <v>20247</v>
      </c>
      <c r="R76" s="151">
        <v>21336</v>
      </c>
      <c r="S76" s="151">
        <v>21924</v>
      </c>
      <c r="T76" s="151">
        <v>20007</v>
      </c>
      <c r="U76" s="151">
        <v>18949</v>
      </c>
      <c r="V76" s="151">
        <v>21551</v>
      </c>
      <c r="W76" s="151">
        <v>21583</v>
      </c>
      <c r="X76" s="151">
        <v>24279</v>
      </c>
      <c r="Y76" s="151">
        <v>6183</v>
      </c>
      <c r="Z76" s="151" t="s">
        <v>267</v>
      </c>
      <c r="AA76" s="1">
        <v>17352</v>
      </c>
      <c r="AB76" s="1">
        <v>0</v>
      </c>
      <c r="AC76" s="1">
        <v>0</v>
      </c>
      <c r="AD76" s="1">
        <v>0</v>
      </c>
    </row>
    <row r="77" spans="1:30" x14ac:dyDescent="0.25">
      <c r="B77" s="6" t="s">
        <v>248</v>
      </c>
      <c r="C77" s="7">
        <v>4057100</v>
      </c>
      <c r="D77" s="151">
        <v>28716</v>
      </c>
      <c r="E77" s="151">
        <v>37013</v>
      </c>
      <c r="F77" s="151" t="s">
        <v>267</v>
      </c>
      <c r="G77" s="151">
        <v>39071</v>
      </c>
      <c r="H77" s="151">
        <v>28052</v>
      </c>
      <c r="I77" s="151">
        <v>27173</v>
      </c>
      <c r="J77" s="151">
        <v>29541</v>
      </c>
      <c r="K77" s="151">
        <v>25792</v>
      </c>
      <c r="L77" s="151">
        <v>12128</v>
      </c>
      <c r="M77" s="151">
        <v>9032</v>
      </c>
      <c r="N77" s="151">
        <v>9131</v>
      </c>
      <c r="O77" s="151">
        <v>6739</v>
      </c>
      <c r="P77" s="151">
        <v>7915</v>
      </c>
      <c r="Q77" s="151">
        <v>8705</v>
      </c>
      <c r="R77" s="151">
        <v>6228</v>
      </c>
      <c r="S77" s="151">
        <v>7668</v>
      </c>
      <c r="T77" s="151">
        <v>7584</v>
      </c>
      <c r="U77" s="151">
        <v>4967</v>
      </c>
      <c r="V77" s="151">
        <v>6283</v>
      </c>
      <c r="W77" s="151">
        <v>9240</v>
      </c>
      <c r="X77" s="151">
        <v>2640</v>
      </c>
      <c r="Y77" s="151">
        <v>4657</v>
      </c>
      <c r="Z77" s="151">
        <v>6078</v>
      </c>
      <c r="AA77" s="1">
        <v>4833</v>
      </c>
      <c r="AB77" s="1">
        <v>0</v>
      </c>
      <c r="AC77" s="1">
        <v>0</v>
      </c>
      <c r="AD77" s="1">
        <v>0</v>
      </c>
    </row>
    <row r="78" spans="1:30" x14ac:dyDescent="0.25">
      <c r="B78" s="6" t="s">
        <v>294</v>
      </c>
      <c r="C78" s="7">
        <v>4064035</v>
      </c>
      <c r="D78" s="151" t="s">
        <v>267</v>
      </c>
      <c r="E78" s="151" t="s">
        <v>267</v>
      </c>
      <c r="F78" s="151">
        <v>5832</v>
      </c>
      <c r="G78" s="151">
        <v>3132</v>
      </c>
      <c r="H78" s="151">
        <v>1598</v>
      </c>
      <c r="I78" s="151">
        <v>2271</v>
      </c>
      <c r="J78" s="151">
        <v>1736</v>
      </c>
      <c r="K78" s="151">
        <v>2790</v>
      </c>
      <c r="L78" s="151">
        <v>2010</v>
      </c>
      <c r="M78" s="151">
        <v>1083</v>
      </c>
      <c r="N78" s="151">
        <v>1099</v>
      </c>
      <c r="O78" s="151">
        <v>1217</v>
      </c>
      <c r="P78" s="151">
        <v>1160</v>
      </c>
      <c r="Q78" s="151">
        <v>1640</v>
      </c>
      <c r="R78" s="151">
        <v>1327</v>
      </c>
      <c r="S78" s="151">
        <v>1092</v>
      </c>
      <c r="T78" s="151">
        <v>952</v>
      </c>
      <c r="U78" s="151">
        <v>976</v>
      </c>
      <c r="V78" s="151">
        <v>1088</v>
      </c>
      <c r="W78" s="151" t="s">
        <v>267</v>
      </c>
      <c r="X78" s="151">
        <v>814</v>
      </c>
      <c r="Y78" s="151">
        <v>1127</v>
      </c>
      <c r="Z78" s="151" t="s">
        <v>267</v>
      </c>
      <c r="AA78" s="1">
        <v>0</v>
      </c>
      <c r="AB78" s="1">
        <v>0</v>
      </c>
      <c r="AC78" s="1">
        <v>0</v>
      </c>
      <c r="AD78" s="1">
        <v>0</v>
      </c>
    </row>
    <row r="79" spans="1:30" x14ac:dyDescent="0.25">
      <c r="B79" s="6" t="s">
        <v>295</v>
      </c>
      <c r="C79" s="7">
        <v>4060957</v>
      </c>
      <c r="D79" s="151" t="s">
        <v>267</v>
      </c>
      <c r="E79" s="151">
        <v>164736</v>
      </c>
      <c r="F79" s="151">
        <v>162784</v>
      </c>
      <c r="G79" s="151">
        <v>126745</v>
      </c>
      <c r="H79" s="151">
        <v>154036</v>
      </c>
      <c r="I79" s="151">
        <v>103260</v>
      </c>
      <c r="J79" s="151">
        <v>95837</v>
      </c>
      <c r="K79" s="151">
        <v>78867</v>
      </c>
      <c r="L79" s="151">
        <v>69754</v>
      </c>
      <c r="M79" s="151">
        <v>63515</v>
      </c>
      <c r="N79" s="151">
        <v>54454</v>
      </c>
      <c r="O79" s="151">
        <v>46503</v>
      </c>
      <c r="P79" s="151">
        <v>46493</v>
      </c>
      <c r="Q79" s="151">
        <v>49767</v>
      </c>
      <c r="R79" s="151">
        <v>47470</v>
      </c>
      <c r="S79" s="151">
        <v>48292</v>
      </c>
      <c r="T79" s="151">
        <v>47849</v>
      </c>
      <c r="U79" s="151">
        <v>41649</v>
      </c>
      <c r="V79" s="151">
        <v>44247</v>
      </c>
      <c r="W79" s="151">
        <v>42758</v>
      </c>
      <c r="X79" s="151">
        <v>37416</v>
      </c>
      <c r="Y79" s="151">
        <v>38503</v>
      </c>
      <c r="Z79" s="151">
        <v>33540</v>
      </c>
      <c r="AA79" s="1">
        <v>34992</v>
      </c>
      <c r="AB79" s="1">
        <v>0</v>
      </c>
      <c r="AC79" s="1">
        <v>0</v>
      </c>
      <c r="AD79" s="1">
        <v>0</v>
      </c>
    </row>
    <row r="80" spans="1:30" x14ac:dyDescent="0.25">
      <c r="B80" s="6" t="s">
        <v>250</v>
      </c>
      <c r="C80" s="7">
        <v>4063179</v>
      </c>
      <c r="D80" s="151">
        <v>309</v>
      </c>
      <c r="E80" s="151">
        <v>236</v>
      </c>
      <c r="F80" s="151" t="s">
        <v>267</v>
      </c>
      <c r="G80" s="151">
        <v>309</v>
      </c>
      <c r="H80" s="151">
        <v>149</v>
      </c>
      <c r="I80" s="151">
        <v>124</v>
      </c>
      <c r="J80" s="151">
        <v>170</v>
      </c>
      <c r="K80" s="151">
        <v>93</v>
      </c>
      <c r="L80" s="151">
        <v>85</v>
      </c>
      <c r="M80" s="151">
        <v>47</v>
      </c>
      <c r="N80" s="151">
        <v>78</v>
      </c>
      <c r="O80" s="151">
        <v>308</v>
      </c>
      <c r="P80" s="151">
        <v>93</v>
      </c>
      <c r="Q80" s="151">
        <v>78</v>
      </c>
      <c r="R80" s="151">
        <v>39</v>
      </c>
      <c r="S80" s="151">
        <v>60</v>
      </c>
      <c r="T80" s="151">
        <v>30</v>
      </c>
      <c r="U80" s="151">
        <v>67</v>
      </c>
      <c r="V80" s="151">
        <v>53</v>
      </c>
      <c r="W80" s="151">
        <v>84</v>
      </c>
      <c r="X80" s="151">
        <v>95</v>
      </c>
      <c r="Y80" s="151">
        <v>33</v>
      </c>
      <c r="Z80" s="151">
        <v>64</v>
      </c>
      <c r="AA80" s="1">
        <v>89</v>
      </c>
      <c r="AB80" s="1">
        <v>0</v>
      </c>
      <c r="AC80" s="1">
        <v>0</v>
      </c>
      <c r="AD80" s="1">
        <v>0</v>
      </c>
    </row>
    <row r="81" spans="1:30" x14ac:dyDescent="0.25">
      <c r="A81" s="1" t="s">
        <v>268</v>
      </c>
      <c r="B81" s="6" t="s">
        <v>251</v>
      </c>
      <c r="C81" s="7">
        <v>4063183</v>
      </c>
      <c r="D81" s="151">
        <v>-105</v>
      </c>
      <c r="E81" s="151">
        <v>32</v>
      </c>
      <c r="F81" s="151">
        <v>-21150</v>
      </c>
      <c r="G81" s="151">
        <v>-1827</v>
      </c>
      <c r="H81" s="151" t="s">
        <v>267</v>
      </c>
      <c r="I81" s="151">
        <v>-404</v>
      </c>
      <c r="J81" s="151">
        <v>31793</v>
      </c>
      <c r="K81" s="151">
        <v>2787</v>
      </c>
      <c r="L81" s="151">
        <v>13145</v>
      </c>
      <c r="M81" s="151">
        <v>1518</v>
      </c>
      <c r="N81" s="151">
        <v>667</v>
      </c>
      <c r="O81" s="151">
        <v>1074</v>
      </c>
      <c r="P81" s="151">
        <v>1510</v>
      </c>
      <c r="Q81" s="151">
        <v>761</v>
      </c>
      <c r="R81" s="151">
        <v>1106</v>
      </c>
      <c r="S81" s="151">
        <v>513</v>
      </c>
      <c r="T81" s="151">
        <v>686</v>
      </c>
      <c r="U81" s="151">
        <v>460</v>
      </c>
      <c r="V81" s="151">
        <v>420</v>
      </c>
      <c r="W81" s="151">
        <v>412</v>
      </c>
      <c r="X81" s="151">
        <v>562</v>
      </c>
      <c r="Y81" s="151">
        <v>831</v>
      </c>
      <c r="Z81" s="151">
        <v>616</v>
      </c>
      <c r="AA81" s="1">
        <v>2156</v>
      </c>
      <c r="AB81" s="1">
        <v>0</v>
      </c>
      <c r="AC81" s="1">
        <v>0</v>
      </c>
      <c r="AD81" s="1">
        <v>0</v>
      </c>
    </row>
    <row r="82" spans="1:30" x14ac:dyDescent="0.25">
      <c r="B82" s="6" t="s">
        <v>252</v>
      </c>
      <c r="C82" s="7">
        <v>4063281</v>
      </c>
      <c r="D82" s="151">
        <v>2722</v>
      </c>
      <c r="E82" s="151">
        <v>1436</v>
      </c>
      <c r="F82" s="151">
        <v>2188</v>
      </c>
      <c r="G82" s="151">
        <v>2761</v>
      </c>
      <c r="H82" s="151">
        <v>2475</v>
      </c>
      <c r="I82" s="151">
        <v>1438</v>
      </c>
      <c r="J82" s="151">
        <v>488</v>
      </c>
      <c r="K82" s="151">
        <v>1048</v>
      </c>
      <c r="L82" s="151">
        <v>1344</v>
      </c>
      <c r="M82" s="151">
        <v>662</v>
      </c>
      <c r="N82" s="151">
        <v>547</v>
      </c>
      <c r="O82" s="151">
        <v>402</v>
      </c>
      <c r="P82" s="151">
        <v>563</v>
      </c>
      <c r="Q82" s="151">
        <v>642</v>
      </c>
      <c r="R82" s="151">
        <v>396</v>
      </c>
      <c r="S82" s="151">
        <v>476</v>
      </c>
      <c r="T82" s="151">
        <v>507</v>
      </c>
      <c r="U82" s="151">
        <v>525</v>
      </c>
      <c r="V82" s="151">
        <v>618</v>
      </c>
      <c r="W82" s="151">
        <v>948</v>
      </c>
      <c r="X82" s="151">
        <v>417</v>
      </c>
      <c r="Y82" s="151">
        <v>442</v>
      </c>
      <c r="Z82" s="151">
        <v>316</v>
      </c>
      <c r="AA82" s="1">
        <v>337</v>
      </c>
      <c r="AB82" s="1">
        <v>0</v>
      </c>
      <c r="AC82" s="1">
        <v>0</v>
      </c>
      <c r="AD82" s="1">
        <v>0</v>
      </c>
    </row>
    <row r="83" spans="1:30" x14ac:dyDescent="0.25">
      <c r="B83" s="6" t="s">
        <v>253</v>
      </c>
      <c r="C83" s="7">
        <v>4059746</v>
      </c>
      <c r="D83" s="151">
        <v>321479</v>
      </c>
      <c r="E83" s="151">
        <v>191508</v>
      </c>
      <c r="F83" s="151">
        <v>328982</v>
      </c>
      <c r="G83" s="151">
        <v>211387</v>
      </c>
      <c r="H83" s="151">
        <v>258491</v>
      </c>
      <c r="I83" s="151">
        <v>256809</v>
      </c>
      <c r="J83" s="151">
        <v>243349</v>
      </c>
      <c r="K83" s="151">
        <v>208114</v>
      </c>
      <c r="L83" s="151">
        <v>217175</v>
      </c>
      <c r="M83" s="151">
        <v>199361</v>
      </c>
      <c r="N83" s="151">
        <v>168082</v>
      </c>
      <c r="O83" s="151">
        <v>142061</v>
      </c>
      <c r="P83" s="151">
        <v>115442</v>
      </c>
      <c r="Q83" s="151">
        <v>107979</v>
      </c>
      <c r="R83" s="151">
        <v>66456</v>
      </c>
      <c r="S83" s="151">
        <v>61306</v>
      </c>
      <c r="T83" s="151">
        <v>58561</v>
      </c>
      <c r="U83" s="151">
        <v>55008</v>
      </c>
      <c r="V83" s="151">
        <v>61448</v>
      </c>
      <c r="W83" s="151">
        <v>61019</v>
      </c>
      <c r="X83" s="151">
        <v>34271</v>
      </c>
      <c r="Y83" s="151">
        <v>46321</v>
      </c>
      <c r="Z83" s="151">
        <v>35618</v>
      </c>
      <c r="AA83" s="1">
        <v>42230</v>
      </c>
      <c r="AB83" s="1">
        <v>0</v>
      </c>
      <c r="AC83" s="1">
        <v>0</v>
      </c>
      <c r="AD83" s="1">
        <v>0</v>
      </c>
    </row>
    <row r="84" spans="1:30" x14ac:dyDescent="0.25">
      <c r="A84" s="1" t="s">
        <v>268</v>
      </c>
      <c r="B84" s="6" t="s">
        <v>296</v>
      </c>
      <c r="C84" s="7">
        <v>4062279</v>
      </c>
      <c r="D84" s="151" t="s">
        <v>267</v>
      </c>
      <c r="E84" s="151" t="s">
        <v>267</v>
      </c>
      <c r="F84" s="151" t="s">
        <v>267</v>
      </c>
      <c r="G84" s="151" t="s">
        <v>267</v>
      </c>
      <c r="H84" s="151">
        <v>47626</v>
      </c>
      <c r="I84" s="151">
        <v>46853</v>
      </c>
      <c r="J84" s="151">
        <v>46317</v>
      </c>
      <c r="K84" s="151">
        <v>36689</v>
      </c>
      <c r="L84" s="151">
        <v>34142</v>
      </c>
      <c r="M84" s="151">
        <v>23611</v>
      </c>
      <c r="N84" s="151">
        <v>23848</v>
      </c>
      <c r="O84" s="151">
        <v>12328</v>
      </c>
      <c r="P84" s="151">
        <v>15915</v>
      </c>
      <c r="Q84" s="151">
        <v>21508</v>
      </c>
      <c r="R84" s="151">
        <v>17003</v>
      </c>
      <c r="S84" s="151">
        <v>13547</v>
      </c>
      <c r="T84" s="151">
        <v>21077</v>
      </c>
      <c r="U84" s="151">
        <v>20052</v>
      </c>
      <c r="V84" s="151">
        <v>19382</v>
      </c>
      <c r="W84" s="151">
        <v>11175</v>
      </c>
      <c r="X84" s="151">
        <v>23415</v>
      </c>
      <c r="Y84" s="151">
        <v>23252</v>
      </c>
      <c r="Z84" s="151" t="s">
        <v>267</v>
      </c>
      <c r="AA84" s="1">
        <v>20124</v>
      </c>
      <c r="AB84" s="1">
        <v>0</v>
      </c>
      <c r="AC84" s="1">
        <v>0</v>
      </c>
      <c r="AD84" s="1">
        <v>0</v>
      </c>
    </row>
    <row r="85" spans="1:30" x14ac:dyDescent="0.25">
      <c r="A85" s="1" t="s">
        <v>268</v>
      </c>
      <c r="B85" s="6" t="s">
        <v>297</v>
      </c>
      <c r="C85" s="7">
        <v>4063729</v>
      </c>
      <c r="D85" s="151" t="s">
        <v>267</v>
      </c>
      <c r="E85" s="151" t="s">
        <v>267</v>
      </c>
      <c r="F85" s="151" t="s">
        <v>267</v>
      </c>
      <c r="G85" s="151" t="s">
        <v>267</v>
      </c>
      <c r="H85" s="151">
        <v>14915</v>
      </c>
      <c r="I85" s="151">
        <v>8738</v>
      </c>
      <c r="J85" s="151">
        <v>9815</v>
      </c>
      <c r="K85" s="151">
        <v>9634</v>
      </c>
      <c r="L85" s="151">
        <v>9411</v>
      </c>
      <c r="M85" s="151">
        <v>9180</v>
      </c>
      <c r="N85" s="151">
        <v>6864</v>
      </c>
      <c r="O85" s="151">
        <v>8465</v>
      </c>
      <c r="P85" s="151">
        <v>10237</v>
      </c>
      <c r="Q85" s="151">
        <v>9768</v>
      </c>
      <c r="R85" s="151">
        <v>7926</v>
      </c>
      <c r="S85" s="151">
        <v>7619</v>
      </c>
      <c r="T85" s="151">
        <v>10343</v>
      </c>
      <c r="U85" s="151">
        <v>9545</v>
      </c>
      <c r="V85" s="151">
        <v>5495</v>
      </c>
      <c r="W85" s="151">
        <v>3417</v>
      </c>
      <c r="X85" s="151">
        <v>3535</v>
      </c>
      <c r="Y85" s="151">
        <v>3708</v>
      </c>
      <c r="Z85" s="151">
        <v>3344</v>
      </c>
      <c r="AA85" s="1" t="s">
        <v>267</v>
      </c>
      <c r="AB85" s="1" t="s">
        <v>267</v>
      </c>
      <c r="AC85" s="1">
        <v>0</v>
      </c>
      <c r="AD85" s="1">
        <v>0</v>
      </c>
    </row>
    <row r="86" spans="1:30" x14ac:dyDescent="0.25">
      <c r="B86" s="6" t="s">
        <v>254</v>
      </c>
      <c r="C86" s="7">
        <v>4063762</v>
      </c>
      <c r="D86" s="151">
        <v>119710.47</v>
      </c>
      <c r="E86" s="151">
        <v>230244</v>
      </c>
      <c r="F86" s="151">
        <v>83667</v>
      </c>
      <c r="G86" s="151">
        <v>46120</v>
      </c>
      <c r="H86" s="151">
        <v>53367</v>
      </c>
      <c r="I86" s="151">
        <v>88302</v>
      </c>
      <c r="J86" s="151">
        <v>50758</v>
      </c>
      <c r="K86" s="151">
        <v>64014</v>
      </c>
      <c r="L86" s="151">
        <v>35900</v>
      </c>
      <c r="M86" s="151">
        <v>36933</v>
      </c>
      <c r="N86" s="151">
        <v>52683</v>
      </c>
      <c r="O86" s="151">
        <v>29298</v>
      </c>
      <c r="P86" s="151">
        <v>23630</v>
      </c>
      <c r="Q86" s="151">
        <v>11158</v>
      </c>
      <c r="R86" s="151">
        <v>39146</v>
      </c>
      <c r="S86" s="151">
        <v>8173</v>
      </c>
      <c r="T86" s="151">
        <v>18001</v>
      </c>
      <c r="U86" s="151">
        <v>10745</v>
      </c>
      <c r="V86" s="151">
        <v>28348</v>
      </c>
      <c r="W86" s="151">
        <v>4520</v>
      </c>
      <c r="X86" s="151">
        <v>3127</v>
      </c>
      <c r="Y86" s="151">
        <v>24914</v>
      </c>
      <c r="Z86" s="151">
        <v>17418</v>
      </c>
      <c r="AA86" s="1">
        <v>20888</v>
      </c>
      <c r="AB86" s="1">
        <v>0</v>
      </c>
      <c r="AC86" s="1">
        <v>0</v>
      </c>
      <c r="AD86" s="1" t="s">
        <v>267</v>
      </c>
    </row>
    <row r="87" spans="1:30" x14ac:dyDescent="0.25">
      <c r="B87" s="6" t="s">
        <v>256</v>
      </c>
      <c r="C87" s="7">
        <v>4058284</v>
      </c>
      <c r="D87" s="151">
        <v>292588.853</v>
      </c>
      <c r="E87" s="151">
        <v>286246</v>
      </c>
      <c r="F87" s="151">
        <v>279450</v>
      </c>
      <c r="G87" s="151">
        <v>279668</v>
      </c>
      <c r="H87" s="151">
        <v>225817</v>
      </c>
      <c r="I87" s="151">
        <v>277773</v>
      </c>
      <c r="J87" s="151">
        <v>237154</v>
      </c>
      <c r="K87" s="151">
        <v>254313</v>
      </c>
      <c r="L87" s="151">
        <v>164004</v>
      </c>
      <c r="M87" s="151">
        <v>118123</v>
      </c>
      <c r="N87" s="151">
        <v>87011</v>
      </c>
      <c r="O87" s="151">
        <v>80080</v>
      </c>
      <c r="P87" s="151">
        <v>92749</v>
      </c>
      <c r="Q87" s="151">
        <v>103244</v>
      </c>
      <c r="R87" s="151">
        <v>87593</v>
      </c>
      <c r="S87" s="151">
        <v>116598</v>
      </c>
      <c r="T87" s="151">
        <v>70998</v>
      </c>
      <c r="U87" s="151">
        <v>75644</v>
      </c>
      <c r="V87" s="151">
        <v>82278</v>
      </c>
      <c r="W87" s="151">
        <v>113527</v>
      </c>
      <c r="X87" s="151">
        <v>112248</v>
      </c>
      <c r="Y87" s="151">
        <v>100033</v>
      </c>
      <c r="Z87" s="151">
        <v>86039</v>
      </c>
      <c r="AA87" s="1">
        <v>98483</v>
      </c>
      <c r="AB87" s="1">
        <v>0</v>
      </c>
      <c r="AC87" s="1">
        <v>0</v>
      </c>
      <c r="AD87" s="1">
        <v>0</v>
      </c>
    </row>
    <row r="88" spans="1:30" x14ac:dyDescent="0.25">
      <c r="B88" s="6" t="s">
        <v>258</v>
      </c>
      <c r="C88" s="7">
        <v>4008752</v>
      </c>
      <c r="D88" s="151">
        <v>125524</v>
      </c>
      <c r="E88" s="151">
        <v>136913</v>
      </c>
      <c r="F88" s="151">
        <v>156761</v>
      </c>
      <c r="G88" s="151">
        <v>134043</v>
      </c>
      <c r="H88" s="151">
        <v>149642</v>
      </c>
      <c r="I88" s="151">
        <v>109519</v>
      </c>
      <c r="J88" s="151">
        <v>237906</v>
      </c>
      <c r="K88" s="151">
        <v>139849</v>
      </c>
      <c r="L88" s="151">
        <v>119400</v>
      </c>
      <c r="M88" s="151">
        <v>112569</v>
      </c>
      <c r="N88" s="151">
        <v>77117</v>
      </c>
      <c r="O88" s="151">
        <v>65517</v>
      </c>
      <c r="P88" s="151">
        <v>56538</v>
      </c>
      <c r="Q88" s="151">
        <v>67590</v>
      </c>
      <c r="R88" s="151">
        <v>44063</v>
      </c>
      <c r="S88" s="151">
        <v>37928</v>
      </c>
      <c r="T88" s="151">
        <v>39644</v>
      </c>
      <c r="U88" s="151">
        <v>44561</v>
      </c>
      <c r="V88" s="151">
        <v>39213</v>
      </c>
      <c r="W88" s="151">
        <v>46734</v>
      </c>
      <c r="X88" s="151">
        <v>28158</v>
      </c>
      <c r="Y88" s="151">
        <v>36781</v>
      </c>
      <c r="Z88" s="151">
        <v>28638</v>
      </c>
      <c r="AA88" s="1">
        <v>27463</v>
      </c>
      <c r="AB88" s="1">
        <v>0</v>
      </c>
      <c r="AC88" s="1">
        <v>0</v>
      </c>
      <c r="AD88" s="1">
        <v>0</v>
      </c>
    </row>
    <row r="89" spans="1:30" x14ac:dyDescent="0.25">
      <c r="B89" s="6" t="s">
        <v>259</v>
      </c>
      <c r="C89" s="7">
        <v>4008669</v>
      </c>
      <c r="D89" s="151">
        <v>44814</v>
      </c>
      <c r="E89" s="151">
        <v>63947</v>
      </c>
      <c r="F89" s="151">
        <v>40681</v>
      </c>
      <c r="G89" s="151">
        <v>42753</v>
      </c>
      <c r="H89" s="151">
        <v>41559</v>
      </c>
      <c r="I89" s="151">
        <v>48571</v>
      </c>
      <c r="J89" s="151">
        <v>33675</v>
      </c>
      <c r="K89" s="151">
        <v>21266</v>
      </c>
      <c r="L89" s="151">
        <v>19159</v>
      </c>
      <c r="M89" s="151">
        <v>14260</v>
      </c>
      <c r="N89" s="151">
        <v>15536</v>
      </c>
      <c r="O89" s="151">
        <v>20274</v>
      </c>
      <c r="P89" s="151">
        <v>25250</v>
      </c>
      <c r="Q89" s="151">
        <v>30563</v>
      </c>
      <c r="R89" s="151">
        <v>4301</v>
      </c>
      <c r="S89" s="151" t="s">
        <v>267</v>
      </c>
      <c r="T89" s="151">
        <v>15931</v>
      </c>
      <c r="U89" s="151">
        <v>18903</v>
      </c>
      <c r="V89" s="151">
        <v>16462</v>
      </c>
      <c r="W89" s="151">
        <v>6134</v>
      </c>
      <c r="X89" s="151">
        <v>11237</v>
      </c>
      <c r="Y89" s="151">
        <v>15138</v>
      </c>
      <c r="Z89" s="151">
        <v>10210</v>
      </c>
      <c r="AA89" s="1">
        <v>7050</v>
      </c>
      <c r="AB89" s="1">
        <v>0</v>
      </c>
      <c r="AC89" s="1">
        <v>0</v>
      </c>
      <c r="AD89" s="1">
        <v>0</v>
      </c>
    </row>
    <row r="90" spans="1:30" x14ac:dyDescent="0.25">
      <c r="B90" s="6" t="s">
        <v>298</v>
      </c>
      <c r="C90" s="7">
        <v>4076892</v>
      </c>
      <c r="D90" s="151" t="s">
        <v>267</v>
      </c>
      <c r="E90" s="151">
        <v>127</v>
      </c>
      <c r="F90" s="151">
        <v>210</v>
      </c>
      <c r="G90" s="151">
        <v>100</v>
      </c>
      <c r="H90" s="151">
        <v>107</v>
      </c>
      <c r="I90" s="151">
        <v>251</v>
      </c>
      <c r="J90" s="151">
        <v>207</v>
      </c>
      <c r="K90" s="151">
        <v>200</v>
      </c>
      <c r="L90" s="151">
        <v>95</v>
      </c>
      <c r="M90" s="151">
        <v>210</v>
      </c>
      <c r="N90" s="151">
        <v>503</v>
      </c>
      <c r="O90" s="151">
        <v>716</v>
      </c>
      <c r="P90" s="151">
        <v>310</v>
      </c>
      <c r="Q90" s="151">
        <v>472</v>
      </c>
      <c r="R90" s="151">
        <v>556</v>
      </c>
      <c r="S90" s="151">
        <v>150</v>
      </c>
      <c r="T90" s="151">
        <v>191</v>
      </c>
      <c r="U90" s="151">
        <v>131</v>
      </c>
      <c r="V90" s="151">
        <v>410</v>
      </c>
      <c r="W90" s="151">
        <v>101</v>
      </c>
      <c r="X90" s="151" t="s">
        <v>267</v>
      </c>
      <c r="Y90" s="151" t="s">
        <v>267</v>
      </c>
      <c r="Z90" s="151" t="s">
        <v>267</v>
      </c>
      <c r="AA90" s="1" t="s">
        <v>267</v>
      </c>
      <c r="AB90" s="1" t="s">
        <v>267</v>
      </c>
      <c r="AC90" s="1" t="s">
        <v>267</v>
      </c>
      <c r="AD90" s="1" t="s">
        <v>267</v>
      </c>
    </row>
    <row r="91" spans="1:30" x14ac:dyDescent="0.25">
      <c r="A91" s="1" t="s">
        <v>268</v>
      </c>
      <c r="B91" s="6" t="s">
        <v>261</v>
      </c>
      <c r="C91" s="7">
        <v>4064141</v>
      </c>
      <c r="D91" s="151">
        <v>195582</v>
      </c>
      <c r="E91" s="151">
        <v>187318</v>
      </c>
      <c r="F91" s="151">
        <v>199657</v>
      </c>
      <c r="G91" s="151">
        <v>164259</v>
      </c>
      <c r="H91" s="151">
        <v>113048</v>
      </c>
      <c r="I91" s="151">
        <v>138150</v>
      </c>
      <c r="J91" s="151">
        <v>70590</v>
      </c>
      <c r="K91" s="151">
        <v>98247</v>
      </c>
      <c r="L91" s="151">
        <v>91488</v>
      </c>
      <c r="M91" s="151">
        <v>90248</v>
      </c>
      <c r="N91" s="151">
        <v>101025</v>
      </c>
      <c r="O91" s="151">
        <v>57438</v>
      </c>
      <c r="P91" s="151">
        <v>62955</v>
      </c>
      <c r="Q91" s="151">
        <v>58978</v>
      </c>
      <c r="R91" s="151">
        <v>26596</v>
      </c>
      <c r="S91" s="151">
        <v>31112</v>
      </c>
      <c r="T91" s="151">
        <v>38473</v>
      </c>
      <c r="U91" s="151">
        <v>45512</v>
      </c>
      <c r="V91" s="151">
        <v>52497</v>
      </c>
      <c r="W91" s="151">
        <v>44077</v>
      </c>
      <c r="X91" s="151">
        <v>23946</v>
      </c>
      <c r="Y91" s="151">
        <v>17984</v>
      </c>
      <c r="Z91" s="151">
        <v>20230</v>
      </c>
      <c r="AA91" s="1">
        <v>22874</v>
      </c>
      <c r="AB91" s="1">
        <v>0</v>
      </c>
      <c r="AC91" s="1">
        <v>0</v>
      </c>
      <c r="AD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3:AD91"/>
  <sheetViews>
    <sheetView topLeftCell="B2" zoomScale="75" zoomScaleNormal="75" workbookViewId="0">
      <selection activeCell="B2" sqref="B2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6" width="17.5546875" style="1" customWidth="1"/>
    <col min="27" max="16384" width="9.33203125" style="1"/>
  </cols>
  <sheetData>
    <row r="3" spans="1:30" ht="39.6" x14ac:dyDescent="0.25">
      <c r="D3" s="9" t="s">
        <v>343</v>
      </c>
      <c r="E3" s="9" t="s">
        <v>343</v>
      </c>
      <c r="F3" s="9" t="s">
        <v>343</v>
      </c>
      <c r="G3" s="9" t="s">
        <v>343</v>
      </c>
      <c r="H3" s="9" t="s">
        <v>343</v>
      </c>
      <c r="I3" s="9" t="s">
        <v>343</v>
      </c>
      <c r="J3" s="9" t="s">
        <v>343</v>
      </c>
      <c r="K3" s="9" t="s">
        <v>343</v>
      </c>
      <c r="L3" s="9" t="s">
        <v>343</v>
      </c>
      <c r="M3" s="9" t="s">
        <v>343</v>
      </c>
      <c r="N3" s="9" t="s">
        <v>343</v>
      </c>
      <c r="O3" s="9" t="s">
        <v>343</v>
      </c>
      <c r="P3" s="9" t="s">
        <v>343</v>
      </c>
      <c r="Q3" s="9" t="s">
        <v>343</v>
      </c>
      <c r="R3" s="9" t="s">
        <v>343</v>
      </c>
      <c r="S3" s="9" t="s">
        <v>343</v>
      </c>
      <c r="T3" s="9" t="s">
        <v>343</v>
      </c>
      <c r="U3" s="9" t="s">
        <v>343</v>
      </c>
      <c r="V3" s="9" t="s">
        <v>343</v>
      </c>
      <c r="W3" s="9" t="s">
        <v>343</v>
      </c>
      <c r="X3" s="9" t="s">
        <v>343</v>
      </c>
      <c r="Y3" s="9" t="s">
        <v>343</v>
      </c>
      <c r="Z3" s="9" t="s">
        <v>343</v>
      </c>
      <c r="AA3" s="1" t="s">
        <v>343</v>
      </c>
      <c r="AB3" s="1" t="s">
        <v>343</v>
      </c>
      <c r="AC3" s="1" t="s">
        <v>343</v>
      </c>
      <c r="AD3" s="1" t="s">
        <v>343</v>
      </c>
    </row>
    <row r="4" spans="1:30" ht="26.4" x14ac:dyDescent="0.25">
      <c r="B4" s="2"/>
      <c r="C4" s="2"/>
      <c r="D4" s="9" t="s">
        <v>342</v>
      </c>
      <c r="E4" s="9" t="s">
        <v>342</v>
      </c>
      <c r="F4" s="9" t="s">
        <v>342</v>
      </c>
      <c r="G4" s="9" t="s">
        <v>342</v>
      </c>
      <c r="H4" s="9" t="s">
        <v>342</v>
      </c>
      <c r="I4" s="9" t="s">
        <v>342</v>
      </c>
      <c r="J4" s="9" t="s">
        <v>342</v>
      </c>
      <c r="K4" s="9" t="s">
        <v>342</v>
      </c>
      <c r="L4" s="9" t="s">
        <v>342</v>
      </c>
      <c r="M4" s="9" t="s">
        <v>342</v>
      </c>
      <c r="N4" s="9" t="s">
        <v>342</v>
      </c>
      <c r="O4" s="9" t="s">
        <v>342</v>
      </c>
      <c r="P4" s="9" t="s">
        <v>342</v>
      </c>
      <c r="Q4" s="9" t="s">
        <v>342</v>
      </c>
      <c r="R4" s="9" t="s">
        <v>342</v>
      </c>
      <c r="S4" s="9" t="s">
        <v>342</v>
      </c>
      <c r="T4" s="9" t="s">
        <v>342</v>
      </c>
      <c r="U4" s="9" t="s">
        <v>342</v>
      </c>
      <c r="V4" s="9" t="s">
        <v>342</v>
      </c>
      <c r="W4" s="9" t="s">
        <v>342</v>
      </c>
      <c r="X4" s="9" t="s">
        <v>342</v>
      </c>
      <c r="Y4" s="9" t="s">
        <v>342</v>
      </c>
      <c r="Z4" s="9" t="s">
        <v>342</v>
      </c>
      <c r="AA4" s="1" t="s">
        <v>342</v>
      </c>
      <c r="AB4" s="1" t="s">
        <v>342</v>
      </c>
      <c r="AC4" s="1" t="s">
        <v>342</v>
      </c>
      <c r="AD4" s="1" t="s">
        <v>342</v>
      </c>
    </row>
    <row r="5" spans="1:30" x14ac:dyDescent="0.25">
      <c r="A5" s="3" t="s">
        <v>264</v>
      </c>
      <c r="B5" s="4" t="s">
        <v>265</v>
      </c>
      <c r="C5" s="5" t="s">
        <v>64</v>
      </c>
      <c r="D5" s="9" t="s">
        <v>177</v>
      </c>
      <c r="E5" s="9" t="s">
        <v>176</v>
      </c>
      <c r="F5" s="9" t="s">
        <v>175</v>
      </c>
      <c r="G5" s="9" t="s">
        <v>174</v>
      </c>
      <c r="H5" s="9" t="s">
        <v>173</v>
      </c>
      <c r="I5" s="9" t="s">
        <v>172</v>
      </c>
      <c r="J5" s="9" t="s">
        <v>171</v>
      </c>
      <c r="K5" s="9" t="s">
        <v>170</v>
      </c>
      <c r="L5" s="9" t="s">
        <v>169</v>
      </c>
      <c r="M5" s="9" t="s">
        <v>168</v>
      </c>
      <c r="N5" s="9" t="s">
        <v>167</v>
      </c>
      <c r="O5" s="9" t="s">
        <v>166</v>
      </c>
      <c r="P5" s="9" t="s">
        <v>165</v>
      </c>
      <c r="Q5" s="9" t="s">
        <v>164</v>
      </c>
      <c r="R5" s="9" t="s">
        <v>163</v>
      </c>
      <c r="S5" s="9" t="s">
        <v>162</v>
      </c>
      <c r="T5" s="9" t="s">
        <v>161</v>
      </c>
      <c r="U5" s="9" t="s">
        <v>160</v>
      </c>
      <c r="V5" s="9" t="s">
        <v>159</v>
      </c>
      <c r="W5" s="9" t="s">
        <v>158</v>
      </c>
      <c r="X5" s="9" t="s">
        <v>157</v>
      </c>
      <c r="Y5" s="9" t="s">
        <v>156</v>
      </c>
      <c r="Z5" s="9" t="s">
        <v>155</v>
      </c>
      <c r="AA5" s="1" t="s">
        <v>150</v>
      </c>
      <c r="AB5" s="1" t="s">
        <v>305</v>
      </c>
      <c r="AC5" s="1" t="s">
        <v>306</v>
      </c>
      <c r="AD5" s="1" t="s">
        <v>307</v>
      </c>
    </row>
    <row r="6" spans="1:30" x14ac:dyDescent="0.25">
      <c r="B6" s="2"/>
      <c r="C6" s="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0" x14ac:dyDescent="0.25">
      <c r="B7" s="6" t="s">
        <v>266</v>
      </c>
      <c r="C7" s="7">
        <v>4058513</v>
      </c>
      <c r="D7" s="151" t="s">
        <v>267</v>
      </c>
      <c r="E7" s="151" t="s">
        <v>267</v>
      </c>
      <c r="F7" s="151" t="s">
        <v>267</v>
      </c>
      <c r="G7" s="151" t="s">
        <v>267</v>
      </c>
      <c r="H7" s="151">
        <v>1416</v>
      </c>
      <c r="I7" s="151">
        <v>1672</v>
      </c>
      <c r="J7" s="151">
        <v>1330</v>
      </c>
      <c r="K7" s="151">
        <v>3054</v>
      </c>
      <c r="L7" s="151">
        <v>2590</v>
      </c>
      <c r="M7" s="151">
        <v>1431</v>
      </c>
      <c r="N7" s="151">
        <v>1543</v>
      </c>
      <c r="O7" s="151">
        <v>1569</v>
      </c>
      <c r="P7" s="151">
        <v>798</v>
      </c>
      <c r="Q7" s="151">
        <v>779</v>
      </c>
      <c r="R7" s="151">
        <v>1087</v>
      </c>
      <c r="S7" s="151">
        <v>815</v>
      </c>
      <c r="T7" s="151">
        <v>1467</v>
      </c>
      <c r="U7" s="151">
        <v>821</v>
      </c>
      <c r="V7" s="151">
        <v>484</v>
      </c>
      <c r="W7" s="151">
        <v>753</v>
      </c>
      <c r="X7" s="151" t="s">
        <v>267</v>
      </c>
      <c r="Y7" s="151" t="s">
        <v>267</v>
      </c>
      <c r="Z7" s="151" t="s">
        <v>267</v>
      </c>
      <c r="AA7" s="1" t="s">
        <v>267</v>
      </c>
      <c r="AB7" s="1" t="s">
        <v>267</v>
      </c>
      <c r="AC7" s="1" t="s">
        <v>267</v>
      </c>
      <c r="AD7" s="1" t="s">
        <v>267</v>
      </c>
    </row>
    <row r="8" spans="1:30" x14ac:dyDescent="0.25">
      <c r="B8" s="6" t="s">
        <v>148</v>
      </c>
      <c r="C8" s="7">
        <v>4054707</v>
      </c>
      <c r="D8" s="151">
        <v>32191</v>
      </c>
      <c r="E8" s="151">
        <v>28483</v>
      </c>
      <c r="F8" s="151">
        <v>29663</v>
      </c>
      <c r="G8" s="151">
        <v>36949</v>
      </c>
      <c r="H8" s="151">
        <v>16543</v>
      </c>
      <c r="I8" s="151">
        <v>28617</v>
      </c>
      <c r="J8" s="151">
        <v>18844</v>
      </c>
      <c r="K8" s="151">
        <v>18160</v>
      </c>
      <c r="L8" s="151">
        <v>27931</v>
      </c>
      <c r="M8" s="151">
        <v>5799</v>
      </c>
      <c r="N8" s="151">
        <v>20972</v>
      </c>
      <c r="O8" s="151">
        <v>7556</v>
      </c>
      <c r="P8" s="151">
        <v>16166</v>
      </c>
      <c r="Q8" s="151">
        <v>11912</v>
      </c>
      <c r="R8" s="151">
        <v>41124</v>
      </c>
      <c r="S8" s="151">
        <v>29029</v>
      </c>
      <c r="T8" s="151">
        <v>5858</v>
      </c>
      <c r="U8" s="151">
        <v>2969</v>
      </c>
      <c r="V8" s="151">
        <v>3554</v>
      </c>
      <c r="W8" s="151">
        <v>-2100</v>
      </c>
      <c r="X8" s="151">
        <v>2119</v>
      </c>
      <c r="Y8" s="151">
        <v>26207</v>
      </c>
      <c r="Z8" s="151">
        <v>3051</v>
      </c>
      <c r="AA8" s="1">
        <v>5414</v>
      </c>
      <c r="AB8" s="1">
        <v>0</v>
      </c>
      <c r="AC8" s="1">
        <v>0</v>
      </c>
      <c r="AD8" s="1">
        <v>0</v>
      </c>
    </row>
    <row r="9" spans="1:30" x14ac:dyDescent="0.25">
      <c r="B9" s="6" t="s">
        <v>179</v>
      </c>
      <c r="C9" s="7">
        <v>4057075</v>
      </c>
      <c r="D9" s="151">
        <v>353</v>
      </c>
      <c r="E9" s="151">
        <v>2583</v>
      </c>
      <c r="F9" s="151">
        <v>9150</v>
      </c>
      <c r="G9" s="151">
        <v>19881</v>
      </c>
      <c r="H9" s="151">
        <v>5291</v>
      </c>
      <c r="I9" s="151">
        <v>3621</v>
      </c>
      <c r="J9" s="151">
        <v>3521</v>
      </c>
      <c r="K9" s="151">
        <v>3208</v>
      </c>
      <c r="L9" s="151">
        <v>3616</v>
      </c>
      <c r="M9" s="151">
        <v>2404</v>
      </c>
      <c r="N9" s="151">
        <v>3413</v>
      </c>
      <c r="O9" s="151">
        <v>3717</v>
      </c>
      <c r="P9" s="151">
        <v>2570</v>
      </c>
      <c r="Q9" s="151">
        <v>2422</v>
      </c>
      <c r="R9" s="151">
        <v>1008</v>
      </c>
      <c r="S9" s="151">
        <v>3104</v>
      </c>
      <c r="T9" s="151">
        <v>1475</v>
      </c>
      <c r="U9" s="151">
        <v>2194</v>
      </c>
      <c r="V9" s="151">
        <v>435</v>
      </c>
      <c r="W9" s="151">
        <v>416</v>
      </c>
      <c r="X9" s="151">
        <v>344</v>
      </c>
      <c r="Y9" s="151">
        <v>1380</v>
      </c>
      <c r="Z9" s="151">
        <v>337</v>
      </c>
      <c r="AA9" s="1">
        <v>415</v>
      </c>
      <c r="AB9" s="1" t="s">
        <v>267</v>
      </c>
      <c r="AC9" s="1">
        <v>0</v>
      </c>
      <c r="AD9" s="1">
        <v>0</v>
      </c>
    </row>
    <row r="10" spans="1:30" x14ac:dyDescent="0.25">
      <c r="A10" s="1" t="s">
        <v>268</v>
      </c>
      <c r="B10" s="6" t="s">
        <v>181</v>
      </c>
      <c r="C10" s="7">
        <v>4007784</v>
      </c>
      <c r="D10" s="151">
        <v>4808.8159999999998</v>
      </c>
      <c r="E10" s="151">
        <v>7847</v>
      </c>
      <c r="F10" s="151">
        <v>2972</v>
      </c>
      <c r="G10" s="151">
        <v>2811</v>
      </c>
      <c r="H10" s="151">
        <v>2989</v>
      </c>
      <c r="I10" s="151">
        <v>5862</v>
      </c>
      <c r="J10" s="151">
        <v>925</v>
      </c>
      <c r="K10" s="151">
        <v>1852</v>
      </c>
      <c r="L10" s="151">
        <v>2793</v>
      </c>
      <c r="M10" s="151">
        <v>1882</v>
      </c>
      <c r="N10" s="151">
        <v>0</v>
      </c>
      <c r="O10" s="151">
        <v>1671</v>
      </c>
      <c r="P10" s="151">
        <v>736</v>
      </c>
      <c r="Q10" s="151">
        <v>355</v>
      </c>
      <c r="R10" s="151">
        <v>570</v>
      </c>
      <c r="S10" s="151">
        <v>595</v>
      </c>
      <c r="T10" s="151">
        <v>1078</v>
      </c>
      <c r="U10" s="151">
        <v>355</v>
      </c>
      <c r="V10" s="151">
        <v>748</v>
      </c>
      <c r="W10" s="151">
        <v>591</v>
      </c>
      <c r="X10" s="151">
        <v>0</v>
      </c>
      <c r="Y10" s="151">
        <v>12</v>
      </c>
      <c r="Z10" s="151">
        <v>0</v>
      </c>
      <c r="AA10" s="1">
        <v>597</v>
      </c>
      <c r="AB10" s="1" t="s">
        <v>267</v>
      </c>
      <c r="AC10" s="1" t="s">
        <v>267</v>
      </c>
      <c r="AD10" s="1">
        <v>362</v>
      </c>
    </row>
    <row r="11" spans="1:30" x14ac:dyDescent="0.25">
      <c r="A11" s="1" t="s">
        <v>268</v>
      </c>
      <c r="B11" s="6" t="s">
        <v>269</v>
      </c>
      <c r="C11" s="7">
        <v>4058656</v>
      </c>
      <c r="D11" s="151" t="s">
        <v>267</v>
      </c>
      <c r="E11" s="151">
        <v>1785</v>
      </c>
      <c r="F11" s="151">
        <v>2071</v>
      </c>
      <c r="G11" s="151">
        <v>3189</v>
      </c>
      <c r="H11" s="151">
        <v>3077</v>
      </c>
      <c r="I11" s="151">
        <v>6241</v>
      </c>
      <c r="J11" s="151">
        <v>2491</v>
      </c>
      <c r="K11" s="151">
        <v>2653</v>
      </c>
      <c r="L11" s="151">
        <v>5818</v>
      </c>
      <c r="M11" s="151">
        <v>5906</v>
      </c>
      <c r="N11" s="151">
        <v>5364</v>
      </c>
      <c r="O11" s="151">
        <v>1875</v>
      </c>
      <c r="P11" s="151">
        <v>3172</v>
      </c>
      <c r="Q11" s="151">
        <v>1847</v>
      </c>
      <c r="R11" s="151">
        <v>1901</v>
      </c>
      <c r="S11" s="151">
        <v>1858</v>
      </c>
      <c r="T11" s="151">
        <v>2532</v>
      </c>
      <c r="U11" s="151">
        <v>5892</v>
      </c>
      <c r="V11" s="151">
        <v>781</v>
      </c>
      <c r="W11" s="151">
        <v>257</v>
      </c>
      <c r="X11" s="151">
        <v>1406</v>
      </c>
      <c r="Y11" s="151">
        <v>1329</v>
      </c>
      <c r="Z11" s="151">
        <v>6829</v>
      </c>
      <c r="AA11" s="1">
        <v>5007</v>
      </c>
      <c r="AB11" s="1" t="s">
        <v>267</v>
      </c>
      <c r="AC11" s="1" t="s">
        <v>267</v>
      </c>
      <c r="AD11" s="1" t="s">
        <v>267</v>
      </c>
    </row>
    <row r="12" spans="1:30" x14ac:dyDescent="0.25">
      <c r="A12" s="1" t="s">
        <v>268</v>
      </c>
      <c r="B12" s="6" t="s">
        <v>186</v>
      </c>
      <c r="C12" s="7">
        <v>4057110</v>
      </c>
      <c r="D12" s="151">
        <v>4430</v>
      </c>
      <c r="E12" s="151">
        <v>1640</v>
      </c>
      <c r="F12" s="151">
        <v>2031</v>
      </c>
      <c r="G12" s="151">
        <v>2502</v>
      </c>
      <c r="H12" s="151">
        <v>6691</v>
      </c>
      <c r="I12" s="151">
        <v>7749</v>
      </c>
      <c r="J12" s="151">
        <v>1995</v>
      </c>
      <c r="K12" s="151">
        <v>1560</v>
      </c>
      <c r="L12" s="151">
        <v>3196</v>
      </c>
      <c r="M12" s="151">
        <v>341</v>
      </c>
      <c r="N12" s="151">
        <v>1486</v>
      </c>
      <c r="O12" s="151">
        <v>416</v>
      </c>
      <c r="P12" s="151">
        <v>770</v>
      </c>
      <c r="Q12" s="151">
        <v>890</v>
      </c>
      <c r="R12" s="151">
        <v>929</v>
      </c>
      <c r="S12" s="151">
        <v>860</v>
      </c>
      <c r="T12" s="151">
        <v>749</v>
      </c>
      <c r="U12" s="151">
        <v>693</v>
      </c>
      <c r="V12" s="151">
        <v>829</v>
      </c>
      <c r="W12" s="151">
        <v>442</v>
      </c>
      <c r="X12" s="151">
        <v>99</v>
      </c>
      <c r="Y12" s="151">
        <v>184</v>
      </c>
      <c r="Z12" s="151">
        <v>149</v>
      </c>
      <c r="AA12" s="1">
        <v>294</v>
      </c>
      <c r="AB12" s="1" t="s">
        <v>267</v>
      </c>
      <c r="AC12" s="1" t="s">
        <v>267</v>
      </c>
      <c r="AD12" s="1" t="s">
        <v>267</v>
      </c>
    </row>
    <row r="13" spans="1:30" x14ac:dyDescent="0.25">
      <c r="B13" s="6" t="s">
        <v>188</v>
      </c>
      <c r="C13" s="7">
        <v>4058516</v>
      </c>
      <c r="D13" s="151">
        <v>14220</v>
      </c>
      <c r="E13" s="151">
        <v>19625</v>
      </c>
      <c r="F13" s="151">
        <v>10062</v>
      </c>
      <c r="G13" s="151">
        <v>2950</v>
      </c>
      <c r="H13" s="151">
        <v>1815</v>
      </c>
      <c r="I13" s="151">
        <v>9095</v>
      </c>
      <c r="J13" s="151">
        <v>7038</v>
      </c>
      <c r="K13" s="151">
        <v>4057</v>
      </c>
      <c r="L13" s="151">
        <v>3064</v>
      </c>
      <c r="M13" s="151">
        <v>3349</v>
      </c>
      <c r="N13" s="151">
        <v>4052</v>
      </c>
      <c r="O13" s="151">
        <v>4315</v>
      </c>
      <c r="P13" s="151">
        <v>1878</v>
      </c>
      <c r="Q13" s="151">
        <v>1064</v>
      </c>
      <c r="R13" s="151">
        <v>2751</v>
      </c>
      <c r="S13" s="151">
        <v>2936</v>
      </c>
      <c r="T13" s="151">
        <v>1822</v>
      </c>
      <c r="U13" s="151">
        <v>1442</v>
      </c>
      <c r="V13" s="151">
        <v>2096</v>
      </c>
      <c r="W13" s="151">
        <v>1872</v>
      </c>
      <c r="X13" s="151">
        <v>1673</v>
      </c>
      <c r="Y13" s="151">
        <v>1318</v>
      </c>
      <c r="Z13" s="151">
        <v>2658</v>
      </c>
      <c r="AA13" s="1">
        <v>2288</v>
      </c>
      <c r="AB13" s="1">
        <v>0</v>
      </c>
      <c r="AC13" s="1">
        <v>0</v>
      </c>
      <c r="AD13" s="1">
        <v>0</v>
      </c>
    </row>
    <row r="14" spans="1:30" x14ac:dyDescent="0.25">
      <c r="B14" s="6" t="s">
        <v>190</v>
      </c>
      <c r="C14" s="7">
        <v>4058793</v>
      </c>
      <c r="D14" s="151">
        <v>69</v>
      </c>
      <c r="E14" s="151">
        <v>70</v>
      </c>
      <c r="F14" s="151">
        <v>0</v>
      </c>
      <c r="G14" s="151">
        <v>75</v>
      </c>
      <c r="H14" s="151">
        <v>45</v>
      </c>
      <c r="I14" s="151">
        <v>169</v>
      </c>
      <c r="J14" s="151">
        <v>61</v>
      </c>
      <c r="K14" s="151">
        <v>47</v>
      </c>
      <c r="L14" s="151">
        <v>114</v>
      </c>
      <c r="M14" s="151">
        <v>45</v>
      </c>
      <c r="N14" s="151">
        <v>27</v>
      </c>
      <c r="O14" s="151">
        <v>18</v>
      </c>
      <c r="P14" s="151">
        <v>2</v>
      </c>
      <c r="Q14" s="151">
        <v>90</v>
      </c>
      <c r="R14" s="151">
        <v>104</v>
      </c>
      <c r="S14" s="151">
        <v>24</v>
      </c>
      <c r="T14" s="151">
        <v>17</v>
      </c>
      <c r="U14" s="151">
        <v>0</v>
      </c>
      <c r="V14" s="151">
        <v>210</v>
      </c>
      <c r="W14" s="151">
        <v>57</v>
      </c>
      <c r="X14" s="151">
        <v>33</v>
      </c>
      <c r="Y14" s="151">
        <v>122</v>
      </c>
      <c r="Z14" s="151">
        <v>87</v>
      </c>
      <c r="AA14" s="1">
        <v>83</v>
      </c>
      <c r="AB14" s="1" t="s">
        <v>267</v>
      </c>
      <c r="AC14" s="1" t="s">
        <v>267</v>
      </c>
      <c r="AD14" s="1" t="s">
        <v>267</v>
      </c>
    </row>
    <row r="15" spans="1:30" x14ac:dyDescent="0.25">
      <c r="A15" s="1" t="s">
        <v>268</v>
      </c>
      <c r="B15" s="6" t="s">
        <v>192</v>
      </c>
      <c r="C15" s="7">
        <v>4057111</v>
      </c>
      <c r="D15" s="151">
        <v>5346</v>
      </c>
      <c r="E15" s="151">
        <v>8201</v>
      </c>
      <c r="F15" s="151">
        <v>6101</v>
      </c>
      <c r="G15" s="151">
        <v>8379</v>
      </c>
      <c r="H15" s="151">
        <v>2338</v>
      </c>
      <c r="I15" s="151">
        <v>17246</v>
      </c>
      <c r="J15" s="151">
        <v>3056</v>
      </c>
      <c r="K15" s="151">
        <v>3569</v>
      </c>
      <c r="L15" s="151">
        <v>7330</v>
      </c>
      <c r="M15" s="151">
        <v>2483</v>
      </c>
      <c r="N15" s="151">
        <v>3093</v>
      </c>
      <c r="O15" s="151">
        <v>1581</v>
      </c>
      <c r="P15" s="151">
        <v>7953</v>
      </c>
      <c r="Q15" s="151">
        <v>7056</v>
      </c>
      <c r="R15" s="151">
        <v>2147</v>
      </c>
      <c r="S15" s="151">
        <v>12865</v>
      </c>
      <c r="T15" s="151">
        <v>5230</v>
      </c>
      <c r="U15" s="151">
        <v>5986</v>
      </c>
      <c r="V15" s="151">
        <v>509</v>
      </c>
      <c r="W15" s="151">
        <v>3199</v>
      </c>
      <c r="X15" s="151">
        <v>7144</v>
      </c>
      <c r="Y15" s="151">
        <v>1115</v>
      </c>
      <c r="Z15" s="151">
        <v>800</v>
      </c>
      <c r="AA15" s="1">
        <v>801</v>
      </c>
      <c r="AB15" s="1">
        <v>0</v>
      </c>
      <c r="AC15" s="1">
        <v>0</v>
      </c>
      <c r="AD15" s="1">
        <v>0</v>
      </c>
    </row>
    <row r="16" spans="1:30" x14ac:dyDescent="0.25">
      <c r="A16" s="1" t="s">
        <v>268</v>
      </c>
      <c r="B16" s="6" t="s">
        <v>193</v>
      </c>
      <c r="C16" s="7">
        <v>4018679</v>
      </c>
      <c r="D16" s="151">
        <v>13813</v>
      </c>
      <c r="E16" s="151">
        <v>11714</v>
      </c>
      <c r="F16" s="151">
        <v>18309</v>
      </c>
      <c r="G16" s="151">
        <v>15262</v>
      </c>
      <c r="H16" s="151">
        <v>4539</v>
      </c>
      <c r="I16" s="151">
        <v>37492</v>
      </c>
      <c r="J16" s="151">
        <v>15963</v>
      </c>
      <c r="K16" s="151">
        <v>8878</v>
      </c>
      <c r="L16" s="151">
        <v>5733</v>
      </c>
      <c r="M16" s="151">
        <v>2398</v>
      </c>
      <c r="N16" s="151">
        <v>2745</v>
      </c>
      <c r="O16" s="151">
        <v>8281</v>
      </c>
      <c r="P16" s="151">
        <v>4373</v>
      </c>
      <c r="Q16" s="151">
        <v>12484</v>
      </c>
      <c r="R16" s="151">
        <v>3516</v>
      </c>
      <c r="S16" s="151">
        <v>6349</v>
      </c>
      <c r="T16" s="151">
        <v>10969</v>
      </c>
      <c r="U16" s="151">
        <v>1923</v>
      </c>
      <c r="V16" s="151">
        <v>5701</v>
      </c>
      <c r="W16" s="151">
        <v>10566</v>
      </c>
      <c r="X16" s="151">
        <v>6098</v>
      </c>
      <c r="Y16" s="151">
        <v>14118</v>
      </c>
      <c r="Z16" s="151">
        <v>10543</v>
      </c>
      <c r="AA16" s="1">
        <v>7076</v>
      </c>
      <c r="AB16" s="1">
        <v>0</v>
      </c>
      <c r="AC16" s="1">
        <v>0</v>
      </c>
      <c r="AD16" s="1">
        <v>0</v>
      </c>
    </row>
    <row r="17" spans="1:30" x14ac:dyDescent="0.25">
      <c r="B17" s="6" t="s">
        <v>195</v>
      </c>
      <c r="C17" s="7">
        <v>4057112</v>
      </c>
      <c r="D17" s="151">
        <v>8105</v>
      </c>
      <c r="E17" s="151">
        <v>6240</v>
      </c>
      <c r="F17" s="151">
        <v>10444</v>
      </c>
      <c r="G17" s="151">
        <v>7966</v>
      </c>
      <c r="H17" s="151">
        <v>4430</v>
      </c>
      <c r="I17" s="151">
        <v>4943</v>
      </c>
      <c r="J17" s="151">
        <v>10492</v>
      </c>
      <c r="K17" s="151">
        <v>5320</v>
      </c>
      <c r="L17" s="151">
        <v>7181</v>
      </c>
      <c r="M17" s="151">
        <v>3913</v>
      </c>
      <c r="N17" s="151">
        <v>3482</v>
      </c>
      <c r="O17" s="151">
        <v>10122</v>
      </c>
      <c r="P17" s="151">
        <v>3616</v>
      </c>
      <c r="Q17" s="151">
        <v>4255</v>
      </c>
      <c r="R17" s="151">
        <v>2700</v>
      </c>
      <c r="S17" s="151">
        <v>2790</v>
      </c>
      <c r="T17" s="151">
        <v>3587</v>
      </c>
      <c r="U17" s="151">
        <v>1891</v>
      </c>
      <c r="V17" s="151">
        <v>3332</v>
      </c>
      <c r="W17" s="151">
        <v>3130</v>
      </c>
      <c r="X17" s="151">
        <v>5198</v>
      </c>
      <c r="Y17" s="151">
        <v>1263</v>
      </c>
      <c r="Z17" s="151">
        <v>1310</v>
      </c>
      <c r="AA17" s="1">
        <v>3257</v>
      </c>
      <c r="AB17" s="1">
        <v>0</v>
      </c>
      <c r="AC17" s="1">
        <v>0</v>
      </c>
      <c r="AD17" s="1">
        <v>0</v>
      </c>
    </row>
    <row r="18" spans="1:30" x14ac:dyDescent="0.25">
      <c r="A18" s="1" t="s">
        <v>268</v>
      </c>
      <c r="B18" s="6" t="s">
        <v>196</v>
      </c>
      <c r="C18" s="7">
        <v>4057076</v>
      </c>
      <c r="D18" s="151">
        <v>0</v>
      </c>
      <c r="E18" s="151" t="s">
        <v>267</v>
      </c>
      <c r="F18" s="151">
        <v>0</v>
      </c>
      <c r="G18" s="151">
        <v>0</v>
      </c>
      <c r="H18" s="151">
        <v>0</v>
      </c>
      <c r="I18" s="151">
        <v>0</v>
      </c>
      <c r="J18" s="151">
        <v>0</v>
      </c>
      <c r="K18" s="151">
        <v>0</v>
      </c>
      <c r="L18" s="151">
        <v>0</v>
      </c>
      <c r="M18" s="151">
        <v>0</v>
      </c>
      <c r="N18" s="151">
        <v>0</v>
      </c>
      <c r="O18" s="151">
        <v>0</v>
      </c>
      <c r="P18" s="151">
        <v>0</v>
      </c>
      <c r="Q18" s="151">
        <v>0</v>
      </c>
      <c r="R18" s="151">
        <v>0</v>
      </c>
      <c r="S18" s="151">
        <v>0</v>
      </c>
      <c r="T18" s="151">
        <v>0</v>
      </c>
      <c r="U18" s="151">
        <v>0</v>
      </c>
      <c r="V18" s="151">
        <v>0</v>
      </c>
      <c r="W18" s="151">
        <v>0</v>
      </c>
      <c r="X18" s="151">
        <v>0</v>
      </c>
      <c r="Y18" s="151">
        <v>0</v>
      </c>
      <c r="Z18" s="151">
        <v>0</v>
      </c>
      <c r="AA18" s="1">
        <v>0</v>
      </c>
      <c r="AB18" s="1">
        <v>0</v>
      </c>
      <c r="AC18" s="1">
        <v>0</v>
      </c>
      <c r="AD18" s="1">
        <v>0</v>
      </c>
    </row>
    <row r="19" spans="1:30" x14ac:dyDescent="0.25">
      <c r="B19" s="6" t="s">
        <v>270</v>
      </c>
      <c r="C19" s="7">
        <v>4059166</v>
      </c>
      <c r="D19" s="151" t="s">
        <v>267</v>
      </c>
      <c r="E19" s="151">
        <v>1908</v>
      </c>
      <c r="F19" s="151">
        <v>4041</v>
      </c>
      <c r="G19" s="151">
        <v>1328</v>
      </c>
      <c r="H19" s="151">
        <v>4051</v>
      </c>
      <c r="I19" s="151">
        <v>899</v>
      </c>
      <c r="J19" s="151">
        <v>872</v>
      </c>
      <c r="K19" s="151">
        <v>829</v>
      </c>
      <c r="L19" s="151">
        <v>329</v>
      </c>
      <c r="M19" s="151">
        <v>406</v>
      </c>
      <c r="N19" s="151">
        <v>751</v>
      </c>
      <c r="O19" s="151">
        <v>286</v>
      </c>
      <c r="P19" s="151">
        <v>947</v>
      </c>
      <c r="Q19" s="151">
        <v>1777</v>
      </c>
      <c r="R19" s="151">
        <v>733</v>
      </c>
      <c r="S19" s="151">
        <v>1066</v>
      </c>
      <c r="T19" s="151">
        <v>122</v>
      </c>
      <c r="U19" s="151">
        <v>-223</v>
      </c>
      <c r="V19" s="151">
        <v>0</v>
      </c>
      <c r="W19" s="151">
        <v>0</v>
      </c>
      <c r="X19" s="151">
        <v>9</v>
      </c>
      <c r="Y19" s="151">
        <v>3</v>
      </c>
      <c r="Z19" s="151" t="s">
        <v>267</v>
      </c>
      <c r="AA19" s="1" t="s">
        <v>267</v>
      </c>
      <c r="AB19" s="1">
        <v>0</v>
      </c>
      <c r="AC19" s="1">
        <v>0</v>
      </c>
      <c r="AD19" s="1">
        <v>0</v>
      </c>
    </row>
    <row r="20" spans="1:30" x14ac:dyDescent="0.25">
      <c r="B20" s="6" t="s">
        <v>271</v>
      </c>
      <c r="C20" s="7">
        <v>4059227</v>
      </c>
      <c r="D20" s="151" t="s">
        <v>267</v>
      </c>
      <c r="E20" s="151">
        <v>199</v>
      </c>
      <c r="F20" s="151">
        <v>252</v>
      </c>
      <c r="G20" s="151">
        <v>869</v>
      </c>
      <c r="H20" s="151">
        <v>392</v>
      </c>
      <c r="I20" s="151">
        <v>244</v>
      </c>
      <c r="J20" s="151">
        <v>180</v>
      </c>
      <c r="K20" s="151">
        <v>203</v>
      </c>
      <c r="L20" s="151">
        <v>73</v>
      </c>
      <c r="M20" s="151">
        <v>56</v>
      </c>
      <c r="N20" s="151">
        <v>181</v>
      </c>
      <c r="O20" s="151">
        <v>23</v>
      </c>
      <c r="P20" s="151">
        <v>75</v>
      </c>
      <c r="Q20" s="151">
        <v>129</v>
      </c>
      <c r="R20" s="151">
        <v>95</v>
      </c>
      <c r="S20" s="151">
        <v>87</v>
      </c>
      <c r="T20" s="151">
        <v>64</v>
      </c>
      <c r="U20" s="151" t="s">
        <v>267</v>
      </c>
      <c r="V20" s="151">
        <v>152</v>
      </c>
      <c r="W20" s="151">
        <v>79</v>
      </c>
      <c r="X20" s="151" t="s">
        <v>267</v>
      </c>
      <c r="Y20" s="151">
        <v>207</v>
      </c>
      <c r="Z20" s="151" t="s">
        <v>267</v>
      </c>
      <c r="AA20" s="1" t="s">
        <v>267</v>
      </c>
      <c r="AB20" s="1" t="s">
        <v>267</v>
      </c>
      <c r="AC20" s="1">
        <v>0</v>
      </c>
      <c r="AD20" s="1">
        <v>0</v>
      </c>
    </row>
    <row r="21" spans="1:30" x14ac:dyDescent="0.25">
      <c r="A21" s="1" t="s">
        <v>268</v>
      </c>
      <c r="B21" s="6" t="s">
        <v>197</v>
      </c>
      <c r="C21" s="7">
        <v>4057114</v>
      </c>
      <c r="D21" s="151" t="s">
        <v>267</v>
      </c>
      <c r="E21" s="151">
        <v>1888</v>
      </c>
      <c r="F21" s="151">
        <v>332</v>
      </c>
      <c r="G21" s="151">
        <v>1253</v>
      </c>
      <c r="H21" s="151">
        <v>1221</v>
      </c>
      <c r="I21" s="151">
        <v>2192</v>
      </c>
      <c r="J21" s="151">
        <v>2305</v>
      </c>
      <c r="K21" s="151">
        <v>1618</v>
      </c>
      <c r="L21" s="151">
        <v>989</v>
      </c>
      <c r="M21" s="151">
        <v>311</v>
      </c>
      <c r="N21" s="151">
        <v>309</v>
      </c>
      <c r="O21" s="151">
        <v>350</v>
      </c>
      <c r="P21" s="151">
        <v>2257</v>
      </c>
      <c r="Q21" s="151">
        <v>3156</v>
      </c>
      <c r="R21" s="151">
        <v>1094</v>
      </c>
      <c r="S21" s="151">
        <v>1727</v>
      </c>
      <c r="T21" s="151">
        <v>1144</v>
      </c>
      <c r="U21" s="151">
        <v>1110</v>
      </c>
      <c r="V21" s="151">
        <v>1517</v>
      </c>
      <c r="W21" s="151">
        <v>641</v>
      </c>
      <c r="X21" s="151">
        <v>965</v>
      </c>
      <c r="Y21" s="151">
        <v>291</v>
      </c>
      <c r="Z21" s="151">
        <v>192</v>
      </c>
      <c r="AA21" s="1">
        <v>3885</v>
      </c>
      <c r="AB21" s="1">
        <v>0</v>
      </c>
      <c r="AC21" s="1">
        <v>0</v>
      </c>
      <c r="AD21" s="1">
        <v>0</v>
      </c>
    </row>
    <row r="22" spans="1:30" x14ac:dyDescent="0.25">
      <c r="B22" s="6" t="s">
        <v>198</v>
      </c>
      <c r="C22" s="7">
        <v>4059355</v>
      </c>
      <c r="D22" s="151">
        <v>441</v>
      </c>
      <c r="E22" s="151">
        <v>442</v>
      </c>
      <c r="F22" s="151">
        <v>418</v>
      </c>
      <c r="G22" s="151">
        <v>445</v>
      </c>
      <c r="H22" s="151">
        <v>938</v>
      </c>
      <c r="I22" s="151">
        <v>850</v>
      </c>
      <c r="J22" s="151">
        <v>804</v>
      </c>
      <c r="K22" s="151">
        <v>229</v>
      </c>
      <c r="L22" s="151">
        <v>495</v>
      </c>
      <c r="M22" s="151">
        <v>222</v>
      </c>
      <c r="N22" s="151">
        <v>775</v>
      </c>
      <c r="O22" s="151">
        <v>122</v>
      </c>
      <c r="P22" s="151">
        <v>65</v>
      </c>
      <c r="Q22" s="151">
        <v>254</v>
      </c>
      <c r="R22" s="151">
        <v>-176</v>
      </c>
      <c r="S22" s="151">
        <v>52</v>
      </c>
      <c r="T22" s="151">
        <v>149</v>
      </c>
      <c r="U22" s="151">
        <v>281</v>
      </c>
      <c r="V22" s="151">
        <v>32</v>
      </c>
      <c r="W22" s="151">
        <v>447</v>
      </c>
      <c r="X22" s="151">
        <v>216</v>
      </c>
      <c r="Y22" s="151">
        <v>0</v>
      </c>
      <c r="Z22" s="151">
        <v>186</v>
      </c>
      <c r="AA22" s="1">
        <v>482</v>
      </c>
      <c r="AB22" s="1">
        <v>0</v>
      </c>
      <c r="AC22" s="1">
        <v>0</v>
      </c>
      <c r="AD22" s="1">
        <v>0</v>
      </c>
    </row>
    <row r="23" spans="1:30" x14ac:dyDescent="0.25">
      <c r="B23" s="6" t="s">
        <v>200</v>
      </c>
      <c r="C23" s="7">
        <v>4088325</v>
      </c>
      <c r="D23" s="151">
        <v>616</v>
      </c>
      <c r="E23" s="151">
        <v>265</v>
      </c>
      <c r="F23" s="151">
        <v>669</v>
      </c>
      <c r="G23" s="151">
        <v>153</v>
      </c>
      <c r="H23" s="151">
        <v>223</v>
      </c>
      <c r="I23" s="151">
        <v>257</v>
      </c>
      <c r="J23" s="151">
        <v>156</v>
      </c>
      <c r="K23" s="151">
        <v>149</v>
      </c>
      <c r="L23" s="151">
        <v>191</v>
      </c>
      <c r="M23" s="151">
        <v>133</v>
      </c>
      <c r="N23" s="151">
        <v>295</v>
      </c>
      <c r="O23" s="151">
        <v>108</v>
      </c>
      <c r="P23" s="151">
        <v>25</v>
      </c>
      <c r="Q23" s="151">
        <v>246</v>
      </c>
      <c r="R23" s="151">
        <v>0</v>
      </c>
      <c r="S23" s="151">
        <v>0</v>
      </c>
      <c r="T23" s="151">
        <v>11</v>
      </c>
      <c r="U23" s="151">
        <v>68</v>
      </c>
      <c r="V23" s="151">
        <v>24</v>
      </c>
      <c r="W23" s="151">
        <v>255</v>
      </c>
      <c r="X23" s="151">
        <v>19</v>
      </c>
      <c r="Y23" s="151">
        <v>122</v>
      </c>
      <c r="Z23" s="151">
        <v>44</v>
      </c>
      <c r="AA23" s="1">
        <v>69</v>
      </c>
      <c r="AB23" s="1">
        <v>0</v>
      </c>
      <c r="AC23" s="1">
        <v>0</v>
      </c>
      <c r="AD23" s="1">
        <v>0</v>
      </c>
    </row>
    <row r="24" spans="1:30" x14ac:dyDescent="0.25">
      <c r="B24" s="6" t="s">
        <v>272</v>
      </c>
      <c r="C24" s="7">
        <v>4088326</v>
      </c>
      <c r="D24" s="151" t="s">
        <v>267</v>
      </c>
      <c r="E24" s="151">
        <v>5025</v>
      </c>
      <c r="F24" s="151">
        <v>1831</v>
      </c>
      <c r="G24" s="151">
        <v>3947</v>
      </c>
      <c r="H24" s="151">
        <v>4807</v>
      </c>
      <c r="I24" s="151">
        <v>3514</v>
      </c>
      <c r="J24" s="151">
        <v>4894</v>
      </c>
      <c r="K24" s="151">
        <v>34635</v>
      </c>
      <c r="L24" s="151">
        <v>2499</v>
      </c>
      <c r="M24" s="151">
        <v>2137</v>
      </c>
      <c r="N24" s="151">
        <v>8180</v>
      </c>
      <c r="O24" s="151">
        <v>1112</v>
      </c>
      <c r="P24" s="151">
        <v>1428</v>
      </c>
      <c r="Q24" s="151">
        <v>5812</v>
      </c>
      <c r="R24" s="151">
        <v>19</v>
      </c>
      <c r="S24" s="151">
        <v>120</v>
      </c>
      <c r="T24" s="151">
        <v>263</v>
      </c>
      <c r="U24" s="151">
        <v>1816</v>
      </c>
      <c r="V24" s="151">
        <v>1519</v>
      </c>
      <c r="W24" s="151">
        <v>4866</v>
      </c>
      <c r="X24" s="151">
        <v>1021</v>
      </c>
      <c r="Y24" s="151" t="s">
        <v>267</v>
      </c>
      <c r="Z24" s="151">
        <v>4252</v>
      </c>
      <c r="AA24" s="1">
        <v>11507</v>
      </c>
      <c r="AB24" s="1">
        <v>0</v>
      </c>
      <c r="AC24" s="1">
        <v>0</v>
      </c>
      <c r="AD24" s="1">
        <v>0</v>
      </c>
    </row>
    <row r="25" spans="1:30" x14ac:dyDescent="0.25">
      <c r="A25" s="1" t="s">
        <v>268</v>
      </c>
      <c r="B25" s="6" t="s">
        <v>273</v>
      </c>
      <c r="C25" s="7">
        <v>4059358</v>
      </c>
      <c r="D25" s="151" t="s">
        <v>267</v>
      </c>
      <c r="E25" s="151">
        <v>862</v>
      </c>
      <c r="F25" s="151">
        <v>1424</v>
      </c>
      <c r="G25" s="151">
        <v>1309</v>
      </c>
      <c r="H25" s="151">
        <v>3264</v>
      </c>
      <c r="I25" s="151">
        <v>2717</v>
      </c>
      <c r="J25" s="151">
        <v>4837</v>
      </c>
      <c r="K25" s="151">
        <v>1165</v>
      </c>
      <c r="L25" s="151">
        <v>1176</v>
      </c>
      <c r="M25" s="151">
        <v>977</v>
      </c>
      <c r="N25" s="151">
        <v>3235</v>
      </c>
      <c r="O25" s="151">
        <v>1448</v>
      </c>
      <c r="P25" s="151">
        <v>397</v>
      </c>
      <c r="Q25" s="151">
        <v>2484</v>
      </c>
      <c r="R25" s="151">
        <v>0</v>
      </c>
      <c r="S25" s="151">
        <v>147</v>
      </c>
      <c r="T25" s="151">
        <v>262</v>
      </c>
      <c r="U25" s="151">
        <v>2160</v>
      </c>
      <c r="V25" s="151">
        <v>118</v>
      </c>
      <c r="W25" s="151">
        <v>1012</v>
      </c>
      <c r="X25" s="151">
        <v>1814</v>
      </c>
      <c r="Y25" s="151">
        <v>2866</v>
      </c>
      <c r="Z25" s="151">
        <v>2378</v>
      </c>
      <c r="AA25" s="1">
        <v>3579</v>
      </c>
      <c r="AB25" s="1">
        <v>0</v>
      </c>
      <c r="AC25" s="1">
        <v>0</v>
      </c>
      <c r="AD25" s="1">
        <v>0</v>
      </c>
    </row>
    <row r="26" spans="1:30" x14ac:dyDescent="0.25">
      <c r="B26" s="6" t="s">
        <v>274</v>
      </c>
      <c r="C26" s="7">
        <v>4059359</v>
      </c>
      <c r="D26" s="151" t="s">
        <v>267</v>
      </c>
      <c r="E26" s="151">
        <v>787</v>
      </c>
      <c r="F26" s="151">
        <v>1045</v>
      </c>
      <c r="G26" s="151">
        <v>1218</v>
      </c>
      <c r="H26" s="151">
        <v>1153</v>
      </c>
      <c r="I26" s="151">
        <v>1044</v>
      </c>
      <c r="J26" s="151">
        <v>1901</v>
      </c>
      <c r="K26" s="151">
        <v>613</v>
      </c>
      <c r="L26" s="151">
        <v>552</v>
      </c>
      <c r="M26" s="151">
        <v>510</v>
      </c>
      <c r="N26" s="151">
        <v>1168</v>
      </c>
      <c r="O26" s="151">
        <v>486</v>
      </c>
      <c r="P26" s="151">
        <v>356</v>
      </c>
      <c r="Q26" s="151">
        <v>420</v>
      </c>
      <c r="R26" s="151">
        <v>210</v>
      </c>
      <c r="S26" s="151">
        <v>139</v>
      </c>
      <c r="T26" s="151">
        <v>202</v>
      </c>
      <c r="U26" s="151">
        <v>954</v>
      </c>
      <c r="V26" s="151">
        <v>116</v>
      </c>
      <c r="W26" s="151">
        <v>253</v>
      </c>
      <c r="X26" s="151">
        <v>556</v>
      </c>
      <c r="Y26" s="151">
        <v>623</v>
      </c>
      <c r="Z26" s="151" t="s">
        <v>267</v>
      </c>
      <c r="AA26" s="1">
        <v>1423</v>
      </c>
      <c r="AB26" s="1">
        <v>0</v>
      </c>
      <c r="AC26" s="1" t="s">
        <v>267</v>
      </c>
      <c r="AD26" s="1" t="s">
        <v>267</v>
      </c>
    </row>
    <row r="27" spans="1:30" x14ac:dyDescent="0.25">
      <c r="A27" s="1" t="s">
        <v>268</v>
      </c>
      <c r="B27" s="6" t="s">
        <v>202</v>
      </c>
      <c r="C27" s="7">
        <v>4059402</v>
      </c>
      <c r="D27" s="151">
        <v>10334</v>
      </c>
      <c r="E27" s="151">
        <v>3375</v>
      </c>
      <c r="F27" s="151">
        <v>6384</v>
      </c>
      <c r="G27" s="151">
        <v>2894</v>
      </c>
      <c r="H27" s="151">
        <v>2273</v>
      </c>
      <c r="I27" s="151">
        <v>5888</v>
      </c>
      <c r="J27" s="151">
        <v>7651</v>
      </c>
      <c r="K27" s="151">
        <v>279</v>
      </c>
      <c r="L27" s="151">
        <v>929</v>
      </c>
      <c r="M27" s="151">
        <v>2093</v>
      </c>
      <c r="N27" s="151">
        <v>1166</v>
      </c>
      <c r="O27" s="151">
        <v>170</v>
      </c>
      <c r="P27" s="151">
        <v>444</v>
      </c>
      <c r="Q27" s="151">
        <v>1744</v>
      </c>
      <c r="R27" s="151">
        <v>2787</v>
      </c>
      <c r="S27" s="151">
        <v>1528</v>
      </c>
      <c r="T27" s="151">
        <v>1401</v>
      </c>
      <c r="U27" s="151">
        <v>1237</v>
      </c>
      <c r="V27" s="151">
        <v>268</v>
      </c>
      <c r="W27" s="151">
        <v>714</v>
      </c>
      <c r="X27" s="151">
        <v>1022</v>
      </c>
      <c r="Y27" s="151">
        <v>1476</v>
      </c>
      <c r="Z27" s="151">
        <v>1207</v>
      </c>
      <c r="AA27" s="1">
        <v>1420</v>
      </c>
      <c r="AB27" s="1">
        <v>0</v>
      </c>
      <c r="AC27" s="1">
        <v>0</v>
      </c>
      <c r="AD27" s="1">
        <v>0</v>
      </c>
    </row>
    <row r="28" spans="1:30" x14ac:dyDescent="0.25">
      <c r="A28" s="1" t="s">
        <v>268</v>
      </c>
      <c r="B28" s="6" t="s">
        <v>204</v>
      </c>
      <c r="C28" s="7">
        <v>4057080</v>
      </c>
      <c r="D28" s="151">
        <v>22881</v>
      </c>
      <c r="E28" s="151">
        <v>10254</v>
      </c>
      <c r="F28" s="151">
        <v>0</v>
      </c>
      <c r="G28" s="151">
        <v>0</v>
      </c>
      <c r="H28" s="151">
        <v>0</v>
      </c>
      <c r="I28" s="151">
        <v>0</v>
      </c>
      <c r="J28" s="151">
        <v>0</v>
      </c>
      <c r="K28" s="151">
        <v>0</v>
      </c>
      <c r="L28" s="151">
        <v>0</v>
      </c>
      <c r="M28" s="151">
        <v>0</v>
      </c>
      <c r="N28" s="151">
        <v>0</v>
      </c>
      <c r="O28" s="151">
        <v>0</v>
      </c>
      <c r="P28" s="151">
        <v>0</v>
      </c>
      <c r="Q28" s="151">
        <v>0</v>
      </c>
      <c r="R28" s="151">
        <v>0</v>
      </c>
      <c r="S28" s="151">
        <v>0</v>
      </c>
      <c r="T28" s="151">
        <v>0</v>
      </c>
      <c r="U28" s="151">
        <v>0</v>
      </c>
      <c r="V28" s="151">
        <v>0</v>
      </c>
      <c r="W28" s="151">
        <v>0</v>
      </c>
      <c r="X28" s="151">
        <v>0</v>
      </c>
      <c r="Y28" s="151">
        <v>0</v>
      </c>
      <c r="Z28" s="151">
        <v>0</v>
      </c>
      <c r="AA28" s="1">
        <v>0</v>
      </c>
      <c r="AB28" s="1">
        <v>0</v>
      </c>
      <c r="AC28" s="1">
        <v>0</v>
      </c>
      <c r="AD28" s="1">
        <v>0</v>
      </c>
    </row>
    <row r="29" spans="1:30" x14ac:dyDescent="0.25">
      <c r="B29" s="6" t="s">
        <v>205</v>
      </c>
      <c r="C29" s="7">
        <v>4057081</v>
      </c>
      <c r="D29" s="151">
        <v>5000</v>
      </c>
      <c r="E29" s="151">
        <v>16555</v>
      </c>
      <c r="F29" s="151">
        <v>14953</v>
      </c>
      <c r="G29" s="151">
        <v>21287</v>
      </c>
      <c r="H29" s="151">
        <v>15732</v>
      </c>
      <c r="I29" s="151">
        <v>35589</v>
      </c>
      <c r="J29" s="151">
        <v>46675</v>
      </c>
      <c r="K29" s="151">
        <v>39866</v>
      </c>
      <c r="L29" s="151">
        <v>26036</v>
      </c>
      <c r="M29" s="151">
        <v>4480</v>
      </c>
      <c r="N29" s="151">
        <v>4689</v>
      </c>
      <c r="O29" s="151">
        <v>1173</v>
      </c>
      <c r="P29" s="151">
        <v>9477</v>
      </c>
      <c r="Q29" s="151">
        <v>1387</v>
      </c>
      <c r="R29" s="151">
        <v>13445</v>
      </c>
      <c r="S29" s="151">
        <v>108</v>
      </c>
      <c r="T29" s="151">
        <v>3160</v>
      </c>
      <c r="U29" s="151">
        <v>1279</v>
      </c>
      <c r="V29" s="151">
        <v>5862</v>
      </c>
      <c r="W29" s="151">
        <v>16211</v>
      </c>
      <c r="X29" s="151">
        <v>7185</v>
      </c>
      <c r="Y29" s="151">
        <v>4994</v>
      </c>
      <c r="Z29" s="151">
        <v>1849</v>
      </c>
      <c r="AA29" s="1">
        <v>3290</v>
      </c>
      <c r="AB29" s="1">
        <v>0</v>
      </c>
      <c r="AC29" s="1">
        <v>0</v>
      </c>
      <c r="AD29" s="1">
        <v>0</v>
      </c>
    </row>
    <row r="30" spans="1:30" x14ac:dyDescent="0.25">
      <c r="A30" s="1" t="s">
        <v>268</v>
      </c>
      <c r="B30" s="6" t="s">
        <v>207</v>
      </c>
      <c r="C30" s="7">
        <v>4059459</v>
      </c>
      <c r="D30" s="151">
        <v>509</v>
      </c>
      <c r="E30" s="151">
        <v>1183</v>
      </c>
      <c r="F30" s="151">
        <v>170</v>
      </c>
      <c r="G30" s="151">
        <v>607</v>
      </c>
      <c r="H30" s="151">
        <v>471</v>
      </c>
      <c r="I30" s="151">
        <v>271</v>
      </c>
      <c r="J30" s="151">
        <v>297</v>
      </c>
      <c r="K30" s="151">
        <v>965</v>
      </c>
      <c r="L30" s="151">
        <v>798</v>
      </c>
      <c r="M30" s="151">
        <v>726</v>
      </c>
      <c r="N30" s="151">
        <v>286</v>
      </c>
      <c r="O30" s="151">
        <v>267</v>
      </c>
      <c r="P30" s="151">
        <v>77</v>
      </c>
      <c r="Q30" s="151">
        <v>201</v>
      </c>
      <c r="R30" s="151">
        <v>301</v>
      </c>
      <c r="S30" s="151">
        <v>108</v>
      </c>
      <c r="T30" s="151">
        <v>92</v>
      </c>
      <c r="U30" s="151">
        <v>82</v>
      </c>
      <c r="V30" s="151">
        <v>177</v>
      </c>
      <c r="W30" s="151">
        <v>207</v>
      </c>
      <c r="X30" s="151">
        <v>352</v>
      </c>
      <c r="Y30" s="151">
        <v>221</v>
      </c>
      <c r="Z30" s="151">
        <v>285</v>
      </c>
      <c r="AA30" s="1">
        <v>236</v>
      </c>
      <c r="AB30" s="1">
        <v>0</v>
      </c>
      <c r="AC30" s="1">
        <v>0</v>
      </c>
      <c r="AD30" s="1">
        <v>0</v>
      </c>
    </row>
    <row r="31" spans="1:30" x14ac:dyDescent="0.25">
      <c r="B31" s="6" t="s">
        <v>208</v>
      </c>
      <c r="C31" s="7">
        <v>4057118</v>
      </c>
      <c r="D31" s="151">
        <v>4167</v>
      </c>
      <c r="E31" s="151">
        <v>799</v>
      </c>
      <c r="F31" s="151">
        <v>1054</v>
      </c>
      <c r="G31" s="151">
        <v>3790</v>
      </c>
      <c r="H31" s="151">
        <v>1234</v>
      </c>
      <c r="I31" s="151">
        <v>1106</v>
      </c>
      <c r="J31" s="151">
        <v>1642</v>
      </c>
      <c r="K31" s="151">
        <v>1256</v>
      </c>
      <c r="L31" s="151">
        <v>1264</v>
      </c>
      <c r="M31" s="151">
        <v>690</v>
      </c>
      <c r="N31" s="151">
        <v>1588</v>
      </c>
      <c r="O31" s="151">
        <v>1224</v>
      </c>
      <c r="P31" s="151">
        <v>1371</v>
      </c>
      <c r="Q31" s="151">
        <v>1662</v>
      </c>
      <c r="R31" s="151">
        <v>1384</v>
      </c>
      <c r="S31" s="151">
        <v>1759</v>
      </c>
      <c r="T31" s="151">
        <v>763</v>
      </c>
      <c r="U31" s="151">
        <v>1248</v>
      </c>
      <c r="V31" s="151">
        <v>1998</v>
      </c>
      <c r="W31" s="151">
        <v>3076</v>
      </c>
      <c r="X31" s="151">
        <v>1243</v>
      </c>
      <c r="Y31" s="151">
        <v>741</v>
      </c>
      <c r="Z31" s="151">
        <v>1641</v>
      </c>
      <c r="AA31" s="1">
        <v>1171</v>
      </c>
      <c r="AB31" s="1">
        <v>0</v>
      </c>
      <c r="AC31" s="1">
        <v>0</v>
      </c>
      <c r="AD31" s="1">
        <v>0</v>
      </c>
    </row>
    <row r="32" spans="1:30" x14ac:dyDescent="0.25">
      <c r="B32" s="6" t="s">
        <v>210</v>
      </c>
      <c r="C32" s="7">
        <v>4057126</v>
      </c>
      <c r="D32" s="151">
        <v>41106</v>
      </c>
      <c r="E32" s="151">
        <v>18238</v>
      </c>
      <c r="F32" s="151">
        <v>53215</v>
      </c>
      <c r="G32" s="151">
        <v>42922</v>
      </c>
      <c r="H32" s="151">
        <v>19442</v>
      </c>
      <c r="I32" s="151">
        <v>19905</v>
      </c>
      <c r="J32" s="151">
        <v>13785</v>
      </c>
      <c r="K32" s="151">
        <v>20436</v>
      </c>
      <c r="L32" s="151">
        <v>21260</v>
      </c>
      <c r="M32" s="151">
        <v>15565</v>
      </c>
      <c r="N32" s="151">
        <v>14644</v>
      </c>
      <c r="O32" s="151">
        <v>3703</v>
      </c>
      <c r="P32" s="151">
        <v>16281</v>
      </c>
      <c r="Q32" s="151">
        <v>32137</v>
      </c>
      <c r="R32" s="151">
        <v>1601</v>
      </c>
      <c r="S32" s="151">
        <v>4114</v>
      </c>
      <c r="T32" s="151">
        <v>4437</v>
      </c>
      <c r="U32" s="151">
        <v>5118</v>
      </c>
      <c r="V32" s="151">
        <v>6623</v>
      </c>
      <c r="W32" s="151">
        <v>12581</v>
      </c>
      <c r="X32" s="151">
        <v>20357</v>
      </c>
      <c r="Y32" s="151">
        <v>26291</v>
      </c>
      <c r="Z32" s="151">
        <v>27572</v>
      </c>
      <c r="AA32" s="1">
        <v>54246</v>
      </c>
      <c r="AB32" s="1">
        <v>0</v>
      </c>
      <c r="AC32" s="1">
        <v>0</v>
      </c>
      <c r="AD32" s="1">
        <v>0</v>
      </c>
    </row>
    <row r="33" spans="1:30" x14ac:dyDescent="0.25">
      <c r="B33" s="6" t="s">
        <v>275</v>
      </c>
      <c r="C33" s="7">
        <v>4057103</v>
      </c>
      <c r="D33" s="151" t="s">
        <v>267</v>
      </c>
      <c r="E33" s="151" t="s">
        <v>267</v>
      </c>
      <c r="F33" s="151">
        <v>1462</v>
      </c>
      <c r="G33" s="151">
        <v>1579</v>
      </c>
      <c r="H33" s="151">
        <v>203</v>
      </c>
      <c r="I33" s="151" t="s">
        <v>267</v>
      </c>
      <c r="J33" s="151">
        <v>90</v>
      </c>
      <c r="K33" s="151">
        <v>111</v>
      </c>
      <c r="L33" s="151">
        <v>24</v>
      </c>
      <c r="M33" s="151">
        <v>135</v>
      </c>
      <c r="N33" s="151">
        <v>153</v>
      </c>
      <c r="O33" s="151">
        <v>158</v>
      </c>
      <c r="P33" s="151">
        <v>899</v>
      </c>
      <c r="Q33" s="151">
        <v>122</v>
      </c>
      <c r="R33" s="151">
        <v>7</v>
      </c>
      <c r="S33" s="151">
        <v>34</v>
      </c>
      <c r="T33" s="151">
        <v>21</v>
      </c>
      <c r="U33" s="151">
        <v>170</v>
      </c>
      <c r="V33" s="151">
        <v>31</v>
      </c>
      <c r="W33" s="151">
        <v>36</v>
      </c>
      <c r="X33" s="151">
        <v>185</v>
      </c>
      <c r="Y33" s="151">
        <v>201</v>
      </c>
      <c r="Z33" s="151">
        <v>116</v>
      </c>
      <c r="AA33" s="1">
        <v>67</v>
      </c>
      <c r="AB33" s="1">
        <v>0</v>
      </c>
      <c r="AC33" s="1">
        <v>0</v>
      </c>
      <c r="AD33" s="1">
        <v>0</v>
      </c>
    </row>
    <row r="34" spans="1:30" x14ac:dyDescent="0.25">
      <c r="B34" s="6" t="s">
        <v>211</v>
      </c>
      <c r="C34" s="7">
        <v>4057079</v>
      </c>
      <c r="D34" s="151">
        <v>699</v>
      </c>
      <c r="E34" s="151">
        <v>15241</v>
      </c>
      <c r="F34" s="151">
        <v>9456</v>
      </c>
      <c r="G34" s="151">
        <v>10493</v>
      </c>
      <c r="H34" s="151">
        <v>1809</v>
      </c>
      <c r="I34" s="151">
        <v>2589</v>
      </c>
      <c r="J34" s="151">
        <v>1807</v>
      </c>
      <c r="K34" s="151">
        <v>2942</v>
      </c>
      <c r="L34" s="151">
        <v>7194</v>
      </c>
      <c r="M34" s="151">
        <v>22851</v>
      </c>
      <c r="N34" s="151">
        <v>1385</v>
      </c>
      <c r="O34" s="151">
        <v>689</v>
      </c>
      <c r="P34" s="151">
        <v>1005</v>
      </c>
      <c r="Q34" s="151">
        <v>197</v>
      </c>
      <c r="R34" s="151">
        <v>413</v>
      </c>
      <c r="S34" s="151">
        <v>166</v>
      </c>
      <c r="T34" s="151">
        <v>372</v>
      </c>
      <c r="U34" s="151">
        <v>800</v>
      </c>
      <c r="V34" s="151">
        <v>277</v>
      </c>
      <c r="W34" s="151">
        <v>137</v>
      </c>
      <c r="X34" s="151">
        <v>1058</v>
      </c>
      <c r="Y34" s="151">
        <v>818</v>
      </c>
      <c r="Z34" s="151">
        <v>462</v>
      </c>
      <c r="AA34" s="1">
        <v>489</v>
      </c>
      <c r="AB34" s="1">
        <v>0</v>
      </c>
      <c r="AC34" s="1">
        <v>0</v>
      </c>
      <c r="AD34" s="1">
        <v>0</v>
      </c>
    </row>
    <row r="35" spans="1:30" x14ac:dyDescent="0.25">
      <c r="B35" s="6" t="s">
        <v>276</v>
      </c>
      <c r="C35" s="7">
        <v>4081251</v>
      </c>
      <c r="D35" s="151" t="s">
        <v>267</v>
      </c>
      <c r="E35" s="151" t="s">
        <v>267</v>
      </c>
      <c r="F35" s="151">
        <v>32</v>
      </c>
      <c r="G35" s="151">
        <v>0</v>
      </c>
      <c r="H35" s="151">
        <v>0</v>
      </c>
      <c r="I35" s="151">
        <v>3</v>
      </c>
      <c r="J35" s="151" t="s">
        <v>267</v>
      </c>
      <c r="K35" s="151">
        <v>86</v>
      </c>
      <c r="L35" s="151">
        <v>0</v>
      </c>
      <c r="M35" s="151">
        <v>0</v>
      </c>
      <c r="N35" s="151">
        <v>2</v>
      </c>
      <c r="O35" s="151">
        <v>0</v>
      </c>
      <c r="P35" s="151">
        <v>4</v>
      </c>
      <c r="Q35" s="151">
        <v>1</v>
      </c>
      <c r="R35" s="151">
        <v>37</v>
      </c>
      <c r="S35" s="151">
        <v>41</v>
      </c>
      <c r="T35" s="151">
        <v>82</v>
      </c>
      <c r="U35" s="151">
        <v>33</v>
      </c>
      <c r="V35" s="151">
        <v>0</v>
      </c>
      <c r="W35" s="151">
        <v>3</v>
      </c>
      <c r="X35" s="151">
        <v>1</v>
      </c>
      <c r="Y35" s="151">
        <v>9</v>
      </c>
      <c r="Z35" s="151" t="s">
        <v>267</v>
      </c>
      <c r="AA35" s="1" t="s">
        <v>267</v>
      </c>
      <c r="AB35" s="1" t="s">
        <v>267</v>
      </c>
      <c r="AC35" s="1" t="s">
        <v>267</v>
      </c>
      <c r="AD35" s="1" t="s">
        <v>267</v>
      </c>
    </row>
    <row r="36" spans="1:30" x14ac:dyDescent="0.25">
      <c r="B36" s="6" t="s">
        <v>277</v>
      </c>
      <c r="C36" s="7">
        <v>4060572</v>
      </c>
      <c r="D36" s="151" t="s">
        <v>267</v>
      </c>
      <c r="E36" s="151">
        <v>3267</v>
      </c>
      <c r="F36" s="151">
        <v>782</v>
      </c>
      <c r="G36" s="151">
        <v>986</v>
      </c>
      <c r="H36" s="151">
        <v>3275</v>
      </c>
      <c r="I36" s="151">
        <v>621</v>
      </c>
      <c r="J36" s="151">
        <v>1293</v>
      </c>
      <c r="K36" s="151">
        <v>615</v>
      </c>
      <c r="L36" s="151">
        <v>1092</v>
      </c>
      <c r="M36" s="151">
        <v>2053</v>
      </c>
      <c r="N36" s="151">
        <v>793</v>
      </c>
      <c r="O36" s="151">
        <v>278</v>
      </c>
      <c r="P36" s="151">
        <v>2193</v>
      </c>
      <c r="Q36" s="151">
        <v>742</v>
      </c>
      <c r="R36" s="151">
        <v>25</v>
      </c>
      <c r="S36" s="151">
        <v>93</v>
      </c>
      <c r="T36" s="151">
        <v>133</v>
      </c>
      <c r="U36" s="151">
        <v>1021</v>
      </c>
      <c r="V36" s="151">
        <v>914</v>
      </c>
      <c r="W36" s="151">
        <v>603</v>
      </c>
      <c r="X36" s="151">
        <v>361</v>
      </c>
      <c r="Y36" s="151">
        <v>808</v>
      </c>
      <c r="Z36" s="151" t="s">
        <v>267</v>
      </c>
      <c r="AA36" s="1" t="s">
        <v>267</v>
      </c>
      <c r="AB36" s="1">
        <v>0</v>
      </c>
      <c r="AC36" s="1">
        <v>0</v>
      </c>
      <c r="AD36" s="1">
        <v>0</v>
      </c>
    </row>
    <row r="37" spans="1:30" x14ac:dyDescent="0.25">
      <c r="B37" s="6" t="s">
        <v>278</v>
      </c>
      <c r="C37" s="7">
        <v>4083318</v>
      </c>
      <c r="D37" s="151" t="s">
        <v>267</v>
      </c>
      <c r="E37" s="151">
        <v>390</v>
      </c>
      <c r="F37" s="151">
        <v>90</v>
      </c>
      <c r="G37" s="151">
        <v>322</v>
      </c>
      <c r="H37" s="151">
        <v>527</v>
      </c>
      <c r="I37" s="151">
        <v>369</v>
      </c>
      <c r="J37" s="151">
        <v>608</v>
      </c>
      <c r="K37" s="151">
        <v>272</v>
      </c>
      <c r="L37" s="151">
        <v>338</v>
      </c>
      <c r="M37" s="151">
        <v>278</v>
      </c>
      <c r="N37" s="151">
        <v>213</v>
      </c>
      <c r="O37" s="151">
        <v>331</v>
      </c>
      <c r="P37" s="151">
        <v>162</v>
      </c>
      <c r="Q37" s="151">
        <v>262</v>
      </c>
      <c r="R37" s="151">
        <v>174</v>
      </c>
      <c r="S37" s="151">
        <v>197</v>
      </c>
      <c r="T37" s="151">
        <v>123</v>
      </c>
      <c r="U37" s="151">
        <v>145</v>
      </c>
      <c r="V37" s="151">
        <v>281</v>
      </c>
      <c r="W37" s="151">
        <v>333</v>
      </c>
      <c r="X37" s="151" t="s">
        <v>267</v>
      </c>
      <c r="Y37" s="151" t="s">
        <v>267</v>
      </c>
      <c r="Z37" s="151" t="s">
        <v>267</v>
      </c>
      <c r="AA37" s="1" t="s">
        <v>267</v>
      </c>
      <c r="AB37" s="1" t="s">
        <v>267</v>
      </c>
      <c r="AC37" s="1">
        <v>0</v>
      </c>
      <c r="AD37" s="1">
        <v>0</v>
      </c>
    </row>
    <row r="38" spans="1:30" x14ac:dyDescent="0.25">
      <c r="B38" s="6" t="s">
        <v>279</v>
      </c>
      <c r="C38" s="7">
        <v>4057125</v>
      </c>
      <c r="D38" s="151" t="s">
        <v>267</v>
      </c>
      <c r="E38" s="151">
        <v>1487</v>
      </c>
      <c r="F38" s="151">
        <v>12531</v>
      </c>
      <c r="G38" s="151">
        <v>22217</v>
      </c>
      <c r="H38" s="151">
        <v>2244</v>
      </c>
      <c r="I38" s="151">
        <v>3047</v>
      </c>
      <c r="J38" s="151">
        <v>7660</v>
      </c>
      <c r="K38" s="151">
        <v>5592</v>
      </c>
      <c r="L38" s="151">
        <v>897</v>
      </c>
      <c r="M38" s="151">
        <v>7386</v>
      </c>
      <c r="N38" s="151">
        <v>326</v>
      </c>
      <c r="O38" s="151">
        <v>73</v>
      </c>
      <c r="P38" s="151">
        <v>4935</v>
      </c>
      <c r="Q38" s="151">
        <v>1311</v>
      </c>
      <c r="R38" s="151">
        <v>4267</v>
      </c>
      <c r="S38" s="151">
        <v>65</v>
      </c>
      <c r="T38" s="151">
        <v>1749</v>
      </c>
      <c r="U38" s="151">
        <v>3624</v>
      </c>
      <c r="V38" s="151">
        <v>776</v>
      </c>
      <c r="W38" s="151">
        <v>0</v>
      </c>
      <c r="X38" s="151">
        <v>4133</v>
      </c>
      <c r="Y38" s="151">
        <v>1778</v>
      </c>
      <c r="Z38" s="151">
        <v>415</v>
      </c>
      <c r="AA38" s="1">
        <v>1273</v>
      </c>
      <c r="AB38" s="1">
        <v>0</v>
      </c>
      <c r="AC38" s="1">
        <v>0</v>
      </c>
      <c r="AD38" s="1">
        <v>0</v>
      </c>
    </row>
    <row r="39" spans="1:30" x14ac:dyDescent="0.25">
      <c r="B39" s="6" t="s">
        <v>280</v>
      </c>
      <c r="C39" s="7">
        <v>4087741</v>
      </c>
      <c r="D39" s="151" t="s">
        <v>267</v>
      </c>
      <c r="E39" s="151" t="s">
        <v>267</v>
      </c>
      <c r="F39" s="151" t="s">
        <v>267</v>
      </c>
      <c r="G39" s="151">
        <v>12616</v>
      </c>
      <c r="H39" s="151">
        <v>7121</v>
      </c>
      <c r="I39" s="151">
        <v>5352</v>
      </c>
      <c r="J39" s="151">
        <v>3124</v>
      </c>
      <c r="K39" s="151">
        <v>7226</v>
      </c>
      <c r="L39" s="151">
        <v>8380</v>
      </c>
      <c r="M39" s="151">
        <v>6234</v>
      </c>
      <c r="N39" s="151">
        <v>7648</v>
      </c>
      <c r="O39" s="151">
        <v>7576</v>
      </c>
      <c r="P39" s="151">
        <v>8828</v>
      </c>
      <c r="Q39" s="151">
        <v>4051</v>
      </c>
      <c r="R39" s="151">
        <v>3159</v>
      </c>
      <c r="S39" s="151">
        <v>4991</v>
      </c>
      <c r="T39" s="151">
        <v>4415</v>
      </c>
      <c r="U39" s="151">
        <v>11238</v>
      </c>
      <c r="V39" s="151">
        <v>6973</v>
      </c>
      <c r="W39" s="151">
        <v>6704</v>
      </c>
      <c r="X39" s="151" t="s">
        <v>267</v>
      </c>
      <c r="Y39" s="151">
        <v>19099</v>
      </c>
      <c r="Z39" s="151" t="s">
        <v>267</v>
      </c>
      <c r="AA39" s="1" t="s">
        <v>267</v>
      </c>
      <c r="AB39" s="1" t="s">
        <v>267</v>
      </c>
      <c r="AC39" s="1" t="s">
        <v>267</v>
      </c>
      <c r="AD39" s="1" t="s">
        <v>267</v>
      </c>
    </row>
    <row r="40" spans="1:30" x14ac:dyDescent="0.25">
      <c r="B40" s="6" t="s">
        <v>281</v>
      </c>
      <c r="C40" s="7">
        <v>4059875</v>
      </c>
      <c r="D40" s="151" t="s">
        <v>267</v>
      </c>
      <c r="E40" s="151">
        <v>8707</v>
      </c>
      <c r="F40" s="151">
        <v>6553</v>
      </c>
      <c r="G40" s="151">
        <v>4043</v>
      </c>
      <c r="H40" s="151">
        <v>1745</v>
      </c>
      <c r="I40" s="151">
        <v>25265</v>
      </c>
      <c r="J40" s="151">
        <v>43549</v>
      </c>
      <c r="K40" s="151">
        <v>2014</v>
      </c>
      <c r="L40" s="151">
        <v>418</v>
      </c>
      <c r="M40" s="151">
        <v>22</v>
      </c>
      <c r="N40" s="151">
        <v>184</v>
      </c>
      <c r="O40" s="151">
        <v>206</v>
      </c>
      <c r="P40" s="151">
        <v>1121</v>
      </c>
      <c r="Q40" s="151">
        <v>3123</v>
      </c>
      <c r="R40" s="151">
        <v>1363</v>
      </c>
      <c r="S40" s="151">
        <v>1591</v>
      </c>
      <c r="T40" s="151">
        <v>338</v>
      </c>
      <c r="U40" s="151">
        <v>1122</v>
      </c>
      <c r="V40" s="151">
        <v>470</v>
      </c>
      <c r="W40" s="151">
        <v>7451</v>
      </c>
      <c r="X40" s="151" t="s">
        <v>267</v>
      </c>
      <c r="Y40" s="151">
        <v>261</v>
      </c>
      <c r="Z40" s="151">
        <v>2074</v>
      </c>
      <c r="AA40" s="1">
        <v>579</v>
      </c>
      <c r="AB40" s="1">
        <v>0</v>
      </c>
      <c r="AC40" s="1">
        <v>0</v>
      </c>
      <c r="AD40" s="1">
        <v>0</v>
      </c>
    </row>
    <row r="41" spans="1:30" x14ac:dyDescent="0.25">
      <c r="B41" s="6" t="s">
        <v>212</v>
      </c>
      <c r="C41" s="7">
        <v>4057090</v>
      </c>
      <c r="D41" s="151">
        <v>1441</v>
      </c>
      <c r="E41" s="151">
        <v>1529</v>
      </c>
      <c r="F41" s="151">
        <v>1301</v>
      </c>
      <c r="G41" s="151">
        <v>1927</v>
      </c>
      <c r="H41" s="151">
        <v>1075</v>
      </c>
      <c r="I41" s="151">
        <v>1455</v>
      </c>
      <c r="J41" s="151">
        <v>539</v>
      </c>
      <c r="K41" s="151">
        <v>1654</v>
      </c>
      <c r="L41" s="151">
        <v>293</v>
      </c>
      <c r="M41" s="151">
        <v>1156</v>
      </c>
      <c r="N41" s="151">
        <v>843</v>
      </c>
      <c r="O41" s="151">
        <v>684</v>
      </c>
      <c r="P41" s="151">
        <v>394</v>
      </c>
      <c r="Q41" s="151">
        <v>5</v>
      </c>
      <c r="R41" s="151">
        <v>299</v>
      </c>
      <c r="S41" s="151">
        <v>649</v>
      </c>
      <c r="T41" s="151">
        <v>474</v>
      </c>
      <c r="U41" s="151">
        <v>720</v>
      </c>
      <c r="V41" s="151">
        <v>176</v>
      </c>
      <c r="W41" s="151">
        <v>507</v>
      </c>
      <c r="X41" s="151">
        <v>444</v>
      </c>
      <c r="Y41" s="151">
        <v>973</v>
      </c>
      <c r="Z41" s="151">
        <v>1448</v>
      </c>
      <c r="AA41" s="1">
        <v>607</v>
      </c>
      <c r="AB41" s="1">
        <v>0</v>
      </c>
      <c r="AC41" s="1">
        <v>0</v>
      </c>
      <c r="AD41" s="1">
        <v>0</v>
      </c>
    </row>
    <row r="42" spans="1:30" x14ac:dyDescent="0.25">
      <c r="B42" s="6" t="s">
        <v>213</v>
      </c>
      <c r="C42" s="7">
        <v>4008754</v>
      </c>
      <c r="D42" s="151">
        <v>180</v>
      </c>
      <c r="E42" s="151">
        <v>235</v>
      </c>
      <c r="F42" s="151">
        <v>192</v>
      </c>
      <c r="G42" s="151">
        <v>355</v>
      </c>
      <c r="H42" s="151">
        <v>200</v>
      </c>
      <c r="I42" s="151">
        <v>118</v>
      </c>
      <c r="J42" s="151">
        <v>267</v>
      </c>
      <c r="K42" s="151">
        <v>206</v>
      </c>
      <c r="L42" s="151">
        <v>290</v>
      </c>
      <c r="M42" s="151">
        <v>352</v>
      </c>
      <c r="N42" s="151">
        <v>130</v>
      </c>
      <c r="O42" s="151">
        <v>73</v>
      </c>
      <c r="P42" s="151">
        <v>239</v>
      </c>
      <c r="Q42" s="151">
        <v>258</v>
      </c>
      <c r="R42" s="151">
        <v>215</v>
      </c>
      <c r="S42" s="151">
        <v>103</v>
      </c>
      <c r="T42" s="151">
        <v>55</v>
      </c>
      <c r="U42" s="151">
        <v>120</v>
      </c>
      <c r="V42" s="151">
        <v>291</v>
      </c>
      <c r="W42" s="151">
        <v>106</v>
      </c>
      <c r="X42" s="151">
        <v>34</v>
      </c>
      <c r="Y42" s="151">
        <v>140</v>
      </c>
      <c r="Z42" s="151">
        <v>100</v>
      </c>
      <c r="AA42" s="1">
        <v>95</v>
      </c>
      <c r="AB42" s="1">
        <v>0</v>
      </c>
      <c r="AC42" s="1">
        <v>0</v>
      </c>
      <c r="AD42" s="1">
        <v>0</v>
      </c>
    </row>
    <row r="43" spans="1:30" x14ac:dyDescent="0.25">
      <c r="B43" s="6" t="s">
        <v>282</v>
      </c>
      <c r="C43" s="7">
        <v>4061474</v>
      </c>
      <c r="D43" s="151" t="s">
        <v>267</v>
      </c>
      <c r="E43" s="151">
        <v>177</v>
      </c>
      <c r="F43" s="151">
        <v>549</v>
      </c>
      <c r="G43" s="151">
        <v>347</v>
      </c>
      <c r="H43" s="151">
        <v>216</v>
      </c>
      <c r="I43" s="151">
        <v>169</v>
      </c>
      <c r="J43" s="151">
        <v>174</v>
      </c>
      <c r="K43" s="151">
        <v>418</v>
      </c>
      <c r="L43" s="151">
        <v>296</v>
      </c>
      <c r="M43" s="151">
        <v>513</v>
      </c>
      <c r="N43" s="151">
        <v>1452</v>
      </c>
      <c r="O43" s="151">
        <v>714</v>
      </c>
      <c r="P43" s="151">
        <v>422</v>
      </c>
      <c r="Q43" s="151">
        <v>268</v>
      </c>
      <c r="R43" s="151">
        <v>188</v>
      </c>
      <c r="S43" s="151">
        <v>811</v>
      </c>
      <c r="T43" s="151">
        <v>215</v>
      </c>
      <c r="U43" s="151">
        <v>193</v>
      </c>
      <c r="V43" s="151">
        <v>183</v>
      </c>
      <c r="W43" s="151">
        <v>105</v>
      </c>
      <c r="X43" s="151" t="s">
        <v>267</v>
      </c>
      <c r="Y43" s="151">
        <v>135</v>
      </c>
      <c r="Z43" s="151" t="s">
        <v>267</v>
      </c>
      <c r="AA43" s="1" t="s">
        <v>267</v>
      </c>
      <c r="AB43" s="1">
        <v>0</v>
      </c>
      <c r="AC43" s="1">
        <v>0</v>
      </c>
      <c r="AD43" s="1">
        <v>0</v>
      </c>
    </row>
    <row r="44" spans="1:30" x14ac:dyDescent="0.25">
      <c r="B44" s="6" t="s">
        <v>283</v>
      </c>
      <c r="C44" s="7">
        <v>4076679</v>
      </c>
      <c r="D44" s="151" t="s">
        <v>267</v>
      </c>
      <c r="E44" s="151">
        <v>934</v>
      </c>
      <c r="F44" s="151">
        <v>201</v>
      </c>
      <c r="G44" s="151">
        <v>127</v>
      </c>
      <c r="H44" s="151">
        <v>426</v>
      </c>
      <c r="I44" s="151">
        <v>227</v>
      </c>
      <c r="J44" s="151">
        <v>239</v>
      </c>
      <c r="K44" s="151">
        <v>162</v>
      </c>
      <c r="L44" s="151">
        <v>148</v>
      </c>
      <c r="M44" s="151">
        <v>181</v>
      </c>
      <c r="N44" s="151">
        <v>365</v>
      </c>
      <c r="O44" s="151">
        <v>144</v>
      </c>
      <c r="P44" s="151">
        <v>147</v>
      </c>
      <c r="Q44" s="151">
        <v>165</v>
      </c>
      <c r="R44" s="151">
        <v>103</v>
      </c>
      <c r="S44" s="151">
        <v>44</v>
      </c>
      <c r="T44" s="151">
        <v>250</v>
      </c>
      <c r="U44" s="151">
        <v>115</v>
      </c>
      <c r="V44" s="151">
        <v>130</v>
      </c>
      <c r="W44" s="151">
        <v>95</v>
      </c>
      <c r="X44" s="151">
        <v>133</v>
      </c>
      <c r="Y44" s="151">
        <v>221</v>
      </c>
      <c r="Z44" s="151" t="s">
        <v>267</v>
      </c>
      <c r="AA44" s="1" t="s">
        <v>267</v>
      </c>
      <c r="AB44" s="1" t="s">
        <v>267</v>
      </c>
      <c r="AC44" s="1" t="s">
        <v>267</v>
      </c>
      <c r="AD44" s="1" t="s">
        <v>267</v>
      </c>
    </row>
    <row r="45" spans="1:30" x14ac:dyDescent="0.25">
      <c r="B45" s="6" t="s">
        <v>215</v>
      </c>
      <c r="C45" s="7">
        <v>4061634</v>
      </c>
      <c r="D45" s="151">
        <v>3972</v>
      </c>
      <c r="E45" s="151">
        <v>2178</v>
      </c>
      <c r="F45" s="151">
        <v>1294</v>
      </c>
      <c r="G45" s="151">
        <v>2276</v>
      </c>
      <c r="H45" s="151">
        <v>2330</v>
      </c>
      <c r="I45" s="151">
        <v>1664</v>
      </c>
      <c r="J45" s="151">
        <v>4025</v>
      </c>
      <c r="K45" s="151">
        <v>6755</v>
      </c>
      <c r="L45" s="151">
        <v>4560</v>
      </c>
      <c r="M45" s="151">
        <v>1916</v>
      </c>
      <c r="N45" s="151">
        <v>966</v>
      </c>
      <c r="O45" s="151">
        <v>4225</v>
      </c>
      <c r="P45" s="151">
        <v>698</v>
      </c>
      <c r="Q45" s="151">
        <v>545</v>
      </c>
      <c r="R45" s="151">
        <v>507</v>
      </c>
      <c r="S45" s="151">
        <v>787</v>
      </c>
      <c r="T45" s="151">
        <v>8</v>
      </c>
      <c r="U45" s="151">
        <v>648</v>
      </c>
      <c r="V45" s="151">
        <v>3</v>
      </c>
      <c r="W45" s="151">
        <v>520</v>
      </c>
      <c r="X45" s="151">
        <v>7349</v>
      </c>
      <c r="Y45" s="151">
        <v>2815</v>
      </c>
      <c r="Z45" s="151">
        <v>4361</v>
      </c>
      <c r="AA45" s="1">
        <v>4018</v>
      </c>
      <c r="AB45" s="1">
        <v>0</v>
      </c>
      <c r="AC45" s="1">
        <v>0</v>
      </c>
      <c r="AD45" s="1">
        <v>0</v>
      </c>
    </row>
    <row r="46" spans="1:30" x14ac:dyDescent="0.25">
      <c r="B46" s="6" t="s">
        <v>216</v>
      </c>
      <c r="C46" s="7">
        <v>4061687</v>
      </c>
      <c r="D46" s="151">
        <v>5186</v>
      </c>
      <c r="E46" s="151">
        <v>10404</v>
      </c>
      <c r="F46" s="151">
        <v>5936</v>
      </c>
      <c r="G46" s="151">
        <v>4844</v>
      </c>
      <c r="H46" s="151">
        <v>5840</v>
      </c>
      <c r="I46" s="151">
        <v>7481</v>
      </c>
      <c r="J46" s="151">
        <v>7005</v>
      </c>
      <c r="K46" s="151">
        <v>13825</v>
      </c>
      <c r="L46" s="151">
        <v>5120</v>
      </c>
      <c r="M46" s="151">
        <v>7008</v>
      </c>
      <c r="N46" s="151">
        <v>7162</v>
      </c>
      <c r="O46" s="151">
        <v>5088</v>
      </c>
      <c r="P46" s="151">
        <v>4549</v>
      </c>
      <c r="Q46" s="151">
        <v>4484</v>
      </c>
      <c r="R46" s="151">
        <v>5288</v>
      </c>
      <c r="S46" s="151">
        <v>5535</v>
      </c>
      <c r="T46" s="151">
        <v>4127</v>
      </c>
      <c r="U46" s="151">
        <v>7162</v>
      </c>
      <c r="V46" s="151">
        <v>1901</v>
      </c>
      <c r="W46" s="151">
        <v>610</v>
      </c>
      <c r="X46" s="151">
        <v>798</v>
      </c>
      <c r="Y46" s="151">
        <v>2459</v>
      </c>
      <c r="Z46" s="151">
        <v>1686</v>
      </c>
      <c r="AA46" s="1">
        <v>2718</v>
      </c>
      <c r="AB46" s="1">
        <v>1052</v>
      </c>
      <c r="AC46" s="1">
        <v>2270</v>
      </c>
      <c r="AD46" s="1">
        <v>2636</v>
      </c>
    </row>
    <row r="47" spans="1:30" x14ac:dyDescent="0.25">
      <c r="A47" s="1" t="s">
        <v>268</v>
      </c>
      <c r="B47" s="6" t="s">
        <v>217</v>
      </c>
      <c r="C47" s="7">
        <v>4061755</v>
      </c>
      <c r="D47" s="151">
        <v>53597.341999999997</v>
      </c>
      <c r="E47" s="151">
        <v>27196</v>
      </c>
      <c r="F47" s="151">
        <v>29245</v>
      </c>
      <c r="G47" s="151">
        <v>5011</v>
      </c>
      <c r="H47" s="151">
        <v>9734</v>
      </c>
      <c r="I47" s="151">
        <v>31197</v>
      </c>
      <c r="J47" s="151">
        <v>9937</v>
      </c>
      <c r="K47" s="151">
        <v>5972</v>
      </c>
      <c r="L47" s="151">
        <v>5474</v>
      </c>
      <c r="M47" s="151">
        <v>5963</v>
      </c>
      <c r="N47" s="151">
        <v>8730</v>
      </c>
      <c r="O47" s="151">
        <v>9385</v>
      </c>
      <c r="P47" s="151">
        <v>3306</v>
      </c>
      <c r="Q47" s="151">
        <v>2179</v>
      </c>
      <c r="R47" s="151">
        <v>3823</v>
      </c>
      <c r="S47" s="151">
        <v>957</v>
      </c>
      <c r="T47" s="151">
        <v>635</v>
      </c>
      <c r="U47" s="151">
        <v>311</v>
      </c>
      <c r="V47" s="151">
        <v>3197</v>
      </c>
      <c r="W47" s="151">
        <v>2418</v>
      </c>
      <c r="X47" s="151">
        <v>2300</v>
      </c>
      <c r="Y47" s="151">
        <v>8168</v>
      </c>
      <c r="Z47" s="151">
        <v>3215</v>
      </c>
      <c r="AA47" s="1">
        <v>5070</v>
      </c>
      <c r="AB47" s="1">
        <v>0</v>
      </c>
      <c r="AC47" s="1">
        <v>0</v>
      </c>
      <c r="AD47" s="1">
        <v>0</v>
      </c>
    </row>
    <row r="48" spans="1:30" x14ac:dyDescent="0.25">
      <c r="A48" s="1" t="s">
        <v>268</v>
      </c>
      <c r="B48" s="6" t="s">
        <v>219</v>
      </c>
      <c r="C48" s="7">
        <v>4004389</v>
      </c>
      <c r="D48" s="151">
        <v>1093</v>
      </c>
      <c r="E48" s="151">
        <v>973</v>
      </c>
      <c r="F48" s="151">
        <v>844</v>
      </c>
      <c r="G48" s="151">
        <v>955</v>
      </c>
      <c r="H48" s="151">
        <v>654</v>
      </c>
      <c r="I48" s="151">
        <v>754</v>
      </c>
      <c r="J48" s="151">
        <v>765</v>
      </c>
      <c r="K48" s="151">
        <v>-3646</v>
      </c>
      <c r="L48" s="151">
        <v>1821</v>
      </c>
      <c r="M48" s="151">
        <v>1780</v>
      </c>
      <c r="N48" s="151">
        <v>1610</v>
      </c>
      <c r="O48" s="151">
        <v>8</v>
      </c>
      <c r="P48" s="151">
        <v>1778</v>
      </c>
      <c r="Q48" s="151">
        <v>963</v>
      </c>
      <c r="R48" s="151">
        <v>821</v>
      </c>
      <c r="S48" s="151">
        <v>1595</v>
      </c>
      <c r="T48" s="151">
        <v>1470</v>
      </c>
      <c r="U48" s="151">
        <v>-4487</v>
      </c>
      <c r="V48" s="151">
        <v>894</v>
      </c>
      <c r="W48" s="151">
        <v>1199</v>
      </c>
      <c r="X48" s="151">
        <v>988</v>
      </c>
      <c r="Y48" s="151">
        <v>817</v>
      </c>
      <c r="Z48" s="151">
        <v>1772</v>
      </c>
      <c r="AA48" s="1">
        <v>1506</v>
      </c>
      <c r="AB48" s="1">
        <v>0</v>
      </c>
      <c r="AC48" s="1">
        <v>0</v>
      </c>
      <c r="AD48" s="1">
        <v>0</v>
      </c>
    </row>
    <row r="49" spans="1:30" x14ac:dyDescent="0.25">
      <c r="A49" s="1" t="s">
        <v>268</v>
      </c>
      <c r="B49" s="6" t="s">
        <v>220</v>
      </c>
      <c r="C49" s="7">
        <v>4057014</v>
      </c>
      <c r="D49" s="151">
        <v>-3554</v>
      </c>
      <c r="E49" s="151">
        <v>3655</v>
      </c>
      <c r="F49" s="151">
        <v>6301</v>
      </c>
      <c r="G49" s="151">
        <v>3134</v>
      </c>
      <c r="H49" s="151">
        <v>4002</v>
      </c>
      <c r="I49" s="151">
        <v>3235</v>
      </c>
      <c r="J49" s="151">
        <v>3057</v>
      </c>
      <c r="K49" s="151">
        <v>5743</v>
      </c>
      <c r="L49" s="151">
        <v>2465</v>
      </c>
      <c r="M49" s="151">
        <v>1850</v>
      </c>
      <c r="N49" s="151">
        <v>321</v>
      </c>
      <c r="O49" s="151">
        <v>5418</v>
      </c>
      <c r="P49" s="151">
        <v>6520</v>
      </c>
      <c r="Q49" s="151">
        <v>2414</v>
      </c>
      <c r="R49" s="151">
        <v>1749</v>
      </c>
      <c r="S49" s="151">
        <v>104</v>
      </c>
      <c r="T49" s="151">
        <v>1087</v>
      </c>
      <c r="U49" s="151">
        <v>835</v>
      </c>
      <c r="V49" s="151">
        <v>25765</v>
      </c>
      <c r="W49" s="151">
        <v>4140</v>
      </c>
      <c r="X49" s="151">
        <v>969</v>
      </c>
      <c r="Y49" s="151">
        <v>2166</v>
      </c>
      <c r="Z49" s="151">
        <v>1581</v>
      </c>
      <c r="AA49" s="1">
        <v>7268</v>
      </c>
      <c r="AB49" s="1">
        <v>0</v>
      </c>
      <c r="AC49" s="1">
        <v>0</v>
      </c>
      <c r="AD49" s="1">
        <v>0</v>
      </c>
    </row>
    <row r="50" spans="1:30" x14ac:dyDescent="0.25">
      <c r="B50" s="6" t="s">
        <v>221</v>
      </c>
      <c r="C50" s="7">
        <v>4057130</v>
      </c>
      <c r="D50" s="151">
        <v>2324</v>
      </c>
      <c r="E50" s="151">
        <v>1491</v>
      </c>
      <c r="F50" s="151">
        <v>3077</v>
      </c>
      <c r="G50" s="151">
        <v>1921</v>
      </c>
      <c r="H50" s="151">
        <v>1053</v>
      </c>
      <c r="I50" s="151">
        <v>2378</v>
      </c>
      <c r="J50" s="151">
        <v>639</v>
      </c>
      <c r="K50" s="151">
        <v>2487</v>
      </c>
      <c r="L50" s="151">
        <v>1812</v>
      </c>
      <c r="M50" s="151">
        <v>2158</v>
      </c>
      <c r="N50" s="151">
        <v>1640</v>
      </c>
      <c r="O50" s="151">
        <v>542</v>
      </c>
      <c r="P50" s="151">
        <v>1188</v>
      </c>
      <c r="Q50" s="151">
        <v>846</v>
      </c>
      <c r="R50" s="151">
        <v>1070</v>
      </c>
      <c r="S50" s="151">
        <v>1086</v>
      </c>
      <c r="T50" s="151">
        <v>1099</v>
      </c>
      <c r="U50" s="151">
        <v>1010</v>
      </c>
      <c r="V50" s="151">
        <v>2686</v>
      </c>
      <c r="W50" s="151">
        <v>528</v>
      </c>
      <c r="X50" s="151">
        <v>646</v>
      </c>
      <c r="Y50" s="151">
        <v>1828</v>
      </c>
      <c r="Z50" s="151">
        <v>988</v>
      </c>
      <c r="AA50" s="1">
        <v>898</v>
      </c>
      <c r="AB50" s="1">
        <v>0</v>
      </c>
      <c r="AC50" s="1">
        <v>0</v>
      </c>
      <c r="AD50" s="1" t="s">
        <v>267</v>
      </c>
    </row>
    <row r="51" spans="1:30" x14ac:dyDescent="0.25">
      <c r="B51" s="6" t="s">
        <v>223</v>
      </c>
      <c r="C51" s="7">
        <v>4057131</v>
      </c>
      <c r="D51" s="151">
        <v>51980</v>
      </c>
      <c r="E51" s="151">
        <v>64520</v>
      </c>
      <c r="F51" s="151">
        <v>58647</v>
      </c>
      <c r="G51" s="151">
        <v>57230</v>
      </c>
      <c r="H51" s="151">
        <v>47239</v>
      </c>
      <c r="I51" s="151">
        <v>36902</v>
      </c>
      <c r="J51" s="151">
        <v>48683</v>
      </c>
      <c r="K51" s="151">
        <v>19802</v>
      </c>
      <c r="L51" s="151">
        <v>14823</v>
      </c>
      <c r="M51" s="151">
        <v>30621</v>
      </c>
      <c r="N51" s="151">
        <v>21907</v>
      </c>
      <c r="O51" s="151">
        <v>20668</v>
      </c>
      <c r="P51" s="151">
        <v>33186</v>
      </c>
      <c r="Q51" s="151">
        <v>22592</v>
      </c>
      <c r="R51" s="151">
        <v>15785</v>
      </c>
      <c r="S51" s="151">
        <v>21060</v>
      </c>
      <c r="T51" s="151">
        <v>20992</v>
      </c>
      <c r="U51" s="151">
        <v>17672</v>
      </c>
      <c r="V51" s="151">
        <v>19856</v>
      </c>
      <c r="W51" s="151">
        <v>20270</v>
      </c>
      <c r="X51" s="151">
        <v>16560</v>
      </c>
      <c r="Y51" s="151">
        <v>24378</v>
      </c>
      <c r="Z51" s="151">
        <v>14866</v>
      </c>
      <c r="AA51" s="1">
        <v>17269</v>
      </c>
      <c r="AB51" s="1">
        <v>0</v>
      </c>
      <c r="AC51" s="1">
        <v>0</v>
      </c>
      <c r="AD51" s="1">
        <v>0</v>
      </c>
    </row>
    <row r="52" spans="1:30" x14ac:dyDescent="0.25">
      <c r="B52" s="6" t="s">
        <v>224</v>
      </c>
      <c r="C52" s="7">
        <v>4012860</v>
      </c>
      <c r="D52" s="151">
        <v>5136</v>
      </c>
      <c r="E52" s="151">
        <v>2102</v>
      </c>
      <c r="F52" s="151">
        <v>2851</v>
      </c>
      <c r="G52" s="151">
        <v>3252</v>
      </c>
      <c r="H52" s="151">
        <v>3499</v>
      </c>
      <c r="I52" s="151">
        <v>2445</v>
      </c>
      <c r="J52" s="151">
        <v>4562</v>
      </c>
      <c r="K52" s="151">
        <v>1671</v>
      </c>
      <c r="L52" s="151">
        <v>1058</v>
      </c>
      <c r="M52" s="151">
        <v>1603</v>
      </c>
      <c r="N52" s="151">
        <v>5404</v>
      </c>
      <c r="O52" s="151">
        <v>371</v>
      </c>
      <c r="P52" s="151">
        <v>1325</v>
      </c>
      <c r="Q52" s="151">
        <v>2349</v>
      </c>
      <c r="R52" s="151">
        <v>-3205</v>
      </c>
      <c r="S52" s="151">
        <v>2689</v>
      </c>
      <c r="T52" s="151">
        <v>2438</v>
      </c>
      <c r="U52" s="151">
        <v>807</v>
      </c>
      <c r="V52" s="151">
        <v>1676</v>
      </c>
      <c r="W52" s="151">
        <v>2134</v>
      </c>
      <c r="X52" s="151">
        <v>2180</v>
      </c>
      <c r="Y52" s="151">
        <v>17004</v>
      </c>
      <c r="Z52" s="151">
        <v>1213</v>
      </c>
      <c r="AA52" s="1">
        <v>4375</v>
      </c>
      <c r="AB52" s="1">
        <v>0</v>
      </c>
      <c r="AC52" s="1">
        <v>0</v>
      </c>
      <c r="AD52" s="1">
        <v>0</v>
      </c>
    </row>
    <row r="53" spans="1:30" x14ac:dyDescent="0.25">
      <c r="B53" s="6" t="s">
        <v>227</v>
      </c>
      <c r="C53" s="7">
        <v>4061925</v>
      </c>
      <c r="D53" s="151">
        <v>2072</v>
      </c>
      <c r="E53" s="151">
        <v>2314</v>
      </c>
      <c r="F53" s="151">
        <v>2315</v>
      </c>
      <c r="G53" s="151">
        <v>1479</v>
      </c>
      <c r="H53" s="151">
        <v>2640</v>
      </c>
      <c r="I53" s="151">
        <v>700</v>
      </c>
      <c r="J53" s="151">
        <v>1810</v>
      </c>
      <c r="K53" s="151">
        <v>1091</v>
      </c>
      <c r="L53" s="151">
        <v>741</v>
      </c>
      <c r="M53" s="151">
        <v>1380</v>
      </c>
      <c r="N53" s="151">
        <v>1687</v>
      </c>
      <c r="O53" s="151">
        <v>1929</v>
      </c>
      <c r="P53" s="151">
        <v>5409</v>
      </c>
      <c r="Q53" s="151">
        <v>902</v>
      </c>
      <c r="R53" s="151">
        <v>381</v>
      </c>
      <c r="S53" s="151">
        <v>642</v>
      </c>
      <c r="T53" s="151">
        <v>233</v>
      </c>
      <c r="U53" s="151">
        <v>372</v>
      </c>
      <c r="V53" s="151">
        <v>653</v>
      </c>
      <c r="W53" s="151">
        <v>36</v>
      </c>
      <c r="X53" s="151">
        <v>46</v>
      </c>
      <c r="Y53" s="151">
        <v>130</v>
      </c>
      <c r="Z53" s="151">
        <v>84</v>
      </c>
      <c r="AA53" s="1">
        <v>61</v>
      </c>
      <c r="AB53" s="1">
        <v>0</v>
      </c>
      <c r="AC53" s="1">
        <v>0</v>
      </c>
      <c r="AD53" s="1">
        <v>0</v>
      </c>
    </row>
    <row r="54" spans="1:30" x14ac:dyDescent="0.25">
      <c r="B54" s="6" t="s">
        <v>284</v>
      </c>
      <c r="C54" s="7">
        <v>4057132</v>
      </c>
      <c r="D54" s="151" t="s">
        <v>267</v>
      </c>
      <c r="E54" s="151" t="s">
        <v>267</v>
      </c>
      <c r="F54" s="151" t="s">
        <v>267</v>
      </c>
      <c r="G54" s="151" t="s">
        <v>267</v>
      </c>
      <c r="H54" s="151">
        <v>20775</v>
      </c>
      <c r="I54" s="151">
        <v>15723</v>
      </c>
      <c r="J54" s="151">
        <v>16363</v>
      </c>
      <c r="K54" s="151">
        <v>15706</v>
      </c>
      <c r="L54" s="151">
        <v>46581</v>
      </c>
      <c r="M54" s="151">
        <v>28198</v>
      </c>
      <c r="N54" s="151">
        <v>11852</v>
      </c>
      <c r="O54" s="151">
        <v>7181</v>
      </c>
      <c r="P54" s="151">
        <v>5990</v>
      </c>
      <c r="Q54" s="151">
        <v>5981</v>
      </c>
      <c r="R54" s="151">
        <v>5752</v>
      </c>
      <c r="S54" s="151">
        <v>3938</v>
      </c>
      <c r="T54" s="151">
        <v>8117</v>
      </c>
      <c r="U54" s="151">
        <v>5844</v>
      </c>
      <c r="V54" s="151" t="s">
        <v>267</v>
      </c>
      <c r="W54" s="151">
        <v>4781</v>
      </c>
      <c r="X54" s="151">
        <v>6345</v>
      </c>
      <c r="Y54" s="151">
        <v>3909</v>
      </c>
      <c r="Z54" s="151">
        <v>6718</v>
      </c>
      <c r="AA54" s="1">
        <v>3933</v>
      </c>
      <c r="AB54" s="1">
        <v>0</v>
      </c>
      <c r="AC54" s="1">
        <v>0</v>
      </c>
      <c r="AD54" s="1">
        <v>0</v>
      </c>
    </row>
    <row r="55" spans="1:30" x14ac:dyDescent="0.25">
      <c r="A55" s="1" t="s">
        <v>268</v>
      </c>
      <c r="B55" s="6" t="s">
        <v>285</v>
      </c>
      <c r="C55" s="7">
        <v>4057115</v>
      </c>
      <c r="D55" s="151" t="s">
        <v>267</v>
      </c>
      <c r="E55" s="151">
        <v>9927</v>
      </c>
      <c r="F55" s="151">
        <v>7261</v>
      </c>
      <c r="G55" s="151">
        <v>10654</v>
      </c>
      <c r="H55" s="151">
        <v>8738</v>
      </c>
      <c r="I55" s="151">
        <v>16951</v>
      </c>
      <c r="J55" s="151">
        <v>2670</v>
      </c>
      <c r="K55" s="151">
        <v>6006</v>
      </c>
      <c r="L55" s="151">
        <v>2252</v>
      </c>
      <c r="M55" s="151">
        <v>3485</v>
      </c>
      <c r="N55" s="151">
        <v>3903</v>
      </c>
      <c r="O55" s="151">
        <v>3804</v>
      </c>
      <c r="P55" s="151">
        <v>2141</v>
      </c>
      <c r="Q55" s="151">
        <v>3296</v>
      </c>
      <c r="R55" s="151">
        <v>5857</v>
      </c>
      <c r="S55" s="151">
        <v>3200</v>
      </c>
      <c r="T55" s="151">
        <v>990</v>
      </c>
      <c r="U55" s="151">
        <v>2210</v>
      </c>
      <c r="V55" s="151">
        <v>1527</v>
      </c>
      <c r="W55" s="151">
        <v>6726</v>
      </c>
      <c r="X55" s="151" t="s">
        <v>267</v>
      </c>
      <c r="Y55" s="151">
        <v>0</v>
      </c>
      <c r="Z55" s="151" t="s">
        <v>267</v>
      </c>
      <c r="AA55" s="1">
        <v>375</v>
      </c>
      <c r="AB55" s="1">
        <v>0</v>
      </c>
      <c r="AC55" s="1">
        <v>0</v>
      </c>
      <c r="AD55" s="1">
        <v>0</v>
      </c>
    </row>
    <row r="56" spans="1:30" x14ac:dyDescent="0.25">
      <c r="B56" s="6" t="s">
        <v>228</v>
      </c>
      <c r="C56" s="7">
        <v>4064479</v>
      </c>
      <c r="D56" s="151">
        <v>1998</v>
      </c>
      <c r="E56" s="151">
        <v>678</v>
      </c>
      <c r="F56" s="151">
        <v>379</v>
      </c>
      <c r="G56" s="151">
        <v>242</v>
      </c>
      <c r="H56" s="151">
        <v>311</v>
      </c>
      <c r="I56" s="151">
        <v>484</v>
      </c>
      <c r="J56" s="151">
        <v>432</v>
      </c>
      <c r="K56" s="151">
        <v>344</v>
      </c>
      <c r="L56" s="151">
        <v>351</v>
      </c>
      <c r="M56" s="151">
        <v>616</v>
      </c>
      <c r="N56" s="151">
        <v>2042</v>
      </c>
      <c r="O56" s="151">
        <v>873</v>
      </c>
      <c r="P56" s="151">
        <v>582</v>
      </c>
      <c r="Q56" s="151">
        <v>710</v>
      </c>
      <c r="R56" s="151">
        <v>686</v>
      </c>
      <c r="S56" s="151">
        <v>380</v>
      </c>
      <c r="T56" s="151">
        <v>340</v>
      </c>
      <c r="U56" s="151">
        <v>422</v>
      </c>
      <c r="V56" s="151">
        <v>427</v>
      </c>
      <c r="W56" s="151">
        <v>227</v>
      </c>
      <c r="X56" s="151">
        <v>335</v>
      </c>
      <c r="Y56" s="151">
        <v>187</v>
      </c>
      <c r="Z56" s="151">
        <v>418</v>
      </c>
      <c r="AA56" s="1">
        <v>330</v>
      </c>
      <c r="AB56" s="1">
        <v>0</v>
      </c>
      <c r="AC56" s="1">
        <v>485</v>
      </c>
      <c r="AD56" s="1">
        <v>0</v>
      </c>
    </row>
    <row r="57" spans="1:30" x14ac:dyDescent="0.25">
      <c r="B57" s="6" t="s">
        <v>286</v>
      </c>
      <c r="C57" s="7">
        <v>4062025</v>
      </c>
      <c r="D57" s="151" t="s">
        <v>267</v>
      </c>
      <c r="E57" s="151">
        <v>1548</v>
      </c>
      <c r="F57" s="151">
        <v>1820</v>
      </c>
      <c r="G57" s="151">
        <v>628</v>
      </c>
      <c r="H57" s="151">
        <v>605</v>
      </c>
      <c r="I57" s="151">
        <v>907</v>
      </c>
      <c r="J57" s="151">
        <v>357</v>
      </c>
      <c r="K57" s="151">
        <v>407</v>
      </c>
      <c r="L57" s="151">
        <v>317</v>
      </c>
      <c r="M57" s="151">
        <v>404</v>
      </c>
      <c r="N57" s="151">
        <v>660</v>
      </c>
      <c r="O57" s="151">
        <v>215</v>
      </c>
      <c r="P57" s="151">
        <v>348</v>
      </c>
      <c r="Q57" s="151">
        <v>741</v>
      </c>
      <c r="R57" s="151">
        <v>377</v>
      </c>
      <c r="S57" s="151">
        <v>280</v>
      </c>
      <c r="T57" s="151">
        <v>266</v>
      </c>
      <c r="U57" s="151">
        <v>454</v>
      </c>
      <c r="V57" s="151">
        <v>501</v>
      </c>
      <c r="W57" s="151">
        <v>248</v>
      </c>
      <c r="X57" s="151">
        <v>417</v>
      </c>
      <c r="Y57" s="151">
        <v>258</v>
      </c>
      <c r="Z57" s="151">
        <v>3546</v>
      </c>
      <c r="AA57" s="1">
        <v>272</v>
      </c>
      <c r="AB57" s="1">
        <v>0</v>
      </c>
      <c r="AC57" s="1">
        <v>0</v>
      </c>
      <c r="AD57" s="1">
        <v>0</v>
      </c>
    </row>
    <row r="58" spans="1:30" x14ac:dyDescent="0.25">
      <c r="B58" s="6" t="s">
        <v>287</v>
      </c>
      <c r="C58" s="7">
        <v>4064481</v>
      </c>
      <c r="D58" s="151" t="s">
        <v>267</v>
      </c>
      <c r="E58" s="151" t="s">
        <v>267</v>
      </c>
      <c r="F58" s="151" t="s">
        <v>267</v>
      </c>
      <c r="G58" s="151">
        <v>5190</v>
      </c>
      <c r="H58" s="151">
        <v>5478</v>
      </c>
      <c r="I58" s="151">
        <v>10011</v>
      </c>
      <c r="J58" s="151">
        <v>2137</v>
      </c>
      <c r="K58" s="151">
        <v>3206</v>
      </c>
      <c r="L58" s="151">
        <v>10861</v>
      </c>
      <c r="M58" s="151">
        <v>5710</v>
      </c>
      <c r="N58" s="151">
        <v>15977</v>
      </c>
      <c r="O58" s="151">
        <v>5765</v>
      </c>
      <c r="P58" s="151">
        <v>8994</v>
      </c>
      <c r="Q58" s="151">
        <v>5754</v>
      </c>
      <c r="R58" s="151">
        <v>3020</v>
      </c>
      <c r="S58" s="151">
        <v>7803</v>
      </c>
      <c r="T58" s="151">
        <v>2765</v>
      </c>
      <c r="U58" s="151">
        <v>5079</v>
      </c>
      <c r="V58" s="151">
        <v>1659</v>
      </c>
      <c r="W58" s="151">
        <v>1535</v>
      </c>
      <c r="X58" s="151">
        <v>5648</v>
      </c>
      <c r="Y58" s="151">
        <v>5410</v>
      </c>
      <c r="Z58" s="151">
        <v>7269</v>
      </c>
      <c r="AA58" s="1">
        <v>10472</v>
      </c>
      <c r="AB58" s="1">
        <v>0</v>
      </c>
      <c r="AC58" s="1">
        <v>0</v>
      </c>
      <c r="AD58" s="1" t="s">
        <v>267</v>
      </c>
    </row>
    <row r="59" spans="1:30" x14ac:dyDescent="0.25">
      <c r="A59" s="1" t="s">
        <v>268</v>
      </c>
      <c r="B59" s="6" t="s">
        <v>229</v>
      </c>
      <c r="C59" s="7">
        <v>4057093</v>
      </c>
      <c r="D59" s="151">
        <v>3968</v>
      </c>
      <c r="E59" s="151">
        <v>3902</v>
      </c>
      <c r="F59" s="151">
        <v>1446</v>
      </c>
      <c r="G59" s="151">
        <v>2164</v>
      </c>
      <c r="H59" s="151">
        <v>1301</v>
      </c>
      <c r="I59" s="151">
        <v>584</v>
      </c>
      <c r="J59" s="151">
        <v>705</v>
      </c>
      <c r="K59" s="151">
        <v>455</v>
      </c>
      <c r="L59" s="151">
        <v>1486</v>
      </c>
      <c r="M59" s="151">
        <v>800</v>
      </c>
      <c r="N59" s="151">
        <v>1073</v>
      </c>
      <c r="O59" s="151">
        <v>923</v>
      </c>
      <c r="P59" s="151">
        <v>1270</v>
      </c>
      <c r="Q59" s="151">
        <v>1004</v>
      </c>
      <c r="R59" s="151">
        <v>1757</v>
      </c>
      <c r="S59" s="151">
        <v>1441</v>
      </c>
      <c r="T59" s="151">
        <v>1022</v>
      </c>
      <c r="U59" s="151">
        <v>846</v>
      </c>
      <c r="V59" s="151">
        <v>937</v>
      </c>
      <c r="W59" s="151">
        <v>186</v>
      </c>
      <c r="X59" s="151">
        <v>3</v>
      </c>
      <c r="Y59" s="151">
        <v>254</v>
      </c>
      <c r="Z59" s="151">
        <v>59</v>
      </c>
      <c r="AA59" s="1">
        <v>692</v>
      </c>
      <c r="AB59" s="1">
        <v>0</v>
      </c>
      <c r="AC59" s="1">
        <v>0</v>
      </c>
      <c r="AD59" s="1">
        <v>0</v>
      </c>
    </row>
    <row r="60" spans="1:30" x14ac:dyDescent="0.25">
      <c r="B60" s="6" t="s">
        <v>230</v>
      </c>
      <c r="C60" s="7">
        <v>4004218</v>
      </c>
      <c r="D60" s="151">
        <v>92663.921000000002</v>
      </c>
      <c r="E60" s="151">
        <v>23837</v>
      </c>
      <c r="F60" s="151">
        <v>24821</v>
      </c>
      <c r="G60" s="151">
        <v>61935</v>
      </c>
      <c r="H60" s="151">
        <v>112560</v>
      </c>
      <c r="I60" s="151">
        <v>38772</v>
      </c>
      <c r="J60" s="151">
        <v>33336</v>
      </c>
      <c r="K60" s="151">
        <v>27110</v>
      </c>
      <c r="L60" s="151">
        <v>64622</v>
      </c>
      <c r="M60" s="151">
        <v>25899</v>
      </c>
      <c r="N60" s="151">
        <v>27914</v>
      </c>
      <c r="O60" s="151">
        <v>1845</v>
      </c>
      <c r="P60" s="151">
        <v>1740</v>
      </c>
      <c r="Q60" s="151">
        <v>2280</v>
      </c>
      <c r="R60" s="151">
        <v>1128</v>
      </c>
      <c r="S60" s="151">
        <v>1421</v>
      </c>
      <c r="T60" s="151">
        <v>1464</v>
      </c>
      <c r="U60" s="151">
        <v>1351</v>
      </c>
      <c r="V60" s="151">
        <v>1419</v>
      </c>
      <c r="W60" s="151">
        <v>3134</v>
      </c>
      <c r="X60" s="151">
        <v>1023</v>
      </c>
      <c r="Y60" s="151">
        <v>-344</v>
      </c>
      <c r="Z60" s="151">
        <v>3007</v>
      </c>
      <c r="AA60" s="1">
        <v>1758</v>
      </c>
      <c r="AB60" s="1">
        <v>0</v>
      </c>
      <c r="AC60" s="1">
        <v>0</v>
      </c>
      <c r="AD60" s="1">
        <v>0</v>
      </c>
    </row>
    <row r="61" spans="1:30" x14ac:dyDescent="0.25">
      <c r="A61" s="1" t="s">
        <v>268</v>
      </c>
      <c r="B61" s="6" t="s">
        <v>288</v>
      </c>
      <c r="C61" s="7">
        <v>4062222</v>
      </c>
      <c r="D61" s="151" t="s">
        <v>267</v>
      </c>
      <c r="E61" s="151">
        <v>5061</v>
      </c>
      <c r="F61" s="151">
        <v>1337</v>
      </c>
      <c r="G61" s="151">
        <v>6530</v>
      </c>
      <c r="H61" s="151">
        <v>3861</v>
      </c>
      <c r="I61" s="151">
        <v>1601</v>
      </c>
      <c r="J61" s="151">
        <v>785</v>
      </c>
      <c r="K61" s="151">
        <v>803</v>
      </c>
      <c r="L61" s="151">
        <v>869</v>
      </c>
      <c r="M61" s="151">
        <v>2656</v>
      </c>
      <c r="N61" s="151">
        <v>696</v>
      </c>
      <c r="O61" s="151">
        <v>517</v>
      </c>
      <c r="P61" s="151">
        <v>851</v>
      </c>
      <c r="Q61" s="151">
        <v>1220</v>
      </c>
      <c r="R61" s="151">
        <v>1344</v>
      </c>
      <c r="S61" s="151">
        <v>-792</v>
      </c>
      <c r="T61" s="151">
        <v>1152</v>
      </c>
      <c r="U61" s="151">
        <v>1531</v>
      </c>
      <c r="V61" s="151">
        <v>377</v>
      </c>
      <c r="W61" s="151">
        <v>260</v>
      </c>
      <c r="X61" s="151">
        <v>399</v>
      </c>
      <c r="Y61" s="151" t="s">
        <v>267</v>
      </c>
      <c r="Z61" s="151">
        <v>71</v>
      </c>
      <c r="AA61" s="1">
        <v>-68</v>
      </c>
      <c r="AB61" s="1">
        <v>0</v>
      </c>
      <c r="AC61" s="1">
        <v>0</v>
      </c>
      <c r="AD61" s="1">
        <v>0</v>
      </c>
    </row>
    <row r="62" spans="1:30" x14ac:dyDescent="0.25">
      <c r="B62" s="6" t="s">
        <v>233</v>
      </c>
      <c r="C62" s="7">
        <v>4057135</v>
      </c>
      <c r="D62" s="151">
        <v>11839</v>
      </c>
      <c r="E62" s="151">
        <v>24669</v>
      </c>
      <c r="F62" s="151">
        <v>15820</v>
      </c>
      <c r="G62" s="151">
        <v>21938</v>
      </c>
      <c r="H62" s="151">
        <v>5681</v>
      </c>
      <c r="I62" s="151">
        <v>9407</v>
      </c>
      <c r="J62" s="151">
        <v>10803</v>
      </c>
      <c r="K62" s="151">
        <v>11827</v>
      </c>
      <c r="L62" s="151">
        <v>11851</v>
      </c>
      <c r="M62" s="151">
        <v>16081</v>
      </c>
      <c r="N62" s="151">
        <v>11561</v>
      </c>
      <c r="O62" s="151">
        <v>3018</v>
      </c>
      <c r="P62" s="151">
        <v>1944</v>
      </c>
      <c r="Q62" s="151">
        <v>2693</v>
      </c>
      <c r="R62" s="151">
        <v>9274</v>
      </c>
      <c r="S62" s="151">
        <v>11709</v>
      </c>
      <c r="T62" s="151">
        <v>9261</v>
      </c>
      <c r="U62" s="151">
        <v>4866</v>
      </c>
      <c r="V62" s="151">
        <v>10164</v>
      </c>
      <c r="W62" s="151">
        <v>7792</v>
      </c>
      <c r="X62" s="151">
        <v>11419</v>
      </c>
      <c r="Y62" s="151">
        <v>13432</v>
      </c>
      <c r="Z62" s="151">
        <v>12328</v>
      </c>
      <c r="AA62" s="1">
        <v>12300</v>
      </c>
      <c r="AB62" s="1">
        <v>0</v>
      </c>
      <c r="AC62" s="1">
        <v>0</v>
      </c>
      <c r="AD62" s="1">
        <v>0</v>
      </c>
    </row>
    <row r="63" spans="1:30" x14ac:dyDescent="0.25">
      <c r="B63" s="6" t="s">
        <v>234</v>
      </c>
      <c r="C63" s="7">
        <v>4063341</v>
      </c>
      <c r="D63" s="151">
        <v>3068</v>
      </c>
      <c r="E63" s="151">
        <v>5884</v>
      </c>
      <c r="F63" s="151">
        <v>6989</v>
      </c>
      <c r="G63" s="151">
        <v>4067</v>
      </c>
      <c r="H63" s="151">
        <v>3129</v>
      </c>
      <c r="I63" s="151">
        <v>4565</v>
      </c>
      <c r="J63" s="151">
        <v>4430</v>
      </c>
      <c r="K63" s="151">
        <v>4889</v>
      </c>
      <c r="L63" s="151">
        <v>3921</v>
      </c>
      <c r="M63" s="151">
        <v>955</v>
      </c>
      <c r="N63" s="151">
        <v>4743</v>
      </c>
      <c r="O63" s="151">
        <v>1524</v>
      </c>
      <c r="P63" s="151">
        <v>2171</v>
      </c>
      <c r="Q63" s="151">
        <v>2776</v>
      </c>
      <c r="R63" s="151">
        <v>3765</v>
      </c>
      <c r="S63" s="151">
        <v>3738</v>
      </c>
      <c r="T63" s="151">
        <v>2683</v>
      </c>
      <c r="U63" s="151">
        <v>2815</v>
      </c>
      <c r="V63" s="151">
        <v>7268</v>
      </c>
      <c r="W63" s="151">
        <v>8586</v>
      </c>
      <c r="X63" s="151">
        <v>12892</v>
      </c>
      <c r="Y63" s="151">
        <v>0</v>
      </c>
      <c r="Z63" s="151">
        <v>7369</v>
      </c>
      <c r="AA63" s="1">
        <v>0</v>
      </c>
      <c r="AB63" s="1">
        <v>0</v>
      </c>
      <c r="AC63" s="1">
        <v>0</v>
      </c>
      <c r="AD63" s="1">
        <v>0</v>
      </c>
    </row>
    <row r="64" spans="1:30" x14ac:dyDescent="0.25">
      <c r="A64" s="1" t="s">
        <v>268</v>
      </c>
      <c r="B64" s="6" t="s">
        <v>289</v>
      </c>
      <c r="C64" s="7">
        <v>4083575</v>
      </c>
      <c r="D64" s="151" t="s">
        <v>267</v>
      </c>
      <c r="E64" s="151">
        <v>4104</v>
      </c>
      <c r="F64" s="151">
        <v>9055</v>
      </c>
      <c r="G64" s="151">
        <v>9580</v>
      </c>
      <c r="H64" s="151">
        <v>384</v>
      </c>
      <c r="I64" s="151">
        <v>575</v>
      </c>
      <c r="J64" s="151">
        <v>152</v>
      </c>
      <c r="K64" s="151">
        <v>8047</v>
      </c>
      <c r="L64" s="151">
        <v>1937</v>
      </c>
      <c r="M64" s="151">
        <v>0</v>
      </c>
      <c r="N64" s="151">
        <v>1598</v>
      </c>
      <c r="O64" s="151">
        <v>2619</v>
      </c>
      <c r="P64" s="151">
        <v>12933</v>
      </c>
      <c r="Q64" s="151">
        <v>125</v>
      </c>
      <c r="R64" s="151">
        <v>1798</v>
      </c>
      <c r="S64" s="151">
        <v>173</v>
      </c>
      <c r="T64" s="151">
        <v>3267</v>
      </c>
      <c r="U64" s="151">
        <v>4737</v>
      </c>
      <c r="V64" s="151">
        <v>4933</v>
      </c>
      <c r="W64" s="151">
        <v>30904</v>
      </c>
      <c r="X64" s="151">
        <v>6418</v>
      </c>
      <c r="Y64" s="151" t="s">
        <v>267</v>
      </c>
      <c r="Z64" s="151" t="s">
        <v>267</v>
      </c>
      <c r="AA64" s="1" t="s">
        <v>267</v>
      </c>
      <c r="AB64" s="1" t="s">
        <v>267</v>
      </c>
      <c r="AC64" s="1" t="s">
        <v>267</v>
      </c>
      <c r="AD64" s="1" t="s">
        <v>267</v>
      </c>
    </row>
    <row r="65" spans="1:30" x14ac:dyDescent="0.25">
      <c r="B65" s="6" t="s">
        <v>290</v>
      </c>
      <c r="C65" s="7">
        <v>4062303</v>
      </c>
      <c r="D65" s="151" t="s">
        <v>267</v>
      </c>
      <c r="E65" s="151">
        <v>22</v>
      </c>
      <c r="F65" s="151">
        <v>20</v>
      </c>
      <c r="G65" s="151">
        <v>56</v>
      </c>
      <c r="H65" s="151" t="s">
        <v>267</v>
      </c>
      <c r="I65" s="151" t="s">
        <v>267</v>
      </c>
      <c r="J65" s="151">
        <v>0</v>
      </c>
      <c r="K65" s="151">
        <v>0</v>
      </c>
      <c r="L65" s="151">
        <v>0</v>
      </c>
      <c r="M65" s="151">
        <v>0</v>
      </c>
      <c r="N65" s="151">
        <v>0</v>
      </c>
      <c r="O65" s="151">
        <v>0</v>
      </c>
      <c r="P65" s="151">
        <v>0</v>
      </c>
      <c r="Q65" s="151">
        <v>0</v>
      </c>
      <c r="R65" s="151">
        <v>0</v>
      </c>
      <c r="S65" s="151">
        <v>0</v>
      </c>
      <c r="T65" s="151">
        <v>0</v>
      </c>
      <c r="U65" s="151">
        <v>0</v>
      </c>
      <c r="V65" s="151">
        <v>0</v>
      </c>
      <c r="W65" s="151">
        <v>0</v>
      </c>
      <c r="X65" s="151">
        <v>0</v>
      </c>
      <c r="Y65" s="151">
        <v>0</v>
      </c>
      <c r="Z65" s="151" t="s">
        <v>267</v>
      </c>
      <c r="AA65" s="1" t="s">
        <v>267</v>
      </c>
      <c r="AB65" s="1" t="s">
        <v>267</v>
      </c>
      <c r="AC65" s="1" t="s">
        <v>267</v>
      </c>
      <c r="AD65" s="1" t="s">
        <v>267</v>
      </c>
    </row>
    <row r="66" spans="1:30" x14ac:dyDescent="0.25">
      <c r="B66" s="6" t="s">
        <v>291</v>
      </c>
      <c r="C66" s="7">
        <v>4083581</v>
      </c>
      <c r="D66" s="151" t="s">
        <v>267</v>
      </c>
      <c r="E66" s="151">
        <v>0</v>
      </c>
      <c r="F66" s="151">
        <v>0</v>
      </c>
      <c r="G66" s="151">
        <v>0</v>
      </c>
      <c r="H66" s="151">
        <v>0</v>
      </c>
      <c r="I66" s="151">
        <v>0</v>
      </c>
      <c r="J66" s="151">
        <v>0</v>
      </c>
      <c r="K66" s="151">
        <v>0</v>
      </c>
      <c r="L66" s="151">
        <v>0</v>
      </c>
      <c r="M66" s="151">
        <v>0</v>
      </c>
      <c r="N66" s="151">
        <v>56</v>
      </c>
      <c r="O66" s="151">
        <v>7</v>
      </c>
      <c r="P66" s="151">
        <v>38</v>
      </c>
      <c r="Q66" s="151">
        <v>0</v>
      </c>
      <c r="R66" s="151">
        <v>23</v>
      </c>
      <c r="S66" s="151">
        <v>135</v>
      </c>
      <c r="T66" s="151">
        <v>3</v>
      </c>
      <c r="U66" s="151">
        <v>0</v>
      </c>
      <c r="V66" s="151">
        <v>68</v>
      </c>
      <c r="W66" s="151" t="s">
        <v>267</v>
      </c>
      <c r="X66" s="151">
        <v>35</v>
      </c>
      <c r="Y66" s="151">
        <v>80</v>
      </c>
      <c r="Z66" s="151" t="s">
        <v>267</v>
      </c>
      <c r="AA66" s="1" t="s">
        <v>267</v>
      </c>
      <c r="AB66" s="1" t="s">
        <v>267</v>
      </c>
      <c r="AC66" s="1" t="s">
        <v>267</v>
      </c>
      <c r="AD66" s="1" t="s">
        <v>267</v>
      </c>
    </row>
    <row r="67" spans="1:30" x14ac:dyDescent="0.25">
      <c r="B67" s="6" t="s">
        <v>236</v>
      </c>
      <c r="C67" s="7">
        <v>4057139</v>
      </c>
      <c r="D67" s="151">
        <v>5578.5789999999997</v>
      </c>
      <c r="E67" s="151">
        <v>134565</v>
      </c>
      <c r="F67" s="151">
        <v>2551</v>
      </c>
      <c r="G67" s="151">
        <v>6220</v>
      </c>
      <c r="H67" s="151">
        <v>14173</v>
      </c>
      <c r="I67" s="151">
        <v>9041</v>
      </c>
      <c r="J67" s="151">
        <v>12953</v>
      </c>
      <c r="K67" s="151">
        <v>6883</v>
      </c>
      <c r="L67" s="151">
        <v>8581</v>
      </c>
      <c r="M67" s="151">
        <v>10071</v>
      </c>
      <c r="N67" s="151">
        <v>8295</v>
      </c>
      <c r="O67" s="151">
        <v>6850</v>
      </c>
      <c r="P67" s="151">
        <v>4436</v>
      </c>
      <c r="Q67" s="151">
        <v>9691</v>
      </c>
      <c r="R67" s="151">
        <v>7522</v>
      </c>
      <c r="S67" s="151">
        <v>7571</v>
      </c>
      <c r="T67" s="151">
        <v>5783</v>
      </c>
      <c r="U67" s="151">
        <v>4103</v>
      </c>
      <c r="V67" s="151">
        <v>6378</v>
      </c>
      <c r="W67" s="151">
        <v>8663</v>
      </c>
      <c r="X67" s="151">
        <v>17602</v>
      </c>
      <c r="Y67" s="151">
        <v>7002</v>
      </c>
      <c r="Z67" s="151">
        <v>19236</v>
      </c>
      <c r="AA67" s="1">
        <v>9065</v>
      </c>
      <c r="AB67" s="1">
        <v>0</v>
      </c>
      <c r="AC67" s="1">
        <v>0</v>
      </c>
      <c r="AD67" s="1">
        <v>0</v>
      </c>
    </row>
    <row r="68" spans="1:30" x14ac:dyDescent="0.25">
      <c r="A68" s="1" t="s">
        <v>268</v>
      </c>
      <c r="B68" s="6" t="s">
        <v>238</v>
      </c>
      <c r="C68" s="7">
        <v>4057095</v>
      </c>
      <c r="D68" s="151">
        <v>23903.339</v>
      </c>
      <c r="E68" s="151" t="s">
        <v>267</v>
      </c>
      <c r="F68" s="151">
        <v>9857</v>
      </c>
      <c r="G68" s="151">
        <v>27632</v>
      </c>
      <c r="H68" s="151">
        <v>13423</v>
      </c>
      <c r="I68" s="151">
        <v>6518</v>
      </c>
      <c r="J68" s="151">
        <v>-4111</v>
      </c>
      <c r="K68" s="151">
        <v>7947</v>
      </c>
      <c r="L68" s="151">
        <v>1022</v>
      </c>
      <c r="M68" s="151">
        <v>5388</v>
      </c>
      <c r="N68" s="151">
        <v>8908</v>
      </c>
      <c r="O68" s="151">
        <v>14641</v>
      </c>
      <c r="P68" s="151">
        <v>6882</v>
      </c>
      <c r="Q68" s="151">
        <v>17735</v>
      </c>
      <c r="R68" s="151">
        <v>18059</v>
      </c>
      <c r="S68" s="151">
        <v>20292</v>
      </c>
      <c r="T68" s="151">
        <v>20545</v>
      </c>
      <c r="U68" s="151">
        <v>13513</v>
      </c>
      <c r="V68" s="151">
        <v>11792</v>
      </c>
      <c r="W68" s="151">
        <v>8700</v>
      </c>
      <c r="X68" s="151">
        <v>13422</v>
      </c>
      <c r="Y68" s="151">
        <v>12565</v>
      </c>
      <c r="Z68" s="151">
        <v>13304</v>
      </c>
      <c r="AA68" s="1">
        <v>1113</v>
      </c>
      <c r="AB68" s="1">
        <v>0</v>
      </c>
      <c r="AC68" s="1">
        <v>0</v>
      </c>
      <c r="AD68" s="1">
        <v>0</v>
      </c>
    </row>
    <row r="69" spans="1:30" x14ac:dyDescent="0.25">
      <c r="B69" s="6" t="s">
        <v>239</v>
      </c>
      <c r="C69" s="7">
        <v>4062485</v>
      </c>
      <c r="D69" s="151">
        <v>1275</v>
      </c>
      <c r="E69" s="151">
        <v>1491</v>
      </c>
      <c r="F69" s="151">
        <v>-244</v>
      </c>
      <c r="G69" s="151">
        <v>891</v>
      </c>
      <c r="H69" s="151">
        <v>1704</v>
      </c>
      <c r="I69" s="151">
        <v>1481</v>
      </c>
      <c r="J69" s="151">
        <v>515</v>
      </c>
      <c r="K69" s="151">
        <v>870</v>
      </c>
      <c r="L69" s="151">
        <v>15083</v>
      </c>
      <c r="M69" s="151">
        <v>1835</v>
      </c>
      <c r="N69" s="151">
        <v>1046</v>
      </c>
      <c r="O69" s="151">
        <v>5076</v>
      </c>
      <c r="P69" s="151">
        <v>2018</v>
      </c>
      <c r="Q69" s="151">
        <v>2315</v>
      </c>
      <c r="R69" s="151">
        <v>901</v>
      </c>
      <c r="S69" s="151">
        <v>944</v>
      </c>
      <c r="T69" s="151">
        <v>1112</v>
      </c>
      <c r="U69" s="151">
        <v>171</v>
      </c>
      <c r="V69" s="151">
        <v>758</v>
      </c>
      <c r="W69" s="151">
        <v>359</v>
      </c>
      <c r="X69" s="151">
        <v>507</v>
      </c>
      <c r="Y69" s="151">
        <v>830</v>
      </c>
      <c r="Z69" s="151">
        <v>634</v>
      </c>
      <c r="AA69" s="1">
        <v>9052</v>
      </c>
      <c r="AB69" s="1" t="s">
        <v>267</v>
      </c>
      <c r="AC69" s="1" t="s">
        <v>267</v>
      </c>
      <c r="AD69" s="1">
        <v>0</v>
      </c>
    </row>
    <row r="70" spans="1:30" x14ac:dyDescent="0.25">
      <c r="B70" s="6" t="s">
        <v>240</v>
      </c>
      <c r="C70" s="7">
        <v>4057140</v>
      </c>
      <c r="D70" s="151">
        <v>21271</v>
      </c>
      <c r="E70" s="151">
        <v>943</v>
      </c>
      <c r="F70" s="151">
        <v>2759</v>
      </c>
      <c r="G70" s="151">
        <v>5368</v>
      </c>
      <c r="H70" s="151">
        <v>12232</v>
      </c>
      <c r="I70" s="151">
        <v>33476</v>
      </c>
      <c r="J70" s="151">
        <v>24344</v>
      </c>
      <c r="K70" s="151">
        <v>21307</v>
      </c>
      <c r="L70" s="151">
        <v>16203</v>
      </c>
      <c r="M70" s="151">
        <v>26540</v>
      </c>
      <c r="N70" s="151">
        <v>24727</v>
      </c>
      <c r="O70" s="151">
        <v>18030</v>
      </c>
      <c r="P70" s="151">
        <v>16677</v>
      </c>
      <c r="Q70" s="151">
        <v>9329</v>
      </c>
      <c r="R70" s="151">
        <v>10069</v>
      </c>
      <c r="S70" s="151">
        <v>11004</v>
      </c>
      <c r="T70" s="151">
        <v>7386</v>
      </c>
      <c r="U70" s="151">
        <v>24662</v>
      </c>
      <c r="V70" s="151">
        <v>2889</v>
      </c>
      <c r="W70" s="151">
        <v>10272</v>
      </c>
      <c r="X70" s="151">
        <v>18828</v>
      </c>
      <c r="Y70" s="151">
        <v>14147</v>
      </c>
      <c r="Z70" s="151">
        <v>9472</v>
      </c>
      <c r="AA70" s="1">
        <v>22050</v>
      </c>
      <c r="AB70" s="1">
        <v>0</v>
      </c>
      <c r="AC70" s="1">
        <v>0</v>
      </c>
      <c r="AD70" s="1">
        <v>0</v>
      </c>
    </row>
    <row r="71" spans="1:30" x14ac:dyDescent="0.25">
      <c r="A71" s="1" t="s">
        <v>268</v>
      </c>
      <c r="B71" s="6" t="s">
        <v>243</v>
      </c>
      <c r="C71" s="7">
        <v>4057096</v>
      </c>
      <c r="D71" s="151">
        <v>319</v>
      </c>
      <c r="E71" s="151">
        <v>521</v>
      </c>
      <c r="F71" s="151">
        <v>524</v>
      </c>
      <c r="G71" s="151">
        <v>367</v>
      </c>
      <c r="H71" s="151">
        <v>313</v>
      </c>
      <c r="I71" s="151">
        <v>310</v>
      </c>
      <c r="J71" s="151">
        <v>255</v>
      </c>
      <c r="K71" s="151">
        <v>702</v>
      </c>
      <c r="L71" s="151">
        <v>1185</v>
      </c>
      <c r="M71" s="151">
        <v>362</v>
      </c>
      <c r="N71" s="151">
        <v>86</v>
      </c>
      <c r="O71" s="151">
        <v>60</v>
      </c>
      <c r="P71" s="151">
        <v>95</v>
      </c>
      <c r="Q71" s="151">
        <v>97</v>
      </c>
      <c r="R71" s="151">
        <v>161</v>
      </c>
      <c r="S71" s="151">
        <v>188</v>
      </c>
      <c r="T71" s="151">
        <v>187</v>
      </c>
      <c r="U71" s="151">
        <v>144</v>
      </c>
      <c r="V71" s="151" t="s">
        <v>267</v>
      </c>
      <c r="W71" s="151" t="s">
        <v>267</v>
      </c>
      <c r="X71" s="151">
        <v>116</v>
      </c>
      <c r="Y71" s="151">
        <v>178</v>
      </c>
      <c r="Z71" s="151">
        <v>201</v>
      </c>
      <c r="AA71" s="1">
        <v>243</v>
      </c>
      <c r="AB71" s="1">
        <v>0</v>
      </c>
      <c r="AC71" s="1">
        <v>0</v>
      </c>
      <c r="AD71" s="1">
        <v>0</v>
      </c>
    </row>
    <row r="72" spans="1:30" x14ac:dyDescent="0.25">
      <c r="B72" s="6" t="s">
        <v>292</v>
      </c>
      <c r="C72" s="7">
        <v>4057097</v>
      </c>
      <c r="D72" s="151" t="s">
        <v>267</v>
      </c>
      <c r="E72" s="151" t="s">
        <v>267</v>
      </c>
      <c r="F72" s="151" t="s">
        <v>267</v>
      </c>
      <c r="G72" s="151">
        <v>658</v>
      </c>
      <c r="H72" s="151">
        <v>1732</v>
      </c>
      <c r="I72" s="151">
        <v>2361</v>
      </c>
      <c r="J72" s="151">
        <v>649</v>
      </c>
      <c r="K72" s="151">
        <v>843</v>
      </c>
      <c r="L72" s="151">
        <v>1205</v>
      </c>
      <c r="M72" s="151">
        <v>860</v>
      </c>
      <c r="N72" s="151">
        <v>394</v>
      </c>
      <c r="O72" s="151">
        <v>98</v>
      </c>
      <c r="P72" s="151">
        <v>443</v>
      </c>
      <c r="Q72" s="151">
        <v>90</v>
      </c>
      <c r="R72" s="151">
        <v>357</v>
      </c>
      <c r="S72" s="151">
        <v>516</v>
      </c>
      <c r="T72" s="151">
        <v>426</v>
      </c>
      <c r="U72" s="151">
        <v>325</v>
      </c>
      <c r="V72" s="151">
        <v>577</v>
      </c>
      <c r="W72" s="151">
        <v>543</v>
      </c>
      <c r="X72" s="151">
        <v>857</v>
      </c>
      <c r="Y72" s="151">
        <v>390</v>
      </c>
      <c r="Z72" s="151">
        <v>496</v>
      </c>
      <c r="AA72" s="1">
        <v>1147</v>
      </c>
      <c r="AB72" s="1">
        <v>0</v>
      </c>
      <c r="AC72" s="1">
        <v>0</v>
      </c>
      <c r="AD72" s="1">
        <v>0</v>
      </c>
    </row>
    <row r="73" spans="1:30" x14ac:dyDescent="0.25">
      <c r="B73" s="6" t="s">
        <v>293</v>
      </c>
      <c r="C73" s="7">
        <v>4057098</v>
      </c>
      <c r="D73" s="151" t="s">
        <v>267</v>
      </c>
      <c r="E73" s="151" t="s">
        <v>267</v>
      </c>
      <c r="F73" s="151">
        <v>15</v>
      </c>
      <c r="G73" s="151">
        <v>81</v>
      </c>
      <c r="H73" s="151">
        <v>637</v>
      </c>
      <c r="I73" s="151">
        <v>105</v>
      </c>
      <c r="J73" s="151">
        <v>360</v>
      </c>
      <c r="K73" s="151">
        <v>0</v>
      </c>
      <c r="L73" s="151">
        <v>164</v>
      </c>
      <c r="M73" s="151">
        <v>953</v>
      </c>
      <c r="N73" s="151">
        <v>0</v>
      </c>
      <c r="O73" s="151">
        <v>0</v>
      </c>
      <c r="P73" s="151">
        <v>0</v>
      </c>
      <c r="Q73" s="151">
        <v>16</v>
      </c>
      <c r="R73" s="151">
        <v>346</v>
      </c>
      <c r="S73" s="151">
        <v>65</v>
      </c>
      <c r="T73" s="151">
        <v>672</v>
      </c>
      <c r="U73" s="151">
        <v>75</v>
      </c>
      <c r="V73" s="151">
        <v>852</v>
      </c>
      <c r="W73" s="151">
        <v>546</v>
      </c>
      <c r="X73" s="151" t="s">
        <v>267</v>
      </c>
      <c r="Y73" s="151">
        <v>0</v>
      </c>
      <c r="Z73" s="151">
        <v>0</v>
      </c>
      <c r="AA73" s="1">
        <v>43</v>
      </c>
      <c r="AB73" s="1">
        <v>0</v>
      </c>
      <c r="AC73" s="1">
        <v>0</v>
      </c>
      <c r="AD73" s="1">
        <v>0</v>
      </c>
    </row>
    <row r="74" spans="1:30" x14ac:dyDescent="0.25">
      <c r="A74" s="1" t="s">
        <v>268</v>
      </c>
      <c r="B74" s="6" t="s">
        <v>244</v>
      </c>
      <c r="C74" s="7">
        <v>4063023</v>
      </c>
      <c r="D74" s="151">
        <v>4295.9070000000002</v>
      </c>
      <c r="E74" s="151" t="s">
        <v>267</v>
      </c>
      <c r="F74" s="151">
        <v>7597</v>
      </c>
      <c r="G74" s="151">
        <v>77791</v>
      </c>
      <c r="H74" s="151">
        <v>9373</v>
      </c>
      <c r="I74" s="151">
        <v>7798</v>
      </c>
      <c r="J74" s="151">
        <v>65119</v>
      </c>
      <c r="K74" s="151">
        <v>197253</v>
      </c>
      <c r="L74" s="151">
        <v>7254</v>
      </c>
      <c r="M74" s="151">
        <v>8035</v>
      </c>
      <c r="N74" s="151">
        <v>4228</v>
      </c>
      <c r="O74" s="151">
        <v>7212</v>
      </c>
      <c r="P74" s="151">
        <v>5099</v>
      </c>
      <c r="Q74" s="151">
        <v>3177</v>
      </c>
      <c r="R74" s="151">
        <v>3177</v>
      </c>
      <c r="S74" s="151">
        <v>3177</v>
      </c>
      <c r="T74" s="151">
        <v>1241</v>
      </c>
      <c r="U74" s="151">
        <v>428</v>
      </c>
      <c r="V74" s="151">
        <v>8640</v>
      </c>
      <c r="W74" s="151">
        <v>6823</v>
      </c>
      <c r="X74" s="151">
        <v>7179</v>
      </c>
      <c r="Y74" s="151">
        <v>7316</v>
      </c>
      <c r="Z74" s="151">
        <v>6005</v>
      </c>
      <c r="AA74" s="1">
        <v>7220</v>
      </c>
      <c r="AB74" s="1">
        <v>0</v>
      </c>
      <c r="AC74" s="1">
        <v>0</v>
      </c>
      <c r="AD74" s="1">
        <v>0</v>
      </c>
    </row>
    <row r="75" spans="1:30" x14ac:dyDescent="0.25">
      <c r="B75" s="6" t="s">
        <v>245</v>
      </c>
      <c r="C75" s="7">
        <v>4057146</v>
      </c>
      <c r="D75" s="151">
        <v>246919.97399999999</v>
      </c>
      <c r="E75" s="151" t="s">
        <v>267</v>
      </c>
      <c r="F75" s="151">
        <v>146442</v>
      </c>
      <c r="G75" s="151">
        <v>161255</v>
      </c>
      <c r="H75" s="151">
        <v>212108</v>
      </c>
      <c r="I75" s="151">
        <v>172543</v>
      </c>
      <c r="J75" s="151">
        <v>204924</v>
      </c>
      <c r="K75" s="151">
        <v>117124</v>
      </c>
      <c r="L75" s="151">
        <v>234790</v>
      </c>
      <c r="M75" s="151">
        <v>254673</v>
      </c>
      <c r="N75" s="151">
        <v>159691</v>
      </c>
      <c r="O75" s="151">
        <v>168082</v>
      </c>
      <c r="P75" s="151">
        <v>69167</v>
      </c>
      <c r="Q75" s="151">
        <v>48771</v>
      </c>
      <c r="R75" s="151">
        <v>45950</v>
      </c>
      <c r="S75" s="151">
        <v>37188</v>
      </c>
      <c r="T75" s="151">
        <v>54554</v>
      </c>
      <c r="U75" s="151">
        <v>27995</v>
      </c>
      <c r="V75" s="151">
        <v>56531</v>
      </c>
      <c r="W75" s="151">
        <v>28423</v>
      </c>
      <c r="X75" s="151">
        <v>21453</v>
      </c>
      <c r="Y75" s="151">
        <v>27360</v>
      </c>
      <c r="Z75" s="151">
        <v>30770</v>
      </c>
      <c r="AA75" s="1">
        <v>33419</v>
      </c>
      <c r="AB75" s="1">
        <v>0</v>
      </c>
      <c r="AC75" s="1">
        <v>0</v>
      </c>
      <c r="AD75" s="1" t="s">
        <v>267</v>
      </c>
    </row>
    <row r="76" spans="1:30" x14ac:dyDescent="0.25">
      <c r="A76" s="1" t="s">
        <v>268</v>
      </c>
      <c r="B76" s="6" t="s">
        <v>247</v>
      </c>
      <c r="C76" s="7">
        <v>4063060</v>
      </c>
      <c r="D76" s="151">
        <v>6616</v>
      </c>
      <c r="E76" s="151">
        <v>5366</v>
      </c>
      <c r="F76" s="151">
        <v>4212</v>
      </c>
      <c r="G76" s="151">
        <v>1285</v>
      </c>
      <c r="H76" s="151">
        <v>1990</v>
      </c>
      <c r="I76" s="151">
        <v>10258</v>
      </c>
      <c r="J76" s="151">
        <v>17022</v>
      </c>
      <c r="K76" s="151">
        <v>1675</v>
      </c>
      <c r="L76" s="151">
        <v>1823</v>
      </c>
      <c r="M76" s="151">
        <v>4592</v>
      </c>
      <c r="N76" s="151">
        <v>1017</v>
      </c>
      <c r="O76" s="151">
        <v>-227</v>
      </c>
      <c r="P76" s="151">
        <v>502</v>
      </c>
      <c r="Q76" s="151">
        <v>14659</v>
      </c>
      <c r="R76" s="151">
        <v>3056</v>
      </c>
      <c r="S76" s="151">
        <v>1680</v>
      </c>
      <c r="T76" s="151">
        <v>1057</v>
      </c>
      <c r="U76" s="151">
        <v>1389</v>
      </c>
      <c r="V76" s="151">
        <v>478</v>
      </c>
      <c r="W76" s="151">
        <v>3469</v>
      </c>
      <c r="X76" s="151">
        <v>9131</v>
      </c>
      <c r="Y76" s="151">
        <v>377</v>
      </c>
      <c r="Z76" s="151" t="s">
        <v>267</v>
      </c>
      <c r="AA76" s="1">
        <v>3041</v>
      </c>
      <c r="AB76" s="1">
        <v>0</v>
      </c>
      <c r="AC76" s="1">
        <v>0</v>
      </c>
      <c r="AD76" s="1">
        <v>0</v>
      </c>
    </row>
    <row r="77" spans="1:30" x14ac:dyDescent="0.25">
      <c r="B77" s="6" t="s">
        <v>248</v>
      </c>
      <c r="C77" s="7">
        <v>4057100</v>
      </c>
      <c r="D77" s="151">
        <v>916</v>
      </c>
      <c r="E77" s="151">
        <v>0</v>
      </c>
      <c r="F77" s="151" t="s">
        <v>267</v>
      </c>
      <c r="G77" s="151">
        <v>2879</v>
      </c>
      <c r="H77" s="151">
        <v>541</v>
      </c>
      <c r="I77" s="151">
        <v>524</v>
      </c>
      <c r="J77" s="151">
        <v>1097</v>
      </c>
      <c r="K77" s="151">
        <v>1053</v>
      </c>
      <c r="L77" s="151">
        <v>453</v>
      </c>
      <c r="M77" s="151">
        <v>136</v>
      </c>
      <c r="N77" s="151">
        <v>574</v>
      </c>
      <c r="O77" s="151">
        <v>539</v>
      </c>
      <c r="P77" s="151">
        <v>1254</v>
      </c>
      <c r="Q77" s="151">
        <v>630</v>
      </c>
      <c r="R77" s="151">
        <v>373</v>
      </c>
      <c r="S77" s="151">
        <v>857</v>
      </c>
      <c r="T77" s="151">
        <v>79</v>
      </c>
      <c r="U77" s="151">
        <v>655</v>
      </c>
      <c r="V77" s="151">
        <v>385</v>
      </c>
      <c r="W77" s="151">
        <v>665</v>
      </c>
      <c r="X77" s="151">
        <v>274</v>
      </c>
      <c r="Y77" s="151">
        <v>362</v>
      </c>
      <c r="Z77" s="151">
        <v>476</v>
      </c>
      <c r="AA77" s="1">
        <v>279</v>
      </c>
      <c r="AB77" s="1">
        <v>0</v>
      </c>
      <c r="AC77" s="1">
        <v>0</v>
      </c>
      <c r="AD77" s="1">
        <v>0</v>
      </c>
    </row>
    <row r="78" spans="1:30" x14ac:dyDescent="0.25">
      <c r="B78" s="6" t="s">
        <v>294</v>
      </c>
      <c r="C78" s="7">
        <v>4064035</v>
      </c>
      <c r="D78" s="151" t="s">
        <v>267</v>
      </c>
      <c r="E78" s="151" t="s">
        <v>267</v>
      </c>
      <c r="F78" s="151">
        <v>0</v>
      </c>
      <c r="G78" s="151">
        <v>0</v>
      </c>
      <c r="H78" s="151">
        <v>255</v>
      </c>
      <c r="I78" s="151">
        <v>799</v>
      </c>
      <c r="J78" s="151">
        <v>2286</v>
      </c>
      <c r="K78" s="151">
        <v>525</v>
      </c>
      <c r="L78" s="151">
        <v>2012</v>
      </c>
      <c r="M78" s="151">
        <v>287</v>
      </c>
      <c r="N78" s="151">
        <v>183</v>
      </c>
      <c r="O78" s="151">
        <v>257</v>
      </c>
      <c r="P78" s="151">
        <v>329</v>
      </c>
      <c r="Q78" s="151">
        <v>241</v>
      </c>
      <c r="R78" s="151">
        <v>223</v>
      </c>
      <c r="S78" s="151">
        <v>279</v>
      </c>
      <c r="T78" s="151">
        <v>215</v>
      </c>
      <c r="U78" s="151">
        <v>245</v>
      </c>
      <c r="V78" s="151">
        <v>206</v>
      </c>
      <c r="W78" s="151" t="s">
        <v>267</v>
      </c>
      <c r="X78" s="151">
        <v>-14</v>
      </c>
      <c r="Y78" s="151">
        <v>367</v>
      </c>
      <c r="Z78" s="151" t="s">
        <v>267</v>
      </c>
      <c r="AA78" s="1">
        <v>0</v>
      </c>
      <c r="AB78" s="1">
        <v>0</v>
      </c>
      <c r="AC78" s="1">
        <v>0</v>
      </c>
      <c r="AD78" s="1">
        <v>0</v>
      </c>
    </row>
    <row r="79" spans="1:30" x14ac:dyDescent="0.25">
      <c r="B79" s="6" t="s">
        <v>295</v>
      </c>
      <c r="C79" s="7">
        <v>4060957</v>
      </c>
      <c r="D79" s="151" t="s">
        <v>267</v>
      </c>
      <c r="E79" s="151">
        <v>35735</v>
      </c>
      <c r="F79" s="151">
        <v>44952</v>
      </c>
      <c r="G79" s="151">
        <v>27501</v>
      </c>
      <c r="H79" s="151">
        <v>44234</v>
      </c>
      <c r="I79" s="151">
        <v>16350</v>
      </c>
      <c r="J79" s="151">
        <v>48638</v>
      </c>
      <c r="K79" s="151">
        <v>17558</v>
      </c>
      <c r="L79" s="151">
        <v>83881</v>
      </c>
      <c r="M79" s="151">
        <v>7230</v>
      </c>
      <c r="N79" s="151">
        <v>11109</v>
      </c>
      <c r="O79" s="151">
        <v>8479</v>
      </c>
      <c r="P79" s="151">
        <v>5215</v>
      </c>
      <c r="Q79" s="151">
        <v>8595</v>
      </c>
      <c r="R79" s="151">
        <v>6363</v>
      </c>
      <c r="S79" s="151">
        <v>7207</v>
      </c>
      <c r="T79" s="151">
        <v>8197</v>
      </c>
      <c r="U79" s="151">
        <v>5122</v>
      </c>
      <c r="V79" s="151">
        <v>3916</v>
      </c>
      <c r="W79" s="151">
        <v>7835</v>
      </c>
      <c r="X79" s="151">
        <v>9935</v>
      </c>
      <c r="Y79" s="151">
        <v>8057</v>
      </c>
      <c r="Z79" s="151">
        <v>19870</v>
      </c>
      <c r="AA79" s="1">
        <v>6415</v>
      </c>
      <c r="AB79" s="1">
        <v>0</v>
      </c>
      <c r="AC79" s="1">
        <v>0</v>
      </c>
      <c r="AD79" s="1">
        <v>0</v>
      </c>
    </row>
    <row r="80" spans="1:30" x14ac:dyDescent="0.25">
      <c r="B80" s="6" t="s">
        <v>250</v>
      </c>
      <c r="C80" s="7">
        <v>4063179</v>
      </c>
      <c r="D80" s="151">
        <v>127</v>
      </c>
      <c r="E80" s="151">
        <v>14</v>
      </c>
      <c r="F80" s="151" t="s">
        <v>267</v>
      </c>
      <c r="G80" s="151">
        <v>108</v>
      </c>
      <c r="H80" s="151">
        <v>20</v>
      </c>
      <c r="I80" s="151">
        <v>168</v>
      </c>
      <c r="J80" s="151">
        <v>62</v>
      </c>
      <c r="K80" s="151">
        <v>69</v>
      </c>
      <c r="L80" s="151">
        <v>31</v>
      </c>
      <c r="M80" s="151">
        <v>14</v>
      </c>
      <c r="N80" s="151">
        <v>37</v>
      </c>
      <c r="O80" s="151">
        <v>7</v>
      </c>
      <c r="P80" s="151">
        <v>99</v>
      </c>
      <c r="Q80" s="151">
        <v>4</v>
      </c>
      <c r="R80" s="151">
        <v>113</v>
      </c>
      <c r="S80" s="151">
        <v>85</v>
      </c>
      <c r="T80" s="151">
        <v>61</v>
      </c>
      <c r="U80" s="151">
        <v>6</v>
      </c>
      <c r="V80" s="151">
        <v>97</v>
      </c>
      <c r="W80" s="151">
        <v>28</v>
      </c>
      <c r="X80" s="151">
        <v>59</v>
      </c>
      <c r="Y80" s="151">
        <v>4</v>
      </c>
      <c r="Z80" s="151">
        <v>57</v>
      </c>
      <c r="AA80" s="1">
        <v>19</v>
      </c>
      <c r="AB80" s="1">
        <v>0</v>
      </c>
      <c r="AC80" s="1">
        <v>0</v>
      </c>
      <c r="AD80" s="1">
        <v>0</v>
      </c>
    </row>
    <row r="81" spans="1:30" x14ac:dyDescent="0.25">
      <c r="A81" s="1" t="s">
        <v>268</v>
      </c>
      <c r="B81" s="6" t="s">
        <v>251</v>
      </c>
      <c r="C81" s="7">
        <v>4063183</v>
      </c>
      <c r="D81" s="151">
        <v>586</v>
      </c>
      <c r="E81" s="151">
        <v>2987</v>
      </c>
      <c r="F81" s="151">
        <v>772</v>
      </c>
      <c r="G81" s="151">
        <v>898</v>
      </c>
      <c r="H81" s="151" t="s">
        <v>267</v>
      </c>
      <c r="I81" s="151">
        <v>745</v>
      </c>
      <c r="J81" s="151">
        <v>607</v>
      </c>
      <c r="K81" s="151">
        <v>376</v>
      </c>
      <c r="L81" s="151">
        <v>1223</v>
      </c>
      <c r="M81" s="151">
        <v>722</v>
      </c>
      <c r="N81" s="151">
        <v>614</v>
      </c>
      <c r="O81" s="151">
        <v>597</v>
      </c>
      <c r="P81" s="151">
        <v>313</v>
      </c>
      <c r="Q81" s="151">
        <v>316</v>
      </c>
      <c r="R81" s="151">
        <v>402</v>
      </c>
      <c r="S81" s="151">
        <v>1202</v>
      </c>
      <c r="T81" s="151">
        <v>143</v>
      </c>
      <c r="U81" s="151">
        <v>239</v>
      </c>
      <c r="V81" s="151">
        <v>445</v>
      </c>
      <c r="W81" s="151">
        <v>214</v>
      </c>
      <c r="X81" s="151">
        <v>190</v>
      </c>
      <c r="Y81" s="151">
        <v>282</v>
      </c>
      <c r="Z81" s="151">
        <v>360</v>
      </c>
      <c r="AA81" s="1">
        <v>287</v>
      </c>
      <c r="AB81" s="1">
        <v>0</v>
      </c>
      <c r="AC81" s="1">
        <v>0</v>
      </c>
      <c r="AD81" s="1">
        <v>0</v>
      </c>
    </row>
    <row r="82" spans="1:30" x14ac:dyDescent="0.25">
      <c r="B82" s="6" t="s">
        <v>252</v>
      </c>
      <c r="C82" s="7">
        <v>4063281</v>
      </c>
      <c r="D82" s="151">
        <v>-406</v>
      </c>
      <c r="E82" s="151">
        <v>123</v>
      </c>
      <c r="F82" s="151">
        <v>451</v>
      </c>
      <c r="G82" s="151">
        <v>416</v>
      </c>
      <c r="H82" s="151">
        <v>368</v>
      </c>
      <c r="I82" s="151">
        <v>128</v>
      </c>
      <c r="J82" s="151">
        <v>0</v>
      </c>
      <c r="K82" s="151">
        <v>31</v>
      </c>
      <c r="L82" s="151">
        <v>13</v>
      </c>
      <c r="M82" s="151">
        <v>11</v>
      </c>
      <c r="N82" s="151">
        <v>146</v>
      </c>
      <c r="O82" s="151">
        <v>199</v>
      </c>
      <c r="P82" s="151">
        <v>241</v>
      </c>
      <c r="Q82" s="151">
        <v>32</v>
      </c>
      <c r="R82" s="151">
        <v>78</v>
      </c>
      <c r="S82" s="151">
        <v>26</v>
      </c>
      <c r="T82" s="151">
        <v>25</v>
      </c>
      <c r="U82" s="151">
        <v>51</v>
      </c>
      <c r="V82" s="151">
        <v>52</v>
      </c>
      <c r="W82" s="151">
        <v>32</v>
      </c>
      <c r="X82" s="151">
        <v>0</v>
      </c>
      <c r="Y82" s="151">
        <v>12</v>
      </c>
      <c r="Z82" s="151">
        <v>8</v>
      </c>
      <c r="AA82" s="1">
        <v>3</v>
      </c>
      <c r="AB82" s="1">
        <v>0</v>
      </c>
      <c r="AC82" s="1">
        <v>0</v>
      </c>
      <c r="AD82" s="1">
        <v>0</v>
      </c>
    </row>
    <row r="83" spans="1:30" x14ac:dyDescent="0.25">
      <c r="B83" s="6" t="s">
        <v>253</v>
      </c>
      <c r="C83" s="7">
        <v>4059746</v>
      </c>
      <c r="D83" s="151">
        <v>32263</v>
      </c>
      <c r="E83" s="151">
        <v>5132</v>
      </c>
      <c r="F83" s="151">
        <v>12171</v>
      </c>
      <c r="G83" s="151">
        <v>7365</v>
      </c>
      <c r="H83" s="151">
        <v>34978</v>
      </c>
      <c r="I83" s="151">
        <v>25738</v>
      </c>
      <c r="J83" s="151">
        <v>31575</v>
      </c>
      <c r="K83" s="151">
        <v>9691</v>
      </c>
      <c r="L83" s="151">
        <v>6276</v>
      </c>
      <c r="M83" s="151">
        <v>7916</v>
      </c>
      <c r="N83" s="151">
        <v>13645</v>
      </c>
      <c r="O83" s="151">
        <v>16766</v>
      </c>
      <c r="P83" s="151">
        <v>4659</v>
      </c>
      <c r="Q83" s="151">
        <v>5332</v>
      </c>
      <c r="R83" s="151">
        <v>2700</v>
      </c>
      <c r="S83" s="151">
        <v>7768</v>
      </c>
      <c r="T83" s="151">
        <v>8175</v>
      </c>
      <c r="U83" s="151">
        <v>4289</v>
      </c>
      <c r="V83" s="151">
        <v>3986</v>
      </c>
      <c r="W83" s="151">
        <v>5700</v>
      </c>
      <c r="X83" s="151">
        <v>1931</v>
      </c>
      <c r="Y83" s="151">
        <v>5646</v>
      </c>
      <c r="Z83" s="151">
        <v>3607</v>
      </c>
      <c r="AA83" s="1">
        <v>5870</v>
      </c>
      <c r="AB83" s="1">
        <v>0</v>
      </c>
      <c r="AC83" s="1">
        <v>0</v>
      </c>
      <c r="AD83" s="1">
        <v>0</v>
      </c>
    </row>
    <row r="84" spans="1:30" x14ac:dyDescent="0.25">
      <c r="A84" s="1" t="s">
        <v>268</v>
      </c>
      <c r="B84" s="6" t="s">
        <v>296</v>
      </c>
      <c r="C84" s="7">
        <v>4062279</v>
      </c>
      <c r="D84" s="151" t="s">
        <v>267</v>
      </c>
      <c r="E84" s="151" t="s">
        <v>267</v>
      </c>
      <c r="F84" s="151" t="s">
        <v>267</v>
      </c>
      <c r="G84" s="151" t="s">
        <v>267</v>
      </c>
      <c r="H84" s="151">
        <v>1784</v>
      </c>
      <c r="I84" s="151">
        <v>2602</v>
      </c>
      <c r="J84" s="151">
        <v>1329</v>
      </c>
      <c r="K84" s="151">
        <v>1202</v>
      </c>
      <c r="L84" s="151">
        <v>1026</v>
      </c>
      <c r="M84" s="151">
        <v>395</v>
      </c>
      <c r="N84" s="151">
        <v>1928</v>
      </c>
      <c r="O84" s="151">
        <v>1473</v>
      </c>
      <c r="P84" s="151">
        <v>1165</v>
      </c>
      <c r="Q84" s="151">
        <v>1125</v>
      </c>
      <c r="R84" s="151">
        <v>4746</v>
      </c>
      <c r="S84" s="151">
        <v>2027</v>
      </c>
      <c r="T84" s="151">
        <v>4723</v>
      </c>
      <c r="U84" s="151">
        <v>3956</v>
      </c>
      <c r="V84" s="151">
        <v>2341</v>
      </c>
      <c r="W84" s="151">
        <v>6222</v>
      </c>
      <c r="X84" s="151">
        <v>967</v>
      </c>
      <c r="Y84" s="151">
        <v>2738</v>
      </c>
      <c r="Z84" s="151" t="s">
        <v>267</v>
      </c>
      <c r="AA84" s="1">
        <v>3525</v>
      </c>
      <c r="AB84" s="1">
        <v>0</v>
      </c>
      <c r="AC84" s="1">
        <v>0</v>
      </c>
      <c r="AD84" s="1">
        <v>0</v>
      </c>
    </row>
    <row r="85" spans="1:30" x14ac:dyDescent="0.25">
      <c r="A85" s="1" t="s">
        <v>268</v>
      </c>
      <c r="B85" s="6" t="s">
        <v>297</v>
      </c>
      <c r="C85" s="7">
        <v>4063729</v>
      </c>
      <c r="D85" s="151" t="s">
        <v>267</v>
      </c>
      <c r="E85" s="151" t="s">
        <v>267</v>
      </c>
      <c r="F85" s="151" t="s">
        <v>267</v>
      </c>
      <c r="G85" s="151" t="s">
        <v>267</v>
      </c>
      <c r="H85" s="151">
        <v>1405</v>
      </c>
      <c r="I85" s="151">
        <v>1635</v>
      </c>
      <c r="J85" s="151">
        <v>2032</v>
      </c>
      <c r="K85" s="151">
        <v>1422</v>
      </c>
      <c r="L85" s="151">
        <v>1274</v>
      </c>
      <c r="M85" s="151">
        <v>1309</v>
      </c>
      <c r="N85" s="151">
        <v>783</v>
      </c>
      <c r="O85" s="151">
        <v>1324</v>
      </c>
      <c r="P85" s="151">
        <v>1027</v>
      </c>
      <c r="Q85" s="151">
        <v>1076</v>
      </c>
      <c r="R85" s="151">
        <v>1510</v>
      </c>
      <c r="S85" s="151">
        <v>1043</v>
      </c>
      <c r="T85" s="151">
        <v>518</v>
      </c>
      <c r="U85" s="151">
        <v>541</v>
      </c>
      <c r="V85" s="151">
        <v>620</v>
      </c>
      <c r="W85" s="151">
        <v>435</v>
      </c>
      <c r="X85" s="151">
        <v>411</v>
      </c>
      <c r="Y85" s="151">
        <v>631</v>
      </c>
      <c r="Z85" s="151">
        <v>414</v>
      </c>
      <c r="AA85" s="1" t="s">
        <v>267</v>
      </c>
      <c r="AB85" s="1" t="s">
        <v>267</v>
      </c>
      <c r="AC85" s="1">
        <v>0</v>
      </c>
      <c r="AD85" s="1">
        <v>0</v>
      </c>
    </row>
    <row r="86" spans="1:30" x14ac:dyDescent="0.25">
      <c r="B86" s="6" t="s">
        <v>254</v>
      </c>
      <c r="C86" s="7">
        <v>4063762</v>
      </c>
      <c r="D86" s="151">
        <v>5003.6030000000001</v>
      </c>
      <c r="E86" s="151">
        <v>3918</v>
      </c>
      <c r="F86" s="151">
        <v>7479</v>
      </c>
      <c r="G86" s="151">
        <v>4497</v>
      </c>
      <c r="H86" s="151">
        <v>3557</v>
      </c>
      <c r="I86" s="151">
        <v>3917</v>
      </c>
      <c r="J86" s="151">
        <v>2324</v>
      </c>
      <c r="K86" s="151">
        <v>2255</v>
      </c>
      <c r="L86" s="151">
        <v>1613</v>
      </c>
      <c r="M86" s="151">
        <v>2475</v>
      </c>
      <c r="N86" s="151">
        <v>1058</v>
      </c>
      <c r="O86" s="151">
        <v>637</v>
      </c>
      <c r="P86" s="151">
        <v>6993</v>
      </c>
      <c r="Q86" s="151">
        <v>2917</v>
      </c>
      <c r="R86" s="151">
        <v>7006</v>
      </c>
      <c r="S86" s="151">
        <v>5020</v>
      </c>
      <c r="T86" s="151">
        <v>1322</v>
      </c>
      <c r="U86" s="151">
        <v>950</v>
      </c>
      <c r="V86" s="151">
        <v>574</v>
      </c>
      <c r="W86" s="151">
        <v>1174</v>
      </c>
      <c r="X86" s="151">
        <v>6</v>
      </c>
      <c r="Y86" s="151">
        <v>1941</v>
      </c>
      <c r="Z86" s="151">
        <v>1061</v>
      </c>
      <c r="AA86" s="1">
        <v>579</v>
      </c>
      <c r="AB86" s="1">
        <v>0</v>
      </c>
      <c r="AC86" s="1">
        <v>0</v>
      </c>
      <c r="AD86" s="1" t="s">
        <v>267</v>
      </c>
    </row>
    <row r="87" spans="1:30" x14ac:dyDescent="0.25">
      <c r="B87" s="6" t="s">
        <v>256</v>
      </c>
      <c r="C87" s="7">
        <v>4058284</v>
      </c>
      <c r="D87" s="151">
        <v>7320.7020000000002</v>
      </c>
      <c r="E87" s="151">
        <v>18917</v>
      </c>
      <c r="F87" s="151">
        <v>34697</v>
      </c>
      <c r="G87" s="151">
        <v>30019</v>
      </c>
      <c r="H87" s="151">
        <v>34208</v>
      </c>
      <c r="I87" s="151">
        <v>19738</v>
      </c>
      <c r="J87" s="151">
        <v>13293</v>
      </c>
      <c r="K87" s="151">
        <v>23700</v>
      </c>
      <c r="L87" s="151">
        <v>12418</v>
      </c>
      <c r="M87" s="151">
        <v>118470</v>
      </c>
      <c r="N87" s="151">
        <v>13683</v>
      </c>
      <c r="O87" s="151">
        <v>25944</v>
      </c>
      <c r="P87" s="151">
        <v>21063</v>
      </c>
      <c r="Q87" s="151">
        <v>14261</v>
      </c>
      <c r="R87" s="151">
        <v>121039</v>
      </c>
      <c r="S87" s="151">
        <v>14571</v>
      </c>
      <c r="T87" s="151">
        <v>17310</v>
      </c>
      <c r="U87" s="151">
        <v>11970</v>
      </c>
      <c r="V87" s="151">
        <v>18678</v>
      </c>
      <c r="W87" s="151">
        <v>7224</v>
      </c>
      <c r="X87" s="151">
        <v>11529</v>
      </c>
      <c r="Y87" s="151">
        <v>14941</v>
      </c>
      <c r="Z87" s="151">
        <v>4581</v>
      </c>
      <c r="AA87" s="1">
        <v>7904</v>
      </c>
      <c r="AB87" s="1">
        <v>0</v>
      </c>
      <c r="AC87" s="1">
        <v>0</v>
      </c>
      <c r="AD87" s="1">
        <v>0</v>
      </c>
    </row>
    <row r="88" spans="1:30" x14ac:dyDescent="0.25">
      <c r="B88" s="6" t="s">
        <v>258</v>
      </c>
      <c r="C88" s="7">
        <v>4008752</v>
      </c>
      <c r="D88" s="151">
        <v>12412</v>
      </c>
      <c r="E88" s="151">
        <v>18157</v>
      </c>
      <c r="F88" s="151">
        <v>12830</v>
      </c>
      <c r="G88" s="151">
        <v>12771</v>
      </c>
      <c r="H88" s="151">
        <v>12465</v>
      </c>
      <c r="I88" s="151">
        <v>9813</v>
      </c>
      <c r="J88" s="151">
        <v>6002</v>
      </c>
      <c r="K88" s="151">
        <v>12371</v>
      </c>
      <c r="L88" s="151">
        <v>10433</v>
      </c>
      <c r="M88" s="151">
        <v>8025</v>
      </c>
      <c r="N88" s="151">
        <v>4573</v>
      </c>
      <c r="O88" s="151">
        <v>4687</v>
      </c>
      <c r="P88" s="151">
        <v>6339</v>
      </c>
      <c r="Q88" s="151">
        <v>17959</v>
      </c>
      <c r="R88" s="151">
        <v>8111</v>
      </c>
      <c r="S88" s="151">
        <v>20381</v>
      </c>
      <c r="T88" s="151">
        <v>8474</v>
      </c>
      <c r="U88" s="151">
        <v>2025</v>
      </c>
      <c r="V88" s="151">
        <v>6585</v>
      </c>
      <c r="W88" s="151">
        <v>7169</v>
      </c>
      <c r="X88" s="151">
        <v>6933</v>
      </c>
      <c r="Y88" s="151">
        <v>4365</v>
      </c>
      <c r="Z88" s="151">
        <v>8739</v>
      </c>
      <c r="AA88" s="1">
        <v>4660</v>
      </c>
      <c r="AB88" s="1">
        <v>0</v>
      </c>
      <c r="AC88" s="1">
        <v>0</v>
      </c>
      <c r="AD88" s="1">
        <v>0</v>
      </c>
    </row>
    <row r="89" spans="1:30" x14ac:dyDescent="0.25">
      <c r="B89" s="6" t="s">
        <v>259</v>
      </c>
      <c r="C89" s="7">
        <v>4008669</v>
      </c>
      <c r="D89" s="151">
        <v>2165</v>
      </c>
      <c r="E89" s="151">
        <v>2244</v>
      </c>
      <c r="F89" s="151">
        <v>3313</v>
      </c>
      <c r="G89" s="151">
        <v>1505</v>
      </c>
      <c r="H89" s="151">
        <v>1526</v>
      </c>
      <c r="I89" s="151">
        <v>3890</v>
      </c>
      <c r="J89" s="151">
        <v>914</v>
      </c>
      <c r="K89" s="151">
        <v>641</v>
      </c>
      <c r="L89" s="151">
        <v>347</v>
      </c>
      <c r="M89" s="151">
        <v>383</v>
      </c>
      <c r="N89" s="151">
        <v>157</v>
      </c>
      <c r="O89" s="151">
        <v>294</v>
      </c>
      <c r="P89" s="151">
        <v>519</v>
      </c>
      <c r="Q89" s="151">
        <v>636</v>
      </c>
      <c r="R89" s="151">
        <v>41</v>
      </c>
      <c r="S89" s="151" t="s">
        <v>267</v>
      </c>
      <c r="T89" s="151">
        <v>604</v>
      </c>
      <c r="U89" s="151">
        <v>738</v>
      </c>
      <c r="V89" s="151">
        <v>314</v>
      </c>
      <c r="W89" s="151">
        <v>278</v>
      </c>
      <c r="X89" s="151">
        <v>974</v>
      </c>
      <c r="Y89" s="151">
        <v>1691</v>
      </c>
      <c r="Z89" s="151">
        <v>4181</v>
      </c>
      <c r="AA89" s="1">
        <v>199</v>
      </c>
      <c r="AB89" s="1">
        <v>0</v>
      </c>
      <c r="AC89" s="1">
        <v>0</v>
      </c>
      <c r="AD89" s="1">
        <v>0</v>
      </c>
    </row>
    <row r="90" spans="1:30" x14ac:dyDescent="0.25">
      <c r="B90" s="6" t="s">
        <v>298</v>
      </c>
      <c r="C90" s="7">
        <v>4076892</v>
      </c>
      <c r="D90" s="151" t="s">
        <v>267</v>
      </c>
      <c r="E90" s="151">
        <v>7</v>
      </c>
      <c r="F90" s="151">
        <v>196</v>
      </c>
      <c r="G90" s="151">
        <v>39</v>
      </c>
      <c r="H90" s="151">
        <v>65</v>
      </c>
      <c r="I90" s="151">
        <v>349</v>
      </c>
      <c r="J90" s="151">
        <v>125</v>
      </c>
      <c r="K90" s="151">
        <v>173</v>
      </c>
      <c r="L90" s="151">
        <v>60</v>
      </c>
      <c r="M90" s="151">
        <v>101</v>
      </c>
      <c r="N90" s="151">
        <v>31</v>
      </c>
      <c r="O90" s="151">
        <v>26</v>
      </c>
      <c r="P90" s="151">
        <v>166</v>
      </c>
      <c r="Q90" s="151">
        <v>403</v>
      </c>
      <c r="R90" s="151">
        <v>27</v>
      </c>
      <c r="S90" s="151">
        <v>150</v>
      </c>
      <c r="T90" s="151">
        <v>89</v>
      </c>
      <c r="U90" s="151">
        <v>-17</v>
      </c>
      <c r="V90" s="151">
        <v>56</v>
      </c>
      <c r="W90" s="151">
        <v>39</v>
      </c>
      <c r="X90" s="151" t="s">
        <v>267</v>
      </c>
      <c r="Y90" s="151" t="s">
        <v>267</v>
      </c>
      <c r="Z90" s="151" t="s">
        <v>267</v>
      </c>
      <c r="AA90" s="1" t="s">
        <v>267</v>
      </c>
      <c r="AB90" s="1" t="s">
        <v>267</v>
      </c>
      <c r="AC90" s="1" t="s">
        <v>267</v>
      </c>
      <c r="AD90" s="1" t="s">
        <v>267</v>
      </c>
    </row>
    <row r="91" spans="1:30" x14ac:dyDescent="0.25">
      <c r="A91" s="1" t="s">
        <v>268</v>
      </c>
      <c r="B91" s="6" t="s">
        <v>261</v>
      </c>
      <c r="C91" s="7">
        <v>4064141</v>
      </c>
      <c r="D91" s="151">
        <v>8700</v>
      </c>
      <c r="E91" s="151">
        <v>8529</v>
      </c>
      <c r="F91" s="151">
        <v>6239</v>
      </c>
      <c r="G91" s="151">
        <v>6409</v>
      </c>
      <c r="H91" s="151">
        <v>7080</v>
      </c>
      <c r="I91" s="151">
        <v>9030</v>
      </c>
      <c r="J91" s="151">
        <v>1606</v>
      </c>
      <c r="K91" s="151">
        <v>3490</v>
      </c>
      <c r="L91" s="151">
        <v>2368</v>
      </c>
      <c r="M91" s="151">
        <v>4641</v>
      </c>
      <c r="N91" s="151">
        <v>10375</v>
      </c>
      <c r="O91" s="151">
        <v>3552</v>
      </c>
      <c r="P91" s="151">
        <v>2650</v>
      </c>
      <c r="Q91" s="151">
        <v>3677</v>
      </c>
      <c r="R91" s="151">
        <v>1948</v>
      </c>
      <c r="S91" s="151">
        <v>2149</v>
      </c>
      <c r="T91" s="151">
        <v>186</v>
      </c>
      <c r="U91" s="151">
        <v>993</v>
      </c>
      <c r="V91" s="151">
        <v>13854</v>
      </c>
      <c r="W91" s="151">
        <v>6338</v>
      </c>
      <c r="X91" s="151">
        <v>4715</v>
      </c>
      <c r="Y91" s="151">
        <v>2393</v>
      </c>
      <c r="Z91" s="151">
        <v>28270</v>
      </c>
      <c r="AA91" s="1">
        <v>1807</v>
      </c>
      <c r="AB91" s="1">
        <v>0</v>
      </c>
      <c r="AC91" s="1">
        <v>0</v>
      </c>
      <c r="AD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23280-D86F-46A2-A3B6-6B4BBE51DD6A}">
  <dimension ref="A1"/>
  <sheetViews>
    <sheetView topLeftCell="EQ1" workbookViewId="0">
      <selection activeCell="FS1" sqref="FS1"/>
    </sheetView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2F28-E100-44B4-8DCA-8F571FD1B944}">
  <dimension ref="A1"/>
  <sheetViews>
    <sheetView topLeftCell="J1"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1216-F5C7-46E0-A6CE-40AC4DDBFD0A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EAAE7-AE93-4CBE-8FD5-9CA204333E75}">
  <dimension ref="A3:AC91"/>
  <sheetViews>
    <sheetView zoomScale="70" zoomScaleNormal="70" workbookViewId="0">
      <selection activeCell="B1" sqref="B1:B1048576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9" width="17.5546875" style="1" customWidth="1"/>
    <col min="30" max="16384" width="9.33203125" style="1"/>
  </cols>
  <sheetData>
    <row r="3" spans="1:29" ht="52.8" x14ac:dyDescent="0.25">
      <c r="D3" s="9" t="s">
        <v>344</v>
      </c>
      <c r="E3" s="9" t="s">
        <v>344</v>
      </c>
      <c r="F3" s="9" t="s">
        <v>344</v>
      </c>
      <c r="G3" s="9" t="s">
        <v>344</v>
      </c>
      <c r="H3" s="9" t="s">
        <v>344</v>
      </c>
      <c r="I3" s="9" t="s">
        <v>344</v>
      </c>
      <c r="J3" s="9" t="s">
        <v>344</v>
      </c>
      <c r="K3" s="9" t="s">
        <v>344</v>
      </c>
      <c r="L3" s="9" t="s">
        <v>344</v>
      </c>
      <c r="M3" s="9" t="s">
        <v>344</v>
      </c>
      <c r="N3" s="9" t="s">
        <v>344</v>
      </c>
      <c r="O3" s="9" t="s">
        <v>344</v>
      </c>
      <c r="P3" s="9" t="s">
        <v>344</v>
      </c>
      <c r="Q3" s="9" t="s">
        <v>344</v>
      </c>
      <c r="R3" s="9" t="s">
        <v>344</v>
      </c>
      <c r="S3" s="9" t="s">
        <v>344</v>
      </c>
      <c r="T3" s="9" t="s">
        <v>344</v>
      </c>
      <c r="U3" s="9" t="s">
        <v>344</v>
      </c>
      <c r="V3" s="9" t="s">
        <v>344</v>
      </c>
      <c r="W3" s="9" t="s">
        <v>344</v>
      </c>
      <c r="X3" s="9" t="s">
        <v>344</v>
      </c>
      <c r="Y3" s="9" t="s">
        <v>344</v>
      </c>
      <c r="Z3" s="9" t="s">
        <v>344</v>
      </c>
      <c r="AA3" s="9" t="s">
        <v>344</v>
      </c>
      <c r="AB3" s="9" t="s">
        <v>344</v>
      </c>
      <c r="AC3" s="9" t="s">
        <v>344</v>
      </c>
    </row>
    <row r="4" spans="1:29" ht="39.6" x14ac:dyDescent="0.25">
      <c r="B4" s="2"/>
      <c r="C4" s="2"/>
      <c r="D4" s="9" t="s">
        <v>345</v>
      </c>
      <c r="E4" s="9" t="s">
        <v>345</v>
      </c>
      <c r="F4" s="9" t="s">
        <v>345</v>
      </c>
      <c r="G4" s="9" t="s">
        <v>345</v>
      </c>
      <c r="H4" s="9" t="s">
        <v>345</v>
      </c>
      <c r="I4" s="9" t="s">
        <v>345</v>
      </c>
      <c r="J4" s="9" t="s">
        <v>345</v>
      </c>
      <c r="K4" s="9" t="s">
        <v>345</v>
      </c>
      <c r="L4" s="9" t="s">
        <v>345</v>
      </c>
      <c r="M4" s="9" t="s">
        <v>345</v>
      </c>
      <c r="N4" s="9" t="s">
        <v>345</v>
      </c>
      <c r="O4" s="9" t="s">
        <v>345</v>
      </c>
      <c r="P4" s="9" t="s">
        <v>345</v>
      </c>
      <c r="Q4" s="9" t="s">
        <v>345</v>
      </c>
      <c r="R4" s="9" t="s">
        <v>345</v>
      </c>
      <c r="S4" s="9" t="s">
        <v>345</v>
      </c>
      <c r="T4" s="9" t="s">
        <v>345</v>
      </c>
      <c r="U4" s="9" t="s">
        <v>345</v>
      </c>
      <c r="V4" s="9" t="s">
        <v>345</v>
      </c>
      <c r="W4" s="9" t="s">
        <v>345</v>
      </c>
      <c r="X4" s="9" t="s">
        <v>345</v>
      </c>
      <c r="Y4" s="9" t="s">
        <v>345</v>
      </c>
      <c r="Z4" s="9" t="s">
        <v>345</v>
      </c>
      <c r="AA4" s="9" t="s">
        <v>345</v>
      </c>
      <c r="AB4" s="9" t="s">
        <v>345</v>
      </c>
      <c r="AC4" s="9" t="s">
        <v>345</v>
      </c>
    </row>
    <row r="5" spans="1:29" x14ac:dyDescent="0.25">
      <c r="A5" s="3" t="s">
        <v>264</v>
      </c>
      <c r="B5" s="4" t="s">
        <v>265</v>
      </c>
      <c r="C5" s="5" t="s">
        <v>64</v>
      </c>
      <c r="D5" s="9" t="s">
        <v>176</v>
      </c>
      <c r="E5" s="9" t="s">
        <v>175</v>
      </c>
      <c r="F5" s="9" t="s">
        <v>174</v>
      </c>
      <c r="G5" s="9" t="s">
        <v>173</v>
      </c>
      <c r="H5" s="9" t="s">
        <v>172</v>
      </c>
      <c r="I5" s="9" t="s">
        <v>171</v>
      </c>
      <c r="J5" s="9" t="s">
        <v>170</v>
      </c>
      <c r="K5" s="9" t="s">
        <v>169</v>
      </c>
      <c r="L5" s="9" t="s">
        <v>168</v>
      </c>
      <c r="M5" s="9" t="s">
        <v>167</v>
      </c>
      <c r="N5" s="9" t="s">
        <v>166</v>
      </c>
      <c r="O5" s="9" t="s">
        <v>165</v>
      </c>
      <c r="P5" s="9" t="s">
        <v>164</v>
      </c>
      <c r="Q5" s="9" t="s">
        <v>163</v>
      </c>
      <c r="R5" s="9" t="s">
        <v>162</v>
      </c>
      <c r="S5" s="9" t="s">
        <v>161</v>
      </c>
      <c r="T5" s="9" t="s">
        <v>160</v>
      </c>
      <c r="U5" s="9" t="s">
        <v>159</v>
      </c>
      <c r="V5" s="9" t="s">
        <v>158</v>
      </c>
      <c r="W5" s="9" t="s">
        <v>157</v>
      </c>
      <c r="X5" s="9" t="s">
        <v>156</v>
      </c>
      <c r="Y5" s="9" t="s">
        <v>155</v>
      </c>
      <c r="Z5" s="9" t="s">
        <v>150</v>
      </c>
      <c r="AA5" s="9" t="s">
        <v>305</v>
      </c>
      <c r="AB5" s="9" t="s">
        <v>306</v>
      </c>
      <c r="AC5" s="9" t="s">
        <v>307</v>
      </c>
    </row>
    <row r="6" spans="1:29" x14ac:dyDescent="0.25">
      <c r="B6" s="2"/>
      <c r="C6" s="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4.4" x14ac:dyDescent="0.25">
      <c r="B7" s="6" t="s">
        <v>266</v>
      </c>
      <c r="C7" s="7">
        <v>4058513</v>
      </c>
      <c r="D7" s="153" t="s">
        <v>267</v>
      </c>
      <c r="E7" s="153" t="s">
        <v>267</v>
      </c>
      <c r="F7" s="153" t="s">
        <v>267</v>
      </c>
      <c r="G7" s="153">
        <v>171991</v>
      </c>
      <c r="H7" s="153">
        <v>162938</v>
      </c>
      <c r="I7" s="153">
        <v>158311</v>
      </c>
      <c r="J7" s="153">
        <v>154220</v>
      </c>
      <c r="K7" s="153">
        <v>148665</v>
      </c>
      <c r="L7" s="153">
        <v>144259</v>
      </c>
      <c r="M7" s="153">
        <v>141147</v>
      </c>
      <c r="N7" s="153">
        <v>138795</v>
      </c>
      <c r="O7" s="153">
        <v>134378</v>
      </c>
      <c r="P7" s="153">
        <v>132882</v>
      </c>
      <c r="Q7" s="153">
        <v>130341</v>
      </c>
      <c r="R7" s="153">
        <v>126430</v>
      </c>
      <c r="S7" s="153">
        <v>123874</v>
      </c>
      <c r="T7" s="153">
        <v>121926</v>
      </c>
      <c r="U7" s="153">
        <v>119757</v>
      </c>
      <c r="V7" s="153">
        <v>118322</v>
      </c>
      <c r="W7" s="153">
        <v>116241</v>
      </c>
      <c r="X7" s="153">
        <v>113224</v>
      </c>
      <c r="Y7" s="153">
        <v>110266</v>
      </c>
      <c r="Z7" s="153">
        <v>105703</v>
      </c>
      <c r="AA7" s="153">
        <v>102269</v>
      </c>
      <c r="AB7" s="153">
        <v>99852</v>
      </c>
      <c r="AC7" s="153">
        <v>96814</v>
      </c>
    </row>
    <row r="8" spans="1:29" ht="14.4" x14ac:dyDescent="0.25">
      <c r="B8" s="6" t="s">
        <v>148</v>
      </c>
      <c r="C8" s="7">
        <v>4054707</v>
      </c>
      <c r="D8" s="153">
        <v>6085062</v>
      </c>
      <c r="E8" s="153">
        <v>5764448</v>
      </c>
      <c r="F8" s="153">
        <v>5503634</v>
      </c>
      <c r="G8" s="153">
        <v>5115635</v>
      </c>
      <c r="H8" s="153">
        <v>4807217</v>
      </c>
      <c r="I8" s="153">
        <v>4540737</v>
      </c>
      <c r="J8" s="153">
        <v>4317812</v>
      </c>
      <c r="K8" s="153">
        <v>3919337</v>
      </c>
      <c r="L8" s="153">
        <v>3743270</v>
      </c>
      <c r="M8" s="153">
        <v>3528606</v>
      </c>
      <c r="N8" s="153">
        <v>3295139</v>
      </c>
      <c r="O8" s="153">
        <v>3183220</v>
      </c>
      <c r="P8" s="153">
        <v>2999552</v>
      </c>
      <c r="Q8" s="153">
        <v>2891038</v>
      </c>
      <c r="R8" s="153">
        <v>2810072</v>
      </c>
      <c r="S8" s="153">
        <v>2660148</v>
      </c>
      <c r="T8" s="153">
        <v>2498082</v>
      </c>
      <c r="U8" s="153">
        <v>2383275</v>
      </c>
      <c r="V8" s="153">
        <v>2342998</v>
      </c>
      <c r="W8" s="153">
        <v>2225079</v>
      </c>
      <c r="X8" s="153">
        <v>2151209</v>
      </c>
      <c r="Y8" s="153">
        <v>2075197</v>
      </c>
      <c r="Z8" s="153">
        <v>1945628</v>
      </c>
      <c r="AA8" s="153">
        <v>1885348</v>
      </c>
      <c r="AB8" s="153">
        <v>1796080</v>
      </c>
      <c r="AC8" s="153">
        <v>1761784</v>
      </c>
    </row>
    <row r="9" spans="1:29" ht="14.4" x14ac:dyDescent="0.25">
      <c r="B9" s="6" t="s">
        <v>179</v>
      </c>
      <c r="C9" s="7">
        <v>4057075</v>
      </c>
      <c r="D9" s="153">
        <v>1410776</v>
      </c>
      <c r="E9" s="153">
        <v>1330407</v>
      </c>
      <c r="F9" s="153">
        <v>1238295</v>
      </c>
      <c r="G9" s="153">
        <v>1125744</v>
      </c>
      <c r="H9" s="153">
        <v>1041400</v>
      </c>
      <c r="I9" s="153">
        <v>963386</v>
      </c>
      <c r="J9" s="153">
        <v>890729</v>
      </c>
      <c r="K9" s="153">
        <v>838783</v>
      </c>
      <c r="L9" s="153">
        <v>777970</v>
      </c>
      <c r="M9" s="153">
        <v>754450</v>
      </c>
      <c r="N9" s="153">
        <v>713747</v>
      </c>
      <c r="O9" s="153">
        <v>690243</v>
      </c>
      <c r="P9" s="153">
        <v>657628</v>
      </c>
      <c r="Q9" s="153">
        <v>586429</v>
      </c>
      <c r="R9" s="153">
        <v>540893</v>
      </c>
      <c r="S9" s="153">
        <v>507311</v>
      </c>
      <c r="T9" s="153">
        <v>505139</v>
      </c>
      <c r="U9" s="153">
        <v>484721</v>
      </c>
      <c r="V9" s="153">
        <v>464916</v>
      </c>
      <c r="W9" s="153">
        <v>449131</v>
      </c>
      <c r="X9" s="153">
        <v>433708</v>
      </c>
      <c r="Y9" s="153">
        <v>409109</v>
      </c>
      <c r="Z9" s="153">
        <v>389159</v>
      </c>
      <c r="AA9" s="153">
        <v>339342</v>
      </c>
      <c r="AB9" s="153">
        <v>337290</v>
      </c>
      <c r="AC9" s="153">
        <v>307748</v>
      </c>
    </row>
    <row r="10" spans="1:29" ht="14.4" x14ac:dyDescent="0.25">
      <c r="A10" s="1" t="s">
        <v>268</v>
      </c>
      <c r="B10" s="6" t="s">
        <v>181</v>
      </c>
      <c r="C10" s="7">
        <v>4007784</v>
      </c>
      <c r="D10" s="153">
        <v>3315349</v>
      </c>
      <c r="E10" s="153">
        <v>2999048</v>
      </c>
      <c r="F10" s="153">
        <v>2629899</v>
      </c>
      <c r="G10" s="153">
        <v>2379557</v>
      </c>
      <c r="H10" s="153">
        <v>2180103</v>
      </c>
      <c r="I10" s="153">
        <v>1950770</v>
      </c>
      <c r="J10" s="153">
        <v>1761067</v>
      </c>
      <c r="K10" s="153">
        <v>1659871</v>
      </c>
      <c r="L10" s="153">
        <v>1548272</v>
      </c>
      <c r="M10" s="153">
        <v>1386906</v>
      </c>
      <c r="N10" s="153">
        <v>1322988</v>
      </c>
      <c r="O10" s="153">
        <v>1260575</v>
      </c>
      <c r="P10" s="153">
        <v>1221125</v>
      </c>
      <c r="Q10" s="153">
        <v>1181716</v>
      </c>
      <c r="R10" s="153">
        <v>1148276</v>
      </c>
      <c r="S10" s="153">
        <v>1116646</v>
      </c>
      <c r="T10" s="153">
        <v>1086684</v>
      </c>
      <c r="U10" s="153">
        <v>1064706</v>
      </c>
      <c r="V10" s="153">
        <v>1041004</v>
      </c>
      <c r="W10" s="153">
        <v>1014403</v>
      </c>
      <c r="X10" s="153">
        <v>988386</v>
      </c>
      <c r="Y10" s="153">
        <v>961983</v>
      </c>
      <c r="Z10" s="153">
        <v>921284</v>
      </c>
      <c r="AA10" s="153">
        <v>846881</v>
      </c>
      <c r="AB10" s="153">
        <v>776973</v>
      </c>
      <c r="AC10" s="153">
        <v>692694</v>
      </c>
    </row>
    <row r="11" spans="1:29" ht="14.4" x14ac:dyDescent="0.25">
      <c r="A11" s="1" t="s">
        <v>268</v>
      </c>
      <c r="B11" s="6" t="s">
        <v>269</v>
      </c>
      <c r="C11" s="7">
        <v>4058656</v>
      </c>
      <c r="D11" s="153">
        <v>2428164</v>
      </c>
      <c r="E11" s="153">
        <v>2370252</v>
      </c>
      <c r="F11" s="153">
        <v>2044322</v>
      </c>
      <c r="G11" s="153">
        <v>1931657</v>
      </c>
      <c r="H11" s="153">
        <v>1827175</v>
      </c>
      <c r="I11" s="153">
        <v>1714327</v>
      </c>
      <c r="J11" s="153">
        <v>1658954</v>
      </c>
      <c r="K11" s="153">
        <v>1571897</v>
      </c>
      <c r="L11" s="153">
        <v>1553421</v>
      </c>
      <c r="M11" s="153">
        <v>1473540</v>
      </c>
      <c r="N11" s="153">
        <v>1421514</v>
      </c>
      <c r="O11" s="153">
        <v>1409410</v>
      </c>
      <c r="P11" s="153">
        <v>1366498</v>
      </c>
      <c r="Q11" s="153">
        <v>1320872</v>
      </c>
      <c r="R11" s="153">
        <v>1271491</v>
      </c>
      <c r="S11" s="153">
        <v>1228411</v>
      </c>
      <c r="T11" s="153">
        <v>1204671</v>
      </c>
      <c r="U11" s="153">
        <v>1181472</v>
      </c>
      <c r="V11" s="153">
        <v>1152683</v>
      </c>
      <c r="W11" s="153">
        <v>1125030</v>
      </c>
      <c r="X11" s="153">
        <v>1108201</v>
      </c>
      <c r="Y11" s="153">
        <v>1095128</v>
      </c>
      <c r="Z11" s="153">
        <v>598364</v>
      </c>
      <c r="AA11" s="153">
        <v>566959</v>
      </c>
      <c r="AB11" s="153">
        <v>565303</v>
      </c>
      <c r="AC11" s="153" t="s">
        <v>267</v>
      </c>
    </row>
    <row r="12" spans="1:29" ht="14.4" x14ac:dyDescent="0.25">
      <c r="A12" s="1" t="s">
        <v>268</v>
      </c>
      <c r="B12" s="6" t="s">
        <v>186</v>
      </c>
      <c r="C12" s="7">
        <v>4057110</v>
      </c>
      <c r="D12" s="153">
        <v>345746</v>
      </c>
      <c r="E12" s="153">
        <v>329128</v>
      </c>
      <c r="F12" s="153">
        <v>314779</v>
      </c>
      <c r="G12" s="153">
        <v>292027</v>
      </c>
      <c r="H12" s="153">
        <v>275012</v>
      </c>
      <c r="I12" s="153">
        <v>256842</v>
      </c>
      <c r="J12" s="153">
        <v>248536</v>
      </c>
      <c r="K12" s="153">
        <v>239032</v>
      </c>
      <c r="L12" s="153">
        <v>225627</v>
      </c>
      <c r="M12" s="153">
        <v>219384</v>
      </c>
      <c r="N12" s="153">
        <v>212292</v>
      </c>
      <c r="O12" s="153">
        <v>218341</v>
      </c>
      <c r="P12" s="153">
        <v>215556</v>
      </c>
      <c r="Q12" s="153">
        <v>212342</v>
      </c>
      <c r="R12" s="153">
        <v>208876</v>
      </c>
      <c r="S12" s="153">
        <v>201694</v>
      </c>
      <c r="T12" s="153">
        <v>198123</v>
      </c>
      <c r="U12" s="153">
        <v>196086</v>
      </c>
      <c r="V12" s="153">
        <v>193918</v>
      </c>
      <c r="W12" s="153">
        <v>190849</v>
      </c>
      <c r="X12" s="153">
        <v>189319</v>
      </c>
      <c r="Y12" s="153">
        <v>112762</v>
      </c>
      <c r="Z12" s="153">
        <v>109652</v>
      </c>
      <c r="AA12" s="153">
        <v>104913</v>
      </c>
      <c r="AB12" s="153">
        <v>99054</v>
      </c>
      <c r="AC12" s="153">
        <v>94287</v>
      </c>
    </row>
    <row r="13" spans="1:29" ht="14.4" x14ac:dyDescent="0.25">
      <c r="B13" s="6" t="s">
        <v>188</v>
      </c>
      <c r="C13" s="7">
        <v>4058516</v>
      </c>
      <c r="D13" s="153">
        <v>665683</v>
      </c>
      <c r="E13" s="153">
        <v>593903</v>
      </c>
      <c r="F13" s="153">
        <v>558509</v>
      </c>
      <c r="G13" s="153">
        <v>532620</v>
      </c>
      <c r="H13" s="153">
        <v>474650</v>
      </c>
      <c r="I13" s="153">
        <v>415642</v>
      </c>
      <c r="J13" s="153">
        <v>363263</v>
      </c>
      <c r="K13" s="153">
        <v>319044</v>
      </c>
      <c r="L13" s="153">
        <v>287108</v>
      </c>
      <c r="M13" s="153">
        <v>269752</v>
      </c>
      <c r="N13" s="153">
        <v>257047</v>
      </c>
      <c r="O13" s="153">
        <v>247601</v>
      </c>
      <c r="P13" s="153">
        <v>241294</v>
      </c>
      <c r="Q13" s="153">
        <v>242513</v>
      </c>
      <c r="R13" s="153">
        <v>233057</v>
      </c>
      <c r="S13" s="153">
        <v>223114</v>
      </c>
      <c r="T13" s="153">
        <v>213771</v>
      </c>
      <c r="U13" s="153">
        <v>209920</v>
      </c>
      <c r="V13" s="153">
        <v>202751</v>
      </c>
      <c r="W13" s="153">
        <v>198017</v>
      </c>
      <c r="X13" s="153">
        <v>195816</v>
      </c>
      <c r="Y13" s="153">
        <v>236101</v>
      </c>
      <c r="Z13" s="153">
        <v>230643</v>
      </c>
      <c r="AA13" s="153">
        <v>222630</v>
      </c>
      <c r="AB13" s="153">
        <v>212664</v>
      </c>
      <c r="AC13" s="153">
        <v>182492</v>
      </c>
    </row>
    <row r="14" spans="1:29" ht="14.4" x14ac:dyDescent="0.25">
      <c r="B14" s="6" t="s">
        <v>190</v>
      </c>
      <c r="C14" s="7">
        <v>4058793</v>
      </c>
      <c r="D14" s="153">
        <v>18179</v>
      </c>
      <c r="E14" s="153">
        <v>15979</v>
      </c>
      <c r="F14" s="153">
        <v>14507</v>
      </c>
      <c r="G14" s="153">
        <v>12116</v>
      </c>
      <c r="H14" s="153">
        <v>12416</v>
      </c>
      <c r="I14" s="153">
        <v>11783</v>
      </c>
      <c r="J14" s="153">
        <v>11452</v>
      </c>
      <c r="K14" s="153">
        <v>11239</v>
      </c>
      <c r="L14" s="153">
        <v>10952</v>
      </c>
      <c r="M14" s="153">
        <v>10486</v>
      </c>
      <c r="N14" s="153">
        <v>10165</v>
      </c>
      <c r="O14" s="153">
        <v>9962</v>
      </c>
      <c r="P14" s="153">
        <v>9530</v>
      </c>
      <c r="Q14" s="153">
        <v>9152</v>
      </c>
      <c r="R14" s="153">
        <v>8814</v>
      </c>
      <c r="S14" s="153">
        <v>8596</v>
      </c>
      <c r="T14" s="153">
        <v>8197</v>
      </c>
      <c r="U14" s="153">
        <v>7650</v>
      </c>
      <c r="V14" s="153">
        <v>7188</v>
      </c>
      <c r="W14" s="153">
        <v>6742</v>
      </c>
      <c r="X14" s="153">
        <v>6220</v>
      </c>
      <c r="Y14" s="153">
        <v>5818</v>
      </c>
      <c r="Z14" s="153">
        <v>5383</v>
      </c>
      <c r="AA14" s="153">
        <v>5116</v>
      </c>
      <c r="AB14" s="153">
        <v>4783</v>
      </c>
      <c r="AC14" s="153">
        <v>4435</v>
      </c>
    </row>
    <row r="15" spans="1:29" ht="14.4" x14ac:dyDescent="0.25">
      <c r="A15" s="1" t="s">
        <v>268</v>
      </c>
      <c r="B15" s="6" t="s">
        <v>192</v>
      </c>
      <c r="C15" s="7">
        <v>4057111</v>
      </c>
      <c r="D15" s="153">
        <v>5738300</v>
      </c>
      <c r="E15" s="153">
        <v>5242556</v>
      </c>
      <c r="F15" s="153">
        <v>4866924</v>
      </c>
      <c r="G15" s="153">
        <v>4531059</v>
      </c>
      <c r="H15" s="153">
        <v>4199682</v>
      </c>
      <c r="I15" s="153">
        <v>3903361</v>
      </c>
      <c r="J15" s="153">
        <v>3611562</v>
      </c>
      <c r="K15" s="153">
        <v>3311259</v>
      </c>
      <c r="L15" s="153">
        <v>3130992</v>
      </c>
      <c r="M15" s="153">
        <v>2932639</v>
      </c>
      <c r="N15" s="153">
        <v>2737909</v>
      </c>
      <c r="O15" s="153">
        <v>2346703</v>
      </c>
      <c r="P15" s="153">
        <v>2117234</v>
      </c>
      <c r="Q15" s="153">
        <v>2458000</v>
      </c>
      <c r="R15" s="153">
        <v>2375017</v>
      </c>
      <c r="S15" s="153">
        <v>2268598</v>
      </c>
      <c r="T15" s="153">
        <v>2193358</v>
      </c>
      <c r="U15" s="153">
        <v>2089930</v>
      </c>
      <c r="V15" s="153">
        <v>1992036</v>
      </c>
      <c r="W15" s="153">
        <v>1867958</v>
      </c>
      <c r="X15" s="153">
        <v>1722142</v>
      </c>
      <c r="Y15" s="153">
        <v>942047</v>
      </c>
      <c r="Z15" s="153">
        <v>897643</v>
      </c>
      <c r="AA15" s="153">
        <v>866016</v>
      </c>
      <c r="AB15" s="153">
        <v>811374</v>
      </c>
      <c r="AC15" s="153">
        <v>760895</v>
      </c>
    </row>
    <row r="16" spans="1:29" ht="14.4" x14ac:dyDescent="0.25">
      <c r="A16" s="1" t="s">
        <v>268</v>
      </c>
      <c r="B16" s="6" t="s">
        <v>193</v>
      </c>
      <c r="C16" s="7">
        <v>4018679</v>
      </c>
      <c r="D16" s="153">
        <v>7293675</v>
      </c>
      <c r="E16" s="153">
        <v>6618455</v>
      </c>
      <c r="F16" s="153">
        <v>5693211</v>
      </c>
      <c r="G16" s="153">
        <v>5028774</v>
      </c>
      <c r="H16" s="153">
        <v>4547260</v>
      </c>
      <c r="I16" s="153">
        <v>4279699</v>
      </c>
      <c r="J16" s="153">
        <v>4017268</v>
      </c>
      <c r="K16" s="153">
        <v>3721490</v>
      </c>
      <c r="L16" s="153">
        <v>3628188</v>
      </c>
      <c r="M16" s="153">
        <v>3514853</v>
      </c>
      <c r="N16" s="153">
        <v>3362449</v>
      </c>
      <c r="O16" s="153">
        <v>3192669</v>
      </c>
      <c r="P16" s="153">
        <v>3067900</v>
      </c>
      <c r="Q16" s="153">
        <v>2895700</v>
      </c>
      <c r="R16" s="153">
        <v>2748301</v>
      </c>
      <c r="S16" s="153">
        <v>2635557</v>
      </c>
      <c r="T16" s="153">
        <v>2532573</v>
      </c>
      <c r="U16" s="153">
        <v>2420130</v>
      </c>
      <c r="V16" s="153">
        <v>2296965</v>
      </c>
      <c r="W16" s="153">
        <v>2176458</v>
      </c>
      <c r="X16" s="153">
        <v>2102522</v>
      </c>
      <c r="Y16" s="153">
        <v>2007565</v>
      </c>
      <c r="Z16" s="153">
        <v>1897219</v>
      </c>
      <c r="AA16" s="153">
        <v>1827438</v>
      </c>
      <c r="AB16" s="153">
        <v>1764092</v>
      </c>
      <c r="AC16" s="153">
        <v>1671498</v>
      </c>
    </row>
    <row r="17" spans="1:29" ht="14.4" x14ac:dyDescent="0.25">
      <c r="B17" s="6" t="s">
        <v>195</v>
      </c>
      <c r="C17" s="7">
        <v>4057112</v>
      </c>
      <c r="D17" s="153">
        <v>1261133</v>
      </c>
      <c r="E17" s="153">
        <v>1148216</v>
      </c>
      <c r="F17" s="153">
        <v>1077227</v>
      </c>
      <c r="G17" s="153">
        <v>997637</v>
      </c>
      <c r="H17" s="153">
        <v>922695</v>
      </c>
      <c r="I17" s="153">
        <v>870184</v>
      </c>
      <c r="J17" s="153">
        <v>801092</v>
      </c>
      <c r="K17" s="153">
        <v>767958</v>
      </c>
      <c r="L17" s="153">
        <v>737323</v>
      </c>
      <c r="M17" s="153">
        <v>702855</v>
      </c>
      <c r="N17" s="153">
        <v>684284</v>
      </c>
      <c r="O17" s="153">
        <v>672302</v>
      </c>
      <c r="P17" s="153">
        <v>664684</v>
      </c>
      <c r="Q17" s="153">
        <v>639713</v>
      </c>
      <c r="R17" s="153">
        <v>617591</v>
      </c>
      <c r="S17" s="153">
        <v>601888</v>
      </c>
      <c r="T17" s="153">
        <v>577395</v>
      </c>
      <c r="U17" s="153">
        <v>539153</v>
      </c>
      <c r="V17" s="153">
        <v>511875</v>
      </c>
      <c r="W17" s="153">
        <v>491090</v>
      </c>
      <c r="X17" s="153">
        <v>473206</v>
      </c>
      <c r="Y17" s="153">
        <v>458361</v>
      </c>
      <c r="Z17" s="153">
        <v>441199</v>
      </c>
      <c r="AA17" s="153">
        <v>423141</v>
      </c>
      <c r="AB17" s="153">
        <v>398240</v>
      </c>
      <c r="AC17" s="153">
        <v>362924</v>
      </c>
    </row>
    <row r="18" spans="1:29" ht="14.4" x14ac:dyDescent="0.25">
      <c r="A18" s="1" t="s">
        <v>268</v>
      </c>
      <c r="B18" s="6" t="s">
        <v>196</v>
      </c>
      <c r="C18" s="7">
        <v>4057076</v>
      </c>
      <c r="D18" s="153" t="s">
        <v>267</v>
      </c>
      <c r="E18" s="153">
        <v>615857</v>
      </c>
      <c r="F18" s="153">
        <v>566197</v>
      </c>
      <c r="G18" s="153">
        <v>502226</v>
      </c>
      <c r="H18" s="153">
        <v>457270</v>
      </c>
      <c r="I18" s="153">
        <v>417455</v>
      </c>
      <c r="J18" s="153">
        <v>380966</v>
      </c>
      <c r="K18" s="153">
        <v>356627</v>
      </c>
      <c r="L18" s="153">
        <v>320121</v>
      </c>
      <c r="M18" s="153">
        <v>305664</v>
      </c>
      <c r="N18" s="153">
        <v>292358</v>
      </c>
      <c r="O18" s="153">
        <v>281139</v>
      </c>
      <c r="P18" s="153">
        <v>263824</v>
      </c>
      <c r="Q18" s="153">
        <v>248843</v>
      </c>
      <c r="R18" s="153">
        <v>239267</v>
      </c>
      <c r="S18" s="153">
        <v>226808</v>
      </c>
      <c r="T18" s="153">
        <v>214866</v>
      </c>
      <c r="U18" s="153">
        <v>199221</v>
      </c>
      <c r="V18" s="153">
        <v>189143</v>
      </c>
      <c r="W18" s="153">
        <v>180673</v>
      </c>
      <c r="X18" s="153">
        <v>172242</v>
      </c>
      <c r="Y18" s="153">
        <v>164767</v>
      </c>
      <c r="Z18" s="153">
        <v>158165</v>
      </c>
      <c r="AA18" s="153">
        <v>151222</v>
      </c>
      <c r="AB18" s="153">
        <v>145375</v>
      </c>
      <c r="AC18" s="153">
        <v>140341</v>
      </c>
    </row>
    <row r="19" spans="1:29" ht="14.4" x14ac:dyDescent="0.25">
      <c r="B19" s="6" t="s">
        <v>270</v>
      </c>
      <c r="C19" s="7">
        <v>4059166</v>
      </c>
      <c r="D19" s="153">
        <v>353727</v>
      </c>
      <c r="E19" s="153">
        <v>336876</v>
      </c>
      <c r="F19" s="153">
        <v>283116</v>
      </c>
      <c r="G19" s="153">
        <v>279224</v>
      </c>
      <c r="H19" s="153">
        <v>265838</v>
      </c>
      <c r="I19" s="153">
        <v>250044</v>
      </c>
      <c r="J19" s="153">
        <v>235720</v>
      </c>
      <c r="K19" s="153">
        <v>215884</v>
      </c>
      <c r="L19" s="153">
        <v>209048</v>
      </c>
      <c r="M19" s="153">
        <v>204115</v>
      </c>
      <c r="N19" s="153">
        <v>193513</v>
      </c>
      <c r="O19" s="153">
        <v>191456</v>
      </c>
      <c r="P19" s="153">
        <v>182801</v>
      </c>
      <c r="Q19" s="153">
        <v>177938</v>
      </c>
      <c r="R19" s="153">
        <v>172507</v>
      </c>
      <c r="S19" s="153">
        <v>158748</v>
      </c>
      <c r="T19" s="153">
        <v>157664</v>
      </c>
      <c r="U19" s="153">
        <v>152118</v>
      </c>
      <c r="V19" s="153">
        <v>151295</v>
      </c>
      <c r="W19" s="153">
        <v>146061</v>
      </c>
      <c r="X19" s="153">
        <v>144768</v>
      </c>
      <c r="Y19" s="153" t="s">
        <v>267</v>
      </c>
      <c r="Z19" s="153" t="s">
        <v>267</v>
      </c>
      <c r="AA19" s="153">
        <v>130029</v>
      </c>
      <c r="AB19" s="153">
        <v>124599</v>
      </c>
      <c r="AC19" s="153">
        <v>118546</v>
      </c>
    </row>
    <row r="20" spans="1:29" ht="14.4" x14ac:dyDescent="0.25">
      <c r="B20" s="6" t="s">
        <v>271</v>
      </c>
      <c r="C20" s="7">
        <v>4059227</v>
      </c>
      <c r="D20" s="153">
        <v>34644</v>
      </c>
      <c r="E20" s="153">
        <v>33891</v>
      </c>
      <c r="F20" s="153">
        <v>33589</v>
      </c>
      <c r="G20" s="153">
        <v>32395</v>
      </c>
      <c r="H20" s="153">
        <v>31942</v>
      </c>
      <c r="I20" s="153">
        <v>31086</v>
      </c>
      <c r="J20" s="153">
        <v>30540</v>
      </c>
      <c r="K20" s="153">
        <v>30337</v>
      </c>
      <c r="L20" s="153">
        <v>29597</v>
      </c>
      <c r="M20" s="153">
        <v>29386</v>
      </c>
      <c r="N20" s="153">
        <v>28994</v>
      </c>
      <c r="O20" s="153">
        <v>28611</v>
      </c>
      <c r="P20" s="153">
        <v>28530</v>
      </c>
      <c r="Q20" s="153">
        <v>27736</v>
      </c>
      <c r="R20" s="153">
        <v>27854</v>
      </c>
      <c r="S20" s="153">
        <v>27467</v>
      </c>
      <c r="T20" s="153" t="s">
        <v>267</v>
      </c>
      <c r="U20" s="153">
        <v>26602</v>
      </c>
      <c r="V20" s="153">
        <v>26384</v>
      </c>
      <c r="W20" s="153" t="s">
        <v>267</v>
      </c>
      <c r="X20" s="153">
        <v>25094</v>
      </c>
      <c r="Y20" s="153" t="s">
        <v>267</v>
      </c>
      <c r="Z20" s="153" t="s">
        <v>267</v>
      </c>
      <c r="AA20" s="153" t="s">
        <v>267</v>
      </c>
      <c r="AB20" s="153">
        <v>18918</v>
      </c>
      <c r="AC20" s="153">
        <v>18353</v>
      </c>
    </row>
    <row r="21" spans="1:29" ht="14.4" x14ac:dyDescent="0.25">
      <c r="A21" s="1" t="s">
        <v>268</v>
      </c>
      <c r="B21" s="6" t="s">
        <v>197</v>
      </c>
      <c r="C21" s="7">
        <v>4057114</v>
      </c>
      <c r="D21" s="153">
        <v>1304807</v>
      </c>
      <c r="E21" s="153">
        <v>1096209</v>
      </c>
      <c r="F21" s="153">
        <v>1041756</v>
      </c>
      <c r="G21" s="153">
        <v>997910</v>
      </c>
      <c r="H21" s="153">
        <v>944259</v>
      </c>
      <c r="I21" s="153">
        <v>865747</v>
      </c>
      <c r="J21" s="153">
        <v>825674</v>
      </c>
      <c r="K21" s="153">
        <v>774416</v>
      </c>
      <c r="L21" s="153">
        <v>723917</v>
      </c>
      <c r="M21" s="153">
        <v>695611</v>
      </c>
      <c r="N21" s="153">
        <v>802983</v>
      </c>
      <c r="O21" s="153">
        <v>784238</v>
      </c>
      <c r="P21" s="153">
        <v>763402</v>
      </c>
      <c r="Q21" s="153">
        <v>911707</v>
      </c>
      <c r="R21" s="153">
        <v>901718</v>
      </c>
      <c r="S21" s="153">
        <v>880830</v>
      </c>
      <c r="T21" s="153">
        <v>866327</v>
      </c>
      <c r="U21" s="153">
        <v>846061</v>
      </c>
      <c r="V21" s="153">
        <v>829426</v>
      </c>
      <c r="W21" s="153">
        <v>804215</v>
      </c>
      <c r="X21" s="153">
        <v>765090</v>
      </c>
      <c r="Y21" s="153">
        <v>628674</v>
      </c>
      <c r="Z21" s="153">
        <v>387086</v>
      </c>
      <c r="AA21" s="153">
        <v>346991</v>
      </c>
      <c r="AB21" s="153">
        <v>323673</v>
      </c>
      <c r="AC21" s="153">
        <v>300928</v>
      </c>
    </row>
    <row r="22" spans="1:29" ht="14.4" x14ac:dyDescent="0.25">
      <c r="B22" s="6" t="s">
        <v>198</v>
      </c>
      <c r="C22" s="7">
        <v>4059355</v>
      </c>
      <c r="D22" s="153">
        <v>593326</v>
      </c>
      <c r="E22" s="153">
        <v>539995</v>
      </c>
      <c r="F22" s="153">
        <v>490189</v>
      </c>
      <c r="G22" s="153">
        <v>457110</v>
      </c>
      <c r="H22" s="153">
        <v>425614</v>
      </c>
      <c r="I22" s="153">
        <v>394623</v>
      </c>
      <c r="J22" s="153">
        <v>364022</v>
      </c>
      <c r="K22" s="153">
        <v>336056</v>
      </c>
      <c r="L22" s="153">
        <v>318324</v>
      </c>
      <c r="M22" s="153">
        <v>302595</v>
      </c>
      <c r="N22" s="153">
        <v>289464</v>
      </c>
      <c r="O22" s="153">
        <v>281339</v>
      </c>
      <c r="P22" s="153">
        <v>271693</v>
      </c>
      <c r="Q22" s="153">
        <v>260642</v>
      </c>
      <c r="R22" s="153">
        <v>253767</v>
      </c>
      <c r="S22" s="153">
        <v>244767</v>
      </c>
      <c r="T22" s="153">
        <v>239631</v>
      </c>
      <c r="U22" s="153">
        <v>236269</v>
      </c>
      <c r="V22" s="153">
        <v>230909</v>
      </c>
      <c r="W22" s="153">
        <v>220059</v>
      </c>
      <c r="X22" s="153">
        <v>212474</v>
      </c>
      <c r="Y22" s="153">
        <v>205378</v>
      </c>
      <c r="Z22" s="153">
        <v>196597</v>
      </c>
      <c r="AA22" s="153">
        <v>188011</v>
      </c>
      <c r="AB22" s="153">
        <v>184536</v>
      </c>
      <c r="AC22" s="153">
        <v>170796</v>
      </c>
    </row>
    <row r="23" spans="1:29" ht="14.4" x14ac:dyDescent="0.25">
      <c r="B23" s="6" t="s">
        <v>200</v>
      </c>
      <c r="C23" s="7">
        <v>4088325</v>
      </c>
      <c r="D23" s="153">
        <v>250525</v>
      </c>
      <c r="E23" s="153">
        <v>232037</v>
      </c>
      <c r="F23" s="153">
        <v>206165</v>
      </c>
      <c r="G23" s="153">
        <v>186769</v>
      </c>
      <c r="H23" s="153">
        <v>170546</v>
      </c>
      <c r="I23" s="153">
        <v>164449</v>
      </c>
      <c r="J23" s="153">
        <v>149878</v>
      </c>
      <c r="K23" s="153">
        <v>137355</v>
      </c>
      <c r="L23" s="153">
        <v>129543</v>
      </c>
      <c r="M23" s="153">
        <v>121073</v>
      </c>
      <c r="N23" s="153">
        <v>113779</v>
      </c>
      <c r="O23" s="153">
        <v>108425</v>
      </c>
      <c r="P23" s="153">
        <v>99859</v>
      </c>
      <c r="Q23" s="153">
        <v>95736</v>
      </c>
      <c r="R23" s="153">
        <v>92317</v>
      </c>
      <c r="S23" s="153">
        <v>89043</v>
      </c>
      <c r="T23" s="153">
        <v>85629</v>
      </c>
      <c r="U23" s="153">
        <v>83223</v>
      </c>
      <c r="V23" s="153">
        <v>83232</v>
      </c>
      <c r="W23" s="153">
        <v>81539</v>
      </c>
      <c r="X23" s="153">
        <v>78427</v>
      </c>
      <c r="Y23" s="153">
        <v>75531</v>
      </c>
      <c r="Z23" s="153">
        <v>72716</v>
      </c>
      <c r="AA23" s="153">
        <v>68239</v>
      </c>
      <c r="AB23" s="153">
        <v>64237</v>
      </c>
      <c r="AC23" s="153">
        <v>61368</v>
      </c>
    </row>
    <row r="24" spans="1:29" ht="14.4" x14ac:dyDescent="0.25">
      <c r="B24" s="6" t="s">
        <v>272</v>
      </c>
      <c r="C24" s="7">
        <v>4088326</v>
      </c>
      <c r="D24" s="153">
        <v>4961933</v>
      </c>
      <c r="E24" s="153">
        <v>4597491</v>
      </c>
      <c r="F24" s="153">
        <v>4264101</v>
      </c>
      <c r="G24" s="153">
        <v>3972580</v>
      </c>
      <c r="H24" s="153">
        <v>3654955</v>
      </c>
      <c r="I24" s="153">
        <v>3314931</v>
      </c>
      <c r="J24" s="153">
        <v>3059356</v>
      </c>
      <c r="K24" s="153">
        <v>2790699</v>
      </c>
      <c r="L24" s="153">
        <v>2581053</v>
      </c>
      <c r="M24" s="153">
        <v>2380719</v>
      </c>
      <c r="N24" s="153">
        <v>2224306</v>
      </c>
      <c r="O24" s="153">
        <v>2070181</v>
      </c>
      <c r="P24" s="153">
        <v>1932021</v>
      </c>
      <c r="Q24" s="153">
        <v>1779893</v>
      </c>
      <c r="R24" s="153">
        <v>1716044</v>
      </c>
      <c r="S24" s="153">
        <v>1636269</v>
      </c>
      <c r="T24" s="153">
        <v>1588774</v>
      </c>
      <c r="U24" s="153">
        <v>1546328</v>
      </c>
      <c r="V24" s="153">
        <v>1519442</v>
      </c>
      <c r="W24" s="153">
        <v>1463234</v>
      </c>
      <c r="X24" s="153" t="s">
        <v>267</v>
      </c>
      <c r="Y24" s="153">
        <v>1400171</v>
      </c>
      <c r="Z24" s="153">
        <v>1358341</v>
      </c>
      <c r="AA24" s="153">
        <v>1297148</v>
      </c>
      <c r="AB24" s="153">
        <v>1231455</v>
      </c>
      <c r="AC24" s="153">
        <v>1158889</v>
      </c>
    </row>
    <row r="25" spans="1:29" ht="14.4" x14ac:dyDescent="0.25">
      <c r="A25" s="1" t="s">
        <v>268</v>
      </c>
      <c r="B25" s="6" t="s">
        <v>273</v>
      </c>
      <c r="C25" s="7">
        <v>4059358</v>
      </c>
      <c r="D25" s="153">
        <v>2851060</v>
      </c>
      <c r="E25" s="153">
        <v>2568659</v>
      </c>
      <c r="F25" s="153">
        <v>2330626</v>
      </c>
      <c r="G25" s="153">
        <v>2074070</v>
      </c>
      <c r="H25" s="153">
        <v>1860077</v>
      </c>
      <c r="I25" s="153">
        <v>1660068</v>
      </c>
      <c r="J25" s="153">
        <v>1500491</v>
      </c>
      <c r="K25" s="153">
        <v>1335700</v>
      </c>
      <c r="L25" s="153">
        <v>1198205</v>
      </c>
      <c r="M25" s="153">
        <v>1073635</v>
      </c>
      <c r="N25" s="153">
        <v>981869</v>
      </c>
      <c r="O25" s="153">
        <v>925064</v>
      </c>
      <c r="P25" s="153">
        <v>851128</v>
      </c>
      <c r="Q25" s="153">
        <v>788614</v>
      </c>
      <c r="R25" s="153">
        <v>748601</v>
      </c>
      <c r="S25" s="153">
        <v>710426</v>
      </c>
      <c r="T25" s="153">
        <v>673652</v>
      </c>
      <c r="U25" s="153">
        <v>658081</v>
      </c>
      <c r="V25" s="153">
        <v>641669</v>
      </c>
      <c r="W25" s="153">
        <v>622289</v>
      </c>
      <c r="X25" s="153">
        <v>600130</v>
      </c>
      <c r="Y25" s="153">
        <v>575540</v>
      </c>
      <c r="Z25" s="153">
        <v>557217</v>
      </c>
      <c r="AA25" s="153">
        <v>531308</v>
      </c>
      <c r="AB25" s="153">
        <v>505065</v>
      </c>
      <c r="AC25" s="153">
        <v>482440</v>
      </c>
    </row>
    <row r="26" spans="1:29" ht="14.4" x14ac:dyDescent="0.25">
      <c r="B26" s="6" t="s">
        <v>274</v>
      </c>
      <c r="C26" s="7">
        <v>4059359</v>
      </c>
      <c r="D26" s="153">
        <v>1496730</v>
      </c>
      <c r="E26" s="153">
        <v>1399884</v>
      </c>
      <c r="F26" s="153">
        <v>1284626</v>
      </c>
      <c r="G26" s="153">
        <v>1207433</v>
      </c>
      <c r="H26" s="153">
        <v>1115058</v>
      </c>
      <c r="I26" s="153">
        <v>1023079</v>
      </c>
      <c r="J26" s="153">
        <v>950619</v>
      </c>
      <c r="K26" s="153">
        <v>859458</v>
      </c>
      <c r="L26" s="153">
        <v>784230</v>
      </c>
      <c r="M26" s="153">
        <v>737753</v>
      </c>
      <c r="N26" s="153">
        <v>710058</v>
      </c>
      <c r="O26" s="153">
        <v>647125</v>
      </c>
      <c r="P26" s="153">
        <v>627220</v>
      </c>
      <c r="Q26" s="153">
        <v>597438</v>
      </c>
      <c r="R26" s="153">
        <v>574408</v>
      </c>
      <c r="S26" s="153">
        <v>551826</v>
      </c>
      <c r="T26" s="153">
        <v>528357</v>
      </c>
      <c r="U26" s="153">
        <v>513677</v>
      </c>
      <c r="V26" s="153">
        <v>480755</v>
      </c>
      <c r="W26" s="153">
        <v>463365</v>
      </c>
      <c r="X26" s="153">
        <v>434612</v>
      </c>
      <c r="Y26" s="153" t="s">
        <v>267</v>
      </c>
      <c r="Z26" s="153">
        <v>379107</v>
      </c>
      <c r="AA26" s="153">
        <v>339603</v>
      </c>
      <c r="AB26" s="153" t="s">
        <v>267</v>
      </c>
      <c r="AC26" s="153" t="s">
        <v>267</v>
      </c>
    </row>
    <row r="27" spans="1:29" ht="14.4" x14ac:dyDescent="0.25">
      <c r="A27" s="1" t="s">
        <v>268</v>
      </c>
      <c r="B27" s="6" t="s">
        <v>202</v>
      </c>
      <c r="C27" s="7">
        <v>4059402</v>
      </c>
      <c r="D27" s="153">
        <v>1083498</v>
      </c>
      <c r="E27" s="153">
        <v>1055</v>
      </c>
      <c r="F27" s="153">
        <v>1005452</v>
      </c>
      <c r="G27" s="153">
        <v>892596</v>
      </c>
      <c r="H27" s="153">
        <v>857533</v>
      </c>
      <c r="I27" s="153">
        <v>794780</v>
      </c>
      <c r="J27" s="153">
        <v>736860</v>
      </c>
      <c r="K27" s="153">
        <v>695010</v>
      </c>
      <c r="L27" s="153">
        <v>665870</v>
      </c>
      <c r="M27" s="153">
        <v>655245</v>
      </c>
      <c r="N27" s="153">
        <v>634481</v>
      </c>
      <c r="O27" s="153">
        <v>629365</v>
      </c>
      <c r="P27" s="153">
        <v>619460</v>
      </c>
      <c r="Q27" s="153">
        <v>603588</v>
      </c>
      <c r="R27" s="153">
        <v>589076</v>
      </c>
      <c r="S27" s="153">
        <v>569827</v>
      </c>
      <c r="T27" s="153">
        <v>548913</v>
      </c>
      <c r="U27" s="153">
        <v>533518</v>
      </c>
      <c r="V27" s="153">
        <v>521327</v>
      </c>
      <c r="W27" s="153">
        <v>507135</v>
      </c>
      <c r="X27" s="153">
        <v>460164</v>
      </c>
      <c r="Y27" s="153">
        <v>448533</v>
      </c>
      <c r="Z27" s="153">
        <v>429589</v>
      </c>
      <c r="AA27" s="153">
        <v>405693</v>
      </c>
      <c r="AB27" s="153">
        <v>386468</v>
      </c>
      <c r="AC27" s="153">
        <v>370512</v>
      </c>
    </row>
    <row r="28" spans="1:29" ht="14.4" x14ac:dyDescent="0.25">
      <c r="A28" s="1" t="s">
        <v>268</v>
      </c>
      <c r="B28" s="6" t="s">
        <v>204</v>
      </c>
      <c r="C28" s="7">
        <v>4057080</v>
      </c>
      <c r="D28" s="153">
        <v>9629033</v>
      </c>
      <c r="E28" s="153">
        <v>9021787</v>
      </c>
      <c r="F28" s="153">
        <v>8125976</v>
      </c>
      <c r="G28" s="153">
        <v>7333184</v>
      </c>
      <c r="H28" s="153">
        <v>6704877</v>
      </c>
      <c r="I28" s="153">
        <v>6089528</v>
      </c>
      <c r="J28" s="153">
        <v>5397695</v>
      </c>
      <c r="K28" s="153">
        <v>4857843</v>
      </c>
      <c r="L28" s="153">
        <v>4501201</v>
      </c>
      <c r="M28" s="153">
        <v>4165129</v>
      </c>
      <c r="N28" s="153">
        <v>3836487</v>
      </c>
      <c r="O28" s="153">
        <v>3530660</v>
      </c>
      <c r="P28" s="153">
        <v>3265800</v>
      </c>
      <c r="Q28" s="153">
        <v>2992462</v>
      </c>
      <c r="R28" s="153">
        <v>2843732</v>
      </c>
      <c r="S28" s="153">
        <v>2678427</v>
      </c>
      <c r="T28" s="153">
        <v>2529939</v>
      </c>
      <c r="U28" s="153">
        <v>2379911</v>
      </c>
      <c r="V28" s="153">
        <v>2228655</v>
      </c>
      <c r="W28" s="153">
        <v>2112426</v>
      </c>
      <c r="X28" s="153">
        <v>2019156</v>
      </c>
      <c r="Y28" s="153">
        <v>1932851</v>
      </c>
      <c r="Z28" s="153">
        <v>1837311</v>
      </c>
      <c r="AA28" s="153">
        <v>1740323</v>
      </c>
      <c r="AB28" s="153">
        <v>1640992</v>
      </c>
      <c r="AC28" s="153">
        <v>1536057</v>
      </c>
    </row>
    <row r="29" spans="1:29" ht="14.4" x14ac:dyDescent="0.25">
      <c r="B29" s="6" t="s">
        <v>205</v>
      </c>
      <c r="C29" s="7">
        <v>4057081</v>
      </c>
      <c r="D29" s="153">
        <v>9061053</v>
      </c>
      <c r="E29" s="153">
        <v>8269281</v>
      </c>
      <c r="F29" s="153">
        <v>7382516</v>
      </c>
      <c r="G29" s="153">
        <v>6585296</v>
      </c>
      <c r="H29" s="153">
        <v>5806197</v>
      </c>
      <c r="I29" s="153">
        <v>5293350</v>
      </c>
      <c r="J29" s="153">
        <v>4959496</v>
      </c>
      <c r="K29" s="153">
        <v>4501828</v>
      </c>
      <c r="L29" s="153">
        <v>4077224</v>
      </c>
      <c r="M29" s="153">
        <v>3901151</v>
      </c>
      <c r="N29" s="153">
        <v>3777935</v>
      </c>
      <c r="O29" s="153">
        <v>3532530</v>
      </c>
      <c r="P29" s="153">
        <v>3309848</v>
      </c>
      <c r="Q29" s="153">
        <v>3232020</v>
      </c>
      <c r="R29" s="153">
        <v>3046429</v>
      </c>
      <c r="S29" s="153">
        <v>2924238</v>
      </c>
      <c r="T29" s="153">
        <v>2782577</v>
      </c>
      <c r="U29" s="153">
        <v>2656748</v>
      </c>
      <c r="V29" s="153">
        <v>2522390</v>
      </c>
      <c r="W29" s="153">
        <v>2286327</v>
      </c>
      <c r="X29" s="153">
        <v>2205332</v>
      </c>
      <c r="Y29" s="153">
        <v>2171042</v>
      </c>
      <c r="Z29" s="153">
        <v>2078555</v>
      </c>
      <c r="AA29" s="153">
        <v>1995310</v>
      </c>
      <c r="AB29" s="153">
        <v>1881293</v>
      </c>
      <c r="AC29" s="153">
        <v>1792382</v>
      </c>
    </row>
    <row r="30" spans="1:29" ht="14.4" x14ac:dyDescent="0.25">
      <c r="A30" s="1" t="s">
        <v>268</v>
      </c>
      <c r="B30" s="6" t="s">
        <v>207</v>
      </c>
      <c r="C30" s="7">
        <v>4059459</v>
      </c>
      <c r="D30" s="153">
        <v>97382</v>
      </c>
      <c r="E30" s="153">
        <v>93121</v>
      </c>
      <c r="F30" s="153">
        <v>89685</v>
      </c>
      <c r="G30" s="153">
        <v>83296</v>
      </c>
      <c r="H30" s="153">
        <v>78781</v>
      </c>
      <c r="I30" s="153">
        <v>72282</v>
      </c>
      <c r="J30" s="153">
        <v>69966</v>
      </c>
      <c r="K30" s="153">
        <v>62551</v>
      </c>
      <c r="L30" s="153">
        <v>55640</v>
      </c>
      <c r="M30" s="153">
        <v>49349</v>
      </c>
      <c r="N30" s="153">
        <v>44783</v>
      </c>
      <c r="O30" s="153">
        <v>39725</v>
      </c>
      <c r="P30" s="153">
        <v>35550</v>
      </c>
      <c r="Q30" s="153">
        <v>30343</v>
      </c>
      <c r="R30" s="153">
        <v>28701</v>
      </c>
      <c r="S30" s="153">
        <v>26849</v>
      </c>
      <c r="T30" s="153">
        <v>25805</v>
      </c>
      <c r="U30" s="153">
        <v>24968</v>
      </c>
      <c r="V30" s="153">
        <v>23990</v>
      </c>
      <c r="W30" s="153">
        <v>23043</v>
      </c>
      <c r="X30" s="153">
        <v>22269</v>
      </c>
      <c r="Y30" s="153">
        <v>21603</v>
      </c>
      <c r="Z30" s="153">
        <v>21349</v>
      </c>
      <c r="AA30" s="153">
        <v>20350</v>
      </c>
      <c r="AB30" s="153">
        <v>19605</v>
      </c>
      <c r="AC30" s="153">
        <v>19297</v>
      </c>
    </row>
    <row r="31" spans="1:29" ht="14.4" x14ac:dyDescent="0.25">
      <c r="B31" s="6" t="s">
        <v>208</v>
      </c>
      <c r="C31" s="7">
        <v>4057118</v>
      </c>
      <c r="D31" s="153">
        <v>265024</v>
      </c>
      <c r="E31" s="153">
        <v>259190</v>
      </c>
      <c r="F31" s="153">
        <v>247752</v>
      </c>
      <c r="G31" s="153">
        <v>244639</v>
      </c>
      <c r="H31" s="153">
        <v>237047</v>
      </c>
      <c r="I31" s="153">
        <v>232371</v>
      </c>
      <c r="J31" s="153">
        <v>227623</v>
      </c>
      <c r="K31" s="153">
        <v>219428</v>
      </c>
      <c r="L31" s="153">
        <v>212944</v>
      </c>
      <c r="M31" s="153">
        <v>207015</v>
      </c>
      <c r="N31" s="153">
        <v>197919</v>
      </c>
      <c r="O31" s="153">
        <v>195036</v>
      </c>
      <c r="P31" s="153">
        <v>189046</v>
      </c>
      <c r="Q31" s="153">
        <v>182035</v>
      </c>
      <c r="R31" s="153">
        <v>176713</v>
      </c>
      <c r="S31" s="153">
        <v>169029</v>
      </c>
      <c r="T31" s="153">
        <v>165124</v>
      </c>
      <c r="U31" s="153">
        <v>160635</v>
      </c>
      <c r="V31" s="153">
        <v>149885</v>
      </c>
      <c r="W31" s="153">
        <v>142248</v>
      </c>
      <c r="X31" s="153">
        <v>137882</v>
      </c>
      <c r="Y31" s="153">
        <v>131511</v>
      </c>
      <c r="Z31" s="153">
        <v>119759</v>
      </c>
      <c r="AA31" s="153">
        <v>106252</v>
      </c>
      <c r="AB31" s="153">
        <v>100214</v>
      </c>
      <c r="AC31" s="153">
        <v>90032</v>
      </c>
    </row>
    <row r="32" spans="1:29" ht="14.4" x14ac:dyDescent="0.25">
      <c r="B32" s="6" t="s">
        <v>210</v>
      </c>
      <c r="C32" s="7">
        <v>4057126</v>
      </c>
      <c r="D32" s="153">
        <v>6161941</v>
      </c>
      <c r="E32" s="153">
        <v>5750236</v>
      </c>
      <c r="F32" s="153">
        <v>5407853</v>
      </c>
      <c r="G32" s="153">
        <v>4846317</v>
      </c>
      <c r="H32" s="153">
        <v>4585989</v>
      </c>
      <c r="I32" s="153">
        <v>4297361</v>
      </c>
      <c r="J32" s="153">
        <v>4138929</v>
      </c>
      <c r="K32" s="153">
        <v>3973988</v>
      </c>
      <c r="L32" s="153">
        <v>3805080</v>
      </c>
      <c r="M32" s="153">
        <v>3708149</v>
      </c>
      <c r="N32" s="153">
        <v>3553894</v>
      </c>
      <c r="O32" s="153">
        <v>3508588</v>
      </c>
      <c r="P32" s="153">
        <v>3393376</v>
      </c>
      <c r="Q32" s="153">
        <v>3067694</v>
      </c>
      <c r="R32" s="153">
        <v>3042637</v>
      </c>
      <c r="S32" s="153">
        <v>2937928</v>
      </c>
      <c r="T32" s="153">
        <v>2999846</v>
      </c>
      <c r="U32" s="153">
        <v>2931606</v>
      </c>
      <c r="V32" s="153">
        <v>2943817</v>
      </c>
      <c r="W32" s="153">
        <v>2871586</v>
      </c>
      <c r="X32" s="153">
        <v>2790709</v>
      </c>
      <c r="Y32" s="153">
        <v>2783003</v>
      </c>
      <c r="Z32" s="153">
        <v>2643127</v>
      </c>
      <c r="AA32" s="153">
        <v>2532243</v>
      </c>
      <c r="AB32" s="153">
        <v>2357794</v>
      </c>
      <c r="AC32" s="153">
        <v>2241818</v>
      </c>
    </row>
    <row r="33" spans="1:29" ht="14.4" x14ac:dyDescent="0.25">
      <c r="B33" s="6" t="s">
        <v>275</v>
      </c>
      <c r="C33" s="7">
        <v>4057103</v>
      </c>
      <c r="D33" s="153" t="s">
        <v>267</v>
      </c>
      <c r="E33" s="153">
        <v>647904</v>
      </c>
      <c r="F33" s="153">
        <v>580454</v>
      </c>
      <c r="G33" s="153">
        <v>503229</v>
      </c>
      <c r="H33" s="153" t="s">
        <v>267</v>
      </c>
      <c r="I33" s="153">
        <v>445878</v>
      </c>
      <c r="J33" s="153">
        <v>435893</v>
      </c>
      <c r="K33" s="153">
        <v>428524</v>
      </c>
      <c r="L33" s="153">
        <v>420262</v>
      </c>
      <c r="M33" s="153">
        <v>405992</v>
      </c>
      <c r="N33" s="153">
        <v>395430</v>
      </c>
      <c r="O33" s="153">
        <v>378134</v>
      </c>
      <c r="P33" s="153">
        <v>345064</v>
      </c>
      <c r="Q33" s="153">
        <v>319464</v>
      </c>
      <c r="R33" s="153">
        <v>297891</v>
      </c>
      <c r="S33" s="153">
        <v>276908</v>
      </c>
      <c r="T33" s="153">
        <v>256667</v>
      </c>
      <c r="U33" s="153">
        <v>239670</v>
      </c>
      <c r="V33" s="153">
        <v>215505</v>
      </c>
      <c r="W33" s="153">
        <v>197301</v>
      </c>
      <c r="X33" s="153">
        <v>184878</v>
      </c>
      <c r="Y33" s="153">
        <v>173011</v>
      </c>
      <c r="Z33" s="153">
        <v>164040</v>
      </c>
      <c r="AA33" s="153">
        <v>155167</v>
      </c>
      <c r="AB33" s="153">
        <v>148202</v>
      </c>
      <c r="AC33" s="153">
        <v>140604</v>
      </c>
    </row>
    <row r="34" spans="1:29" ht="14.4" x14ac:dyDescent="0.25">
      <c r="B34" s="6" t="s">
        <v>211</v>
      </c>
      <c r="C34" s="7">
        <v>4057079</v>
      </c>
      <c r="D34" s="153">
        <v>2515227</v>
      </c>
      <c r="E34" s="153">
        <v>2348175</v>
      </c>
      <c r="F34" s="153">
        <v>2196595</v>
      </c>
      <c r="G34" s="153">
        <v>2099425</v>
      </c>
      <c r="H34" s="153">
        <v>2021508</v>
      </c>
      <c r="I34" s="153">
        <v>1935849</v>
      </c>
      <c r="J34" s="153">
        <v>1853582</v>
      </c>
      <c r="K34" s="153">
        <v>1764135</v>
      </c>
      <c r="L34" s="153">
        <v>1663366</v>
      </c>
      <c r="M34" s="153">
        <v>1551922</v>
      </c>
      <c r="N34" s="153">
        <v>1442435</v>
      </c>
      <c r="O34" s="153">
        <v>1330533</v>
      </c>
      <c r="P34" s="153">
        <v>1233710</v>
      </c>
      <c r="Q34" s="153">
        <v>1127375</v>
      </c>
      <c r="R34" s="153">
        <v>1051209</v>
      </c>
      <c r="S34" s="153">
        <v>978225</v>
      </c>
      <c r="T34" s="153">
        <v>908712</v>
      </c>
      <c r="U34" s="153">
        <v>829314</v>
      </c>
      <c r="V34" s="153">
        <v>753616</v>
      </c>
      <c r="W34" s="153">
        <v>696345</v>
      </c>
      <c r="X34" s="153">
        <v>648891</v>
      </c>
      <c r="Y34" s="153">
        <v>620886</v>
      </c>
      <c r="Z34" s="153">
        <v>592396</v>
      </c>
      <c r="AA34" s="153">
        <v>568730</v>
      </c>
      <c r="AB34" s="153">
        <v>543000</v>
      </c>
      <c r="AC34" s="153">
        <v>525649</v>
      </c>
    </row>
    <row r="35" spans="1:29" ht="14.4" x14ac:dyDescent="0.25">
      <c r="B35" s="6" t="s">
        <v>276</v>
      </c>
      <c r="C35" s="7">
        <v>4081251</v>
      </c>
      <c r="D35" s="153" t="s">
        <v>267</v>
      </c>
      <c r="E35" s="153">
        <v>2297</v>
      </c>
      <c r="F35" s="153">
        <v>2222</v>
      </c>
      <c r="G35" s="153">
        <v>2123</v>
      </c>
      <c r="H35" s="153">
        <v>2063</v>
      </c>
      <c r="I35" s="153">
        <v>2032</v>
      </c>
      <c r="J35" s="153">
        <v>1917</v>
      </c>
      <c r="K35" s="153">
        <v>1715</v>
      </c>
      <c r="L35" s="153">
        <v>1690</v>
      </c>
      <c r="M35" s="153">
        <v>1634</v>
      </c>
      <c r="N35" s="153">
        <v>1579</v>
      </c>
      <c r="O35" s="153">
        <v>1557</v>
      </c>
      <c r="P35" s="153">
        <v>1530</v>
      </c>
      <c r="Q35" s="153">
        <v>1490</v>
      </c>
      <c r="R35" s="153">
        <v>1420</v>
      </c>
      <c r="S35" s="153">
        <v>1380</v>
      </c>
      <c r="T35" s="153">
        <v>1219</v>
      </c>
      <c r="U35" s="153">
        <v>1163</v>
      </c>
      <c r="V35" s="153">
        <v>1126</v>
      </c>
      <c r="W35" s="153">
        <v>1064</v>
      </c>
      <c r="X35" s="153">
        <v>1059</v>
      </c>
      <c r="Y35" s="153" t="s">
        <v>267</v>
      </c>
      <c r="Z35" s="153" t="s">
        <v>267</v>
      </c>
      <c r="AA35" s="153" t="s">
        <v>267</v>
      </c>
      <c r="AB35" s="153" t="s">
        <v>267</v>
      </c>
      <c r="AC35" s="153" t="s">
        <v>267</v>
      </c>
    </row>
    <row r="36" spans="1:29" ht="14.4" x14ac:dyDescent="0.25">
      <c r="B36" s="6" t="s">
        <v>277</v>
      </c>
      <c r="C36" s="7">
        <v>4060572</v>
      </c>
      <c r="D36" s="153">
        <v>517390</v>
      </c>
      <c r="E36" s="153">
        <v>467542</v>
      </c>
      <c r="F36" s="153">
        <v>432033</v>
      </c>
      <c r="G36" s="153">
        <v>401397</v>
      </c>
      <c r="H36" s="153">
        <v>365377</v>
      </c>
      <c r="I36" s="153">
        <v>329151</v>
      </c>
      <c r="J36" s="153">
        <v>313539</v>
      </c>
      <c r="K36" s="153">
        <v>293033</v>
      </c>
      <c r="L36" s="153">
        <v>284322</v>
      </c>
      <c r="M36" s="153">
        <v>274495</v>
      </c>
      <c r="N36" s="153">
        <v>263712</v>
      </c>
      <c r="O36" s="153">
        <v>256804</v>
      </c>
      <c r="P36" s="153">
        <v>248458</v>
      </c>
      <c r="Q36" s="153">
        <v>240641</v>
      </c>
      <c r="R36" s="153">
        <v>240101</v>
      </c>
      <c r="S36" s="153">
        <v>234276</v>
      </c>
      <c r="T36" s="153">
        <v>228342</v>
      </c>
      <c r="U36" s="153">
        <v>223917</v>
      </c>
      <c r="V36" s="153">
        <v>213462</v>
      </c>
      <c r="W36" s="153">
        <v>204902</v>
      </c>
      <c r="X36" s="153">
        <v>197244</v>
      </c>
      <c r="Y36" s="153" t="s">
        <v>267</v>
      </c>
      <c r="Z36" s="153" t="s">
        <v>267</v>
      </c>
      <c r="AA36" s="153">
        <v>179019</v>
      </c>
      <c r="AB36" s="153">
        <v>165908</v>
      </c>
      <c r="AC36" s="153">
        <v>171932</v>
      </c>
    </row>
    <row r="37" spans="1:29" ht="14.4" x14ac:dyDescent="0.25">
      <c r="B37" s="6" t="s">
        <v>278</v>
      </c>
      <c r="C37" s="7">
        <v>4083318</v>
      </c>
      <c r="D37" s="153">
        <v>21322</v>
      </c>
      <c r="E37" s="153">
        <v>20689</v>
      </c>
      <c r="F37" s="153">
        <v>20855</v>
      </c>
      <c r="G37" s="153">
        <v>20747</v>
      </c>
      <c r="H37" s="153">
        <v>20289</v>
      </c>
      <c r="I37" s="153">
        <v>19835</v>
      </c>
      <c r="J37" s="153">
        <v>18894</v>
      </c>
      <c r="K37" s="153">
        <v>18417</v>
      </c>
      <c r="L37" s="153">
        <v>17772</v>
      </c>
      <c r="M37" s="153">
        <v>17333</v>
      </c>
      <c r="N37" s="153">
        <v>16964</v>
      </c>
      <c r="O37" s="153">
        <v>16607</v>
      </c>
      <c r="P37" s="153">
        <v>16354</v>
      </c>
      <c r="Q37" s="153">
        <v>16197</v>
      </c>
      <c r="R37" s="153">
        <v>16017</v>
      </c>
      <c r="S37" s="153">
        <v>15662</v>
      </c>
      <c r="T37" s="153">
        <v>15546</v>
      </c>
      <c r="U37" s="153">
        <v>15322</v>
      </c>
      <c r="V37" s="153">
        <v>15161</v>
      </c>
      <c r="W37" s="153" t="s">
        <v>267</v>
      </c>
      <c r="X37" s="153" t="s">
        <v>267</v>
      </c>
      <c r="Y37" s="153" t="s">
        <v>267</v>
      </c>
      <c r="Z37" s="153" t="s">
        <v>267</v>
      </c>
      <c r="AA37" s="153" t="s">
        <v>267</v>
      </c>
      <c r="AB37" s="153">
        <v>11270</v>
      </c>
      <c r="AC37" s="153">
        <v>10552</v>
      </c>
    </row>
    <row r="38" spans="1:29" ht="14.4" x14ac:dyDescent="0.25">
      <c r="B38" s="6" t="s">
        <v>279</v>
      </c>
      <c r="C38" s="7">
        <v>4057125</v>
      </c>
      <c r="D38" s="153">
        <v>2647424</v>
      </c>
      <c r="E38" s="153">
        <v>2554078</v>
      </c>
      <c r="F38" s="153">
        <v>2130324</v>
      </c>
      <c r="G38" s="153">
        <v>1811362</v>
      </c>
      <c r="H38" s="153">
        <v>1768937</v>
      </c>
      <c r="I38" s="153">
        <v>1712573</v>
      </c>
      <c r="J38" s="153">
        <v>1619238</v>
      </c>
      <c r="K38" s="153">
        <v>1577072</v>
      </c>
      <c r="L38" s="153">
        <v>1529326</v>
      </c>
      <c r="M38" s="153">
        <v>1443603</v>
      </c>
      <c r="N38" s="153">
        <v>1415509</v>
      </c>
      <c r="O38" s="153">
        <v>1395210</v>
      </c>
      <c r="P38" s="153">
        <v>1253701</v>
      </c>
      <c r="Q38" s="153">
        <v>1237327</v>
      </c>
      <c r="R38" s="153">
        <v>1211905</v>
      </c>
      <c r="S38" s="153">
        <v>1190956</v>
      </c>
      <c r="T38" s="153">
        <v>1084606</v>
      </c>
      <c r="U38" s="153">
        <v>1028734</v>
      </c>
      <c r="V38" s="153">
        <v>1004965</v>
      </c>
      <c r="W38" s="153">
        <v>991271</v>
      </c>
      <c r="X38" s="153">
        <v>920087</v>
      </c>
      <c r="Y38" s="153">
        <v>896159</v>
      </c>
      <c r="Z38" s="153">
        <v>861686</v>
      </c>
      <c r="AA38" s="153">
        <v>846695</v>
      </c>
      <c r="AB38" s="153">
        <v>856001</v>
      </c>
      <c r="AC38" s="153">
        <v>796039</v>
      </c>
    </row>
    <row r="39" spans="1:29" ht="14.4" x14ac:dyDescent="0.25">
      <c r="B39" s="6" t="s">
        <v>280</v>
      </c>
      <c r="C39" s="7">
        <v>4087741</v>
      </c>
      <c r="D39" s="153" t="s">
        <v>267</v>
      </c>
      <c r="E39" s="153" t="s">
        <v>267</v>
      </c>
      <c r="F39" s="153">
        <v>1926494</v>
      </c>
      <c r="G39" s="153">
        <v>1834159</v>
      </c>
      <c r="H39" s="153">
        <v>1761874</v>
      </c>
      <c r="I39" s="153">
        <v>1702040</v>
      </c>
      <c r="J39" s="153">
        <v>1648624</v>
      </c>
      <c r="K39" s="153">
        <v>1588595</v>
      </c>
      <c r="L39" s="153">
        <v>1537323</v>
      </c>
      <c r="M39" s="153">
        <v>1574615</v>
      </c>
      <c r="N39" s="153">
        <v>1422126</v>
      </c>
      <c r="O39" s="153">
        <v>1375159</v>
      </c>
      <c r="P39" s="153">
        <v>1364022</v>
      </c>
      <c r="Q39" s="153">
        <v>1313323</v>
      </c>
      <c r="R39" s="153">
        <v>1278475</v>
      </c>
      <c r="S39" s="153">
        <v>1234345</v>
      </c>
      <c r="T39" s="153">
        <v>1191203</v>
      </c>
      <c r="U39" s="153">
        <v>1135548</v>
      </c>
      <c r="V39" s="153">
        <v>1076878</v>
      </c>
      <c r="W39" s="153" t="s">
        <v>267</v>
      </c>
      <c r="X39" s="153">
        <v>883620</v>
      </c>
      <c r="Y39" s="153" t="s">
        <v>267</v>
      </c>
      <c r="Z39" s="153" t="s">
        <v>267</v>
      </c>
      <c r="AA39" s="153" t="s">
        <v>267</v>
      </c>
      <c r="AB39" s="153" t="s">
        <v>267</v>
      </c>
      <c r="AC39" s="153" t="s">
        <v>267</v>
      </c>
    </row>
    <row r="40" spans="1:29" ht="14.4" x14ac:dyDescent="0.25">
      <c r="B40" s="6" t="s">
        <v>281</v>
      </c>
      <c r="C40" s="7">
        <v>4059875</v>
      </c>
      <c r="D40" s="153">
        <v>636782</v>
      </c>
      <c r="E40" s="153">
        <v>595313</v>
      </c>
      <c r="F40" s="153">
        <v>537746</v>
      </c>
      <c r="G40" s="153">
        <v>485723</v>
      </c>
      <c r="H40" s="153">
        <v>453429</v>
      </c>
      <c r="I40" s="153">
        <v>426165</v>
      </c>
      <c r="J40" s="153">
        <v>379562</v>
      </c>
      <c r="K40" s="153">
        <v>360914</v>
      </c>
      <c r="L40" s="153">
        <v>339611</v>
      </c>
      <c r="M40" s="153">
        <v>338986</v>
      </c>
      <c r="N40" s="153">
        <v>328222</v>
      </c>
      <c r="O40" s="153">
        <v>318901</v>
      </c>
      <c r="P40" s="153">
        <v>298932</v>
      </c>
      <c r="Q40" s="153">
        <v>289379</v>
      </c>
      <c r="R40" s="153">
        <v>272878</v>
      </c>
      <c r="S40" s="153">
        <v>242115</v>
      </c>
      <c r="T40" s="153">
        <v>243752</v>
      </c>
      <c r="U40" s="153">
        <v>231506</v>
      </c>
      <c r="V40" s="153">
        <v>211467</v>
      </c>
      <c r="W40" s="153" t="s">
        <v>267</v>
      </c>
      <c r="X40" s="153">
        <v>175987</v>
      </c>
      <c r="Y40" s="153">
        <v>166414</v>
      </c>
      <c r="Z40" s="153">
        <v>156167</v>
      </c>
      <c r="AA40" s="153">
        <v>145612</v>
      </c>
      <c r="AB40" s="153">
        <v>135602</v>
      </c>
      <c r="AC40" s="153">
        <v>129272</v>
      </c>
    </row>
    <row r="41" spans="1:29" ht="14.4" x14ac:dyDescent="0.25">
      <c r="B41" s="6" t="s">
        <v>212</v>
      </c>
      <c r="C41" s="7">
        <v>4057090</v>
      </c>
      <c r="D41" s="153">
        <v>1432717</v>
      </c>
      <c r="E41" s="153">
        <v>1292072</v>
      </c>
      <c r="F41" s="153">
        <v>1234465</v>
      </c>
      <c r="G41" s="153">
        <v>1179218</v>
      </c>
      <c r="H41" s="153">
        <v>1110112</v>
      </c>
      <c r="I41" s="153">
        <v>1021163</v>
      </c>
      <c r="J41" s="153">
        <v>948188</v>
      </c>
      <c r="K41" s="153">
        <v>842651</v>
      </c>
      <c r="L41" s="153">
        <v>778374</v>
      </c>
      <c r="M41" s="153">
        <v>724381</v>
      </c>
      <c r="N41" s="153">
        <v>679554</v>
      </c>
      <c r="O41" s="153">
        <v>637312</v>
      </c>
      <c r="P41" s="153">
        <v>597031</v>
      </c>
      <c r="Q41" s="153">
        <v>548434</v>
      </c>
      <c r="R41" s="153">
        <v>524411</v>
      </c>
      <c r="S41" s="153">
        <v>509430</v>
      </c>
      <c r="T41" s="153">
        <v>485631</v>
      </c>
      <c r="U41" s="153">
        <v>466364</v>
      </c>
      <c r="V41" s="153">
        <v>433095</v>
      </c>
      <c r="W41" s="153">
        <v>407854</v>
      </c>
      <c r="X41" s="153">
        <v>387231</v>
      </c>
      <c r="Y41" s="153">
        <v>362988</v>
      </c>
      <c r="Z41" s="153">
        <v>337507</v>
      </c>
      <c r="AA41" s="153">
        <v>335480</v>
      </c>
      <c r="AB41" s="153">
        <v>318651</v>
      </c>
      <c r="AC41" s="153">
        <v>296930</v>
      </c>
    </row>
    <row r="42" spans="1:29" ht="14.4" x14ac:dyDescent="0.25">
      <c r="B42" s="6" t="s">
        <v>213</v>
      </c>
      <c r="C42" s="7">
        <v>4008754</v>
      </c>
      <c r="D42" s="153">
        <v>413481</v>
      </c>
      <c r="E42" s="153">
        <v>413481</v>
      </c>
      <c r="F42" s="153">
        <v>393153</v>
      </c>
      <c r="G42" s="153">
        <v>372725</v>
      </c>
      <c r="H42" s="153">
        <v>355622</v>
      </c>
      <c r="I42" s="153">
        <v>343273</v>
      </c>
      <c r="J42" s="153">
        <v>332609</v>
      </c>
      <c r="K42" s="153">
        <v>316522</v>
      </c>
      <c r="L42" s="153">
        <v>301194</v>
      </c>
      <c r="M42" s="153">
        <v>289263</v>
      </c>
      <c r="N42" s="153">
        <v>275587</v>
      </c>
      <c r="O42" s="153">
        <v>266693</v>
      </c>
      <c r="P42" s="153">
        <v>253619</v>
      </c>
      <c r="Q42" s="153">
        <v>244501</v>
      </c>
      <c r="R42" s="153">
        <v>237470</v>
      </c>
      <c r="S42" s="153">
        <v>229744</v>
      </c>
      <c r="T42" s="153">
        <v>220856</v>
      </c>
      <c r="U42" s="153">
        <v>214344</v>
      </c>
      <c r="V42" s="153">
        <v>204656</v>
      </c>
      <c r="W42" s="153">
        <v>190557</v>
      </c>
      <c r="X42" s="153">
        <v>180240</v>
      </c>
      <c r="Y42" s="153">
        <v>173846</v>
      </c>
      <c r="Z42" s="153">
        <v>169560</v>
      </c>
      <c r="AA42" s="153">
        <v>166804</v>
      </c>
      <c r="AB42" s="153">
        <v>163553</v>
      </c>
      <c r="AC42" s="153">
        <v>159305</v>
      </c>
    </row>
    <row r="43" spans="1:29" ht="14.4" x14ac:dyDescent="0.25">
      <c r="B43" s="6" t="s">
        <v>282</v>
      </c>
      <c r="C43" s="7">
        <v>4061474</v>
      </c>
      <c r="D43" s="153">
        <v>43330</v>
      </c>
      <c r="E43" s="153">
        <v>42326</v>
      </c>
      <c r="F43" s="153">
        <v>40534</v>
      </c>
      <c r="G43" s="153">
        <v>39226</v>
      </c>
      <c r="H43" s="153">
        <v>37566</v>
      </c>
      <c r="I43" s="153">
        <v>35949</v>
      </c>
      <c r="J43" s="153">
        <v>34328</v>
      </c>
      <c r="K43" s="153">
        <v>32870</v>
      </c>
      <c r="L43" s="153">
        <v>31841</v>
      </c>
      <c r="M43" s="153">
        <v>31227</v>
      </c>
      <c r="N43" s="153">
        <v>29616</v>
      </c>
      <c r="O43" s="153">
        <v>28668</v>
      </c>
      <c r="P43" s="153">
        <v>27914</v>
      </c>
      <c r="Q43" s="153">
        <v>26992</v>
      </c>
      <c r="R43" s="153">
        <v>26625</v>
      </c>
      <c r="S43" s="153">
        <v>25541</v>
      </c>
      <c r="T43" s="153">
        <v>25103</v>
      </c>
      <c r="U43" s="153">
        <v>24643</v>
      </c>
      <c r="V43" s="153">
        <v>19164</v>
      </c>
      <c r="W43" s="153" t="s">
        <v>267</v>
      </c>
      <c r="X43" s="153">
        <v>18074</v>
      </c>
      <c r="Y43" s="153" t="s">
        <v>267</v>
      </c>
      <c r="Z43" s="153" t="s">
        <v>267</v>
      </c>
      <c r="AA43" s="153">
        <v>16419</v>
      </c>
      <c r="AB43" s="153">
        <v>16067</v>
      </c>
      <c r="AC43" s="153">
        <v>15413</v>
      </c>
    </row>
    <row r="44" spans="1:29" ht="14.4" x14ac:dyDescent="0.25">
      <c r="B44" s="6" t="s">
        <v>283</v>
      </c>
      <c r="C44" s="7">
        <v>4076679</v>
      </c>
      <c r="D44" s="153">
        <v>48780</v>
      </c>
      <c r="E44" s="153">
        <v>46214</v>
      </c>
      <c r="F44" s="153">
        <v>43889</v>
      </c>
      <c r="G44" s="153">
        <v>41863</v>
      </c>
      <c r="H44" s="153">
        <v>39967</v>
      </c>
      <c r="I44" s="153">
        <v>38092</v>
      </c>
      <c r="J44" s="153">
        <v>35468</v>
      </c>
      <c r="K44" s="153">
        <v>33019</v>
      </c>
      <c r="L44" s="153">
        <v>31845</v>
      </c>
      <c r="M44" s="153">
        <v>30729</v>
      </c>
      <c r="N44" s="153">
        <v>29341</v>
      </c>
      <c r="O44" s="153">
        <v>28096</v>
      </c>
      <c r="P44" s="153">
        <v>27176</v>
      </c>
      <c r="Q44" s="153">
        <v>26108</v>
      </c>
      <c r="R44" s="153">
        <v>25197</v>
      </c>
      <c r="S44" s="153">
        <v>23594</v>
      </c>
      <c r="T44" s="153">
        <v>22125</v>
      </c>
      <c r="U44" s="153">
        <v>21281</v>
      </c>
      <c r="V44" s="153">
        <v>19909</v>
      </c>
      <c r="W44" s="153">
        <v>17925</v>
      </c>
      <c r="X44" s="153">
        <v>16878</v>
      </c>
      <c r="Y44" s="153" t="s">
        <v>267</v>
      </c>
      <c r="Z44" s="153" t="s">
        <v>267</v>
      </c>
      <c r="AA44" s="153" t="s">
        <v>267</v>
      </c>
      <c r="AB44" s="153" t="s">
        <v>267</v>
      </c>
      <c r="AC44" s="153" t="s">
        <v>267</v>
      </c>
    </row>
    <row r="45" spans="1:29" ht="14.4" x14ac:dyDescent="0.25">
      <c r="B45" s="6" t="s">
        <v>215</v>
      </c>
      <c r="C45" s="7">
        <v>4061634</v>
      </c>
      <c r="D45" s="153">
        <v>682653</v>
      </c>
      <c r="E45" s="153">
        <v>636708</v>
      </c>
      <c r="F45" s="153">
        <v>584911</v>
      </c>
      <c r="G45" s="153">
        <v>528960</v>
      </c>
      <c r="H45" s="153">
        <v>503519</v>
      </c>
      <c r="I45" s="153">
        <v>488702</v>
      </c>
      <c r="J45" s="153">
        <v>470695</v>
      </c>
      <c r="K45" s="153">
        <v>450853</v>
      </c>
      <c r="L45" s="153">
        <v>436775</v>
      </c>
      <c r="M45" s="153">
        <v>427642</v>
      </c>
      <c r="N45" s="153">
        <v>419077</v>
      </c>
      <c r="O45" s="153">
        <v>399775</v>
      </c>
      <c r="P45" s="153">
        <v>394548</v>
      </c>
      <c r="Q45" s="153">
        <v>383983</v>
      </c>
      <c r="R45" s="153">
        <v>389717</v>
      </c>
      <c r="S45" s="153">
        <v>379116</v>
      </c>
      <c r="T45" s="153">
        <v>328914</v>
      </c>
      <c r="U45" s="153">
        <v>316700</v>
      </c>
      <c r="V45" s="153">
        <v>300522</v>
      </c>
      <c r="W45" s="153">
        <v>300522</v>
      </c>
      <c r="X45" s="153">
        <v>284292</v>
      </c>
      <c r="Y45" s="153">
        <v>254089</v>
      </c>
      <c r="Z45" s="153">
        <v>242403</v>
      </c>
      <c r="AA45" s="153">
        <v>233261</v>
      </c>
      <c r="AB45" s="153">
        <v>223412</v>
      </c>
      <c r="AC45" s="153">
        <v>214995</v>
      </c>
    </row>
    <row r="46" spans="1:29" ht="14.4" x14ac:dyDescent="0.25">
      <c r="B46" s="6" t="s">
        <v>216</v>
      </c>
      <c r="C46" s="7">
        <v>4061687</v>
      </c>
      <c r="D46" s="153">
        <v>2275101</v>
      </c>
      <c r="E46" s="153">
        <v>2207559</v>
      </c>
      <c r="F46" s="153">
        <v>2135432</v>
      </c>
      <c r="G46" s="153">
        <v>2077721</v>
      </c>
      <c r="H46" s="153">
        <v>2022024</v>
      </c>
      <c r="I46" s="153">
        <v>1904968</v>
      </c>
      <c r="J46" s="153">
        <v>1853806</v>
      </c>
      <c r="K46" s="153">
        <v>1795314</v>
      </c>
      <c r="L46" s="153">
        <v>1762469</v>
      </c>
      <c r="M46" s="153">
        <v>1724749</v>
      </c>
      <c r="N46" s="153">
        <v>1679533</v>
      </c>
      <c r="O46" s="153">
        <v>1633551</v>
      </c>
      <c r="P46" s="153">
        <v>1600238</v>
      </c>
      <c r="Q46" s="153">
        <v>1554436</v>
      </c>
      <c r="R46" s="153">
        <v>1509094</v>
      </c>
      <c r="S46" s="153">
        <v>1476229</v>
      </c>
      <c r="T46" s="153">
        <v>1442101</v>
      </c>
      <c r="U46" s="153">
        <v>1402275</v>
      </c>
      <c r="V46" s="153">
        <v>1322158</v>
      </c>
      <c r="W46" s="153">
        <v>1322158</v>
      </c>
      <c r="X46" s="153">
        <v>1304569</v>
      </c>
      <c r="Y46" s="153">
        <v>1257739</v>
      </c>
      <c r="Z46" s="153">
        <v>1220317</v>
      </c>
      <c r="AA46" s="153">
        <v>1187351</v>
      </c>
      <c r="AB46" s="153">
        <v>1141603</v>
      </c>
      <c r="AC46" s="153">
        <v>1088575</v>
      </c>
    </row>
    <row r="47" spans="1:29" ht="14.4" x14ac:dyDescent="0.25">
      <c r="A47" s="1" t="s">
        <v>268</v>
      </c>
      <c r="B47" s="6" t="s">
        <v>217</v>
      </c>
      <c r="C47" s="7">
        <v>4061755</v>
      </c>
      <c r="D47" s="153">
        <v>2720983</v>
      </c>
      <c r="E47" s="153">
        <v>2558361</v>
      </c>
      <c r="F47" s="153">
        <v>2316755</v>
      </c>
      <c r="G47" s="153">
        <v>2185338</v>
      </c>
      <c r="H47" s="153">
        <v>2029788</v>
      </c>
      <c r="I47" s="153">
        <v>1841753</v>
      </c>
      <c r="J47" s="153">
        <v>1701589</v>
      </c>
      <c r="K47" s="153">
        <v>1602301</v>
      </c>
      <c r="L47" s="153">
        <v>1507150</v>
      </c>
      <c r="M47" s="153">
        <v>1419541</v>
      </c>
      <c r="N47" s="153">
        <v>1348195</v>
      </c>
      <c r="O47" s="153">
        <v>1308370</v>
      </c>
      <c r="P47" s="153">
        <v>1260542</v>
      </c>
      <c r="Q47" s="153">
        <v>1193698</v>
      </c>
      <c r="R47" s="153">
        <v>1141744</v>
      </c>
      <c r="S47" s="153">
        <v>1102329</v>
      </c>
      <c r="T47" s="153">
        <v>1060146</v>
      </c>
      <c r="U47" s="153">
        <v>1013545</v>
      </c>
      <c r="V47" s="153">
        <v>981047</v>
      </c>
      <c r="W47" s="153">
        <v>950070</v>
      </c>
      <c r="X47" s="153">
        <v>931679</v>
      </c>
      <c r="Y47" s="153">
        <v>895665</v>
      </c>
      <c r="Z47" s="153">
        <v>853178</v>
      </c>
      <c r="AA47" s="153">
        <v>810468</v>
      </c>
      <c r="AB47" s="153">
        <v>758254</v>
      </c>
      <c r="AC47" s="153">
        <v>722204</v>
      </c>
    </row>
    <row r="48" spans="1:29" ht="14.4" x14ac:dyDescent="0.25">
      <c r="A48" s="1" t="s">
        <v>268</v>
      </c>
      <c r="B48" s="6" t="s">
        <v>219</v>
      </c>
      <c r="C48" s="7">
        <v>4004389</v>
      </c>
      <c r="D48" s="153">
        <v>1177418</v>
      </c>
      <c r="E48" s="153">
        <v>1120980</v>
      </c>
      <c r="F48" s="153">
        <v>1044395</v>
      </c>
      <c r="G48" s="153">
        <v>1004653</v>
      </c>
      <c r="H48" s="153">
        <v>948180</v>
      </c>
      <c r="I48" s="153">
        <v>906759</v>
      </c>
      <c r="J48" s="153">
        <v>878737</v>
      </c>
      <c r="K48" s="153">
        <v>846168</v>
      </c>
      <c r="L48" s="153">
        <v>809411</v>
      </c>
      <c r="M48" s="153">
        <v>773463</v>
      </c>
      <c r="N48" s="153">
        <v>808302</v>
      </c>
      <c r="O48" s="153">
        <v>790653</v>
      </c>
      <c r="P48" s="153">
        <v>776610</v>
      </c>
      <c r="Q48" s="153">
        <v>752372</v>
      </c>
      <c r="R48" s="153">
        <v>735145</v>
      </c>
      <c r="S48" s="153">
        <v>715446</v>
      </c>
      <c r="T48" s="153">
        <v>702883</v>
      </c>
      <c r="U48" s="153">
        <v>687422</v>
      </c>
      <c r="V48" s="153">
        <v>670037</v>
      </c>
      <c r="W48" s="153">
        <v>652938</v>
      </c>
      <c r="X48" s="153">
        <v>634277</v>
      </c>
      <c r="Y48" s="153">
        <v>612127</v>
      </c>
      <c r="Z48" s="153">
        <v>589103</v>
      </c>
      <c r="AA48" s="153">
        <v>562666</v>
      </c>
      <c r="AB48" s="153">
        <v>514371</v>
      </c>
      <c r="AC48" s="153">
        <v>431757</v>
      </c>
    </row>
    <row r="49" spans="1:29" ht="14.4" x14ac:dyDescent="0.25">
      <c r="A49" s="1" t="s">
        <v>268</v>
      </c>
      <c r="B49" s="6" t="s">
        <v>220</v>
      </c>
      <c r="C49" s="7">
        <v>4057014</v>
      </c>
      <c r="D49" s="153">
        <v>2745319</v>
      </c>
      <c r="E49" s="153">
        <v>2598928</v>
      </c>
      <c r="F49" s="153">
        <v>2482539</v>
      </c>
      <c r="G49" s="153">
        <v>2368515</v>
      </c>
      <c r="H49" s="153">
        <v>2237631</v>
      </c>
      <c r="I49" s="153">
        <v>2186917</v>
      </c>
      <c r="J49" s="153">
        <v>2066124</v>
      </c>
      <c r="K49" s="153">
        <v>1981233</v>
      </c>
      <c r="L49" s="153">
        <v>1929353</v>
      </c>
      <c r="M49" s="153">
        <v>1894560</v>
      </c>
      <c r="N49" s="153">
        <v>1840736</v>
      </c>
      <c r="O49" s="153">
        <v>1786447</v>
      </c>
      <c r="P49" s="153">
        <v>1727173</v>
      </c>
      <c r="Q49" s="153">
        <v>1666465</v>
      </c>
      <c r="R49" s="153">
        <v>1623913</v>
      </c>
      <c r="S49" s="153">
        <v>1565542</v>
      </c>
      <c r="T49" s="153">
        <v>1493274</v>
      </c>
      <c r="U49" s="153">
        <v>1466444</v>
      </c>
      <c r="V49" s="153">
        <v>1379786</v>
      </c>
      <c r="W49" s="153">
        <v>1345785</v>
      </c>
      <c r="X49" s="153">
        <v>1310649</v>
      </c>
      <c r="Y49" s="153">
        <v>1263168</v>
      </c>
      <c r="Z49" s="153">
        <v>1179716</v>
      </c>
      <c r="AA49" s="153">
        <v>1131541</v>
      </c>
      <c r="AB49" s="153">
        <v>1067638</v>
      </c>
      <c r="AC49" s="153">
        <v>1006759</v>
      </c>
    </row>
    <row r="50" spans="1:29" ht="14.4" x14ac:dyDescent="0.25">
      <c r="B50" s="6" t="s">
        <v>221</v>
      </c>
      <c r="C50" s="7">
        <v>4057130</v>
      </c>
      <c r="D50" s="153">
        <v>708468</v>
      </c>
      <c r="E50" s="153">
        <v>668882</v>
      </c>
      <c r="F50" s="153">
        <v>640394</v>
      </c>
      <c r="G50" s="153">
        <v>574201</v>
      </c>
      <c r="H50" s="153">
        <v>543369</v>
      </c>
      <c r="I50" s="153">
        <v>520890</v>
      </c>
      <c r="J50" s="153">
        <v>493471</v>
      </c>
      <c r="K50" s="153">
        <v>462027</v>
      </c>
      <c r="L50" s="153">
        <v>437387</v>
      </c>
      <c r="M50" s="153">
        <v>421830</v>
      </c>
      <c r="N50" s="153">
        <v>416409</v>
      </c>
      <c r="O50" s="153">
        <v>410587</v>
      </c>
      <c r="P50" s="153">
        <v>405356</v>
      </c>
      <c r="Q50" s="153">
        <v>396380</v>
      </c>
      <c r="R50" s="153">
        <v>374883</v>
      </c>
      <c r="S50" s="153">
        <v>363747</v>
      </c>
      <c r="T50" s="153">
        <v>353140</v>
      </c>
      <c r="U50" s="153">
        <v>346078</v>
      </c>
      <c r="V50" s="153">
        <v>338992</v>
      </c>
      <c r="W50" s="153">
        <v>331090</v>
      </c>
      <c r="X50" s="153">
        <v>324850</v>
      </c>
      <c r="Y50" s="153">
        <v>314319</v>
      </c>
      <c r="Z50" s="153">
        <v>303695</v>
      </c>
      <c r="AA50" s="153">
        <v>292533</v>
      </c>
      <c r="AB50" s="153">
        <v>282776</v>
      </c>
      <c r="AC50" s="153" t="s">
        <v>267</v>
      </c>
    </row>
    <row r="51" spans="1:29" ht="14.4" x14ac:dyDescent="0.25">
      <c r="B51" s="6" t="s">
        <v>223</v>
      </c>
      <c r="C51" s="7">
        <v>4057131</v>
      </c>
      <c r="D51" s="153">
        <v>8539332</v>
      </c>
      <c r="E51" s="153">
        <v>7782789</v>
      </c>
      <c r="F51" s="153">
        <v>7012883</v>
      </c>
      <c r="G51" s="153">
        <v>6442818</v>
      </c>
      <c r="H51" s="153">
        <v>5956573</v>
      </c>
      <c r="I51" s="153">
        <v>5581496</v>
      </c>
      <c r="J51" s="153">
        <v>5227079</v>
      </c>
      <c r="K51" s="153">
        <v>5037598</v>
      </c>
      <c r="L51" s="153">
        <v>4958983</v>
      </c>
      <c r="M51" s="153">
        <v>4802904</v>
      </c>
      <c r="N51" s="153">
        <v>4658031</v>
      </c>
      <c r="O51" s="153">
        <v>4538923</v>
      </c>
      <c r="P51" s="153">
        <v>4365111</v>
      </c>
      <c r="Q51" s="153">
        <v>4219552</v>
      </c>
      <c r="R51" s="153">
        <v>4098659</v>
      </c>
      <c r="S51" s="153">
        <v>3951566</v>
      </c>
      <c r="T51" s="153">
        <v>3755101</v>
      </c>
      <c r="U51" s="153">
        <v>3624331</v>
      </c>
      <c r="V51" s="153">
        <v>3484359</v>
      </c>
      <c r="W51" s="153">
        <v>3357209</v>
      </c>
      <c r="X51" s="153">
        <v>3234485</v>
      </c>
      <c r="Y51" s="153">
        <v>3136914</v>
      </c>
      <c r="Z51" s="153">
        <v>3040406</v>
      </c>
      <c r="AA51" s="153">
        <v>2955628</v>
      </c>
      <c r="AB51" s="153">
        <v>2884639</v>
      </c>
      <c r="AC51" s="153">
        <v>2789140</v>
      </c>
    </row>
    <row r="52" spans="1:29" ht="14.4" x14ac:dyDescent="0.25">
      <c r="B52" s="6" t="s">
        <v>224</v>
      </c>
      <c r="C52" s="7">
        <v>4012860</v>
      </c>
      <c r="D52" s="153">
        <v>3188183</v>
      </c>
      <c r="E52" s="153">
        <v>3012778</v>
      </c>
      <c r="F52" s="153">
        <v>2842538</v>
      </c>
      <c r="G52" s="153">
        <v>2521426</v>
      </c>
      <c r="H52" s="153">
        <v>2357517</v>
      </c>
      <c r="I52" s="153">
        <v>2199433</v>
      </c>
      <c r="J52" s="153">
        <v>2074488</v>
      </c>
      <c r="K52" s="153">
        <v>1976988</v>
      </c>
      <c r="L52" s="153">
        <v>1909082</v>
      </c>
      <c r="M52" s="153">
        <v>1834486</v>
      </c>
      <c r="N52" s="153">
        <v>1783075</v>
      </c>
      <c r="O52" s="153">
        <v>1656954</v>
      </c>
      <c r="P52" s="153">
        <v>1625519</v>
      </c>
      <c r="Q52" s="153">
        <v>1585995</v>
      </c>
      <c r="R52" s="153">
        <v>1565424</v>
      </c>
      <c r="S52" s="153">
        <v>1535161</v>
      </c>
      <c r="T52" s="153">
        <v>1500307</v>
      </c>
      <c r="U52" s="153">
        <v>1467990</v>
      </c>
      <c r="V52" s="153">
        <v>1425681</v>
      </c>
      <c r="W52" s="153">
        <v>1390797</v>
      </c>
      <c r="X52" s="153">
        <v>1337981</v>
      </c>
      <c r="Y52" s="153">
        <v>1268840</v>
      </c>
      <c r="Z52" s="153">
        <v>1231898</v>
      </c>
      <c r="AA52" s="153">
        <v>1183580</v>
      </c>
      <c r="AB52" s="153">
        <v>1140580</v>
      </c>
      <c r="AC52" s="153">
        <v>1105861</v>
      </c>
    </row>
    <row r="53" spans="1:29" ht="14.4" x14ac:dyDescent="0.25">
      <c r="B53" s="6" t="s">
        <v>227</v>
      </c>
      <c r="C53" s="7">
        <v>4061925</v>
      </c>
      <c r="D53" s="153">
        <v>392050</v>
      </c>
      <c r="E53" s="153">
        <v>366242</v>
      </c>
      <c r="F53" s="153">
        <v>346187</v>
      </c>
      <c r="G53" s="153">
        <v>326723</v>
      </c>
      <c r="H53" s="153">
        <v>294986</v>
      </c>
      <c r="I53" s="153">
        <v>275376</v>
      </c>
      <c r="J53" s="153">
        <v>255465</v>
      </c>
      <c r="K53" s="153">
        <v>236047</v>
      </c>
      <c r="L53" s="153">
        <v>224625</v>
      </c>
      <c r="M53" s="153">
        <v>213665</v>
      </c>
      <c r="N53" s="153">
        <v>199224</v>
      </c>
      <c r="O53" s="153">
        <v>187459</v>
      </c>
      <c r="P53" s="153">
        <v>172131</v>
      </c>
      <c r="Q53" s="153">
        <v>167593</v>
      </c>
      <c r="R53" s="153">
        <v>160675</v>
      </c>
      <c r="S53" s="153">
        <v>155628</v>
      </c>
      <c r="T53" s="153">
        <v>146749</v>
      </c>
      <c r="U53" s="153">
        <v>138764</v>
      </c>
      <c r="V53" s="153">
        <v>131951</v>
      </c>
      <c r="W53" s="153">
        <v>127635</v>
      </c>
      <c r="X53" s="153">
        <v>123979</v>
      </c>
      <c r="Y53" s="153">
        <v>117201</v>
      </c>
      <c r="Z53" s="153">
        <v>111967</v>
      </c>
      <c r="AA53" s="153">
        <v>103801</v>
      </c>
      <c r="AB53" s="153">
        <v>98248</v>
      </c>
      <c r="AC53" s="153">
        <v>91801</v>
      </c>
    </row>
    <row r="54" spans="1:29" ht="14.4" x14ac:dyDescent="0.25">
      <c r="B54" s="6" t="s">
        <v>284</v>
      </c>
      <c r="C54" s="7">
        <v>4057132</v>
      </c>
      <c r="D54" s="153" t="s">
        <v>267</v>
      </c>
      <c r="E54" s="153" t="s">
        <v>267</v>
      </c>
      <c r="F54" s="153" t="s">
        <v>267</v>
      </c>
      <c r="G54" s="153">
        <v>2955759</v>
      </c>
      <c r="H54" s="153">
        <v>2828186</v>
      </c>
      <c r="I54" s="153">
        <v>2730414</v>
      </c>
      <c r="J54" s="153">
        <v>2646814</v>
      </c>
      <c r="K54" s="153">
        <v>2571509</v>
      </c>
      <c r="L54" s="153">
        <v>2421489</v>
      </c>
      <c r="M54" s="153">
        <v>2309135</v>
      </c>
      <c r="N54" s="153">
        <v>2233795</v>
      </c>
      <c r="O54" s="153">
        <v>2173914</v>
      </c>
      <c r="P54" s="153">
        <v>2105270</v>
      </c>
      <c r="Q54" s="153">
        <v>2016574</v>
      </c>
      <c r="R54" s="153">
        <v>1929221</v>
      </c>
      <c r="S54" s="153">
        <v>1842587</v>
      </c>
      <c r="T54" s="153">
        <v>1772311</v>
      </c>
      <c r="U54" s="153" t="s">
        <v>267</v>
      </c>
      <c r="V54" s="153">
        <v>1498903</v>
      </c>
      <c r="W54" s="153">
        <v>1434009</v>
      </c>
      <c r="X54" s="153">
        <v>1376680</v>
      </c>
      <c r="Y54" s="153">
        <v>1311323</v>
      </c>
      <c r="Z54" s="153">
        <v>1221743</v>
      </c>
      <c r="AA54" s="153">
        <v>1129310</v>
      </c>
      <c r="AB54" s="153">
        <v>1018256</v>
      </c>
      <c r="AC54" s="153">
        <v>947840</v>
      </c>
    </row>
    <row r="55" spans="1:29" ht="14.4" x14ac:dyDescent="0.25">
      <c r="A55" s="1" t="s">
        <v>268</v>
      </c>
      <c r="B55" s="6" t="s">
        <v>285</v>
      </c>
      <c r="C55" s="7">
        <v>4057115</v>
      </c>
      <c r="D55" s="153">
        <v>1822314</v>
      </c>
      <c r="E55" s="153">
        <v>1640465</v>
      </c>
      <c r="F55" s="153">
        <v>1479308</v>
      </c>
      <c r="G55" s="153">
        <v>1330427</v>
      </c>
      <c r="H55" s="153">
        <v>1210609</v>
      </c>
      <c r="I55" s="153">
        <v>1082589</v>
      </c>
      <c r="J55" s="153">
        <v>1005801</v>
      </c>
      <c r="K55" s="153">
        <v>940851</v>
      </c>
      <c r="L55" s="153">
        <v>876905</v>
      </c>
      <c r="M55" s="153">
        <v>808911</v>
      </c>
      <c r="N55" s="153">
        <v>754213</v>
      </c>
      <c r="O55" s="153">
        <v>721802</v>
      </c>
      <c r="P55" s="153">
        <v>674820</v>
      </c>
      <c r="Q55" s="153">
        <v>639965</v>
      </c>
      <c r="R55" s="153">
        <v>601354</v>
      </c>
      <c r="S55" s="153">
        <v>566036</v>
      </c>
      <c r="T55" s="153">
        <v>536537</v>
      </c>
      <c r="U55" s="153">
        <v>505797</v>
      </c>
      <c r="V55" s="153">
        <v>483572</v>
      </c>
      <c r="W55" s="153" t="s">
        <v>267</v>
      </c>
      <c r="X55" s="153">
        <v>414907</v>
      </c>
      <c r="Y55" s="153" t="s">
        <v>267</v>
      </c>
      <c r="Z55" s="153">
        <v>391069</v>
      </c>
      <c r="AA55" s="153">
        <v>373541</v>
      </c>
      <c r="AB55" s="153">
        <v>357403</v>
      </c>
      <c r="AC55" s="153">
        <v>346990</v>
      </c>
    </row>
    <row r="56" spans="1:29" ht="14.4" x14ac:dyDescent="0.25">
      <c r="B56" s="6" t="s">
        <v>228</v>
      </c>
      <c r="C56" s="7">
        <v>4064479</v>
      </c>
      <c r="D56" s="153">
        <v>111443</v>
      </c>
      <c r="E56" s="153">
        <v>108457</v>
      </c>
      <c r="F56" s="153">
        <v>105654</v>
      </c>
      <c r="G56" s="153">
        <v>103113</v>
      </c>
      <c r="H56" s="153">
        <v>100493</v>
      </c>
      <c r="I56" s="153">
        <v>97435</v>
      </c>
      <c r="J56" s="153">
        <v>95165</v>
      </c>
      <c r="K56" s="153">
        <v>92664</v>
      </c>
      <c r="L56" s="153">
        <v>89569</v>
      </c>
      <c r="M56" s="153">
        <v>86684</v>
      </c>
      <c r="N56" s="153">
        <v>79615</v>
      </c>
      <c r="O56" s="153">
        <v>76513</v>
      </c>
      <c r="P56" s="153">
        <v>74763</v>
      </c>
      <c r="Q56" s="153">
        <v>72604</v>
      </c>
      <c r="R56" s="153">
        <v>70620</v>
      </c>
      <c r="S56" s="153">
        <v>68842</v>
      </c>
      <c r="T56" s="153">
        <v>67414</v>
      </c>
      <c r="U56" s="153">
        <v>65763</v>
      </c>
      <c r="V56" s="153">
        <v>64368</v>
      </c>
      <c r="W56" s="153">
        <v>63017</v>
      </c>
      <c r="X56" s="153">
        <v>61314</v>
      </c>
      <c r="Y56" s="153">
        <v>59599</v>
      </c>
      <c r="Z56" s="153">
        <v>57732</v>
      </c>
      <c r="AA56" s="153">
        <v>55990</v>
      </c>
      <c r="AB56" s="153">
        <v>53706</v>
      </c>
      <c r="AC56" s="153">
        <v>50832</v>
      </c>
    </row>
    <row r="57" spans="1:29" ht="14.4" x14ac:dyDescent="0.25">
      <c r="B57" s="6" t="s">
        <v>286</v>
      </c>
      <c r="C57" s="7">
        <v>4062025</v>
      </c>
      <c r="D57" s="153">
        <v>116288</v>
      </c>
      <c r="E57" s="153">
        <v>105838</v>
      </c>
      <c r="F57" s="153">
        <v>86401</v>
      </c>
      <c r="G57" s="153">
        <v>84245</v>
      </c>
      <c r="H57" s="153">
        <v>81808</v>
      </c>
      <c r="I57" s="153">
        <v>75999</v>
      </c>
      <c r="J57" s="153">
        <v>73428</v>
      </c>
      <c r="K57" s="153">
        <v>67600</v>
      </c>
      <c r="L57" s="153">
        <v>66011</v>
      </c>
      <c r="M57" s="153">
        <v>64051</v>
      </c>
      <c r="N57" s="153">
        <v>61968</v>
      </c>
      <c r="O57" s="153">
        <v>60605</v>
      </c>
      <c r="P57" s="153">
        <v>59333</v>
      </c>
      <c r="Q57" s="153">
        <v>54940</v>
      </c>
      <c r="R57" s="153">
        <v>52830</v>
      </c>
      <c r="S57" s="153">
        <v>51393</v>
      </c>
      <c r="T57" s="153">
        <v>50344</v>
      </c>
      <c r="U57" s="153">
        <v>48355</v>
      </c>
      <c r="V57" s="153">
        <v>46789</v>
      </c>
      <c r="W57" s="153">
        <v>45403</v>
      </c>
      <c r="X57" s="153">
        <v>40517</v>
      </c>
      <c r="Y57" s="153">
        <v>39140</v>
      </c>
      <c r="Z57" s="153">
        <v>34465</v>
      </c>
      <c r="AA57" s="153">
        <v>32637</v>
      </c>
      <c r="AB57" s="153">
        <v>31166</v>
      </c>
      <c r="AC57" s="153">
        <v>28591</v>
      </c>
    </row>
    <row r="58" spans="1:29" ht="14.4" x14ac:dyDescent="0.25">
      <c r="B58" s="6" t="s">
        <v>287</v>
      </c>
      <c r="C58" s="7">
        <v>4064481</v>
      </c>
      <c r="D58" s="153" t="s">
        <v>267</v>
      </c>
      <c r="E58" s="153" t="s">
        <v>267</v>
      </c>
      <c r="F58" s="153">
        <v>2452730</v>
      </c>
      <c r="G58" s="153">
        <v>2306804</v>
      </c>
      <c r="H58" s="153">
        <v>2181588</v>
      </c>
      <c r="I58" s="153">
        <v>2064937</v>
      </c>
      <c r="J58" s="153">
        <v>1961863</v>
      </c>
      <c r="K58" s="153">
        <v>1851641</v>
      </c>
      <c r="L58" s="153">
        <v>1743810</v>
      </c>
      <c r="M58" s="153">
        <v>1637745</v>
      </c>
      <c r="N58" s="153">
        <v>1549419</v>
      </c>
      <c r="O58" s="153">
        <v>1427672</v>
      </c>
      <c r="P58" s="153">
        <v>1368651</v>
      </c>
      <c r="Q58" s="153">
        <v>1281070</v>
      </c>
      <c r="R58" s="153">
        <v>1220263</v>
      </c>
      <c r="S58" s="153">
        <v>1166119</v>
      </c>
      <c r="T58" s="153">
        <v>1148277</v>
      </c>
      <c r="U58" s="153">
        <v>1071174</v>
      </c>
      <c r="V58" s="153">
        <v>1010110</v>
      </c>
      <c r="W58" s="153">
        <v>989002</v>
      </c>
      <c r="X58" s="153">
        <v>940320</v>
      </c>
      <c r="Y58" s="153">
        <v>864347</v>
      </c>
      <c r="Z58" s="153">
        <v>765395</v>
      </c>
      <c r="AA58" s="153">
        <v>825819</v>
      </c>
      <c r="AB58" s="153">
        <v>787173</v>
      </c>
      <c r="AC58" s="153" t="s">
        <v>267</v>
      </c>
    </row>
    <row r="59" spans="1:29" ht="14.4" x14ac:dyDescent="0.25">
      <c r="A59" s="1" t="s">
        <v>268</v>
      </c>
      <c r="B59" s="6" t="s">
        <v>229</v>
      </c>
      <c r="C59" s="7">
        <v>4057093</v>
      </c>
      <c r="D59" s="153">
        <v>910244</v>
      </c>
      <c r="E59" s="153">
        <v>864104</v>
      </c>
      <c r="F59" s="153">
        <v>804479</v>
      </c>
      <c r="G59" s="153">
        <v>757516</v>
      </c>
      <c r="H59" s="153">
        <v>710451</v>
      </c>
      <c r="I59" s="153">
        <v>666985</v>
      </c>
      <c r="J59" s="153">
        <v>629952</v>
      </c>
      <c r="K59" s="153">
        <v>599849</v>
      </c>
      <c r="L59" s="153">
        <v>570361</v>
      </c>
      <c r="M59" s="153">
        <v>531943</v>
      </c>
      <c r="N59" s="153">
        <v>502079</v>
      </c>
      <c r="O59" s="153">
        <v>447522</v>
      </c>
      <c r="P59" s="153">
        <v>424054</v>
      </c>
      <c r="Q59" s="153">
        <v>401856</v>
      </c>
      <c r="R59" s="153">
        <v>383566</v>
      </c>
      <c r="S59" s="153">
        <v>359504</v>
      </c>
      <c r="T59" s="153">
        <v>334566</v>
      </c>
      <c r="U59" s="153">
        <v>316723</v>
      </c>
      <c r="V59" s="153">
        <v>299221</v>
      </c>
      <c r="W59" s="153">
        <v>291033</v>
      </c>
      <c r="X59" s="153">
        <v>278727</v>
      </c>
      <c r="Y59" s="153">
        <v>262716</v>
      </c>
      <c r="Z59" s="153">
        <v>245938</v>
      </c>
      <c r="AA59" s="153">
        <v>231266</v>
      </c>
      <c r="AB59" s="153">
        <v>218786</v>
      </c>
      <c r="AC59" s="153">
        <v>210209</v>
      </c>
    </row>
    <row r="60" spans="1:29" ht="14.4" x14ac:dyDescent="0.25">
      <c r="B60" s="6" t="s">
        <v>230</v>
      </c>
      <c r="C60" s="7">
        <v>4004218</v>
      </c>
      <c r="D60" s="153">
        <v>21629634</v>
      </c>
      <c r="E60" s="153">
        <v>20104953</v>
      </c>
      <c r="F60" s="153">
        <v>19091876</v>
      </c>
      <c r="G60" s="153">
        <v>17234280</v>
      </c>
      <c r="H60" s="153">
        <v>15656633</v>
      </c>
      <c r="I60" s="153">
        <v>14616168</v>
      </c>
      <c r="J60" s="153">
        <v>13573531</v>
      </c>
      <c r="K60" s="153">
        <v>12392946</v>
      </c>
      <c r="L60" s="153">
        <v>10818798</v>
      </c>
      <c r="M60" s="153">
        <v>10177943</v>
      </c>
      <c r="N60" s="153">
        <v>9670660</v>
      </c>
      <c r="O60" s="153">
        <v>9100170</v>
      </c>
      <c r="P60" s="153">
        <v>8727168</v>
      </c>
      <c r="Q60" s="153">
        <v>8330146</v>
      </c>
      <c r="R60" s="153">
        <v>8015097</v>
      </c>
      <c r="S60" s="153">
        <v>7756963</v>
      </c>
      <c r="T60" s="153">
        <v>7432783</v>
      </c>
      <c r="U60" s="153">
        <v>7229782</v>
      </c>
      <c r="V60" s="153">
        <v>7022633</v>
      </c>
      <c r="W60" s="153">
        <v>6746421</v>
      </c>
      <c r="X60" s="153">
        <v>6523568</v>
      </c>
      <c r="Y60" s="153">
        <v>6375179</v>
      </c>
      <c r="Z60" s="153">
        <v>6217242</v>
      </c>
      <c r="AA60" s="153">
        <v>5985326</v>
      </c>
      <c r="AB60" s="153">
        <v>5761685</v>
      </c>
      <c r="AC60" s="153">
        <v>5554164</v>
      </c>
    </row>
    <row r="61" spans="1:29" ht="14.4" x14ac:dyDescent="0.25">
      <c r="A61" s="1" t="s">
        <v>268</v>
      </c>
      <c r="B61" s="6" t="s">
        <v>288</v>
      </c>
      <c r="C61" s="7">
        <v>4062222</v>
      </c>
      <c r="D61" s="153">
        <v>3098384</v>
      </c>
      <c r="E61" s="153">
        <v>2899113</v>
      </c>
      <c r="F61" s="153">
        <v>2693986</v>
      </c>
      <c r="G61" s="153">
        <v>2503565</v>
      </c>
      <c r="H61" s="153">
        <v>2348125</v>
      </c>
      <c r="I61" s="153">
        <v>2205404</v>
      </c>
      <c r="J61" s="153">
        <v>2071390</v>
      </c>
      <c r="K61" s="153">
        <v>1932368</v>
      </c>
      <c r="L61" s="153">
        <v>1859524</v>
      </c>
      <c r="M61" s="153">
        <v>1792877</v>
      </c>
      <c r="N61" s="153">
        <v>1731766</v>
      </c>
      <c r="O61" s="153">
        <v>1679020</v>
      </c>
      <c r="P61" s="153">
        <v>1631395</v>
      </c>
      <c r="Q61" s="153">
        <v>1581557</v>
      </c>
      <c r="R61" s="153">
        <v>1536761</v>
      </c>
      <c r="S61" s="153">
        <v>1483555</v>
      </c>
      <c r="T61" s="153">
        <v>1435893</v>
      </c>
      <c r="U61" s="153">
        <v>1381341</v>
      </c>
      <c r="V61" s="153">
        <v>1319024</v>
      </c>
      <c r="W61" s="153">
        <v>1280788</v>
      </c>
      <c r="X61" s="153" t="s">
        <v>267</v>
      </c>
      <c r="Y61" s="153">
        <v>881393</v>
      </c>
      <c r="Z61" s="153">
        <v>877636</v>
      </c>
      <c r="AA61" s="153">
        <v>877562</v>
      </c>
      <c r="AB61" s="153">
        <v>875354</v>
      </c>
      <c r="AC61" s="153">
        <v>863494</v>
      </c>
    </row>
    <row r="62" spans="1:29" ht="14.4" x14ac:dyDescent="0.25">
      <c r="B62" s="6" t="s">
        <v>233</v>
      </c>
      <c r="C62" s="7">
        <v>4057135</v>
      </c>
      <c r="D62" s="153">
        <v>6155332</v>
      </c>
      <c r="E62" s="153">
        <v>5425568</v>
      </c>
      <c r="F62" s="153">
        <v>5006846</v>
      </c>
      <c r="G62" s="153">
        <v>4668238</v>
      </c>
      <c r="H62" s="153">
        <v>4248779</v>
      </c>
      <c r="I62" s="153">
        <v>4015916</v>
      </c>
      <c r="J62" s="153">
        <v>3784722</v>
      </c>
      <c r="K62" s="153">
        <v>3516344</v>
      </c>
      <c r="L62" s="153">
        <v>3223184</v>
      </c>
      <c r="M62" s="153">
        <v>2990432</v>
      </c>
      <c r="N62" s="153">
        <v>2793760</v>
      </c>
      <c r="O62" s="153">
        <v>2647415</v>
      </c>
      <c r="P62" s="153">
        <v>2590622</v>
      </c>
      <c r="Q62" s="153">
        <v>2504597</v>
      </c>
      <c r="R62" s="153">
        <v>2347950</v>
      </c>
      <c r="S62" s="153">
        <v>2248692</v>
      </c>
      <c r="T62" s="153">
        <v>2229919</v>
      </c>
      <c r="U62" s="153">
        <v>2182572</v>
      </c>
      <c r="V62" s="153">
        <v>2123311</v>
      </c>
      <c r="W62" s="153">
        <v>2081445</v>
      </c>
      <c r="X62" s="153">
        <v>2010778</v>
      </c>
      <c r="Y62" s="153">
        <v>1896199</v>
      </c>
      <c r="Z62" s="153">
        <v>1856057</v>
      </c>
      <c r="AA62" s="153">
        <v>1790803</v>
      </c>
      <c r="AB62" s="153">
        <v>1746600</v>
      </c>
      <c r="AC62" s="153">
        <v>1696723</v>
      </c>
    </row>
    <row r="63" spans="1:29" ht="14.4" x14ac:dyDescent="0.25">
      <c r="B63" s="6" t="s">
        <v>234</v>
      </c>
      <c r="C63" s="7">
        <v>4063341</v>
      </c>
      <c r="D63" s="153">
        <v>2177138</v>
      </c>
      <c r="E63" s="153">
        <v>1927747</v>
      </c>
      <c r="F63" s="153">
        <v>1750033</v>
      </c>
      <c r="G63" s="153">
        <v>1601118</v>
      </c>
      <c r="H63" s="153">
        <v>1495402</v>
      </c>
      <c r="I63" s="153">
        <v>1399219</v>
      </c>
      <c r="J63" s="153">
        <v>1302933</v>
      </c>
      <c r="K63" s="153">
        <v>1243594</v>
      </c>
      <c r="L63" s="153">
        <v>1165833</v>
      </c>
      <c r="M63" s="153">
        <v>1098010</v>
      </c>
      <c r="N63" s="153">
        <v>1045039</v>
      </c>
      <c r="O63" s="153">
        <v>1017413</v>
      </c>
      <c r="P63" s="153">
        <v>964615</v>
      </c>
      <c r="Q63" s="153">
        <v>873761</v>
      </c>
      <c r="R63" s="153">
        <v>845131</v>
      </c>
      <c r="S63" s="153">
        <v>796895</v>
      </c>
      <c r="T63" s="153">
        <v>770864</v>
      </c>
      <c r="U63" s="153">
        <v>741127</v>
      </c>
      <c r="V63" s="153">
        <v>616247</v>
      </c>
      <c r="W63" s="153">
        <v>619356</v>
      </c>
      <c r="X63" s="153">
        <v>597590</v>
      </c>
      <c r="Y63" s="153">
        <v>572817</v>
      </c>
      <c r="Z63" s="153">
        <v>500629</v>
      </c>
      <c r="AA63" s="153">
        <v>459829</v>
      </c>
      <c r="AB63" s="153">
        <v>399967</v>
      </c>
      <c r="AC63" s="153">
        <v>379385</v>
      </c>
    </row>
    <row r="64" spans="1:29" ht="14.4" x14ac:dyDescent="0.25">
      <c r="A64" s="1" t="s">
        <v>268</v>
      </c>
      <c r="B64" s="6" t="s">
        <v>289</v>
      </c>
      <c r="C64" s="7">
        <v>4083575</v>
      </c>
      <c r="D64" s="153">
        <v>2172098</v>
      </c>
      <c r="E64" s="153">
        <v>2038514</v>
      </c>
      <c r="F64" s="153">
        <v>1905082</v>
      </c>
      <c r="G64" s="153">
        <v>1793557</v>
      </c>
      <c r="H64" s="153">
        <v>1741522</v>
      </c>
      <c r="I64" s="153">
        <v>1685179</v>
      </c>
      <c r="J64" s="153">
        <v>1646712</v>
      </c>
      <c r="K64" s="153">
        <v>1596623</v>
      </c>
      <c r="L64" s="153">
        <v>1575797</v>
      </c>
      <c r="M64" s="153">
        <v>1555052</v>
      </c>
      <c r="N64" s="153">
        <v>1530513</v>
      </c>
      <c r="O64" s="153">
        <v>1502008</v>
      </c>
      <c r="P64" s="153">
        <v>1454940</v>
      </c>
      <c r="Q64" s="153">
        <v>1421124</v>
      </c>
      <c r="R64" s="153">
        <v>1389788</v>
      </c>
      <c r="S64" s="153">
        <v>1362007</v>
      </c>
      <c r="T64" s="153">
        <v>1315903</v>
      </c>
      <c r="U64" s="153">
        <v>1283894</v>
      </c>
      <c r="V64" s="153">
        <v>1250867</v>
      </c>
      <c r="W64" s="153">
        <v>1148936</v>
      </c>
      <c r="X64" s="153" t="s">
        <v>267</v>
      </c>
      <c r="Y64" s="153" t="s">
        <v>267</v>
      </c>
      <c r="Z64" s="153" t="s">
        <v>267</v>
      </c>
      <c r="AA64" s="153" t="s">
        <v>267</v>
      </c>
      <c r="AB64" s="153" t="s">
        <v>267</v>
      </c>
      <c r="AC64" s="153" t="s">
        <v>267</v>
      </c>
    </row>
    <row r="65" spans="1:29" ht="14.4" x14ac:dyDescent="0.25">
      <c r="B65" s="6" t="s">
        <v>290</v>
      </c>
      <c r="C65" s="7">
        <v>4062303</v>
      </c>
      <c r="D65" s="153">
        <v>3610</v>
      </c>
      <c r="E65" s="153">
        <v>3535</v>
      </c>
      <c r="F65" s="153">
        <v>3193</v>
      </c>
      <c r="G65" s="153">
        <v>3023</v>
      </c>
      <c r="H65" s="153" t="s">
        <v>267</v>
      </c>
      <c r="I65" s="153">
        <v>2893</v>
      </c>
      <c r="J65" s="153">
        <v>2764</v>
      </c>
      <c r="K65" s="153">
        <v>2690</v>
      </c>
      <c r="L65" s="153">
        <v>2568</v>
      </c>
      <c r="M65" s="153">
        <v>2077</v>
      </c>
      <c r="N65" s="153">
        <v>2042</v>
      </c>
      <c r="O65" s="153">
        <v>1922</v>
      </c>
      <c r="P65" s="153">
        <v>1853</v>
      </c>
      <c r="Q65" s="153">
        <v>1690</v>
      </c>
      <c r="R65" s="153">
        <v>1557</v>
      </c>
      <c r="S65" s="153">
        <v>1494</v>
      </c>
      <c r="T65" s="153">
        <v>1162</v>
      </c>
      <c r="U65" s="153">
        <v>1109</v>
      </c>
      <c r="V65" s="153">
        <v>1099</v>
      </c>
      <c r="W65" s="153">
        <v>1001</v>
      </c>
      <c r="X65" s="153">
        <v>902</v>
      </c>
      <c r="Y65" s="153" t="s">
        <v>267</v>
      </c>
      <c r="Z65" s="153" t="s">
        <v>267</v>
      </c>
      <c r="AA65" s="153" t="s">
        <v>267</v>
      </c>
      <c r="AB65" s="153" t="s">
        <v>267</v>
      </c>
      <c r="AC65" s="153" t="s">
        <v>267</v>
      </c>
    </row>
    <row r="66" spans="1:29" ht="14.4" x14ac:dyDescent="0.25">
      <c r="B66" s="6" t="s">
        <v>291</v>
      </c>
      <c r="C66" s="7">
        <v>4083581</v>
      </c>
      <c r="D66" s="153">
        <v>9048</v>
      </c>
      <c r="E66" s="153">
        <v>8762</v>
      </c>
      <c r="F66" s="153">
        <v>8540</v>
      </c>
      <c r="G66" s="153">
        <v>8260</v>
      </c>
      <c r="H66" s="153">
        <v>7538</v>
      </c>
      <c r="I66" s="153">
        <v>7069</v>
      </c>
      <c r="J66" s="153">
        <v>6517</v>
      </c>
      <c r="K66" s="153">
        <v>6854</v>
      </c>
      <c r="L66" s="153">
        <v>6517</v>
      </c>
      <c r="M66" s="153">
        <v>6512</v>
      </c>
      <c r="N66" s="153">
        <v>6382</v>
      </c>
      <c r="O66" s="153">
        <v>6375</v>
      </c>
      <c r="P66" s="153">
        <v>6345</v>
      </c>
      <c r="Q66" s="153">
        <v>6355</v>
      </c>
      <c r="R66" s="153">
        <v>6213</v>
      </c>
      <c r="S66" s="153">
        <v>6100</v>
      </c>
      <c r="T66" s="153">
        <v>5782</v>
      </c>
      <c r="U66" s="153">
        <v>5466</v>
      </c>
      <c r="V66" s="153" t="s">
        <v>267</v>
      </c>
      <c r="W66" s="153">
        <v>5090</v>
      </c>
      <c r="X66" s="153">
        <v>4666</v>
      </c>
      <c r="Y66" s="153" t="s">
        <v>267</v>
      </c>
      <c r="Z66" s="153" t="s">
        <v>267</v>
      </c>
      <c r="AA66" s="153" t="s">
        <v>267</v>
      </c>
      <c r="AB66" s="153" t="s">
        <v>267</v>
      </c>
      <c r="AC66" s="153" t="s">
        <v>267</v>
      </c>
    </row>
    <row r="67" spans="1:29" ht="14.4" x14ac:dyDescent="0.25">
      <c r="B67" s="6" t="s">
        <v>236</v>
      </c>
      <c r="C67" s="7">
        <v>4057139</v>
      </c>
      <c r="D67" s="153">
        <v>2850859</v>
      </c>
      <c r="E67" s="153">
        <v>2726254</v>
      </c>
      <c r="F67" s="153">
        <v>2367788</v>
      </c>
      <c r="G67" s="153">
        <v>2203874</v>
      </c>
      <c r="H67" s="153">
        <v>1932599</v>
      </c>
      <c r="I67" s="153">
        <v>1728159</v>
      </c>
      <c r="J67" s="153">
        <v>1629932</v>
      </c>
      <c r="K67" s="153">
        <v>1481902</v>
      </c>
      <c r="L67" s="153">
        <v>1426106</v>
      </c>
      <c r="M67" s="153">
        <v>1370866</v>
      </c>
      <c r="N67" s="153">
        <v>1297274</v>
      </c>
      <c r="O67" s="153">
        <v>1259200</v>
      </c>
      <c r="P67" s="153">
        <v>1231059</v>
      </c>
      <c r="Q67" s="153">
        <v>1151481</v>
      </c>
      <c r="R67" s="153">
        <v>1077273</v>
      </c>
      <c r="S67" s="153">
        <v>991344</v>
      </c>
      <c r="T67" s="153">
        <v>940817</v>
      </c>
      <c r="U67" s="153">
        <v>915872</v>
      </c>
      <c r="V67" s="153">
        <v>885998</v>
      </c>
      <c r="W67" s="153">
        <v>842772</v>
      </c>
      <c r="X67" s="153">
        <v>764785</v>
      </c>
      <c r="Y67" s="153">
        <v>754087</v>
      </c>
      <c r="Z67" s="153">
        <v>718213</v>
      </c>
      <c r="AA67" s="153">
        <v>671071</v>
      </c>
      <c r="AB67" s="153">
        <v>617544</v>
      </c>
      <c r="AC67" s="153">
        <v>561929</v>
      </c>
    </row>
    <row r="68" spans="1:29" ht="14.4" x14ac:dyDescent="0.25">
      <c r="A68" s="1" t="s">
        <v>268</v>
      </c>
      <c r="B68" s="6" t="s">
        <v>238</v>
      </c>
      <c r="C68" s="7">
        <v>4057095</v>
      </c>
      <c r="D68" s="153" t="s">
        <v>267</v>
      </c>
      <c r="E68" s="153">
        <v>8711024</v>
      </c>
      <c r="F68" s="153">
        <v>8126332</v>
      </c>
      <c r="G68" s="153">
        <v>7350276</v>
      </c>
      <c r="H68" s="153">
        <v>6634736</v>
      </c>
      <c r="I68" s="153">
        <v>6119161</v>
      </c>
      <c r="J68" s="153">
        <v>5736847</v>
      </c>
      <c r="K68" s="153">
        <v>5485700</v>
      </c>
      <c r="L68" s="153">
        <v>5322287</v>
      </c>
      <c r="M68" s="153">
        <v>5119132</v>
      </c>
      <c r="N68" s="153">
        <v>4948477</v>
      </c>
      <c r="O68" s="153">
        <v>4703023</v>
      </c>
      <c r="P68" s="153">
        <v>4525896</v>
      </c>
      <c r="Q68" s="153">
        <v>4322406</v>
      </c>
      <c r="R68" s="153">
        <v>4167457</v>
      </c>
      <c r="S68" s="153">
        <v>3976672</v>
      </c>
      <c r="T68" s="153">
        <v>3731368</v>
      </c>
      <c r="U68" s="153">
        <v>3596394</v>
      </c>
      <c r="V68" s="153">
        <v>3436393</v>
      </c>
      <c r="W68" s="153">
        <v>3284628</v>
      </c>
      <c r="X68" s="153">
        <v>3176805</v>
      </c>
      <c r="Y68" s="153">
        <v>3019300</v>
      </c>
      <c r="Z68" s="153">
        <v>2847093</v>
      </c>
      <c r="AA68" s="153">
        <v>2697343</v>
      </c>
      <c r="AB68" s="153">
        <v>2555901</v>
      </c>
      <c r="AC68" s="153">
        <v>2442572</v>
      </c>
    </row>
    <row r="69" spans="1:29" ht="14.4" x14ac:dyDescent="0.25">
      <c r="B69" s="6" t="s">
        <v>239</v>
      </c>
      <c r="C69" s="7">
        <v>4062485</v>
      </c>
      <c r="D69" s="153">
        <v>4507642</v>
      </c>
      <c r="E69" s="153">
        <v>4232155</v>
      </c>
      <c r="F69" s="153">
        <v>3975895</v>
      </c>
      <c r="G69" s="153">
        <v>3740526</v>
      </c>
      <c r="H69" s="153">
        <v>3532504</v>
      </c>
      <c r="I69" s="153">
        <v>3345940</v>
      </c>
      <c r="J69" s="153">
        <v>3220615</v>
      </c>
      <c r="K69" s="153">
        <v>3075337</v>
      </c>
      <c r="L69" s="153">
        <v>2946179</v>
      </c>
      <c r="M69" s="153">
        <v>2791268</v>
      </c>
      <c r="N69" s="153">
        <v>2690606</v>
      </c>
      <c r="O69" s="153">
        <v>2580448</v>
      </c>
      <c r="P69" s="153">
        <v>2446775</v>
      </c>
      <c r="Q69" s="153">
        <v>2273292</v>
      </c>
      <c r="R69" s="153">
        <v>2097628</v>
      </c>
      <c r="S69" s="153">
        <v>1959946</v>
      </c>
      <c r="T69" s="153">
        <v>1848843</v>
      </c>
      <c r="U69" s="153">
        <v>1707559</v>
      </c>
      <c r="V69" s="153">
        <v>1618020</v>
      </c>
      <c r="W69" s="153">
        <v>1518251</v>
      </c>
      <c r="X69" s="153">
        <v>1406306</v>
      </c>
      <c r="Y69" s="153">
        <v>1307207</v>
      </c>
      <c r="Z69" s="153">
        <v>1218354</v>
      </c>
      <c r="AA69" s="153">
        <v>1169466</v>
      </c>
      <c r="AB69" s="153">
        <v>1147927</v>
      </c>
      <c r="AC69" s="153">
        <v>1068545</v>
      </c>
    </row>
    <row r="70" spans="1:29" ht="14.4" x14ac:dyDescent="0.25">
      <c r="B70" s="6" t="s">
        <v>240</v>
      </c>
      <c r="C70" s="7">
        <v>4057140</v>
      </c>
      <c r="D70" s="153">
        <v>3525652</v>
      </c>
      <c r="E70" s="153">
        <v>3306186</v>
      </c>
      <c r="F70" s="153">
        <v>3166151</v>
      </c>
      <c r="G70" s="153">
        <v>2976386</v>
      </c>
      <c r="H70" s="153">
        <v>2826523</v>
      </c>
      <c r="I70" s="153">
        <v>2518247</v>
      </c>
      <c r="J70" s="153">
        <v>2309700</v>
      </c>
      <c r="K70" s="153">
        <v>2151651</v>
      </c>
      <c r="L70" s="153">
        <v>1971070</v>
      </c>
      <c r="M70" s="153">
        <v>1866456</v>
      </c>
      <c r="N70" s="153">
        <v>1761511</v>
      </c>
      <c r="O70" s="153">
        <v>1680562</v>
      </c>
      <c r="P70" s="153">
        <v>1621809</v>
      </c>
      <c r="Q70" s="153">
        <v>1504723</v>
      </c>
      <c r="R70" s="153">
        <v>1385862</v>
      </c>
      <c r="S70" s="153">
        <v>1363285</v>
      </c>
      <c r="T70" s="153">
        <v>1299645</v>
      </c>
      <c r="U70" s="153">
        <v>1219302</v>
      </c>
      <c r="V70" s="153">
        <v>1176976</v>
      </c>
      <c r="W70" s="153">
        <v>1111006</v>
      </c>
      <c r="X70" s="153">
        <v>1041063</v>
      </c>
      <c r="Y70" s="153">
        <v>943591</v>
      </c>
      <c r="Z70" s="153">
        <v>897118</v>
      </c>
      <c r="AA70" s="153">
        <v>836491</v>
      </c>
      <c r="AB70" s="153">
        <v>804234</v>
      </c>
      <c r="AC70" s="153">
        <v>763290</v>
      </c>
    </row>
    <row r="71" spans="1:29" ht="14.4" x14ac:dyDescent="0.25">
      <c r="A71" s="1" t="s">
        <v>268</v>
      </c>
      <c r="B71" s="6" t="s">
        <v>243</v>
      </c>
      <c r="C71" s="7">
        <v>4057096</v>
      </c>
      <c r="D71" s="153">
        <v>1035679</v>
      </c>
      <c r="E71" s="153">
        <v>994193</v>
      </c>
      <c r="F71" s="153">
        <v>911829</v>
      </c>
      <c r="G71" s="153">
        <v>875117</v>
      </c>
      <c r="H71" s="153">
        <v>794212</v>
      </c>
      <c r="I71" s="153">
        <v>761755</v>
      </c>
      <c r="J71" s="153">
        <v>742387</v>
      </c>
      <c r="K71" s="153">
        <v>717183</v>
      </c>
      <c r="L71" s="153">
        <v>691619</v>
      </c>
      <c r="M71" s="153">
        <v>660125</v>
      </c>
      <c r="N71" s="153">
        <v>638630</v>
      </c>
      <c r="O71" s="153">
        <v>620776</v>
      </c>
      <c r="P71" s="153">
        <v>614221</v>
      </c>
      <c r="Q71" s="153">
        <v>599654</v>
      </c>
      <c r="R71" s="153">
        <v>585293</v>
      </c>
      <c r="S71" s="153">
        <v>573380</v>
      </c>
      <c r="T71" s="153">
        <v>557908</v>
      </c>
      <c r="U71" s="153" t="s">
        <v>267</v>
      </c>
      <c r="V71" s="153" t="s">
        <v>267</v>
      </c>
      <c r="W71" s="153">
        <v>496594</v>
      </c>
      <c r="X71" s="153">
        <v>471051</v>
      </c>
      <c r="Y71" s="153">
        <v>453635</v>
      </c>
      <c r="Z71" s="153">
        <v>435318</v>
      </c>
      <c r="AA71" s="153">
        <v>416989</v>
      </c>
      <c r="AB71" s="153">
        <v>391231</v>
      </c>
      <c r="AC71" s="153">
        <v>382071</v>
      </c>
    </row>
    <row r="72" spans="1:29" ht="14.4" x14ac:dyDescent="0.25">
      <c r="B72" s="6" t="s">
        <v>292</v>
      </c>
      <c r="C72" s="7">
        <v>4057097</v>
      </c>
      <c r="D72" s="153" t="s">
        <v>267</v>
      </c>
      <c r="E72" s="153" t="s">
        <v>267</v>
      </c>
      <c r="F72" s="153">
        <v>2382699</v>
      </c>
      <c r="G72" s="153">
        <v>2186086</v>
      </c>
      <c r="H72" s="153">
        <v>1896993</v>
      </c>
      <c r="I72" s="153">
        <v>1641760</v>
      </c>
      <c r="J72" s="153">
        <v>1535049</v>
      </c>
      <c r="K72" s="153">
        <v>1454074</v>
      </c>
      <c r="L72" s="153">
        <v>1405856</v>
      </c>
      <c r="M72" s="153">
        <v>1348547</v>
      </c>
      <c r="N72" s="153">
        <v>1280263</v>
      </c>
      <c r="O72" s="153">
        <v>1203600</v>
      </c>
      <c r="P72" s="153">
        <v>1149828</v>
      </c>
      <c r="Q72" s="153">
        <v>1142517</v>
      </c>
      <c r="R72" s="153">
        <v>1118580</v>
      </c>
      <c r="S72" s="153">
        <v>1086765</v>
      </c>
      <c r="T72" s="153">
        <v>1034643</v>
      </c>
      <c r="U72" s="153">
        <v>1011366</v>
      </c>
      <c r="V72" s="153">
        <v>982290</v>
      </c>
      <c r="W72" s="153">
        <v>954909</v>
      </c>
      <c r="X72" s="153">
        <v>924926</v>
      </c>
      <c r="Y72" s="153">
        <v>902823</v>
      </c>
      <c r="Z72" s="153">
        <v>868564</v>
      </c>
      <c r="AA72" s="153">
        <v>844007</v>
      </c>
      <c r="AB72" s="153">
        <v>809200</v>
      </c>
      <c r="AC72" s="153">
        <v>763101</v>
      </c>
    </row>
    <row r="73" spans="1:29" ht="14.4" x14ac:dyDescent="0.25">
      <c r="B73" s="6" t="s">
        <v>293</v>
      </c>
      <c r="C73" s="7">
        <v>4057098</v>
      </c>
      <c r="D73" s="153" t="s">
        <v>267</v>
      </c>
      <c r="E73" s="153">
        <v>429421</v>
      </c>
      <c r="F73" s="153">
        <v>415461</v>
      </c>
      <c r="G73" s="153">
        <v>402790</v>
      </c>
      <c r="H73" s="153">
        <v>394618</v>
      </c>
      <c r="I73" s="153">
        <v>385431</v>
      </c>
      <c r="J73" s="153">
        <v>376578</v>
      </c>
      <c r="K73" s="153">
        <v>367578</v>
      </c>
      <c r="L73" s="153">
        <v>351629</v>
      </c>
      <c r="M73" s="153">
        <v>314781</v>
      </c>
      <c r="N73" s="153">
        <v>306068</v>
      </c>
      <c r="O73" s="153">
        <v>297904</v>
      </c>
      <c r="P73" s="153">
        <v>280238</v>
      </c>
      <c r="Q73" s="153">
        <v>268738</v>
      </c>
      <c r="R73" s="153">
        <v>254382</v>
      </c>
      <c r="S73" s="153">
        <v>242891</v>
      </c>
      <c r="T73" s="153">
        <v>228386</v>
      </c>
      <c r="U73" s="153">
        <v>219417</v>
      </c>
      <c r="V73" s="153">
        <v>202670</v>
      </c>
      <c r="W73" s="153" t="s">
        <v>267</v>
      </c>
      <c r="X73" s="153">
        <v>174647</v>
      </c>
      <c r="Y73" s="153">
        <v>161736</v>
      </c>
      <c r="Z73" s="153">
        <v>154578</v>
      </c>
      <c r="AA73" s="153">
        <v>146634</v>
      </c>
      <c r="AB73" s="153">
        <v>134656</v>
      </c>
      <c r="AC73" s="153">
        <v>125497</v>
      </c>
    </row>
    <row r="74" spans="1:29" ht="14.4" x14ac:dyDescent="0.25">
      <c r="A74" s="1" t="s">
        <v>268</v>
      </c>
      <c r="B74" s="6" t="s">
        <v>244</v>
      </c>
      <c r="C74" s="7">
        <v>4063023</v>
      </c>
      <c r="D74" s="153" t="s">
        <v>267</v>
      </c>
      <c r="E74" s="153">
        <v>3047369</v>
      </c>
      <c r="F74" s="153">
        <v>2823101</v>
      </c>
      <c r="G74" s="153">
        <v>2541051</v>
      </c>
      <c r="H74" s="153">
        <v>2359522</v>
      </c>
      <c r="I74" s="153">
        <v>2139898</v>
      </c>
      <c r="J74" s="153">
        <v>1923107</v>
      </c>
      <c r="K74" s="153">
        <v>1742237</v>
      </c>
      <c r="L74" s="153">
        <v>1618932</v>
      </c>
      <c r="M74" s="153">
        <v>1482690</v>
      </c>
      <c r="N74" s="153">
        <v>1365232</v>
      </c>
      <c r="O74" s="153">
        <v>1234168</v>
      </c>
      <c r="P74" s="153">
        <v>1166358</v>
      </c>
      <c r="Q74" s="153">
        <v>1119806</v>
      </c>
      <c r="R74" s="153">
        <v>1075194</v>
      </c>
      <c r="S74" s="153">
        <v>1014402</v>
      </c>
      <c r="T74" s="153">
        <v>943313</v>
      </c>
      <c r="U74" s="153">
        <v>889136</v>
      </c>
      <c r="V74" s="153">
        <v>841653</v>
      </c>
      <c r="W74" s="153">
        <v>801063</v>
      </c>
      <c r="X74" s="153">
        <v>761086</v>
      </c>
      <c r="Y74" s="153">
        <v>718478</v>
      </c>
      <c r="Z74" s="153">
        <v>676480</v>
      </c>
      <c r="AA74" s="153">
        <v>615806</v>
      </c>
      <c r="AB74" s="153">
        <v>573548</v>
      </c>
      <c r="AC74" s="153">
        <v>538139</v>
      </c>
    </row>
    <row r="75" spans="1:29" ht="14.4" x14ac:dyDescent="0.25">
      <c r="B75" s="6" t="s">
        <v>245</v>
      </c>
      <c r="C75" s="7">
        <v>4057146</v>
      </c>
      <c r="D75" s="153" t="s">
        <v>267</v>
      </c>
      <c r="E75" s="153">
        <v>18281117</v>
      </c>
      <c r="F75" s="153">
        <v>17178926</v>
      </c>
      <c r="G75" s="153">
        <v>15675511</v>
      </c>
      <c r="H75" s="153">
        <v>14346945</v>
      </c>
      <c r="I75" s="153">
        <v>13161515</v>
      </c>
      <c r="J75" s="153">
        <v>12022432</v>
      </c>
      <c r="K75" s="153">
        <v>11321853</v>
      </c>
      <c r="L75" s="153">
        <v>10683957</v>
      </c>
      <c r="M75" s="153">
        <v>9976028</v>
      </c>
      <c r="N75" s="153">
        <v>9286535</v>
      </c>
      <c r="O75" s="153">
        <v>8813382</v>
      </c>
      <c r="P75" s="153">
        <v>8429380</v>
      </c>
      <c r="Q75" s="153">
        <v>8089647</v>
      </c>
      <c r="R75" s="153">
        <v>7827324</v>
      </c>
      <c r="S75" s="153">
        <v>7427607</v>
      </c>
      <c r="T75" s="153">
        <v>7069652</v>
      </c>
      <c r="U75" s="153">
        <v>6797173</v>
      </c>
      <c r="V75" s="153">
        <v>6473455</v>
      </c>
      <c r="W75" s="153">
        <v>6234647</v>
      </c>
      <c r="X75" s="153">
        <v>6148438</v>
      </c>
      <c r="Y75" s="153">
        <v>6014463</v>
      </c>
      <c r="Z75" s="153">
        <v>5899908</v>
      </c>
      <c r="AA75" s="153">
        <v>5807948</v>
      </c>
      <c r="AB75" s="153">
        <v>5793759</v>
      </c>
      <c r="AC75" s="153" t="s">
        <v>267</v>
      </c>
    </row>
    <row r="76" spans="1:29" ht="14.4" x14ac:dyDescent="0.25">
      <c r="A76" s="1" t="s">
        <v>268</v>
      </c>
      <c r="B76" s="6" t="s">
        <v>247</v>
      </c>
      <c r="C76" s="7">
        <v>4063060</v>
      </c>
      <c r="D76" s="153">
        <v>1109821</v>
      </c>
      <c r="E76" s="153">
        <v>1051580</v>
      </c>
      <c r="F76" s="153">
        <v>984639</v>
      </c>
      <c r="G76" s="153">
        <v>900742</v>
      </c>
      <c r="H76" s="153">
        <v>863316</v>
      </c>
      <c r="I76" s="153">
        <v>807062</v>
      </c>
      <c r="J76" s="153">
        <v>735931</v>
      </c>
      <c r="K76" s="153">
        <v>688427</v>
      </c>
      <c r="L76" s="153">
        <v>668946</v>
      </c>
      <c r="M76" s="153">
        <v>643633</v>
      </c>
      <c r="N76" s="153">
        <v>625099</v>
      </c>
      <c r="O76" s="153">
        <v>613478</v>
      </c>
      <c r="P76" s="153">
        <v>597404</v>
      </c>
      <c r="Q76" s="153">
        <v>573169</v>
      </c>
      <c r="R76" s="153">
        <v>570197</v>
      </c>
      <c r="S76" s="153">
        <v>549696</v>
      </c>
      <c r="T76" s="153">
        <v>521746</v>
      </c>
      <c r="U76" s="153">
        <v>504283</v>
      </c>
      <c r="V76" s="153">
        <v>485511</v>
      </c>
      <c r="W76" s="153">
        <v>464313</v>
      </c>
      <c r="X76" s="153">
        <v>437047</v>
      </c>
      <c r="Y76" s="153" t="s">
        <v>267</v>
      </c>
      <c r="Z76" s="153">
        <v>406948</v>
      </c>
      <c r="AA76" s="153">
        <v>396263</v>
      </c>
      <c r="AB76" s="153">
        <v>372776</v>
      </c>
      <c r="AC76" s="153">
        <v>350716</v>
      </c>
    </row>
    <row r="77" spans="1:29" ht="14.4" x14ac:dyDescent="0.25">
      <c r="B77" s="6" t="s">
        <v>248</v>
      </c>
      <c r="C77" s="7">
        <v>4057100</v>
      </c>
      <c r="D77" s="153">
        <v>573423</v>
      </c>
      <c r="E77" s="153">
        <v>533491</v>
      </c>
      <c r="F77" s="153">
        <v>483339</v>
      </c>
      <c r="G77" s="153">
        <v>427379</v>
      </c>
      <c r="H77" s="153">
        <v>387005</v>
      </c>
      <c r="I77" s="153">
        <v>351007</v>
      </c>
      <c r="J77" s="153">
        <v>314682</v>
      </c>
      <c r="K77" s="153">
        <v>277939</v>
      </c>
      <c r="L77" s="153">
        <v>264799</v>
      </c>
      <c r="M77" s="153">
        <v>255115</v>
      </c>
      <c r="N77" s="153">
        <v>246710</v>
      </c>
      <c r="O77" s="153">
        <v>229187</v>
      </c>
      <c r="P77" s="153">
        <v>209486</v>
      </c>
      <c r="Q77" s="153">
        <v>198221</v>
      </c>
      <c r="R77" s="153">
        <v>192504</v>
      </c>
      <c r="S77" s="153">
        <v>182191</v>
      </c>
      <c r="T77" s="153">
        <v>175353</v>
      </c>
      <c r="U77" s="153">
        <v>170866</v>
      </c>
      <c r="V77" s="153">
        <v>164511</v>
      </c>
      <c r="W77" s="153">
        <v>155051</v>
      </c>
      <c r="X77" s="153">
        <v>152357</v>
      </c>
      <c r="Y77" s="153">
        <v>147324</v>
      </c>
      <c r="Z77" s="153">
        <v>141256</v>
      </c>
      <c r="AA77" s="153">
        <v>134255</v>
      </c>
      <c r="AB77" s="153">
        <v>124608</v>
      </c>
      <c r="AC77" s="153">
        <v>118130</v>
      </c>
    </row>
    <row r="78" spans="1:29" ht="14.4" x14ac:dyDescent="0.25">
      <c r="B78" s="6" t="s">
        <v>294</v>
      </c>
      <c r="C78" s="7">
        <v>4064035</v>
      </c>
      <c r="D78" s="153" t="s">
        <v>267</v>
      </c>
      <c r="E78" s="153">
        <v>66197</v>
      </c>
      <c r="F78" s="153">
        <v>58637</v>
      </c>
      <c r="G78" s="153">
        <v>55916</v>
      </c>
      <c r="H78" s="153">
        <v>54062</v>
      </c>
      <c r="I78" s="153">
        <v>51191</v>
      </c>
      <c r="J78" s="153">
        <v>47366</v>
      </c>
      <c r="K78" s="153">
        <v>45155</v>
      </c>
      <c r="L78" s="153">
        <v>42069</v>
      </c>
      <c r="M78" s="153">
        <v>40807</v>
      </c>
      <c r="N78" s="153">
        <v>39617</v>
      </c>
      <c r="O78" s="153">
        <v>38225</v>
      </c>
      <c r="P78" s="153">
        <v>36894</v>
      </c>
      <c r="Q78" s="153">
        <v>35680</v>
      </c>
      <c r="R78" s="153">
        <v>34226</v>
      </c>
      <c r="S78" s="153">
        <v>32946</v>
      </c>
      <c r="T78" s="153">
        <v>31829</v>
      </c>
      <c r="U78" s="153">
        <v>30787</v>
      </c>
      <c r="V78" s="153" t="s">
        <v>267</v>
      </c>
      <c r="W78" s="153">
        <v>28467</v>
      </c>
      <c r="X78" s="153">
        <v>27667</v>
      </c>
      <c r="Y78" s="153" t="s">
        <v>267</v>
      </c>
      <c r="Z78" s="153">
        <v>24819</v>
      </c>
      <c r="AA78" s="153">
        <v>23657</v>
      </c>
      <c r="AB78" s="153">
        <v>22478</v>
      </c>
      <c r="AC78" s="153">
        <v>20580</v>
      </c>
    </row>
    <row r="79" spans="1:29" ht="14.4" x14ac:dyDescent="0.25">
      <c r="B79" s="6" t="s">
        <v>295</v>
      </c>
      <c r="C79" s="7">
        <v>4060957</v>
      </c>
      <c r="D79" s="153">
        <v>2456603</v>
      </c>
      <c r="E79" s="153">
        <v>2296306</v>
      </c>
      <c r="F79" s="153">
        <v>2136412</v>
      </c>
      <c r="G79" s="153">
        <v>2037408</v>
      </c>
      <c r="H79" s="153">
        <v>1858737</v>
      </c>
      <c r="I79" s="153">
        <v>1760731</v>
      </c>
      <c r="J79" s="153">
        <v>1638164</v>
      </c>
      <c r="K79" s="153">
        <v>1563570</v>
      </c>
      <c r="L79" s="153">
        <v>1430773</v>
      </c>
      <c r="M79" s="153">
        <v>1358095</v>
      </c>
      <c r="N79" s="153">
        <v>1305657</v>
      </c>
      <c r="O79" s="153">
        <v>1262325</v>
      </c>
      <c r="P79" s="153">
        <v>1216064</v>
      </c>
      <c r="Q79" s="153">
        <v>1173731</v>
      </c>
      <c r="R79" s="153">
        <v>1139113</v>
      </c>
      <c r="S79" s="153">
        <v>1093484</v>
      </c>
      <c r="T79" s="153">
        <v>1056031</v>
      </c>
      <c r="U79" s="153">
        <v>1018403</v>
      </c>
      <c r="V79" s="153">
        <v>942571</v>
      </c>
      <c r="W79" s="153">
        <v>942571</v>
      </c>
      <c r="X79" s="153">
        <v>866321</v>
      </c>
      <c r="Y79" s="153">
        <v>866321</v>
      </c>
      <c r="Z79" s="153">
        <v>816748</v>
      </c>
      <c r="AA79" s="153">
        <v>781338</v>
      </c>
      <c r="AB79" s="153">
        <v>770725</v>
      </c>
      <c r="AC79" s="153">
        <v>735866</v>
      </c>
    </row>
    <row r="80" spans="1:29" ht="14.4" x14ac:dyDescent="0.25">
      <c r="B80" s="6" t="s">
        <v>250</v>
      </c>
      <c r="C80" s="7">
        <v>4063179</v>
      </c>
      <c r="D80" s="153">
        <v>8236</v>
      </c>
      <c r="E80" s="153">
        <v>8215</v>
      </c>
      <c r="F80" s="153">
        <v>7739</v>
      </c>
      <c r="G80" s="153">
        <v>7387</v>
      </c>
      <c r="H80" s="153">
        <v>7236</v>
      </c>
      <c r="I80" s="153">
        <v>7060</v>
      </c>
      <c r="J80" s="153">
        <v>6874</v>
      </c>
      <c r="K80" s="153">
        <v>6732</v>
      </c>
      <c r="L80" s="153">
        <v>6650</v>
      </c>
      <c r="M80" s="153">
        <v>6641</v>
      </c>
      <c r="N80" s="153">
        <v>6565</v>
      </c>
      <c r="O80" s="153">
        <v>6326</v>
      </c>
      <c r="P80" s="153">
        <v>6253</v>
      </c>
      <c r="Q80" s="153">
        <v>6217</v>
      </c>
      <c r="R80" s="153">
        <v>6210</v>
      </c>
      <c r="S80" s="153">
        <v>6124</v>
      </c>
      <c r="T80" s="153">
        <v>6131</v>
      </c>
      <c r="U80" s="153">
        <v>6135</v>
      </c>
      <c r="V80" s="153">
        <v>6146</v>
      </c>
      <c r="W80" s="153">
        <v>6076</v>
      </c>
      <c r="X80" s="153">
        <v>5978</v>
      </c>
      <c r="Y80" s="153">
        <v>6061</v>
      </c>
      <c r="Z80" s="153">
        <v>5972</v>
      </c>
      <c r="AA80" s="153">
        <v>5924</v>
      </c>
      <c r="AB80" s="153">
        <v>5403</v>
      </c>
      <c r="AC80" s="153">
        <v>5229</v>
      </c>
    </row>
    <row r="81" spans="1:29" ht="14.4" x14ac:dyDescent="0.25">
      <c r="A81" s="1" t="s">
        <v>268</v>
      </c>
      <c r="B81" s="6" t="s">
        <v>251</v>
      </c>
      <c r="C81" s="7">
        <v>4063183</v>
      </c>
      <c r="D81" s="153">
        <v>80338</v>
      </c>
      <c r="E81" s="153">
        <v>77365</v>
      </c>
      <c r="F81" s="153">
        <v>98324</v>
      </c>
      <c r="G81" s="153">
        <v>100324</v>
      </c>
      <c r="H81" s="153">
        <v>100197</v>
      </c>
      <c r="I81" s="153">
        <v>100395</v>
      </c>
      <c r="J81" s="153">
        <v>68241</v>
      </c>
      <c r="K81" s="153">
        <v>65079</v>
      </c>
      <c r="L81" s="153">
        <v>51036</v>
      </c>
      <c r="M81" s="153">
        <v>49105</v>
      </c>
      <c r="N81" s="153">
        <v>48132</v>
      </c>
      <c r="O81" s="153">
        <v>46728</v>
      </c>
      <c r="P81" s="153">
        <v>45103</v>
      </c>
      <c r="Q81" s="153">
        <v>44491</v>
      </c>
      <c r="R81" s="153">
        <v>43244</v>
      </c>
      <c r="S81" s="153">
        <v>41988</v>
      </c>
      <c r="T81" s="153">
        <v>41637</v>
      </c>
      <c r="U81" s="153">
        <v>41260</v>
      </c>
      <c r="V81" s="153">
        <v>40527</v>
      </c>
      <c r="W81" s="153">
        <v>40110</v>
      </c>
      <c r="X81" s="153">
        <v>39653</v>
      </c>
      <c r="Y81" s="153">
        <v>38770</v>
      </c>
      <c r="Z81" s="153">
        <v>38237</v>
      </c>
      <c r="AA81" s="153">
        <v>35933</v>
      </c>
      <c r="AB81" s="153">
        <v>35081</v>
      </c>
      <c r="AC81" s="153">
        <v>33382</v>
      </c>
    </row>
    <row r="82" spans="1:29" ht="14.4" x14ac:dyDescent="0.25">
      <c r="B82" s="6" t="s">
        <v>252</v>
      </c>
      <c r="C82" s="7">
        <v>4063281</v>
      </c>
      <c r="D82" s="153">
        <v>38359</v>
      </c>
      <c r="E82" s="153">
        <v>36878</v>
      </c>
      <c r="F82" s="153">
        <v>34270</v>
      </c>
      <c r="G82" s="153">
        <v>31290</v>
      </c>
      <c r="H82" s="153">
        <v>28999</v>
      </c>
      <c r="I82" s="153">
        <v>25998</v>
      </c>
      <c r="J82" s="153">
        <v>25583</v>
      </c>
      <c r="K82" s="153">
        <v>24684</v>
      </c>
      <c r="L82" s="153">
        <v>23379</v>
      </c>
      <c r="M82" s="153">
        <v>22746</v>
      </c>
      <c r="N82" s="153">
        <v>22099</v>
      </c>
      <c r="O82" s="153">
        <v>21543</v>
      </c>
      <c r="P82" s="153">
        <v>20782</v>
      </c>
      <c r="Q82" s="153">
        <v>20162</v>
      </c>
      <c r="R82" s="153">
        <v>19736</v>
      </c>
      <c r="S82" s="153">
        <v>19276</v>
      </c>
      <c r="T82" s="153">
        <v>18816</v>
      </c>
      <c r="U82" s="153">
        <v>17750</v>
      </c>
      <c r="V82" s="153">
        <v>17255</v>
      </c>
      <c r="W82" s="153">
        <v>15588</v>
      </c>
      <c r="X82" s="153">
        <v>15206</v>
      </c>
      <c r="Y82" s="153">
        <v>14791</v>
      </c>
      <c r="Z82" s="153">
        <v>14543</v>
      </c>
      <c r="AA82" s="153">
        <v>14266</v>
      </c>
      <c r="AB82" s="153">
        <v>12707</v>
      </c>
      <c r="AC82" s="153">
        <v>12215</v>
      </c>
    </row>
    <row r="83" spans="1:29" ht="14.4" x14ac:dyDescent="0.25">
      <c r="B83" s="6" t="s">
        <v>253</v>
      </c>
      <c r="C83" s="7">
        <v>4059746</v>
      </c>
      <c r="D83" s="153">
        <v>5075401</v>
      </c>
      <c r="E83" s="153">
        <v>4883079</v>
      </c>
      <c r="F83" s="153">
        <v>4572420</v>
      </c>
      <c r="G83" s="153">
        <v>4354387</v>
      </c>
      <c r="H83" s="153">
        <v>4028969</v>
      </c>
      <c r="I83" s="153">
        <v>3666440</v>
      </c>
      <c r="J83" s="153">
        <v>3364254</v>
      </c>
      <c r="K83" s="153">
        <v>3047822</v>
      </c>
      <c r="L83" s="153">
        <v>2854031</v>
      </c>
      <c r="M83" s="153">
        <v>2657210</v>
      </c>
      <c r="N83" s="153">
        <v>2460405</v>
      </c>
      <c r="O83" s="153">
        <v>2255930</v>
      </c>
      <c r="P83" s="153">
        <v>2100580</v>
      </c>
      <c r="Q83" s="153">
        <v>1984273</v>
      </c>
      <c r="R83" s="153">
        <v>1917898</v>
      </c>
      <c r="S83" s="153">
        <v>1842236</v>
      </c>
      <c r="T83" s="153">
        <v>1780039</v>
      </c>
      <c r="U83" s="153">
        <v>1709374</v>
      </c>
      <c r="V83" s="153">
        <v>1656875</v>
      </c>
      <c r="W83" s="153">
        <v>1610351</v>
      </c>
      <c r="X83" s="153">
        <v>1580189</v>
      </c>
      <c r="Y83" s="153">
        <v>1526114</v>
      </c>
      <c r="Z83" s="153">
        <v>1421979</v>
      </c>
      <c r="AA83" s="153">
        <v>1380618</v>
      </c>
      <c r="AB83" s="153">
        <v>1252097</v>
      </c>
      <c r="AC83" s="153">
        <v>1213110</v>
      </c>
    </row>
    <row r="84" spans="1:29" ht="14.4" x14ac:dyDescent="0.25">
      <c r="A84" s="1" t="s">
        <v>268</v>
      </c>
      <c r="B84" s="6" t="s">
        <v>296</v>
      </c>
      <c r="C84" s="7">
        <v>4062279</v>
      </c>
      <c r="D84" s="153" t="s">
        <v>267</v>
      </c>
      <c r="E84" s="153" t="s">
        <v>267</v>
      </c>
      <c r="F84" s="153" t="s">
        <v>267</v>
      </c>
      <c r="G84" s="153">
        <v>821301</v>
      </c>
      <c r="H84" s="153">
        <v>780397</v>
      </c>
      <c r="I84" s="153">
        <v>733135</v>
      </c>
      <c r="J84" s="153">
        <v>685597</v>
      </c>
      <c r="K84" s="153">
        <v>650160</v>
      </c>
      <c r="L84" s="153">
        <v>618063</v>
      </c>
      <c r="M84" s="153">
        <v>597826</v>
      </c>
      <c r="N84" s="153">
        <v>575210</v>
      </c>
      <c r="O84" s="153">
        <v>564412</v>
      </c>
      <c r="P84" s="153">
        <v>552858</v>
      </c>
      <c r="Q84" s="153">
        <v>531876</v>
      </c>
      <c r="R84" s="153">
        <v>515190</v>
      </c>
      <c r="S84" s="153">
        <v>503749</v>
      </c>
      <c r="T84" s="153">
        <v>485098</v>
      </c>
      <c r="U84" s="153">
        <v>463973</v>
      </c>
      <c r="V84" s="153">
        <v>445807</v>
      </c>
      <c r="W84" s="153">
        <v>432041</v>
      </c>
      <c r="X84" s="153">
        <v>409237</v>
      </c>
      <c r="Y84" s="153" t="s">
        <v>267</v>
      </c>
      <c r="Z84" s="153">
        <v>366247</v>
      </c>
      <c r="AA84" s="153">
        <v>345139</v>
      </c>
      <c r="AB84" s="153">
        <v>312142</v>
      </c>
      <c r="AC84" s="153">
        <v>272123</v>
      </c>
    </row>
    <row r="85" spans="1:29" ht="14.4" x14ac:dyDescent="0.25">
      <c r="A85" s="1" t="s">
        <v>268</v>
      </c>
      <c r="B85" s="6" t="s">
        <v>297</v>
      </c>
      <c r="C85" s="7">
        <v>4063729</v>
      </c>
      <c r="D85" s="153" t="s">
        <v>267</v>
      </c>
      <c r="E85" s="153" t="s">
        <v>267</v>
      </c>
      <c r="F85" s="153" t="s">
        <v>267</v>
      </c>
      <c r="G85" s="153">
        <v>395557</v>
      </c>
      <c r="H85" s="153">
        <v>276527</v>
      </c>
      <c r="I85" s="153">
        <v>225786</v>
      </c>
      <c r="J85" s="153">
        <v>215890</v>
      </c>
      <c r="K85" s="153">
        <v>191592</v>
      </c>
      <c r="L85" s="153">
        <v>181017</v>
      </c>
      <c r="M85" s="153">
        <v>173788</v>
      </c>
      <c r="N85" s="153">
        <v>166827</v>
      </c>
      <c r="O85" s="153">
        <v>157884</v>
      </c>
      <c r="P85" s="153">
        <v>148218</v>
      </c>
      <c r="Q85" s="153">
        <v>138438</v>
      </c>
      <c r="R85" s="153">
        <v>127660</v>
      </c>
      <c r="S85" s="153">
        <v>120138</v>
      </c>
      <c r="T85" s="153">
        <v>106941</v>
      </c>
      <c r="U85" s="153">
        <v>95374</v>
      </c>
      <c r="V85" s="153">
        <v>89494</v>
      </c>
      <c r="W85" s="153">
        <v>80129</v>
      </c>
      <c r="X85" s="153">
        <v>76531</v>
      </c>
      <c r="Y85" s="153">
        <v>74526</v>
      </c>
      <c r="Z85" s="153" t="s">
        <v>267</v>
      </c>
      <c r="AA85" s="153" t="s">
        <v>267</v>
      </c>
      <c r="AB85" s="153">
        <v>55944</v>
      </c>
      <c r="AC85" s="153">
        <v>52940</v>
      </c>
    </row>
    <row r="86" spans="1:29" ht="14.4" x14ac:dyDescent="0.25">
      <c r="B86" s="6" t="s">
        <v>254</v>
      </c>
      <c r="C86" s="7">
        <v>4063762</v>
      </c>
      <c r="D86" s="153">
        <v>1673209</v>
      </c>
      <c r="E86" s="153">
        <v>1530415</v>
      </c>
      <c r="F86" s="153">
        <v>1348144</v>
      </c>
      <c r="G86" s="153">
        <v>1303522</v>
      </c>
      <c r="H86" s="153">
        <v>1252269</v>
      </c>
      <c r="I86" s="153">
        <v>1156340</v>
      </c>
      <c r="J86" s="153">
        <v>1107055</v>
      </c>
      <c r="K86" s="153">
        <v>1032842</v>
      </c>
      <c r="L86" s="153">
        <v>1000238</v>
      </c>
      <c r="M86" s="153">
        <v>927212</v>
      </c>
      <c r="N86" s="153">
        <v>853388</v>
      </c>
      <c r="O86" s="153">
        <v>705617</v>
      </c>
      <c r="P86" s="153">
        <v>637043</v>
      </c>
      <c r="Q86" s="153">
        <v>622764</v>
      </c>
      <c r="R86" s="153">
        <v>582774</v>
      </c>
      <c r="S86" s="153">
        <v>564649</v>
      </c>
      <c r="T86" s="153">
        <v>558589</v>
      </c>
      <c r="U86" s="153">
        <v>555597</v>
      </c>
      <c r="V86" s="153">
        <v>528467</v>
      </c>
      <c r="W86" s="153">
        <v>520113</v>
      </c>
      <c r="X86" s="153">
        <v>516922</v>
      </c>
      <c r="Y86" s="153">
        <v>492204</v>
      </c>
      <c r="Z86" s="153">
        <v>470011</v>
      </c>
      <c r="AA86" s="153">
        <v>447376</v>
      </c>
      <c r="AB86" s="153">
        <v>424855</v>
      </c>
      <c r="AC86" s="153" t="s">
        <v>267</v>
      </c>
    </row>
    <row r="87" spans="1:29" ht="14.4" x14ac:dyDescent="0.25">
      <c r="B87" s="6" t="s">
        <v>256</v>
      </c>
      <c r="C87" s="7">
        <v>4058284</v>
      </c>
      <c r="D87" s="153">
        <v>6097429</v>
      </c>
      <c r="E87" s="153">
        <v>5739912</v>
      </c>
      <c r="F87" s="153">
        <v>5429089</v>
      </c>
      <c r="G87" s="153">
        <v>5113235</v>
      </c>
      <c r="H87" s="153">
        <v>4715459</v>
      </c>
      <c r="I87" s="153">
        <v>4393464</v>
      </c>
      <c r="J87" s="153">
        <v>4075503</v>
      </c>
      <c r="K87" s="153">
        <v>3766505</v>
      </c>
      <c r="L87" s="153">
        <v>3563966</v>
      </c>
      <c r="M87" s="153">
        <v>3372661</v>
      </c>
      <c r="N87" s="153">
        <v>3279956</v>
      </c>
      <c r="O87" s="153">
        <v>3168786</v>
      </c>
      <c r="P87" s="153">
        <v>3096519</v>
      </c>
      <c r="Q87" s="153">
        <v>2976008</v>
      </c>
      <c r="R87" s="153">
        <v>2890217</v>
      </c>
      <c r="S87" s="153">
        <v>2733187</v>
      </c>
      <c r="T87" s="153">
        <v>2635849</v>
      </c>
      <c r="U87" s="153">
        <v>2529275</v>
      </c>
      <c r="V87" s="153">
        <v>2368635</v>
      </c>
      <c r="W87" s="153">
        <v>2252435</v>
      </c>
      <c r="X87" s="153">
        <v>2124129</v>
      </c>
      <c r="Y87" s="153">
        <v>2004592</v>
      </c>
      <c r="Z87" s="153">
        <v>1872855</v>
      </c>
      <c r="AA87" s="153">
        <v>1764871</v>
      </c>
      <c r="AB87" s="153">
        <v>1648354</v>
      </c>
      <c r="AC87" s="153">
        <v>1495480</v>
      </c>
    </row>
    <row r="88" spans="1:29" ht="14.4" x14ac:dyDescent="0.25">
      <c r="B88" s="6" t="s">
        <v>258</v>
      </c>
      <c r="C88" s="7">
        <v>4008752</v>
      </c>
      <c r="D88" s="153">
        <v>2675319</v>
      </c>
      <c r="E88" s="153">
        <v>2534747</v>
      </c>
      <c r="F88" s="153">
        <v>2390462</v>
      </c>
      <c r="G88" s="153">
        <v>2254179</v>
      </c>
      <c r="H88" s="153">
        <v>2112986</v>
      </c>
      <c r="I88" s="153">
        <v>2021393</v>
      </c>
      <c r="J88" s="153">
        <v>1787849</v>
      </c>
      <c r="K88" s="153">
        <v>1660662</v>
      </c>
      <c r="L88" s="153">
        <v>1553309</v>
      </c>
      <c r="M88" s="153">
        <v>1445936</v>
      </c>
      <c r="N88" s="153">
        <v>1379970</v>
      </c>
      <c r="O88" s="153">
        <v>1324073</v>
      </c>
      <c r="P88" s="153">
        <v>1270222</v>
      </c>
      <c r="Q88" s="153">
        <v>1195187</v>
      </c>
      <c r="R88" s="153">
        <v>1151448</v>
      </c>
      <c r="S88" s="153">
        <v>1103455</v>
      </c>
      <c r="T88" s="153">
        <v>1060637</v>
      </c>
      <c r="U88" s="153">
        <v>1021621</v>
      </c>
      <c r="V88" s="153">
        <v>934025</v>
      </c>
      <c r="W88" s="153">
        <v>906023</v>
      </c>
      <c r="X88" s="153">
        <v>872649</v>
      </c>
      <c r="Y88" s="153">
        <v>842321</v>
      </c>
      <c r="Z88" s="153">
        <v>812281</v>
      </c>
      <c r="AA88" s="153">
        <v>787026</v>
      </c>
      <c r="AB88" s="153">
        <v>773211</v>
      </c>
      <c r="AC88" s="153">
        <v>747637</v>
      </c>
    </row>
    <row r="89" spans="1:29" ht="14.4" x14ac:dyDescent="0.25">
      <c r="B89" s="6" t="s">
        <v>259</v>
      </c>
      <c r="C89" s="7">
        <v>4008669</v>
      </c>
      <c r="D89" s="153">
        <v>719591</v>
      </c>
      <c r="E89" s="153">
        <v>661903</v>
      </c>
      <c r="F89" s="153">
        <v>624787</v>
      </c>
      <c r="G89" s="153">
        <v>589233</v>
      </c>
      <c r="H89" s="153">
        <v>550935</v>
      </c>
      <c r="I89" s="153">
        <v>504653</v>
      </c>
      <c r="J89" s="153">
        <v>472159</v>
      </c>
      <c r="K89" s="153">
        <v>453166</v>
      </c>
      <c r="L89" s="153">
        <v>437003</v>
      </c>
      <c r="M89" s="153">
        <v>424749</v>
      </c>
      <c r="N89" s="153">
        <v>411391</v>
      </c>
      <c r="O89" s="153">
        <v>393765</v>
      </c>
      <c r="P89" s="153">
        <v>370143</v>
      </c>
      <c r="Q89" s="153">
        <v>286278</v>
      </c>
      <c r="R89" s="153">
        <v>325632</v>
      </c>
      <c r="S89" s="153">
        <v>319366</v>
      </c>
      <c r="T89" s="153">
        <v>304146</v>
      </c>
      <c r="U89" s="153">
        <v>289785</v>
      </c>
      <c r="V89" s="153">
        <v>275623</v>
      </c>
      <c r="W89" s="153">
        <v>270167</v>
      </c>
      <c r="X89" s="153">
        <v>262892</v>
      </c>
      <c r="Y89" s="153">
        <v>247834</v>
      </c>
      <c r="Z89" s="153">
        <v>234811</v>
      </c>
      <c r="AA89" s="153">
        <v>228601</v>
      </c>
      <c r="AB89" s="153">
        <v>219400</v>
      </c>
      <c r="AC89" s="153">
        <v>210560</v>
      </c>
    </row>
    <row r="90" spans="1:29" ht="14.4" x14ac:dyDescent="0.25">
      <c r="B90" s="6" t="s">
        <v>298</v>
      </c>
      <c r="C90" s="7">
        <v>4076892</v>
      </c>
      <c r="D90" s="153">
        <v>20924</v>
      </c>
      <c r="E90" s="153">
        <v>20877</v>
      </c>
      <c r="F90" s="153">
        <v>20477</v>
      </c>
      <c r="G90" s="153">
        <v>20348</v>
      </c>
      <c r="H90" s="153">
        <v>15538</v>
      </c>
      <c r="I90" s="153">
        <v>14947</v>
      </c>
      <c r="J90" s="153">
        <v>14653</v>
      </c>
      <c r="K90" s="153">
        <v>14441</v>
      </c>
      <c r="L90" s="153">
        <v>14300</v>
      </c>
      <c r="M90" s="153">
        <v>14042</v>
      </c>
      <c r="N90" s="153">
        <v>13623</v>
      </c>
      <c r="O90" s="153">
        <v>13272</v>
      </c>
      <c r="P90" s="153">
        <v>12841</v>
      </c>
      <c r="Q90" s="153">
        <v>12138</v>
      </c>
      <c r="R90" s="153">
        <v>11613</v>
      </c>
      <c r="S90" s="153">
        <v>11343</v>
      </c>
      <c r="T90" s="153">
        <v>11072</v>
      </c>
      <c r="U90" s="153">
        <v>10971</v>
      </c>
      <c r="V90" s="153">
        <v>10510</v>
      </c>
      <c r="W90" s="153" t="s">
        <v>267</v>
      </c>
      <c r="X90" s="153" t="s">
        <v>267</v>
      </c>
      <c r="Y90" s="153" t="s">
        <v>267</v>
      </c>
      <c r="Z90" s="153" t="s">
        <v>267</v>
      </c>
      <c r="AA90" s="153" t="s">
        <v>267</v>
      </c>
      <c r="AB90" s="153" t="s">
        <v>267</v>
      </c>
      <c r="AC90" s="153" t="s">
        <v>267</v>
      </c>
    </row>
    <row r="91" spans="1:29" ht="14.4" x14ac:dyDescent="0.25">
      <c r="A91" s="1" t="s">
        <v>268</v>
      </c>
      <c r="B91" s="6" t="s">
        <v>261</v>
      </c>
      <c r="C91" s="7">
        <v>4064141</v>
      </c>
      <c r="D91" s="153">
        <v>2335175</v>
      </c>
      <c r="E91" s="153">
        <v>2156690</v>
      </c>
      <c r="F91" s="153">
        <v>1962053</v>
      </c>
      <c r="G91" s="153">
        <v>1817713</v>
      </c>
      <c r="H91" s="153">
        <v>1709168</v>
      </c>
      <c r="I91" s="153">
        <v>1572534</v>
      </c>
      <c r="J91" s="153">
        <v>1518635</v>
      </c>
      <c r="K91" s="153">
        <v>1420915</v>
      </c>
      <c r="L91" s="153">
        <v>1334886</v>
      </c>
      <c r="M91" s="153">
        <v>1246799</v>
      </c>
      <c r="N91" s="153">
        <v>1125854</v>
      </c>
      <c r="O91" s="153">
        <v>1070357</v>
      </c>
      <c r="P91" s="153">
        <v>1043321</v>
      </c>
      <c r="Q91" s="153">
        <v>976924</v>
      </c>
      <c r="R91" s="153">
        <v>858595</v>
      </c>
      <c r="S91" s="153">
        <v>825505</v>
      </c>
      <c r="T91" s="153">
        <v>783179</v>
      </c>
      <c r="U91" s="153">
        <v>743624</v>
      </c>
      <c r="V91" s="153">
        <v>678689</v>
      </c>
      <c r="W91" s="153">
        <v>634518</v>
      </c>
      <c r="X91" s="153">
        <v>607745</v>
      </c>
      <c r="Y91" s="153">
        <v>591516</v>
      </c>
      <c r="Z91" s="153">
        <v>546731</v>
      </c>
      <c r="AA91" s="153">
        <v>523855</v>
      </c>
      <c r="AB91" s="153">
        <v>499079</v>
      </c>
      <c r="AC91" s="153">
        <v>488174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143D8-2F15-42CB-8F8A-37E36F60CFE5}">
  <dimension ref="A1"/>
  <sheetViews>
    <sheetView topLeftCell="D1"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C7884-56F5-4F02-B61B-C8FC24884F5A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18DC-0EEE-41DB-9930-FD51B321C814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1DBC0-DA14-47AA-95CE-ADB91209057D}">
  <dimension ref="B2:CI158"/>
  <sheetViews>
    <sheetView topLeftCell="A89" workbookViewId="0">
      <selection activeCell="A111" sqref="A111"/>
    </sheetView>
  </sheetViews>
  <sheetFormatPr defaultRowHeight="14.4" x14ac:dyDescent="0.3"/>
  <cols>
    <col min="7" max="19" width="14.6640625" customWidth="1"/>
  </cols>
  <sheetData>
    <row r="2" spans="2:87" ht="21" x14ac:dyDescent="0.4">
      <c r="E2" s="33"/>
      <c r="F2" s="33"/>
      <c r="H2" s="11"/>
      <c r="I2" s="11"/>
      <c r="N2" s="30"/>
      <c r="V2" s="57"/>
      <c r="W2" s="57"/>
      <c r="X2" s="74"/>
      <c r="Y2" s="57"/>
      <c r="Z2" s="61"/>
      <c r="AA2" s="57"/>
      <c r="AB2" s="57"/>
      <c r="AC2" s="57"/>
      <c r="AD2" s="61"/>
      <c r="AE2" s="57"/>
      <c r="AF2" s="57"/>
      <c r="AG2" s="57"/>
      <c r="AH2" s="57"/>
      <c r="AI2" s="73"/>
      <c r="AJ2" s="61"/>
      <c r="AK2" s="63"/>
      <c r="AL2" s="63"/>
      <c r="AM2" s="63"/>
      <c r="AN2" s="62"/>
      <c r="AO2" s="62"/>
      <c r="AP2" s="61"/>
      <c r="AQ2" s="62"/>
      <c r="AR2" s="62"/>
      <c r="AS2" s="62"/>
      <c r="AT2" s="62"/>
      <c r="AU2" s="53"/>
      <c r="AV2" s="55"/>
      <c r="AW2" s="56"/>
      <c r="AX2" s="56"/>
      <c r="AY2" s="56"/>
      <c r="AZ2" s="74"/>
      <c r="BA2" s="74"/>
      <c r="BB2" s="67"/>
      <c r="BC2" s="67"/>
      <c r="BD2" s="67"/>
      <c r="BE2" s="67"/>
      <c r="BF2" s="67"/>
      <c r="BG2" s="288"/>
      <c r="BH2" s="67"/>
      <c r="BI2" s="67"/>
      <c r="BJ2" s="67"/>
      <c r="BK2" s="66"/>
      <c r="BL2" s="66"/>
      <c r="BM2" s="66"/>
      <c r="BN2" s="66"/>
      <c r="BO2" s="175"/>
      <c r="BP2" s="48">
        <f>+BO2*BN2</f>
        <v>0</v>
      </c>
      <c r="BQ2" s="48">
        <f>+BP2-BN2</f>
        <v>0</v>
      </c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52"/>
      <c r="CE2" s="53"/>
      <c r="CF2" s="53"/>
      <c r="CG2" s="53"/>
      <c r="CH2" s="53"/>
      <c r="CI2" s="60"/>
    </row>
    <row r="3" spans="2:87" ht="23.4" x14ac:dyDescent="0.45">
      <c r="E3" s="33"/>
      <c r="F3" s="33"/>
      <c r="H3" s="11"/>
      <c r="I3" s="101"/>
      <c r="J3" s="101" t="s">
        <v>32</v>
      </c>
      <c r="K3" s="101"/>
      <c r="L3" s="101"/>
      <c r="M3" s="101"/>
      <c r="N3" s="120"/>
      <c r="O3" s="101"/>
      <c r="P3" s="101" t="s">
        <v>33</v>
      </c>
      <c r="Q3" s="101"/>
      <c r="R3" s="101" t="s">
        <v>34</v>
      </c>
      <c r="S3" s="101"/>
      <c r="T3" s="101"/>
      <c r="U3" s="101"/>
      <c r="V3" s="57"/>
      <c r="W3" s="57"/>
      <c r="X3" s="74"/>
      <c r="Y3" s="57"/>
      <c r="Z3" s="61"/>
      <c r="AA3" s="57"/>
      <c r="AB3" s="57"/>
      <c r="AC3" s="57"/>
      <c r="AD3" s="61"/>
      <c r="AE3" s="57"/>
      <c r="AF3" s="57"/>
      <c r="AG3" s="57"/>
      <c r="AH3" s="57"/>
      <c r="AI3" s="73"/>
      <c r="AJ3" s="61"/>
      <c r="AK3" s="63"/>
      <c r="AL3" s="63"/>
      <c r="AM3" s="63"/>
      <c r="AN3" s="62"/>
      <c r="AO3" s="62"/>
      <c r="AP3" s="61"/>
      <c r="AQ3" s="62"/>
      <c r="AR3" s="62"/>
      <c r="AS3" s="62"/>
      <c r="AT3" s="62"/>
      <c r="AU3" s="53"/>
      <c r="AV3" s="55"/>
      <c r="AW3" s="56"/>
      <c r="AX3" s="56"/>
      <c r="AY3" s="56"/>
      <c r="AZ3" s="74"/>
      <c r="BA3" s="74"/>
      <c r="BB3" s="65"/>
      <c r="BC3" s="65"/>
      <c r="BD3" s="65"/>
      <c r="BE3" s="65"/>
      <c r="BF3" s="65"/>
      <c r="BG3" s="289"/>
      <c r="BH3" s="65"/>
      <c r="BI3" s="65"/>
      <c r="BJ3" s="65"/>
      <c r="BK3" s="64"/>
      <c r="BL3" s="64"/>
      <c r="BM3" s="64"/>
      <c r="BN3" s="64"/>
      <c r="BO3" s="175"/>
      <c r="BP3" s="48"/>
      <c r="BQ3" s="48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52"/>
      <c r="CE3" s="53"/>
      <c r="CF3" s="53"/>
      <c r="CG3" s="53"/>
      <c r="CH3" s="53"/>
      <c r="CI3" s="60"/>
    </row>
    <row r="4" spans="2:87" ht="21" x14ac:dyDescent="0.4">
      <c r="E4" s="33"/>
      <c r="F4" s="33"/>
      <c r="H4" s="11"/>
      <c r="N4" s="30"/>
      <c r="R4" s="53"/>
      <c r="S4" s="53"/>
      <c r="T4" s="53"/>
      <c r="U4" s="53"/>
      <c r="V4" s="57"/>
      <c r="W4" s="57"/>
      <c r="X4" s="74"/>
      <c r="Y4" s="57"/>
      <c r="Z4" s="61"/>
      <c r="AA4" s="57"/>
      <c r="AB4" s="57"/>
      <c r="AC4" s="57"/>
      <c r="AD4" s="61"/>
      <c r="AE4" s="57"/>
      <c r="AF4" s="57"/>
      <c r="AG4" s="57"/>
      <c r="AH4" s="57"/>
      <c r="AI4" s="73"/>
      <c r="AJ4" s="61"/>
      <c r="AK4" s="63"/>
      <c r="AL4" s="63"/>
      <c r="AM4" s="63"/>
      <c r="AN4" s="62"/>
      <c r="AO4" s="62"/>
      <c r="AP4" s="61"/>
      <c r="AQ4" s="62"/>
      <c r="AR4" s="62"/>
      <c r="AS4" s="62"/>
      <c r="AT4" s="62"/>
      <c r="AU4" s="53"/>
      <c r="AV4" s="55"/>
      <c r="AW4" s="56"/>
      <c r="AX4" s="56"/>
      <c r="AY4" s="56"/>
      <c r="AZ4" s="74"/>
      <c r="BA4" s="74"/>
      <c r="BB4" s="49"/>
      <c r="BC4" s="49"/>
      <c r="BD4" s="49"/>
      <c r="BE4" s="49"/>
      <c r="BF4" s="49"/>
      <c r="BG4" s="290"/>
      <c r="BH4" s="49"/>
      <c r="BI4" s="49"/>
      <c r="BJ4" s="49"/>
      <c r="BK4" s="53"/>
      <c r="BL4" s="53"/>
      <c r="BM4" s="53"/>
      <c r="BN4" s="53"/>
      <c r="BO4" s="175"/>
      <c r="BP4" s="48"/>
      <c r="BQ4" s="48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2"/>
      <c r="CE4" s="53"/>
      <c r="CF4" s="53"/>
      <c r="CG4" s="53"/>
      <c r="CH4" s="53"/>
      <c r="CI4" s="48"/>
    </row>
    <row r="5" spans="2:87" ht="21" x14ac:dyDescent="0.4">
      <c r="E5" s="33"/>
      <c r="F5" s="33"/>
      <c r="H5" s="11"/>
      <c r="I5" s="53" t="s">
        <v>35</v>
      </c>
      <c r="J5" s="53"/>
      <c r="K5" s="53"/>
      <c r="L5" s="53" t="s">
        <v>35</v>
      </c>
      <c r="M5" s="53"/>
      <c r="N5" s="51"/>
      <c r="O5" s="53"/>
      <c r="P5" s="53"/>
      <c r="Q5" s="53"/>
      <c r="R5" s="53"/>
      <c r="S5" s="53"/>
      <c r="T5" s="53"/>
      <c r="U5" s="53"/>
      <c r="V5" s="15"/>
      <c r="W5" s="15"/>
      <c r="X5" s="15"/>
      <c r="Y5" s="15"/>
      <c r="Z5" s="61"/>
      <c r="AA5" s="15"/>
      <c r="AB5" s="15"/>
      <c r="AC5" s="15"/>
      <c r="AD5" s="15"/>
      <c r="AE5" s="15"/>
      <c r="AF5" s="15"/>
      <c r="AG5" s="15"/>
      <c r="AH5" s="15"/>
      <c r="AI5" s="15"/>
      <c r="AJ5" s="27"/>
      <c r="AK5" s="15"/>
      <c r="AL5" s="15"/>
      <c r="AM5" s="15"/>
      <c r="AN5" s="15"/>
      <c r="AO5" s="62"/>
      <c r="AP5" s="61"/>
      <c r="AQ5" s="62"/>
      <c r="AR5" s="62"/>
      <c r="AS5" s="62"/>
      <c r="AT5" s="62"/>
      <c r="AU5" s="53"/>
      <c r="AV5" s="55"/>
      <c r="AW5" s="56"/>
      <c r="AX5" s="56"/>
      <c r="AY5" s="56"/>
      <c r="AZ5" s="74"/>
      <c r="BA5" s="74"/>
      <c r="BB5" s="49"/>
      <c r="BC5" s="49"/>
      <c r="BD5" s="49"/>
      <c r="BE5" s="49"/>
      <c r="BF5" s="49"/>
      <c r="BG5" s="290"/>
      <c r="BH5" s="49"/>
      <c r="BI5" s="49"/>
      <c r="BJ5" s="49"/>
      <c r="BK5" s="53"/>
      <c r="BL5" s="53"/>
      <c r="BM5" s="53"/>
      <c r="BN5" s="53"/>
      <c r="BO5" s="175"/>
      <c r="BP5" s="48"/>
      <c r="BQ5" s="48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2"/>
      <c r="CE5" s="53"/>
      <c r="CF5" s="53"/>
      <c r="CG5" s="53"/>
      <c r="CH5" s="53"/>
      <c r="CI5" s="48"/>
    </row>
    <row r="6" spans="2:87" ht="21" x14ac:dyDescent="0.4">
      <c r="B6" s="53" t="s">
        <v>36</v>
      </c>
      <c r="E6" s="33"/>
      <c r="F6" s="33"/>
      <c r="H6" s="11"/>
      <c r="I6" s="53" t="s">
        <v>37</v>
      </c>
      <c r="J6" s="53"/>
      <c r="K6" s="53" t="s">
        <v>38</v>
      </c>
      <c r="L6" s="53" t="s">
        <v>37</v>
      </c>
      <c r="M6" s="53"/>
      <c r="N6" s="51"/>
      <c r="O6" s="53"/>
      <c r="P6" s="53" t="s">
        <v>38</v>
      </c>
      <c r="Q6" s="53" t="s">
        <v>38</v>
      </c>
      <c r="R6" s="53" t="s">
        <v>39</v>
      </c>
      <c r="S6" s="53"/>
      <c r="T6" s="53"/>
      <c r="U6" s="53"/>
      <c r="V6" s="15"/>
      <c r="W6" s="15"/>
      <c r="X6" s="15"/>
      <c r="Y6" s="15"/>
      <c r="Z6" s="61"/>
      <c r="AA6" s="15"/>
      <c r="AB6" s="15"/>
      <c r="AC6" s="15"/>
      <c r="AD6" s="15"/>
      <c r="AE6" s="15"/>
      <c r="AF6" s="15"/>
      <c r="AG6" s="15"/>
      <c r="AH6" s="15"/>
      <c r="AI6" s="15"/>
      <c r="AJ6" s="27"/>
      <c r="AK6" s="15"/>
      <c r="AL6" s="15"/>
      <c r="AM6" s="15"/>
      <c r="AN6" s="15"/>
      <c r="AO6" s="62"/>
      <c r="AP6" s="61"/>
      <c r="AQ6" s="62"/>
      <c r="AR6" s="62"/>
      <c r="AS6" s="62"/>
      <c r="AT6" s="62"/>
      <c r="AU6" s="53"/>
      <c r="AV6" s="55"/>
      <c r="AW6" s="56"/>
      <c r="AX6" s="56"/>
      <c r="AY6" s="56"/>
      <c r="AZ6" s="74"/>
      <c r="BA6" s="74"/>
      <c r="BB6" s="49"/>
      <c r="BC6" s="49"/>
      <c r="BD6" s="49"/>
      <c r="BE6" s="49"/>
      <c r="BF6" s="49"/>
      <c r="BG6" s="290"/>
      <c r="BH6" s="49"/>
      <c r="BI6" s="49"/>
      <c r="BJ6" s="49"/>
      <c r="BK6" s="53"/>
      <c r="BL6" s="53"/>
      <c r="BM6" s="53"/>
      <c r="BN6" s="53"/>
      <c r="BO6" s="175"/>
      <c r="BP6" s="48"/>
      <c r="BQ6" s="48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76"/>
      <c r="CE6" s="53"/>
      <c r="CF6" s="53"/>
      <c r="CG6" s="53"/>
      <c r="CH6" s="53"/>
      <c r="CI6" s="60"/>
    </row>
    <row r="7" spans="2:87" ht="21" x14ac:dyDescent="0.4">
      <c r="E7" s="33"/>
      <c r="F7" s="33"/>
      <c r="G7" s="73">
        <v>1998</v>
      </c>
      <c r="H7" s="11"/>
      <c r="I7" s="74"/>
      <c r="J7" s="97">
        <v>1</v>
      </c>
      <c r="K7" s="74">
        <v>2515.325262156442</v>
      </c>
      <c r="L7" s="53"/>
      <c r="M7" s="53"/>
      <c r="N7" s="51"/>
      <c r="O7" s="53"/>
      <c r="P7" s="53">
        <v>1435</v>
      </c>
      <c r="Q7" s="74">
        <f t="shared" ref="Q7:Q30" si="0">+P7+K7</f>
        <v>3950.325262156442</v>
      </c>
      <c r="R7" s="56"/>
      <c r="S7" s="56"/>
      <c r="T7" s="56"/>
      <c r="U7" s="56"/>
      <c r="V7" s="15"/>
      <c r="W7" s="15"/>
      <c r="X7" s="15"/>
      <c r="Y7" s="15"/>
      <c r="Z7" s="59"/>
      <c r="AA7" s="15"/>
      <c r="AB7" s="15"/>
      <c r="AC7" s="15"/>
      <c r="AD7" s="15"/>
      <c r="AE7" s="15"/>
      <c r="AF7" s="15"/>
      <c r="AG7" s="15"/>
      <c r="AH7" s="15"/>
      <c r="AI7" s="15"/>
      <c r="AJ7" s="27"/>
      <c r="AK7" s="15"/>
      <c r="AL7" s="15"/>
      <c r="AM7" s="15"/>
      <c r="AN7" s="15"/>
      <c r="AO7" s="49"/>
      <c r="AP7" s="61"/>
      <c r="AQ7" s="62"/>
      <c r="AR7" s="62"/>
      <c r="AS7" s="62"/>
      <c r="AT7" s="62"/>
      <c r="AU7" s="53">
        <v>2020</v>
      </c>
      <c r="AV7" s="55"/>
      <c r="AW7" s="56">
        <v>21.439587730093177</v>
      </c>
      <c r="AX7" s="56"/>
      <c r="AY7" s="56"/>
      <c r="AZ7" s="74">
        <v>0.17895048597576343</v>
      </c>
      <c r="BA7" s="74"/>
      <c r="BB7" s="49">
        <v>363514.77220802818</v>
      </c>
      <c r="BC7" s="49">
        <v>-0.21282146908448446</v>
      </c>
      <c r="BD7" s="49"/>
      <c r="BE7" s="49"/>
      <c r="BF7" s="49"/>
      <c r="BG7" s="290"/>
      <c r="BH7" s="49"/>
      <c r="BI7" s="49"/>
      <c r="BJ7" s="49"/>
      <c r="BK7" s="53"/>
      <c r="BL7" s="53"/>
      <c r="BM7" s="53"/>
      <c r="BN7" s="53"/>
      <c r="BO7" s="58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76"/>
      <c r="CE7" s="53"/>
      <c r="CF7" s="53"/>
      <c r="CG7" s="53"/>
      <c r="CH7" s="53"/>
      <c r="CI7" s="60"/>
    </row>
    <row r="8" spans="2:87" ht="21" x14ac:dyDescent="0.4">
      <c r="E8" s="33"/>
      <c r="F8" s="33"/>
      <c r="G8" s="73">
        <f t="shared" ref="G8:G30" si="1">+G7+1</f>
        <v>1999</v>
      </c>
      <c r="H8" s="11"/>
      <c r="I8" s="74">
        <v>135.64750960263308</v>
      </c>
      <c r="J8" s="97">
        <v>0.99502487562189057</v>
      </c>
      <c r="K8" s="74">
        <v>2638.4587157284459</v>
      </c>
      <c r="L8" s="73">
        <v>72.407367830803565</v>
      </c>
      <c r="M8" s="73"/>
      <c r="N8" s="49"/>
      <c r="O8" s="73"/>
      <c r="P8" s="74">
        <v>1500.3154454745925</v>
      </c>
      <c r="Q8" s="74">
        <f t="shared" si="0"/>
        <v>4138.7741612030386</v>
      </c>
      <c r="R8" s="56">
        <f t="shared" ref="R8:R30" si="2">LN(Q8/Q7)</f>
        <v>4.6601727291670149E-2</v>
      </c>
      <c r="S8" s="56"/>
      <c r="T8" s="56"/>
      <c r="U8" s="56"/>
      <c r="V8" s="15"/>
      <c r="W8" s="15"/>
      <c r="X8" s="15"/>
      <c r="Y8" s="15"/>
      <c r="Z8" s="59"/>
      <c r="AA8" s="15"/>
      <c r="AB8" s="15"/>
      <c r="AC8" s="15"/>
      <c r="AD8" s="15"/>
      <c r="AE8" s="15"/>
      <c r="AF8" s="15"/>
      <c r="AG8" s="15"/>
      <c r="AH8" s="15"/>
      <c r="AI8" s="15"/>
      <c r="AJ8" s="27"/>
      <c r="AK8" s="15"/>
      <c r="AL8" s="15"/>
      <c r="AM8" s="15"/>
      <c r="AN8" s="15"/>
      <c r="AO8" s="49"/>
      <c r="AP8" s="61"/>
      <c r="AQ8" s="56"/>
      <c r="AR8" s="56"/>
      <c r="AS8" s="62"/>
      <c r="AT8" s="62"/>
      <c r="AU8" s="53">
        <v>2021</v>
      </c>
      <c r="AV8" s="55"/>
      <c r="AW8" s="56">
        <v>25.640922054930936</v>
      </c>
      <c r="AX8" s="56"/>
      <c r="AY8" s="56"/>
      <c r="AZ8" s="74"/>
      <c r="BA8" s="74"/>
      <c r="BB8" s="49">
        <v>405827.58519832609</v>
      </c>
      <c r="BC8" s="49">
        <v>0.11010846744649747</v>
      </c>
      <c r="BD8" s="49"/>
      <c r="BE8" s="49"/>
      <c r="BF8" s="49"/>
      <c r="BG8" s="290"/>
      <c r="BH8" s="49"/>
      <c r="BI8" s="49"/>
      <c r="BJ8" s="49"/>
      <c r="BK8" s="53"/>
      <c r="BL8" s="53"/>
      <c r="BM8" s="53"/>
      <c r="BN8" s="53"/>
      <c r="BO8" s="58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76"/>
      <c r="CE8" s="53"/>
      <c r="CF8" s="53"/>
      <c r="CG8" s="53"/>
      <c r="CH8" s="53"/>
      <c r="CI8" s="60"/>
    </row>
    <row r="9" spans="2:87" ht="21" x14ac:dyDescent="0.4">
      <c r="E9" s="33"/>
      <c r="F9" s="33"/>
      <c r="G9" s="73">
        <f t="shared" si="1"/>
        <v>2000</v>
      </c>
      <c r="H9" s="11"/>
      <c r="I9" s="74">
        <v>174.11581296997795</v>
      </c>
      <c r="J9" s="97">
        <v>0.98989898989898994</v>
      </c>
      <c r="K9" s="74">
        <v>2799.0063956168315</v>
      </c>
      <c r="L9" s="73">
        <v>36.816042260486583</v>
      </c>
      <c r="M9" s="73"/>
      <c r="N9" s="49"/>
      <c r="O9" s="73"/>
      <c r="P9" s="74">
        <v>1529.4153619772762</v>
      </c>
      <c r="Q9" s="74">
        <f t="shared" si="0"/>
        <v>4328.4217575941075</v>
      </c>
      <c r="R9" s="56">
        <f t="shared" si="2"/>
        <v>4.4803337744407895E-2</v>
      </c>
      <c r="S9" s="56"/>
      <c r="T9" s="56"/>
      <c r="U9" s="56"/>
      <c r="V9" s="15"/>
      <c r="W9" s="15"/>
      <c r="X9" s="15"/>
      <c r="Y9" s="15"/>
      <c r="Z9" s="59"/>
      <c r="AA9" s="15"/>
      <c r="AB9" s="15"/>
      <c r="AC9" s="15"/>
      <c r="AD9" s="15"/>
      <c r="AE9" s="15"/>
      <c r="AF9" s="15"/>
      <c r="AG9" s="15"/>
      <c r="AH9" s="15"/>
      <c r="AI9" s="15"/>
      <c r="AJ9" s="27"/>
      <c r="AK9" s="15"/>
      <c r="AL9" s="15"/>
      <c r="AM9" s="15"/>
      <c r="AN9" s="15"/>
      <c r="AO9" s="49"/>
      <c r="AP9" s="61"/>
      <c r="AQ9" s="56"/>
      <c r="AR9" s="56"/>
      <c r="AS9" s="62"/>
      <c r="AT9" s="62"/>
      <c r="AU9" s="53"/>
      <c r="AV9" s="55"/>
      <c r="AW9" s="56" t="s">
        <v>40</v>
      </c>
      <c r="AX9" s="56"/>
      <c r="AY9" s="56"/>
      <c r="AZ9" s="74"/>
      <c r="BA9" s="74"/>
      <c r="BB9" s="49" t="s">
        <v>41</v>
      </c>
      <c r="BC9" s="49"/>
      <c r="BD9" s="49"/>
      <c r="BE9" s="49"/>
      <c r="BF9" s="49"/>
      <c r="BG9" s="290"/>
      <c r="BH9" s="49"/>
      <c r="BI9" s="49"/>
      <c r="BJ9" s="49"/>
      <c r="BK9" s="53"/>
      <c r="BL9" s="53"/>
      <c r="BM9" s="53"/>
      <c r="BN9" s="53"/>
      <c r="BO9" s="58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76"/>
      <c r="CE9" s="53"/>
      <c r="CF9" s="53"/>
      <c r="CG9" s="53"/>
      <c r="CH9" s="53"/>
      <c r="CI9" s="60"/>
    </row>
    <row r="10" spans="2:87" ht="21" x14ac:dyDescent="0.4">
      <c r="E10" s="33"/>
      <c r="F10" s="33"/>
      <c r="G10" s="73">
        <f t="shared" si="1"/>
        <v>2001</v>
      </c>
      <c r="H10" s="11"/>
      <c r="I10" s="74">
        <v>291.67000742517013</v>
      </c>
      <c r="J10" s="97">
        <v>0.98461538461538467</v>
      </c>
      <c r="K10" s="74">
        <v>3076.6911035640669</v>
      </c>
      <c r="L10" s="73">
        <v>65.964557407293057</v>
      </c>
      <c r="M10" s="73"/>
      <c r="N10" s="49"/>
      <c r="O10" s="73"/>
      <c r="P10" s="74">
        <v>1587.4265423147135</v>
      </c>
      <c r="Q10" s="74">
        <f t="shared" si="0"/>
        <v>4664.1176458787804</v>
      </c>
      <c r="R10" s="56">
        <f t="shared" si="2"/>
        <v>7.4695687566397162E-2</v>
      </c>
      <c r="S10" s="56"/>
      <c r="T10" s="56"/>
      <c r="U10" s="56"/>
      <c r="V10" s="15"/>
      <c r="W10" s="15"/>
      <c r="X10" s="15"/>
      <c r="Y10" s="15"/>
      <c r="Z10" s="59"/>
      <c r="AA10" s="15"/>
      <c r="AB10" s="15"/>
      <c r="AC10" s="15"/>
      <c r="AD10" s="15"/>
      <c r="AE10" s="15"/>
      <c r="AF10" s="15"/>
      <c r="AG10" s="15"/>
      <c r="AH10" s="15"/>
      <c r="AI10" s="15"/>
      <c r="AJ10" s="27"/>
      <c r="AK10" s="15"/>
      <c r="AL10" s="15"/>
      <c r="AM10" s="15"/>
      <c r="AN10" s="15"/>
      <c r="AO10" s="49"/>
      <c r="AP10" s="61"/>
      <c r="AQ10" s="56"/>
      <c r="AR10" s="56"/>
      <c r="AS10" s="62"/>
      <c r="AT10" s="62"/>
      <c r="AU10" s="53"/>
      <c r="AV10" s="55"/>
      <c r="AW10" s="56" t="s">
        <v>42</v>
      </c>
      <c r="AX10" s="56"/>
      <c r="AY10" s="56"/>
      <c r="AZ10" s="74" t="s">
        <v>35</v>
      </c>
      <c r="BA10" s="74"/>
      <c r="BB10" s="49" t="s">
        <v>35</v>
      </c>
      <c r="BC10" s="49"/>
      <c r="BD10" s="49"/>
      <c r="BE10" s="49"/>
      <c r="BF10" s="49"/>
      <c r="BG10" s="290"/>
      <c r="BH10" s="49"/>
      <c r="BI10" s="49"/>
      <c r="BJ10" s="49"/>
      <c r="BK10" s="53"/>
      <c r="BL10" s="53"/>
      <c r="BM10" s="53"/>
      <c r="BN10" s="53"/>
      <c r="BO10" s="58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76"/>
      <c r="CE10" s="53"/>
      <c r="CF10" s="53"/>
      <c r="CG10" s="53"/>
      <c r="CH10" s="53"/>
      <c r="CI10" s="60"/>
    </row>
    <row r="11" spans="2:87" ht="21" x14ac:dyDescent="0.4">
      <c r="E11" s="33"/>
      <c r="F11" s="33"/>
      <c r="G11" s="73">
        <f t="shared" si="1"/>
        <v>2002</v>
      </c>
      <c r="H11" s="11"/>
      <c r="I11" s="74">
        <v>276.44252682742581</v>
      </c>
      <c r="J11" s="97">
        <v>0.97916666666666663</v>
      </c>
      <c r="K11" s="74">
        <v>3335.5017844404128</v>
      </c>
      <c r="L11" s="73">
        <v>57.902604701179577</v>
      </c>
      <c r="M11" s="73"/>
      <c r="N11" s="49"/>
      <c r="O11" s="73"/>
      <c r="P11" s="74">
        <v>1636.4273442586139</v>
      </c>
      <c r="Q11" s="74">
        <f t="shared" si="0"/>
        <v>4971.9291286990265</v>
      </c>
      <c r="R11" s="56">
        <f t="shared" si="2"/>
        <v>6.3909246488727617E-2</v>
      </c>
      <c r="S11" s="56"/>
      <c r="T11" s="56"/>
      <c r="U11" s="56"/>
      <c r="V11" s="15"/>
      <c r="W11" s="15"/>
      <c r="X11" s="15"/>
      <c r="Y11" s="15"/>
      <c r="Z11" s="59"/>
      <c r="AA11" s="15"/>
      <c r="AB11" s="15"/>
      <c r="AC11" s="15"/>
      <c r="AD11" s="15"/>
      <c r="AE11" s="15"/>
      <c r="AF11" s="15"/>
      <c r="AG11" s="15"/>
      <c r="AH11" s="15"/>
      <c r="AI11" s="15"/>
      <c r="AJ11" s="27"/>
      <c r="AK11" s="15"/>
      <c r="AL11" s="15"/>
      <c r="AM11" s="15"/>
      <c r="AN11" s="15"/>
      <c r="AO11" s="49"/>
      <c r="AP11" s="61"/>
      <c r="AQ11" s="56"/>
      <c r="AR11" s="56"/>
      <c r="AS11" s="62"/>
      <c r="AT11" s="62"/>
      <c r="AU11" s="53">
        <v>2005</v>
      </c>
      <c r="AV11" s="55"/>
      <c r="AW11" s="56">
        <v>48453.794659181673</v>
      </c>
      <c r="AX11" s="56"/>
      <c r="AY11" s="56"/>
      <c r="AZ11" s="74">
        <v>488.69182712235676</v>
      </c>
      <c r="BA11" s="74"/>
      <c r="BB11" s="49">
        <v>569.3205705697178</v>
      </c>
      <c r="BC11" s="49"/>
      <c r="BD11" s="49"/>
      <c r="BE11" s="49"/>
      <c r="BF11" s="49"/>
      <c r="BG11" s="290"/>
      <c r="BH11" s="49"/>
      <c r="BI11" s="49"/>
      <c r="BJ11" s="49"/>
      <c r="BK11" s="53"/>
      <c r="BL11" s="53"/>
      <c r="BM11" s="53"/>
      <c r="BN11" s="53"/>
      <c r="BO11" s="58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76"/>
      <c r="CE11" s="53"/>
      <c r="CF11" s="53"/>
      <c r="CG11" s="53"/>
      <c r="CH11" s="53"/>
      <c r="CI11" s="60"/>
    </row>
    <row r="12" spans="2:87" ht="21" x14ac:dyDescent="0.4">
      <c r="E12" s="33"/>
      <c r="F12" s="33"/>
      <c r="G12" s="73">
        <f t="shared" si="1"/>
        <v>2003</v>
      </c>
      <c r="H12" s="11"/>
      <c r="I12" s="74">
        <v>117.06970589690225</v>
      </c>
      <c r="J12" s="97">
        <v>0.97354497354497349</v>
      </c>
      <c r="K12" s="74">
        <v>3433.9016362813663</v>
      </c>
      <c r="L12" s="73">
        <v>31.652099496069415</v>
      </c>
      <c r="M12" s="73"/>
      <c r="N12" s="49"/>
      <c r="O12" s="73"/>
      <c r="P12" s="74">
        <v>1658.7967982277257</v>
      </c>
      <c r="Q12" s="74">
        <f t="shared" si="0"/>
        <v>5092.6984345090923</v>
      </c>
      <c r="R12" s="56">
        <f t="shared" si="2"/>
        <v>2.3999914926112028E-2</v>
      </c>
      <c r="S12" s="56"/>
      <c r="T12" s="56"/>
      <c r="U12" s="56"/>
      <c r="V12" s="15"/>
      <c r="W12" s="15"/>
      <c r="X12" s="15"/>
      <c r="Y12" s="15"/>
      <c r="Z12" s="59"/>
      <c r="AA12" s="15"/>
      <c r="AB12" s="15"/>
      <c r="AC12" s="15"/>
      <c r="AD12" s="15"/>
      <c r="AE12" s="15"/>
      <c r="AF12" s="15"/>
      <c r="AG12" s="15"/>
      <c r="AH12" s="15"/>
      <c r="AI12" s="15"/>
      <c r="AJ12" s="27"/>
      <c r="AK12" s="15"/>
      <c r="AL12" s="15"/>
      <c r="AM12" s="15"/>
      <c r="AN12" s="15"/>
      <c r="AO12" s="49"/>
      <c r="AP12" s="61"/>
      <c r="AQ12" s="56"/>
      <c r="AR12" s="56"/>
      <c r="AS12" s="62"/>
      <c r="AT12" s="62"/>
      <c r="AU12" s="53">
        <v>2006</v>
      </c>
      <c r="AV12" s="55"/>
      <c r="AW12" s="56">
        <v>47097.487617277686</v>
      </c>
      <c r="AX12" s="56"/>
      <c r="AY12" s="56"/>
      <c r="AZ12" s="74">
        <v>461.51384240350501</v>
      </c>
      <c r="BA12" s="74"/>
      <c r="BB12" s="49">
        <v>547.86541934315596</v>
      </c>
      <c r="BC12" s="49">
        <v>-3.8413996750207992E-2</v>
      </c>
      <c r="BD12" s="49"/>
      <c r="BE12" s="49"/>
      <c r="BF12" s="49"/>
      <c r="BG12" s="290"/>
      <c r="BH12" s="49"/>
      <c r="BI12" s="49"/>
      <c r="BJ12" s="49"/>
      <c r="BK12" s="53"/>
      <c r="BL12" s="53"/>
      <c r="BM12" s="53"/>
      <c r="BN12" s="53"/>
      <c r="BO12" s="58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76"/>
      <c r="CE12" s="53"/>
      <c r="CF12" s="53"/>
      <c r="CG12" s="53"/>
      <c r="CH12" s="53"/>
      <c r="CI12" s="60"/>
    </row>
    <row r="13" spans="2:87" ht="21" x14ac:dyDescent="0.4">
      <c r="E13" s="33"/>
      <c r="F13" s="33"/>
      <c r="G13" s="73">
        <f t="shared" si="1"/>
        <v>2004</v>
      </c>
      <c r="H13" s="11"/>
      <c r="I13" s="74">
        <v>151.83886442642586</v>
      </c>
      <c r="J13" s="97">
        <v>0.967741935483871</v>
      </c>
      <c r="K13" s="74">
        <v>3565.8921775069389</v>
      </c>
      <c r="L13" s="73">
        <v>28.39326025371923</v>
      </c>
      <c r="M13" s="73"/>
      <c r="N13" s="49"/>
      <c r="O13" s="73"/>
      <c r="P13" s="74">
        <v>1677.4519643519259</v>
      </c>
      <c r="Q13" s="74">
        <f t="shared" si="0"/>
        <v>5243.3441418588645</v>
      </c>
      <c r="R13" s="56">
        <f t="shared" si="2"/>
        <v>2.9151655394424523E-2</v>
      </c>
      <c r="S13" s="56"/>
      <c r="T13" s="56"/>
      <c r="U13" s="56"/>
      <c r="V13" s="15"/>
      <c r="W13" s="15"/>
      <c r="X13" s="15"/>
      <c r="Y13" s="15"/>
      <c r="Z13" s="59"/>
      <c r="AA13" s="15"/>
      <c r="AB13" s="15"/>
      <c r="AC13" s="15"/>
      <c r="AD13" s="15"/>
      <c r="AE13" s="15"/>
      <c r="AF13" s="15"/>
      <c r="AG13" s="15"/>
      <c r="AH13" s="15"/>
      <c r="AI13" s="15"/>
      <c r="AJ13" s="27"/>
      <c r="AK13" s="15"/>
      <c r="AL13" s="15"/>
      <c r="AM13" s="15"/>
      <c r="AN13" s="15"/>
      <c r="AO13" s="49"/>
      <c r="AP13" s="61"/>
      <c r="AQ13" s="56"/>
      <c r="AR13" s="56"/>
      <c r="AS13" s="62"/>
      <c r="AT13" s="62"/>
      <c r="AU13" s="53">
        <v>2007</v>
      </c>
      <c r="AV13" s="55"/>
      <c r="AW13" s="56">
        <v>51194.205229452702</v>
      </c>
      <c r="AX13" s="56"/>
      <c r="AY13" s="56"/>
      <c r="AZ13" s="74">
        <v>486.52131365600093</v>
      </c>
      <c r="BA13" s="74"/>
      <c r="BB13" s="49">
        <v>568.81912043107559</v>
      </c>
      <c r="BC13" s="49">
        <v>3.7532821662380249E-2</v>
      </c>
      <c r="BD13" s="49"/>
      <c r="BE13" s="49"/>
      <c r="BF13" s="49"/>
      <c r="BG13" s="290"/>
      <c r="BH13" s="49"/>
      <c r="BI13" s="49"/>
      <c r="BJ13" s="49"/>
      <c r="BK13" s="53"/>
      <c r="BL13" s="53"/>
      <c r="BM13" s="53"/>
      <c r="BN13" s="53"/>
      <c r="BO13" s="58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76"/>
      <c r="CE13" s="53"/>
      <c r="CF13" s="53"/>
      <c r="CG13" s="53"/>
      <c r="CH13" s="53"/>
      <c r="CI13" s="60"/>
    </row>
    <row r="14" spans="2:87" ht="21" x14ac:dyDescent="0.4">
      <c r="E14" s="33"/>
      <c r="F14" s="33"/>
      <c r="G14" s="73">
        <f t="shared" si="1"/>
        <v>2005</v>
      </c>
      <c r="H14" s="11"/>
      <c r="I14" s="74">
        <v>67.578117273802107</v>
      </c>
      <c r="J14" s="97">
        <v>0.96174863387978138</v>
      </c>
      <c r="K14" s="74">
        <v>3612.2238545530709</v>
      </c>
      <c r="L14" s="73">
        <v>21.32755833098706</v>
      </c>
      <c r="M14" s="73"/>
      <c r="N14" s="49"/>
      <c r="O14" s="73"/>
      <c r="P14" s="74">
        <v>1688.5828364666197</v>
      </c>
      <c r="Q14" s="74">
        <f t="shared" si="0"/>
        <v>5300.8066910196903</v>
      </c>
      <c r="R14" s="56">
        <f t="shared" si="2"/>
        <v>1.0899525044361348E-2</v>
      </c>
      <c r="S14" s="56"/>
      <c r="T14" s="56"/>
      <c r="U14" s="56"/>
      <c r="V14" s="15"/>
      <c r="W14" s="15"/>
      <c r="X14" s="15"/>
      <c r="Y14" s="15"/>
      <c r="Z14" s="59"/>
      <c r="AA14" s="15"/>
      <c r="AB14" s="15"/>
      <c r="AC14" s="15"/>
      <c r="AD14" s="15"/>
      <c r="AE14" s="15"/>
      <c r="AF14" s="15"/>
      <c r="AG14" s="15"/>
      <c r="AH14" s="15"/>
      <c r="AI14" s="15"/>
      <c r="AJ14" s="27"/>
      <c r="AK14" s="15"/>
      <c r="AL14" s="15"/>
      <c r="AM14" s="15"/>
      <c r="AN14" s="15"/>
      <c r="AO14" s="49"/>
      <c r="AP14" s="61"/>
      <c r="AQ14" s="56"/>
      <c r="AR14" s="56"/>
      <c r="AS14" s="62"/>
      <c r="AT14" s="62"/>
      <c r="AU14" s="53">
        <v>2008</v>
      </c>
      <c r="AV14" s="55"/>
      <c r="AW14" s="56">
        <v>61066.144356486991</v>
      </c>
      <c r="AX14" s="56"/>
      <c r="AY14" s="56"/>
      <c r="AZ14" s="74">
        <v>564.25173810567799</v>
      </c>
      <c r="BA14" s="74"/>
      <c r="BB14" s="49">
        <v>656.1238148465352</v>
      </c>
      <c r="BC14" s="49">
        <v>0.14278701996943932</v>
      </c>
      <c r="BD14" s="49"/>
      <c r="BE14" s="49"/>
      <c r="BF14" s="49"/>
      <c r="BG14" s="290"/>
      <c r="BH14" s="49"/>
      <c r="BI14" s="49"/>
      <c r="BJ14" s="49"/>
      <c r="BK14" s="53"/>
      <c r="BL14" s="53"/>
      <c r="BM14" s="53"/>
      <c r="BN14" s="53"/>
      <c r="BO14" s="58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76"/>
      <c r="CE14" s="53"/>
      <c r="CF14" s="53"/>
      <c r="CG14" s="53"/>
      <c r="CH14" s="53"/>
      <c r="CI14" s="60"/>
    </row>
    <row r="15" spans="2:87" ht="21" x14ac:dyDescent="0.4">
      <c r="E15" s="33"/>
      <c r="F15" s="33"/>
      <c r="G15" s="73">
        <f t="shared" si="1"/>
        <v>2006</v>
      </c>
      <c r="H15" s="11"/>
      <c r="I15" s="74">
        <v>136.75549627620401</v>
      </c>
      <c r="J15" s="97">
        <v>0.9555555555555556</v>
      </c>
      <c r="K15" s="74">
        <v>3726.6993623883318</v>
      </c>
      <c r="L15" s="73">
        <v>19.362995920355704</v>
      </c>
      <c r="M15" s="73"/>
      <c r="N15" s="49"/>
      <c r="O15" s="73"/>
      <c r="P15" s="74">
        <v>1697.3056534782054</v>
      </c>
      <c r="Q15" s="74">
        <f t="shared" si="0"/>
        <v>5424.0050158665372</v>
      </c>
      <c r="R15" s="56">
        <f t="shared" si="2"/>
        <v>2.2975460563109687E-2</v>
      </c>
      <c r="S15" s="56"/>
      <c r="T15" s="56"/>
      <c r="U15" s="56"/>
      <c r="V15" s="15"/>
      <c r="W15" s="15"/>
      <c r="X15" s="15"/>
      <c r="Y15" s="15"/>
      <c r="Z15" s="59"/>
      <c r="AA15" s="15"/>
      <c r="AB15" s="15"/>
      <c r="AC15" s="15"/>
      <c r="AD15" s="15"/>
      <c r="AE15" s="15"/>
      <c r="AF15" s="15"/>
      <c r="AG15" s="15"/>
      <c r="AH15" s="15"/>
      <c r="AI15" s="15"/>
      <c r="AJ15" s="27"/>
      <c r="AK15" s="15"/>
      <c r="AL15" s="15"/>
      <c r="AM15" s="15"/>
      <c r="AN15" s="15"/>
      <c r="AO15" s="49"/>
      <c r="AP15" s="61"/>
      <c r="AQ15" s="56"/>
      <c r="AR15" s="56"/>
      <c r="AS15" s="62"/>
      <c r="AT15" s="62"/>
      <c r="AU15" s="53">
        <v>2009</v>
      </c>
      <c r="AV15" s="55"/>
      <c r="AW15" s="56">
        <v>62815.012135447134</v>
      </c>
      <c r="AX15" s="56"/>
      <c r="AY15" s="56"/>
      <c r="AZ15" s="74">
        <v>572.21600669958673</v>
      </c>
      <c r="BA15" s="74"/>
      <c r="BB15" s="49">
        <v>673.9007353920689</v>
      </c>
      <c r="BC15" s="49">
        <v>2.6733309920997872E-2</v>
      </c>
      <c r="BD15" s="49"/>
      <c r="BE15" s="49"/>
      <c r="BF15" s="49"/>
      <c r="BG15" s="290"/>
      <c r="BH15" s="49"/>
      <c r="BI15" s="49"/>
      <c r="BJ15" s="49"/>
      <c r="BK15" s="53"/>
      <c r="BL15" s="53"/>
      <c r="BM15" s="53"/>
      <c r="BN15" s="53"/>
      <c r="BO15" s="58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76"/>
      <c r="CE15" s="53"/>
      <c r="CF15" s="53"/>
      <c r="CG15" s="53"/>
      <c r="CH15" s="53"/>
      <c r="CI15" s="60"/>
    </row>
    <row r="16" spans="2:87" ht="21" x14ac:dyDescent="0.4">
      <c r="E16" s="33"/>
      <c r="F16" s="33"/>
      <c r="G16" s="73">
        <f t="shared" si="1"/>
        <v>2007</v>
      </c>
      <c r="H16" s="11"/>
      <c r="I16" s="74">
        <v>101.31272923312103</v>
      </c>
      <c r="J16" s="97">
        <v>0.94915254237288138</v>
      </c>
      <c r="K16" s="74">
        <v>3804.3092696265567</v>
      </c>
      <c r="L16" s="73">
        <v>26.994774294634517</v>
      </c>
      <c r="M16" s="73"/>
      <c r="N16" s="49"/>
      <c r="O16" s="73"/>
      <c r="P16" s="74">
        <v>1713.2062812172335</v>
      </c>
      <c r="Q16" s="74">
        <f t="shared" si="0"/>
        <v>5517.5155508437902</v>
      </c>
      <c r="R16" s="56">
        <f t="shared" si="2"/>
        <v>1.7093202211282292E-2</v>
      </c>
      <c r="S16" s="56"/>
      <c r="T16" s="56"/>
      <c r="U16" s="56"/>
      <c r="V16" s="15"/>
      <c r="W16" s="15"/>
      <c r="X16" s="15"/>
      <c r="Y16" s="15"/>
      <c r="Z16" s="59"/>
      <c r="AA16" s="15"/>
      <c r="AB16" s="15"/>
      <c r="AC16" s="15"/>
      <c r="AD16" s="15"/>
      <c r="AE16" s="15"/>
      <c r="AF16" s="15"/>
      <c r="AG16" s="15"/>
      <c r="AH16" s="15"/>
      <c r="AI16" s="15"/>
      <c r="AJ16" s="27"/>
      <c r="AK16" s="15"/>
      <c r="AL16" s="15"/>
      <c r="AM16" s="15"/>
      <c r="AN16" s="15"/>
      <c r="AO16" s="49"/>
      <c r="AP16" s="61"/>
      <c r="AQ16" s="56"/>
      <c r="AR16" s="56"/>
      <c r="AS16" s="62"/>
      <c r="AT16" s="62"/>
      <c r="AU16" s="53">
        <v>2010</v>
      </c>
      <c r="AV16" s="55"/>
      <c r="AW16" s="56">
        <v>60317.766891114254</v>
      </c>
      <c r="AX16" s="56"/>
      <c r="AY16" s="56"/>
      <c r="AZ16" s="74">
        <v>539.15322360772518</v>
      </c>
      <c r="BA16" s="74"/>
      <c r="BB16" s="49">
        <v>635.34132795497476</v>
      </c>
      <c r="BC16" s="49">
        <v>-5.8920444382861904E-2</v>
      </c>
      <c r="BD16" s="49"/>
      <c r="BE16" s="49"/>
      <c r="BF16" s="49"/>
      <c r="BG16" s="290"/>
      <c r="BH16" s="49"/>
      <c r="BI16" s="49"/>
      <c r="BJ16" s="49"/>
      <c r="BK16" s="53"/>
      <c r="BL16" s="53"/>
      <c r="BM16" s="53"/>
      <c r="BN16" s="53"/>
      <c r="BO16" s="58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76"/>
      <c r="CE16" s="53"/>
      <c r="CF16" s="53"/>
      <c r="CG16" s="53"/>
      <c r="CH16" s="53"/>
      <c r="CI16" s="60"/>
    </row>
    <row r="17" spans="5:87" ht="21" x14ac:dyDescent="0.4">
      <c r="E17" s="33"/>
      <c r="F17" s="33"/>
      <c r="G17" s="73">
        <f t="shared" si="1"/>
        <v>2008</v>
      </c>
      <c r="H17" s="11"/>
      <c r="I17" s="74">
        <v>138.34988685112313</v>
      </c>
      <c r="J17" s="97">
        <v>0.94252873563218387</v>
      </c>
      <c r="K17" s="74">
        <v>3917.651439884808</v>
      </c>
      <c r="L17" s="73">
        <v>21.50272710923814</v>
      </c>
      <c r="M17" s="73"/>
      <c r="N17" s="49"/>
      <c r="O17" s="73"/>
      <c r="P17" s="74">
        <v>1723.1016572495478</v>
      </c>
      <c r="Q17" s="74">
        <f t="shared" si="0"/>
        <v>5640.7530971343558</v>
      </c>
      <c r="R17" s="56">
        <f t="shared" si="2"/>
        <v>2.2089906853513364E-2</v>
      </c>
      <c r="S17" s="56"/>
      <c r="T17" s="56"/>
      <c r="U17" s="56"/>
      <c r="V17" s="15"/>
      <c r="W17" s="15"/>
      <c r="X17" s="15"/>
      <c r="Y17" s="15"/>
      <c r="Z17" s="59"/>
      <c r="AA17" s="15"/>
      <c r="AB17" s="15"/>
      <c r="AC17" s="15"/>
      <c r="AD17" s="15"/>
      <c r="AE17" s="15"/>
      <c r="AF17" s="15"/>
      <c r="AG17" s="15"/>
      <c r="AH17" s="15"/>
      <c r="AI17" s="15"/>
      <c r="AJ17" s="27"/>
      <c r="AK17" s="15"/>
      <c r="AL17" s="15"/>
      <c r="AM17" s="15"/>
      <c r="AN17" s="15"/>
      <c r="AO17" s="49"/>
      <c r="AP17" s="61"/>
      <c r="AQ17" s="56"/>
      <c r="AR17" s="56"/>
      <c r="AS17" s="62"/>
      <c r="AT17" s="62"/>
      <c r="AU17" s="53">
        <v>2011</v>
      </c>
      <c r="AV17" s="55"/>
      <c r="AW17" s="56">
        <v>63731.618385797934</v>
      </c>
      <c r="AX17" s="56"/>
      <c r="AY17" s="56"/>
      <c r="AZ17" s="74">
        <v>557.58196313034068</v>
      </c>
      <c r="BA17" s="74"/>
      <c r="BB17" s="49">
        <v>650.79544939205402</v>
      </c>
      <c r="BC17" s="49">
        <v>2.4033004174302836E-2</v>
      </c>
      <c r="BD17" s="49"/>
      <c r="BE17" s="49"/>
      <c r="BF17" s="49"/>
      <c r="BG17" s="290"/>
      <c r="BH17" s="49"/>
      <c r="BI17" s="49"/>
      <c r="BJ17" s="49"/>
      <c r="BK17" s="53"/>
      <c r="BL17" s="53"/>
      <c r="BM17" s="53"/>
      <c r="BN17" s="53"/>
      <c r="BO17" s="58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76"/>
      <c r="CE17" s="53"/>
      <c r="CF17" s="53"/>
      <c r="CG17" s="53"/>
      <c r="CH17" s="53"/>
      <c r="CI17" s="60"/>
    </row>
    <row r="18" spans="5:87" ht="21" x14ac:dyDescent="0.4">
      <c r="E18" s="33"/>
      <c r="F18" s="33"/>
      <c r="G18" s="73">
        <f t="shared" si="1"/>
        <v>2009</v>
      </c>
      <c r="H18" s="11"/>
      <c r="I18" s="74">
        <v>200.33737326346994</v>
      </c>
      <c r="J18" s="97">
        <v>0.93567251461988299</v>
      </c>
      <c r="K18" s="74">
        <v>4091.4353268694053</v>
      </c>
      <c r="L18" s="73">
        <v>29.05939212086319</v>
      </c>
      <c r="M18" s="73"/>
      <c r="N18" s="49"/>
      <c r="O18" s="73"/>
      <c r="P18" s="74">
        <v>1740.0439865973044</v>
      </c>
      <c r="Q18" s="74">
        <f t="shared" si="0"/>
        <v>5831.4793134667098</v>
      </c>
      <c r="R18" s="56">
        <f t="shared" si="2"/>
        <v>3.3253125308317928E-2</v>
      </c>
      <c r="S18" s="56"/>
      <c r="T18" s="56"/>
      <c r="U18" s="56"/>
      <c r="V18" s="15"/>
      <c r="W18" s="15"/>
      <c r="X18" s="15"/>
      <c r="Y18" s="15"/>
      <c r="Z18" s="59"/>
      <c r="AA18" s="15"/>
      <c r="AB18" s="15"/>
      <c r="AC18" s="15"/>
      <c r="AD18" s="15"/>
      <c r="AE18" s="15"/>
      <c r="AF18" s="15"/>
      <c r="AG18" s="15"/>
      <c r="AH18" s="15"/>
      <c r="AI18" s="15"/>
      <c r="AJ18" s="27"/>
      <c r="AK18" s="15"/>
      <c r="AL18" s="15"/>
      <c r="AM18" s="15"/>
      <c r="AN18" s="15"/>
      <c r="AO18" s="49"/>
      <c r="AP18" s="61"/>
      <c r="AQ18" s="56"/>
      <c r="AR18" s="56"/>
      <c r="AS18" s="62"/>
      <c r="AT18" s="62"/>
      <c r="AU18" s="53">
        <v>2012</v>
      </c>
      <c r="AV18" s="55"/>
      <c r="AW18" s="56">
        <v>55368.13265334582</v>
      </c>
      <c r="AX18" s="56"/>
      <c r="AY18" s="56"/>
      <c r="AZ18" s="74">
        <v>475.26294123043624</v>
      </c>
      <c r="BA18" s="74"/>
      <c r="BB18" s="49">
        <v>547.2293705542063</v>
      </c>
      <c r="BC18" s="49">
        <v>-0.17332734386473136</v>
      </c>
      <c r="BD18" s="49"/>
      <c r="BE18" s="49"/>
      <c r="BF18" s="49"/>
      <c r="BG18" s="290"/>
      <c r="BH18" s="49"/>
      <c r="BI18" s="49"/>
      <c r="BJ18" s="49"/>
      <c r="BK18" s="53"/>
      <c r="BL18" s="53"/>
      <c r="BM18" s="53"/>
      <c r="BN18" s="53"/>
      <c r="BO18" s="58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76"/>
      <c r="CE18" s="53"/>
      <c r="CF18" s="53"/>
      <c r="CG18" s="53"/>
      <c r="CH18" s="53"/>
      <c r="CI18" s="60"/>
    </row>
    <row r="19" spans="5:87" ht="21" x14ac:dyDescent="0.4">
      <c r="E19" s="33"/>
      <c r="F19" s="33"/>
      <c r="G19" s="73">
        <f t="shared" si="1"/>
        <v>2010</v>
      </c>
      <c r="H19" s="11"/>
      <c r="I19" s="74">
        <v>147.62135261159926</v>
      </c>
      <c r="J19" s="97">
        <v>0.9285714285714286</v>
      </c>
      <c r="K19" s="74">
        <v>4210.5832305694585</v>
      </c>
      <c r="L19" s="73">
        <v>18.529340086720531</v>
      </c>
      <c r="M19" s="73"/>
      <c r="N19" s="49"/>
      <c r="O19" s="73"/>
      <c r="P19" s="74">
        <v>1745.8843669181967</v>
      </c>
      <c r="Q19" s="74">
        <f t="shared" si="0"/>
        <v>5956.4675974876554</v>
      </c>
      <c r="R19" s="56">
        <f t="shared" si="2"/>
        <v>2.120691061985476E-2</v>
      </c>
      <c r="S19" s="56"/>
      <c r="T19" s="56"/>
      <c r="U19" s="56"/>
      <c r="V19" s="15"/>
      <c r="W19" s="15"/>
      <c r="X19" s="15"/>
      <c r="Y19" s="15"/>
      <c r="Z19" s="59"/>
      <c r="AA19" s="15"/>
      <c r="AB19" s="15"/>
      <c r="AC19" s="15"/>
      <c r="AD19" s="15"/>
      <c r="AE19" s="15"/>
      <c r="AF19" s="15"/>
      <c r="AG19" s="15"/>
      <c r="AH19" s="15"/>
      <c r="AI19" s="15"/>
      <c r="AJ19" s="27"/>
      <c r="AK19" s="15"/>
      <c r="AL19" s="15"/>
      <c r="AM19" s="15"/>
      <c r="AN19" s="15"/>
      <c r="AO19" s="49"/>
      <c r="AP19" s="61"/>
      <c r="AQ19" s="56"/>
      <c r="AR19" s="56"/>
      <c r="AS19" s="62"/>
      <c r="AT19" s="62"/>
      <c r="AU19" s="53">
        <v>2013</v>
      </c>
      <c r="AV19" s="55"/>
      <c r="AW19" s="56">
        <v>68025.816273212113</v>
      </c>
      <c r="AX19" s="56"/>
      <c r="AY19" s="56"/>
      <c r="AZ19" s="74">
        <v>572.96960432269623</v>
      </c>
      <c r="BA19" s="74"/>
      <c r="BB19" s="49">
        <v>661.07662933866914</v>
      </c>
      <c r="BC19" s="49">
        <v>0.18900172341401603</v>
      </c>
      <c r="BD19" s="49"/>
      <c r="BE19" s="49"/>
      <c r="BF19" s="49"/>
      <c r="BG19" s="290"/>
      <c r="BH19" s="49"/>
      <c r="BI19" s="49"/>
      <c r="BJ19" s="49"/>
      <c r="BK19" s="53"/>
      <c r="BL19" s="53"/>
      <c r="BM19" s="53"/>
      <c r="BN19" s="53"/>
      <c r="BO19" s="58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79"/>
      <c r="CE19" s="53"/>
      <c r="CF19" s="53"/>
      <c r="CG19" s="53"/>
      <c r="CH19" s="53"/>
      <c r="CI19" s="60"/>
    </row>
    <row r="20" spans="5:87" ht="21" x14ac:dyDescent="0.4">
      <c r="E20" s="33"/>
      <c r="F20" s="33"/>
      <c r="G20" s="73">
        <f t="shared" si="1"/>
        <v>2011</v>
      </c>
      <c r="H20" s="11"/>
      <c r="I20" s="74">
        <v>150.20165687371772</v>
      </c>
      <c r="J20" s="97">
        <v>0.92121212121212126</v>
      </c>
      <c r="K20" s="74">
        <v>4330.5744381541699</v>
      </c>
      <c r="L20" s="73">
        <v>25.526024787595723</v>
      </c>
      <c r="M20" s="73"/>
      <c r="N20" s="49"/>
      <c r="O20" s="73"/>
      <c r="P20" s="74">
        <v>1758.1745072303875</v>
      </c>
      <c r="Q20" s="74">
        <f t="shared" si="0"/>
        <v>6088.7489453845574</v>
      </c>
      <c r="R20" s="56">
        <f t="shared" si="2"/>
        <v>2.1965012546592912E-2</v>
      </c>
      <c r="S20" s="56"/>
      <c r="T20" s="56"/>
      <c r="U20" s="56"/>
      <c r="V20" s="15"/>
      <c r="W20" s="15"/>
      <c r="X20" s="15"/>
      <c r="Y20" s="15"/>
      <c r="Z20" s="59"/>
      <c r="AA20" s="15"/>
      <c r="AB20" s="15"/>
      <c r="AC20" s="15"/>
      <c r="AD20" s="15"/>
      <c r="AE20" s="15"/>
      <c r="AF20" s="15"/>
      <c r="AG20" s="15"/>
      <c r="AH20" s="15"/>
      <c r="AI20" s="15"/>
      <c r="AJ20" s="27"/>
      <c r="AK20" s="15"/>
      <c r="AL20" s="15"/>
      <c r="AM20" s="15"/>
      <c r="AN20" s="15"/>
      <c r="AO20" s="49"/>
      <c r="AP20" s="61"/>
      <c r="AQ20" s="56"/>
      <c r="AR20" s="56"/>
      <c r="AS20" s="62"/>
      <c r="AT20" s="62"/>
      <c r="AU20" s="53">
        <v>2014</v>
      </c>
      <c r="AV20" s="55"/>
      <c r="AW20" s="56">
        <v>69294.100166773147</v>
      </c>
      <c r="AX20" s="56"/>
      <c r="AY20" s="56"/>
      <c r="AZ20" s="74">
        <v>571.73349972585106</v>
      </c>
      <c r="BA20" s="74"/>
      <c r="BB20" s="49">
        <v>660.96128335829394</v>
      </c>
      <c r="BC20" s="49">
        <v>-1.7449723576011542E-4</v>
      </c>
      <c r="BD20" s="49"/>
      <c r="BE20" s="49"/>
      <c r="BF20" s="49"/>
      <c r="BG20" s="290"/>
      <c r="BH20" s="49"/>
      <c r="BI20" s="49"/>
      <c r="BJ20" s="49"/>
      <c r="BK20" s="53"/>
      <c r="BL20" s="53"/>
      <c r="BM20" s="53"/>
      <c r="BN20" s="53"/>
      <c r="BO20" s="58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76"/>
      <c r="CE20" s="53"/>
      <c r="CF20" s="53"/>
      <c r="CG20" s="53"/>
      <c r="CH20" s="53"/>
      <c r="CI20" s="60"/>
    </row>
    <row r="21" spans="5:87" ht="21" x14ac:dyDescent="0.4">
      <c r="E21" s="33"/>
      <c r="F21" s="33"/>
      <c r="G21" s="73">
        <f t="shared" si="1"/>
        <v>2012</v>
      </c>
      <c r="H21" s="11"/>
      <c r="I21" s="74">
        <v>140.44444059904569</v>
      </c>
      <c r="J21" s="97">
        <v>0.9135802469135802</v>
      </c>
      <c r="K21" s="74">
        <v>4438.9822870043772</v>
      </c>
      <c r="L21" s="73">
        <v>25.938853052115487</v>
      </c>
      <c r="M21" s="73"/>
      <c r="N21" s="49"/>
      <c r="O21" s="73"/>
      <c r="P21" s="74">
        <v>1770.2680234376805</v>
      </c>
      <c r="Q21" s="74">
        <f t="shared" si="0"/>
        <v>6209.2503104420575</v>
      </c>
      <c r="R21" s="56">
        <f t="shared" si="2"/>
        <v>1.9597532770210979E-2</v>
      </c>
      <c r="S21" s="56"/>
      <c r="T21" s="56"/>
      <c r="U21" s="56"/>
      <c r="V21" s="15"/>
      <c r="W21" s="15"/>
      <c r="X21" s="15"/>
      <c r="Y21" s="15"/>
      <c r="Z21" s="59"/>
      <c r="AA21" s="15"/>
      <c r="AB21" s="15"/>
      <c r="AC21" s="15"/>
      <c r="AD21" s="15"/>
      <c r="AE21" s="15"/>
      <c r="AF21" s="15"/>
      <c r="AG21" s="15"/>
      <c r="AH21" s="15"/>
      <c r="AI21" s="15"/>
      <c r="AJ21" s="27"/>
      <c r="AK21" s="15"/>
      <c r="AL21" s="15"/>
      <c r="AM21" s="15"/>
      <c r="AN21" s="15"/>
      <c r="AO21" s="49"/>
      <c r="AP21" s="61"/>
      <c r="AQ21" s="56"/>
      <c r="AR21" s="56"/>
      <c r="AS21" s="62"/>
      <c r="AT21" s="62"/>
      <c r="AU21" s="53">
        <v>2015</v>
      </c>
      <c r="AV21" s="55"/>
      <c r="AW21" s="56">
        <v>63080.933254042786</v>
      </c>
      <c r="AX21" s="56"/>
      <c r="AY21" s="56"/>
      <c r="AZ21" s="74">
        <v>509.74491518418415</v>
      </c>
      <c r="BA21" s="74"/>
      <c r="BB21" s="49">
        <v>596.56673632565412</v>
      </c>
      <c r="BC21" s="49">
        <v>-0.10250415018288074</v>
      </c>
      <c r="BD21" s="49"/>
      <c r="BE21" s="49"/>
      <c r="BF21" s="49"/>
      <c r="BG21" s="290"/>
      <c r="BH21" s="49"/>
      <c r="BI21" s="49"/>
      <c r="BJ21" s="49"/>
      <c r="BK21" s="53"/>
      <c r="BL21" s="53"/>
      <c r="BM21" s="53"/>
      <c r="BN21" s="53"/>
      <c r="BO21" s="58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76"/>
      <c r="CE21" s="53"/>
      <c r="CF21" s="53"/>
      <c r="CG21" s="53"/>
      <c r="CH21" s="53"/>
      <c r="CI21" s="60"/>
    </row>
    <row r="22" spans="5:87" ht="21" x14ac:dyDescent="0.4">
      <c r="E22" s="33"/>
      <c r="F22" s="33"/>
      <c r="G22" s="73">
        <f t="shared" si="1"/>
        <v>2013</v>
      </c>
      <c r="H22" s="11"/>
      <c r="I22" s="74">
        <v>96.478181433241446</v>
      </c>
      <c r="J22" s="97">
        <v>0.90566037735849059</v>
      </c>
      <c r="K22" s="74">
        <v>4501.5645900790933</v>
      </c>
      <c r="L22" s="73">
        <v>19.410525367978096</v>
      </c>
      <c r="M22" s="73"/>
      <c r="N22" s="49"/>
      <c r="O22" s="73"/>
      <c r="P22" s="74">
        <v>1775.1909458958817</v>
      </c>
      <c r="Q22" s="74">
        <f t="shared" si="0"/>
        <v>6276.7555359749749</v>
      </c>
      <c r="R22" s="56">
        <f t="shared" si="2"/>
        <v>1.0813046878089604E-2</v>
      </c>
      <c r="S22" s="56"/>
      <c r="T22" s="56"/>
      <c r="U22" s="56"/>
      <c r="V22" s="15"/>
      <c r="W22" s="15"/>
      <c r="X22" s="15"/>
      <c r="Y22" s="15"/>
      <c r="Z22" s="59"/>
      <c r="AA22" s="15"/>
      <c r="AB22" s="15"/>
      <c r="AC22" s="15"/>
      <c r="AD22" s="15"/>
      <c r="AE22" s="15"/>
      <c r="AF22" s="15"/>
      <c r="AG22" s="15"/>
      <c r="AH22" s="15"/>
      <c r="AI22" s="15"/>
      <c r="AJ22" s="27"/>
      <c r="AK22" s="15"/>
      <c r="AL22" s="15"/>
      <c r="AM22" s="15"/>
      <c r="AN22" s="15"/>
      <c r="AO22" s="49"/>
      <c r="AP22" s="61"/>
      <c r="AQ22" s="56"/>
      <c r="AR22" s="56"/>
      <c r="AS22" s="62"/>
      <c r="AT22" s="62"/>
      <c r="AU22" s="53">
        <v>2016</v>
      </c>
      <c r="AV22" s="55"/>
      <c r="AW22" s="56">
        <v>73469.788829246812</v>
      </c>
      <c r="AX22" s="56"/>
      <c r="AY22" s="56"/>
      <c r="AZ22" s="74">
        <v>581.24832934530707</v>
      </c>
      <c r="BA22" s="74"/>
      <c r="BB22" s="49">
        <v>672.12662011207181</v>
      </c>
      <c r="BC22" s="49">
        <v>0.11925563043790485</v>
      </c>
      <c r="BD22" s="49"/>
      <c r="BE22" s="49"/>
      <c r="BF22" s="49"/>
      <c r="BG22" s="290"/>
      <c r="BH22" s="49"/>
      <c r="BI22" s="49"/>
      <c r="BJ22" s="49"/>
      <c r="BK22" s="53"/>
      <c r="BL22" s="53"/>
      <c r="BM22" s="53"/>
      <c r="BN22" s="53"/>
      <c r="BO22" s="58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76"/>
      <c r="CE22" s="53"/>
      <c r="CF22" s="53"/>
      <c r="CG22" s="53"/>
      <c r="CH22" s="53"/>
      <c r="CI22" s="60"/>
    </row>
    <row r="23" spans="5:87" ht="21" x14ac:dyDescent="0.4">
      <c r="E23" s="33"/>
      <c r="F23" s="33"/>
      <c r="G23" s="73">
        <f t="shared" si="1"/>
        <v>2014</v>
      </c>
      <c r="H23" s="11"/>
      <c r="I23" s="74">
        <v>129.4974374314038</v>
      </c>
      <c r="J23" s="97">
        <v>0.89743589743589747</v>
      </c>
      <c r="K23" s="74">
        <v>4595.4399361425276</v>
      </c>
      <c r="L23" s="73">
        <v>24.825078204749861</v>
      </c>
      <c r="M23" s="73"/>
      <c r="N23" s="49"/>
      <c r="O23" s="73"/>
      <c r="P23" s="74">
        <v>1784.8855922718926</v>
      </c>
      <c r="Q23" s="74">
        <f t="shared" si="0"/>
        <v>6380.3255284144198</v>
      </c>
      <c r="R23" s="56">
        <f t="shared" si="2"/>
        <v>1.6365906737820471E-2</v>
      </c>
      <c r="S23" s="56"/>
      <c r="T23" s="56"/>
      <c r="U23" s="56"/>
      <c r="V23" s="15"/>
      <c r="W23" s="15"/>
      <c r="X23" s="15"/>
      <c r="Y23" s="15"/>
      <c r="Z23" s="59"/>
      <c r="AA23" s="15"/>
      <c r="AB23" s="15"/>
      <c r="AC23" s="15"/>
      <c r="AD23" s="15"/>
      <c r="AE23" s="15"/>
      <c r="AF23" s="15"/>
      <c r="AG23" s="15"/>
      <c r="AH23" s="15"/>
      <c r="AI23" s="15"/>
      <c r="AJ23" s="27"/>
      <c r="AK23" s="15"/>
      <c r="AL23" s="15"/>
      <c r="AM23" s="15"/>
      <c r="AN23" s="15"/>
      <c r="AO23" s="49"/>
      <c r="AP23" s="61"/>
      <c r="AQ23" s="56"/>
      <c r="AR23" s="56"/>
      <c r="AS23" s="56"/>
      <c r="AT23" s="56"/>
      <c r="AU23" s="57">
        <v>2017</v>
      </c>
      <c r="AV23" s="55"/>
      <c r="AW23" s="56">
        <v>74726.142015534642</v>
      </c>
      <c r="AX23" s="56"/>
      <c r="AY23" s="56"/>
      <c r="AZ23" s="74">
        <v>577.0358456798042</v>
      </c>
      <c r="BA23" s="74"/>
      <c r="BB23" s="49">
        <v>668.78892058888164</v>
      </c>
      <c r="BC23" s="49">
        <v>-4.9782500314958069E-3</v>
      </c>
      <c r="BD23" s="49"/>
      <c r="BE23" s="49"/>
      <c r="BF23" s="49"/>
      <c r="BG23" s="290"/>
      <c r="BH23" s="49"/>
      <c r="BI23" s="49"/>
      <c r="BJ23" s="49"/>
      <c r="BK23" s="53"/>
      <c r="BL23" s="53"/>
      <c r="BM23" s="53"/>
      <c r="BN23" s="53"/>
      <c r="BO23" s="58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76"/>
      <c r="CE23" s="53"/>
      <c r="CF23" s="53"/>
      <c r="CG23" s="53"/>
      <c r="CH23" s="53"/>
      <c r="CI23" s="60"/>
    </row>
    <row r="24" spans="5:87" ht="21" x14ac:dyDescent="0.4">
      <c r="E24" s="33"/>
      <c r="F24" s="33"/>
      <c r="G24" s="73">
        <f t="shared" si="1"/>
        <v>2015</v>
      </c>
      <c r="H24" s="11"/>
      <c r="I24" s="74">
        <v>123.50679797857067</v>
      </c>
      <c r="J24" s="97">
        <v>0.88888888888888884</v>
      </c>
      <c r="K24" s="74">
        <v>4681.349254950188</v>
      </c>
      <c r="L24" s="73">
        <v>22.230128337190095</v>
      </c>
      <c r="M24" s="73"/>
      <c r="N24" s="49"/>
      <c r="O24" s="73"/>
      <c r="P24" s="74">
        <v>1791.2810321298016</v>
      </c>
      <c r="Q24" s="74">
        <f t="shared" si="0"/>
        <v>6472.63028707999</v>
      </c>
      <c r="R24" s="56">
        <f t="shared" si="2"/>
        <v>1.4363442452155791E-2</v>
      </c>
      <c r="S24" s="56"/>
      <c r="T24" s="56"/>
      <c r="U24" s="56"/>
      <c r="V24" s="15"/>
      <c r="W24" s="15"/>
      <c r="X24" s="15"/>
      <c r="Y24" s="15"/>
      <c r="Z24" s="59"/>
      <c r="AA24" s="15"/>
      <c r="AB24" s="15"/>
      <c r="AC24" s="15"/>
      <c r="AD24" s="15"/>
      <c r="AE24" s="15"/>
      <c r="AF24" s="15"/>
      <c r="AG24" s="15"/>
      <c r="AH24" s="15"/>
      <c r="AI24" s="15"/>
      <c r="AJ24" s="27"/>
      <c r="AK24" s="15"/>
      <c r="AL24" s="15"/>
      <c r="AM24" s="15"/>
      <c r="AN24" s="15"/>
      <c r="AO24" s="27"/>
      <c r="AP24" s="27"/>
      <c r="AQ24" s="27"/>
      <c r="AR24" s="27"/>
      <c r="AS24" s="27"/>
      <c r="AT24" s="27"/>
      <c r="AU24" s="15">
        <v>2018</v>
      </c>
      <c r="AV24" s="55"/>
      <c r="AW24" s="27">
        <v>182044.14521314992</v>
      </c>
      <c r="AX24" s="27"/>
      <c r="AY24" s="27"/>
      <c r="AZ24" s="87">
        <v>1366.184954695309</v>
      </c>
      <c r="BA24" s="87"/>
      <c r="BB24" s="41">
        <v>1654.4339966079624</v>
      </c>
      <c r="BC24" s="41">
        <v>0.90574573778178713</v>
      </c>
      <c r="BD24" s="41"/>
      <c r="BE24" s="41"/>
      <c r="BF24" s="41"/>
      <c r="BG24" s="286"/>
      <c r="BH24" s="41"/>
      <c r="BI24" s="41"/>
      <c r="BJ24" s="41"/>
      <c r="BO24" s="176"/>
      <c r="CD24" s="80"/>
      <c r="CI24" s="81"/>
    </row>
    <row r="25" spans="5:87" ht="21" x14ac:dyDescent="0.4">
      <c r="E25" s="33"/>
      <c r="F25" s="33"/>
      <c r="G25" s="73">
        <f t="shared" si="1"/>
        <v>2016</v>
      </c>
      <c r="H25" s="11"/>
      <c r="I25" s="74">
        <v>154.98549265694024</v>
      </c>
      <c r="J25" s="97">
        <v>0.88</v>
      </c>
      <c r="K25" s="74">
        <v>4796.6957139007873</v>
      </c>
      <c r="L25" s="73">
        <v>26.216147706648847</v>
      </c>
      <c r="M25" s="73"/>
      <c r="N25" s="49"/>
      <c r="O25" s="73"/>
      <c r="P25" s="74">
        <v>1800.9332191873921</v>
      </c>
      <c r="Q25" s="74">
        <f t="shared" si="0"/>
        <v>6597.6289330881791</v>
      </c>
      <c r="R25" s="56">
        <f t="shared" si="2"/>
        <v>1.9127770153661225E-2</v>
      </c>
      <c r="S25" s="56"/>
      <c r="T25" s="56"/>
      <c r="U25" s="56"/>
      <c r="V25" s="15"/>
      <c r="W25" s="15"/>
      <c r="X25" s="15"/>
      <c r="Y25" s="15"/>
      <c r="Z25" s="59"/>
      <c r="AA25" s="15"/>
      <c r="AB25" s="15"/>
      <c r="AC25" s="15"/>
      <c r="AD25" s="15"/>
      <c r="AE25" s="15"/>
      <c r="AF25" s="15"/>
      <c r="AG25" s="15"/>
      <c r="AH25" s="15"/>
      <c r="AI25" s="15"/>
      <c r="AJ25" s="27"/>
      <c r="AK25" s="15"/>
      <c r="AL25" s="15"/>
      <c r="AM25" s="15"/>
      <c r="AN25" s="15"/>
      <c r="AO25" s="27"/>
      <c r="AP25" s="27"/>
      <c r="AQ25" s="27"/>
      <c r="AR25" s="27"/>
      <c r="AS25" s="27"/>
      <c r="AT25" s="27"/>
      <c r="AU25" s="15">
        <v>2019</v>
      </c>
      <c r="AV25" s="55"/>
      <c r="AW25" s="27">
        <v>106975.1197434819</v>
      </c>
      <c r="AX25" s="27"/>
      <c r="AY25" s="27"/>
      <c r="AZ25" s="87">
        <v>781.69616180841729</v>
      </c>
      <c r="BA25" s="87"/>
      <c r="BB25" s="41">
        <v>922.25901030477462</v>
      </c>
      <c r="BC25" s="41">
        <v>-0.58438812696513687</v>
      </c>
      <c r="BD25" s="41"/>
      <c r="BE25" s="41"/>
      <c r="BF25" s="41"/>
      <c r="BG25" s="286"/>
      <c r="BH25" s="41"/>
      <c r="BI25" s="41"/>
      <c r="BJ25" s="41"/>
      <c r="BO25" s="176"/>
      <c r="CD25" s="80"/>
      <c r="CI25" s="81"/>
    </row>
    <row r="26" spans="5:87" ht="21" x14ac:dyDescent="0.4">
      <c r="E26" s="33"/>
      <c r="F26" s="33"/>
      <c r="G26" s="73">
        <f t="shared" si="1"/>
        <v>2017</v>
      </c>
      <c r="H26" s="11"/>
      <c r="I26" s="74">
        <v>142.31742285394924</v>
      </c>
      <c r="J26" s="97">
        <v>0.87074829931972786</v>
      </c>
      <c r="K26" s="74">
        <v>4897.0739708988322</v>
      </c>
      <c r="L26" s="73">
        <v>25.449568440640228</v>
      </c>
      <c r="M26" s="73"/>
      <c r="N26" s="49"/>
      <c r="O26" s="73"/>
      <c r="P26" s="74">
        <v>1809.0292736157623</v>
      </c>
      <c r="Q26" s="74">
        <f t="shared" si="0"/>
        <v>6706.1032445145947</v>
      </c>
      <c r="R26" s="56">
        <f t="shared" si="2"/>
        <v>1.6307711843923642E-2</v>
      </c>
      <c r="S26" s="56"/>
      <c r="T26" s="56"/>
      <c r="U26" s="56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27"/>
      <c r="AK26" s="15"/>
      <c r="AL26" s="15"/>
      <c r="AM26" s="15"/>
      <c r="AN26" s="15"/>
      <c r="AO26" s="27"/>
      <c r="AP26" s="27"/>
      <c r="AQ26" s="27"/>
      <c r="AR26" s="27"/>
      <c r="AS26" s="27"/>
      <c r="AT26" s="27"/>
      <c r="AU26" s="15">
        <v>2020</v>
      </c>
      <c r="AV26" s="55"/>
      <c r="AW26" s="27">
        <v>76508.145246526648</v>
      </c>
      <c r="AX26" s="27"/>
      <c r="AY26" s="27"/>
      <c r="AZ26" s="87">
        <v>544.7358152120089</v>
      </c>
      <c r="BA26" s="87"/>
      <c r="BB26" s="41">
        <v>625.20242804201621</v>
      </c>
      <c r="BC26" s="41">
        <v>-0.38875062418053535</v>
      </c>
      <c r="BD26" s="41"/>
      <c r="BE26" s="41"/>
      <c r="BF26" s="41"/>
      <c r="BG26" s="286"/>
      <c r="BH26" s="41"/>
      <c r="BI26" s="41"/>
      <c r="BJ26" s="41"/>
      <c r="BO26" s="176"/>
      <c r="CD26" s="80"/>
      <c r="CI26" s="81"/>
    </row>
    <row r="27" spans="5:87" ht="21" x14ac:dyDescent="0.4">
      <c r="E27" s="33"/>
      <c r="F27" s="33"/>
      <c r="G27" s="73">
        <f t="shared" si="1"/>
        <v>2018</v>
      </c>
      <c r="H27" s="11"/>
      <c r="I27" s="74">
        <v>130.39625557847964</v>
      </c>
      <c r="J27" s="97">
        <v>0.86111111111111116</v>
      </c>
      <c r="K27" s="74">
        <v>4983.1797237835572</v>
      </c>
      <c r="L27" s="73">
        <v>28.544500076108022</v>
      </c>
      <c r="M27" s="73"/>
      <c r="N27" s="49"/>
      <c r="O27" s="73"/>
      <c r="P27" s="74">
        <v>1819.3902790851735</v>
      </c>
      <c r="Q27" s="74">
        <f t="shared" si="0"/>
        <v>6802.5700028687306</v>
      </c>
      <c r="R27" s="56">
        <f t="shared" si="2"/>
        <v>1.4282438611222777E-2</v>
      </c>
      <c r="S27" s="56"/>
      <c r="T27" s="56"/>
      <c r="U27" s="56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27"/>
      <c r="AK27" s="15"/>
      <c r="AL27" s="15"/>
      <c r="AM27" s="15"/>
      <c r="AN27" s="15"/>
      <c r="AO27" s="27"/>
      <c r="AP27" s="27"/>
      <c r="AQ27" s="27"/>
      <c r="AR27" s="27"/>
      <c r="AS27" s="27"/>
      <c r="AT27" s="27"/>
      <c r="AU27" s="15">
        <v>2021</v>
      </c>
      <c r="AV27" s="55"/>
      <c r="AW27" s="27">
        <v>93296.329716244523</v>
      </c>
      <c r="AX27" s="27"/>
      <c r="AY27" s="27"/>
      <c r="AZ27" s="87">
        <v>641.32208088155699</v>
      </c>
      <c r="BA27" s="87"/>
      <c r="BB27" s="41">
        <v>641.32208088155699</v>
      </c>
      <c r="BC27" s="41">
        <v>2.5456314836395662E-2</v>
      </c>
      <c r="BD27" s="41"/>
      <c r="BE27" s="41"/>
      <c r="BF27" s="41"/>
      <c r="BG27" s="286"/>
      <c r="BH27" s="41"/>
      <c r="BI27" s="41"/>
      <c r="BJ27" s="41"/>
      <c r="BO27" s="176"/>
      <c r="CD27" s="80"/>
      <c r="CI27" s="81"/>
    </row>
    <row r="28" spans="5:87" ht="21" x14ac:dyDescent="0.4">
      <c r="E28" s="33"/>
      <c r="F28" s="33"/>
      <c r="G28" s="73">
        <f t="shared" si="1"/>
        <v>2019</v>
      </c>
      <c r="H28" s="11"/>
      <c r="I28" s="74">
        <v>164.19204601283508</v>
      </c>
      <c r="J28" s="97">
        <v>0.85106382978723405</v>
      </c>
      <c r="K28" s="74">
        <v>5100.6684479423366</v>
      </c>
      <c r="L28" s="73">
        <v>27.335392081989447</v>
      </c>
      <c r="M28" s="73"/>
      <c r="N28" s="49"/>
      <c r="O28" s="73"/>
      <c r="P28" s="74">
        <v>1827.6491278717051</v>
      </c>
      <c r="Q28" s="74">
        <f t="shared" si="0"/>
        <v>6928.3175758140414</v>
      </c>
      <c r="R28" s="56">
        <f t="shared" si="2"/>
        <v>1.8316527296145347E-2</v>
      </c>
      <c r="S28" s="56"/>
      <c r="T28" s="56"/>
      <c r="U28" s="56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27"/>
      <c r="AK28" s="15"/>
      <c r="AL28" s="15"/>
      <c r="AM28" s="15"/>
      <c r="AN28" s="15"/>
      <c r="AO28" s="27"/>
      <c r="AP28" s="27"/>
      <c r="AQ28" s="27"/>
      <c r="AR28" s="27"/>
      <c r="AS28" s="27"/>
      <c r="AT28" s="27"/>
      <c r="AU28" s="15"/>
      <c r="AV28" s="55"/>
      <c r="AW28" s="27"/>
      <c r="AX28" s="27"/>
      <c r="AY28" s="27"/>
      <c r="AZ28" s="87"/>
      <c r="BA28" s="87"/>
      <c r="BB28" s="41"/>
      <c r="BC28" s="41"/>
      <c r="BD28" s="41"/>
      <c r="BE28" s="41"/>
      <c r="BF28" s="41"/>
      <c r="BG28" s="286"/>
      <c r="BH28" s="41"/>
      <c r="BI28" s="41"/>
      <c r="BJ28" s="41"/>
      <c r="BO28" s="176"/>
      <c r="CD28" s="28"/>
      <c r="CI28" s="26"/>
    </row>
    <row r="29" spans="5:87" ht="21" x14ac:dyDescent="0.4">
      <c r="E29" s="33"/>
      <c r="F29" s="33"/>
      <c r="G29" s="73">
        <f t="shared" si="1"/>
        <v>2020</v>
      </c>
      <c r="H29" s="11"/>
      <c r="I29" s="74">
        <v>151.83004788442418</v>
      </c>
      <c r="J29" s="97">
        <v>0.84057971014492749</v>
      </c>
      <c r="K29" s="74">
        <v>5203.0859992919059</v>
      </c>
      <c r="L29" s="74">
        <v>48.97795056218245</v>
      </c>
      <c r="M29" s="74"/>
      <c r="N29" s="51"/>
      <c r="O29" s="74"/>
      <c r="P29" s="74">
        <v>1856.6114546194096</v>
      </c>
      <c r="Q29" s="74">
        <f t="shared" si="0"/>
        <v>7059.6974539113153</v>
      </c>
      <c r="R29" s="56">
        <f t="shared" si="2"/>
        <v>1.8785187358659729E-2</v>
      </c>
      <c r="S29" s="56"/>
      <c r="T29" s="56"/>
      <c r="U29" s="56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27"/>
      <c r="AK29" s="15"/>
      <c r="AL29" s="15"/>
      <c r="AM29" s="15"/>
      <c r="AN29" s="15"/>
      <c r="AO29" s="27"/>
      <c r="AP29" s="27"/>
      <c r="AQ29" s="27"/>
      <c r="AR29" s="27"/>
      <c r="AS29" s="27"/>
      <c r="AT29" s="27"/>
      <c r="AU29" s="15"/>
      <c r="AV29" s="55"/>
      <c r="AW29" s="27"/>
      <c r="AX29" s="27"/>
      <c r="AY29" s="27"/>
      <c r="AZ29" s="87"/>
      <c r="BA29" s="87"/>
      <c r="BB29" s="41"/>
      <c r="BC29" s="41"/>
      <c r="BD29" s="41"/>
      <c r="BE29" s="41"/>
      <c r="BF29" s="41"/>
      <c r="BG29" s="286"/>
      <c r="BH29" s="41"/>
      <c r="BI29" s="41"/>
      <c r="BJ29" s="41"/>
      <c r="BO29" s="176"/>
      <c r="CD29" s="28"/>
      <c r="CI29" s="26"/>
    </row>
    <row r="30" spans="5:87" ht="21" x14ac:dyDescent="0.4">
      <c r="E30" s="33"/>
      <c r="F30" s="33"/>
      <c r="G30" s="73">
        <f t="shared" si="1"/>
        <v>2021</v>
      </c>
      <c r="H30" s="11"/>
      <c r="I30" s="74">
        <v>188.40836544412838</v>
      </c>
      <c r="J30" s="97">
        <v>0.82962962962962961</v>
      </c>
      <c r="K30" s="74">
        <v>5358.9671506140894</v>
      </c>
      <c r="L30" s="74">
        <v>0</v>
      </c>
      <c r="M30" s="74"/>
      <c r="N30" s="51"/>
      <c r="O30" s="74"/>
      <c r="P30" s="74">
        <v>1847.1903647949446</v>
      </c>
      <c r="Q30" s="74">
        <f t="shared" si="0"/>
        <v>7206.1575154090342</v>
      </c>
      <c r="R30" s="56">
        <f t="shared" si="2"/>
        <v>2.0533673978099149E-2</v>
      </c>
      <c r="S30" s="56"/>
      <c r="T30" s="56"/>
      <c r="U30" s="56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27"/>
      <c r="AK30" s="15"/>
      <c r="AL30" s="15"/>
      <c r="AM30" s="15"/>
      <c r="AN30" s="15"/>
      <c r="AO30" s="27"/>
      <c r="AP30" s="27"/>
      <c r="AQ30" s="27"/>
      <c r="AR30" s="27"/>
      <c r="AS30" s="27"/>
      <c r="AT30" s="27"/>
      <c r="AU30" s="15"/>
      <c r="AV30" s="55"/>
      <c r="AW30" s="27"/>
      <c r="AX30" s="27"/>
      <c r="AY30" s="27"/>
      <c r="AZ30" s="87"/>
      <c r="BA30" s="87"/>
      <c r="BB30" s="41"/>
      <c r="BC30" s="41"/>
      <c r="BD30" s="41"/>
      <c r="BE30" s="41"/>
      <c r="BF30" s="41"/>
      <c r="BG30" s="286"/>
      <c r="BH30" s="41"/>
      <c r="BI30" s="41"/>
      <c r="BJ30" s="41"/>
      <c r="BO30" s="176"/>
      <c r="CD30" s="28"/>
      <c r="CI30" s="26"/>
    </row>
    <row r="31" spans="5:87" ht="21" x14ac:dyDescent="0.4">
      <c r="E31" s="33"/>
      <c r="F31" s="33"/>
      <c r="H31" s="11"/>
      <c r="I31" s="11"/>
      <c r="J31" s="74"/>
      <c r="K31" s="97"/>
      <c r="L31" s="74"/>
      <c r="M31" s="74"/>
      <c r="N31" s="51"/>
      <c r="O31" s="74"/>
      <c r="P31" s="74"/>
      <c r="Q31" s="74"/>
      <c r="R31" s="74"/>
      <c r="S31" s="74"/>
      <c r="T31" s="74"/>
      <c r="U31" s="74"/>
      <c r="V31" s="99"/>
      <c r="W31" s="56"/>
      <c r="X31" s="56"/>
      <c r="Y31" s="73"/>
      <c r="Z31" s="73"/>
      <c r="AA31" s="73"/>
      <c r="AB31" s="73"/>
      <c r="AC31" s="15"/>
      <c r="AD31" s="15"/>
      <c r="AE31" s="15"/>
      <c r="AF31" s="15"/>
      <c r="AG31" s="15"/>
      <c r="AH31" s="15"/>
      <c r="AI31" s="15"/>
      <c r="AJ31" s="27"/>
      <c r="AK31" s="15"/>
      <c r="AL31" s="15"/>
      <c r="AM31" s="15"/>
      <c r="AN31" s="15"/>
      <c r="AO31" s="27"/>
      <c r="AP31" s="27"/>
      <c r="AQ31" s="27"/>
      <c r="AR31" s="27"/>
      <c r="AS31" s="27"/>
      <c r="AT31" s="27"/>
      <c r="AU31" s="15"/>
      <c r="AV31" s="55"/>
      <c r="AW31" s="27"/>
      <c r="AX31" s="27"/>
      <c r="AY31" s="27"/>
      <c r="AZ31" s="87"/>
      <c r="BA31" s="87"/>
      <c r="BB31" s="41"/>
      <c r="BC31" s="41"/>
      <c r="BD31" s="41"/>
      <c r="BE31" s="41"/>
      <c r="BF31" s="41"/>
      <c r="BG31" s="286"/>
      <c r="BH31" s="41"/>
      <c r="BI31" s="41"/>
      <c r="BJ31" s="41"/>
      <c r="BO31" s="176"/>
      <c r="CD31" s="28"/>
      <c r="CI31" s="26"/>
    </row>
    <row r="32" spans="5:87" ht="21" x14ac:dyDescent="0.4">
      <c r="E32" s="33"/>
      <c r="F32" s="33"/>
      <c r="G32" s="73"/>
      <c r="H32" s="11"/>
      <c r="I32" s="11"/>
      <c r="J32" s="53"/>
      <c r="L32" s="57"/>
      <c r="M32" s="57"/>
      <c r="N32" s="51"/>
      <c r="O32" s="57"/>
      <c r="P32" s="57"/>
      <c r="Q32" s="74"/>
      <c r="R32" s="57"/>
      <c r="S32" s="57"/>
      <c r="T32" s="57"/>
      <c r="U32" s="57"/>
      <c r="V32" s="99"/>
      <c r="W32" s="56"/>
      <c r="X32" s="56"/>
      <c r="Y32" s="73"/>
      <c r="Z32" s="73"/>
      <c r="AA32" s="73"/>
      <c r="AB32" s="73"/>
      <c r="AC32" s="63"/>
      <c r="AD32" s="56"/>
      <c r="AE32" s="56"/>
      <c r="AF32" s="56"/>
      <c r="AG32" s="56"/>
      <c r="AH32" s="56"/>
      <c r="AI32" s="78"/>
      <c r="AJ32" s="78"/>
      <c r="AK32" s="51"/>
      <c r="AL32" s="56"/>
      <c r="AM32" s="56"/>
      <c r="AN32" s="27"/>
      <c r="AO32" s="27"/>
      <c r="AP32" s="27"/>
      <c r="AQ32" s="27"/>
      <c r="AR32" s="27"/>
      <c r="AS32" s="27"/>
      <c r="AT32" s="27"/>
      <c r="AU32" s="15"/>
      <c r="AV32" s="55"/>
      <c r="AW32" s="27" t="s">
        <v>43</v>
      </c>
      <c r="AX32" s="27"/>
      <c r="AY32" s="27"/>
      <c r="AZ32" s="87"/>
      <c r="BA32" s="87"/>
      <c r="BB32" s="41"/>
      <c r="BC32" s="41"/>
      <c r="BD32" s="41"/>
      <c r="BE32" s="41"/>
      <c r="BF32" s="41"/>
      <c r="BG32" s="286"/>
      <c r="BH32" s="41"/>
      <c r="BI32" s="41"/>
      <c r="BJ32" s="41"/>
      <c r="BO32" s="176"/>
      <c r="CD32" s="28"/>
      <c r="CI32" s="26"/>
    </row>
    <row r="33" spans="5:87" ht="42" x14ac:dyDescent="0.4">
      <c r="E33" s="33"/>
      <c r="F33" s="33"/>
      <c r="G33" s="73"/>
      <c r="H33" s="11"/>
      <c r="I33" s="100" t="s">
        <v>44</v>
      </c>
      <c r="J33" s="53" t="s">
        <v>45</v>
      </c>
      <c r="K33" s="57" t="s">
        <v>46</v>
      </c>
      <c r="L33" s="100" t="s">
        <v>44</v>
      </c>
      <c r="M33" s="100"/>
      <c r="N33" s="121"/>
      <c r="O33" s="100"/>
      <c r="P33" s="74" t="s">
        <v>47</v>
      </c>
      <c r="Q33" s="57" t="s">
        <v>48</v>
      </c>
      <c r="R33" s="57" t="s">
        <v>49</v>
      </c>
      <c r="S33" s="57"/>
      <c r="T33" s="57"/>
      <c r="U33" s="57"/>
      <c r="V33" s="99"/>
      <c r="W33" s="56"/>
      <c r="X33" s="56"/>
      <c r="Y33" s="73"/>
      <c r="Z33" s="73"/>
      <c r="AA33" s="73"/>
      <c r="AB33" s="73"/>
      <c r="AC33" s="63"/>
      <c r="AD33" s="56"/>
      <c r="AE33" s="56"/>
      <c r="AF33" s="56"/>
      <c r="AG33" s="56"/>
      <c r="AH33" s="56"/>
      <c r="AI33" s="78"/>
      <c r="AJ33" s="78"/>
      <c r="AK33" s="51"/>
      <c r="AL33" s="56"/>
      <c r="AM33" s="56"/>
      <c r="AN33" s="27"/>
      <c r="AO33" s="27"/>
      <c r="AP33" s="27"/>
      <c r="AQ33" s="27"/>
      <c r="AR33" s="27"/>
      <c r="AS33" s="27"/>
      <c r="AT33" s="27"/>
      <c r="AU33" s="15"/>
      <c r="AV33" s="55"/>
      <c r="AW33" s="27" t="s">
        <v>42</v>
      </c>
      <c r="AX33" s="27"/>
      <c r="AY33" s="27"/>
      <c r="AZ33" s="87" t="s">
        <v>35</v>
      </c>
      <c r="BA33" s="87"/>
      <c r="BB33" s="41" t="s">
        <v>35</v>
      </c>
      <c r="BC33" s="41"/>
      <c r="BD33" s="41"/>
      <c r="BE33" s="41"/>
      <c r="BF33" s="41"/>
      <c r="BG33" s="286"/>
      <c r="BH33" s="41"/>
      <c r="BI33" s="41"/>
      <c r="BJ33" s="41"/>
      <c r="BO33" s="176"/>
      <c r="CD33" s="28"/>
      <c r="CI33" s="26"/>
    </row>
    <row r="34" spans="5:87" ht="21" x14ac:dyDescent="0.4">
      <c r="E34" s="33"/>
      <c r="F34" s="33"/>
      <c r="G34" s="73">
        <v>1998</v>
      </c>
      <c r="H34" s="11"/>
      <c r="I34" s="53"/>
      <c r="J34" s="53"/>
      <c r="K34" s="99"/>
      <c r="L34" s="57"/>
      <c r="M34" s="57"/>
      <c r="N34" s="51"/>
      <c r="O34" s="57"/>
      <c r="P34" s="74"/>
      <c r="Q34" s="15"/>
      <c r="R34" s="15"/>
      <c r="S34" s="15"/>
      <c r="T34" s="15"/>
      <c r="U34" s="15"/>
      <c r="V34" s="99"/>
      <c r="W34" s="56"/>
      <c r="X34" s="56"/>
      <c r="Y34" s="73"/>
      <c r="Z34" s="73"/>
      <c r="AA34" s="73"/>
      <c r="AB34" s="73"/>
      <c r="AC34" s="63"/>
      <c r="AD34" s="56"/>
      <c r="AE34" s="56"/>
      <c r="AF34" s="56"/>
      <c r="AG34" s="56"/>
      <c r="AH34" s="56"/>
      <c r="AI34" s="78"/>
      <c r="AJ34" s="78"/>
      <c r="AK34" s="51"/>
      <c r="AL34" s="56"/>
      <c r="AM34" s="56"/>
      <c r="AN34" s="27"/>
      <c r="AO34" s="27"/>
      <c r="AP34" s="27"/>
      <c r="AQ34" s="27"/>
      <c r="AR34" s="27"/>
      <c r="AS34" s="27"/>
      <c r="AT34" s="27"/>
      <c r="AU34" s="15">
        <v>2005</v>
      </c>
      <c r="AV34" s="55">
        <v>70170.144586995928</v>
      </c>
      <c r="AW34" s="27">
        <v>70170.144586995928</v>
      </c>
      <c r="AX34" s="27"/>
      <c r="AY34" s="27"/>
      <c r="AZ34" s="87">
        <v>802.79776890862206</v>
      </c>
      <c r="BA34" s="87"/>
      <c r="BB34" s="41">
        <v>935.25051674891006</v>
      </c>
      <c r="BC34" s="41"/>
      <c r="BD34" s="41"/>
      <c r="BE34" s="41"/>
      <c r="BF34" s="41"/>
      <c r="BG34" s="286"/>
      <c r="BH34" s="41"/>
      <c r="BI34" s="41"/>
      <c r="BJ34" s="41"/>
      <c r="BO34" s="176"/>
      <c r="CD34" s="28"/>
      <c r="CI34" s="26"/>
    </row>
    <row r="35" spans="5:87" ht="21" x14ac:dyDescent="0.4">
      <c r="E35" s="33"/>
      <c r="F35" s="33"/>
      <c r="G35" s="73">
        <f t="shared" ref="G35:G57" si="3">+G34+1</f>
        <v>1999</v>
      </c>
      <c r="H35" s="11"/>
      <c r="I35" s="51"/>
      <c r="J35" s="53"/>
      <c r="K35" s="99"/>
      <c r="L35" s="57"/>
      <c r="M35" s="57"/>
      <c r="N35" s="51"/>
      <c r="O35" s="57"/>
      <c r="P35" s="57"/>
      <c r="Q35" s="15"/>
      <c r="R35" s="15"/>
      <c r="S35" s="15"/>
      <c r="T35" s="15"/>
      <c r="U35" s="15"/>
      <c r="V35" s="99"/>
      <c r="W35" s="56"/>
      <c r="X35" s="56"/>
      <c r="Y35" s="73"/>
      <c r="Z35" s="73"/>
      <c r="AA35" s="73"/>
      <c r="AB35" s="73"/>
      <c r="AC35" s="63"/>
      <c r="AD35" s="56"/>
      <c r="AE35" s="56"/>
      <c r="AF35" s="56"/>
      <c r="AG35" s="56"/>
      <c r="AH35" s="56"/>
      <c r="AI35" s="78"/>
      <c r="AJ35" s="78"/>
      <c r="AK35" s="51"/>
      <c r="AL35" s="56"/>
      <c r="AM35" s="56"/>
      <c r="AN35" s="27"/>
      <c r="AO35" s="27"/>
      <c r="AP35" s="27"/>
      <c r="AQ35" s="27"/>
      <c r="AR35" s="27"/>
      <c r="AS35" s="27"/>
      <c r="AT35" s="27"/>
      <c r="AU35" s="15">
        <v>2006</v>
      </c>
      <c r="AV35" s="55">
        <v>68205.95866710681</v>
      </c>
      <c r="AW35" s="27">
        <v>68205.95866710681</v>
      </c>
      <c r="AX35" s="27"/>
      <c r="AY35" s="27"/>
      <c r="AZ35" s="87">
        <v>757.22138094352215</v>
      </c>
      <c r="BA35" s="87"/>
      <c r="BB35" s="41">
        <v>898.90133575563516</v>
      </c>
      <c r="BC35" s="41">
        <v>-3.9641146185613645E-2</v>
      </c>
      <c r="BD35" s="41"/>
      <c r="BE35" s="41"/>
      <c r="BF35" s="41"/>
      <c r="BG35" s="286"/>
      <c r="BH35" s="41"/>
      <c r="BI35" s="41"/>
      <c r="BJ35" s="41"/>
      <c r="BO35" s="176"/>
      <c r="CD35" s="28"/>
      <c r="CI35" s="26"/>
    </row>
    <row r="36" spans="5:87" ht="21" x14ac:dyDescent="0.4">
      <c r="E36" s="33"/>
      <c r="F36" s="33"/>
      <c r="G36" s="73">
        <f t="shared" si="3"/>
        <v>2000</v>
      </c>
      <c r="H36" s="11"/>
      <c r="I36" s="51"/>
      <c r="J36" s="53"/>
      <c r="K36" s="99"/>
      <c r="L36" s="57"/>
      <c r="M36" s="57"/>
      <c r="N36" s="51"/>
      <c r="O36" s="57"/>
      <c r="P36" s="74"/>
      <c r="Q36" s="15"/>
      <c r="R36" s="15"/>
      <c r="S36" s="15"/>
      <c r="T36" s="15"/>
      <c r="U36" s="15"/>
      <c r="V36" s="99"/>
      <c r="W36" s="56"/>
      <c r="X36" s="56"/>
      <c r="Y36" s="73"/>
      <c r="Z36" s="73"/>
      <c r="AA36" s="73"/>
      <c r="AB36" s="73"/>
      <c r="AC36" s="63"/>
      <c r="AD36" s="56"/>
      <c r="AE36" s="56"/>
      <c r="AF36" s="56"/>
      <c r="AG36" s="56"/>
      <c r="AH36" s="56"/>
      <c r="AI36" s="78"/>
      <c r="AJ36" s="78"/>
      <c r="AK36" s="51"/>
      <c r="AL36" s="56"/>
      <c r="AM36" s="56"/>
      <c r="AN36" s="27"/>
      <c r="AO36" s="27"/>
      <c r="AP36" s="27"/>
      <c r="AQ36" s="27"/>
      <c r="AR36" s="27"/>
      <c r="AS36" s="27"/>
      <c r="AT36" s="27"/>
      <c r="AU36" s="15">
        <v>2007</v>
      </c>
      <c r="AV36" s="55">
        <v>74138.770930840226</v>
      </c>
      <c r="AW36" s="27">
        <v>74138.770930840226</v>
      </c>
      <c r="AX36" s="27"/>
      <c r="AY36" s="27"/>
      <c r="AZ36" s="87">
        <v>801.5175563886811</v>
      </c>
      <c r="BA36" s="87"/>
      <c r="BB36" s="41">
        <v>937.0987429287336</v>
      </c>
      <c r="BC36" s="41">
        <v>4.1615379113122901E-2</v>
      </c>
      <c r="BD36" s="41"/>
      <c r="BE36" s="41"/>
      <c r="BF36" s="41"/>
      <c r="BG36" s="286"/>
      <c r="BH36" s="41"/>
      <c r="BI36" s="41"/>
      <c r="BJ36" s="41"/>
      <c r="BO36" s="176"/>
      <c r="CD36" s="28"/>
      <c r="CI36" s="26"/>
    </row>
    <row r="37" spans="5:87" ht="21" x14ac:dyDescent="0.4">
      <c r="E37" s="33"/>
      <c r="F37" s="33"/>
      <c r="G37" s="73">
        <f t="shared" si="3"/>
        <v>2001</v>
      </c>
      <c r="H37" s="11"/>
      <c r="I37" s="51">
        <v>13.028770401552904</v>
      </c>
      <c r="J37" s="56">
        <f t="shared" ref="J37:J56" si="4">LN(I38/I37)</f>
        <v>1.2212410459837803E-2</v>
      </c>
      <c r="K37" s="99">
        <f t="shared" ref="K37:K57" si="5">+I37*Q9</f>
        <v>56394.013280779705</v>
      </c>
      <c r="L37" s="57"/>
      <c r="M37" s="57"/>
      <c r="N37" s="51"/>
      <c r="O37" s="57"/>
      <c r="P37" s="74"/>
      <c r="Q37" s="106"/>
      <c r="R37" s="57"/>
      <c r="S37" s="57"/>
      <c r="T37" s="57"/>
      <c r="U37" s="57"/>
      <c r="V37" s="99"/>
      <c r="W37" s="56"/>
      <c r="X37" s="56"/>
      <c r="Y37" s="73"/>
      <c r="Z37" s="73"/>
      <c r="AA37" s="73"/>
      <c r="AB37" s="73"/>
      <c r="AC37" s="63"/>
      <c r="AD37" s="56"/>
      <c r="AE37" s="56"/>
      <c r="AF37" s="56"/>
      <c r="AG37" s="56"/>
      <c r="AH37" s="56"/>
      <c r="AI37" s="78"/>
      <c r="AJ37" s="78"/>
      <c r="AK37" s="51"/>
      <c r="AL37" s="56"/>
      <c r="AM37" s="56"/>
      <c r="AN37" s="27"/>
      <c r="AO37" s="27"/>
      <c r="AP37" s="27"/>
      <c r="AQ37" s="27"/>
      <c r="AR37" s="27"/>
      <c r="AS37" s="27"/>
      <c r="AT37" s="27"/>
      <c r="AU37" s="15">
        <v>2008</v>
      </c>
      <c r="AV37" s="55">
        <v>88435.182610678661</v>
      </c>
      <c r="AW37" s="27">
        <v>88435.182610678661</v>
      </c>
      <c r="AX37" s="27"/>
      <c r="AY37" s="27"/>
      <c r="AZ37" s="87">
        <v>938.16496871211348</v>
      </c>
      <c r="BA37" s="87"/>
      <c r="BB37" s="41">
        <v>1090.9180010562702</v>
      </c>
      <c r="BC37" s="41">
        <v>0.15198616489281683</v>
      </c>
      <c r="BD37" s="41"/>
      <c r="BE37" s="41"/>
      <c r="BF37" s="41"/>
      <c r="BG37" s="286"/>
      <c r="BH37" s="41"/>
      <c r="BI37" s="41"/>
      <c r="BJ37" s="41"/>
      <c r="BO37" s="176"/>
      <c r="CD37" s="28"/>
      <c r="CI37" s="26"/>
    </row>
    <row r="38" spans="5:87" ht="21" x14ac:dyDescent="0.4">
      <c r="E38" s="33"/>
      <c r="F38" s="33"/>
      <c r="G38" s="73">
        <f t="shared" si="3"/>
        <v>2002</v>
      </c>
      <c r="H38" s="11"/>
      <c r="I38" s="51">
        <v>13.188858635430005</v>
      </c>
      <c r="J38" s="56">
        <f t="shared" si="4"/>
        <v>1.6103398661898655E-2</v>
      </c>
      <c r="K38" s="99">
        <f t="shared" si="5"/>
        <v>61514.388290509822</v>
      </c>
      <c r="L38" s="56">
        <f t="shared" ref="L38:L57" si="6">LN(K38/K37)</f>
        <v>8.6908098026235059E-2</v>
      </c>
      <c r="M38" s="56"/>
      <c r="N38" s="51"/>
      <c r="O38" s="56"/>
      <c r="P38" s="56"/>
      <c r="Q38" s="106"/>
      <c r="R38" s="57"/>
      <c r="S38" s="57"/>
      <c r="T38" s="57"/>
      <c r="U38" s="57"/>
      <c r="V38" s="99"/>
      <c r="W38" s="56"/>
      <c r="X38" s="56"/>
      <c r="Y38" s="73"/>
      <c r="Z38" s="73"/>
      <c r="AA38" s="73"/>
      <c r="AB38" s="73"/>
      <c r="AC38" s="63"/>
      <c r="AD38" s="56"/>
      <c r="AE38" s="56"/>
      <c r="AF38" s="56"/>
      <c r="AG38" s="56"/>
      <c r="AH38" s="56"/>
      <c r="AI38" s="78"/>
      <c r="AJ38" s="78"/>
      <c r="AK38" s="51"/>
      <c r="AL38" s="56"/>
      <c r="AM38" s="56"/>
      <c r="AN38" s="27"/>
      <c r="AO38" s="27"/>
      <c r="AP38" s="27"/>
      <c r="AQ38" s="27"/>
      <c r="AR38" s="27"/>
      <c r="AS38" s="27"/>
      <c r="AT38" s="27"/>
      <c r="AU38" s="15">
        <v>2009</v>
      </c>
      <c r="AV38" s="55">
        <v>90967.869798057029</v>
      </c>
      <c r="AW38" s="27">
        <v>90967.869798057029</v>
      </c>
      <c r="AX38" s="27"/>
      <c r="AY38" s="27"/>
      <c r="AZ38" s="87">
        <v>957.56660383853546</v>
      </c>
      <c r="BA38" s="87"/>
      <c r="BB38" s="41">
        <v>1127.7294430046586</v>
      </c>
      <c r="BC38" s="41">
        <v>3.318672422242485E-2</v>
      </c>
      <c r="BD38" s="41"/>
      <c r="BE38" s="41"/>
      <c r="BF38" s="41"/>
      <c r="BG38" s="286"/>
      <c r="BH38" s="41"/>
      <c r="BI38" s="41"/>
      <c r="BJ38" s="41"/>
      <c r="BO38" s="176"/>
      <c r="CD38" s="28"/>
      <c r="CI38" s="26"/>
    </row>
    <row r="39" spans="5:87" ht="21" x14ac:dyDescent="0.4">
      <c r="E39" s="33"/>
      <c r="F39" s="33"/>
      <c r="G39" s="73">
        <f t="shared" si="3"/>
        <v>2003</v>
      </c>
      <c r="H39" s="11"/>
      <c r="I39" s="51">
        <v>13.402963364058664</v>
      </c>
      <c r="J39" s="56">
        <f t="shared" si="4"/>
        <v>0.10317820269838369</v>
      </c>
      <c r="K39" s="99">
        <f t="shared" si="5"/>
        <v>66638.583960649165</v>
      </c>
      <c r="L39" s="56">
        <f t="shared" si="6"/>
        <v>8.0012645150626227E-2</v>
      </c>
      <c r="M39" s="56"/>
      <c r="N39" s="51"/>
      <c r="O39" s="56"/>
      <c r="P39" s="56"/>
      <c r="Q39" s="106"/>
      <c r="R39" s="57"/>
      <c r="S39" s="57"/>
      <c r="T39" s="57"/>
      <c r="U39" s="57"/>
      <c r="V39" s="99"/>
      <c r="W39" s="56"/>
      <c r="X39" s="56"/>
      <c r="Y39" s="73"/>
      <c r="Z39" s="73"/>
      <c r="AA39" s="73"/>
      <c r="AB39" s="73"/>
      <c r="AC39" s="63"/>
      <c r="AD39" s="56"/>
      <c r="AE39" s="56"/>
      <c r="AF39" s="56"/>
      <c r="AG39" s="56"/>
      <c r="AH39" s="56"/>
      <c r="AI39" s="78"/>
      <c r="AJ39" s="78"/>
      <c r="AK39" s="51"/>
      <c r="AL39" s="56"/>
      <c r="AM39" s="56"/>
      <c r="AN39" s="27"/>
      <c r="AO39" s="27"/>
      <c r="AP39" s="27"/>
      <c r="AQ39" s="27"/>
      <c r="AR39" s="27"/>
      <c r="AS39" s="27"/>
      <c r="AT39" s="27"/>
      <c r="AU39" s="15">
        <v>2010</v>
      </c>
      <c r="AV39" s="55">
        <v>87351.392263189264</v>
      </c>
      <c r="AW39" s="27">
        <v>87351.392263189264</v>
      </c>
      <c r="AX39" s="27"/>
      <c r="AY39" s="27"/>
      <c r="AZ39" s="87">
        <v>908.87838041379337</v>
      </c>
      <c r="BA39" s="87"/>
      <c r="BB39" s="41">
        <v>1071.0276260571954</v>
      </c>
      <c r="BC39" s="41">
        <v>-5.1587683042774161E-2</v>
      </c>
      <c r="BD39" s="41"/>
      <c r="BE39" s="41"/>
      <c r="BF39" s="41"/>
      <c r="BG39" s="286"/>
      <c r="BH39" s="41"/>
      <c r="BI39" s="41"/>
      <c r="BJ39" s="41"/>
      <c r="BO39" s="176"/>
      <c r="CD39" s="28"/>
      <c r="CI39" s="26"/>
    </row>
    <row r="40" spans="5:87" ht="21" x14ac:dyDescent="0.4">
      <c r="E40" s="33"/>
      <c r="F40" s="33"/>
      <c r="G40" s="73">
        <f t="shared" si="3"/>
        <v>2004</v>
      </c>
      <c r="H40" s="11"/>
      <c r="I40" s="51">
        <v>14.85971755105423</v>
      </c>
      <c r="J40" s="56">
        <f t="shared" si="4"/>
        <v>0.11753886646543935</v>
      </c>
      <c r="K40" s="99">
        <f t="shared" si="5"/>
        <v>75676.060309501161</v>
      </c>
      <c r="L40" s="56">
        <f t="shared" si="6"/>
        <v>0.1271781176244958</v>
      </c>
      <c r="M40" s="56"/>
      <c r="N40" s="51"/>
      <c r="O40" s="56"/>
      <c r="P40" s="56"/>
      <c r="Q40" s="106"/>
      <c r="R40" s="57"/>
      <c r="S40" s="57"/>
      <c r="T40" s="57"/>
      <c r="U40" s="57"/>
      <c r="V40" s="99"/>
      <c r="W40" s="56"/>
      <c r="X40" s="56"/>
      <c r="Y40" s="73"/>
      <c r="Z40" s="73"/>
      <c r="AA40" s="73"/>
      <c r="AB40" s="73"/>
      <c r="AC40" s="63"/>
      <c r="AD40" s="56"/>
      <c r="AE40" s="56"/>
      <c r="AF40" s="56"/>
      <c r="AG40" s="56"/>
      <c r="AH40" s="56"/>
      <c r="AI40" s="78"/>
      <c r="AJ40" s="78"/>
      <c r="AK40" s="51"/>
      <c r="AL40" s="56"/>
      <c r="AM40" s="56"/>
      <c r="AN40" s="27"/>
      <c r="AO40" s="27"/>
      <c r="AP40" s="27"/>
      <c r="AQ40" s="27"/>
      <c r="AR40" s="27"/>
      <c r="AS40" s="27"/>
      <c r="AT40" s="27"/>
      <c r="AU40" s="15">
        <v>2011</v>
      </c>
      <c r="AV40" s="55">
        <v>92295.286846997522</v>
      </c>
      <c r="AW40" s="27">
        <v>92295.286846997522</v>
      </c>
      <c r="AX40" s="27"/>
      <c r="AY40" s="27"/>
      <c r="AZ40" s="87">
        <v>940.71354010719915</v>
      </c>
      <c r="BA40" s="87"/>
      <c r="BB40" s="41">
        <v>1097.9768564359813</v>
      </c>
      <c r="BC40" s="41">
        <v>2.4850679167199019E-2</v>
      </c>
      <c r="BD40" s="41"/>
      <c r="BE40" s="41"/>
      <c r="BF40" s="41"/>
      <c r="BG40" s="286"/>
      <c r="BH40" s="41"/>
      <c r="BI40" s="41"/>
      <c r="BJ40" s="41"/>
      <c r="BO40" s="176"/>
      <c r="CD40" s="28"/>
      <c r="CI40" s="26"/>
    </row>
    <row r="41" spans="5:87" ht="21" x14ac:dyDescent="0.4">
      <c r="E41" s="33"/>
      <c r="F41" s="33"/>
      <c r="G41" s="73">
        <f t="shared" si="3"/>
        <v>2005</v>
      </c>
      <c r="H41" s="11"/>
      <c r="I41" s="51">
        <v>16.713100922359288</v>
      </c>
      <c r="J41" s="56">
        <f t="shared" si="4"/>
        <v>-2.4112949680301744E-2</v>
      </c>
      <c r="K41" s="99">
        <f t="shared" si="5"/>
        <v>87632.539813548559</v>
      </c>
      <c r="L41" s="56">
        <f t="shared" si="6"/>
        <v>0.14669052185986362</v>
      </c>
      <c r="M41" s="56"/>
      <c r="N41" s="51"/>
      <c r="O41" s="56"/>
      <c r="P41" s="56">
        <f>+Q41/Calculation!AL10</f>
        <v>3.0446666338162114E-2</v>
      </c>
      <c r="Q41" s="106">
        <f t="shared" ref="Q41:Q57" si="7">+K41+P60+P83</f>
        <v>225828.11630300805</v>
      </c>
      <c r="R41" s="57"/>
      <c r="S41" s="57"/>
      <c r="T41" s="57"/>
      <c r="U41" s="57"/>
      <c r="V41" s="99"/>
      <c r="W41" s="56"/>
      <c r="X41" s="56"/>
      <c r="Y41" s="73"/>
      <c r="Z41" s="73"/>
      <c r="AA41" s="73"/>
      <c r="AB41" s="73"/>
      <c r="AC41" s="63"/>
      <c r="AD41" s="56"/>
      <c r="AE41" s="56"/>
      <c r="AF41" s="56"/>
      <c r="AG41" s="56"/>
      <c r="AH41" s="56"/>
      <c r="AI41" s="78"/>
      <c r="AJ41" s="78"/>
      <c r="AK41" s="51"/>
      <c r="AL41" s="56"/>
      <c r="AM41" s="56"/>
      <c r="AN41" s="27"/>
      <c r="AO41" s="27"/>
      <c r="AP41" s="27"/>
      <c r="AQ41" s="27"/>
      <c r="AR41" s="27"/>
      <c r="AS41" s="27"/>
      <c r="AT41" s="27"/>
      <c r="AU41" s="15">
        <v>2012</v>
      </c>
      <c r="AV41" s="55">
        <v>80183.397422745067</v>
      </c>
      <c r="AW41" s="27">
        <v>80183.397422745067</v>
      </c>
      <c r="AX41" s="27"/>
      <c r="AY41" s="27"/>
      <c r="AZ41" s="87">
        <v>801.83397422745065</v>
      </c>
      <c r="BA41" s="87"/>
      <c r="BB41" s="41">
        <v>923.25124250054876</v>
      </c>
      <c r="BC41" s="41">
        <v>-0.17332314439848345</v>
      </c>
      <c r="BD41" s="41"/>
      <c r="BE41" s="41"/>
      <c r="BF41" s="41"/>
      <c r="BG41" s="286"/>
      <c r="BH41" s="41"/>
      <c r="BI41" s="41"/>
      <c r="BJ41" s="41"/>
      <c r="BO41" s="176"/>
      <c r="CD41" s="28"/>
      <c r="CI41" s="26"/>
    </row>
    <row r="42" spans="5:87" ht="21" x14ac:dyDescent="0.4">
      <c r="E42" s="33"/>
      <c r="F42" s="33"/>
      <c r="G42" s="73">
        <f t="shared" si="3"/>
        <v>2006</v>
      </c>
      <c r="H42" s="11"/>
      <c r="I42" s="51">
        <v>16.314918727312939</v>
      </c>
      <c r="J42" s="56">
        <f t="shared" si="4"/>
        <v>7.0922841877369233E-2</v>
      </c>
      <c r="K42" s="99">
        <f t="shared" si="5"/>
        <v>86482.23035318288</v>
      </c>
      <c r="L42" s="56">
        <f t="shared" si="6"/>
        <v>-1.3213424635940305E-2</v>
      </c>
      <c r="M42" s="56"/>
      <c r="N42" s="51"/>
      <c r="O42" s="56"/>
      <c r="P42" s="56">
        <f>+Q42/Calculation!AL11</f>
        <v>3.0541368434092758E-2</v>
      </c>
      <c r="Q42" s="106">
        <f t="shared" si="7"/>
        <v>223359.53531400501</v>
      </c>
      <c r="R42" s="56">
        <f t="shared" ref="R42:R57" si="8">LN(Q42/Q41)</f>
        <v>-1.0991423440921603E-2</v>
      </c>
      <c r="S42" s="57"/>
      <c r="T42" s="57"/>
      <c r="U42" s="57"/>
      <c r="V42" s="99"/>
      <c r="W42" s="56"/>
      <c r="X42" s="56"/>
      <c r="Y42" s="73"/>
      <c r="Z42" s="73"/>
      <c r="AA42" s="73"/>
      <c r="AB42" s="73"/>
      <c r="AC42" s="63"/>
      <c r="AD42" s="56"/>
      <c r="AE42" s="56"/>
      <c r="AF42" s="56"/>
      <c r="AG42" s="56"/>
      <c r="AH42" s="56"/>
      <c r="AI42" s="78"/>
      <c r="AJ42" s="78"/>
      <c r="AK42" s="51"/>
      <c r="AL42" s="56"/>
      <c r="AM42" s="56"/>
      <c r="AN42" s="27"/>
      <c r="AO42" s="27"/>
      <c r="AP42" s="27"/>
      <c r="AQ42" s="27"/>
      <c r="AR42" s="27"/>
      <c r="AS42" s="27"/>
      <c r="AT42" s="27"/>
      <c r="AU42" s="15">
        <v>2013</v>
      </c>
      <c r="AV42" s="55">
        <v>98514.087433504872</v>
      </c>
      <c r="AW42" s="27">
        <v>98514.087433504872</v>
      </c>
      <c r="AX42" s="27"/>
      <c r="AY42" s="27"/>
      <c r="AZ42" s="87">
        <v>967.9786135173855</v>
      </c>
      <c r="BA42" s="87"/>
      <c r="BB42" s="41">
        <v>1116.8272003755289</v>
      </c>
      <c r="BC42" s="41">
        <v>0.19034568782693581</v>
      </c>
      <c r="BD42" s="41"/>
      <c r="BE42" s="41"/>
      <c r="BF42" s="41"/>
      <c r="BG42" s="286"/>
      <c r="BH42" s="41"/>
      <c r="BI42" s="41"/>
      <c r="BJ42" s="41"/>
      <c r="BO42" s="176"/>
      <c r="CD42" s="28"/>
      <c r="CI42" s="26"/>
    </row>
    <row r="43" spans="5:87" ht="21" x14ac:dyDescent="0.4">
      <c r="E43" s="33"/>
      <c r="F43" s="33"/>
      <c r="G43" s="73">
        <f t="shared" si="3"/>
        <v>2007</v>
      </c>
      <c r="H43" s="11"/>
      <c r="I43" s="51">
        <v>17.514039044703704</v>
      </c>
      <c r="J43" s="56">
        <f t="shared" si="4"/>
        <v>0.12676389309522537</v>
      </c>
      <c r="K43" s="99">
        <f t="shared" si="5"/>
        <v>94996.235626555266</v>
      </c>
      <c r="L43" s="56">
        <f t="shared" si="6"/>
        <v>9.3898302440478795E-2</v>
      </c>
      <c r="M43" s="56"/>
      <c r="N43" s="51"/>
      <c r="O43" s="56"/>
      <c r="P43" s="56">
        <f>+Q43/Calculation!AL12</f>
        <v>3.1509259054971914E-2</v>
      </c>
      <c r="Q43" s="106">
        <f t="shared" si="7"/>
        <v>241529.9870973372</v>
      </c>
      <c r="R43" s="56">
        <f t="shared" si="8"/>
        <v>7.8210896422764603E-2</v>
      </c>
      <c r="S43" s="56"/>
      <c r="T43" s="56"/>
      <c r="U43" s="56"/>
      <c r="V43" s="99"/>
      <c r="W43" s="56"/>
      <c r="X43" s="56"/>
      <c r="Y43" s="73"/>
      <c r="Z43" s="73"/>
      <c r="AA43" s="73"/>
      <c r="AB43" s="73"/>
      <c r="AC43" s="63"/>
      <c r="AD43" s="56"/>
      <c r="AE43" s="56"/>
      <c r="AF43" s="56"/>
      <c r="AG43" s="56"/>
      <c r="AH43" s="56"/>
      <c r="AI43" s="78"/>
      <c r="AJ43" s="78"/>
      <c r="AK43" s="51"/>
      <c r="AL43" s="56"/>
      <c r="AM43" s="56"/>
      <c r="AN43" s="27"/>
      <c r="AO43" s="27"/>
      <c r="AP43" s="27"/>
      <c r="AQ43" s="27"/>
      <c r="AR43" s="27"/>
      <c r="AS43" s="27"/>
      <c r="AT43" s="27"/>
      <c r="AU43" s="15">
        <v>2014</v>
      </c>
      <c r="AV43" s="55">
        <v>100350.79939413707</v>
      </c>
      <c r="AW43" s="27">
        <v>100350.79939413707</v>
      </c>
      <c r="AX43" s="27"/>
      <c r="AY43" s="27"/>
      <c r="AZ43" s="87">
        <v>968.19781946546505</v>
      </c>
      <c r="BA43" s="87"/>
      <c r="BB43" s="41">
        <v>1119.2999423777869</v>
      </c>
      <c r="BC43" s="41">
        <v>2.2116300660122443E-3</v>
      </c>
      <c r="BD43" s="41"/>
      <c r="BE43" s="41"/>
      <c r="BF43" s="41"/>
      <c r="BG43" s="286"/>
      <c r="BH43" s="41"/>
      <c r="BI43" s="41"/>
      <c r="BJ43" s="41"/>
      <c r="BO43" s="176"/>
      <c r="CD43" s="28"/>
      <c r="CI43" s="26"/>
    </row>
    <row r="44" spans="5:87" ht="21" x14ac:dyDescent="0.4">
      <c r="E44" s="33"/>
      <c r="F44" s="33"/>
      <c r="G44" s="73">
        <f t="shared" si="3"/>
        <v>2008</v>
      </c>
      <c r="H44" s="11"/>
      <c r="I44" s="51">
        <v>19.881043375638267</v>
      </c>
      <c r="J44" s="56">
        <f t="shared" si="4"/>
        <v>-4.19378867621608E-2</v>
      </c>
      <c r="K44" s="99">
        <f t="shared" si="5"/>
        <v>109693.96599208406</v>
      </c>
      <c r="L44" s="56">
        <f t="shared" si="6"/>
        <v>0.14385709530650775</v>
      </c>
      <c r="M44" s="56"/>
      <c r="N44" s="51"/>
      <c r="O44" s="56"/>
      <c r="P44" s="56">
        <f>+Q44/Calculation!AL13</f>
        <v>3.5049189533508905E-2</v>
      </c>
      <c r="Q44" s="106">
        <f t="shared" si="7"/>
        <v>283537.26030541857</v>
      </c>
      <c r="R44" s="56">
        <f t="shared" si="8"/>
        <v>0.16034990862097132</v>
      </c>
      <c r="S44" s="56"/>
      <c r="T44" s="56"/>
      <c r="U44" s="56"/>
      <c r="V44" s="99"/>
      <c r="W44" s="56"/>
      <c r="X44" s="56"/>
      <c r="Y44" s="73"/>
      <c r="Z44" s="73"/>
      <c r="AA44" s="73"/>
      <c r="AB44" s="73"/>
      <c r="AC44" s="63"/>
      <c r="AD44" s="56"/>
      <c r="AE44" s="56"/>
      <c r="AF44" s="56"/>
      <c r="AG44" s="56"/>
      <c r="AH44" s="56"/>
      <c r="AI44" s="78"/>
      <c r="AJ44" s="78"/>
      <c r="AK44" s="51"/>
      <c r="AL44" s="56"/>
      <c r="AM44" s="56"/>
      <c r="AN44" s="27"/>
      <c r="AO44" s="27"/>
      <c r="AP44" s="27"/>
      <c r="AQ44" s="27"/>
      <c r="AR44" s="27"/>
      <c r="AS44" s="27"/>
      <c r="AT44" s="27"/>
      <c r="AU44" s="15">
        <v>2015</v>
      </c>
      <c r="AV44" s="55">
        <v>91352.973244997411</v>
      </c>
      <c r="AW44" s="27">
        <v>91352.973244997411</v>
      </c>
      <c r="AX44" s="27"/>
      <c r="AY44" s="27"/>
      <c r="AZ44" s="87">
        <v>873.02987648006399</v>
      </c>
      <c r="BA44" s="87"/>
      <c r="BB44" s="41">
        <v>1021.727865472311</v>
      </c>
      <c r="BC44" s="41">
        <v>-9.1208258554737839E-2</v>
      </c>
      <c r="BD44" s="41"/>
      <c r="BE44" s="41"/>
      <c r="BF44" s="41"/>
      <c r="BG44" s="286"/>
      <c r="BH44" s="41"/>
      <c r="BI44" s="41"/>
      <c r="BJ44" s="41"/>
      <c r="BO44" s="176"/>
      <c r="CD44" s="28"/>
      <c r="CI44" s="26"/>
    </row>
    <row r="45" spans="5:87" ht="21" x14ac:dyDescent="0.4">
      <c r="E45" s="33"/>
      <c r="F45" s="33"/>
      <c r="G45" s="73">
        <f t="shared" si="3"/>
        <v>2009</v>
      </c>
      <c r="H45" s="11"/>
      <c r="I45" s="51">
        <v>19.064515821180596</v>
      </c>
      <c r="J45" s="56">
        <f t="shared" si="4"/>
        <v>2.526216386507605E-2</v>
      </c>
      <c r="K45" s="99">
        <f t="shared" si="5"/>
        <v>107538.22666369137</v>
      </c>
      <c r="L45" s="56">
        <f t="shared" si="6"/>
        <v>-1.9847979908647569E-2</v>
      </c>
      <c r="M45" s="56"/>
      <c r="N45" s="51"/>
      <c r="O45" s="56"/>
      <c r="P45" s="56">
        <f>+Q45/Calculation!AL14</f>
        <v>3.4132062776415756E-2</v>
      </c>
      <c r="Q45" s="106">
        <f t="shared" si="7"/>
        <v>288648.84924735531</v>
      </c>
      <c r="R45" s="56">
        <f t="shared" si="8"/>
        <v>1.7867350647356093E-2</v>
      </c>
      <c r="S45" s="56"/>
      <c r="T45" s="56"/>
      <c r="U45" s="56"/>
      <c r="V45" s="99"/>
      <c r="W45" s="56"/>
      <c r="X45" s="56"/>
      <c r="Y45" s="73"/>
      <c r="Z45" s="73"/>
      <c r="AA45" s="73"/>
      <c r="AB45" s="73"/>
      <c r="AC45" s="63"/>
      <c r="AD45" s="56"/>
      <c r="AE45" s="56"/>
      <c r="AF45" s="56"/>
      <c r="AG45" s="56"/>
      <c r="AH45" s="56"/>
      <c r="AI45" s="78"/>
      <c r="AJ45" s="78"/>
      <c r="AK45" s="51"/>
      <c r="AL45" s="56"/>
      <c r="AM45" s="56"/>
      <c r="AN45" s="27"/>
      <c r="AO45" s="27"/>
      <c r="AP45" s="27"/>
      <c r="AQ45" s="27"/>
      <c r="AR45" s="27"/>
      <c r="AS45" s="27"/>
      <c r="AT45" s="27"/>
      <c r="AU45" s="15">
        <v>2016</v>
      </c>
      <c r="AV45" s="55">
        <v>106397.97648846057</v>
      </c>
      <c r="AW45" s="27">
        <v>106397.97648846057</v>
      </c>
      <c r="AX45" s="27"/>
      <c r="AY45" s="27"/>
      <c r="AZ45" s="87">
        <v>1006.2606537835795</v>
      </c>
      <c r="BA45" s="87"/>
      <c r="BB45" s="41">
        <v>1163.5897051800819</v>
      </c>
      <c r="BC45" s="41">
        <v>0.13001462033465735</v>
      </c>
      <c r="BD45" s="41"/>
      <c r="BE45" s="41"/>
      <c r="BF45" s="41"/>
      <c r="BG45" s="286"/>
      <c r="BH45" s="41"/>
      <c r="BI45" s="41"/>
      <c r="BJ45" s="41"/>
      <c r="BO45" s="176"/>
      <c r="CD45" s="28"/>
      <c r="CI45" s="26"/>
    </row>
    <row r="46" spans="5:87" ht="21" x14ac:dyDescent="0.4">
      <c r="E46" s="33"/>
      <c r="F46" s="33"/>
      <c r="G46" s="73">
        <f t="shared" si="3"/>
        <v>2010</v>
      </c>
      <c r="H46" s="11"/>
      <c r="I46" s="51">
        <v>19.552261561541915</v>
      </c>
      <c r="J46" s="56">
        <f t="shared" si="4"/>
        <v>6.5694124180750518E-2</v>
      </c>
      <c r="K46" s="99">
        <f t="shared" si="5"/>
        <v>114018.60882762198</v>
      </c>
      <c r="L46" s="56">
        <f t="shared" si="6"/>
        <v>5.8515289173394179E-2</v>
      </c>
      <c r="M46" s="56"/>
      <c r="N46" s="51"/>
      <c r="O46" s="56"/>
      <c r="P46" s="56">
        <f>+Q46/Calculation!AL15</f>
        <v>3.3040577014373386E-2</v>
      </c>
      <c r="Q46" s="106">
        <f t="shared" si="7"/>
        <v>288032.81400531577</v>
      </c>
      <c r="R46" s="56">
        <f t="shared" si="8"/>
        <v>-2.1364836637686223E-3</v>
      </c>
      <c r="S46" s="56"/>
      <c r="T46" s="56"/>
      <c r="U46" s="56"/>
      <c r="V46" s="99"/>
      <c r="W46" s="56"/>
      <c r="X46" s="56"/>
      <c r="Y46" s="73"/>
      <c r="Z46" s="73"/>
      <c r="AA46" s="73"/>
      <c r="AB46" s="73"/>
      <c r="AC46" s="63"/>
      <c r="AD46" s="56"/>
      <c r="AE46" s="56"/>
      <c r="AF46" s="56"/>
      <c r="AG46" s="56"/>
      <c r="AH46" s="56"/>
      <c r="AI46" s="78"/>
      <c r="AJ46" s="78"/>
      <c r="AK46" s="51"/>
      <c r="AL46" s="56"/>
      <c r="AM46" s="56"/>
      <c r="AN46" s="27"/>
      <c r="AO46" s="27"/>
      <c r="AP46" s="27"/>
      <c r="AQ46" s="27"/>
      <c r="AR46" s="27"/>
      <c r="AS46" s="27"/>
      <c r="AT46" s="27"/>
      <c r="AU46" s="15">
        <v>2017</v>
      </c>
      <c r="AV46" s="55">
        <v>108217.41055661241</v>
      </c>
      <c r="AW46" s="27">
        <v>108217.41055661241</v>
      </c>
      <c r="AX46" s="27"/>
      <c r="AY46" s="27"/>
      <c r="AZ46" s="87">
        <v>1004.3285960836781</v>
      </c>
      <c r="BA46" s="87"/>
      <c r="BB46" s="41">
        <v>1164.0244583073368</v>
      </c>
      <c r="BC46" s="41">
        <v>3.7356116759415986E-4</v>
      </c>
      <c r="BD46" s="41"/>
      <c r="BE46" s="41"/>
      <c r="BF46" s="41"/>
      <c r="BG46" s="286"/>
      <c r="BH46" s="41"/>
      <c r="BI46" s="41"/>
      <c r="BJ46" s="41"/>
      <c r="BO46" s="176"/>
      <c r="CD46" s="28"/>
      <c r="CI46" s="26"/>
    </row>
    <row r="47" spans="5:87" ht="21" x14ac:dyDescent="0.4">
      <c r="E47" s="33"/>
      <c r="F47" s="33"/>
      <c r="G47" s="73">
        <f t="shared" si="3"/>
        <v>2011</v>
      </c>
      <c r="H47" s="11"/>
      <c r="I47" s="51">
        <v>20.879860559742582</v>
      </c>
      <c r="J47" s="56">
        <f t="shared" si="4"/>
        <v>7.8353451031396168E-2</v>
      </c>
      <c r="K47" s="99">
        <f t="shared" si="5"/>
        <v>124370.21286416714</v>
      </c>
      <c r="L47" s="56">
        <f t="shared" si="6"/>
        <v>8.6901034800605265E-2</v>
      </c>
      <c r="M47" s="56"/>
      <c r="N47" s="51"/>
      <c r="O47" s="56"/>
      <c r="P47" s="56">
        <f>+Q47/Calculation!AL16</f>
        <v>3.3780622604222793E-2</v>
      </c>
      <c r="Q47" s="106">
        <f t="shared" si="7"/>
        <v>306480.83806832589</v>
      </c>
      <c r="R47" s="56">
        <f t="shared" si="8"/>
        <v>6.2080823720610599E-2</v>
      </c>
      <c r="S47" s="56"/>
      <c r="T47" s="56"/>
      <c r="U47" s="56"/>
      <c r="V47" s="99"/>
      <c r="W47" s="56"/>
      <c r="X47" s="56"/>
      <c r="Y47" s="73"/>
      <c r="Z47" s="73"/>
      <c r="AA47" s="73"/>
      <c r="AB47" s="73"/>
      <c r="AC47" s="63"/>
      <c r="AD47" s="56"/>
      <c r="AE47" s="56"/>
      <c r="AF47" s="56"/>
      <c r="AG47" s="56"/>
      <c r="AH47" s="56"/>
      <c r="AI47" s="78"/>
      <c r="AJ47" s="78"/>
      <c r="AK47" s="51"/>
      <c r="AL47" s="56"/>
      <c r="AM47" s="56"/>
      <c r="AN47" s="27"/>
      <c r="AO47" s="27"/>
      <c r="AP47" s="27"/>
      <c r="AQ47" s="27"/>
      <c r="AR47" s="27"/>
      <c r="AS47" s="27"/>
      <c r="AT47" s="27"/>
      <c r="AU47" s="15">
        <v>2018</v>
      </c>
      <c r="AV47" s="55">
        <v>263633.92342486454</v>
      </c>
      <c r="AW47" s="27">
        <v>263633.92342486454</v>
      </c>
      <c r="AX47" s="27"/>
      <c r="AY47" s="27"/>
      <c r="AZ47" s="87">
        <v>2389.6767954248885</v>
      </c>
      <c r="BA47" s="87"/>
      <c r="BB47" s="41">
        <v>2893.8706415031797</v>
      </c>
      <c r="BC47" s="41">
        <v>0.91071156697163991</v>
      </c>
      <c r="BD47" s="41"/>
      <c r="BE47" s="41"/>
      <c r="BF47" s="41"/>
      <c r="BG47" s="286"/>
      <c r="BH47" s="41"/>
      <c r="BI47" s="41"/>
      <c r="BJ47" s="41"/>
      <c r="BO47" s="176"/>
      <c r="CD47" s="28"/>
      <c r="CI47" s="26"/>
    </row>
    <row r="48" spans="5:87" ht="21" x14ac:dyDescent="0.4">
      <c r="E48" s="33"/>
      <c r="F48" s="33"/>
      <c r="G48" s="73">
        <f t="shared" si="3"/>
        <v>2012</v>
      </c>
      <c r="H48" s="11"/>
      <c r="I48" s="51">
        <v>22.581670465355007</v>
      </c>
      <c r="J48" s="56">
        <f t="shared" si="4"/>
        <v>-1.7258773971605385E-2</v>
      </c>
      <c r="K48" s="99">
        <f t="shared" si="5"/>
        <v>137494.12223095191</v>
      </c>
      <c r="L48" s="56">
        <f t="shared" si="6"/>
        <v>0.10031846357798922</v>
      </c>
      <c r="M48" s="56"/>
      <c r="N48" s="51"/>
      <c r="O48" s="56"/>
      <c r="P48" s="56">
        <f>+Q48/Calculation!AL17</f>
        <v>3.1269727491910745E-2</v>
      </c>
      <c r="Q48" s="106">
        <f t="shared" si="7"/>
        <v>293571.4681505718</v>
      </c>
      <c r="R48" s="56">
        <f t="shared" si="8"/>
        <v>-4.3034122190149515E-2</v>
      </c>
      <c r="S48" s="56"/>
      <c r="T48" s="56"/>
      <c r="U48" s="56"/>
      <c r="V48" s="99"/>
      <c r="W48" s="56"/>
      <c r="X48" s="56"/>
      <c r="Y48" s="73"/>
      <c r="Z48" s="73"/>
      <c r="AA48" s="73"/>
      <c r="AB48" s="73"/>
      <c r="AC48" s="63"/>
      <c r="AD48" s="56"/>
      <c r="AE48" s="56"/>
      <c r="AF48" s="56"/>
      <c r="AG48" s="56"/>
      <c r="AH48" s="56"/>
      <c r="AI48" s="78"/>
      <c r="AJ48" s="78"/>
      <c r="AK48" s="51"/>
      <c r="AL48" s="56"/>
      <c r="AM48" s="56"/>
      <c r="AN48" s="27"/>
      <c r="AO48" s="27"/>
      <c r="AP48" s="27"/>
      <c r="AQ48" s="27"/>
      <c r="AR48" s="27"/>
      <c r="AS48" s="27"/>
      <c r="AT48" s="27"/>
      <c r="AU48" s="15">
        <v>2019</v>
      </c>
      <c r="AV48" s="55">
        <v>154919.95358487166</v>
      </c>
      <c r="AW48" s="27">
        <v>154919.95358487166</v>
      </c>
      <c r="AX48" s="27"/>
      <c r="AY48" s="27"/>
      <c r="AZ48" s="87">
        <v>1379.2976511767629</v>
      </c>
      <c r="BA48" s="87"/>
      <c r="BB48" s="41">
        <v>1627.3198575609074</v>
      </c>
      <c r="BC48" s="41">
        <v>-0.57566052597580453</v>
      </c>
      <c r="BD48" s="41"/>
      <c r="BE48" s="41"/>
      <c r="BF48" s="41"/>
      <c r="BG48" s="286"/>
      <c r="BH48" s="41"/>
      <c r="BI48" s="41"/>
      <c r="BJ48" s="41"/>
      <c r="BO48" s="176"/>
      <c r="CD48" s="28"/>
      <c r="CI48" s="26"/>
    </row>
    <row r="49" spans="5:87" ht="21" x14ac:dyDescent="0.4">
      <c r="E49" s="33"/>
      <c r="F49" s="33"/>
      <c r="G49" s="73">
        <f t="shared" si="3"/>
        <v>2013</v>
      </c>
      <c r="H49" s="11"/>
      <c r="I49" s="51">
        <v>22.195282401936183</v>
      </c>
      <c r="J49" s="56">
        <f t="shared" si="4"/>
        <v>2.1937428648886603E-2</v>
      </c>
      <c r="K49" s="99">
        <f t="shared" si="5"/>
        <v>137816.06414457137</v>
      </c>
      <c r="L49" s="56">
        <f t="shared" si="6"/>
        <v>2.3387587986055942E-3</v>
      </c>
      <c r="M49" s="56"/>
      <c r="N49" s="51"/>
      <c r="O49" s="56"/>
      <c r="P49" s="56">
        <f>+Q49/Calculation!AL18</f>
        <v>3.3910135848220835E-2</v>
      </c>
      <c r="Q49" s="106">
        <f t="shared" si="7"/>
        <v>329965.24162662355</v>
      </c>
      <c r="R49" s="56">
        <f t="shared" si="8"/>
        <v>0.1168662078144504</v>
      </c>
      <c r="S49" s="56"/>
      <c r="T49" s="56"/>
      <c r="U49" s="56"/>
      <c r="V49" s="57"/>
      <c r="W49" s="57"/>
      <c r="X49" s="57"/>
      <c r="Y49" s="15"/>
      <c r="Z49" s="15"/>
      <c r="AA49" s="15"/>
      <c r="AB49" s="15"/>
      <c r="AC49" s="63"/>
      <c r="AD49" s="56"/>
      <c r="AE49" s="56"/>
      <c r="AF49" s="56"/>
      <c r="AG49" s="56"/>
      <c r="AH49" s="56"/>
      <c r="AI49" s="56"/>
      <c r="AJ49" s="56"/>
      <c r="AK49" s="56"/>
      <c r="AL49" s="27"/>
      <c r="AM49" s="27"/>
      <c r="AN49" s="27"/>
      <c r="AO49" s="27"/>
      <c r="AP49" s="27"/>
      <c r="AQ49" s="27"/>
      <c r="AR49" s="27"/>
      <c r="AS49" s="27"/>
      <c r="AT49" s="27"/>
      <c r="AU49" s="15">
        <v>2020</v>
      </c>
      <c r="AV49" s="55">
        <v>110798.08406738167</v>
      </c>
      <c r="AW49" s="27">
        <v>110798.08406738167</v>
      </c>
      <c r="AX49" s="27"/>
      <c r="AY49" s="27"/>
      <c r="AZ49" s="87">
        <v>975.13781600012032</v>
      </c>
      <c r="BA49" s="87"/>
      <c r="BB49" s="41">
        <v>1119.1820203736513</v>
      </c>
      <c r="BC49" s="41">
        <v>-0.37433632284836338</v>
      </c>
      <c r="BD49" s="41"/>
      <c r="BE49" s="41"/>
      <c r="BF49" s="41"/>
      <c r="BG49" s="286"/>
      <c r="BH49" s="41"/>
      <c r="BI49" s="41"/>
      <c r="BJ49" s="41"/>
      <c r="BO49" s="176"/>
      <c r="CD49" s="28"/>
      <c r="CI49" s="26"/>
    </row>
    <row r="50" spans="5:87" ht="21" x14ac:dyDescent="0.4">
      <c r="E50" s="33"/>
      <c r="F50" s="33"/>
      <c r="G50" s="73">
        <f t="shared" si="3"/>
        <v>2014</v>
      </c>
      <c r="H50" s="11"/>
      <c r="I50" s="51">
        <v>22.68756984363295</v>
      </c>
      <c r="J50" s="56">
        <f t="shared" si="4"/>
        <v>-2.2087936428650076E-2</v>
      </c>
      <c r="K50" s="99">
        <f t="shared" si="5"/>
        <v>142404.32961384201</v>
      </c>
      <c r="L50" s="56">
        <f t="shared" si="6"/>
        <v>3.2750475526976304E-2</v>
      </c>
      <c r="M50" s="56"/>
      <c r="N50" s="51"/>
      <c r="O50" s="56"/>
      <c r="P50" s="56">
        <f>+Q50/Calculation!AL19</f>
        <v>3.4162630393105728E-2</v>
      </c>
      <c r="Q50" s="106">
        <f t="shared" si="7"/>
        <v>338524.91828449769</v>
      </c>
      <c r="R50" s="56">
        <f t="shared" si="8"/>
        <v>2.5610382973023701E-2</v>
      </c>
      <c r="S50" s="56"/>
      <c r="T50" s="56"/>
      <c r="U50" s="56"/>
      <c r="V50" s="57"/>
      <c r="W50" s="56"/>
      <c r="X50" s="56"/>
      <c r="Y50" s="15"/>
      <c r="Z50" s="15"/>
      <c r="AA50" s="15"/>
      <c r="AB50" s="15"/>
      <c r="AC50" s="63"/>
      <c r="AD50" s="56"/>
      <c r="AE50" s="56"/>
      <c r="AF50" s="56"/>
      <c r="AG50" s="56"/>
      <c r="AH50" s="56"/>
      <c r="AI50" s="56"/>
      <c r="AJ50" s="56"/>
      <c r="AK50" s="56"/>
      <c r="AL50" s="56"/>
      <c r="AM50" s="27"/>
      <c r="AN50" s="27"/>
      <c r="AO50" s="27"/>
      <c r="AP50" s="27"/>
      <c r="AQ50" s="27"/>
      <c r="AR50" s="27"/>
      <c r="AS50" s="27"/>
      <c r="AT50" s="27"/>
      <c r="AU50" s="15">
        <v>2021</v>
      </c>
      <c r="AV50" s="55">
        <v>131514.10333494714</v>
      </c>
      <c r="AW50" s="27">
        <v>131514.10333494714</v>
      </c>
      <c r="AX50" s="27"/>
      <c r="AY50" s="27"/>
      <c r="AZ50" s="87">
        <v>1109.9173207439205</v>
      </c>
      <c r="BA50" s="87"/>
      <c r="BB50" s="41">
        <v>1109.9173207439205</v>
      </c>
      <c r="BC50" s="41">
        <v>-8.3125527937406973E-3</v>
      </c>
      <c r="BD50" s="41"/>
      <c r="BE50" s="41"/>
      <c r="BF50" s="41"/>
      <c r="BG50" s="286"/>
      <c r="BH50" s="41"/>
      <c r="BI50" s="41"/>
      <c r="BJ50" s="41"/>
      <c r="BO50" s="176"/>
      <c r="CD50" s="28"/>
      <c r="CI50" s="26"/>
    </row>
    <row r="51" spans="5:87" ht="21" x14ac:dyDescent="0.4">
      <c r="E51" s="33"/>
      <c r="F51" s="33"/>
      <c r="G51" s="73">
        <f t="shared" si="3"/>
        <v>2015</v>
      </c>
      <c r="H51" s="11"/>
      <c r="I51" s="51">
        <v>22.191942090638371</v>
      </c>
      <c r="J51" s="56">
        <f t="shared" si="4"/>
        <v>-1.8356785289269626E-2</v>
      </c>
      <c r="K51" s="99">
        <f t="shared" si="5"/>
        <v>141591.81464599445</v>
      </c>
      <c r="L51" s="56">
        <f t="shared" si="6"/>
        <v>-5.7220296908297051E-3</v>
      </c>
      <c r="M51" s="56"/>
      <c r="N51" s="51"/>
      <c r="O51" s="56"/>
      <c r="P51" s="56">
        <f>+Q51/Calculation!AL20</f>
        <v>3.2360563747603925E-2</v>
      </c>
      <c r="Q51" s="106">
        <f t="shared" si="7"/>
        <v>322329.5303814513</v>
      </c>
      <c r="R51" s="56">
        <f t="shared" si="8"/>
        <v>-4.9023294962485336E-2</v>
      </c>
      <c r="S51" s="56"/>
      <c r="T51" s="56"/>
      <c r="U51" s="56"/>
      <c r="V51" s="57"/>
      <c r="W51" s="56"/>
      <c r="X51" s="56"/>
      <c r="Y51" s="15"/>
      <c r="Z51" s="15"/>
      <c r="AA51" s="15"/>
      <c r="AB51" s="15"/>
      <c r="AC51" s="63"/>
      <c r="AD51" s="56"/>
      <c r="AE51" s="56"/>
      <c r="AF51" s="56"/>
      <c r="AG51" s="56"/>
      <c r="AH51" s="56"/>
      <c r="AI51" s="56"/>
      <c r="AJ51" s="56"/>
      <c r="AK51" s="56"/>
      <c r="AL51" s="56"/>
      <c r="AM51" s="27"/>
      <c r="AN51" s="27"/>
      <c r="AO51" s="27"/>
      <c r="AP51" s="27"/>
      <c r="AQ51" s="27"/>
      <c r="AR51" s="27"/>
      <c r="AS51" s="27"/>
      <c r="AT51" s="27"/>
      <c r="AU51" s="15"/>
      <c r="AV51" s="55"/>
      <c r="AW51" s="27"/>
      <c r="AX51" s="27"/>
      <c r="AY51" s="27"/>
      <c r="AZ51" s="87"/>
      <c r="BA51" s="87"/>
      <c r="BB51" s="41"/>
      <c r="BC51" s="41"/>
      <c r="BD51" s="41"/>
      <c r="BE51" s="41"/>
      <c r="BF51" s="41"/>
      <c r="BG51" s="286"/>
      <c r="BH51" s="41"/>
      <c r="BI51" s="41"/>
      <c r="BJ51" s="41"/>
      <c r="BO51" s="176"/>
      <c r="CD51" s="28"/>
      <c r="CI51" s="26"/>
    </row>
    <row r="52" spans="5:87" ht="21" x14ac:dyDescent="0.4">
      <c r="E52" s="33"/>
      <c r="F52" s="33"/>
      <c r="G52" s="73">
        <f t="shared" si="3"/>
        <v>2016</v>
      </c>
      <c r="H52" s="11"/>
      <c r="I52" s="51">
        <v>21.788285627043933</v>
      </c>
      <c r="J52" s="56">
        <f t="shared" si="4"/>
        <v>-0.10545836297571233</v>
      </c>
      <c r="K52" s="99">
        <f t="shared" si="5"/>
        <v>141027.5174531542</v>
      </c>
      <c r="L52" s="56">
        <f t="shared" si="6"/>
        <v>-3.9933428371136193E-3</v>
      </c>
      <c r="M52" s="56"/>
      <c r="N52" s="51"/>
      <c r="O52" s="56"/>
      <c r="P52" s="56">
        <f>+Q52/Calculation!AL21</f>
        <v>3.3942720577581478E-2</v>
      </c>
      <c r="Q52" s="106">
        <f t="shared" si="7"/>
        <v>349017.64330224122</v>
      </c>
      <c r="R52" s="56">
        <f t="shared" si="8"/>
        <v>7.95480662797724E-2</v>
      </c>
      <c r="S52" s="56"/>
      <c r="T52" s="56"/>
      <c r="U52" s="56"/>
      <c r="V52" s="57"/>
      <c r="W52" s="56"/>
      <c r="X52" s="56"/>
      <c r="Y52" s="15"/>
      <c r="Z52" s="15"/>
      <c r="AA52" s="15"/>
      <c r="AB52" s="15"/>
      <c r="AC52" s="63"/>
      <c r="AD52" s="56"/>
      <c r="AE52" s="56"/>
      <c r="AF52" s="56"/>
      <c r="AG52" s="56"/>
      <c r="AH52" s="56"/>
      <c r="AI52" s="56"/>
      <c r="AJ52" s="56"/>
      <c r="AK52" s="56"/>
      <c r="AL52" s="56"/>
      <c r="AM52" s="27"/>
      <c r="AN52" s="27"/>
      <c r="AO52" s="27"/>
      <c r="AP52" s="27"/>
      <c r="AQ52" s="27"/>
      <c r="AR52" s="27"/>
      <c r="AS52" s="27"/>
      <c r="AT52" s="27"/>
      <c r="AU52" s="15"/>
      <c r="AV52" s="55"/>
      <c r="AW52" s="27"/>
      <c r="AX52" s="27"/>
      <c r="AY52" s="27"/>
      <c r="AZ52" s="87"/>
      <c r="BA52" s="87"/>
      <c r="BB52" s="41"/>
      <c r="BC52" s="41"/>
      <c r="BD52" s="41"/>
      <c r="BE52" s="41"/>
      <c r="BF52" s="41"/>
      <c r="BG52" s="286"/>
      <c r="BH52" s="41"/>
      <c r="BI52" s="41"/>
      <c r="BJ52" s="41"/>
      <c r="BO52" s="176"/>
      <c r="CD52" s="28"/>
      <c r="CI52" s="26"/>
    </row>
    <row r="53" spans="5:87" ht="21" x14ac:dyDescent="0.4">
      <c r="E53" s="33"/>
      <c r="F53" s="33"/>
      <c r="G53" s="73">
        <f t="shared" si="3"/>
        <v>2017</v>
      </c>
      <c r="H53" s="11"/>
      <c r="I53" s="51">
        <v>19.60753842542896</v>
      </c>
      <c r="J53" s="56">
        <f t="shared" si="4"/>
        <v>4.3902647646573922E-2</v>
      </c>
      <c r="K53" s="99">
        <f t="shared" si="5"/>
        <v>129363.26282224835</v>
      </c>
      <c r="L53" s="56">
        <f t="shared" si="6"/>
        <v>-8.6330592822051092E-2</v>
      </c>
      <c r="M53" s="56"/>
      <c r="N53" s="51"/>
      <c r="O53" s="56"/>
      <c r="P53" s="56">
        <f>+Q53/Calculation!AL22</f>
        <v>3.3212569458676337E-2</v>
      </c>
      <c r="Q53" s="106">
        <f t="shared" si="7"/>
        <v>341396.22744558239</v>
      </c>
      <c r="R53" s="56">
        <f t="shared" si="8"/>
        <v>-2.2078714747222946E-2</v>
      </c>
      <c r="S53" s="56"/>
      <c r="T53" s="56"/>
      <c r="U53" s="56"/>
      <c r="V53" s="57"/>
      <c r="W53" s="56"/>
      <c r="X53" s="56"/>
      <c r="Y53" s="15"/>
      <c r="Z53" s="15"/>
      <c r="AA53" s="15"/>
      <c r="AB53" s="15"/>
      <c r="AC53" s="63"/>
      <c r="AD53" s="56"/>
      <c r="AE53" s="56"/>
      <c r="AF53" s="56"/>
      <c r="AG53" s="56"/>
      <c r="AH53" s="56"/>
      <c r="AI53" s="56"/>
      <c r="AJ53" s="56"/>
      <c r="AK53" s="56"/>
      <c r="AL53" s="56"/>
      <c r="AM53" s="27"/>
      <c r="AN53" s="27"/>
      <c r="AO53" s="27"/>
      <c r="AP53" s="27"/>
      <c r="AQ53" s="27"/>
      <c r="AR53" s="27"/>
      <c r="AS53" s="27"/>
      <c r="AT53" s="27"/>
      <c r="AU53" s="15"/>
      <c r="AV53" s="55"/>
      <c r="AW53" s="27"/>
      <c r="AX53" s="27"/>
      <c r="AY53" s="27"/>
      <c r="AZ53" s="87"/>
      <c r="BA53" s="87"/>
      <c r="BB53" s="41"/>
      <c r="BC53" s="41"/>
      <c r="BD53" s="41"/>
      <c r="BE53" s="41"/>
      <c r="BF53" s="41"/>
      <c r="BG53" s="286"/>
      <c r="BH53" s="41"/>
      <c r="BI53" s="41"/>
      <c r="BJ53" s="41"/>
      <c r="BO53" s="176"/>
      <c r="CD53" s="28"/>
      <c r="CI53" s="26"/>
    </row>
    <row r="54" spans="5:87" ht="21" x14ac:dyDescent="0.4">
      <c r="E54" s="33"/>
      <c r="F54" s="33"/>
      <c r="G54" s="73">
        <f t="shared" si="3"/>
        <v>2018</v>
      </c>
      <c r="H54" s="11"/>
      <c r="I54" s="51">
        <v>20.487537070332433</v>
      </c>
      <c r="J54" s="56">
        <f t="shared" si="4"/>
        <v>9.7887734141308327E-3</v>
      </c>
      <c r="K54" s="99">
        <f t="shared" si="5"/>
        <v>137391.53881946937</v>
      </c>
      <c r="L54" s="56">
        <f t="shared" si="6"/>
        <v>6.0210359490497446E-2</v>
      </c>
      <c r="M54" s="56"/>
      <c r="N54" s="51"/>
      <c r="O54" s="56"/>
      <c r="P54" s="56">
        <f>+Q54/Calculation!AL23</f>
        <v>6.0847022541236431E-2</v>
      </c>
      <c r="Q54" s="106">
        <f t="shared" si="7"/>
        <v>677102.46577939414</v>
      </c>
      <c r="R54" s="56">
        <f t="shared" si="8"/>
        <v>0.68477885410980044</v>
      </c>
      <c r="S54" s="56"/>
      <c r="T54" s="56"/>
      <c r="U54" s="56"/>
      <c r="V54" s="57"/>
      <c r="W54" s="56"/>
      <c r="X54" s="56"/>
      <c r="Y54" s="15"/>
      <c r="Z54" s="15"/>
      <c r="AA54" s="15"/>
      <c r="AB54" s="15"/>
      <c r="AC54" s="15"/>
      <c r="AD54" s="56"/>
      <c r="AE54" s="57"/>
      <c r="AF54" s="57"/>
      <c r="AG54" s="57"/>
      <c r="AH54" s="57"/>
      <c r="AI54" s="57"/>
      <c r="AJ54" s="56"/>
      <c r="AK54" s="56"/>
      <c r="AL54" s="27"/>
      <c r="AM54" s="27"/>
      <c r="AN54" s="27"/>
      <c r="AO54" s="27"/>
      <c r="AP54" s="27"/>
      <c r="AQ54" s="27"/>
      <c r="AR54" s="27"/>
      <c r="AS54" s="27"/>
      <c r="AT54" s="27"/>
      <c r="AU54" s="15"/>
      <c r="AV54" s="55"/>
      <c r="AW54" s="27"/>
      <c r="AX54" s="27"/>
      <c r="AY54" s="27"/>
      <c r="AZ54" s="87"/>
      <c r="BA54" s="87"/>
      <c r="BB54" s="41"/>
      <c r="BC54" s="41"/>
      <c r="BD54" s="41"/>
      <c r="BE54" s="41"/>
      <c r="BF54" s="41"/>
      <c r="BG54" s="286"/>
      <c r="BH54" s="41"/>
      <c r="BI54" s="41"/>
      <c r="BJ54" s="41"/>
      <c r="BO54" s="176"/>
      <c r="CD54" s="28"/>
      <c r="CI54" s="26"/>
    </row>
    <row r="55" spans="5:87" ht="21" x14ac:dyDescent="0.4">
      <c r="E55" s="33"/>
      <c r="F55" s="33"/>
      <c r="G55" s="73">
        <f t="shared" si="3"/>
        <v>2019</v>
      </c>
      <c r="H55" s="11"/>
      <c r="I55" s="51">
        <v>20.68906969790406</v>
      </c>
      <c r="J55" s="56">
        <f t="shared" si="4"/>
        <v>3.5633580116232244E-2</v>
      </c>
      <c r="K55" s="99">
        <f t="shared" si="5"/>
        <v>140738.8449142226</v>
      </c>
      <c r="L55" s="56">
        <f t="shared" si="6"/>
        <v>2.4071212025353547E-2</v>
      </c>
      <c r="M55" s="56"/>
      <c r="N55" s="51"/>
      <c r="O55" s="56"/>
      <c r="P55" s="56">
        <f>+Q55/Calculation!AL24</f>
        <v>3.9473611042328667E-2</v>
      </c>
      <c r="Q55" s="106">
        <f t="shared" si="7"/>
        <v>449727.302235957</v>
      </c>
      <c r="R55" s="56">
        <f t="shared" si="8"/>
        <v>-0.40918121011786102</v>
      </c>
      <c r="S55" s="56"/>
      <c r="T55" s="56"/>
      <c r="U55" s="56"/>
      <c r="V55" s="57"/>
      <c r="W55" s="56"/>
      <c r="X55" s="56"/>
      <c r="Y55" s="15"/>
      <c r="Z55" s="15"/>
      <c r="AA55" s="15"/>
      <c r="AB55" s="15"/>
      <c r="AC55" s="15"/>
      <c r="AD55" s="56"/>
      <c r="AE55" s="57"/>
      <c r="AF55" s="57"/>
      <c r="AG55" s="57"/>
      <c r="AH55" s="57"/>
      <c r="AI55" s="57"/>
      <c r="AJ55" s="56"/>
      <c r="AK55" s="56"/>
      <c r="AL55" s="27"/>
      <c r="AM55" s="27"/>
      <c r="AN55" s="27"/>
      <c r="AO55" s="27"/>
      <c r="AP55" s="27"/>
      <c r="AQ55" s="27"/>
      <c r="AR55" s="27"/>
      <c r="AS55" s="27"/>
      <c r="AT55" s="27"/>
      <c r="AU55" s="15"/>
      <c r="AV55" s="55" t="s">
        <v>50</v>
      </c>
      <c r="AW55" s="27" t="s">
        <v>51</v>
      </c>
      <c r="AX55" s="27"/>
      <c r="AY55" s="27"/>
      <c r="AZ55" s="87" t="s">
        <v>52</v>
      </c>
      <c r="BA55" s="87"/>
      <c r="BB55" s="41"/>
      <c r="BC55" s="41"/>
      <c r="BD55" s="41"/>
      <c r="BE55" s="41"/>
      <c r="BF55" s="41"/>
      <c r="BG55" s="286"/>
      <c r="BH55" s="41"/>
      <c r="BI55" s="41"/>
      <c r="BJ55" s="41"/>
      <c r="BO55" s="176"/>
      <c r="CD55" s="28"/>
      <c r="CI55" s="26"/>
    </row>
    <row r="56" spans="5:87" ht="21" x14ac:dyDescent="0.4">
      <c r="E56" s="33"/>
      <c r="F56" s="33"/>
      <c r="G56" s="73">
        <f t="shared" si="3"/>
        <v>2020</v>
      </c>
      <c r="H56" s="11"/>
      <c r="I56" s="51">
        <v>21.439587730093177</v>
      </c>
      <c r="J56" s="56">
        <f t="shared" si="4"/>
        <v>0.17895048597576343</v>
      </c>
      <c r="K56" s="99">
        <f t="shared" si="5"/>
        <v>148540.27248861163</v>
      </c>
      <c r="L56" s="56">
        <f t="shared" si="6"/>
        <v>5.3950107412377636E-2</v>
      </c>
      <c r="M56" s="56"/>
      <c r="N56" s="51"/>
      <c r="O56" s="56"/>
      <c r="P56" s="56">
        <f>+Q56/Calculation!AL25</f>
        <v>3.1331819895543567E-2</v>
      </c>
      <c r="Q56" s="106">
        <f t="shared" si="7"/>
        <v>363514.77220802818</v>
      </c>
      <c r="R56" s="56">
        <f t="shared" si="8"/>
        <v>-0.21282146908448446</v>
      </c>
      <c r="S56" s="56"/>
      <c r="T56" s="56"/>
      <c r="U56" s="56"/>
      <c r="V56" s="57"/>
      <c r="W56" s="56"/>
      <c r="X56" s="56"/>
      <c r="Y56" s="15"/>
      <c r="Z56" s="15"/>
      <c r="AA56" s="15"/>
      <c r="AB56" s="15"/>
      <c r="AC56" s="15"/>
      <c r="AD56" s="56"/>
      <c r="AE56" s="57"/>
      <c r="AF56" s="57"/>
      <c r="AG56" s="57"/>
      <c r="AH56" s="57"/>
      <c r="AI56" s="57"/>
      <c r="AJ56" s="56"/>
      <c r="AK56" s="56"/>
      <c r="AL56" s="27"/>
      <c r="AM56" s="27"/>
      <c r="AN56" s="27"/>
      <c r="AO56" s="27"/>
      <c r="AP56" s="27"/>
      <c r="AQ56" s="27"/>
      <c r="AR56" s="27"/>
      <c r="AS56" s="27"/>
      <c r="AT56" s="27"/>
      <c r="AU56" s="15"/>
      <c r="AV56" s="55"/>
      <c r="AW56" s="27"/>
      <c r="AX56" s="27"/>
      <c r="AY56" s="27"/>
      <c r="AZ56" s="87"/>
      <c r="BA56" s="87"/>
      <c r="BB56" s="41"/>
      <c r="BC56" s="41"/>
      <c r="BD56" s="41"/>
      <c r="BE56" s="41"/>
      <c r="BF56" s="41"/>
      <c r="BG56" s="286"/>
      <c r="BH56" s="41"/>
      <c r="BI56" s="41"/>
      <c r="BJ56" s="41"/>
      <c r="BO56" s="176"/>
      <c r="CD56" s="28"/>
      <c r="CI56" s="26"/>
    </row>
    <row r="57" spans="5:87" ht="21" x14ac:dyDescent="0.4">
      <c r="E57" s="33"/>
      <c r="F57" s="33"/>
      <c r="G57" s="73">
        <f t="shared" si="3"/>
        <v>2021</v>
      </c>
      <c r="H57" s="11"/>
      <c r="I57" s="51">
        <v>25.640922054930936</v>
      </c>
      <c r="J57" s="53"/>
      <c r="K57" s="99">
        <f t="shared" si="5"/>
        <v>181017.15214713442</v>
      </c>
      <c r="L57" s="56">
        <f t="shared" si="6"/>
        <v>0.1977356733344231</v>
      </c>
      <c r="M57" s="56"/>
      <c r="N57" s="51"/>
      <c r="O57" s="56"/>
      <c r="P57" s="56">
        <f>+Q57/Calculation!AL26</f>
        <v>3.1593776019794476E-2</v>
      </c>
      <c r="Q57" s="106">
        <f t="shared" si="7"/>
        <v>405827.58519832609</v>
      </c>
      <c r="R57" s="56">
        <f t="shared" si="8"/>
        <v>0.11010846744649747</v>
      </c>
      <c r="S57" s="56"/>
      <c r="T57" s="56"/>
      <c r="U57" s="56"/>
      <c r="V57" s="57"/>
      <c r="W57" s="56"/>
      <c r="X57" s="56"/>
      <c r="Y57" s="15"/>
      <c r="Z57" s="15"/>
      <c r="AA57" s="15"/>
      <c r="AB57" s="15"/>
      <c r="AC57" s="15"/>
      <c r="AD57" s="56"/>
      <c r="AE57" s="57"/>
      <c r="AF57" s="57"/>
      <c r="AG57" s="57"/>
      <c r="AH57" s="57"/>
      <c r="AI57" s="57"/>
      <c r="AJ57" s="56"/>
      <c r="AK57" s="56"/>
      <c r="AL57" s="27"/>
      <c r="AM57" s="27"/>
      <c r="AN57" s="27"/>
      <c r="AO57" s="27"/>
      <c r="AP57" s="27"/>
      <c r="AQ57" s="27"/>
      <c r="AR57" s="27"/>
      <c r="AS57" s="27"/>
      <c r="AT57" s="27"/>
      <c r="AU57" s="15">
        <v>2005</v>
      </c>
      <c r="AV57" s="55"/>
      <c r="AW57" s="27">
        <v>0.3619896550338586</v>
      </c>
      <c r="AX57" s="27"/>
      <c r="AY57" s="27"/>
      <c r="AZ57" s="87">
        <v>0.38804973113253255</v>
      </c>
      <c r="BA57" s="87"/>
      <c r="BB57" s="41"/>
      <c r="BC57" s="41"/>
      <c r="BD57" s="41"/>
      <c r="BE57" s="41"/>
      <c r="BF57" s="41"/>
      <c r="BG57" s="286"/>
      <c r="BH57" s="41"/>
      <c r="BI57" s="41"/>
      <c r="BJ57" s="41"/>
      <c r="BO57" s="176"/>
      <c r="CD57" s="28"/>
      <c r="CI57" s="26"/>
    </row>
    <row r="58" spans="5:87" ht="42" x14ac:dyDescent="0.4">
      <c r="E58" s="33"/>
      <c r="F58" s="33"/>
      <c r="G58" s="11"/>
      <c r="H58" s="11"/>
      <c r="I58" s="115" t="s">
        <v>40</v>
      </c>
      <c r="K58" s="103" t="s">
        <v>53</v>
      </c>
      <c r="L58" s="103"/>
      <c r="M58" s="103"/>
      <c r="N58" s="122"/>
      <c r="O58" s="103"/>
      <c r="Q58" s="104" t="s">
        <v>41</v>
      </c>
      <c r="V58" s="57"/>
      <c r="W58" s="56"/>
      <c r="X58" s="56"/>
      <c r="Y58" s="15"/>
      <c r="Z58" s="15"/>
      <c r="AA58" s="15"/>
      <c r="AB58" s="15"/>
      <c r="AC58" s="15"/>
      <c r="AD58" s="27"/>
      <c r="AE58" s="15"/>
      <c r="AF58" s="15"/>
      <c r="AG58" s="15"/>
      <c r="AH58" s="15"/>
      <c r="AI58" s="15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15">
        <v>2006</v>
      </c>
      <c r="AV58" s="55">
        <v>0.26797150998373781</v>
      </c>
      <c r="AW58" s="27">
        <v>0.3624991375587639</v>
      </c>
      <c r="AX58" s="27"/>
      <c r="AY58" s="27"/>
      <c r="AZ58" s="87">
        <v>0.387188441413991</v>
      </c>
      <c r="BA58" s="87"/>
      <c r="BB58" s="41"/>
      <c r="BC58" s="41"/>
      <c r="BD58" s="41"/>
      <c r="BE58" s="41"/>
      <c r="BF58" s="41"/>
      <c r="BG58" s="286"/>
      <c r="BH58" s="41"/>
      <c r="BI58" s="41"/>
      <c r="BJ58" s="41"/>
      <c r="BO58" s="176"/>
      <c r="CD58" s="28"/>
      <c r="CI58" s="26"/>
    </row>
    <row r="59" spans="5:87" ht="21" x14ac:dyDescent="0.4">
      <c r="E59" s="33"/>
      <c r="F59" s="33"/>
      <c r="G59" s="11"/>
      <c r="H59" s="11"/>
      <c r="I59" s="105" t="s">
        <v>42</v>
      </c>
      <c r="J59" s="105" t="s">
        <v>35</v>
      </c>
      <c r="K59" s="105" t="s">
        <v>42</v>
      </c>
      <c r="L59" s="105" t="s">
        <v>35</v>
      </c>
      <c r="M59" s="105"/>
      <c r="N59" s="123"/>
      <c r="O59" s="105"/>
      <c r="P59" s="105" t="s">
        <v>42</v>
      </c>
      <c r="Q59" s="105" t="s">
        <v>35</v>
      </c>
      <c r="R59" s="53"/>
      <c r="V59" s="57"/>
      <c r="W59" s="56"/>
      <c r="X59" s="56"/>
      <c r="Y59" s="15"/>
      <c r="Z59" s="15"/>
      <c r="AA59" s="15"/>
      <c r="AB59" s="15"/>
      <c r="AC59" s="15"/>
      <c r="AD59" s="27"/>
      <c r="AE59" s="15"/>
      <c r="AF59" s="15"/>
      <c r="AG59" s="15"/>
      <c r="AH59" s="15"/>
      <c r="AI59" s="15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15">
        <v>2007</v>
      </c>
      <c r="AV59" s="55">
        <v>0.29399662010974004</v>
      </c>
      <c r="AW59" s="27">
        <v>0.35887783775887772</v>
      </c>
      <c r="AX59" s="27"/>
      <c r="AY59" s="27"/>
      <c r="AZ59" s="87">
        <v>0.39331031632221941</v>
      </c>
      <c r="BA59" s="87"/>
      <c r="BB59" s="41"/>
      <c r="BC59" s="41"/>
      <c r="BD59" s="41"/>
      <c r="BE59" s="41"/>
      <c r="BF59" s="41"/>
      <c r="BG59" s="286"/>
      <c r="BH59" s="41"/>
      <c r="BI59" s="41"/>
      <c r="BJ59" s="41"/>
      <c r="BO59" s="176"/>
      <c r="CD59" s="28"/>
      <c r="CI59" s="26"/>
    </row>
    <row r="60" spans="5:87" ht="21" x14ac:dyDescent="0.4">
      <c r="E60" s="33"/>
      <c r="F60" s="33"/>
      <c r="G60" s="98">
        <v>2005</v>
      </c>
      <c r="H60" s="11"/>
      <c r="I60" s="74">
        <v>48453.794659181673</v>
      </c>
      <c r="J60" s="74">
        <v>488.69182712235676</v>
      </c>
      <c r="K60" s="74">
        <v>7994.33991280585</v>
      </c>
      <c r="L60" s="74">
        <v>80.62874344736106</v>
      </c>
      <c r="M60" s="74"/>
      <c r="N60" s="51"/>
      <c r="O60" s="74"/>
      <c r="P60" s="74">
        <f t="shared" ref="P60:P76" si="9">+I60+K60</f>
        <v>56448.134571987524</v>
      </c>
      <c r="Q60" s="74">
        <f t="shared" ref="Q60:Q76" si="10">+J60+L60</f>
        <v>569.3205705697178</v>
      </c>
      <c r="R60" s="63"/>
      <c r="V60" s="15"/>
      <c r="W60" s="57"/>
      <c r="X60" s="57"/>
      <c r="Y60" s="15"/>
      <c r="Z60" s="15"/>
      <c r="AA60" s="15"/>
      <c r="AB60" s="15"/>
      <c r="AC60" s="15"/>
      <c r="AD60" s="27"/>
      <c r="AE60" s="15"/>
      <c r="AF60" s="15"/>
      <c r="AG60" s="15"/>
      <c r="AH60" s="15"/>
      <c r="AI60" s="15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15">
        <v>2008</v>
      </c>
      <c r="AV60" s="55">
        <v>0.26090910643623305</v>
      </c>
      <c r="AW60" s="27">
        <v>0.36268352999107756</v>
      </c>
      <c r="AX60" s="27"/>
      <c r="AY60" s="27"/>
      <c r="AZ60" s="87">
        <v>0.38687672256522732</v>
      </c>
      <c r="BA60" s="87"/>
      <c r="BB60" s="41"/>
      <c r="BC60" s="41"/>
      <c r="BD60" s="41"/>
      <c r="BE60" s="41"/>
      <c r="BF60" s="41"/>
      <c r="BG60" s="286"/>
      <c r="BH60" s="41"/>
      <c r="BI60" s="41"/>
      <c r="BJ60" s="41"/>
      <c r="BO60" s="176"/>
      <c r="CD60" s="28"/>
      <c r="CI60" s="26"/>
    </row>
    <row r="61" spans="5:87" ht="21" x14ac:dyDescent="0.4">
      <c r="E61" s="33"/>
      <c r="F61" s="33"/>
      <c r="G61" s="98">
        <v>2006</v>
      </c>
      <c r="H61" s="11"/>
      <c r="I61" s="74">
        <v>47097.487617277686</v>
      </c>
      <c r="J61" s="74">
        <v>461.51384240350501</v>
      </c>
      <c r="K61" s="74">
        <v>8812.1784266913746</v>
      </c>
      <c r="L61" s="73">
        <v>86.351576939650911</v>
      </c>
      <c r="M61" s="73"/>
      <c r="N61" s="49"/>
      <c r="O61" s="73"/>
      <c r="P61" s="74">
        <f t="shared" si="9"/>
        <v>55909.66604396906</v>
      </c>
      <c r="Q61" s="74">
        <f t="shared" si="10"/>
        <v>547.86541934315596</v>
      </c>
      <c r="R61" s="63">
        <f t="shared" ref="R61:R76" si="11">LN(Q61/Q60)</f>
        <v>-3.8413996750207992E-2</v>
      </c>
      <c r="V61" s="15"/>
      <c r="W61" s="57"/>
      <c r="X61" s="57"/>
      <c r="Y61" s="15"/>
      <c r="Z61" s="15"/>
      <c r="AA61" s="15"/>
      <c r="AB61" s="15"/>
      <c r="AC61" s="15"/>
      <c r="AD61" s="27"/>
      <c r="AE61" s="15"/>
      <c r="AF61" s="15"/>
      <c r="AG61" s="15"/>
      <c r="AH61" s="15"/>
      <c r="AI61" s="15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15">
        <v>2009</v>
      </c>
      <c r="AV61" s="55">
        <v>0.24624664622879683</v>
      </c>
      <c r="AW61" s="27">
        <v>0.37115398046916398</v>
      </c>
      <c r="AX61" s="27"/>
      <c r="AY61" s="27"/>
      <c r="AZ61" s="87">
        <v>0.37255726791946209</v>
      </c>
      <c r="BA61" s="87"/>
      <c r="BB61" s="41"/>
      <c r="BC61" s="41"/>
      <c r="BD61" s="41"/>
      <c r="BE61" s="41"/>
      <c r="BF61" s="41"/>
      <c r="BG61" s="286"/>
      <c r="BH61" s="41"/>
      <c r="BI61" s="41"/>
      <c r="BJ61" s="41"/>
      <c r="BO61" s="176"/>
      <c r="CD61" s="28"/>
      <c r="CI61" s="26"/>
    </row>
    <row r="62" spans="5:87" ht="21" x14ac:dyDescent="0.4">
      <c r="E62" s="33"/>
      <c r="F62" s="33"/>
      <c r="G62" s="98">
        <v>2007</v>
      </c>
      <c r="H62" s="11"/>
      <c r="I62" s="74">
        <v>51194.205229452702</v>
      </c>
      <c r="J62" s="74">
        <v>486.52131365600093</v>
      </c>
      <c r="K62" s="74">
        <v>8659.7867179072291</v>
      </c>
      <c r="L62" s="73">
        <v>82.297806775074633</v>
      </c>
      <c r="M62" s="73"/>
      <c r="N62" s="49"/>
      <c r="O62" s="73"/>
      <c r="P62" s="74">
        <f t="shared" si="9"/>
        <v>59853.991947359929</v>
      </c>
      <c r="Q62" s="74">
        <f t="shared" si="10"/>
        <v>568.81912043107559</v>
      </c>
      <c r="R62" s="63">
        <f t="shared" si="11"/>
        <v>3.7532821662380249E-2</v>
      </c>
      <c r="V62" s="15"/>
      <c r="W62" s="57"/>
      <c r="X62" s="57"/>
      <c r="Y62" s="15"/>
      <c r="Z62" s="15"/>
      <c r="AA62" s="15"/>
      <c r="AB62" s="15"/>
      <c r="AC62" s="15"/>
      <c r="AD62" s="27"/>
      <c r="AE62" s="15"/>
      <c r="AF62" s="15"/>
      <c r="AG62" s="15"/>
      <c r="AH62" s="15"/>
      <c r="AI62" s="15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15">
        <v>2010</v>
      </c>
      <c r="AV62" s="55">
        <v>0.25825501904147263</v>
      </c>
      <c r="AW62" s="27">
        <v>0.35737384460241145</v>
      </c>
      <c r="AX62" s="27"/>
      <c r="AY62" s="27"/>
      <c r="AZ62" s="87">
        <v>0.39585284482731792</v>
      </c>
      <c r="BA62" s="87"/>
      <c r="BB62" s="41"/>
      <c r="BC62" s="41"/>
      <c r="BD62" s="41"/>
      <c r="BE62" s="41"/>
      <c r="BF62" s="41"/>
      <c r="BG62" s="286"/>
      <c r="BH62" s="41"/>
      <c r="BI62" s="41"/>
      <c r="BJ62" s="41"/>
      <c r="BO62" s="176"/>
      <c r="CD62" s="28"/>
      <c r="CI62" s="26"/>
    </row>
    <row r="63" spans="5:87" ht="21" x14ac:dyDescent="0.4">
      <c r="E63" s="33"/>
      <c r="F63" s="33"/>
      <c r="G63" s="98">
        <v>2008</v>
      </c>
      <c r="H63" s="11"/>
      <c r="I63" s="74">
        <v>61066.144356486991</v>
      </c>
      <c r="J63" s="74">
        <v>564.25173810567799</v>
      </c>
      <c r="K63" s="74">
        <v>9942.8555052792763</v>
      </c>
      <c r="L63" s="73">
        <v>91.872076740857253</v>
      </c>
      <c r="M63" s="73"/>
      <c r="N63" s="49"/>
      <c r="O63" s="73"/>
      <c r="P63" s="74">
        <f t="shared" si="9"/>
        <v>71008.999861766264</v>
      </c>
      <c r="Q63" s="74">
        <f t="shared" si="10"/>
        <v>656.1238148465352</v>
      </c>
      <c r="R63" s="63">
        <f t="shared" si="11"/>
        <v>0.14278701996943932</v>
      </c>
      <c r="V63" s="15"/>
      <c r="W63" s="15"/>
      <c r="X63" s="15"/>
      <c r="Y63" s="15"/>
      <c r="Z63" s="15"/>
      <c r="AA63" s="15"/>
      <c r="AB63" s="15"/>
      <c r="AC63" s="15"/>
      <c r="AD63" s="27"/>
      <c r="AE63" s="15"/>
      <c r="AF63" s="15"/>
      <c r="AG63" s="15"/>
      <c r="AH63" s="15"/>
      <c r="AI63" s="15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15">
        <v>2011</v>
      </c>
      <c r="AV63" s="55">
        <v>0.20801372794260081</v>
      </c>
      <c r="AW63" s="27">
        <v>0.35148920244935894</v>
      </c>
      <c r="AX63" s="27"/>
      <c r="AY63" s="27"/>
      <c r="AZ63" s="87">
        <v>0.40580094223195917</v>
      </c>
      <c r="BA63" s="87"/>
      <c r="BB63" s="41"/>
      <c r="BC63" s="41"/>
      <c r="BD63" s="41"/>
      <c r="BE63" s="41"/>
      <c r="BF63" s="41"/>
      <c r="BG63" s="286"/>
      <c r="BH63" s="41"/>
      <c r="BI63" s="41"/>
      <c r="BJ63" s="41"/>
      <c r="BO63" s="176"/>
      <c r="CD63" s="28"/>
      <c r="CI63" s="26"/>
    </row>
    <row r="64" spans="5:87" ht="21" x14ac:dyDescent="0.4">
      <c r="E64" s="33"/>
      <c r="F64" s="33"/>
      <c r="G64" s="98">
        <v>2009</v>
      </c>
      <c r="H64" s="11"/>
      <c r="I64" s="74">
        <v>62815.012135447134</v>
      </c>
      <c r="J64" s="74">
        <v>572.21600669958673</v>
      </c>
      <c r="K64" s="74">
        <v>11162.441092217234</v>
      </c>
      <c r="L64" s="73">
        <v>101.68472869248221</v>
      </c>
      <c r="M64" s="73"/>
      <c r="N64" s="49"/>
      <c r="O64" s="73"/>
      <c r="P64" s="74">
        <f t="shared" si="9"/>
        <v>73977.453227664373</v>
      </c>
      <c r="Q64" s="74">
        <f t="shared" si="10"/>
        <v>673.9007353920689</v>
      </c>
      <c r="R64" s="63">
        <f t="shared" si="11"/>
        <v>2.6733309920997872E-2</v>
      </c>
      <c r="V64" s="15"/>
      <c r="W64" s="15"/>
      <c r="X64" s="15"/>
      <c r="Y64" s="15"/>
      <c r="Z64" s="15"/>
      <c r="AA64" s="15"/>
      <c r="AB64" s="15"/>
      <c r="AC64" s="15"/>
      <c r="AD64" s="27"/>
      <c r="AE64" s="15"/>
      <c r="AF64" s="15"/>
      <c r="AG64" s="15"/>
      <c r="AH64" s="15"/>
      <c r="AI64" s="15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15">
        <v>2012</v>
      </c>
      <c r="AV64" s="55">
        <v>0.26734996868966204</v>
      </c>
      <c r="AW64" s="27">
        <v>0.31448943193178991</v>
      </c>
      <c r="AX64" s="27"/>
      <c r="AY64" s="27"/>
      <c r="AZ64" s="87">
        <v>0.46834974494330506</v>
      </c>
      <c r="BA64" s="87"/>
      <c r="BB64" s="41"/>
      <c r="BC64" s="41"/>
      <c r="BD64" s="41"/>
      <c r="BE64" s="41"/>
      <c r="BF64" s="41"/>
      <c r="BG64" s="286"/>
      <c r="BH64" s="41"/>
      <c r="BI64" s="41"/>
      <c r="BJ64" s="41"/>
      <c r="BO64" s="176"/>
      <c r="CD64" s="28"/>
      <c r="CI64" s="26"/>
    </row>
    <row r="65" spans="5:87" ht="21" x14ac:dyDescent="0.4">
      <c r="E65" s="33"/>
      <c r="F65" s="33"/>
      <c r="G65" s="98">
        <v>2010</v>
      </c>
      <c r="H65" s="11"/>
      <c r="I65" s="74">
        <v>60317.766891114254</v>
      </c>
      <c r="J65" s="74">
        <v>539.15322360772518</v>
      </c>
      <c r="K65" s="74">
        <v>10761.044173848548</v>
      </c>
      <c r="L65" s="73">
        <v>96.188104347249592</v>
      </c>
      <c r="M65" s="73"/>
      <c r="N65" s="49"/>
      <c r="O65" s="73"/>
      <c r="P65" s="74">
        <f t="shared" si="9"/>
        <v>71078.811064962807</v>
      </c>
      <c r="Q65" s="74">
        <f t="shared" si="10"/>
        <v>635.34132795497476</v>
      </c>
      <c r="R65" s="63">
        <f t="shared" si="11"/>
        <v>-5.8920444382861904E-2</v>
      </c>
      <c r="V65" s="15"/>
      <c r="W65" s="15"/>
      <c r="X65" s="15"/>
      <c r="Y65" s="15"/>
      <c r="Z65" s="15"/>
      <c r="AA65" s="15"/>
      <c r="AB65" s="15"/>
      <c r="AC65" s="15"/>
      <c r="AD65" s="27"/>
      <c r="AE65" s="15"/>
      <c r="AF65" s="15"/>
      <c r="AG65" s="15"/>
      <c r="AH65" s="15"/>
      <c r="AI65" s="15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15">
        <v>2013</v>
      </c>
      <c r="AV65" s="55">
        <v>0.24277862464578326</v>
      </c>
      <c r="AW65" s="27">
        <v>0.34446917530918419</v>
      </c>
      <c r="AX65" s="27"/>
      <c r="AY65" s="27"/>
      <c r="AZ65" s="87">
        <v>0.41766842915084651</v>
      </c>
      <c r="BA65" s="87"/>
      <c r="BB65" s="41"/>
      <c r="BC65" s="41"/>
      <c r="BD65" s="41"/>
      <c r="BE65" s="41"/>
      <c r="BF65" s="41"/>
      <c r="BG65" s="286"/>
      <c r="BH65" s="41"/>
      <c r="BI65" s="41"/>
      <c r="BJ65" s="41"/>
      <c r="BO65" s="176"/>
      <c r="CD65" s="28"/>
      <c r="CI65" s="26"/>
    </row>
    <row r="66" spans="5:87" ht="21" x14ac:dyDescent="0.4">
      <c r="E66" s="33"/>
      <c r="F66" s="33"/>
      <c r="G66" s="98">
        <v>2011</v>
      </c>
      <c r="H66" s="11"/>
      <c r="I66" s="74">
        <v>63731.618385797934</v>
      </c>
      <c r="J66" s="74">
        <v>557.58196313034068</v>
      </c>
      <c r="K66" s="74">
        <v>10654.301479713831</v>
      </c>
      <c r="L66" s="73">
        <v>93.213486261713314</v>
      </c>
      <c r="M66" s="73"/>
      <c r="N66" s="49"/>
      <c r="O66" s="73"/>
      <c r="P66" s="74">
        <f t="shared" si="9"/>
        <v>74385.919865511765</v>
      </c>
      <c r="Q66" s="74">
        <f t="shared" si="10"/>
        <v>650.79544939205402</v>
      </c>
      <c r="R66" s="63">
        <f t="shared" si="11"/>
        <v>2.4033004174302836E-2</v>
      </c>
      <c r="V66" s="15"/>
      <c r="W66" s="15"/>
      <c r="X66" s="15"/>
      <c r="Y66" s="15"/>
      <c r="Z66" s="15"/>
      <c r="AA66" s="15"/>
      <c r="AB66" s="15"/>
      <c r="AC66" s="15"/>
      <c r="AD66" s="27"/>
      <c r="AE66" s="15"/>
      <c r="AF66" s="15"/>
      <c r="AG66" s="15"/>
      <c r="AH66" s="15"/>
      <c r="AI66" s="15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15">
        <v>2014</v>
      </c>
      <c r="AV66" s="55">
        <v>0.21807887583110427</v>
      </c>
      <c r="AW66" s="27">
        <v>0.34269879368269568</v>
      </c>
      <c r="AX66" s="27"/>
      <c r="AY66" s="27"/>
      <c r="AZ66" s="87">
        <v>0.42066129233702332</v>
      </c>
      <c r="BA66" s="87"/>
      <c r="BB66" s="41"/>
      <c r="BC66" s="41"/>
      <c r="BD66" s="41"/>
      <c r="BE66" s="41"/>
      <c r="BF66" s="41"/>
      <c r="BG66" s="286"/>
      <c r="BH66" s="41"/>
      <c r="BI66" s="41"/>
      <c r="BJ66" s="41"/>
      <c r="BO66" s="176"/>
      <c r="CD66" s="28"/>
      <c r="CI66" s="26"/>
    </row>
    <row r="67" spans="5:87" ht="21" x14ac:dyDescent="0.4">
      <c r="E67" s="33"/>
      <c r="F67" s="33"/>
      <c r="G67" s="98">
        <v>2012</v>
      </c>
      <c r="H67" s="11"/>
      <c r="I67" s="74">
        <v>55368.13265334582</v>
      </c>
      <c r="J67" s="74">
        <v>475.26294123043624</v>
      </c>
      <c r="K67" s="74">
        <v>8384.0890162192154</v>
      </c>
      <c r="L67" s="73">
        <v>71.966429323770086</v>
      </c>
      <c r="M67" s="73"/>
      <c r="N67" s="49"/>
      <c r="O67" s="73"/>
      <c r="P67" s="74">
        <f t="shared" si="9"/>
        <v>63752.221669565035</v>
      </c>
      <c r="Q67" s="74">
        <f t="shared" si="10"/>
        <v>547.2293705542063</v>
      </c>
      <c r="R67" s="63">
        <f t="shared" si="11"/>
        <v>-0.17332734386473136</v>
      </c>
      <c r="V67" s="15"/>
      <c r="W67" s="15"/>
      <c r="X67" s="15"/>
      <c r="Y67" s="15"/>
      <c r="Z67" s="15"/>
      <c r="AA67" s="15"/>
      <c r="AB67" s="15"/>
      <c r="AC67" s="15"/>
      <c r="AD67" s="27"/>
      <c r="AE67" s="15"/>
      <c r="AF67" s="15"/>
      <c r="AG67" s="15"/>
      <c r="AH67" s="15"/>
      <c r="AI67" s="15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15">
        <v>2015</v>
      </c>
      <c r="AV67" s="55">
        <v>0.26357127341583086</v>
      </c>
      <c r="AW67" s="27">
        <v>0.33168720839395205</v>
      </c>
      <c r="AX67" s="27"/>
      <c r="AY67" s="27"/>
      <c r="AZ67" s="87">
        <v>0.43927658281396631</v>
      </c>
      <c r="BA67" s="87"/>
      <c r="BB67" s="41"/>
      <c r="BC67" s="41"/>
      <c r="BD67" s="41"/>
      <c r="BE67" s="41"/>
      <c r="BF67" s="41"/>
      <c r="BG67" s="286"/>
      <c r="BH67" s="41"/>
      <c r="BI67" s="41"/>
      <c r="BJ67" s="41"/>
      <c r="BO67" s="176"/>
      <c r="CD67" s="29"/>
      <c r="CI67" s="26"/>
    </row>
    <row r="68" spans="5:87" ht="21" x14ac:dyDescent="0.4">
      <c r="E68" s="33"/>
      <c r="F68" s="33"/>
      <c r="G68" s="98">
        <v>2013</v>
      </c>
      <c r="H68" s="11"/>
      <c r="I68" s="74">
        <v>68025.816273212113</v>
      </c>
      <c r="J68" s="74">
        <v>572.96960432269623</v>
      </c>
      <c r="K68" s="74">
        <v>10460.506545021377</v>
      </c>
      <c r="L68" s="73">
        <v>88.107025015972852</v>
      </c>
      <c r="M68" s="73"/>
      <c r="N68" s="49"/>
      <c r="O68" s="73"/>
      <c r="P68" s="74">
        <f t="shared" si="9"/>
        <v>78486.322818233486</v>
      </c>
      <c r="Q68" s="74">
        <f t="shared" si="10"/>
        <v>661.07662933866914</v>
      </c>
      <c r="R68" s="63">
        <f t="shared" si="11"/>
        <v>0.18900172341401603</v>
      </c>
      <c r="V68" s="15"/>
      <c r="W68" s="15"/>
      <c r="X68" s="15"/>
      <c r="Y68" s="15"/>
      <c r="Z68" s="15"/>
      <c r="AA68" s="15"/>
      <c r="AB68" s="15"/>
      <c r="AC68" s="15"/>
      <c r="AD68" s="27"/>
      <c r="AE68" s="15"/>
      <c r="AF68" s="15"/>
      <c r="AG68" s="15"/>
      <c r="AH68" s="15"/>
      <c r="AI68" s="15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15">
        <v>2016</v>
      </c>
      <c r="AV68" s="55">
        <v>0.24814838698930619</v>
      </c>
      <c r="AW68" s="27">
        <v>0.35251318501505419</v>
      </c>
      <c r="AX68" s="27"/>
      <c r="AY68" s="27"/>
      <c r="AZ68" s="87">
        <v>0.40406988059061422</v>
      </c>
      <c r="BA68" s="87"/>
      <c r="BB68" s="41"/>
      <c r="BC68" s="41"/>
      <c r="BD68" s="41"/>
      <c r="BE68" s="41"/>
      <c r="BF68" s="41"/>
      <c r="BG68" s="286"/>
      <c r="BH68" s="41"/>
      <c r="BI68" s="41"/>
      <c r="BJ68" s="41"/>
      <c r="BO68" s="176"/>
      <c r="CD68" s="28"/>
      <c r="CI68" s="26"/>
    </row>
    <row r="69" spans="5:87" ht="21" x14ac:dyDescent="0.4">
      <c r="E69" s="33"/>
      <c r="F69" s="33"/>
      <c r="G69" s="98">
        <v>2014</v>
      </c>
      <c r="H69" s="11"/>
      <c r="I69" s="74">
        <v>69294.100166773147</v>
      </c>
      <c r="J69" s="74">
        <v>571.73349972585106</v>
      </c>
      <c r="K69" s="74">
        <v>10814.407376252071</v>
      </c>
      <c r="L69" s="73">
        <v>89.227783632442822</v>
      </c>
      <c r="M69" s="73"/>
      <c r="N69" s="49"/>
      <c r="O69" s="73"/>
      <c r="P69" s="74">
        <f t="shared" si="9"/>
        <v>80108.507543025218</v>
      </c>
      <c r="Q69" s="74">
        <f t="shared" si="10"/>
        <v>660.96128335829394</v>
      </c>
      <c r="R69" s="63">
        <f t="shared" si="11"/>
        <v>-1.7449723576011542E-4</v>
      </c>
      <c r="V69" s="15"/>
      <c r="W69" s="15"/>
      <c r="X69" s="15"/>
      <c r="Y69" s="15"/>
      <c r="Z69" s="15"/>
      <c r="AA69" s="15"/>
      <c r="AB69" s="15"/>
      <c r="AC69" s="15"/>
      <c r="AD69" s="27"/>
      <c r="AE69" s="15"/>
      <c r="AF69" s="15"/>
      <c r="AG69" s="15"/>
      <c r="AH69" s="15"/>
      <c r="AI69" s="15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15">
        <v>2017</v>
      </c>
      <c r="AV69" s="55">
        <v>0.64574038119138444</v>
      </c>
      <c r="AW69" s="27">
        <v>0.36738777210731249</v>
      </c>
      <c r="AX69" s="27"/>
      <c r="AY69" s="27"/>
      <c r="AZ69" s="87">
        <v>0.37892411345660959</v>
      </c>
      <c r="BA69" s="87"/>
      <c r="BB69" s="41"/>
      <c r="BC69" s="41"/>
      <c r="BD69" s="41"/>
      <c r="BE69" s="41"/>
      <c r="BF69" s="41"/>
      <c r="BG69" s="286"/>
      <c r="BH69" s="41"/>
      <c r="BI69" s="41"/>
      <c r="BJ69" s="41"/>
      <c r="BO69" s="176"/>
      <c r="CD69" s="28"/>
      <c r="CI69" s="26"/>
    </row>
    <row r="70" spans="5:87" ht="21" x14ac:dyDescent="0.4">
      <c r="E70" s="33"/>
      <c r="F70" s="33"/>
      <c r="G70" s="98">
        <v>2015</v>
      </c>
      <c r="H70" s="11"/>
      <c r="I70" s="74">
        <v>63080.933254042786</v>
      </c>
      <c r="J70" s="74">
        <v>509.74491518418415</v>
      </c>
      <c r="K70" s="74">
        <v>10744.200366256906</v>
      </c>
      <c r="L70" s="73">
        <v>86.82182114146994</v>
      </c>
      <c r="M70" s="73"/>
      <c r="N70" s="49"/>
      <c r="O70" s="73"/>
      <c r="P70" s="74">
        <f t="shared" si="9"/>
        <v>73825.13362029969</v>
      </c>
      <c r="Q70" s="74">
        <f t="shared" si="10"/>
        <v>596.56673632565412</v>
      </c>
      <c r="R70" s="63">
        <f t="shared" si="11"/>
        <v>-0.10250415018288074</v>
      </c>
      <c r="V70" s="15"/>
      <c r="W70" s="15"/>
      <c r="X70" s="15"/>
      <c r="Y70" s="15"/>
      <c r="Z70" s="15"/>
      <c r="AA70" s="15"/>
      <c r="AB70" s="15"/>
      <c r="AC70" s="15"/>
      <c r="AD70" s="27"/>
      <c r="AE70" s="15"/>
      <c r="AF70" s="15"/>
      <c r="AG70" s="15"/>
      <c r="AH70" s="15"/>
      <c r="AI70" s="15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15">
        <v>2018</v>
      </c>
      <c r="AV70" s="55">
        <v>0.18639888634127214</v>
      </c>
      <c r="AW70" s="27">
        <v>0.47150558895753697</v>
      </c>
      <c r="AX70" s="27"/>
      <c r="AY70" s="27"/>
      <c r="AZ70" s="87">
        <v>0.20291100056964306</v>
      </c>
      <c r="BA70" s="87"/>
      <c r="BB70" s="41"/>
      <c r="BC70" s="41"/>
      <c r="BD70" s="41"/>
      <c r="BE70" s="41"/>
      <c r="BF70" s="41"/>
      <c r="BG70" s="286"/>
      <c r="BH70" s="41"/>
      <c r="BI70" s="41"/>
      <c r="BJ70" s="41"/>
      <c r="BO70" s="176"/>
      <c r="CD70" s="28"/>
      <c r="CI70" s="26"/>
    </row>
    <row r="71" spans="5:87" ht="21" x14ac:dyDescent="0.4">
      <c r="E71" s="33"/>
      <c r="F71" s="33"/>
      <c r="G71" s="98">
        <v>2016</v>
      </c>
      <c r="H71" s="11"/>
      <c r="I71" s="74">
        <v>73469.788829246812</v>
      </c>
      <c r="J71" s="74">
        <v>581.24832934530707</v>
      </c>
      <c r="K71" s="74">
        <v>11487.015952919062</v>
      </c>
      <c r="L71" s="73">
        <v>90.878290766764735</v>
      </c>
      <c r="M71" s="73"/>
      <c r="N71" s="49"/>
      <c r="O71" s="73"/>
      <c r="P71" s="74">
        <f t="shared" si="9"/>
        <v>84956.804782165869</v>
      </c>
      <c r="Q71" s="74">
        <f t="shared" si="10"/>
        <v>672.12662011207181</v>
      </c>
      <c r="R71" s="63">
        <f t="shared" si="11"/>
        <v>0.11925563043790485</v>
      </c>
      <c r="V71" s="15"/>
      <c r="W71" s="15"/>
      <c r="X71" s="15"/>
      <c r="Y71" s="15"/>
      <c r="Z71" s="15"/>
      <c r="AA71" s="15"/>
      <c r="AB71" s="15"/>
      <c r="AC71" s="15"/>
      <c r="AD71" s="27"/>
      <c r="AE71" s="15"/>
      <c r="AF71" s="15"/>
      <c r="AG71" s="15"/>
      <c r="AH71" s="15"/>
      <c r="AI71" s="15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15">
        <v>2019</v>
      </c>
      <c r="AV71" s="55">
        <v>0.19525094558842318</v>
      </c>
      <c r="AW71" s="27">
        <v>0.40641809125839728</v>
      </c>
      <c r="AX71" s="27"/>
      <c r="AY71" s="27"/>
      <c r="AZ71" s="87">
        <v>0.31294263037733383</v>
      </c>
      <c r="BA71" s="87"/>
      <c r="BB71" s="41"/>
      <c r="BC71" s="41"/>
      <c r="BD71" s="41"/>
      <c r="BE71" s="41"/>
      <c r="BF71" s="41"/>
      <c r="BG71" s="286"/>
      <c r="BH71" s="41"/>
      <c r="BI71" s="41"/>
      <c r="BJ71" s="41"/>
      <c r="BO71" s="176"/>
      <c r="CD71" s="28"/>
      <c r="CI71" s="26"/>
    </row>
    <row r="72" spans="5:87" ht="21" x14ac:dyDescent="0.4">
      <c r="E72" s="33"/>
      <c r="F72" s="33"/>
      <c r="G72" s="98">
        <v>2017</v>
      </c>
      <c r="H72" s="11"/>
      <c r="I72" s="74">
        <v>74726.142015534642</v>
      </c>
      <c r="J72" s="74">
        <v>577.0358456798042</v>
      </c>
      <c r="K72" s="74">
        <v>11882.023200725536</v>
      </c>
      <c r="L72" s="73">
        <v>91.753074909077498</v>
      </c>
      <c r="M72" s="73"/>
      <c r="N72" s="49"/>
      <c r="O72" s="73"/>
      <c r="P72" s="74">
        <f t="shared" si="9"/>
        <v>86608.165216260182</v>
      </c>
      <c r="Q72" s="74">
        <f t="shared" si="10"/>
        <v>668.78892058888164</v>
      </c>
      <c r="R72" s="63">
        <f t="shared" si="11"/>
        <v>-4.9782500314958069E-3</v>
      </c>
      <c r="V72" s="15"/>
      <c r="W72" s="15"/>
      <c r="X72" s="15"/>
      <c r="Y72" s="15"/>
      <c r="Z72" s="15"/>
      <c r="AA72" s="15"/>
      <c r="AB72" s="15"/>
      <c r="AC72" s="15"/>
      <c r="AD72" s="27"/>
      <c r="AE72" s="15"/>
      <c r="AF72" s="15"/>
      <c r="AG72" s="15"/>
      <c r="AH72" s="15"/>
      <c r="AI72" s="15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15">
        <v>2020</v>
      </c>
      <c r="AV72" s="55">
        <v>0.25665072467221206</v>
      </c>
      <c r="AW72" s="27">
        <v>0.34982022306412058</v>
      </c>
      <c r="AX72" s="27"/>
      <c r="AY72" s="27"/>
      <c r="AZ72" s="87">
        <v>0.4086223830364909</v>
      </c>
      <c r="BA72" s="87"/>
      <c r="BB72" s="41"/>
      <c r="BC72" s="41"/>
      <c r="BD72" s="41"/>
      <c r="BE72" s="41"/>
      <c r="BF72" s="41"/>
      <c r="BG72" s="286"/>
      <c r="BH72" s="41"/>
      <c r="BI72" s="41"/>
      <c r="BJ72" s="41"/>
      <c r="BO72" s="176"/>
      <c r="CD72" s="28"/>
      <c r="CI72" s="26"/>
    </row>
    <row r="73" spans="5:87" ht="21" x14ac:dyDescent="0.4">
      <c r="E73" s="33"/>
      <c r="F73" s="33"/>
      <c r="G73" s="98">
        <v>2018</v>
      </c>
      <c r="H73" s="11"/>
      <c r="I73" s="74">
        <v>182044.14521314992</v>
      </c>
      <c r="J73" s="74">
        <v>1366.184954695309</v>
      </c>
      <c r="K73" s="74">
        <v>38409.184834861066</v>
      </c>
      <c r="L73" s="73">
        <v>288.24904191265341</v>
      </c>
      <c r="M73" s="73"/>
      <c r="N73" s="49"/>
      <c r="O73" s="73"/>
      <c r="P73" s="74">
        <f t="shared" si="9"/>
        <v>220453.33004801098</v>
      </c>
      <c r="Q73" s="74">
        <f t="shared" si="10"/>
        <v>1654.4339966079624</v>
      </c>
      <c r="R73" s="63">
        <f t="shared" si="11"/>
        <v>0.90574573778178713</v>
      </c>
      <c r="V73" s="15"/>
      <c r="W73" s="15"/>
      <c r="X73" s="15"/>
      <c r="Y73" s="15"/>
      <c r="Z73" s="15"/>
      <c r="AA73" s="15"/>
      <c r="AB73" s="15"/>
      <c r="AC73" s="15"/>
      <c r="AD73" s="27"/>
      <c r="AE73" s="15"/>
      <c r="AF73" s="15"/>
      <c r="AG73" s="15"/>
      <c r="AH73" s="15"/>
      <c r="AI73" s="15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15">
        <v>2021</v>
      </c>
      <c r="AV73" s="55">
        <v>0</v>
      </c>
      <c r="AW73" s="27">
        <v>0.32406398217281557</v>
      </c>
      <c r="AX73" s="27"/>
      <c r="AY73" s="27"/>
      <c r="AZ73" s="87">
        <v>0.44604447491826399</v>
      </c>
      <c r="BA73" s="87"/>
      <c r="BB73" s="41"/>
      <c r="BC73" s="41"/>
      <c r="BD73" s="41"/>
      <c r="BE73" s="41"/>
      <c r="BF73" s="41"/>
      <c r="BG73" s="286"/>
      <c r="BH73" s="41"/>
      <c r="BI73" s="41"/>
      <c r="BJ73" s="41"/>
      <c r="BO73" s="176"/>
      <c r="CD73" s="28"/>
      <c r="CI73" s="26"/>
    </row>
    <row r="74" spans="5:87" ht="21" x14ac:dyDescent="0.4">
      <c r="E74" s="33"/>
      <c r="F74" s="33"/>
      <c r="G74" s="98">
        <v>2019</v>
      </c>
      <c r="H74" s="11"/>
      <c r="I74" s="74">
        <v>106975.1197434819</v>
      </c>
      <c r="J74" s="74">
        <v>781.69616180841729</v>
      </c>
      <c r="K74" s="74">
        <v>19236.025816726495</v>
      </c>
      <c r="L74" s="73">
        <v>140.5628484963573</v>
      </c>
      <c r="M74" s="73"/>
      <c r="N74" s="49"/>
      <c r="O74" s="73"/>
      <c r="P74" s="74">
        <f t="shared" si="9"/>
        <v>126211.1455602084</v>
      </c>
      <c r="Q74" s="74">
        <f t="shared" si="10"/>
        <v>922.25901030477462</v>
      </c>
      <c r="R74" s="63">
        <f t="shared" si="11"/>
        <v>-0.58438812696513687</v>
      </c>
      <c r="V74" s="15"/>
      <c r="W74" s="15"/>
      <c r="X74" s="15"/>
      <c r="Y74" s="15"/>
      <c r="Z74" s="15"/>
      <c r="AA74" s="15"/>
      <c r="AB74" s="15"/>
      <c r="AC74" s="15"/>
      <c r="AD74" s="27"/>
      <c r="AE74" s="15"/>
      <c r="AF74" s="15"/>
      <c r="AG74" s="15"/>
      <c r="AH74" s="15"/>
      <c r="AI74" s="15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15"/>
      <c r="AV74" s="55"/>
      <c r="AW74" s="27"/>
      <c r="AX74" s="27"/>
      <c r="AY74" s="27"/>
      <c r="AZ74" s="87"/>
      <c r="BA74" s="87"/>
      <c r="BB74" s="41"/>
      <c r="BC74" s="41"/>
      <c r="BD74" s="41"/>
      <c r="BE74" s="41"/>
      <c r="BF74" s="41"/>
      <c r="BG74" s="286"/>
      <c r="BH74" s="41"/>
      <c r="BI74" s="41"/>
      <c r="BJ74" s="41"/>
      <c r="BO74" s="176"/>
      <c r="CD74" s="28"/>
      <c r="CI74" s="26"/>
    </row>
    <row r="75" spans="5:87" ht="21" x14ac:dyDescent="0.4">
      <c r="E75" s="33"/>
      <c r="F75" s="33"/>
      <c r="G75" s="98">
        <v>2020</v>
      </c>
      <c r="H75" s="11"/>
      <c r="I75" s="74">
        <v>76508.145246526648</v>
      </c>
      <c r="J75" s="74">
        <v>544.7358152120089</v>
      </c>
      <c r="K75" s="74">
        <v>11301.535771974532</v>
      </c>
      <c r="L75" s="73">
        <v>80.46661283000735</v>
      </c>
      <c r="M75" s="73"/>
      <c r="N75" s="49"/>
      <c r="O75" s="73"/>
      <c r="P75" s="74">
        <f t="shared" si="9"/>
        <v>87809.681018501185</v>
      </c>
      <c r="Q75" s="74">
        <f t="shared" si="10"/>
        <v>625.20242804201621</v>
      </c>
      <c r="R75" s="63">
        <f t="shared" si="11"/>
        <v>-0.38875062418053535</v>
      </c>
      <c r="V75" s="15"/>
      <c r="W75" s="15"/>
      <c r="X75" s="15"/>
      <c r="Y75" s="15"/>
      <c r="Z75" s="15"/>
      <c r="AA75" s="15"/>
      <c r="AB75" s="15"/>
      <c r="AC75" s="15"/>
      <c r="AD75" s="27"/>
      <c r="AE75" s="15"/>
      <c r="AF75" s="15"/>
      <c r="AG75" s="15"/>
      <c r="AH75" s="15"/>
      <c r="AI75" s="15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15"/>
      <c r="AV75" s="55"/>
      <c r="AW75" s="27"/>
      <c r="AX75" s="27"/>
      <c r="AY75" s="27"/>
      <c r="AZ75" s="87"/>
      <c r="BA75" s="87"/>
      <c r="BB75" s="41"/>
      <c r="BC75" s="41"/>
      <c r="BD75" s="41"/>
      <c r="BE75" s="41"/>
      <c r="BF75" s="41"/>
      <c r="BG75" s="286"/>
      <c r="BH75" s="41"/>
      <c r="BI75" s="41"/>
      <c r="BJ75" s="41"/>
      <c r="BO75" s="176"/>
      <c r="CD75" s="28"/>
      <c r="CI75" s="26"/>
    </row>
    <row r="76" spans="5:87" ht="21" x14ac:dyDescent="0.4">
      <c r="E76" s="33"/>
      <c r="F76" s="33"/>
      <c r="G76" s="98">
        <v>2021</v>
      </c>
      <c r="H76" s="11"/>
      <c r="I76" s="74">
        <v>93296.329716244523</v>
      </c>
      <c r="J76" s="74">
        <v>641.32208088155699</v>
      </c>
      <c r="K76" s="74">
        <v>0</v>
      </c>
      <c r="L76" s="73">
        <v>0</v>
      </c>
      <c r="M76" s="73"/>
      <c r="N76" s="49"/>
      <c r="O76" s="73"/>
      <c r="P76" s="74">
        <f t="shared" si="9"/>
        <v>93296.329716244523</v>
      </c>
      <c r="Q76" s="74">
        <f t="shared" si="10"/>
        <v>641.32208088155699</v>
      </c>
      <c r="R76" s="63">
        <f t="shared" si="11"/>
        <v>2.5456314836395662E-2</v>
      </c>
      <c r="V76" s="57"/>
      <c r="W76" s="15"/>
      <c r="X76" s="15"/>
      <c r="Y76" s="15"/>
      <c r="Z76" s="15"/>
      <c r="AA76" s="15"/>
      <c r="AB76" s="15"/>
      <c r="AC76" s="15"/>
      <c r="AD76" s="27"/>
      <c r="AE76" s="15"/>
      <c r="AF76" s="15"/>
      <c r="AG76" s="15"/>
      <c r="AH76" s="15"/>
      <c r="AI76" s="15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15"/>
      <c r="AV76" s="55"/>
      <c r="AW76" s="27" t="s">
        <v>54</v>
      </c>
      <c r="AX76" s="27"/>
      <c r="AY76" s="27"/>
      <c r="AZ76" s="87" t="s">
        <v>55</v>
      </c>
      <c r="BA76" s="87"/>
      <c r="BB76" s="41"/>
      <c r="BC76" s="41"/>
      <c r="BD76" s="41"/>
      <c r="BE76" s="41"/>
      <c r="BF76" s="41"/>
      <c r="BG76" s="286"/>
      <c r="BH76" s="41"/>
      <c r="BI76" s="41"/>
      <c r="BJ76" s="41"/>
      <c r="BO76" s="176"/>
      <c r="CD76" s="28"/>
      <c r="CI76" s="26"/>
    </row>
    <row r="77" spans="5:87" ht="21" x14ac:dyDescent="0.4">
      <c r="E77" s="33"/>
      <c r="F77" s="33"/>
      <c r="G77" s="11"/>
      <c r="H77" s="11"/>
      <c r="K77" s="56"/>
      <c r="N77" s="30"/>
      <c r="P77" s="74"/>
      <c r="Q77" s="74"/>
      <c r="R77" s="63"/>
      <c r="V77" s="15"/>
      <c r="W77" s="15"/>
      <c r="X77" s="15"/>
      <c r="Y77" s="15"/>
      <c r="Z77" s="15"/>
      <c r="AA77" s="15"/>
      <c r="AB77" s="15"/>
      <c r="AC77" s="15"/>
      <c r="AD77" s="27"/>
      <c r="AE77" s="15"/>
      <c r="AF77" s="15"/>
      <c r="AG77" s="15"/>
      <c r="AH77" s="15"/>
      <c r="AI77" s="15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15">
        <v>2005</v>
      </c>
      <c r="AV77" s="55"/>
      <c r="AW77" s="27">
        <v>100</v>
      </c>
      <c r="AX77" s="27"/>
      <c r="AY77" s="27"/>
      <c r="AZ77" s="87"/>
      <c r="BA77" s="87"/>
      <c r="BB77" s="41"/>
      <c r="BC77" s="41"/>
      <c r="BD77" s="41"/>
      <c r="BE77" s="41"/>
      <c r="BF77" s="41"/>
      <c r="BG77" s="286"/>
      <c r="BH77" s="41"/>
      <c r="BI77" s="41"/>
      <c r="BJ77" s="41"/>
      <c r="BO77" s="176"/>
      <c r="CD77" s="28"/>
      <c r="CI77" s="26"/>
    </row>
    <row r="78" spans="5:87" ht="21" x14ac:dyDescent="0.4">
      <c r="E78" s="33"/>
      <c r="F78" s="33"/>
      <c r="G78" s="11"/>
      <c r="H78" s="11"/>
      <c r="K78" s="56"/>
      <c r="N78" s="30"/>
      <c r="Q78" s="56"/>
      <c r="R78" s="63"/>
      <c r="V78" s="15"/>
      <c r="W78" s="15"/>
      <c r="X78" s="15"/>
      <c r="Y78" s="15"/>
      <c r="Z78" s="15"/>
      <c r="AA78" s="15"/>
      <c r="AB78" s="15"/>
      <c r="AC78" s="15"/>
      <c r="AD78" s="27"/>
      <c r="AE78" s="15"/>
      <c r="AF78" s="15"/>
      <c r="AG78" s="15"/>
      <c r="AH78" s="15"/>
      <c r="AI78" s="15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15">
        <v>2006</v>
      </c>
      <c r="AV78" s="55"/>
      <c r="AW78" s="27">
        <v>98.505007710089444</v>
      </c>
      <c r="AX78" s="27"/>
      <c r="AY78" s="27"/>
      <c r="AZ78" s="87">
        <v>-1.5062799406002213E-2</v>
      </c>
      <c r="BA78" s="87"/>
      <c r="BB78" s="41"/>
      <c r="BC78" s="41"/>
      <c r="BD78" s="41"/>
      <c r="BE78" s="41"/>
      <c r="BF78" s="41"/>
      <c r="BG78" s="286"/>
      <c r="BH78" s="41"/>
      <c r="BI78" s="41"/>
      <c r="BJ78" s="41"/>
      <c r="BO78" s="176"/>
      <c r="CD78" s="28"/>
      <c r="CI78" s="26"/>
    </row>
    <row r="79" spans="5:87" ht="21" x14ac:dyDescent="0.4">
      <c r="E79" s="33"/>
      <c r="F79" s="33"/>
      <c r="H79" s="11"/>
      <c r="I79" s="11"/>
      <c r="N79" s="30"/>
      <c r="R79" s="63"/>
      <c r="V79" s="15"/>
      <c r="W79" s="15"/>
      <c r="X79" s="15"/>
      <c r="Y79" s="15"/>
      <c r="Z79" s="15"/>
      <c r="AA79" s="15"/>
      <c r="AB79" s="15"/>
      <c r="AC79" s="15"/>
      <c r="AD79" s="27"/>
      <c r="AE79" s="15"/>
      <c r="AF79" s="15"/>
      <c r="AG79" s="15"/>
      <c r="AH79" s="15"/>
      <c r="AI79" s="15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15">
        <v>2007</v>
      </c>
      <c r="AV79" s="55"/>
      <c r="AW79" s="27">
        <v>101.60941426314901</v>
      </c>
      <c r="AX79" s="27"/>
      <c r="AY79" s="27"/>
      <c r="AZ79" s="87">
        <v>3.1028804339977439E-2</v>
      </c>
      <c r="BA79" s="87"/>
      <c r="BB79" s="41"/>
      <c r="BC79" s="41"/>
      <c r="BD79" s="41"/>
      <c r="BE79" s="41"/>
      <c r="BF79" s="41"/>
      <c r="BG79" s="286"/>
      <c r="BH79" s="41"/>
      <c r="BI79" s="41"/>
      <c r="BJ79" s="41"/>
      <c r="BO79" s="176"/>
      <c r="CD79" s="28"/>
      <c r="CI79" s="26"/>
    </row>
    <row r="80" spans="5:87" ht="21" x14ac:dyDescent="0.4">
      <c r="E80" s="33"/>
      <c r="F80" s="33"/>
      <c r="G80" s="11"/>
      <c r="J80" s="56"/>
      <c r="N80" s="30"/>
      <c r="P80" s="56"/>
      <c r="R80" s="63"/>
      <c r="V80" s="15"/>
      <c r="W80" s="15"/>
      <c r="X80" s="15"/>
      <c r="Y80" s="15"/>
      <c r="Z80" s="15"/>
      <c r="AA80" s="15"/>
      <c r="AB80" s="15"/>
      <c r="AC80" s="15"/>
      <c r="AD80" s="27"/>
      <c r="AE80" s="15"/>
      <c r="AF80" s="15"/>
      <c r="AG80" s="15"/>
      <c r="AH80" s="15"/>
      <c r="AI80" s="15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15">
        <v>2008</v>
      </c>
      <c r="AV80" s="55"/>
      <c r="AW80" s="27">
        <v>112.18608020474647</v>
      </c>
      <c r="AX80" s="27"/>
      <c r="AY80" s="27"/>
      <c r="AZ80" s="87">
        <v>9.9022732123871804E-2</v>
      </c>
      <c r="BA80" s="87"/>
      <c r="BB80" s="41"/>
      <c r="BC80" s="41"/>
      <c r="BD80" s="41"/>
      <c r="BE80" s="41"/>
      <c r="BF80" s="41"/>
      <c r="BG80" s="286"/>
      <c r="BH80" s="41"/>
      <c r="BI80" s="41"/>
      <c r="BJ80" s="41"/>
      <c r="BO80" s="176"/>
      <c r="CD80" s="28"/>
      <c r="CI80" s="26"/>
    </row>
    <row r="81" spans="5:87" ht="42" x14ac:dyDescent="0.4">
      <c r="E81" s="33"/>
      <c r="F81" s="33"/>
      <c r="G81" s="11"/>
      <c r="H81" s="102"/>
      <c r="I81" s="115" t="s">
        <v>43</v>
      </c>
      <c r="J81" s="104"/>
      <c r="K81" s="115" t="s">
        <v>56</v>
      </c>
      <c r="N81" s="30"/>
      <c r="P81" s="104" t="s">
        <v>57</v>
      </c>
      <c r="R81" s="63"/>
      <c r="S81" s="27"/>
      <c r="T81" s="27"/>
      <c r="U81" s="27"/>
      <c r="V81" s="15"/>
      <c r="W81" s="15"/>
      <c r="X81" s="15"/>
      <c r="Y81" s="15"/>
      <c r="Z81" s="15"/>
      <c r="AA81" s="15"/>
      <c r="AB81" s="15"/>
      <c r="AC81" s="15"/>
      <c r="AD81" s="27"/>
      <c r="AE81" s="15"/>
      <c r="AF81" s="15"/>
      <c r="AG81" s="15"/>
      <c r="AH81" s="15"/>
      <c r="AI81" s="15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15">
        <v>2009</v>
      </c>
      <c r="AV81" s="55"/>
      <c r="AW81" s="27">
        <v>115.78508954211904</v>
      </c>
      <c r="AX81" s="27"/>
      <c r="AY81" s="27"/>
      <c r="AZ81" s="87">
        <v>3.1576873371869651E-2</v>
      </c>
      <c r="BA81" s="87"/>
      <c r="BB81" s="41"/>
      <c r="BC81" s="41"/>
      <c r="BD81" s="41"/>
      <c r="BE81" s="41"/>
      <c r="BF81" s="41"/>
      <c r="BG81" s="286"/>
      <c r="BH81" s="41"/>
      <c r="BI81" s="41"/>
      <c r="BJ81" s="41"/>
      <c r="BO81" s="176"/>
      <c r="CD81" s="28"/>
      <c r="CI81" s="26"/>
    </row>
    <row r="82" spans="5:87" ht="21" x14ac:dyDescent="0.4">
      <c r="E82" s="33"/>
      <c r="F82" s="33"/>
      <c r="G82" s="11"/>
      <c r="H82" s="105"/>
      <c r="I82" s="105" t="s">
        <v>42</v>
      </c>
      <c r="J82" s="105" t="s">
        <v>35</v>
      </c>
      <c r="K82" s="105" t="s">
        <v>42</v>
      </c>
      <c r="L82" s="105" t="s">
        <v>35</v>
      </c>
      <c r="M82" s="105"/>
      <c r="N82" s="123"/>
      <c r="O82" s="105"/>
      <c r="P82" s="105" t="s">
        <v>42</v>
      </c>
      <c r="Q82" s="105" t="s">
        <v>35</v>
      </c>
      <c r="R82" s="63"/>
      <c r="S82" s="27"/>
      <c r="T82" s="27"/>
      <c r="U82" s="27"/>
      <c r="V82" s="15"/>
      <c r="W82" s="15"/>
      <c r="X82" s="15"/>
      <c r="Y82" s="15"/>
      <c r="Z82" s="15"/>
      <c r="AA82" s="15"/>
      <c r="AB82" s="15"/>
      <c r="AC82" s="15"/>
      <c r="AD82" s="27"/>
      <c r="AE82" s="15"/>
      <c r="AF82" s="15"/>
      <c r="AG82" s="15"/>
      <c r="AH82" s="15"/>
      <c r="AI82" s="15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15">
        <v>2010</v>
      </c>
      <c r="AV82" s="55"/>
      <c r="AW82" s="27">
        <v>112.87395428333461</v>
      </c>
      <c r="AX82" s="27"/>
      <c r="AY82" s="27"/>
      <c r="AZ82" s="87">
        <v>-2.5464049101561029E-2</v>
      </c>
      <c r="BA82" s="87"/>
      <c r="BB82" s="41"/>
      <c r="BC82" s="41"/>
      <c r="BD82" s="41"/>
      <c r="BE82" s="41"/>
      <c r="BF82" s="41"/>
      <c r="BG82" s="286"/>
      <c r="BH82" s="41"/>
      <c r="BI82" s="41"/>
      <c r="BJ82" s="41"/>
      <c r="BO82" s="176"/>
      <c r="CD82" s="28"/>
      <c r="CI82" s="26"/>
    </row>
    <row r="83" spans="5:87" ht="21" x14ac:dyDescent="0.4">
      <c r="E83" s="33"/>
      <c r="F83" s="33"/>
      <c r="G83" s="98">
        <v>2005</v>
      </c>
      <c r="H83" s="74">
        <v>70170.144586995928</v>
      </c>
      <c r="I83" s="47">
        <v>70170.144586995928</v>
      </c>
      <c r="J83" s="47">
        <v>802.79776890862206</v>
      </c>
      <c r="K83" s="74">
        <v>11577.297330476054</v>
      </c>
      <c r="L83" s="74">
        <v>132.45274784028803</v>
      </c>
      <c r="M83" s="74"/>
      <c r="N83" s="51"/>
      <c r="O83" s="74"/>
      <c r="P83" s="74">
        <f t="shared" ref="P83:P99" si="12">+K83+I83</f>
        <v>81747.441917471981</v>
      </c>
      <c r="Q83" s="74">
        <f t="shared" ref="Q83:Q99" si="13">+J83+L83</f>
        <v>935.25051674891006</v>
      </c>
      <c r="R83" s="63"/>
      <c r="S83" s="61"/>
      <c r="T83" s="61"/>
      <c r="U83" s="61"/>
      <c r="V83" s="57"/>
      <c r="W83" s="15"/>
      <c r="X83" s="15"/>
      <c r="Y83" s="15"/>
      <c r="Z83" s="15"/>
      <c r="AA83" s="15"/>
      <c r="AB83" s="15"/>
      <c r="AC83" s="15"/>
      <c r="AD83" s="27"/>
      <c r="AE83" s="15"/>
      <c r="AF83" s="15"/>
      <c r="AG83" s="15"/>
      <c r="AH83" s="15"/>
      <c r="AI83" s="15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15">
        <v>2011</v>
      </c>
      <c r="AV83" s="55"/>
      <c r="AW83" s="27">
        <v>115.55720105814311</v>
      </c>
      <c r="AX83" s="27"/>
      <c r="AY83" s="27"/>
      <c r="AZ83" s="87">
        <v>2.3493907307803673E-2</v>
      </c>
      <c r="BA83" s="87"/>
      <c r="BB83" s="41"/>
      <c r="BC83" s="41"/>
      <c r="BD83" s="41"/>
      <c r="BE83" s="41"/>
      <c r="BF83" s="41"/>
      <c r="BG83" s="286"/>
      <c r="BH83" s="41"/>
      <c r="BI83" s="41"/>
      <c r="BJ83" s="41"/>
      <c r="BO83" s="176"/>
      <c r="CD83" s="28"/>
      <c r="CI83" s="26"/>
    </row>
    <row r="84" spans="5:87" ht="21" x14ac:dyDescent="0.4">
      <c r="E84" s="33"/>
      <c r="F84" s="33"/>
      <c r="G84" s="98">
        <v>2006</v>
      </c>
      <c r="H84" s="74">
        <v>68205.95866710681</v>
      </c>
      <c r="I84" s="47">
        <v>68205.95866710681</v>
      </c>
      <c r="J84" s="47">
        <v>757.22138094352215</v>
      </c>
      <c r="K84" s="74">
        <v>12761.68024974627</v>
      </c>
      <c r="L84" s="74">
        <v>141.67995481211304</v>
      </c>
      <c r="M84" s="74"/>
      <c r="N84" s="51"/>
      <c r="O84" s="74"/>
      <c r="P84" s="74">
        <f t="shared" si="12"/>
        <v>80967.638916853088</v>
      </c>
      <c r="Q84" s="74">
        <f t="shared" si="13"/>
        <v>898.90133575563516</v>
      </c>
      <c r="R84" s="63">
        <f t="shared" ref="R84:R99" si="14">LN(Q84/Q83)</f>
        <v>-3.9641146185613645E-2</v>
      </c>
      <c r="S84" s="56"/>
      <c r="T84" s="56"/>
      <c r="U84" s="56"/>
      <c r="V84" s="15"/>
      <c r="W84" s="15"/>
      <c r="X84" s="15"/>
      <c r="Y84" s="15"/>
      <c r="Z84" s="15"/>
      <c r="AA84" s="15"/>
      <c r="AB84" s="15"/>
      <c r="AC84" s="15"/>
      <c r="AD84" s="27"/>
      <c r="AE84" s="15"/>
      <c r="AF84" s="15"/>
      <c r="AG84" s="15"/>
      <c r="AH84" s="15"/>
      <c r="AI84" s="15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15">
        <v>2012</v>
      </c>
      <c r="AV84" s="55"/>
      <c r="AW84" s="27">
        <v>105.71665149280997</v>
      </c>
      <c r="AX84" s="27"/>
      <c r="AY84" s="27"/>
      <c r="AZ84" s="87">
        <v>-8.900323874551401E-2</v>
      </c>
      <c r="BA84" s="87"/>
      <c r="BB84" s="41"/>
      <c r="BC84" s="41"/>
      <c r="BD84" s="41"/>
      <c r="BE84" s="41"/>
      <c r="BF84" s="41"/>
      <c r="BG84" s="286"/>
      <c r="BH84" s="41"/>
      <c r="BI84" s="41"/>
      <c r="BJ84" s="41"/>
      <c r="BO84" s="176"/>
      <c r="CD84" s="28"/>
      <c r="CI84" s="26"/>
    </row>
    <row r="85" spans="5:87" ht="21" x14ac:dyDescent="0.4">
      <c r="E85" s="33"/>
      <c r="F85" s="33"/>
      <c r="G85" s="98">
        <v>2007</v>
      </c>
      <c r="H85" s="74">
        <v>74138.770930840226</v>
      </c>
      <c r="I85" s="47">
        <v>74138.770930840226</v>
      </c>
      <c r="J85" s="47">
        <v>801.5175563886811</v>
      </c>
      <c r="K85" s="74">
        <v>12540.988592581778</v>
      </c>
      <c r="L85" s="74">
        <v>135.5811865400525</v>
      </c>
      <c r="M85" s="74"/>
      <c r="N85" s="51"/>
      <c r="O85" s="74"/>
      <c r="P85" s="74">
        <f t="shared" si="12"/>
        <v>86679.759523422006</v>
      </c>
      <c r="Q85" s="74">
        <f t="shared" si="13"/>
        <v>937.0987429287336</v>
      </c>
      <c r="R85" s="63">
        <f t="shared" si="14"/>
        <v>4.1615379113122901E-2</v>
      </c>
      <c r="S85" s="56"/>
      <c r="T85" s="56"/>
      <c r="U85" s="56"/>
      <c r="V85" s="15"/>
      <c r="W85" s="15"/>
      <c r="X85" s="15"/>
      <c r="Y85" s="15"/>
      <c r="Z85" s="15"/>
      <c r="AA85" s="15"/>
      <c r="AB85" s="15"/>
      <c r="AC85" s="15"/>
      <c r="AD85" s="27"/>
      <c r="AE85" s="15"/>
      <c r="AF85" s="15"/>
      <c r="AG85" s="15"/>
      <c r="AH85" s="15"/>
      <c r="AI85" s="15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15">
        <v>2013</v>
      </c>
      <c r="AV85" s="55"/>
      <c r="AW85" s="27">
        <v>118.06882826946264</v>
      </c>
      <c r="AX85" s="27"/>
      <c r="AY85" s="27"/>
      <c r="AZ85" s="87">
        <v>0.11050532895856813</v>
      </c>
      <c r="BA85" s="87"/>
      <c r="BB85" s="41"/>
      <c r="BC85" s="41"/>
      <c r="BD85" s="41"/>
      <c r="BE85" s="41"/>
      <c r="BF85" s="41"/>
      <c r="BG85" s="286"/>
      <c r="BH85" s="41"/>
      <c r="BI85" s="41"/>
      <c r="BJ85" s="41"/>
      <c r="BO85" s="176"/>
      <c r="CD85" s="28"/>
      <c r="CI85" s="26"/>
    </row>
    <row r="86" spans="5:87" ht="21" x14ac:dyDescent="0.4">
      <c r="E86" s="33"/>
      <c r="F86" s="33"/>
      <c r="G86" s="98">
        <v>2008</v>
      </c>
      <c r="H86" s="74">
        <v>88435.182610678661</v>
      </c>
      <c r="I86" s="47">
        <v>88435.182610678661</v>
      </c>
      <c r="J86" s="47">
        <v>938.16496871211348</v>
      </c>
      <c r="K86" s="74">
        <v>14399.111840889582</v>
      </c>
      <c r="L86" s="74">
        <v>152.75303234415665</v>
      </c>
      <c r="M86" s="74"/>
      <c r="N86" s="51"/>
      <c r="O86" s="74"/>
      <c r="P86" s="74">
        <f t="shared" si="12"/>
        <v>102834.29445156825</v>
      </c>
      <c r="Q86" s="74">
        <f t="shared" si="13"/>
        <v>1090.9180010562702</v>
      </c>
      <c r="R86" s="63">
        <f t="shared" si="14"/>
        <v>0.15198616489281683</v>
      </c>
      <c r="S86" s="56"/>
      <c r="T86" s="56"/>
      <c r="U86" s="56"/>
      <c r="V86" s="15"/>
      <c r="W86" s="15"/>
      <c r="X86" s="15"/>
      <c r="Y86" s="15"/>
      <c r="Z86" s="15"/>
      <c r="AA86" s="15"/>
      <c r="AB86" s="15"/>
      <c r="AC86" s="15"/>
      <c r="AD86" s="27"/>
      <c r="AE86" s="15"/>
      <c r="AF86" s="15"/>
      <c r="AG86" s="15"/>
      <c r="AH86" s="15"/>
      <c r="AI86" s="15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15">
        <v>2014</v>
      </c>
      <c r="AV86" s="55"/>
      <c r="AW86" s="27">
        <v>118.96701131686267</v>
      </c>
      <c r="AX86" s="27"/>
      <c r="AY86" s="27"/>
      <c r="AZ86" s="87">
        <v>7.5784940183316971E-3</v>
      </c>
      <c r="BA86" s="87"/>
      <c r="BB86" s="41"/>
      <c r="BC86" s="41"/>
      <c r="BD86" s="41"/>
      <c r="BE86" s="41"/>
      <c r="BF86" s="41"/>
      <c r="BG86" s="286"/>
      <c r="BH86" s="41"/>
      <c r="BI86" s="41"/>
      <c r="BJ86" s="41"/>
      <c r="BO86" s="176"/>
      <c r="CD86" s="28"/>
      <c r="CI86" s="26"/>
    </row>
    <row r="87" spans="5:87" ht="21" x14ac:dyDescent="0.4">
      <c r="E87" s="33"/>
      <c r="F87" s="33"/>
      <c r="G87" s="98">
        <v>2009</v>
      </c>
      <c r="H87" s="74">
        <v>90967.869798057029</v>
      </c>
      <c r="I87" s="47">
        <v>90967.869798057029</v>
      </c>
      <c r="J87" s="47">
        <v>957.56660383853546</v>
      </c>
      <c r="K87" s="74">
        <v>16165.299557942539</v>
      </c>
      <c r="L87" s="74">
        <v>170.16283916612321</v>
      </c>
      <c r="M87" s="74"/>
      <c r="N87" s="51"/>
      <c r="O87" s="74"/>
      <c r="P87" s="74">
        <f t="shared" si="12"/>
        <v>107133.16935599956</v>
      </c>
      <c r="Q87" s="74">
        <f t="shared" si="13"/>
        <v>1127.7294430046586</v>
      </c>
      <c r="R87" s="63">
        <f t="shared" si="14"/>
        <v>3.318672422242485E-2</v>
      </c>
      <c r="S87" s="56"/>
      <c r="T87" s="56"/>
      <c r="U87" s="56"/>
      <c r="V87" s="15"/>
      <c r="W87" s="15"/>
      <c r="X87" s="15"/>
      <c r="Y87" s="15"/>
      <c r="Z87" s="15"/>
      <c r="AA87" s="15"/>
      <c r="AB87" s="15"/>
      <c r="AC87" s="15"/>
      <c r="AD87" s="27"/>
      <c r="AE87" s="15"/>
      <c r="AF87" s="15"/>
      <c r="AG87" s="15"/>
      <c r="AH87" s="15"/>
      <c r="AI87" s="15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15">
        <v>2015</v>
      </c>
      <c r="AV87" s="55"/>
      <c r="AW87" s="27">
        <v>113.34093711836077</v>
      </c>
      <c r="AX87" s="27"/>
      <c r="AY87" s="27"/>
      <c r="AZ87" s="87">
        <v>-4.8445819943091148E-2</v>
      </c>
      <c r="BA87" s="87"/>
      <c r="BB87" s="41"/>
      <c r="BC87" s="41"/>
      <c r="BD87" s="41"/>
      <c r="BE87" s="41"/>
      <c r="BF87" s="41"/>
      <c r="BG87" s="286"/>
      <c r="BH87" s="41"/>
      <c r="BI87" s="41"/>
      <c r="BJ87" s="41"/>
      <c r="BO87" s="176"/>
      <c r="CD87" s="28"/>
      <c r="CI87" s="26"/>
    </row>
    <row r="88" spans="5:87" ht="21" x14ac:dyDescent="0.4">
      <c r="E88" s="33"/>
      <c r="F88" s="33"/>
      <c r="G88" s="98">
        <v>2010</v>
      </c>
      <c r="H88" s="74">
        <v>87351.392263189264</v>
      </c>
      <c r="I88" s="47">
        <v>87351.392263189264</v>
      </c>
      <c r="J88" s="47">
        <v>908.87838041379337</v>
      </c>
      <c r="K88" s="74">
        <v>15584.001849541737</v>
      </c>
      <c r="L88" s="74">
        <v>162.14924564340217</v>
      </c>
      <c r="M88" s="74"/>
      <c r="N88" s="51"/>
      <c r="O88" s="74"/>
      <c r="P88" s="74">
        <f t="shared" si="12"/>
        <v>102935.394112731</v>
      </c>
      <c r="Q88" s="74">
        <f t="shared" si="13"/>
        <v>1071.0276260571954</v>
      </c>
      <c r="R88" s="63">
        <f t="shared" si="14"/>
        <v>-5.1587683042774161E-2</v>
      </c>
      <c r="S88" s="56"/>
      <c r="T88" s="56"/>
      <c r="U88" s="56"/>
      <c r="V88" s="15"/>
      <c r="W88" s="15"/>
      <c r="X88" s="15"/>
      <c r="Y88" s="15"/>
      <c r="Z88" s="15"/>
      <c r="AA88" s="15"/>
      <c r="AB88" s="15"/>
      <c r="AC88" s="15"/>
      <c r="AD88" s="27"/>
      <c r="AE88" s="15"/>
      <c r="AF88" s="15"/>
      <c r="AG88" s="15"/>
      <c r="AH88" s="15"/>
      <c r="AI88" s="15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15">
        <v>2016</v>
      </c>
      <c r="AV88" s="55"/>
      <c r="AW88" s="27">
        <v>122.86859653788703</v>
      </c>
      <c r="AX88" s="27"/>
      <c r="AY88" s="27"/>
      <c r="AZ88" s="87">
        <v>8.0715044568433217E-2</v>
      </c>
      <c r="BA88" s="87"/>
      <c r="BB88" s="11"/>
      <c r="BC88" s="11"/>
      <c r="BD88" s="11"/>
      <c r="BE88" s="11"/>
      <c r="BF88" s="11"/>
      <c r="BG88" s="286"/>
      <c r="BH88" s="11"/>
      <c r="BI88" s="11"/>
      <c r="BJ88" s="11"/>
      <c r="BO88" s="176"/>
      <c r="CD88" s="28"/>
      <c r="CI88" s="26"/>
    </row>
    <row r="89" spans="5:87" ht="21" x14ac:dyDescent="0.4">
      <c r="E89" s="33"/>
      <c r="F89" s="33"/>
      <c r="G89" s="98">
        <v>2011</v>
      </c>
      <c r="H89" s="74">
        <v>92295.286846997522</v>
      </c>
      <c r="I89" s="47">
        <v>92295.286846997522</v>
      </c>
      <c r="J89" s="47">
        <v>940.71354010719915</v>
      </c>
      <c r="K89" s="74">
        <v>15429.418491649474</v>
      </c>
      <c r="L89" s="74">
        <v>157.26331632878217</v>
      </c>
      <c r="M89" s="74"/>
      <c r="N89" s="51"/>
      <c r="O89" s="74"/>
      <c r="P89" s="74">
        <f t="shared" si="12"/>
        <v>107724.70533864699</v>
      </c>
      <c r="Q89" s="74">
        <f t="shared" si="13"/>
        <v>1097.9768564359813</v>
      </c>
      <c r="R89" s="63">
        <f t="shared" si="14"/>
        <v>2.4850679167199019E-2</v>
      </c>
      <c r="S89" s="56"/>
      <c r="T89" s="56"/>
      <c r="U89" s="56"/>
      <c r="V89" s="15"/>
      <c r="W89" s="15"/>
      <c r="X89" s="15"/>
      <c r="Y89" s="15"/>
      <c r="Z89" s="15"/>
      <c r="AA89" s="15"/>
      <c r="AB89" s="15"/>
      <c r="AC89" s="15"/>
      <c r="AD89" s="27"/>
      <c r="AE89" s="15"/>
      <c r="AF89" s="15"/>
      <c r="AG89" s="15"/>
      <c r="AH89" s="15"/>
      <c r="AI89" s="15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15">
        <v>2017</v>
      </c>
      <c r="AV89" s="55"/>
      <c r="AW89" s="27">
        <v>123.51924706489976</v>
      </c>
      <c r="AX89" s="27"/>
      <c r="AY89" s="27"/>
      <c r="AZ89" s="87">
        <v>5.2815271237715393E-3</v>
      </c>
      <c r="BA89" s="87"/>
      <c r="BB89" s="11"/>
      <c r="BC89" s="11"/>
      <c r="BD89" s="11"/>
      <c r="BE89" s="11"/>
      <c r="BF89" s="11"/>
      <c r="BG89" s="286"/>
      <c r="BH89" s="11"/>
      <c r="BI89" s="11"/>
      <c r="BJ89" s="11"/>
      <c r="BO89" s="176"/>
      <c r="CD89" s="28"/>
      <c r="CI89" s="26"/>
    </row>
    <row r="90" spans="5:87" ht="21" x14ac:dyDescent="0.4">
      <c r="E90" s="33"/>
      <c r="F90" s="33"/>
      <c r="G90" s="98">
        <v>2012</v>
      </c>
      <c r="H90" s="74">
        <v>80183.397422745067</v>
      </c>
      <c r="I90" s="47">
        <v>80183.397422745067</v>
      </c>
      <c r="J90" s="47">
        <v>801.83397422745065</v>
      </c>
      <c r="K90" s="74">
        <v>12141.726827309809</v>
      </c>
      <c r="L90" s="74">
        <v>121.41726827309809</v>
      </c>
      <c r="M90" s="74"/>
      <c r="N90" s="51"/>
      <c r="O90" s="74"/>
      <c r="P90" s="74">
        <f t="shared" si="12"/>
        <v>92325.124250054883</v>
      </c>
      <c r="Q90" s="74">
        <f t="shared" si="13"/>
        <v>923.25124250054876</v>
      </c>
      <c r="R90" s="63">
        <f t="shared" si="14"/>
        <v>-0.17332314439848345</v>
      </c>
      <c r="S90" s="56"/>
      <c r="T90" s="56"/>
      <c r="U90" s="56"/>
      <c r="V90" s="15"/>
      <c r="W90" s="15"/>
      <c r="X90" s="15"/>
      <c r="Y90" s="15"/>
      <c r="Z90" s="15"/>
      <c r="AA90" s="15"/>
      <c r="AB90" s="15"/>
      <c r="AC90" s="15"/>
      <c r="AD90" s="27"/>
      <c r="AE90" s="15"/>
      <c r="AF90" s="15"/>
      <c r="AG90" s="15"/>
      <c r="AH90" s="15"/>
      <c r="AI90" s="15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15">
        <v>2018</v>
      </c>
      <c r="AV90" s="55"/>
      <c r="AW90" s="27">
        <v>236.24828422187028</v>
      </c>
      <c r="AX90" s="27"/>
      <c r="AY90" s="27"/>
      <c r="AZ90" s="87">
        <v>0.64848631318999961</v>
      </c>
      <c r="BA90" s="87"/>
      <c r="BB90" s="11"/>
      <c r="BC90" s="11"/>
      <c r="BD90" s="11"/>
      <c r="BE90" s="11"/>
      <c r="BF90" s="11"/>
      <c r="BG90" s="286"/>
      <c r="BH90" s="11"/>
      <c r="BI90" s="11"/>
      <c r="BJ90" s="11"/>
      <c r="BO90" s="176"/>
      <c r="CD90" s="28"/>
      <c r="CI90" s="26"/>
    </row>
    <row r="91" spans="5:87" ht="21" x14ac:dyDescent="0.4">
      <c r="E91" s="33"/>
      <c r="F91" s="33"/>
      <c r="G91" s="98">
        <v>2013</v>
      </c>
      <c r="H91" s="74">
        <v>98514.087433504872</v>
      </c>
      <c r="I91" s="47">
        <v>98514.087433504872</v>
      </c>
      <c r="J91" s="47">
        <v>967.9786135173855</v>
      </c>
      <c r="K91" s="74">
        <v>15148.767230313842</v>
      </c>
      <c r="L91" s="74">
        <v>148.84858685814353</v>
      </c>
      <c r="M91" s="74"/>
      <c r="N91" s="51"/>
      <c r="O91" s="74"/>
      <c r="P91" s="74">
        <f t="shared" si="12"/>
        <v>113662.85466381871</v>
      </c>
      <c r="Q91" s="74">
        <f t="shared" si="13"/>
        <v>1116.8272003755289</v>
      </c>
      <c r="R91" s="63">
        <f t="shared" si="14"/>
        <v>0.19034568782693581</v>
      </c>
      <c r="S91" s="56"/>
      <c r="T91" s="56"/>
      <c r="U91" s="56"/>
      <c r="V91" s="15"/>
      <c r="W91" s="15"/>
      <c r="X91" s="15"/>
      <c r="Y91" s="15"/>
      <c r="Z91" s="15"/>
      <c r="AA91" s="15"/>
      <c r="AB91" s="15"/>
      <c r="AC91" s="15"/>
      <c r="AD91" s="27"/>
      <c r="AE91" s="15"/>
      <c r="AF91" s="15"/>
      <c r="AG91" s="15"/>
      <c r="AH91" s="15"/>
      <c r="AI91" s="15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15">
        <v>2019</v>
      </c>
      <c r="AV91" s="55"/>
      <c r="AW91" s="27">
        <v>154.43602806555742</v>
      </c>
      <c r="AX91" s="27"/>
      <c r="AY91" s="27"/>
      <c r="AZ91" s="87">
        <v>-0.42510335103046915</v>
      </c>
      <c r="BA91" s="87"/>
      <c r="BB91" s="11"/>
      <c r="BC91" s="11"/>
      <c r="BD91" s="11"/>
      <c r="BE91" s="11"/>
      <c r="BF91" s="11"/>
      <c r="BG91" s="286"/>
      <c r="BH91" s="11"/>
      <c r="BI91" s="11"/>
      <c r="BJ91" s="11"/>
      <c r="BO91" s="176"/>
      <c r="CD91" s="29"/>
      <c r="CI91" s="26"/>
    </row>
    <row r="92" spans="5:87" ht="21" x14ac:dyDescent="0.4">
      <c r="E92" s="33"/>
      <c r="F92" s="33"/>
      <c r="G92" s="98">
        <v>2014</v>
      </c>
      <c r="H92" s="74">
        <v>100350.79939413707</v>
      </c>
      <c r="I92" s="47">
        <v>100350.79939413707</v>
      </c>
      <c r="J92" s="47">
        <v>968.19781946546505</v>
      </c>
      <c r="K92" s="74">
        <v>15661.281733493423</v>
      </c>
      <c r="L92" s="74">
        <v>151.10212291232185</v>
      </c>
      <c r="M92" s="74"/>
      <c r="N92" s="51"/>
      <c r="O92" s="74"/>
      <c r="P92" s="74">
        <f t="shared" si="12"/>
        <v>116012.08112763049</v>
      </c>
      <c r="Q92" s="74">
        <f t="shared" si="13"/>
        <v>1119.2999423777869</v>
      </c>
      <c r="R92" s="63">
        <f t="shared" si="14"/>
        <v>2.2116300660122443E-3</v>
      </c>
      <c r="S92" s="56"/>
      <c r="T92" s="56"/>
      <c r="U92" s="56"/>
      <c r="V92" s="15"/>
      <c r="W92" s="15"/>
      <c r="X92" s="15"/>
      <c r="Y92" s="15"/>
      <c r="Z92" s="15"/>
      <c r="AA92" s="15"/>
      <c r="AB92" s="15"/>
      <c r="AC92" s="15"/>
      <c r="AD92" s="27"/>
      <c r="AE92" s="15"/>
      <c r="AF92" s="15"/>
      <c r="AG92" s="15"/>
      <c r="AH92" s="15"/>
      <c r="AI92" s="15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15">
        <v>2020</v>
      </c>
      <c r="AV92" s="55"/>
      <c r="AW92" s="27">
        <v>121.93784451427952</v>
      </c>
      <c r="AX92" s="27"/>
      <c r="AY92" s="27"/>
      <c r="AZ92" s="87">
        <v>-0.23626850904979946</v>
      </c>
      <c r="BA92" s="87"/>
      <c r="BB92" s="11"/>
      <c r="BC92" s="11"/>
      <c r="BD92" s="11"/>
      <c r="BE92" s="11"/>
      <c r="BF92" s="11"/>
      <c r="BG92" s="286"/>
      <c r="BH92" s="11"/>
      <c r="BI92" s="11"/>
      <c r="BJ92" s="11"/>
      <c r="BO92" s="176"/>
      <c r="CD92" s="28"/>
      <c r="CI92" s="26"/>
    </row>
    <row r="93" spans="5:87" ht="21" x14ac:dyDescent="0.4">
      <c r="E93" s="33"/>
      <c r="F93" s="33"/>
      <c r="G93" s="98">
        <v>2015</v>
      </c>
      <c r="H93" s="74">
        <v>91352.973244997411</v>
      </c>
      <c r="I93" s="47">
        <v>91352.973244997411</v>
      </c>
      <c r="J93" s="47">
        <v>873.02987648006399</v>
      </c>
      <c r="K93" s="74">
        <v>15559.608870159738</v>
      </c>
      <c r="L93" s="74">
        <v>148.69798899224705</v>
      </c>
      <c r="M93" s="74"/>
      <c r="N93" s="51"/>
      <c r="O93" s="74"/>
      <c r="P93" s="74">
        <f t="shared" si="12"/>
        <v>106912.58211515714</v>
      </c>
      <c r="Q93" s="74">
        <f t="shared" si="13"/>
        <v>1021.727865472311</v>
      </c>
      <c r="R93" s="63">
        <f t="shared" si="14"/>
        <v>-9.1208258554737839E-2</v>
      </c>
      <c r="S93" s="56"/>
      <c r="T93" s="56"/>
      <c r="U93" s="56"/>
      <c r="V93" s="15"/>
      <c r="W93" s="15"/>
      <c r="X93" s="15"/>
      <c r="Y93" s="15"/>
      <c r="Z93" s="15"/>
      <c r="AA93" s="15"/>
      <c r="AB93" s="15"/>
      <c r="AC93" s="15"/>
      <c r="AD93" s="27"/>
      <c r="AE93" s="15"/>
      <c r="AF93" s="15"/>
      <c r="AG93" s="15"/>
      <c r="AH93" s="15"/>
      <c r="AI93" s="15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15">
        <v>2021</v>
      </c>
      <c r="AV93" s="55"/>
      <c r="AW93" s="27">
        <v>123.40677297258466</v>
      </c>
      <c r="AX93" s="27"/>
      <c r="AY93" s="27"/>
      <c r="AZ93" s="87">
        <v>1.1974552576452809E-2</v>
      </c>
      <c r="BA93" s="87"/>
      <c r="BB93" s="11"/>
      <c r="BC93" s="11"/>
      <c r="BD93" s="11"/>
      <c r="BE93" s="11"/>
      <c r="BF93" s="11"/>
      <c r="BG93" s="286"/>
      <c r="BH93" s="11"/>
      <c r="BI93" s="11"/>
      <c r="BJ93" s="11"/>
      <c r="BO93" s="176"/>
      <c r="CD93" s="28"/>
      <c r="CI93" s="26"/>
    </row>
    <row r="94" spans="5:87" ht="21" x14ac:dyDescent="0.4">
      <c r="E94" s="33"/>
      <c r="F94" s="33"/>
      <c r="G94" s="98">
        <v>2016</v>
      </c>
      <c r="H94" s="74">
        <v>106397.97648846057</v>
      </c>
      <c r="I94" s="47">
        <v>106397.97648846057</v>
      </c>
      <c r="J94" s="47">
        <v>1006.2606537835795</v>
      </c>
      <c r="K94" s="74">
        <v>16635.344578460565</v>
      </c>
      <c r="L94" s="74">
        <v>157.32905139650228</v>
      </c>
      <c r="M94" s="74"/>
      <c r="N94" s="51"/>
      <c r="O94" s="74"/>
      <c r="P94" s="74">
        <f t="shared" si="12"/>
        <v>123033.32106692114</v>
      </c>
      <c r="Q94" s="74">
        <f t="shared" si="13"/>
        <v>1163.5897051800819</v>
      </c>
      <c r="R94" s="63">
        <f t="shared" si="14"/>
        <v>0.13001462033465735</v>
      </c>
      <c r="S94" s="56"/>
      <c r="T94" s="56"/>
      <c r="U94" s="56"/>
      <c r="V94" s="15"/>
      <c r="W94" s="15"/>
      <c r="X94" s="15"/>
      <c r="Y94" s="15"/>
      <c r="Z94" s="15"/>
      <c r="AA94" s="15"/>
      <c r="AB94" s="15"/>
      <c r="AC94" s="15"/>
      <c r="AD94" s="27"/>
      <c r="AE94" s="15"/>
      <c r="AF94" s="15"/>
      <c r="AG94" s="15"/>
      <c r="AH94" s="15"/>
      <c r="AI94" s="15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15"/>
      <c r="AV94" s="55"/>
      <c r="AW94" s="27"/>
      <c r="AX94" s="27"/>
      <c r="AY94" s="27"/>
      <c r="AZ94" s="87"/>
      <c r="BA94" s="87"/>
      <c r="BB94" s="11"/>
      <c r="BC94" s="11"/>
      <c r="BD94" s="11"/>
      <c r="BE94" s="11"/>
      <c r="BF94" s="11"/>
      <c r="BG94" s="286"/>
      <c r="BH94" s="11"/>
      <c r="BI94" s="11"/>
      <c r="BJ94" s="11"/>
      <c r="BO94" s="176"/>
      <c r="CD94" s="28"/>
      <c r="CI94" s="26"/>
    </row>
    <row r="95" spans="5:87" ht="21" x14ac:dyDescent="0.4">
      <c r="E95" s="33"/>
      <c r="F95" s="33"/>
      <c r="G95" s="98">
        <v>2017</v>
      </c>
      <c r="H95" s="74">
        <v>108217.41055661241</v>
      </c>
      <c r="I95" s="47">
        <v>108217.41055661241</v>
      </c>
      <c r="J95" s="47">
        <v>1004.3285960836781</v>
      </c>
      <c r="K95" s="74">
        <v>17207.388850461444</v>
      </c>
      <c r="L95" s="74">
        <v>159.69586222365865</v>
      </c>
      <c r="M95" s="74"/>
      <c r="N95" s="51"/>
      <c r="O95" s="74"/>
      <c r="P95" s="74">
        <f t="shared" si="12"/>
        <v>125424.79940707385</v>
      </c>
      <c r="Q95" s="74">
        <f t="shared" si="13"/>
        <v>1164.0244583073368</v>
      </c>
      <c r="R95" s="63">
        <f t="shared" si="14"/>
        <v>3.7356116759415986E-4</v>
      </c>
      <c r="S95" s="56"/>
      <c r="T95" s="56"/>
      <c r="U95" s="56"/>
      <c r="V95" s="15"/>
      <c r="W95" s="15"/>
      <c r="X95" s="15"/>
      <c r="Y95" s="15"/>
      <c r="Z95" s="15"/>
      <c r="AA95" s="15"/>
      <c r="AB95" s="15"/>
      <c r="AC95" s="15"/>
      <c r="AD95" s="27"/>
      <c r="AE95" s="15"/>
      <c r="AF95" s="15"/>
      <c r="AG95" s="15"/>
      <c r="AH95" s="15"/>
      <c r="AI95" s="15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15"/>
      <c r="AV95" s="55"/>
      <c r="AW95" s="27"/>
      <c r="AX95" s="27"/>
      <c r="AY95" s="27"/>
      <c r="AZ95" s="87"/>
      <c r="BA95" s="87"/>
      <c r="BB95" s="11"/>
      <c r="BC95" s="11"/>
      <c r="BD95" s="11"/>
      <c r="BE95" s="11"/>
      <c r="BF95" s="11"/>
      <c r="BG95" s="286"/>
      <c r="BH95" s="11"/>
      <c r="BI95" s="11"/>
      <c r="BJ95" s="11"/>
      <c r="BO95" s="176"/>
      <c r="CD95" s="28"/>
      <c r="CI95" s="26"/>
    </row>
    <row r="96" spans="5:87" ht="21" x14ac:dyDescent="0.4">
      <c r="E96" s="33"/>
      <c r="F96" s="33"/>
      <c r="G96" s="98">
        <v>2018</v>
      </c>
      <c r="H96" s="74">
        <v>263633.92342486454</v>
      </c>
      <c r="I96" s="47">
        <v>263633.92342486454</v>
      </c>
      <c r="J96" s="47">
        <v>2389.6767954248885</v>
      </c>
      <c r="K96" s="74">
        <v>55623.673487049251</v>
      </c>
      <c r="L96" s="74">
        <v>504.19384607829124</v>
      </c>
      <c r="M96" s="74"/>
      <c r="N96" s="51"/>
      <c r="O96" s="74"/>
      <c r="P96" s="74">
        <f t="shared" si="12"/>
        <v>319257.59691191377</v>
      </c>
      <c r="Q96" s="74">
        <f t="shared" si="13"/>
        <v>2893.8706415031797</v>
      </c>
      <c r="R96" s="63">
        <f t="shared" si="14"/>
        <v>0.91071156697163991</v>
      </c>
      <c r="S96" s="56"/>
      <c r="T96" s="56"/>
      <c r="U96" s="56"/>
      <c r="V96" s="15"/>
      <c r="W96" s="15"/>
      <c r="X96" s="15"/>
      <c r="Y96" s="15"/>
      <c r="Z96" s="15"/>
      <c r="AA96" s="15"/>
      <c r="AB96" s="15"/>
      <c r="AC96" s="15"/>
      <c r="AD96" s="27"/>
      <c r="AE96" s="15"/>
      <c r="AF96" s="15"/>
      <c r="AG96" s="15"/>
      <c r="AH96" s="15"/>
      <c r="AI96" s="15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15"/>
      <c r="AV96" s="55"/>
      <c r="AW96" s="27"/>
      <c r="AX96" s="27"/>
      <c r="AY96" s="27"/>
      <c r="AZ96" s="87"/>
      <c r="BA96" s="87"/>
      <c r="BB96" s="11"/>
      <c r="BC96" s="11"/>
      <c r="BD96" s="11"/>
      <c r="BE96" s="11"/>
      <c r="BF96" s="11"/>
      <c r="BG96" s="286"/>
      <c r="BH96" s="11"/>
      <c r="BI96" s="11"/>
      <c r="BJ96" s="11"/>
      <c r="BO96" s="176"/>
      <c r="CD96" s="28"/>
      <c r="CI96" s="26"/>
    </row>
    <row r="97" spans="5:87" ht="21" x14ac:dyDescent="0.4">
      <c r="E97" s="33"/>
      <c r="F97" s="33"/>
      <c r="G97" s="98">
        <v>2019</v>
      </c>
      <c r="H97" s="74">
        <v>154919.95358487166</v>
      </c>
      <c r="I97" s="47">
        <v>154919.95358487166</v>
      </c>
      <c r="J97" s="47">
        <v>1379.2976511767629</v>
      </c>
      <c r="K97" s="74">
        <v>27857.358176654332</v>
      </c>
      <c r="L97" s="74">
        <v>248.02220638414443</v>
      </c>
      <c r="M97" s="74"/>
      <c r="N97" s="51"/>
      <c r="O97" s="74"/>
      <c r="P97" s="74">
        <f t="shared" si="12"/>
        <v>182777.31176152598</v>
      </c>
      <c r="Q97" s="74">
        <f t="shared" si="13"/>
        <v>1627.3198575609074</v>
      </c>
      <c r="R97" s="63">
        <f t="shared" si="14"/>
        <v>-0.57566052597580453</v>
      </c>
      <c r="S97" s="56"/>
      <c r="T97" s="56"/>
      <c r="U97" s="56"/>
      <c r="V97" s="15"/>
      <c r="W97" s="15"/>
      <c r="X97" s="15"/>
      <c r="Y97" s="15"/>
      <c r="Z97" s="15"/>
      <c r="AA97" s="15"/>
      <c r="AB97" s="15"/>
      <c r="AC97" s="15"/>
      <c r="AD97" s="27"/>
      <c r="AE97" s="15"/>
      <c r="AF97" s="15"/>
      <c r="AG97" s="15"/>
      <c r="AH97" s="15"/>
      <c r="AI97" s="15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15"/>
      <c r="AV97" s="55"/>
      <c r="AW97" s="27"/>
      <c r="AX97" s="27"/>
      <c r="AY97" s="27"/>
      <c r="AZ97" s="87"/>
      <c r="BA97" s="87"/>
      <c r="BB97" s="11"/>
      <c r="BC97" s="11"/>
      <c r="BD97" s="11"/>
      <c r="BE97" s="11"/>
      <c r="BF97" s="11"/>
      <c r="BG97" s="286"/>
      <c r="BH97" s="11"/>
      <c r="BI97" s="11"/>
      <c r="BJ97" s="11"/>
      <c r="BO97" s="176"/>
      <c r="CD97" s="28"/>
      <c r="CI97" s="26"/>
    </row>
    <row r="98" spans="5:87" ht="21" x14ac:dyDescent="0.4">
      <c r="E98" s="33"/>
      <c r="F98" s="33"/>
      <c r="G98" s="98">
        <v>2020</v>
      </c>
      <c r="H98" s="74">
        <v>110798.08406738167</v>
      </c>
      <c r="I98" s="47">
        <v>110798.08406738167</v>
      </c>
      <c r="J98" s="47">
        <v>975.13781600012032</v>
      </c>
      <c r="K98" s="74">
        <v>16366.734633533715</v>
      </c>
      <c r="L98" s="74">
        <v>144.04420437353102</v>
      </c>
      <c r="M98" s="74"/>
      <c r="N98" s="51"/>
      <c r="O98" s="74"/>
      <c r="P98" s="74">
        <f t="shared" si="12"/>
        <v>127164.81870091539</v>
      </c>
      <c r="Q98" s="74">
        <f t="shared" si="13"/>
        <v>1119.1820203736513</v>
      </c>
      <c r="R98" s="63">
        <f t="shared" si="14"/>
        <v>-0.37433632284836338</v>
      </c>
      <c r="S98" s="56"/>
      <c r="T98" s="56"/>
      <c r="U98" s="56"/>
      <c r="V98" s="15"/>
      <c r="W98" s="15"/>
      <c r="X98" s="15"/>
      <c r="Y98" s="15"/>
      <c r="Z98" s="15"/>
      <c r="AA98" s="15"/>
      <c r="AB98" s="15"/>
      <c r="AC98" s="15"/>
      <c r="AD98" s="27"/>
      <c r="AE98" s="15"/>
      <c r="AF98" s="15"/>
      <c r="AG98" s="15"/>
      <c r="AH98" s="15"/>
      <c r="AI98" s="15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15"/>
      <c r="AV98" s="55"/>
      <c r="AW98" s="27"/>
      <c r="AX98" s="27"/>
      <c r="AY98" s="27"/>
      <c r="AZ98" s="87"/>
      <c r="BA98" s="87"/>
      <c r="BB98" s="11"/>
      <c r="BC98" s="11"/>
      <c r="BD98" s="11"/>
      <c r="BE98" s="11"/>
      <c r="BF98" s="11"/>
      <c r="BG98" s="286"/>
      <c r="BH98" s="11"/>
      <c r="BI98" s="11"/>
      <c r="BJ98" s="11"/>
      <c r="BO98" s="176"/>
      <c r="CD98" s="28"/>
      <c r="CI98" s="26"/>
    </row>
    <row r="99" spans="5:87" ht="21" x14ac:dyDescent="0.4">
      <c r="E99" s="33"/>
      <c r="F99" s="33"/>
      <c r="G99" s="98">
        <v>2021</v>
      </c>
      <c r="H99" s="74">
        <v>131514.10333494714</v>
      </c>
      <c r="I99" s="75">
        <v>131514.10333494714</v>
      </c>
      <c r="J99" s="88">
        <v>1109.9173207439205</v>
      </c>
      <c r="K99" s="74">
        <v>0</v>
      </c>
      <c r="L99" s="74">
        <v>0</v>
      </c>
      <c r="M99" s="74"/>
      <c r="N99" s="51"/>
      <c r="O99" s="74"/>
      <c r="P99" s="74">
        <f t="shared" si="12"/>
        <v>131514.10333494714</v>
      </c>
      <c r="Q99" s="74">
        <f t="shared" si="13"/>
        <v>1109.9173207439205</v>
      </c>
      <c r="R99" s="63">
        <f t="shared" si="14"/>
        <v>-8.3125527937406973E-3</v>
      </c>
      <c r="S99" s="56"/>
      <c r="T99" s="56"/>
      <c r="U99" s="56"/>
      <c r="V99" s="15"/>
      <c r="W99" s="15"/>
      <c r="X99" s="15"/>
      <c r="Y99" s="15"/>
      <c r="Z99" s="15"/>
      <c r="AA99" s="15"/>
      <c r="AB99" s="15"/>
      <c r="AC99" s="15"/>
      <c r="AD99" s="27"/>
      <c r="AE99" s="15"/>
      <c r="AF99" s="15"/>
      <c r="AG99" s="15"/>
      <c r="AH99" s="15"/>
      <c r="AI99" s="15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15"/>
      <c r="AV99" s="55"/>
      <c r="AW99" s="27"/>
      <c r="AX99" s="27"/>
      <c r="AY99" s="27"/>
      <c r="AZ99" s="87"/>
      <c r="BA99" s="87"/>
      <c r="BB99" s="11"/>
      <c r="BC99" s="11"/>
      <c r="BD99" s="11"/>
      <c r="BE99" s="11"/>
      <c r="BF99" s="11"/>
      <c r="BG99" s="286"/>
      <c r="BH99" s="11"/>
      <c r="BI99" s="11"/>
      <c r="BJ99" s="11"/>
      <c r="BO99" s="176"/>
      <c r="CD99" s="28"/>
      <c r="CI99" s="26"/>
    </row>
    <row r="100" spans="5:87" ht="21" x14ac:dyDescent="0.4">
      <c r="E100" s="33"/>
      <c r="F100" s="33"/>
      <c r="G100" s="11"/>
      <c r="J100" s="56"/>
      <c r="K100" s="87"/>
      <c r="L100" s="87"/>
      <c r="M100" s="87"/>
      <c r="N100" s="30"/>
      <c r="O100" s="87"/>
      <c r="R100" s="63"/>
      <c r="S100" s="74"/>
      <c r="T100" s="74"/>
      <c r="U100" s="74"/>
      <c r="V100" s="15"/>
      <c r="W100" s="15"/>
      <c r="X100" s="15"/>
      <c r="Y100" s="15"/>
      <c r="Z100" s="15"/>
      <c r="AA100" s="15"/>
      <c r="AB100" s="15"/>
      <c r="AC100" s="15"/>
      <c r="AD100" s="27"/>
      <c r="AE100" s="15"/>
      <c r="AF100" s="15"/>
      <c r="AG100" s="15"/>
      <c r="AH100" s="15"/>
      <c r="AI100" s="15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15"/>
      <c r="AV100" s="55"/>
      <c r="AW100" s="27"/>
      <c r="AX100" s="27"/>
      <c r="AY100" s="27"/>
      <c r="AZ100" s="87"/>
      <c r="BA100" s="87"/>
      <c r="BB100" s="11"/>
      <c r="BC100" s="11"/>
      <c r="BD100" s="11"/>
      <c r="BE100" s="11"/>
      <c r="BF100" s="11"/>
      <c r="BG100" s="286"/>
      <c r="BH100" s="11"/>
      <c r="BI100" s="11"/>
      <c r="BJ100" s="11"/>
      <c r="BO100" s="176"/>
      <c r="CD100" s="28"/>
      <c r="CI100" s="26"/>
    </row>
    <row r="101" spans="5:87" ht="21" x14ac:dyDescent="0.4">
      <c r="E101" s="33"/>
      <c r="F101" s="33"/>
      <c r="G101" s="11"/>
      <c r="J101" s="56"/>
      <c r="N101" s="30"/>
      <c r="P101" s="56"/>
      <c r="R101" s="63"/>
      <c r="V101" s="15"/>
      <c r="W101" s="15"/>
      <c r="X101" s="15"/>
      <c r="Y101" s="15"/>
      <c r="Z101" s="15"/>
      <c r="AA101" s="15"/>
      <c r="AB101" s="15"/>
      <c r="AC101" s="15"/>
      <c r="AD101" s="27"/>
      <c r="AE101" s="15"/>
      <c r="AF101" s="15"/>
      <c r="AG101" s="15"/>
      <c r="AH101" s="15"/>
      <c r="AI101" s="15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15"/>
      <c r="AV101" s="55"/>
      <c r="AW101" s="27"/>
      <c r="AX101" s="27"/>
      <c r="AY101" s="27"/>
      <c r="AZ101" s="87"/>
      <c r="BA101" s="87"/>
      <c r="BB101" s="11"/>
      <c r="BC101" s="11"/>
      <c r="BD101" s="11"/>
      <c r="BE101" s="11"/>
      <c r="BF101" s="11"/>
      <c r="BG101" s="286"/>
      <c r="BH101" s="11"/>
      <c r="BI101" s="11"/>
      <c r="BJ101" s="11"/>
      <c r="BO101" s="176"/>
      <c r="CD101" s="28"/>
      <c r="CI101" s="26"/>
    </row>
    <row r="102" spans="5:87" ht="21" x14ac:dyDescent="0.4">
      <c r="E102" s="33"/>
      <c r="F102" s="33"/>
      <c r="G102" s="11"/>
      <c r="J102" s="56"/>
      <c r="N102" s="30"/>
      <c r="R102" s="63"/>
      <c r="V102" s="15"/>
      <c r="W102" s="15"/>
      <c r="X102" s="15"/>
      <c r="Y102" s="15"/>
      <c r="Z102" s="15"/>
      <c r="AA102" s="15"/>
      <c r="AB102" s="15"/>
      <c r="AC102" s="15"/>
      <c r="AD102" s="27"/>
      <c r="AE102" s="15"/>
      <c r="AF102" s="15"/>
      <c r="AG102" s="15"/>
      <c r="AH102" s="15"/>
      <c r="AI102" s="15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15"/>
      <c r="AV102" s="55"/>
      <c r="AW102" s="27"/>
      <c r="AX102" s="27"/>
      <c r="AY102" s="27"/>
      <c r="AZ102" s="87"/>
      <c r="BA102" s="87"/>
      <c r="BB102" s="11"/>
      <c r="BC102" s="11"/>
      <c r="BD102" s="11"/>
      <c r="BE102" s="11"/>
      <c r="BF102" s="11"/>
      <c r="BG102" s="286"/>
      <c r="BH102" s="11"/>
      <c r="BI102" s="11"/>
      <c r="BJ102" s="11"/>
      <c r="BO102" s="176"/>
      <c r="CD102" s="28"/>
      <c r="CI102" s="26"/>
    </row>
    <row r="103" spans="5:87" ht="21" x14ac:dyDescent="0.4">
      <c r="E103" s="33"/>
      <c r="F103" s="33"/>
      <c r="G103" s="11"/>
      <c r="K103" s="124"/>
      <c r="N103" s="30"/>
      <c r="R103" s="63"/>
      <c r="V103" s="63"/>
      <c r="W103" s="62"/>
      <c r="X103" s="15"/>
      <c r="Y103" s="15"/>
      <c r="Z103" s="15"/>
      <c r="AA103" s="15"/>
      <c r="AB103" s="15"/>
      <c r="AC103" s="15"/>
      <c r="AD103" s="27"/>
      <c r="AE103" s="15"/>
      <c r="AF103" s="15"/>
      <c r="AG103" s="15"/>
      <c r="AH103" s="15"/>
      <c r="AI103" s="15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15"/>
      <c r="AV103" s="55"/>
      <c r="AW103" s="27"/>
      <c r="AX103" s="27"/>
      <c r="AY103" s="27"/>
      <c r="AZ103" s="87"/>
      <c r="BA103" s="87"/>
      <c r="BB103" s="11"/>
      <c r="BC103" s="11"/>
      <c r="BD103" s="11"/>
      <c r="BE103" s="11"/>
      <c r="BF103" s="11"/>
      <c r="BG103" s="286"/>
      <c r="BH103" s="11"/>
      <c r="BI103" s="11"/>
      <c r="BJ103" s="11"/>
      <c r="BO103" s="176"/>
      <c r="CD103" s="28"/>
      <c r="CI103" s="26"/>
    </row>
    <row r="104" spans="5:87" ht="42" x14ac:dyDescent="0.4">
      <c r="E104" s="33"/>
      <c r="F104" s="33"/>
      <c r="G104" s="11"/>
      <c r="H104" s="57" t="s">
        <v>50</v>
      </c>
      <c r="I104" s="113" t="s">
        <v>51</v>
      </c>
      <c r="J104" s="46" t="s">
        <v>52</v>
      </c>
      <c r="K104" s="63" t="s">
        <v>50</v>
      </c>
      <c r="L104" s="61" t="s">
        <v>58</v>
      </c>
      <c r="M104" s="57" t="s">
        <v>59</v>
      </c>
      <c r="N104" s="57" t="s">
        <v>60</v>
      </c>
      <c r="O104" s="108" t="s">
        <v>61</v>
      </c>
      <c r="R104" s="63"/>
      <c r="V104" s="15"/>
      <c r="W104" s="15"/>
      <c r="X104" s="15"/>
      <c r="Y104" s="15"/>
      <c r="Z104" s="15"/>
      <c r="AA104" s="15"/>
      <c r="AB104" s="15"/>
      <c r="AC104" s="15"/>
      <c r="AD104" s="27"/>
      <c r="AE104" s="15"/>
      <c r="AF104" s="15"/>
      <c r="AG104" s="15"/>
      <c r="AH104" s="15"/>
      <c r="AI104" s="15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15"/>
      <c r="AV104" s="55"/>
      <c r="AW104" s="27"/>
      <c r="AX104" s="27"/>
      <c r="AY104" s="27"/>
      <c r="AZ104" s="87"/>
      <c r="BA104" s="87"/>
      <c r="BB104" s="11"/>
      <c r="BC104" s="11"/>
      <c r="BD104" s="11"/>
      <c r="BE104" s="11"/>
      <c r="BF104" s="11"/>
      <c r="BG104" s="286"/>
      <c r="BH104" s="11"/>
      <c r="BI104" s="11"/>
      <c r="BJ104" s="11"/>
      <c r="BO104" s="176"/>
      <c r="CD104" s="28"/>
      <c r="CI104" s="26"/>
    </row>
    <row r="105" spans="5:87" ht="21" x14ac:dyDescent="0.4">
      <c r="E105" s="33"/>
      <c r="F105" s="33"/>
      <c r="G105" s="11"/>
      <c r="H105" s="15"/>
      <c r="I105" s="15"/>
      <c r="J105" s="15"/>
      <c r="K105" s="63"/>
      <c r="L105" s="15"/>
      <c r="M105" s="15"/>
      <c r="N105" s="15"/>
      <c r="O105" s="76"/>
      <c r="R105" s="63"/>
      <c r="V105" s="15"/>
      <c r="W105" s="15"/>
      <c r="X105" s="15"/>
      <c r="Y105" s="15"/>
      <c r="Z105" s="15"/>
      <c r="AA105" s="15"/>
      <c r="AB105" s="15"/>
      <c r="AC105" s="15"/>
      <c r="AD105" s="27"/>
      <c r="AE105" s="15"/>
      <c r="AF105" s="15"/>
      <c r="AG105" s="15"/>
      <c r="AH105" s="15"/>
      <c r="AI105" s="15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15"/>
      <c r="AV105" s="55"/>
      <c r="AW105" s="27"/>
      <c r="AX105" s="27"/>
      <c r="AY105" s="27"/>
      <c r="AZ105" s="87"/>
      <c r="BA105" s="87"/>
      <c r="BB105" s="11"/>
      <c r="BC105" s="11"/>
      <c r="BD105" s="11"/>
      <c r="BE105" s="11"/>
      <c r="BF105" s="11"/>
      <c r="BG105" s="286"/>
      <c r="BH105" s="11"/>
      <c r="BI105" s="11"/>
      <c r="BJ105" s="11"/>
      <c r="BO105" s="176"/>
      <c r="CD105" s="28"/>
      <c r="CI105" s="26"/>
    </row>
    <row r="106" spans="5:87" ht="21" x14ac:dyDescent="0.4">
      <c r="E106" s="33"/>
      <c r="F106" s="33"/>
      <c r="G106" s="98">
        <v>2005</v>
      </c>
      <c r="H106" s="57"/>
      <c r="I106" s="63">
        <f t="shared" ref="I106:I122" si="15">+P83/Q41</f>
        <v>0.3619896550338586</v>
      </c>
      <c r="J106" s="63">
        <f t="shared" ref="J106:J122" si="16">+K41/Q41</f>
        <v>0.38804973113253255</v>
      </c>
      <c r="K106" s="63">
        <f t="shared" ref="K106:K122" si="17">1-J106-I106</f>
        <v>0.24996061383360879</v>
      </c>
      <c r="L106" s="56"/>
      <c r="M106" s="15"/>
      <c r="N106" s="15"/>
      <c r="O106" s="76"/>
      <c r="R106" s="63"/>
      <c r="V106" s="15"/>
      <c r="W106" s="15"/>
      <c r="X106" s="15"/>
      <c r="Y106" s="15"/>
      <c r="Z106" s="15"/>
      <c r="AA106" s="15"/>
      <c r="AB106" s="15"/>
      <c r="AC106" s="15"/>
      <c r="AD106" s="27"/>
      <c r="AE106" s="15"/>
      <c r="AF106" s="15"/>
      <c r="AG106" s="15"/>
      <c r="AH106" s="15"/>
      <c r="AI106" s="15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15"/>
      <c r="AV106" s="55"/>
      <c r="AW106" s="27"/>
      <c r="AX106" s="27"/>
      <c r="AY106" s="27"/>
      <c r="AZ106" s="87"/>
      <c r="BA106" s="87"/>
      <c r="BB106" s="11"/>
      <c r="BC106" s="11"/>
      <c r="BD106" s="11"/>
      <c r="BE106" s="11"/>
      <c r="BF106" s="11"/>
      <c r="BG106" s="286"/>
      <c r="BH106" s="11"/>
      <c r="BI106" s="11"/>
      <c r="BJ106" s="11"/>
      <c r="BO106" s="176"/>
      <c r="CD106" s="28"/>
      <c r="CI106" s="26"/>
    </row>
    <row r="107" spans="5:87" ht="21" x14ac:dyDescent="0.4">
      <c r="E107" s="33"/>
      <c r="F107" s="33"/>
      <c r="G107" s="98">
        <v>2006</v>
      </c>
      <c r="H107" s="63">
        <f t="shared" ref="H107:H122" si="18">+P62/Q42</f>
        <v>0.26797150998373781</v>
      </c>
      <c r="I107" s="63">
        <f t="shared" si="15"/>
        <v>0.3624991375587639</v>
      </c>
      <c r="J107" s="63">
        <f t="shared" si="16"/>
        <v>0.387188441413991</v>
      </c>
      <c r="K107" s="63">
        <f t="shared" si="17"/>
        <v>0.2503124210272451</v>
      </c>
      <c r="L107" s="56">
        <v>-3.8413996750207992E-2</v>
      </c>
      <c r="M107" s="56">
        <v>-3.9641146185613645E-2</v>
      </c>
      <c r="N107" s="56">
        <v>2.2975460563109687E-2</v>
      </c>
      <c r="O107" s="78">
        <f t="shared" ref="O107:O122" si="19">+(((K106+K107)/2)*L107+((I106+I107)/2)*M107+((J106+J107)/2)*N107)</f>
        <v>-1.5062799406002263E-2</v>
      </c>
      <c r="R107" s="56"/>
      <c r="V107" s="15"/>
      <c r="W107" s="15"/>
      <c r="X107" s="15"/>
      <c r="Y107" s="15"/>
      <c r="Z107" s="15"/>
      <c r="AA107" s="15"/>
      <c r="AB107" s="15"/>
      <c r="AC107" s="15"/>
      <c r="AD107" s="27"/>
      <c r="AE107" s="15"/>
      <c r="AF107" s="15"/>
      <c r="AG107" s="15"/>
      <c r="AH107" s="15"/>
      <c r="AI107" s="15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15"/>
      <c r="AV107" s="55"/>
      <c r="AW107" s="27"/>
      <c r="AX107" s="27"/>
      <c r="AY107" s="27"/>
      <c r="AZ107" s="87"/>
      <c r="BA107" s="87"/>
      <c r="BB107" s="11"/>
      <c r="BC107" s="11"/>
      <c r="BD107" s="11"/>
      <c r="BE107" s="11"/>
      <c r="BF107" s="11"/>
      <c r="BG107" s="286"/>
      <c r="BH107" s="11"/>
      <c r="BI107" s="11"/>
      <c r="BJ107" s="11"/>
      <c r="BO107" s="176"/>
      <c r="CD107" s="29"/>
      <c r="CI107" s="26"/>
    </row>
    <row r="108" spans="5:87" ht="21" x14ac:dyDescent="0.4">
      <c r="E108" s="33"/>
      <c r="F108" s="33"/>
      <c r="G108" s="98">
        <v>2007</v>
      </c>
      <c r="H108" s="63">
        <f t="shared" si="18"/>
        <v>0.29399662010974004</v>
      </c>
      <c r="I108" s="63">
        <f t="shared" si="15"/>
        <v>0.35887783775887772</v>
      </c>
      <c r="J108" s="63">
        <f t="shared" si="16"/>
        <v>0.39331031632221941</v>
      </c>
      <c r="K108" s="63">
        <f t="shared" si="17"/>
        <v>0.24781184591890293</v>
      </c>
      <c r="L108" s="56">
        <v>3.7532821662380249E-2</v>
      </c>
      <c r="M108" s="56">
        <v>4.1615379113122901E-2</v>
      </c>
      <c r="N108" s="56">
        <v>1.7093202211282292E-2</v>
      </c>
      <c r="O108" s="78">
        <f t="shared" si="19"/>
        <v>3.1028804339977446E-2</v>
      </c>
      <c r="R108" s="56"/>
      <c r="V108" s="15"/>
      <c r="W108" s="15"/>
      <c r="X108" s="15"/>
      <c r="Y108" s="15"/>
      <c r="Z108" s="15"/>
      <c r="AA108" s="15"/>
      <c r="AB108" s="15"/>
      <c r="AC108" s="15"/>
      <c r="AD108" s="27"/>
      <c r="AE108" s="15"/>
      <c r="AF108" s="15"/>
      <c r="AG108" s="15"/>
      <c r="AH108" s="15"/>
      <c r="AI108" s="15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15"/>
      <c r="AV108" s="55"/>
      <c r="AW108" s="27"/>
      <c r="AX108" s="27"/>
      <c r="AY108" s="27"/>
      <c r="AZ108" s="87"/>
      <c r="BA108" s="87"/>
      <c r="BB108" s="11"/>
      <c r="BC108" s="11"/>
      <c r="BD108" s="11"/>
      <c r="BE108" s="11"/>
      <c r="BF108" s="11"/>
      <c r="BG108" s="286"/>
      <c r="BH108" s="11"/>
      <c r="BI108" s="11"/>
      <c r="BJ108" s="11"/>
      <c r="BO108" s="176"/>
      <c r="CD108" s="28"/>
      <c r="CI108" s="26"/>
    </row>
    <row r="109" spans="5:87" ht="21" x14ac:dyDescent="0.4">
      <c r="E109" s="33"/>
      <c r="F109" s="33"/>
      <c r="G109" s="98">
        <v>2008</v>
      </c>
      <c r="H109" s="63">
        <f t="shared" si="18"/>
        <v>0.26090910643623305</v>
      </c>
      <c r="I109" s="63">
        <f t="shared" si="15"/>
        <v>0.36268352999107756</v>
      </c>
      <c r="J109" s="63">
        <f t="shared" si="16"/>
        <v>0.38687672256522732</v>
      </c>
      <c r="K109" s="63">
        <f t="shared" si="17"/>
        <v>0.25043974744369513</v>
      </c>
      <c r="L109" s="56">
        <v>0.14278701996943932</v>
      </c>
      <c r="M109" s="56">
        <v>0.15198616489281683</v>
      </c>
      <c r="N109" s="56">
        <v>2.2089906853513364E-2</v>
      </c>
      <c r="O109" s="78">
        <f t="shared" si="19"/>
        <v>9.9022732123871748E-2</v>
      </c>
      <c r="R109" s="56"/>
      <c r="V109" s="15"/>
      <c r="W109" s="15"/>
      <c r="X109" s="15"/>
      <c r="Y109" s="15"/>
      <c r="Z109" s="15"/>
      <c r="AA109" s="15"/>
      <c r="AB109" s="15"/>
      <c r="AC109" s="15"/>
      <c r="AD109" s="27"/>
      <c r="AE109" s="15"/>
      <c r="AF109" s="15"/>
      <c r="AG109" s="15"/>
      <c r="AH109" s="15"/>
      <c r="AI109" s="15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15"/>
      <c r="AV109" s="55"/>
      <c r="AW109" s="27"/>
      <c r="AX109" s="27"/>
      <c r="AY109" s="27"/>
      <c r="AZ109" s="87"/>
      <c r="BA109" s="87"/>
      <c r="BB109" s="11"/>
      <c r="BC109" s="11"/>
      <c r="BD109" s="11"/>
      <c r="BE109" s="11"/>
      <c r="BF109" s="11"/>
      <c r="BG109" s="286"/>
      <c r="BH109" s="11"/>
      <c r="BI109" s="11"/>
      <c r="BJ109" s="11"/>
      <c r="BO109" s="176"/>
      <c r="CD109" s="28"/>
      <c r="CI109" s="26"/>
    </row>
    <row r="110" spans="5:87" ht="21" x14ac:dyDescent="0.4">
      <c r="E110" s="33"/>
      <c r="F110" s="33"/>
      <c r="G110" s="98">
        <v>2009</v>
      </c>
      <c r="H110" s="63">
        <f t="shared" si="18"/>
        <v>0.24624664622879683</v>
      </c>
      <c r="I110" s="63">
        <f t="shared" si="15"/>
        <v>0.37115398046916398</v>
      </c>
      <c r="J110" s="63">
        <f t="shared" si="16"/>
        <v>0.37255726791946209</v>
      </c>
      <c r="K110" s="63">
        <f t="shared" si="17"/>
        <v>0.25628875161137393</v>
      </c>
      <c r="L110" s="56">
        <v>2.6733309920997872E-2</v>
      </c>
      <c r="M110" s="56">
        <v>3.318672422242485E-2</v>
      </c>
      <c r="N110" s="56">
        <v>3.3253125308317928E-2</v>
      </c>
      <c r="O110" s="78">
        <f t="shared" si="19"/>
        <v>3.1576873371869693E-2</v>
      </c>
      <c r="R110" s="56"/>
      <c r="V110" s="15"/>
      <c r="W110" s="15"/>
      <c r="X110" s="15"/>
      <c r="Y110" s="15"/>
      <c r="Z110" s="15"/>
      <c r="AA110" s="15"/>
      <c r="AB110" s="15"/>
      <c r="AC110" s="15"/>
      <c r="AD110" s="27"/>
      <c r="AE110" s="15"/>
      <c r="AF110" s="15"/>
      <c r="AG110" s="15"/>
      <c r="AH110" s="15"/>
      <c r="AI110" s="15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15"/>
      <c r="AV110" s="55"/>
      <c r="AW110" s="27"/>
      <c r="AX110" s="27"/>
      <c r="AY110" s="27"/>
      <c r="AZ110" s="87"/>
      <c r="BA110" s="87"/>
      <c r="BB110" s="11"/>
      <c r="BC110" s="11"/>
      <c r="BD110" s="11"/>
      <c r="BE110" s="11"/>
      <c r="BF110" s="11"/>
      <c r="BG110" s="286"/>
      <c r="BH110" s="11"/>
      <c r="BI110" s="11"/>
      <c r="BJ110" s="11"/>
      <c r="BO110" s="176"/>
      <c r="CD110" s="28"/>
      <c r="CI110" s="26"/>
    </row>
    <row r="111" spans="5:87" ht="21" x14ac:dyDescent="0.4">
      <c r="E111" s="33"/>
      <c r="F111" s="33"/>
      <c r="G111" s="98">
        <v>2010</v>
      </c>
      <c r="H111" s="63">
        <f t="shared" si="18"/>
        <v>0.25825501904147263</v>
      </c>
      <c r="I111" s="63">
        <f t="shared" si="15"/>
        <v>0.35737384460241145</v>
      </c>
      <c r="J111" s="63">
        <f t="shared" si="16"/>
        <v>0.39585284482731792</v>
      </c>
      <c r="K111" s="63">
        <f t="shared" si="17"/>
        <v>0.24677331057027058</v>
      </c>
      <c r="L111" s="56">
        <v>-5.8920444382861904E-2</v>
      </c>
      <c r="M111" s="56">
        <v>-5.1587683042774161E-2</v>
      </c>
      <c r="N111" s="56">
        <v>2.120691061985476E-2</v>
      </c>
      <c r="O111" s="78">
        <f t="shared" si="19"/>
        <v>-2.5464049101560984E-2</v>
      </c>
      <c r="R111" s="56"/>
      <c r="V111" s="15"/>
      <c r="W111" s="15"/>
      <c r="X111" s="15"/>
      <c r="Y111" s="15"/>
      <c r="Z111" s="15"/>
      <c r="AA111" s="15"/>
      <c r="AB111" s="15"/>
      <c r="AC111" s="15"/>
      <c r="AD111" s="27"/>
      <c r="AE111" s="15"/>
      <c r="AF111" s="15"/>
      <c r="AG111" s="15"/>
      <c r="AH111" s="15"/>
      <c r="AI111" s="15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15"/>
      <c r="AV111" s="55"/>
      <c r="AW111" s="27"/>
      <c r="AX111" s="27"/>
      <c r="AY111" s="27"/>
      <c r="AZ111" s="87"/>
      <c r="BA111" s="87"/>
      <c r="BB111" s="11"/>
      <c r="BC111" s="11"/>
      <c r="BD111" s="11"/>
      <c r="BE111" s="11"/>
      <c r="BF111" s="11"/>
      <c r="BG111" s="286"/>
      <c r="BH111" s="11"/>
      <c r="BI111" s="11"/>
      <c r="BJ111" s="11"/>
      <c r="BO111" s="176"/>
      <c r="CD111" s="28"/>
      <c r="CI111" s="26"/>
    </row>
    <row r="112" spans="5:87" ht="21" x14ac:dyDescent="0.4">
      <c r="E112" s="33"/>
      <c r="F112" s="33"/>
      <c r="G112" s="98">
        <v>2011</v>
      </c>
      <c r="H112" s="63">
        <f t="shared" si="18"/>
        <v>0.20801372794260081</v>
      </c>
      <c r="I112" s="63">
        <f t="shared" si="15"/>
        <v>0.35148920244935894</v>
      </c>
      <c r="J112" s="63">
        <f t="shared" si="16"/>
        <v>0.40580094223195917</v>
      </c>
      <c r="K112" s="63">
        <f t="shared" si="17"/>
        <v>0.24270985531868189</v>
      </c>
      <c r="L112" s="56">
        <v>2.4033004174302836E-2</v>
      </c>
      <c r="M112" s="56">
        <v>2.4850679167199019E-2</v>
      </c>
      <c r="N112" s="56">
        <v>2.1965012546592912E-2</v>
      </c>
      <c r="O112" s="78">
        <f t="shared" si="19"/>
        <v>2.3493907307803777E-2</v>
      </c>
      <c r="R112" s="56"/>
      <c r="V112" s="15"/>
      <c r="W112" s="15"/>
      <c r="X112" s="15"/>
      <c r="Y112" s="15"/>
      <c r="Z112" s="15"/>
      <c r="AA112" s="15"/>
      <c r="AB112" s="15"/>
      <c r="AC112" s="15"/>
      <c r="AD112" s="27"/>
      <c r="AE112" s="15"/>
      <c r="AF112" s="15"/>
      <c r="AG112" s="15"/>
      <c r="AH112" s="15"/>
      <c r="AI112" s="15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15"/>
      <c r="AV112" s="55"/>
      <c r="AW112" s="27"/>
      <c r="AX112" s="27"/>
      <c r="AY112" s="27"/>
      <c r="AZ112" s="87"/>
      <c r="BA112" s="87"/>
      <c r="BB112" s="11"/>
      <c r="BC112" s="11"/>
      <c r="BD112" s="11"/>
      <c r="BE112" s="11"/>
      <c r="BF112" s="11"/>
      <c r="BG112" s="286"/>
      <c r="BH112" s="11"/>
      <c r="BI112" s="11"/>
      <c r="BJ112" s="11"/>
      <c r="BO112" s="176"/>
      <c r="CD112" s="28"/>
      <c r="CI112" s="26"/>
    </row>
    <row r="113" spans="5:87" ht="21" x14ac:dyDescent="0.4">
      <c r="E113" s="33"/>
      <c r="F113" s="33"/>
      <c r="G113" s="98">
        <v>2012</v>
      </c>
      <c r="H113" s="63">
        <f t="shared" si="18"/>
        <v>0.26734996868966204</v>
      </c>
      <c r="I113" s="63">
        <f t="shared" si="15"/>
        <v>0.31448943193178991</v>
      </c>
      <c r="J113" s="63">
        <f t="shared" si="16"/>
        <v>0.46834974494330506</v>
      </c>
      <c r="K113" s="63">
        <f t="shared" si="17"/>
        <v>0.21716082312490503</v>
      </c>
      <c r="L113" s="56">
        <v>-0.17332734386473136</v>
      </c>
      <c r="M113" s="56">
        <v>-0.17332314439848345</v>
      </c>
      <c r="N113" s="56">
        <v>1.9597532770210979E-2</v>
      </c>
      <c r="O113" s="78">
        <f t="shared" si="19"/>
        <v>-8.9003238745513955E-2</v>
      </c>
      <c r="R113" s="56"/>
      <c r="V113" s="15"/>
      <c r="W113" s="15"/>
      <c r="X113" s="15"/>
      <c r="Y113" s="15"/>
      <c r="Z113" s="15"/>
      <c r="AA113" s="15"/>
      <c r="AB113" s="15"/>
      <c r="AC113" s="15"/>
      <c r="AD113" s="27"/>
      <c r="AE113" s="15"/>
      <c r="AF113" s="15"/>
      <c r="AG113" s="15"/>
      <c r="AH113" s="15"/>
      <c r="AI113" s="15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15"/>
      <c r="AV113" s="55"/>
      <c r="AW113" s="27"/>
      <c r="AX113" s="27"/>
      <c r="AY113" s="27"/>
      <c r="AZ113" s="87"/>
      <c r="BA113" s="87"/>
      <c r="BB113" s="11"/>
      <c r="BC113" s="11"/>
      <c r="BD113" s="11"/>
      <c r="BE113" s="11"/>
      <c r="BF113" s="11"/>
      <c r="BG113" s="286"/>
      <c r="BH113" s="11"/>
      <c r="BI113" s="11"/>
      <c r="BJ113" s="11"/>
      <c r="BO113" s="176"/>
      <c r="CD113" s="28"/>
      <c r="CI113" s="26"/>
    </row>
    <row r="114" spans="5:87" ht="21" x14ac:dyDescent="0.4">
      <c r="E114" s="33"/>
      <c r="F114" s="33"/>
      <c r="G114" s="98">
        <v>2013</v>
      </c>
      <c r="H114" s="63">
        <f t="shared" si="18"/>
        <v>0.24277862464578326</v>
      </c>
      <c r="I114" s="63">
        <f t="shared" si="15"/>
        <v>0.34446917530918419</v>
      </c>
      <c r="J114" s="63">
        <f t="shared" si="16"/>
        <v>0.41766842915084651</v>
      </c>
      <c r="K114" s="63">
        <f t="shared" si="17"/>
        <v>0.23786239553996924</v>
      </c>
      <c r="L114" s="56">
        <v>0.18900172341401603</v>
      </c>
      <c r="M114" s="56">
        <v>0.19034568782693581</v>
      </c>
      <c r="N114" s="56">
        <v>1.0813046878089604E-2</v>
      </c>
      <c r="O114" s="78">
        <f t="shared" si="19"/>
        <v>0.11050532895856809</v>
      </c>
      <c r="R114" s="56"/>
      <c r="V114" s="15"/>
      <c r="W114" s="15"/>
      <c r="X114" s="15"/>
      <c r="Y114" s="15"/>
      <c r="Z114" s="15"/>
      <c r="AA114" s="15"/>
      <c r="AB114" s="15"/>
      <c r="AC114" s="15"/>
      <c r="AD114" s="27"/>
      <c r="AE114" s="15"/>
      <c r="AF114" s="15"/>
      <c r="AG114" s="15"/>
      <c r="AH114" s="15"/>
      <c r="AI114" s="15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15"/>
      <c r="AV114" s="55"/>
      <c r="AW114" s="27"/>
      <c r="AX114" s="27"/>
      <c r="AY114" s="27"/>
      <c r="AZ114" s="87"/>
      <c r="BA114" s="87"/>
      <c r="BB114" s="11"/>
      <c r="BC114" s="11"/>
      <c r="BD114" s="11"/>
      <c r="BE114" s="11"/>
      <c r="BF114" s="11"/>
      <c r="BG114" s="286"/>
      <c r="BH114" s="11"/>
      <c r="BI114" s="11"/>
      <c r="BJ114" s="11"/>
      <c r="CD114" s="28"/>
      <c r="CI114" s="26"/>
    </row>
    <row r="115" spans="5:87" ht="21" x14ac:dyDescent="0.4">
      <c r="E115" s="33"/>
      <c r="F115" s="33"/>
      <c r="G115" s="98">
        <v>2014</v>
      </c>
      <c r="H115" s="63">
        <f t="shared" si="18"/>
        <v>0.21807887583110427</v>
      </c>
      <c r="I115" s="63">
        <f t="shared" si="15"/>
        <v>0.34269879368269568</v>
      </c>
      <c r="J115" s="63">
        <f t="shared" si="16"/>
        <v>0.42066129233702332</v>
      </c>
      <c r="K115" s="63">
        <f t="shared" si="17"/>
        <v>0.236639913980281</v>
      </c>
      <c r="L115" s="56">
        <v>-1.7449723576011542E-4</v>
      </c>
      <c r="M115" s="56">
        <v>2.2116300660122443E-3</v>
      </c>
      <c r="N115" s="56">
        <v>1.6365906737820471E-2</v>
      </c>
      <c r="O115" s="78">
        <f t="shared" si="19"/>
        <v>7.5784940183317119E-3</v>
      </c>
      <c r="R115" s="56"/>
      <c r="V115" s="15"/>
      <c r="W115" s="15"/>
      <c r="X115" s="15"/>
      <c r="Y115" s="15"/>
      <c r="Z115" s="15"/>
      <c r="AA115" s="15"/>
      <c r="AB115" s="15"/>
      <c r="AC115" s="15"/>
      <c r="AD115" s="27"/>
      <c r="AE115" s="15"/>
      <c r="AF115" s="15"/>
      <c r="AG115" s="15"/>
      <c r="AH115" s="15"/>
      <c r="AI115" s="15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15"/>
      <c r="AV115" s="55"/>
      <c r="AW115" s="27"/>
      <c r="AX115" s="27"/>
      <c r="AY115" s="27"/>
      <c r="AZ115" s="87"/>
      <c r="BA115" s="87"/>
      <c r="BB115" s="11"/>
      <c r="BC115" s="11"/>
      <c r="BD115" s="11"/>
      <c r="BE115" s="11"/>
      <c r="BF115" s="11"/>
      <c r="BG115" s="286"/>
      <c r="BH115" s="11"/>
      <c r="BI115" s="11"/>
      <c r="BJ115" s="11"/>
      <c r="CD115" s="28"/>
      <c r="CI115" s="26"/>
    </row>
    <row r="116" spans="5:87" ht="21" x14ac:dyDescent="0.4">
      <c r="E116" s="33"/>
      <c r="F116" s="33"/>
      <c r="G116" s="98">
        <v>2015</v>
      </c>
      <c r="H116" s="63">
        <f t="shared" si="18"/>
        <v>0.26357127341583086</v>
      </c>
      <c r="I116" s="63">
        <f t="shared" si="15"/>
        <v>0.33168720839395205</v>
      </c>
      <c r="J116" s="63">
        <f t="shared" si="16"/>
        <v>0.43927658281396631</v>
      </c>
      <c r="K116" s="63">
        <f t="shared" si="17"/>
        <v>0.22903620879208164</v>
      </c>
      <c r="L116" s="56">
        <v>-0.10250415018288074</v>
      </c>
      <c r="M116" s="56">
        <v>-9.1208258554737839E-2</v>
      </c>
      <c r="N116" s="56">
        <v>1.4363442452155791E-2</v>
      </c>
      <c r="O116" s="78">
        <f t="shared" si="19"/>
        <v>-4.8445819943091176E-2</v>
      </c>
      <c r="R116" s="56"/>
      <c r="V116" s="15"/>
      <c r="W116" s="15"/>
      <c r="X116" s="15"/>
      <c r="Y116" s="15"/>
      <c r="Z116" s="15"/>
      <c r="AA116" s="15"/>
      <c r="AB116" s="15"/>
      <c r="AC116" s="15"/>
      <c r="AD116" s="27"/>
      <c r="AE116" s="15"/>
      <c r="AF116" s="15"/>
      <c r="AG116" s="15"/>
      <c r="AH116" s="15"/>
      <c r="AI116" s="15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15"/>
      <c r="AV116" s="55"/>
      <c r="AW116" s="27"/>
      <c r="AX116" s="27"/>
      <c r="AY116" s="27"/>
      <c r="AZ116" s="87"/>
      <c r="BA116" s="87"/>
      <c r="BB116" s="11"/>
      <c r="BC116" s="11"/>
      <c r="BD116" s="11"/>
      <c r="BE116" s="11"/>
      <c r="BF116" s="11"/>
      <c r="BG116" s="286"/>
      <c r="BH116" s="11"/>
      <c r="BI116" s="11"/>
      <c r="BJ116" s="11"/>
      <c r="CD116" s="28"/>
      <c r="CI116" s="26"/>
    </row>
    <row r="117" spans="5:87" ht="21" x14ac:dyDescent="0.4">
      <c r="E117" s="33"/>
      <c r="F117" s="33"/>
      <c r="G117" s="98">
        <v>2016</v>
      </c>
      <c r="H117" s="63">
        <f t="shared" si="18"/>
        <v>0.24814838698930619</v>
      </c>
      <c r="I117" s="63">
        <f t="shared" si="15"/>
        <v>0.35251318501505419</v>
      </c>
      <c r="J117" s="63">
        <f t="shared" si="16"/>
        <v>0.40406988059061422</v>
      </c>
      <c r="K117" s="63">
        <f t="shared" si="17"/>
        <v>0.2434169343943316</v>
      </c>
      <c r="L117" s="56">
        <v>0.11925563043790485</v>
      </c>
      <c r="M117" s="56">
        <v>0.13001462033465735</v>
      </c>
      <c r="N117" s="56">
        <v>1.9127770153661225E-2</v>
      </c>
      <c r="O117" s="78">
        <f t="shared" si="19"/>
        <v>8.0715044568433231E-2</v>
      </c>
      <c r="R117" s="56"/>
      <c r="V117" s="15"/>
      <c r="W117" s="15"/>
      <c r="X117" s="15"/>
      <c r="Y117" s="15"/>
      <c r="Z117" s="15"/>
      <c r="AA117" s="15"/>
      <c r="AB117" s="15"/>
      <c r="AC117" s="15"/>
      <c r="AD117" s="27"/>
      <c r="AE117" s="15"/>
      <c r="AF117" s="15"/>
      <c r="AG117" s="15"/>
      <c r="AH117" s="15"/>
      <c r="AI117" s="15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15"/>
      <c r="AV117" s="55"/>
      <c r="AW117" s="27"/>
      <c r="AX117" s="27"/>
      <c r="AY117" s="27"/>
      <c r="AZ117" s="87"/>
      <c r="BA117" s="87"/>
      <c r="BB117" s="11"/>
      <c r="BC117" s="11"/>
      <c r="BD117" s="11"/>
      <c r="BE117" s="11"/>
      <c r="BF117" s="11"/>
      <c r="BG117" s="286"/>
      <c r="BH117" s="11"/>
      <c r="BI117" s="11"/>
      <c r="BJ117" s="11"/>
      <c r="CD117" s="28"/>
      <c r="CI117" s="26"/>
    </row>
    <row r="118" spans="5:87" ht="21" x14ac:dyDescent="0.4">
      <c r="E118" s="33"/>
      <c r="F118" s="33"/>
      <c r="G118" s="98">
        <v>2017</v>
      </c>
      <c r="H118" s="63">
        <f t="shared" si="18"/>
        <v>0.64574038119138444</v>
      </c>
      <c r="I118" s="63">
        <f t="shared" si="15"/>
        <v>0.36738777210731249</v>
      </c>
      <c r="J118" s="63">
        <f t="shared" si="16"/>
        <v>0.37892411345660959</v>
      </c>
      <c r="K118" s="63">
        <f t="shared" si="17"/>
        <v>0.25368811443607792</v>
      </c>
      <c r="L118" s="56">
        <v>-4.9782500314958069E-3</v>
      </c>
      <c r="M118" s="56">
        <v>3.7356116759415986E-4</v>
      </c>
      <c r="N118" s="56">
        <v>1.6307711843923642E-2</v>
      </c>
      <c r="O118" s="78">
        <f t="shared" si="19"/>
        <v>5.2815271237715315E-3</v>
      </c>
      <c r="R118" s="56"/>
      <c r="V118" s="15"/>
      <c r="W118" s="15"/>
      <c r="X118" s="15"/>
      <c r="Y118" s="15"/>
      <c r="Z118" s="15"/>
      <c r="AA118" s="15"/>
      <c r="AB118" s="15"/>
      <c r="AC118" s="15"/>
      <c r="AD118" s="27"/>
      <c r="AE118" s="15"/>
      <c r="AF118" s="15"/>
      <c r="AG118" s="15"/>
      <c r="AH118" s="15"/>
      <c r="AI118" s="15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15"/>
      <c r="AV118" s="55"/>
      <c r="AW118" s="27"/>
      <c r="AX118" s="27"/>
      <c r="AY118" s="27"/>
      <c r="AZ118" s="87"/>
      <c r="BA118" s="87"/>
      <c r="BB118" s="11"/>
      <c r="BC118" s="11"/>
      <c r="BD118" s="11"/>
      <c r="BE118" s="11"/>
      <c r="BF118" s="11"/>
      <c r="BG118" s="286"/>
      <c r="BH118" s="11"/>
      <c r="BI118" s="11"/>
      <c r="BJ118" s="11"/>
      <c r="CD118" s="28"/>
      <c r="CI118" s="26"/>
    </row>
    <row r="119" spans="5:87" ht="21" x14ac:dyDescent="0.4">
      <c r="E119" s="33"/>
      <c r="F119" s="33"/>
      <c r="G119" s="98">
        <v>2018</v>
      </c>
      <c r="H119" s="63">
        <f t="shared" si="18"/>
        <v>0.18639888634127214</v>
      </c>
      <c r="I119" s="63">
        <f t="shared" si="15"/>
        <v>0.47150558895753697</v>
      </c>
      <c r="J119" s="63">
        <f t="shared" si="16"/>
        <v>0.20291100056964306</v>
      </c>
      <c r="K119" s="63">
        <f t="shared" si="17"/>
        <v>0.32558341047281997</v>
      </c>
      <c r="L119" s="56">
        <v>0.90574573778178713</v>
      </c>
      <c r="M119" s="56">
        <v>0.91071156697163991</v>
      </c>
      <c r="N119" s="56">
        <v>1.4282438611222777E-2</v>
      </c>
      <c r="O119" s="78">
        <f t="shared" si="19"/>
        <v>0.64848631318999961</v>
      </c>
      <c r="R119" s="56"/>
      <c r="V119" s="15"/>
      <c r="W119" s="15"/>
      <c r="X119" s="15"/>
      <c r="Y119" s="15"/>
      <c r="Z119" s="15"/>
      <c r="AA119" s="15"/>
      <c r="AB119" s="15"/>
      <c r="AC119" s="15"/>
      <c r="AD119" s="27"/>
      <c r="AE119" s="15"/>
      <c r="AF119" s="15"/>
      <c r="AG119" s="15"/>
      <c r="AH119" s="15"/>
      <c r="AI119" s="15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15"/>
      <c r="AV119" s="55"/>
      <c r="AW119" s="27"/>
      <c r="AX119" s="27"/>
      <c r="AY119" s="27"/>
      <c r="AZ119" s="87"/>
      <c r="BA119" s="87"/>
      <c r="BB119" s="11"/>
      <c r="BC119" s="11"/>
      <c r="BD119" s="11"/>
      <c r="BE119" s="11"/>
      <c r="BF119" s="11"/>
      <c r="BG119" s="286"/>
      <c r="BH119" s="11"/>
      <c r="BI119" s="11"/>
      <c r="BJ119" s="11"/>
      <c r="CD119" s="28"/>
      <c r="CI119" s="26"/>
    </row>
    <row r="120" spans="5:87" ht="21" x14ac:dyDescent="0.4">
      <c r="E120" s="33"/>
      <c r="F120" s="33"/>
      <c r="G120" s="98">
        <v>2019</v>
      </c>
      <c r="H120" s="63">
        <f t="shared" si="18"/>
        <v>0.19525094558842318</v>
      </c>
      <c r="I120" s="63">
        <f t="shared" si="15"/>
        <v>0.40641809125839728</v>
      </c>
      <c r="J120" s="63">
        <f t="shared" si="16"/>
        <v>0.31294263037733383</v>
      </c>
      <c r="K120" s="63">
        <f t="shared" si="17"/>
        <v>0.28063927836426888</v>
      </c>
      <c r="L120" s="56">
        <v>-0.58438812696513687</v>
      </c>
      <c r="M120" s="56">
        <v>-0.57566052597580453</v>
      </c>
      <c r="N120" s="56">
        <v>1.8316527296145347E-2</v>
      </c>
      <c r="O120" s="78">
        <f t="shared" si="19"/>
        <v>-0.42510335103046909</v>
      </c>
      <c r="R120" s="56"/>
      <c r="V120" s="15"/>
      <c r="W120" s="15"/>
      <c r="X120" s="15"/>
      <c r="Y120" s="15"/>
      <c r="Z120" s="15"/>
      <c r="AA120" s="15"/>
      <c r="AB120" s="15"/>
      <c r="AC120" s="15"/>
      <c r="AD120" s="27"/>
      <c r="AE120" s="15"/>
      <c r="AF120" s="15"/>
      <c r="AG120" s="15"/>
      <c r="AH120" s="15"/>
      <c r="AI120" s="15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15"/>
      <c r="AV120" s="55"/>
      <c r="AW120" s="27"/>
      <c r="AX120" s="27"/>
      <c r="AY120" s="27"/>
      <c r="AZ120" s="87"/>
      <c r="BA120" s="87"/>
      <c r="BB120" s="11"/>
      <c r="BC120" s="11"/>
      <c r="BD120" s="11"/>
      <c r="BE120" s="11"/>
      <c r="BF120" s="11"/>
      <c r="BG120" s="286"/>
      <c r="BH120" s="11"/>
      <c r="BI120" s="11"/>
      <c r="BJ120" s="11"/>
      <c r="CD120" s="28"/>
      <c r="CI120" s="26"/>
    </row>
    <row r="121" spans="5:87" ht="21" x14ac:dyDescent="0.4">
      <c r="E121" s="33"/>
      <c r="F121" s="33"/>
      <c r="G121" s="98">
        <v>2020</v>
      </c>
      <c r="H121" s="63">
        <f t="shared" si="18"/>
        <v>0.25665072467221206</v>
      </c>
      <c r="I121" s="63">
        <f t="shared" si="15"/>
        <v>0.34982022306412058</v>
      </c>
      <c r="J121" s="63">
        <f t="shared" si="16"/>
        <v>0.4086223830364909</v>
      </c>
      <c r="K121" s="63">
        <f t="shared" si="17"/>
        <v>0.24155739389938852</v>
      </c>
      <c r="L121" s="56">
        <v>-0.38875062418053535</v>
      </c>
      <c r="M121" s="56">
        <v>-0.37433632284836338</v>
      </c>
      <c r="N121" s="56">
        <v>1.8785187358659729E-2</v>
      </c>
      <c r="O121" s="78">
        <f t="shared" si="19"/>
        <v>-0.23626850904979946</v>
      </c>
      <c r="R121" s="56"/>
      <c r="V121" s="15"/>
      <c r="W121" s="15"/>
      <c r="X121" s="15"/>
      <c r="Y121" s="15"/>
      <c r="Z121" s="15"/>
      <c r="AA121" s="15"/>
      <c r="AB121" s="15"/>
      <c r="AC121" s="15"/>
      <c r="AD121" s="27"/>
      <c r="AE121" s="15"/>
      <c r="AF121" s="15"/>
      <c r="AG121" s="15"/>
      <c r="AH121" s="15"/>
      <c r="AI121" s="15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15"/>
      <c r="AV121" s="55"/>
      <c r="AW121" s="27"/>
      <c r="AX121" s="27"/>
      <c r="AY121" s="27"/>
      <c r="AZ121" s="87"/>
      <c r="BA121" s="87"/>
      <c r="BB121" s="11"/>
      <c r="BC121" s="11"/>
      <c r="BD121" s="11"/>
      <c r="BE121" s="11"/>
      <c r="BF121" s="11"/>
      <c r="BG121" s="286"/>
      <c r="BH121" s="11"/>
      <c r="BI121" s="11"/>
      <c r="BJ121" s="11"/>
      <c r="CD121" s="28"/>
      <c r="CI121" s="26"/>
    </row>
    <row r="122" spans="5:87" ht="21" x14ac:dyDescent="0.4">
      <c r="E122" s="33"/>
      <c r="F122" s="33"/>
      <c r="G122" s="98">
        <v>2021</v>
      </c>
      <c r="H122" s="63">
        <f t="shared" si="18"/>
        <v>0</v>
      </c>
      <c r="I122" s="63">
        <f t="shared" si="15"/>
        <v>0.32406398217281557</v>
      </c>
      <c r="J122" s="63">
        <f t="shared" si="16"/>
        <v>0.44604447491826399</v>
      </c>
      <c r="K122" s="63">
        <f t="shared" si="17"/>
        <v>0.2298915429089205</v>
      </c>
      <c r="L122" s="56">
        <v>2.5456314836395662E-2</v>
      </c>
      <c r="M122" s="56">
        <v>-8.3125527937406973E-3</v>
      </c>
      <c r="N122" s="56">
        <v>2.0533673978099149E-2</v>
      </c>
      <c r="O122" s="78">
        <f t="shared" si="19"/>
        <v>1.1974552576452803E-2</v>
      </c>
      <c r="R122" s="56"/>
      <c r="V122" s="15"/>
      <c r="W122" s="15"/>
      <c r="X122" s="15"/>
      <c r="Y122" s="15"/>
      <c r="Z122" s="15"/>
      <c r="AA122" s="15"/>
      <c r="AB122" s="15"/>
      <c r="AC122" s="15"/>
      <c r="AD122" s="27"/>
      <c r="AE122" s="15"/>
      <c r="AF122" s="15"/>
      <c r="AG122" s="15"/>
      <c r="AH122" s="15"/>
      <c r="AI122" s="15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15"/>
      <c r="AV122" s="55"/>
      <c r="AW122" s="27"/>
      <c r="AX122" s="27"/>
      <c r="AY122" s="27"/>
      <c r="AZ122" s="87"/>
      <c r="BA122" s="87"/>
      <c r="BB122" s="11"/>
      <c r="BC122" s="11"/>
      <c r="BD122" s="11"/>
      <c r="BE122" s="11"/>
      <c r="BF122" s="11"/>
      <c r="BG122" s="286"/>
      <c r="BH122" s="11"/>
      <c r="BI122" s="11"/>
      <c r="BJ122" s="11"/>
      <c r="CD122" s="28"/>
      <c r="CI122" s="26"/>
    </row>
    <row r="123" spans="5:87" ht="21" x14ac:dyDescent="0.4">
      <c r="E123" s="33"/>
      <c r="F123" s="33"/>
      <c r="G123" s="98"/>
      <c r="H123" s="63"/>
      <c r="I123" s="63"/>
      <c r="J123" s="63"/>
      <c r="K123" s="63"/>
      <c r="L123" s="56"/>
      <c r="M123" s="56"/>
      <c r="N123" s="51"/>
      <c r="O123" s="56"/>
      <c r="P123" s="56"/>
      <c r="Q123" s="78"/>
      <c r="R123" s="56"/>
      <c r="V123" s="15"/>
      <c r="W123" s="15"/>
      <c r="X123" s="15"/>
      <c r="Y123" s="15"/>
      <c r="Z123" s="15"/>
      <c r="AA123" s="15"/>
      <c r="AB123" s="15"/>
      <c r="AC123" s="15"/>
      <c r="AD123" s="27"/>
      <c r="AE123" s="15"/>
      <c r="AF123" s="15"/>
      <c r="AG123" s="15"/>
      <c r="AH123" s="15"/>
      <c r="AI123" s="15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15"/>
      <c r="AV123" s="55"/>
      <c r="AW123" s="27"/>
      <c r="AX123" s="27"/>
      <c r="AY123" s="27"/>
      <c r="AZ123" s="87"/>
      <c r="BA123" s="87"/>
      <c r="BB123" s="11"/>
      <c r="BC123" s="11"/>
      <c r="BD123" s="11"/>
      <c r="BE123" s="11"/>
      <c r="BF123" s="11"/>
      <c r="BG123" s="286"/>
      <c r="BH123" s="11"/>
      <c r="BI123" s="11"/>
      <c r="BJ123" s="11"/>
      <c r="CD123" s="28"/>
      <c r="CI123" s="26"/>
    </row>
    <row r="124" spans="5:87" ht="21" x14ac:dyDescent="0.4">
      <c r="E124" s="33"/>
      <c r="F124" s="33"/>
      <c r="G124" s="98"/>
      <c r="H124" s="63"/>
      <c r="I124" s="63"/>
      <c r="J124" s="63"/>
      <c r="K124" s="56"/>
      <c r="L124" s="56"/>
      <c r="M124" s="56"/>
      <c r="N124" s="51"/>
      <c r="O124" s="56"/>
      <c r="P124" s="56"/>
      <c r="Q124" s="78"/>
      <c r="R124" s="56"/>
      <c r="V124" s="15"/>
      <c r="W124" s="15"/>
      <c r="X124" s="15"/>
      <c r="Y124" s="15"/>
      <c r="Z124" s="15"/>
      <c r="AA124" s="15"/>
      <c r="AB124" s="15"/>
      <c r="AC124" s="15"/>
      <c r="AD124" s="27"/>
      <c r="AE124" s="15"/>
      <c r="AF124" s="15"/>
      <c r="AG124" s="15"/>
      <c r="AH124" s="15"/>
      <c r="AI124" s="15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15"/>
      <c r="AV124" s="55"/>
      <c r="AW124" s="27"/>
      <c r="AX124" s="27"/>
      <c r="AY124" s="27"/>
      <c r="AZ124" s="87"/>
      <c r="BA124" s="87"/>
      <c r="BB124" s="11"/>
      <c r="BC124" s="11"/>
      <c r="BD124" s="11"/>
      <c r="BE124" s="11"/>
      <c r="BF124" s="11"/>
      <c r="BG124" s="286"/>
      <c r="BH124" s="11"/>
      <c r="BI124" s="11"/>
      <c r="BJ124" s="11"/>
      <c r="CD124" s="28"/>
      <c r="CI124" s="26"/>
    </row>
    <row r="125" spans="5:87" ht="63" x14ac:dyDescent="0.4">
      <c r="E125" s="33"/>
      <c r="F125" s="33"/>
      <c r="H125" s="11"/>
      <c r="I125" s="108" t="s">
        <v>54</v>
      </c>
      <c r="J125" s="114" t="s">
        <v>55</v>
      </c>
      <c r="K125" s="114" t="s">
        <v>62</v>
      </c>
      <c r="L125" s="63"/>
      <c r="M125" s="63"/>
      <c r="N125" s="51"/>
      <c r="O125" s="63"/>
      <c r="P125" s="63"/>
      <c r="Q125" s="63"/>
      <c r="R125" s="56"/>
      <c r="S125" s="56"/>
      <c r="T125" s="56"/>
      <c r="U125" s="56"/>
      <c r="V125" s="56"/>
      <c r="W125" s="27"/>
      <c r="X125" s="15"/>
      <c r="Y125" s="15"/>
      <c r="Z125" s="15"/>
      <c r="AA125" s="15"/>
      <c r="AB125" s="15"/>
      <c r="AC125" s="15"/>
      <c r="AD125" s="27"/>
      <c r="AE125" s="15"/>
      <c r="AF125" s="15"/>
      <c r="AG125" s="15"/>
      <c r="AH125" s="15"/>
      <c r="AI125" s="15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15"/>
      <c r="AV125" s="55"/>
      <c r="AW125" s="27"/>
      <c r="AX125" s="27"/>
      <c r="AY125" s="27"/>
      <c r="AZ125" s="87"/>
      <c r="BA125" s="87"/>
      <c r="BB125" s="11"/>
      <c r="BC125" s="11"/>
      <c r="BD125" s="11"/>
      <c r="BE125" s="11"/>
      <c r="BF125" s="11"/>
      <c r="BG125" s="286"/>
      <c r="BH125" s="11"/>
      <c r="BI125" s="11"/>
      <c r="BJ125" s="11"/>
      <c r="CD125" s="28"/>
      <c r="CI125" s="26"/>
    </row>
    <row r="126" spans="5:87" ht="21" x14ac:dyDescent="0.4">
      <c r="E126" s="33"/>
      <c r="F126" s="33"/>
      <c r="G126" s="98">
        <v>2005</v>
      </c>
      <c r="H126" s="11"/>
      <c r="I126" s="116">
        <v>100</v>
      </c>
      <c r="J126" s="63"/>
      <c r="K126" s="63"/>
      <c r="N126" s="30"/>
      <c r="R126" s="56"/>
      <c r="V126" s="15"/>
      <c r="W126" s="15"/>
      <c r="X126" s="15"/>
      <c r="Y126" s="15"/>
      <c r="Z126" s="15"/>
      <c r="AA126" s="15"/>
      <c r="AB126" s="15"/>
      <c r="AC126" s="15"/>
      <c r="AD126" s="27"/>
      <c r="AE126" s="15"/>
      <c r="AF126" s="15"/>
      <c r="AG126" s="15"/>
      <c r="AH126" s="15"/>
      <c r="AI126" s="15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15"/>
      <c r="AV126" s="55"/>
      <c r="AW126" s="27"/>
      <c r="AX126" s="27"/>
      <c r="AY126" s="27"/>
      <c r="AZ126" s="87"/>
      <c r="BA126" s="87"/>
      <c r="BB126" s="11"/>
      <c r="BC126" s="11"/>
      <c r="BD126" s="11"/>
      <c r="BE126" s="11"/>
      <c r="BF126" s="11"/>
      <c r="BG126" s="286"/>
      <c r="BH126" s="11"/>
      <c r="BI126" s="11"/>
      <c r="BJ126" s="11"/>
      <c r="CD126" s="28"/>
      <c r="CI126" s="26"/>
    </row>
    <row r="127" spans="5:87" ht="21" x14ac:dyDescent="0.4">
      <c r="E127" s="33"/>
      <c r="F127" s="33"/>
      <c r="G127" s="98">
        <v>2006</v>
      </c>
      <c r="H127" s="11"/>
      <c r="I127" s="51">
        <f t="shared" ref="I127:I142" si="20">+I126*EXP(O107)</f>
        <v>98.505007710089444</v>
      </c>
      <c r="J127" s="56">
        <f t="shared" ref="J127:J142" si="21">LN(I127/I126)</f>
        <v>-1.5062799406002213E-2</v>
      </c>
      <c r="K127" s="56">
        <f t="shared" ref="K127:K142" si="22">+J127*P42</f>
        <v>-4.6003850630754712E-4</v>
      </c>
      <c r="N127" s="30"/>
      <c r="R127" s="56"/>
      <c r="V127" s="15"/>
      <c r="W127" s="15"/>
      <c r="X127" s="15"/>
      <c r="Y127" s="15"/>
      <c r="Z127" s="15"/>
      <c r="AA127" s="15"/>
      <c r="AB127" s="15"/>
      <c r="AC127" s="15"/>
      <c r="AD127" s="27"/>
      <c r="AE127" s="15"/>
      <c r="AF127" s="15"/>
      <c r="AG127" s="15"/>
      <c r="AH127" s="15"/>
      <c r="AI127" s="15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15"/>
      <c r="AV127" s="55"/>
      <c r="AW127" s="27"/>
      <c r="AX127" s="27"/>
      <c r="AY127" s="27"/>
      <c r="AZ127" s="87"/>
      <c r="BA127" s="87"/>
      <c r="BB127" s="11"/>
      <c r="BC127" s="11"/>
      <c r="BD127" s="11"/>
      <c r="BE127" s="11"/>
      <c r="BF127" s="11"/>
      <c r="BG127" s="286"/>
      <c r="BH127" s="11"/>
      <c r="BI127" s="11"/>
      <c r="BJ127" s="11"/>
      <c r="CD127" s="28"/>
      <c r="CI127" s="26"/>
    </row>
    <row r="128" spans="5:87" ht="21" x14ac:dyDescent="0.4">
      <c r="E128" s="33"/>
      <c r="F128" s="33"/>
      <c r="G128" s="98">
        <v>2007</v>
      </c>
      <c r="H128" s="11"/>
      <c r="I128" s="51">
        <f t="shared" si="20"/>
        <v>101.60941426314901</v>
      </c>
      <c r="J128" s="56">
        <f t="shared" si="21"/>
        <v>3.1028804339977439E-2</v>
      </c>
      <c r="K128" s="56">
        <f t="shared" si="22"/>
        <v>9.7769463411438587E-4</v>
      </c>
      <c r="N128" s="30"/>
      <c r="R128" s="56"/>
      <c r="V128" s="15"/>
      <c r="W128" s="15"/>
      <c r="X128" s="15"/>
      <c r="Y128" s="15"/>
      <c r="Z128" s="15"/>
      <c r="AA128" s="15"/>
      <c r="AB128" s="15"/>
      <c r="AC128" s="15"/>
      <c r="AD128" s="27"/>
      <c r="AE128" s="15"/>
      <c r="AF128" s="15"/>
      <c r="AG128" s="15"/>
      <c r="AH128" s="15"/>
      <c r="AI128" s="15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15"/>
      <c r="AV128" s="55"/>
      <c r="AW128" s="27"/>
      <c r="AX128" s="27"/>
      <c r="AY128" s="27"/>
      <c r="AZ128" s="87"/>
      <c r="BA128" s="87"/>
      <c r="BB128" s="11"/>
      <c r="BC128" s="11"/>
      <c r="BD128" s="11"/>
      <c r="BE128" s="11"/>
      <c r="BF128" s="11"/>
      <c r="BG128" s="286"/>
      <c r="BH128" s="11"/>
      <c r="BI128" s="11"/>
      <c r="BJ128" s="11"/>
      <c r="CD128" s="28"/>
      <c r="CI128" s="26"/>
    </row>
    <row r="129" spans="5:87" ht="21" x14ac:dyDescent="0.4">
      <c r="E129" s="33"/>
      <c r="F129" s="33"/>
      <c r="G129" s="98">
        <v>2008</v>
      </c>
      <c r="H129" s="11"/>
      <c r="I129" s="51">
        <f t="shared" si="20"/>
        <v>112.18608020474647</v>
      </c>
      <c r="J129" s="56">
        <f t="shared" si="21"/>
        <v>9.9022732123871804E-2</v>
      </c>
      <c r="K129" s="56">
        <f t="shared" si="22"/>
        <v>3.4706665063354639E-3</v>
      </c>
      <c r="N129" s="30"/>
      <c r="R129" s="56"/>
      <c r="V129" s="15"/>
      <c r="W129" s="15"/>
      <c r="X129" s="15"/>
      <c r="Y129" s="15"/>
      <c r="Z129" s="15"/>
      <c r="AA129" s="15"/>
      <c r="AB129" s="15"/>
      <c r="AC129" s="15"/>
      <c r="AD129" s="27"/>
      <c r="AE129" s="15"/>
      <c r="AF129" s="15"/>
      <c r="AG129" s="15"/>
      <c r="AH129" s="15"/>
      <c r="AI129" s="15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15"/>
      <c r="AV129" s="55"/>
      <c r="AW129" s="27"/>
      <c r="AX129" s="27"/>
      <c r="AY129" s="27"/>
      <c r="AZ129" s="87"/>
      <c r="BA129" s="87"/>
      <c r="BB129" s="11"/>
      <c r="BC129" s="11"/>
      <c r="BD129" s="11"/>
      <c r="BE129" s="11"/>
      <c r="BF129" s="11"/>
      <c r="BG129" s="286"/>
      <c r="BH129" s="11"/>
      <c r="BI129" s="11"/>
      <c r="BJ129" s="11"/>
      <c r="CD129" s="28"/>
      <c r="CI129" s="26"/>
    </row>
    <row r="130" spans="5:87" ht="21" x14ac:dyDescent="0.4">
      <c r="E130" s="33"/>
      <c r="F130" s="33"/>
      <c r="G130" s="98">
        <v>2009</v>
      </c>
      <c r="H130" s="11"/>
      <c r="I130" s="51">
        <f t="shared" si="20"/>
        <v>115.78508954211904</v>
      </c>
      <c r="J130" s="56">
        <f t="shared" si="21"/>
        <v>3.1576873371869651E-2</v>
      </c>
      <c r="K130" s="56">
        <f t="shared" si="22"/>
        <v>1.077783824211586E-3</v>
      </c>
      <c r="N130" s="30"/>
      <c r="R130" s="56"/>
      <c r="V130" s="15"/>
      <c r="W130" s="15"/>
      <c r="X130" s="15"/>
      <c r="Y130" s="15"/>
      <c r="Z130" s="15"/>
      <c r="AA130" s="15"/>
      <c r="AB130" s="15"/>
      <c r="AC130" s="15"/>
      <c r="AD130" s="27"/>
      <c r="AE130" s="15"/>
      <c r="AF130" s="15"/>
      <c r="AG130" s="15"/>
      <c r="AH130" s="15"/>
      <c r="AI130" s="15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15"/>
      <c r="AV130" s="55"/>
      <c r="AW130" s="27"/>
      <c r="AX130" s="27"/>
      <c r="AY130" s="27"/>
      <c r="AZ130" s="87"/>
      <c r="BA130" s="87"/>
      <c r="BB130" s="11"/>
      <c r="BC130" s="11"/>
      <c r="BD130" s="11"/>
      <c r="BE130" s="11"/>
      <c r="BF130" s="11"/>
      <c r="BG130" s="286"/>
      <c r="BH130" s="11"/>
      <c r="BI130" s="11"/>
      <c r="BJ130" s="11"/>
      <c r="CD130" s="29"/>
      <c r="CI130" s="26"/>
    </row>
    <row r="131" spans="5:87" ht="21" x14ac:dyDescent="0.4">
      <c r="E131" s="33"/>
      <c r="F131" s="33"/>
      <c r="G131" s="98">
        <v>2010</v>
      </c>
      <c r="H131" s="11"/>
      <c r="I131" s="51">
        <f t="shared" si="20"/>
        <v>112.87395428333461</v>
      </c>
      <c r="J131" s="56">
        <f t="shared" si="21"/>
        <v>-2.5464049101561029E-2</v>
      </c>
      <c r="K131" s="56">
        <f t="shared" si="22"/>
        <v>-8.4134687543791257E-4</v>
      </c>
      <c r="N131" s="30"/>
      <c r="R131" s="56"/>
      <c r="V131" s="15"/>
      <c r="W131" s="15"/>
      <c r="X131" s="15"/>
      <c r="Y131" s="15"/>
      <c r="Z131" s="15"/>
      <c r="AA131" s="15"/>
      <c r="AB131" s="15"/>
      <c r="AC131" s="15"/>
      <c r="AD131" s="27"/>
      <c r="AE131" s="15"/>
      <c r="AF131" s="15"/>
      <c r="AG131" s="15"/>
      <c r="AH131" s="15"/>
      <c r="AI131" s="15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15"/>
      <c r="AV131" s="55"/>
      <c r="AW131" s="27"/>
      <c r="AX131" s="27"/>
      <c r="AY131" s="27"/>
      <c r="AZ131" s="87"/>
      <c r="BA131" s="87"/>
      <c r="BB131" s="11"/>
      <c r="BC131" s="11"/>
      <c r="BD131" s="11"/>
      <c r="BE131" s="11"/>
      <c r="BF131" s="11"/>
      <c r="BG131" s="286"/>
      <c r="BH131" s="11"/>
      <c r="BI131" s="11"/>
      <c r="BJ131" s="11"/>
      <c r="CD131" s="28"/>
      <c r="CI131" s="26"/>
    </row>
    <row r="132" spans="5:87" ht="21" x14ac:dyDescent="0.4">
      <c r="E132" s="33"/>
      <c r="F132" s="33"/>
      <c r="G132" s="98">
        <v>2011</v>
      </c>
      <c r="H132" s="11"/>
      <c r="I132" s="51">
        <f t="shared" si="20"/>
        <v>115.55720105814311</v>
      </c>
      <c r="J132" s="56">
        <f t="shared" si="21"/>
        <v>2.3493907307803673E-2</v>
      </c>
      <c r="K132" s="56">
        <f t="shared" si="22"/>
        <v>7.9363881626350779E-4</v>
      </c>
      <c r="N132" s="30"/>
      <c r="R132" s="56"/>
      <c r="V132" s="15"/>
      <c r="W132" s="15"/>
      <c r="X132" s="15"/>
      <c r="Y132" s="15"/>
      <c r="Z132" s="15"/>
      <c r="AA132" s="15"/>
      <c r="AB132" s="15"/>
      <c r="AC132" s="15"/>
      <c r="AD132" s="27"/>
      <c r="AE132" s="15"/>
      <c r="AF132" s="15"/>
      <c r="AG132" s="15"/>
      <c r="AH132" s="15"/>
      <c r="AI132" s="15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15"/>
      <c r="AV132" s="55"/>
      <c r="AW132" s="27"/>
      <c r="AX132" s="27"/>
      <c r="AY132" s="27"/>
      <c r="AZ132" s="87"/>
      <c r="BA132" s="87"/>
      <c r="BB132" s="11"/>
      <c r="BC132" s="11"/>
      <c r="BD132" s="11"/>
      <c r="BE132" s="11"/>
      <c r="BF132" s="11"/>
      <c r="BG132" s="286"/>
      <c r="BH132" s="11"/>
      <c r="BI132" s="11"/>
      <c r="BJ132" s="11"/>
      <c r="CD132" s="28"/>
      <c r="CI132" s="26"/>
    </row>
    <row r="133" spans="5:87" ht="21" x14ac:dyDescent="0.4">
      <c r="E133" s="33"/>
      <c r="F133" s="33"/>
      <c r="G133" s="98">
        <v>2012</v>
      </c>
      <c r="H133" s="11"/>
      <c r="I133" s="51">
        <f t="shared" si="20"/>
        <v>105.71665149280997</v>
      </c>
      <c r="J133" s="56">
        <f t="shared" si="21"/>
        <v>-8.900323874551401E-2</v>
      </c>
      <c r="K133" s="56">
        <f t="shared" si="22"/>
        <v>-2.7831070214696949E-3</v>
      </c>
      <c r="N133" s="30"/>
      <c r="R133" s="56"/>
      <c r="V133" s="15"/>
      <c r="W133" s="15"/>
      <c r="X133" s="15"/>
      <c r="Y133" s="15"/>
      <c r="Z133" s="15"/>
      <c r="AA133" s="15"/>
      <c r="AB133" s="15"/>
      <c r="AC133" s="15"/>
      <c r="AD133" s="27"/>
      <c r="AE133" s="15"/>
      <c r="AF133" s="15"/>
      <c r="AG133" s="15"/>
      <c r="AH133" s="15"/>
      <c r="AI133" s="15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15"/>
      <c r="AV133" s="55"/>
      <c r="AW133" s="27"/>
      <c r="AX133" s="27"/>
      <c r="AY133" s="27"/>
      <c r="AZ133" s="87"/>
      <c r="BA133" s="87"/>
      <c r="BB133" s="11"/>
      <c r="BC133" s="11"/>
      <c r="BD133" s="11"/>
      <c r="BE133" s="11"/>
      <c r="BF133" s="11"/>
      <c r="BG133" s="286"/>
      <c r="BH133" s="11"/>
      <c r="BI133" s="11"/>
      <c r="BJ133" s="11"/>
      <c r="CD133" s="28"/>
      <c r="CI133" s="26"/>
    </row>
    <row r="134" spans="5:87" ht="21" x14ac:dyDescent="0.4">
      <c r="E134" s="33"/>
      <c r="F134" s="33"/>
      <c r="G134" s="98">
        <v>2013</v>
      </c>
      <c r="H134" s="11"/>
      <c r="I134" s="51">
        <f t="shared" si="20"/>
        <v>118.06882826946264</v>
      </c>
      <c r="J134" s="56">
        <f t="shared" si="21"/>
        <v>0.11050532895856813</v>
      </c>
      <c r="K134" s="56">
        <f t="shared" si="22"/>
        <v>3.7472507169373768E-3</v>
      </c>
      <c r="N134" s="30"/>
      <c r="R134" s="56"/>
      <c r="V134" s="15"/>
      <c r="W134" s="15"/>
      <c r="X134" s="15"/>
      <c r="Y134" s="15"/>
      <c r="Z134" s="15"/>
      <c r="AA134" s="15"/>
      <c r="AB134" s="15"/>
      <c r="AC134" s="15"/>
      <c r="AD134" s="27"/>
      <c r="AE134" s="15"/>
      <c r="AF134" s="15"/>
      <c r="AG134" s="15"/>
      <c r="AH134" s="15"/>
      <c r="AI134" s="15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15"/>
      <c r="AV134" s="55"/>
      <c r="AW134" s="27"/>
      <c r="AX134" s="27"/>
      <c r="AY134" s="27"/>
      <c r="AZ134" s="87"/>
      <c r="BA134" s="87"/>
      <c r="BB134" s="11"/>
      <c r="BC134" s="11"/>
      <c r="BD134" s="11"/>
      <c r="BE134" s="11"/>
      <c r="BF134" s="11"/>
      <c r="BG134" s="286"/>
      <c r="BH134" s="11"/>
      <c r="BI134" s="11"/>
      <c r="BJ134" s="11"/>
      <c r="CD134" s="28"/>
      <c r="CI134" s="26"/>
    </row>
    <row r="135" spans="5:87" ht="21" x14ac:dyDescent="0.4">
      <c r="E135" s="33"/>
      <c r="F135" s="33"/>
      <c r="G135" s="98">
        <v>2014</v>
      </c>
      <c r="H135" s="11"/>
      <c r="I135" s="51">
        <f t="shared" si="20"/>
        <v>118.96701131686267</v>
      </c>
      <c r="J135" s="56">
        <f t="shared" si="21"/>
        <v>7.5784940183316971E-3</v>
      </c>
      <c r="K135" s="56">
        <f t="shared" si="22"/>
        <v>2.5890129008462838E-4</v>
      </c>
      <c r="N135" s="30"/>
      <c r="R135" s="56"/>
      <c r="V135" s="15"/>
      <c r="W135" s="15"/>
      <c r="X135" s="15"/>
      <c r="Y135" s="15"/>
      <c r="Z135" s="15"/>
      <c r="AA135" s="15"/>
      <c r="AB135" s="15"/>
      <c r="AC135" s="15"/>
      <c r="AD135" s="27"/>
      <c r="AE135" s="15"/>
      <c r="AF135" s="15"/>
      <c r="AG135" s="15"/>
      <c r="AH135" s="15"/>
      <c r="AI135" s="15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15"/>
      <c r="AV135" s="55"/>
      <c r="AW135" s="27"/>
      <c r="AX135" s="27"/>
      <c r="AY135" s="27"/>
      <c r="AZ135" s="87"/>
      <c r="BA135" s="87"/>
      <c r="BB135" s="11"/>
      <c r="BC135" s="11"/>
      <c r="BD135" s="11"/>
      <c r="BE135" s="11"/>
      <c r="BF135" s="11"/>
      <c r="BG135" s="286"/>
      <c r="BH135" s="11"/>
      <c r="BI135" s="11"/>
      <c r="BJ135" s="11"/>
      <c r="CD135" s="28"/>
      <c r="CI135" s="26"/>
    </row>
    <row r="136" spans="5:87" ht="21" x14ac:dyDescent="0.4">
      <c r="E136" s="33"/>
      <c r="F136" s="33"/>
      <c r="G136" s="98">
        <v>2015</v>
      </c>
      <c r="H136" s="11"/>
      <c r="I136" s="51">
        <f t="shared" si="20"/>
        <v>113.34093711836077</v>
      </c>
      <c r="J136" s="56">
        <f t="shared" si="21"/>
        <v>-4.8445819943091148E-2</v>
      </c>
      <c r="K136" s="56">
        <f t="shared" si="22"/>
        <v>-1.5677340445733427E-3</v>
      </c>
      <c r="N136" s="30"/>
      <c r="R136" s="56"/>
      <c r="V136" s="15"/>
      <c r="W136" s="15"/>
      <c r="X136" s="15"/>
      <c r="Y136" s="15"/>
      <c r="Z136" s="15"/>
      <c r="AA136" s="15"/>
      <c r="AB136" s="15"/>
      <c r="AC136" s="15"/>
      <c r="AD136" s="27"/>
      <c r="AE136" s="15"/>
      <c r="AF136" s="15"/>
      <c r="AG136" s="15"/>
      <c r="AH136" s="15"/>
      <c r="AI136" s="15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15"/>
      <c r="AV136" s="55"/>
      <c r="AW136" s="27"/>
      <c r="AX136" s="27"/>
      <c r="AY136" s="27"/>
      <c r="AZ136" s="87"/>
      <c r="BA136" s="87"/>
      <c r="BB136" s="11"/>
      <c r="BC136" s="11"/>
      <c r="BD136" s="11"/>
      <c r="BE136" s="11"/>
      <c r="BF136" s="11"/>
      <c r="BG136" s="286"/>
      <c r="BH136" s="11"/>
      <c r="BI136" s="11"/>
      <c r="BJ136" s="11"/>
      <c r="CD136" s="28"/>
      <c r="CI136" s="26"/>
    </row>
    <row r="137" spans="5:87" ht="21" x14ac:dyDescent="0.4">
      <c r="E137" s="33"/>
      <c r="F137" s="33"/>
      <c r="G137" s="98">
        <v>2016</v>
      </c>
      <c r="H137" s="11"/>
      <c r="I137" s="51">
        <f t="shared" si="20"/>
        <v>122.86859653788703</v>
      </c>
      <c r="J137" s="56">
        <f t="shared" si="21"/>
        <v>8.0715044568433217E-2</v>
      </c>
      <c r="K137" s="56">
        <f t="shared" si="22"/>
        <v>2.7396882041933641E-3</v>
      </c>
      <c r="N137" s="30"/>
      <c r="R137" s="56"/>
      <c r="V137" s="15"/>
      <c r="W137" s="15"/>
      <c r="X137" s="15"/>
      <c r="Y137" s="15"/>
      <c r="Z137" s="15"/>
      <c r="AA137" s="15"/>
      <c r="AB137" s="15"/>
      <c r="AC137" s="15"/>
      <c r="AD137" s="27"/>
      <c r="AE137" s="15"/>
      <c r="AF137" s="15"/>
      <c r="AG137" s="15"/>
      <c r="AH137" s="15"/>
      <c r="AI137" s="15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15"/>
      <c r="AV137" s="55"/>
      <c r="AW137" s="27"/>
      <c r="AX137" s="27"/>
      <c r="AY137" s="27"/>
      <c r="AZ137" s="87"/>
      <c r="BA137" s="87"/>
      <c r="BB137" s="11"/>
      <c r="BC137" s="11"/>
      <c r="BD137" s="11"/>
      <c r="BE137" s="11"/>
      <c r="BF137" s="11"/>
      <c r="BG137" s="286"/>
      <c r="BH137" s="11"/>
      <c r="BI137" s="11"/>
      <c r="BJ137" s="11"/>
      <c r="CD137" s="28"/>
      <c r="CI137" s="26"/>
    </row>
    <row r="138" spans="5:87" ht="21" x14ac:dyDescent="0.4">
      <c r="E138" s="33"/>
      <c r="F138" s="33"/>
      <c r="G138" s="98">
        <v>2017</v>
      </c>
      <c r="H138" s="11"/>
      <c r="I138" s="51">
        <f t="shared" si="20"/>
        <v>123.51924706489976</v>
      </c>
      <c r="J138" s="56">
        <f t="shared" si="21"/>
        <v>5.2815271237715393E-3</v>
      </c>
      <c r="K138" s="56">
        <f t="shared" si="22"/>
        <v>1.754130864461453E-4</v>
      </c>
      <c r="N138" s="30"/>
      <c r="R138" s="56"/>
      <c r="V138" s="15"/>
      <c r="W138" s="15"/>
      <c r="X138" s="15"/>
      <c r="Y138" s="15"/>
      <c r="Z138" s="15"/>
      <c r="AA138" s="15"/>
      <c r="AB138" s="15"/>
      <c r="AC138" s="15"/>
      <c r="AD138" s="27"/>
      <c r="AE138" s="15"/>
      <c r="AF138" s="15"/>
      <c r="AG138" s="15"/>
      <c r="AH138" s="15"/>
      <c r="AI138" s="15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15"/>
      <c r="AV138" s="55"/>
      <c r="AW138" s="27"/>
      <c r="AX138" s="27"/>
      <c r="AY138" s="27"/>
      <c r="AZ138" s="87"/>
      <c r="BA138" s="87"/>
      <c r="BB138" s="11"/>
      <c r="BC138" s="11"/>
      <c r="BD138" s="11"/>
      <c r="BE138" s="11"/>
      <c r="BF138" s="11"/>
      <c r="BG138" s="286"/>
      <c r="BH138" s="11"/>
      <c r="BI138" s="11"/>
      <c r="BJ138" s="11"/>
      <c r="CD138" s="28"/>
      <c r="CI138" s="26"/>
    </row>
    <row r="139" spans="5:87" ht="21" x14ac:dyDescent="0.4">
      <c r="E139" s="33"/>
      <c r="F139" s="33"/>
      <c r="G139" s="98">
        <v>2018</v>
      </c>
      <c r="H139" s="11"/>
      <c r="I139" s="51">
        <f t="shared" si="20"/>
        <v>236.24828422187028</v>
      </c>
      <c r="J139" s="56">
        <f t="shared" si="21"/>
        <v>0.64848631318999961</v>
      </c>
      <c r="K139" s="56">
        <f t="shared" si="22"/>
        <v>3.9458461316355213E-2</v>
      </c>
      <c r="N139" s="30"/>
      <c r="R139" s="56"/>
      <c r="V139" s="15"/>
      <c r="W139" s="15"/>
      <c r="X139" s="15"/>
      <c r="Y139" s="15"/>
      <c r="Z139" s="15"/>
      <c r="AA139" s="15"/>
      <c r="AB139" s="15"/>
      <c r="AC139" s="15"/>
      <c r="AD139" s="27"/>
      <c r="AE139" s="15"/>
      <c r="AF139" s="15"/>
      <c r="AG139" s="15"/>
      <c r="AH139" s="15"/>
      <c r="AI139" s="15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15"/>
      <c r="AV139" s="55"/>
      <c r="AW139" s="27"/>
      <c r="AX139" s="27"/>
      <c r="AY139" s="27"/>
      <c r="AZ139" s="87"/>
      <c r="BA139" s="87"/>
      <c r="BB139" s="11"/>
      <c r="BC139" s="11"/>
      <c r="BD139" s="11"/>
      <c r="BE139" s="11"/>
      <c r="BF139" s="11"/>
      <c r="BG139" s="286"/>
      <c r="BH139" s="11"/>
      <c r="BI139" s="11"/>
      <c r="BJ139" s="11"/>
      <c r="CD139" s="28"/>
      <c r="CI139" s="26"/>
    </row>
    <row r="140" spans="5:87" ht="21" x14ac:dyDescent="0.4">
      <c r="E140" s="33"/>
      <c r="F140" s="33"/>
      <c r="G140" s="98">
        <v>2019</v>
      </c>
      <c r="H140" s="11"/>
      <c r="I140" s="51">
        <f t="shared" si="20"/>
        <v>154.43602806555742</v>
      </c>
      <c r="J140" s="56">
        <f t="shared" si="21"/>
        <v>-0.42510335103046915</v>
      </c>
      <c r="K140" s="56">
        <f t="shared" si="22"/>
        <v>-1.6780364331367245E-2</v>
      </c>
      <c r="N140" s="30"/>
      <c r="R140" s="56"/>
      <c r="V140" s="15"/>
      <c r="W140" s="15"/>
      <c r="X140" s="15"/>
      <c r="Y140" s="15"/>
      <c r="Z140" s="15"/>
      <c r="AA140" s="15"/>
      <c r="AB140" s="15"/>
      <c r="AC140" s="15"/>
      <c r="AD140" s="27"/>
      <c r="AE140" s="15"/>
      <c r="AF140" s="15"/>
      <c r="AG140" s="15"/>
      <c r="AH140" s="15"/>
      <c r="AI140" s="15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15"/>
      <c r="AV140" s="55"/>
      <c r="AW140" s="27"/>
      <c r="AX140" s="27"/>
      <c r="AY140" s="27"/>
      <c r="AZ140" s="87"/>
      <c r="BA140" s="87"/>
      <c r="BB140" s="11"/>
      <c r="BC140" s="11"/>
      <c r="BD140" s="11"/>
      <c r="BE140" s="11"/>
      <c r="BF140" s="11"/>
      <c r="BG140" s="286"/>
      <c r="BH140" s="11"/>
      <c r="BI140" s="11"/>
      <c r="BJ140" s="11"/>
      <c r="CD140" s="28"/>
      <c r="CI140" s="26"/>
    </row>
    <row r="141" spans="5:87" ht="21" x14ac:dyDescent="0.4">
      <c r="E141" s="33"/>
      <c r="F141" s="33"/>
      <c r="G141" s="98">
        <v>2020</v>
      </c>
      <c r="H141" s="11"/>
      <c r="I141" s="51">
        <f t="shared" si="20"/>
        <v>121.93784451427952</v>
      </c>
      <c r="J141" s="56">
        <f t="shared" si="21"/>
        <v>-0.23626850904979946</v>
      </c>
      <c r="K141" s="56">
        <f t="shared" si="22"/>
        <v>-7.4027223725369219E-3</v>
      </c>
      <c r="N141" s="30"/>
      <c r="R141" s="56"/>
      <c r="V141" s="15"/>
      <c r="W141" s="15"/>
      <c r="X141" s="15"/>
      <c r="Y141" s="15"/>
      <c r="Z141" s="15"/>
      <c r="AA141" s="15"/>
      <c r="AB141" s="15"/>
      <c r="AC141" s="15"/>
      <c r="AD141" s="27"/>
      <c r="AE141" s="15"/>
      <c r="AF141" s="15"/>
      <c r="AG141" s="15"/>
      <c r="AH141" s="15"/>
      <c r="AI141" s="15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15"/>
      <c r="AV141" s="55"/>
      <c r="AW141" s="27"/>
      <c r="AX141" s="27"/>
      <c r="AY141" s="27"/>
      <c r="AZ141" s="87"/>
      <c r="BA141" s="87"/>
      <c r="BB141" s="11"/>
      <c r="BC141" s="11"/>
      <c r="BD141" s="11"/>
      <c r="BE141" s="11"/>
      <c r="BF141" s="11"/>
      <c r="BG141" s="286"/>
      <c r="BH141" s="11"/>
      <c r="BI141" s="11"/>
      <c r="BJ141" s="11"/>
      <c r="CD141" s="28"/>
      <c r="CI141" s="26"/>
    </row>
    <row r="142" spans="5:87" ht="21" x14ac:dyDescent="0.4">
      <c r="E142" s="33"/>
      <c r="F142" s="33"/>
      <c r="G142" s="98">
        <v>2021</v>
      </c>
      <c r="H142" s="11"/>
      <c r="I142" s="51">
        <f t="shared" si="20"/>
        <v>123.40677297258466</v>
      </c>
      <c r="J142" s="56">
        <f t="shared" si="21"/>
        <v>1.1974552576452809E-2</v>
      </c>
      <c r="K142" s="56">
        <f t="shared" si="22"/>
        <v>3.7832133203770287E-4</v>
      </c>
      <c r="N142" s="30"/>
      <c r="R142" s="56"/>
      <c r="V142" s="15"/>
      <c r="W142" s="15"/>
      <c r="X142" s="15"/>
      <c r="Y142" s="15"/>
      <c r="Z142" s="15"/>
      <c r="AA142" s="15"/>
      <c r="AB142" s="15"/>
      <c r="AC142" s="15"/>
      <c r="AD142" s="27"/>
      <c r="AE142" s="15"/>
      <c r="AF142" s="15"/>
      <c r="AG142" s="15"/>
      <c r="AH142" s="15"/>
      <c r="AI142" s="15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15"/>
      <c r="AV142" s="55"/>
      <c r="AW142" s="27"/>
      <c r="AX142" s="27"/>
      <c r="AY142" s="27"/>
      <c r="AZ142" s="87"/>
      <c r="BA142" s="87"/>
      <c r="BB142" s="11"/>
      <c r="BC142" s="11"/>
      <c r="BD142" s="11"/>
      <c r="BE142" s="11"/>
      <c r="BF142" s="11"/>
      <c r="BG142" s="286"/>
      <c r="BH142" s="11"/>
      <c r="BI142" s="11"/>
      <c r="BJ142" s="11"/>
      <c r="CD142" s="28"/>
      <c r="CI142" s="26"/>
    </row>
    <row r="143" spans="5:87" ht="21" x14ac:dyDescent="0.4">
      <c r="E143" s="33"/>
      <c r="F143" s="33"/>
      <c r="H143" s="11"/>
      <c r="I143" s="11"/>
      <c r="N143" s="30"/>
      <c r="R143" s="56"/>
      <c r="V143" s="15"/>
      <c r="W143" s="15"/>
      <c r="X143" s="15"/>
      <c r="Y143" s="15"/>
      <c r="Z143" s="15"/>
      <c r="AA143" s="15"/>
      <c r="AB143" s="15"/>
      <c r="AC143" s="15"/>
      <c r="AD143" s="27"/>
      <c r="AE143" s="15"/>
      <c r="AF143" s="15"/>
      <c r="AG143" s="15"/>
      <c r="AH143" s="15"/>
      <c r="AI143" s="15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15"/>
      <c r="AV143" s="55"/>
      <c r="AW143" s="27"/>
      <c r="AX143" s="27"/>
      <c r="AY143" s="27"/>
      <c r="AZ143" s="87"/>
      <c r="BA143" s="87"/>
      <c r="BB143" s="11"/>
      <c r="BC143" s="11"/>
      <c r="BD143" s="11"/>
      <c r="BE143" s="11"/>
      <c r="BF143" s="11"/>
      <c r="BG143" s="286"/>
      <c r="BH143" s="11"/>
      <c r="BI143" s="11"/>
      <c r="BJ143" s="11"/>
      <c r="CD143" s="28"/>
      <c r="CI143" s="26"/>
    </row>
    <row r="144" spans="5:87" ht="21" x14ac:dyDescent="0.4">
      <c r="E144" s="33"/>
      <c r="F144" s="33"/>
      <c r="H144" s="11"/>
      <c r="I144" s="11"/>
      <c r="N144" s="30"/>
      <c r="R144" s="56"/>
      <c r="V144" s="15"/>
      <c r="W144" s="15"/>
      <c r="X144" s="15"/>
      <c r="Y144" s="15"/>
      <c r="Z144" s="15"/>
      <c r="AA144" s="15"/>
      <c r="AB144" s="15"/>
      <c r="AC144" s="15"/>
      <c r="AD144" s="27"/>
      <c r="AE144" s="15"/>
      <c r="AF144" s="15"/>
      <c r="AG144" s="15"/>
      <c r="AH144" s="15"/>
      <c r="AI144" s="15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15"/>
      <c r="AV144" s="55"/>
      <c r="AW144" s="27"/>
      <c r="AX144" s="27"/>
      <c r="AY144" s="27"/>
      <c r="AZ144" s="87"/>
      <c r="BA144" s="87"/>
      <c r="BB144" s="11"/>
      <c r="BC144" s="11"/>
      <c r="BD144" s="11"/>
      <c r="BE144" s="11"/>
      <c r="BF144" s="11"/>
      <c r="BG144" s="286"/>
      <c r="BH144" s="11"/>
      <c r="BI144" s="11"/>
      <c r="BJ144" s="11"/>
      <c r="CD144" s="28"/>
      <c r="CI144" s="26"/>
    </row>
    <row r="145" spans="5:87" ht="21" x14ac:dyDescent="0.4">
      <c r="E145" s="33"/>
      <c r="F145" s="33"/>
      <c r="H145" s="11"/>
      <c r="I145" s="11"/>
      <c r="N145" s="30"/>
      <c r="R145" s="56"/>
      <c r="V145" s="15"/>
      <c r="W145" s="15"/>
      <c r="X145" s="15"/>
      <c r="Y145" s="15"/>
      <c r="Z145" s="15"/>
      <c r="AA145" s="15"/>
      <c r="AB145" s="15"/>
      <c r="AC145" s="15"/>
      <c r="AD145" s="27"/>
      <c r="AE145" s="15"/>
      <c r="AF145" s="15"/>
      <c r="AG145" s="15"/>
      <c r="AH145" s="15"/>
      <c r="AI145" s="15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15"/>
      <c r="AV145" s="55"/>
      <c r="AW145" s="27"/>
      <c r="AX145" s="27"/>
      <c r="AY145" s="27"/>
      <c r="AZ145" s="87"/>
      <c r="BA145" s="87"/>
      <c r="BB145" s="11"/>
      <c r="BC145" s="11"/>
      <c r="BD145" s="11"/>
      <c r="BE145" s="11"/>
      <c r="BF145" s="11"/>
      <c r="BG145" s="286"/>
      <c r="BH145" s="11"/>
      <c r="BI145" s="11"/>
      <c r="BJ145" s="11"/>
      <c r="CD145" s="28"/>
      <c r="CI145" s="26"/>
    </row>
    <row r="146" spans="5:87" ht="21" x14ac:dyDescent="0.4">
      <c r="E146" s="33"/>
      <c r="F146" s="33"/>
      <c r="H146" s="11"/>
      <c r="I146" s="11"/>
      <c r="N146" s="30"/>
      <c r="R146" s="56"/>
      <c r="V146" s="15"/>
      <c r="W146" s="15"/>
      <c r="X146" s="15"/>
      <c r="Y146" s="15"/>
      <c r="Z146" s="15"/>
      <c r="AA146" s="15"/>
      <c r="AB146" s="15"/>
      <c r="AC146" s="15"/>
      <c r="AD146" s="27"/>
      <c r="AE146" s="15"/>
      <c r="AF146" s="15"/>
      <c r="AG146" s="15"/>
      <c r="AH146" s="15"/>
      <c r="AI146" s="15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15"/>
      <c r="AV146" s="55"/>
      <c r="AW146" s="27"/>
      <c r="AX146" s="27"/>
      <c r="AY146" s="27"/>
      <c r="AZ146" s="87"/>
      <c r="BA146" s="87"/>
      <c r="BB146" s="11"/>
      <c r="BC146" s="11"/>
      <c r="BD146" s="11"/>
      <c r="BE146" s="11"/>
      <c r="BF146" s="11"/>
      <c r="BG146" s="286"/>
      <c r="BH146" s="11"/>
      <c r="BI146" s="11"/>
      <c r="BJ146" s="11"/>
      <c r="CD146" s="28"/>
      <c r="CI146" s="26"/>
    </row>
    <row r="147" spans="5:87" ht="21" x14ac:dyDescent="0.4">
      <c r="E147" s="33"/>
      <c r="F147" s="33"/>
      <c r="H147" s="11"/>
      <c r="I147" s="11"/>
      <c r="N147" s="30"/>
      <c r="R147" s="63"/>
      <c r="V147" s="15"/>
      <c r="W147" s="15"/>
      <c r="X147" s="15"/>
      <c r="Y147" s="15"/>
      <c r="Z147" s="15"/>
      <c r="AA147" s="15"/>
      <c r="AB147" s="15"/>
      <c r="AC147" s="15"/>
      <c r="AD147" s="27"/>
      <c r="AE147" s="15"/>
      <c r="AF147" s="15"/>
      <c r="AG147" s="15"/>
      <c r="AH147" s="15"/>
      <c r="AI147" s="15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15"/>
      <c r="AV147" s="55"/>
      <c r="AW147" s="27"/>
      <c r="AX147" s="27"/>
      <c r="AY147" s="27"/>
      <c r="AZ147" s="87"/>
      <c r="BA147" s="87"/>
      <c r="BB147" s="11"/>
      <c r="BC147" s="11"/>
      <c r="BD147" s="11"/>
      <c r="BE147" s="11"/>
      <c r="BF147" s="11"/>
      <c r="BG147" s="286"/>
      <c r="BH147" s="11"/>
      <c r="BI147" s="11"/>
      <c r="BJ147" s="11"/>
      <c r="CD147" s="28"/>
      <c r="CI147" s="26"/>
    </row>
    <row r="148" spans="5:87" ht="21" x14ac:dyDescent="0.4">
      <c r="E148" s="33"/>
      <c r="F148" s="33"/>
      <c r="H148" s="11"/>
      <c r="I148" s="11"/>
      <c r="N148" s="30"/>
      <c r="R148" s="63"/>
      <c r="V148" s="15"/>
      <c r="W148" s="15"/>
      <c r="X148" s="15"/>
      <c r="Y148" s="15"/>
      <c r="Z148" s="15"/>
      <c r="AA148" s="15"/>
      <c r="AB148" s="15"/>
      <c r="AC148" s="15"/>
      <c r="AD148" s="27"/>
      <c r="AE148" s="15"/>
      <c r="AF148" s="15"/>
      <c r="AG148" s="15"/>
      <c r="AH148" s="15"/>
      <c r="AI148" s="15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15"/>
      <c r="AV148" s="55"/>
      <c r="AW148" s="27"/>
      <c r="AX148" s="27"/>
      <c r="AY148" s="27"/>
      <c r="AZ148" s="87"/>
      <c r="BA148" s="87"/>
      <c r="BB148" s="11"/>
      <c r="BC148" s="11"/>
      <c r="BD148" s="11"/>
      <c r="BE148" s="11"/>
      <c r="BF148" s="11"/>
      <c r="BG148" s="286"/>
      <c r="BH148" s="11"/>
      <c r="BI148" s="11"/>
      <c r="BJ148" s="11"/>
      <c r="CD148" s="28"/>
      <c r="CI148" s="26"/>
    </row>
    <row r="149" spans="5:87" ht="21" x14ac:dyDescent="0.4">
      <c r="E149" s="33"/>
      <c r="F149" s="33"/>
      <c r="H149" s="11"/>
      <c r="I149" s="11"/>
      <c r="N149" s="30"/>
      <c r="R149" s="63"/>
      <c r="V149" s="15"/>
      <c r="W149" s="15"/>
      <c r="X149" s="15"/>
      <c r="Y149" s="15"/>
      <c r="Z149" s="15"/>
      <c r="AA149" s="15"/>
      <c r="AB149" s="15"/>
      <c r="AC149" s="15"/>
      <c r="AD149" s="27"/>
      <c r="AE149" s="15"/>
      <c r="AF149" s="15"/>
      <c r="AG149" s="15"/>
      <c r="AH149" s="15"/>
      <c r="AI149" s="15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15"/>
      <c r="AV149" s="55"/>
      <c r="AW149" s="27"/>
      <c r="AX149" s="27"/>
      <c r="AY149" s="27"/>
      <c r="AZ149" s="87"/>
      <c r="BA149" s="87"/>
      <c r="BB149" s="11"/>
      <c r="BC149" s="11"/>
      <c r="BD149" s="11"/>
      <c r="BE149" s="11"/>
      <c r="BF149" s="11"/>
      <c r="BG149" s="286"/>
      <c r="BH149" s="11"/>
      <c r="BI149" s="11"/>
      <c r="BJ149" s="11"/>
      <c r="CD149" s="28"/>
      <c r="CI149" s="26"/>
    </row>
    <row r="150" spans="5:87" ht="21" x14ac:dyDescent="0.4">
      <c r="E150" s="33"/>
      <c r="F150" s="33"/>
      <c r="H150" s="11"/>
      <c r="I150" s="11"/>
      <c r="N150" s="30"/>
      <c r="R150" s="63"/>
      <c r="V150" s="15"/>
      <c r="W150" s="15"/>
      <c r="X150" s="15"/>
      <c r="Y150" s="15"/>
      <c r="Z150" s="15"/>
      <c r="AA150" s="15"/>
      <c r="AB150" s="15"/>
      <c r="AC150" s="15"/>
      <c r="AD150" s="27"/>
      <c r="AE150" s="15"/>
      <c r="AF150" s="15"/>
      <c r="AG150" s="15"/>
      <c r="AH150" s="15"/>
      <c r="AI150" s="15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15"/>
      <c r="AV150" s="55"/>
      <c r="AW150" s="27"/>
      <c r="AX150" s="27"/>
      <c r="AY150" s="27"/>
      <c r="AZ150" s="87"/>
      <c r="BA150" s="87"/>
      <c r="BB150" s="11"/>
      <c r="BC150" s="11"/>
      <c r="BD150" s="11"/>
      <c r="BE150" s="11"/>
      <c r="BF150" s="11"/>
      <c r="BG150" s="286"/>
      <c r="BH150" s="11"/>
      <c r="BI150" s="11"/>
      <c r="BJ150" s="11"/>
      <c r="CD150" s="28"/>
      <c r="CI150" s="26"/>
    </row>
    <row r="151" spans="5:87" ht="21" x14ac:dyDescent="0.4">
      <c r="E151" s="33"/>
      <c r="F151" s="33"/>
      <c r="H151" s="11"/>
      <c r="I151" s="11"/>
      <c r="N151" s="30"/>
      <c r="R151" s="63"/>
      <c r="V151" s="15"/>
      <c r="W151" s="15"/>
      <c r="X151" s="15"/>
      <c r="Y151" s="15"/>
      <c r="Z151" s="15"/>
      <c r="AA151" s="15"/>
      <c r="AB151" s="15"/>
      <c r="AC151" s="15"/>
      <c r="AD151" s="27"/>
      <c r="AE151" s="15"/>
      <c r="AF151" s="15"/>
      <c r="AG151" s="15"/>
      <c r="AH151" s="15"/>
      <c r="AI151" s="15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15"/>
      <c r="AV151" s="55"/>
      <c r="AW151" s="27"/>
      <c r="AX151" s="27"/>
      <c r="AY151" s="27"/>
      <c r="AZ151" s="87"/>
      <c r="BA151" s="87"/>
      <c r="BB151" s="11"/>
      <c r="BC151" s="11"/>
      <c r="BD151" s="11"/>
      <c r="BE151" s="11"/>
      <c r="BF151" s="11"/>
      <c r="BG151" s="286"/>
      <c r="BH151" s="11"/>
      <c r="BI151" s="11"/>
      <c r="BJ151" s="11"/>
      <c r="CD151" s="28"/>
      <c r="CI151" s="26"/>
    </row>
    <row r="152" spans="5:87" ht="21" x14ac:dyDescent="0.4">
      <c r="E152" s="33"/>
      <c r="F152" s="33"/>
      <c r="H152" s="11"/>
      <c r="I152" s="11"/>
      <c r="N152" s="30"/>
      <c r="R152" s="63"/>
      <c r="V152" s="15"/>
      <c r="W152" s="15"/>
      <c r="X152" s="15"/>
      <c r="Y152" s="15"/>
      <c r="Z152" s="15"/>
      <c r="AA152" s="15"/>
      <c r="AB152" s="15"/>
      <c r="AC152" s="15"/>
      <c r="AD152" s="27"/>
      <c r="AE152" s="15"/>
      <c r="AF152" s="15"/>
      <c r="AG152" s="15"/>
      <c r="AH152" s="15"/>
      <c r="AI152" s="15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15"/>
      <c r="AV152" s="55"/>
      <c r="AW152" s="27"/>
      <c r="AX152" s="27"/>
      <c r="AY152" s="27"/>
      <c r="AZ152" s="87"/>
      <c r="BA152" s="87"/>
      <c r="BB152" s="11"/>
      <c r="BC152" s="11"/>
      <c r="BD152" s="11"/>
      <c r="BE152" s="11"/>
      <c r="BF152" s="11"/>
      <c r="BG152" s="286"/>
      <c r="BH152" s="11"/>
      <c r="BI152" s="11"/>
      <c r="BJ152" s="11"/>
      <c r="CD152" s="29"/>
      <c r="CI152" s="26"/>
    </row>
    <row r="153" spans="5:87" ht="21" x14ac:dyDescent="0.4">
      <c r="E153" s="33"/>
      <c r="F153" s="33"/>
      <c r="H153" s="11"/>
      <c r="I153" s="11"/>
      <c r="N153" s="30"/>
      <c r="R153" s="63"/>
      <c r="V153" s="15"/>
      <c r="W153" s="15"/>
      <c r="X153" s="15"/>
      <c r="Y153" s="15"/>
      <c r="Z153" s="15"/>
      <c r="AA153" s="15"/>
      <c r="AB153" s="15"/>
      <c r="AC153" s="15"/>
      <c r="AD153" s="27"/>
      <c r="AE153" s="15"/>
      <c r="AF153" s="15"/>
      <c r="AG153" s="15"/>
      <c r="AH153" s="15"/>
      <c r="AI153" s="15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15"/>
      <c r="AV153" s="55"/>
      <c r="AW153" s="27"/>
      <c r="AX153" s="27"/>
      <c r="AY153" s="27"/>
      <c r="AZ153" s="87"/>
      <c r="BA153" s="87"/>
      <c r="BB153" s="11"/>
      <c r="BC153" s="11"/>
      <c r="BD153" s="11"/>
      <c r="BE153" s="11"/>
      <c r="BF153" s="11"/>
      <c r="BG153" s="286"/>
      <c r="BH153" s="11"/>
      <c r="BI153" s="11"/>
      <c r="BJ153" s="11"/>
      <c r="CD153" s="28"/>
      <c r="CI153" s="26"/>
    </row>
    <row r="154" spans="5:87" ht="21" x14ac:dyDescent="0.4">
      <c r="E154" s="33"/>
      <c r="F154" s="33"/>
      <c r="H154" s="11"/>
      <c r="I154" s="11"/>
      <c r="N154" s="30"/>
      <c r="R154" s="63"/>
      <c r="V154" s="15"/>
      <c r="W154" s="15"/>
      <c r="X154" s="15"/>
      <c r="Y154" s="15"/>
      <c r="Z154" s="15"/>
      <c r="AA154" s="15"/>
      <c r="AB154" s="15"/>
      <c r="AC154" s="15"/>
      <c r="AD154" s="27"/>
      <c r="AE154" s="15"/>
      <c r="AF154" s="15"/>
      <c r="AG154" s="15"/>
      <c r="AH154" s="15"/>
      <c r="AI154" s="15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15"/>
      <c r="AV154" s="55"/>
      <c r="AW154" s="27"/>
      <c r="AX154" s="27"/>
      <c r="AY154" s="27"/>
      <c r="AZ154" s="87"/>
      <c r="BA154" s="87"/>
      <c r="BB154" s="11"/>
      <c r="BC154" s="11"/>
      <c r="BD154" s="11"/>
      <c r="BE154" s="11"/>
      <c r="BF154" s="11"/>
      <c r="BG154" s="286"/>
      <c r="BH154" s="11"/>
      <c r="BI154" s="11"/>
      <c r="BJ154" s="11"/>
      <c r="CD154" s="28"/>
      <c r="CI154" s="26"/>
    </row>
    <row r="155" spans="5:87" ht="21" x14ac:dyDescent="0.4">
      <c r="E155" s="33"/>
      <c r="F155" s="33"/>
      <c r="H155" s="11"/>
      <c r="I155" s="11"/>
      <c r="N155" s="30"/>
      <c r="R155" s="63"/>
      <c r="V155" s="15"/>
      <c r="W155" s="15"/>
      <c r="X155" s="15"/>
      <c r="Y155" s="15"/>
      <c r="Z155" s="15"/>
      <c r="AA155" s="15"/>
      <c r="AB155" s="15"/>
      <c r="AC155" s="15"/>
      <c r="AD155" s="27"/>
      <c r="AE155" s="15"/>
      <c r="AF155" s="15"/>
      <c r="AG155" s="15"/>
      <c r="AH155" s="15"/>
      <c r="AI155" s="15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15"/>
      <c r="AV155" s="55"/>
      <c r="AW155" s="27"/>
      <c r="AX155" s="27"/>
      <c r="AY155" s="27"/>
      <c r="AZ155" s="87"/>
      <c r="BA155" s="87"/>
      <c r="BB155" s="11"/>
      <c r="BC155" s="11"/>
      <c r="BD155" s="11"/>
      <c r="BE155" s="11"/>
      <c r="BF155" s="11"/>
      <c r="BG155" s="286"/>
      <c r="BH155" s="11"/>
      <c r="BI155" s="11"/>
      <c r="BJ155" s="11"/>
      <c r="CD155" s="28"/>
      <c r="CI155" s="26"/>
    </row>
    <row r="156" spans="5:87" ht="21" x14ac:dyDescent="0.4">
      <c r="E156" s="33"/>
      <c r="F156" s="33"/>
      <c r="H156" s="11"/>
      <c r="I156" s="11"/>
      <c r="N156" s="30"/>
      <c r="R156" s="63"/>
      <c r="V156" s="15"/>
      <c r="W156" s="15"/>
      <c r="X156" s="15"/>
      <c r="Y156" s="15"/>
      <c r="Z156" s="15"/>
      <c r="AA156" s="15"/>
      <c r="AB156" s="15"/>
      <c r="AC156" s="15"/>
      <c r="AD156" s="27"/>
      <c r="AE156" s="15"/>
      <c r="AF156" s="15"/>
      <c r="AG156" s="15"/>
      <c r="AH156" s="15"/>
      <c r="AI156" s="15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15"/>
      <c r="AV156" s="55"/>
      <c r="AW156" s="27"/>
      <c r="AX156" s="27"/>
      <c r="AY156" s="27"/>
      <c r="AZ156" s="87"/>
      <c r="BA156" s="87"/>
      <c r="BB156" s="11"/>
      <c r="BC156" s="11"/>
      <c r="BD156" s="11"/>
      <c r="BE156" s="11"/>
      <c r="BF156" s="11"/>
      <c r="BG156" s="286"/>
      <c r="BH156" s="11"/>
      <c r="BI156" s="11"/>
      <c r="BJ156" s="11"/>
      <c r="CD156" s="28"/>
      <c r="CI156" s="26"/>
    </row>
    <row r="157" spans="5:87" ht="21" x14ac:dyDescent="0.4">
      <c r="E157" s="33"/>
      <c r="F157" s="33"/>
      <c r="H157" s="11"/>
      <c r="I157" s="11"/>
      <c r="N157" s="30"/>
      <c r="R157" s="63"/>
      <c r="V157" s="15"/>
      <c r="W157" s="15"/>
      <c r="X157" s="15"/>
      <c r="Y157" s="15"/>
      <c r="Z157" s="15"/>
      <c r="AA157" s="15"/>
      <c r="AB157" s="15"/>
      <c r="AC157" s="15"/>
      <c r="AD157" s="27"/>
      <c r="AE157" s="15"/>
      <c r="AF157" s="15"/>
      <c r="AG157" s="15"/>
      <c r="AH157" s="15"/>
      <c r="AI157" s="15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15"/>
      <c r="AV157" s="55"/>
      <c r="AW157" s="27"/>
      <c r="AX157" s="27"/>
      <c r="AY157" s="27"/>
      <c r="AZ157" s="87"/>
      <c r="BA157" s="87"/>
      <c r="BB157" s="11"/>
      <c r="BC157" s="11"/>
      <c r="BD157" s="11"/>
      <c r="BE157" s="11"/>
      <c r="BF157" s="11"/>
      <c r="BG157" s="286"/>
      <c r="BH157" s="11"/>
      <c r="BI157" s="11"/>
      <c r="BJ157" s="11"/>
      <c r="CD157" s="28"/>
      <c r="CI157" s="26"/>
    </row>
    <row r="158" spans="5:87" ht="21" x14ac:dyDescent="0.4">
      <c r="E158" s="33"/>
      <c r="F158" s="33"/>
      <c r="H158" s="11"/>
      <c r="I158" s="11"/>
      <c r="N158" s="30"/>
      <c r="R158" s="63"/>
      <c r="V158" s="15"/>
      <c r="W158" s="15"/>
      <c r="X158" s="15"/>
      <c r="Y158" s="15"/>
      <c r="Z158" s="15"/>
      <c r="AA158" s="15"/>
      <c r="AB158" s="15"/>
      <c r="AC158" s="15"/>
      <c r="AD158" s="27"/>
      <c r="AE158" s="15"/>
      <c r="AF158" s="15"/>
      <c r="AG158" s="15"/>
      <c r="AH158" s="15"/>
      <c r="AI158" s="15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15"/>
      <c r="AV158" s="55"/>
      <c r="AW158" s="27"/>
      <c r="AX158" s="27"/>
      <c r="AY158" s="27"/>
      <c r="AZ158" s="87"/>
      <c r="BA158" s="87"/>
      <c r="BB158" s="11"/>
      <c r="BC158" s="11"/>
      <c r="BD158" s="11"/>
      <c r="BE158" s="11"/>
      <c r="BF158" s="11"/>
      <c r="BG158" s="286"/>
      <c r="BH158" s="11"/>
      <c r="BI158" s="11"/>
      <c r="BJ158" s="11"/>
      <c r="CD158" s="28"/>
      <c r="CI158" s="26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05C56-42AF-4DBE-8B10-72DD9525F039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75"/>
  <sheetViews>
    <sheetView zoomScale="75" zoomScaleNormal="75" workbookViewId="0">
      <selection activeCell="AC18" sqref="AC18"/>
    </sheetView>
  </sheetViews>
  <sheetFormatPr defaultRowHeight="14.4" x14ac:dyDescent="0.3"/>
  <cols>
    <col min="2" max="2" width="23.5546875" bestFit="1" customWidth="1"/>
    <col min="3" max="3" width="23.5546875" customWidth="1"/>
  </cols>
  <sheetData>
    <row r="1" spans="1:4" x14ac:dyDescent="0.3">
      <c r="A1" s="19" t="s">
        <v>66</v>
      </c>
      <c r="B1" s="19" t="s">
        <v>346</v>
      </c>
      <c r="C1" s="19"/>
    </row>
    <row r="2" spans="1:4" x14ac:dyDescent="0.3">
      <c r="A2">
        <v>1947</v>
      </c>
      <c r="B2" s="20">
        <v>23.516666666666666</v>
      </c>
      <c r="C2" s="20"/>
    </row>
    <row r="3" spans="1:4" x14ac:dyDescent="0.3">
      <c r="A3">
        <v>1948</v>
      </c>
      <c r="B3" s="20">
        <v>26.033333333333335</v>
      </c>
      <c r="C3" s="20"/>
      <c r="D3">
        <v>1</v>
      </c>
    </row>
    <row r="4" spans="1:4" x14ac:dyDescent="0.3">
      <c r="A4">
        <v>1949</v>
      </c>
      <c r="B4" s="20">
        <v>25.525000000000002</v>
      </c>
      <c r="C4" s="20"/>
      <c r="D4">
        <f>D3+1</f>
        <v>2</v>
      </c>
    </row>
    <row r="5" spans="1:4" x14ac:dyDescent="0.3">
      <c r="A5">
        <v>1950</v>
      </c>
      <c r="B5" s="20">
        <v>27.391666666666669</v>
      </c>
      <c r="C5" s="20"/>
      <c r="D5">
        <f t="shared" ref="D5:D14" si="0">D4+1</f>
        <v>3</v>
      </c>
    </row>
    <row r="6" spans="1:4" x14ac:dyDescent="0.3">
      <c r="A6">
        <v>1951</v>
      </c>
      <c r="B6" s="20">
        <v>29.916666666666668</v>
      </c>
      <c r="C6" s="20"/>
      <c r="D6">
        <f t="shared" si="0"/>
        <v>4</v>
      </c>
    </row>
    <row r="7" spans="1:4" x14ac:dyDescent="0.3">
      <c r="A7">
        <v>1952</v>
      </c>
      <c r="B7" s="20">
        <v>29.575000000000003</v>
      </c>
      <c r="C7" s="20"/>
      <c r="D7">
        <f t="shared" si="0"/>
        <v>5</v>
      </c>
    </row>
    <row r="8" spans="1:4" x14ac:dyDescent="0.3">
      <c r="A8">
        <v>1953</v>
      </c>
      <c r="B8" s="20">
        <v>29.983333333333331</v>
      </c>
      <c r="C8" s="20"/>
      <c r="D8">
        <f t="shared" si="0"/>
        <v>6</v>
      </c>
    </row>
    <row r="9" spans="1:4" x14ac:dyDescent="0.3">
      <c r="A9">
        <v>1954</v>
      </c>
      <c r="B9" s="20">
        <v>30.041666666666661</v>
      </c>
      <c r="C9" s="20"/>
      <c r="D9">
        <f t="shared" si="0"/>
        <v>7</v>
      </c>
    </row>
    <row r="10" spans="1:4" x14ac:dyDescent="0.3">
      <c r="A10">
        <v>1955</v>
      </c>
      <c r="B10" s="20">
        <v>31.383333333333336</v>
      </c>
      <c r="C10" s="20"/>
      <c r="D10">
        <f t="shared" si="0"/>
        <v>8</v>
      </c>
    </row>
    <row r="11" spans="1:4" x14ac:dyDescent="0.3">
      <c r="A11">
        <v>1956</v>
      </c>
      <c r="B11" s="20">
        <v>32.674999999999997</v>
      </c>
      <c r="C11" s="20"/>
      <c r="D11">
        <f t="shared" si="0"/>
        <v>9</v>
      </c>
    </row>
    <row r="12" spans="1:4" x14ac:dyDescent="0.3">
      <c r="A12">
        <v>1957</v>
      </c>
      <c r="B12" s="20">
        <v>32.658333333333331</v>
      </c>
      <c r="C12" s="20"/>
      <c r="D12">
        <f t="shared" si="0"/>
        <v>10</v>
      </c>
    </row>
    <row r="13" spans="1:4" x14ac:dyDescent="0.3">
      <c r="A13">
        <v>1958</v>
      </c>
      <c r="B13" s="20">
        <v>32.633333333333333</v>
      </c>
      <c r="C13" s="20"/>
      <c r="D13">
        <f t="shared" si="0"/>
        <v>11</v>
      </c>
    </row>
    <row r="14" spans="1:4" x14ac:dyDescent="0.3">
      <c r="A14">
        <v>1959</v>
      </c>
      <c r="B14" s="20">
        <v>33.658333333333331</v>
      </c>
      <c r="C14" s="20"/>
      <c r="D14">
        <f t="shared" si="0"/>
        <v>12</v>
      </c>
    </row>
    <row r="15" spans="1:4" x14ac:dyDescent="0.3">
      <c r="A15">
        <v>1960</v>
      </c>
      <c r="B15" s="20">
        <v>33.158333333333339</v>
      </c>
      <c r="C15" s="20"/>
      <c r="D15">
        <f>D14+1</f>
        <v>13</v>
      </c>
    </row>
    <row r="16" spans="1:4" x14ac:dyDescent="0.3">
      <c r="A16">
        <v>1961</v>
      </c>
      <c r="B16" s="20">
        <v>32.524999999999991</v>
      </c>
      <c r="C16" s="20"/>
      <c r="D16">
        <f>D15+1</f>
        <v>14</v>
      </c>
    </row>
    <row r="17" spans="1:4" x14ac:dyDescent="0.3">
      <c r="A17">
        <v>1962</v>
      </c>
      <c r="B17" s="20">
        <v>32.458333333333329</v>
      </c>
      <c r="C17" s="20"/>
      <c r="D17">
        <f>D16+1</f>
        <v>15</v>
      </c>
    </row>
    <row r="18" spans="1:4" x14ac:dyDescent="0.3">
      <c r="A18">
        <v>1963</v>
      </c>
      <c r="B18" s="20">
        <v>32.508333333333333</v>
      </c>
      <c r="C18" s="20"/>
      <c r="D18">
        <f>D17+1</f>
        <v>16</v>
      </c>
    </row>
    <row r="19" spans="1:4" x14ac:dyDescent="0.3">
      <c r="A19">
        <v>1964</v>
      </c>
      <c r="B19" s="20">
        <v>32.849999999999994</v>
      </c>
      <c r="C19" s="20"/>
      <c r="D19">
        <f t="shared" ref="D19:D53" si="1">D18+1</f>
        <v>17</v>
      </c>
    </row>
    <row r="20" spans="1:4" x14ac:dyDescent="0.3">
      <c r="A20">
        <v>1965</v>
      </c>
      <c r="B20" s="20">
        <v>33.249999999999993</v>
      </c>
      <c r="C20" s="20"/>
      <c r="D20">
        <f t="shared" si="1"/>
        <v>18</v>
      </c>
    </row>
    <row r="21" spans="1:4" x14ac:dyDescent="0.3">
      <c r="A21">
        <v>1966</v>
      </c>
      <c r="B21" s="20">
        <v>34.300000000000004</v>
      </c>
      <c r="C21" s="20"/>
      <c r="D21">
        <f t="shared" si="1"/>
        <v>19</v>
      </c>
    </row>
    <row r="22" spans="1:4" x14ac:dyDescent="0.3">
      <c r="A22">
        <v>1967</v>
      </c>
      <c r="B22" s="20">
        <v>34.708333333333336</v>
      </c>
      <c r="C22" s="20"/>
      <c r="D22">
        <f t="shared" si="1"/>
        <v>20</v>
      </c>
    </row>
    <row r="23" spans="1:4" x14ac:dyDescent="0.3">
      <c r="A23">
        <v>1968</v>
      </c>
      <c r="B23" s="20">
        <v>36.675000000000004</v>
      </c>
      <c r="C23" s="20"/>
      <c r="D23">
        <f t="shared" si="1"/>
        <v>21</v>
      </c>
    </row>
    <row r="24" spans="1:4" x14ac:dyDescent="0.3">
      <c r="A24">
        <v>1969</v>
      </c>
      <c r="B24" s="20">
        <v>38.741666666666667</v>
      </c>
      <c r="C24" s="20"/>
      <c r="D24">
        <f t="shared" si="1"/>
        <v>22</v>
      </c>
    </row>
    <row r="25" spans="1:4" x14ac:dyDescent="0.3">
      <c r="A25">
        <v>1970</v>
      </c>
      <c r="B25" s="20">
        <v>39.033333333333331</v>
      </c>
      <c r="C25" s="20"/>
      <c r="D25">
        <f t="shared" si="1"/>
        <v>23</v>
      </c>
    </row>
    <row r="26" spans="1:4" x14ac:dyDescent="0.3">
      <c r="A26">
        <v>1971</v>
      </c>
      <c r="B26" s="20">
        <v>41.508333333333326</v>
      </c>
      <c r="C26" s="20"/>
      <c r="D26">
        <f t="shared" si="1"/>
        <v>24</v>
      </c>
    </row>
    <row r="27" spans="1:4" x14ac:dyDescent="0.3">
      <c r="A27">
        <v>1972</v>
      </c>
      <c r="B27" s="20">
        <v>43.949999999999996</v>
      </c>
      <c r="C27" s="20"/>
      <c r="D27">
        <f t="shared" si="1"/>
        <v>25</v>
      </c>
    </row>
    <row r="28" spans="1:4" x14ac:dyDescent="0.3">
      <c r="A28">
        <v>1973</v>
      </c>
      <c r="B28" s="20">
        <v>48.05833333333333</v>
      </c>
      <c r="C28" s="20"/>
      <c r="D28">
        <f t="shared" si="1"/>
        <v>26</v>
      </c>
    </row>
    <row r="29" spans="1:4" x14ac:dyDescent="0.3">
      <c r="A29">
        <v>1974</v>
      </c>
      <c r="B29" s="20">
        <v>55.841666666666669</v>
      </c>
      <c r="C29" s="20"/>
      <c r="D29">
        <f t="shared" si="1"/>
        <v>27</v>
      </c>
    </row>
    <row r="30" spans="1:4" x14ac:dyDescent="0.3">
      <c r="A30">
        <v>1975</v>
      </c>
      <c r="B30" s="20">
        <v>60.416666666666679</v>
      </c>
      <c r="C30" s="20"/>
      <c r="D30">
        <f t="shared" si="1"/>
        <v>28</v>
      </c>
    </row>
    <row r="31" spans="1:4" x14ac:dyDescent="0.3">
      <c r="A31">
        <v>1976</v>
      </c>
      <c r="B31" s="20">
        <v>65.208333333333329</v>
      </c>
      <c r="C31" s="20"/>
      <c r="D31">
        <f t="shared" si="1"/>
        <v>29</v>
      </c>
    </row>
    <row r="32" spans="1:4" x14ac:dyDescent="0.3">
      <c r="A32">
        <v>1977</v>
      </c>
      <c r="B32" s="20">
        <v>71.05</v>
      </c>
      <c r="C32" s="20"/>
      <c r="D32">
        <f t="shared" si="1"/>
        <v>30</v>
      </c>
    </row>
    <row r="33" spans="1:4" x14ac:dyDescent="0.3">
      <c r="A33">
        <v>1978</v>
      </c>
      <c r="B33" s="20">
        <v>79.249999999999986</v>
      </c>
      <c r="C33" s="20"/>
      <c r="D33">
        <f t="shared" si="1"/>
        <v>31</v>
      </c>
    </row>
    <row r="34" spans="1:4" x14ac:dyDescent="0.3">
      <c r="A34">
        <v>1979</v>
      </c>
      <c r="B34" s="20">
        <v>87.283333333333346</v>
      </c>
      <c r="C34" s="20"/>
      <c r="D34">
        <f t="shared" si="1"/>
        <v>32</v>
      </c>
    </row>
    <row r="35" spans="1:4" x14ac:dyDescent="0.3">
      <c r="A35">
        <v>1980</v>
      </c>
      <c r="B35" s="20">
        <v>92.5</v>
      </c>
      <c r="C35" s="20"/>
      <c r="D35">
        <f t="shared" si="1"/>
        <v>33</v>
      </c>
    </row>
    <row r="36" spans="1:4" x14ac:dyDescent="0.3">
      <c r="A36">
        <v>1981</v>
      </c>
      <c r="B36" s="20">
        <v>98.241666666666674</v>
      </c>
      <c r="C36" s="20"/>
      <c r="D36">
        <f t="shared" si="1"/>
        <v>34</v>
      </c>
    </row>
    <row r="37" spans="1:4" x14ac:dyDescent="0.3">
      <c r="A37">
        <v>1982</v>
      </c>
      <c r="B37" s="20">
        <v>100.00833333333334</v>
      </c>
      <c r="C37" s="20"/>
      <c r="D37">
        <f t="shared" si="1"/>
        <v>35</v>
      </c>
    </row>
    <row r="38" spans="1:4" x14ac:dyDescent="0.3">
      <c r="A38">
        <v>1983</v>
      </c>
      <c r="B38" s="20">
        <v>103.35833333333333</v>
      </c>
      <c r="C38" s="20"/>
      <c r="D38">
        <f t="shared" si="1"/>
        <v>36</v>
      </c>
    </row>
    <row r="39" spans="1:4" x14ac:dyDescent="0.3">
      <c r="A39">
        <v>1984</v>
      </c>
      <c r="B39" s="20">
        <v>106.38333333333331</v>
      </c>
      <c r="C39" s="20"/>
      <c r="D39">
        <f t="shared" si="1"/>
        <v>37</v>
      </c>
    </row>
    <row r="40" spans="1:4" x14ac:dyDescent="0.3">
      <c r="A40">
        <v>1985</v>
      </c>
      <c r="B40" s="20">
        <v>107.55833333333332</v>
      </c>
      <c r="C40" s="20"/>
      <c r="D40">
        <f t="shared" si="1"/>
        <v>38</v>
      </c>
    </row>
    <row r="41" spans="1:4" x14ac:dyDescent="0.3">
      <c r="A41">
        <v>1986</v>
      </c>
      <c r="B41" s="20">
        <v>107.34166666666665</v>
      </c>
      <c r="C41" s="20"/>
      <c r="D41">
        <f t="shared" si="1"/>
        <v>39</v>
      </c>
    </row>
    <row r="42" spans="1:4" x14ac:dyDescent="0.3">
      <c r="A42">
        <v>1987</v>
      </c>
      <c r="B42" s="20">
        <v>109.54166666666669</v>
      </c>
      <c r="C42" s="20"/>
      <c r="D42">
        <f t="shared" si="1"/>
        <v>40</v>
      </c>
    </row>
    <row r="43" spans="1:4" x14ac:dyDescent="0.3">
      <c r="A43">
        <v>1988</v>
      </c>
      <c r="B43" s="20">
        <v>115.65833333333332</v>
      </c>
      <c r="C43" s="20"/>
      <c r="D43">
        <f t="shared" si="1"/>
        <v>41</v>
      </c>
    </row>
    <row r="44" spans="1:4" x14ac:dyDescent="0.3">
      <c r="A44">
        <v>1989</v>
      </c>
      <c r="B44" s="20">
        <v>119.47500000000001</v>
      </c>
      <c r="C44" s="20"/>
      <c r="D44">
        <f t="shared" si="1"/>
        <v>42</v>
      </c>
    </row>
    <row r="45" spans="1:4" x14ac:dyDescent="0.3">
      <c r="A45">
        <v>1990</v>
      </c>
      <c r="B45" s="20">
        <v>119.61666666666667</v>
      </c>
      <c r="C45" s="20"/>
      <c r="D45">
        <f t="shared" si="1"/>
        <v>43</v>
      </c>
    </row>
    <row r="46" spans="1:4" x14ac:dyDescent="0.3">
      <c r="A46">
        <v>1991</v>
      </c>
      <c r="B46" s="20">
        <v>120.38333333333333</v>
      </c>
      <c r="C46" s="20"/>
      <c r="D46">
        <f t="shared" si="1"/>
        <v>44</v>
      </c>
    </row>
    <row r="47" spans="1:4" x14ac:dyDescent="0.3">
      <c r="A47">
        <v>1992</v>
      </c>
      <c r="B47" s="20">
        <v>122.50833333333333</v>
      </c>
      <c r="C47" s="20"/>
      <c r="D47">
        <f t="shared" si="1"/>
        <v>45</v>
      </c>
    </row>
    <row r="48" spans="1:4" x14ac:dyDescent="0.3">
      <c r="A48">
        <v>1993</v>
      </c>
      <c r="B48" s="20">
        <v>128.6</v>
      </c>
      <c r="C48" s="20"/>
      <c r="D48">
        <f t="shared" si="1"/>
        <v>46</v>
      </c>
    </row>
    <row r="49" spans="1:4" x14ac:dyDescent="0.3">
      <c r="A49">
        <v>1994</v>
      </c>
      <c r="B49" s="20">
        <v>133.85</v>
      </c>
      <c r="C49" s="20"/>
      <c r="D49">
        <f t="shared" si="1"/>
        <v>47</v>
      </c>
    </row>
    <row r="50" spans="1:4" x14ac:dyDescent="0.3">
      <c r="A50">
        <v>1995</v>
      </c>
      <c r="B50" s="20">
        <v>138.84166666666667</v>
      </c>
      <c r="C50" s="20"/>
      <c r="D50">
        <f t="shared" si="1"/>
        <v>48</v>
      </c>
    </row>
    <row r="51" spans="1:4" x14ac:dyDescent="0.3">
      <c r="A51">
        <v>1996</v>
      </c>
      <c r="B51" s="20">
        <v>139.63333333333335</v>
      </c>
      <c r="C51" s="20"/>
      <c r="D51">
        <f t="shared" si="1"/>
        <v>49</v>
      </c>
    </row>
    <row r="52" spans="1:4" x14ac:dyDescent="0.3">
      <c r="A52">
        <v>1997</v>
      </c>
      <c r="B52" s="20">
        <v>142.07499999999999</v>
      </c>
      <c r="C52" s="20"/>
      <c r="D52">
        <f t="shared" si="1"/>
        <v>50</v>
      </c>
    </row>
    <row r="53" spans="1:4" x14ac:dyDescent="0.3">
      <c r="A53">
        <v>1998</v>
      </c>
      <c r="B53" s="20">
        <v>141.38333333333333</v>
      </c>
      <c r="C53" s="20"/>
      <c r="D53">
        <f t="shared" si="1"/>
        <v>51</v>
      </c>
    </row>
    <row r="54" spans="1:4" x14ac:dyDescent="0.3">
      <c r="A54">
        <v>1999</v>
      </c>
      <c r="B54" s="20">
        <v>142.75833333333335</v>
      </c>
      <c r="C54" s="20"/>
    </row>
    <row r="55" spans="1:4" x14ac:dyDescent="0.3">
      <c r="A55">
        <v>2000</v>
      </c>
      <c r="B55" s="20">
        <v>144.14166666666668</v>
      </c>
      <c r="C55" s="20"/>
    </row>
    <row r="56" spans="1:4" x14ac:dyDescent="0.3">
      <c r="A56">
        <v>2001</v>
      </c>
      <c r="B56" s="20">
        <v>142.79999999999998</v>
      </c>
      <c r="C56" s="20"/>
    </row>
    <row r="57" spans="1:4" x14ac:dyDescent="0.3">
      <c r="A57">
        <v>2002</v>
      </c>
      <c r="B57" s="20">
        <v>144.00833333333333</v>
      </c>
      <c r="C57" s="20"/>
    </row>
    <row r="58" spans="1:4" x14ac:dyDescent="0.3">
      <c r="A58">
        <v>2003</v>
      </c>
      <c r="B58" s="20">
        <v>147.10833333333332</v>
      </c>
      <c r="C58" s="20"/>
    </row>
    <row r="59" spans="1:4" x14ac:dyDescent="0.3">
      <c r="A59">
        <v>2004</v>
      </c>
      <c r="B59" s="20">
        <v>161.47500000000002</v>
      </c>
      <c r="C59" s="20"/>
    </row>
    <row r="60" spans="1:4" x14ac:dyDescent="0.3">
      <c r="A60">
        <v>2005</v>
      </c>
      <c r="B60" s="20">
        <v>169.55833333333337</v>
      </c>
      <c r="C60" s="20"/>
    </row>
    <row r="61" spans="1:4" x14ac:dyDescent="0.3">
      <c r="A61">
        <v>2006</v>
      </c>
      <c r="B61" s="20">
        <v>180.24166666666665</v>
      </c>
      <c r="C61" s="20"/>
    </row>
    <row r="62" spans="1:4" x14ac:dyDescent="0.3">
      <c r="A62">
        <v>2007</v>
      </c>
      <c r="B62" s="20">
        <v>183.17500000000004</v>
      </c>
      <c r="C62" s="20"/>
    </row>
    <row r="63" spans="1:4" x14ac:dyDescent="0.3">
      <c r="A63">
        <v>2008</v>
      </c>
      <c r="B63" s="20">
        <v>196.44166666666669</v>
      </c>
      <c r="C63" s="20"/>
    </row>
    <row r="64" spans="1:4" x14ac:dyDescent="0.3">
      <c r="A64">
        <v>2009</v>
      </c>
      <c r="B64" s="20">
        <v>189.17499999999998</v>
      </c>
      <c r="C64" s="20"/>
    </row>
    <row r="65" spans="1:3" x14ac:dyDescent="0.3">
      <c r="A65">
        <v>2010</v>
      </c>
      <c r="B65" s="20">
        <v>194.49999999999997</v>
      </c>
      <c r="C65" s="20"/>
    </row>
    <row r="66" spans="1:3" x14ac:dyDescent="0.3">
      <c r="A66">
        <v>2011</v>
      </c>
      <c r="B66" s="20">
        <v>201.125</v>
      </c>
      <c r="C66" s="20"/>
    </row>
    <row r="67" spans="1:3" x14ac:dyDescent="0.3">
      <c r="A67">
        <v>2012</v>
      </c>
      <c r="B67" s="20">
        <v>205.82499999999996</v>
      </c>
      <c r="C67" s="20"/>
    </row>
    <row r="68" spans="1:3" x14ac:dyDescent="0.3">
      <c r="A68">
        <v>2013</v>
      </c>
      <c r="B68" s="20">
        <v>209.27500000000006</v>
      </c>
      <c r="C68" s="20"/>
    </row>
    <row r="69" spans="1:3" x14ac:dyDescent="0.3">
      <c r="A69">
        <v>2014</v>
      </c>
      <c r="B69" s="20">
        <v>214.45000000000002</v>
      </c>
      <c r="C69" s="20"/>
    </row>
    <row r="70" spans="1:3" x14ac:dyDescent="0.3">
      <c r="A70">
        <v>2015</v>
      </c>
      <c r="B70" s="20">
        <v>213.54166666666666</v>
      </c>
      <c r="C70" s="20"/>
    </row>
    <row r="71" spans="1:3" x14ac:dyDescent="0.3">
      <c r="A71">
        <v>2016</v>
      </c>
      <c r="B71" s="20">
        <v>213.89166666666665</v>
      </c>
      <c r="C71" s="20"/>
    </row>
    <row r="72" spans="1:3" x14ac:dyDescent="0.3">
      <c r="A72">
        <v>2017</v>
      </c>
      <c r="B72" s="20">
        <v>221.64166666666668</v>
      </c>
      <c r="C72" s="20"/>
    </row>
    <row r="73" spans="1:3" x14ac:dyDescent="0.3">
      <c r="A73">
        <v>2018</v>
      </c>
      <c r="B73" s="20">
        <v>235.75</v>
      </c>
      <c r="C73" s="20"/>
    </row>
    <row r="74" spans="1:3" x14ac:dyDescent="0.3">
      <c r="A74">
        <v>2019</v>
      </c>
      <c r="B74" s="20">
        <v>235.72500000000002</v>
      </c>
      <c r="C74" s="20"/>
    </row>
    <row r="75" spans="1:3" x14ac:dyDescent="0.3">
      <c r="A75">
        <v>2020</v>
      </c>
      <c r="B75" s="20">
        <v>234.5</v>
      </c>
      <c r="C75" s="20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CR35"/>
  <sheetViews>
    <sheetView zoomScale="75" zoomScaleNormal="75" workbookViewId="0">
      <selection activeCell="A9" sqref="A9"/>
    </sheetView>
  </sheetViews>
  <sheetFormatPr defaultRowHeight="14.4" x14ac:dyDescent="0.3"/>
  <cols>
    <col min="1" max="1" width="5.6640625" customWidth="1"/>
    <col min="2" max="2" width="50.6640625" customWidth="1"/>
    <col min="3" max="3" width="10.6640625" customWidth="1"/>
  </cols>
  <sheetData>
    <row r="1" spans="1:96" x14ac:dyDescent="0.3">
      <c r="A1" t="s">
        <v>347</v>
      </c>
    </row>
    <row r="2" spans="1:96" x14ac:dyDescent="0.3">
      <c r="A2" t="s">
        <v>348</v>
      </c>
    </row>
    <row r="3" spans="1:96" x14ac:dyDescent="0.3">
      <c r="A3" t="s">
        <v>349</v>
      </c>
    </row>
    <row r="4" spans="1:96" x14ac:dyDescent="0.3">
      <c r="A4" t="s">
        <v>350</v>
      </c>
    </row>
    <row r="5" spans="1:96" x14ac:dyDescent="0.3">
      <c r="A5" t="s">
        <v>351</v>
      </c>
    </row>
    <row r="6" spans="1:96" x14ac:dyDescent="0.3">
      <c r="A6" t="s">
        <v>352</v>
      </c>
    </row>
    <row r="8" spans="1:96" x14ac:dyDescent="0.3">
      <c r="A8" t="s">
        <v>353</v>
      </c>
      <c r="D8">
        <v>1929</v>
      </c>
      <c r="E8">
        <v>1930</v>
      </c>
      <c r="F8">
        <v>1931</v>
      </c>
      <c r="G8">
        <v>1932</v>
      </c>
      <c r="H8">
        <v>1933</v>
      </c>
      <c r="I8">
        <v>1934</v>
      </c>
      <c r="J8">
        <v>1935</v>
      </c>
      <c r="K8">
        <v>1936</v>
      </c>
      <c r="L8">
        <v>1937</v>
      </c>
      <c r="M8">
        <v>1938</v>
      </c>
      <c r="N8">
        <v>1939</v>
      </c>
      <c r="O8">
        <v>1940</v>
      </c>
      <c r="P8">
        <v>1941</v>
      </c>
      <c r="Q8">
        <v>1942</v>
      </c>
      <c r="R8">
        <v>1943</v>
      </c>
      <c r="S8">
        <v>1944</v>
      </c>
      <c r="T8">
        <v>1945</v>
      </c>
      <c r="U8">
        <v>1946</v>
      </c>
      <c r="V8">
        <v>1947</v>
      </c>
      <c r="W8">
        <v>1948</v>
      </c>
      <c r="X8">
        <v>1949</v>
      </c>
      <c r="Y8">
        <v>1950</v>
      </c>
      <c r="Z8">
        <v>1951</v>
      </c>
      <c r="AA8">
        <v>1952</v>
      </c>
      <c r="AB8">
        <v>1953</v>
      </c>
      <c r="AC8">
        <v>1954</v>
      </c>
      <c r="AD8">
        <v>1955</v>
      </c>
      <c r="AE8">
        <v>1956</v>
      </c>
      <c r="AF8">
        <v>1957</v>
      </c>
      <c r="AG8">
        <v>1958</v>
      </c>
      <c r="AH8">
        <v>1959</v>
      </c>
      <c r="AI8">
        <v>1960</v>
      </c>
      <c r="AJ8">
        <v>1961</v>
      </c>
      <c r="AK8">
        <v>1962</v>
      </c>
      <c r="AL8">
        <v>1963</v>
      </c>
      <c r="AM8">
        <v>1964</v>
      </c>
      <c r="AN8">
        <v>1965</v>
      </c>
      <c r="AO8">
        <v>1966</v>
      </c>
      <c r="AP8">
        <v>1967</v>
      </c>
      <c r="AQ8">
        <v>1968</v>
      </c>
      <c r="AR8">
        <v>1969</v>
      </c>
      <c r="AS8">
        <v>1970</v>
      </c>
      <c r="AT8">
        <v>1971</v>
      </c>
      <c r="AU8">
        <v>1972</v>
      </c>
      <c r="AV8">
        <v>1973</v>
      </c>
      <c r="AW8">
        <v>1974</v>
      </c>
      <c r="AX8">
        <v>1975</v>
      </c>
      <c r="AY8">
        <v>1976</v>
      </c>
      <c r="AZ8">
        <v>1977</v>
      </c>
      <c r="BA8">
        <v>1978</v>
      </c>
      <c r="BB8">
        <v>1979</v>
      </c>
      <c r="BC8">
        <v>1980</v>
      </c>
      <c r="BD8">
        <v>1981</v>
      </c>
      <c r="BE8">
        <v>1982</v>
      </c>
      <c r="BF8">
        <v>1983</v>
      </c>
      <c r="BG8">
        <v>1984</v>
      </c>
      <c r="BH8">
        <v>1985</v>
      </c>
      <c r="BI8">
        <v>1986</v>
      </c>
      <c r="BJ8">
        <v>1987</v>
      </c>
      <c r="BK8">
        <v>1988</v>
      </c>
      <c r="BL8">
        <v>1989</v>
      </c>
      <c r="BM8">
        <v>1990</v>
      </c>
      <c r="BN8">
        <v>1991</v>
      </c>
      <c r="BO8">
        <v>1992</v>
      </c>
      <c r="BP8">
        <v>1993</v>
      </c>
      <c r="BQ8">
        <v>1994</v>
      </c>
      <c r="BR8">
        <v>1995</v>
      </c>
      <c r="BS8">
        <v>1996</v>
      </c>
      <c r="BT8">
        <v>1997</v>
      </c>
      <c r="BU8">
        <v>1998</v>
      </c>
      <c r="BV8">
        <v>1999</v>
      </c>
      <c r="BW8">
        <v>2000</v>
      </c>
      <c r="BX8">
        <v>2001</v>
      </c>
      <c r="BY8">
        <v>2002</v>
      </c>
      <c r="BZ8">
        <v>2003</v>
      </c>
      <c r="CA8">
        <v>2004</v>
      </c>
      <c r="CB8">
        <v>2005</v>
      </c>
      <c r="CC8">
        <v>2006</v>
      </c>
      <c r="CD8">
        <v>2007</v>
      </c>
      <c r="CE8">
        <v>2008</v>
      </c>
      <c r="CF8">
        <v>2009</v>
      </c>
      <c r="CG8">
        <v>2010</v>
      </c>
      <c r="CH8">
        <v>2011</v>
      </c>
      <c r="CI8">
        <v>2012</v>
      </c>
      <c r="CJ8">
        <v>2013</v>
      </c>
      <c r="CK8">
        <v>2014</v>
      </c>
      <c r="CL8">
        <v>2015</v>
      </c>
      <c r="CM8">
        <v>2016</v>
      </c>
      <c r="CN8">
        <v>2017</v>
      </c>
      <c r="CO8">
        <v>2018</v>
      </c>
      <c r="CP8">
        <v>2019</v>
      </c>
      <c r="CQ8">
        <v>2020</v>
      </c>
      <c r="CR8">
        <v>2021</v>
      </c>
    </row>
    <row r="9" spans="1:96" x14ac:dyDescent="0.3">
      <c r="A9" t="s">
        <v>354</v>
      </c>
      <c r="B9" t="s">
        <v>355</v>
      </c>
      <c r="C9" t="s">
        <v>356</v>
      </c>
      <c r="D9" s="21">
        <v>9.3970000000000002</v>
      </c>
      <c r="E9" s="21">
        <v>9.0340000000000007</v>
      </c>
      <c r="F9" s="21">
        <v>8.141</v>
      </c>
      <c r="G9" s="21">
        <v>7.2140000000000004</v>
      </c>
      <c r="H9" s="21">
        <v>7.0190000000000001</v>
      </c>
      <c r="I9" s="21">
        <v>7.36</v>
      </c>
      <c r="J9" s="21">
        <v>7.508</v>
      </c>
      <c r="K9" s="21">
        <v>7.6020000000000003</v>
      </c>
      <c r="L9" s="21">
        <v>7.8789999999999996</v>
      </c>
      <c r="M9" s="21">
        <v>7.734</v>
      </c>
      <c r="N9" s="21">
        <v>7.6369999999999996</v>
      </c>
      <c r="O9" s="21">
        <v>7.7060000000000004</v>
      </c>
      <c r="P9" s="21">
        <v>8.2110000000000003</v>
      </c>
      <c r="Q9" s="21">
        <v>8.8949999999999996</v>
      </c>
      <c r="R9" s="21">
        <v>9.32</v>
      </c>
      <c r="S9" s="21">
        <v>9.5429999999999993</v>
      </c>
      <c r="T9" s="21">
        <v>9.7810000000000006</v>
      </c>
      <c r="U9" s="21">
        <v>11.012</v>
      </c>
      <c r="V9" s="21">
        <v>12.25</v>
      </c>
      <c r="W9" s="21">
        <v>12.946</v>
      </c>
      <c r="X9" s="21">
        <v>12.942</v>
      </c>
      <c r="Y9" s="21">
        <v>13.064</v>
      </c>
      <c r="Z9" s="21">
        <v>13.95</v>
      </c>
      <c r="AA9" s="21">
        <v>14.254</v>
      </c>
      <c r="AB9" s="21">
        <v>14.436</v>
      </c>
      <c r="AC9" s="21">
        <v>14.583</v>
      </c>
      <c r="AD9" s="21">
        <v>14.79</v>
      </c>
      <c r="AE9" s="21">
        <v>15.295999999999999</v>
      </c>
      <c r="AF9" s="21">
        <v>15.831</v>
      </c>
      <c r="AG9" s="21">
        <v>16.199000000000002</v>
      </c>
      <c r="AH9" s="21">
        <v>16.411999999999999</v>
      </c>
      <c r="AI9" s="21">
        <v>16.637</v>
      </c>
      <c r="AJ9" s="21">
        <v>16.814</v>
      </c>
      <c r="AK9" s="21">
        <v>17.018999999999998</v>
      </c>
      <c r="AL9" s="21">
        <v>17.213999999999999</v>
      </c>
      <c r="AM9" s="21">
        <v>17.475999999999999</v>
      </c>
      <c r="AN9" s="21">
        <v>17.795999999999999</v>
      </c>
      <c r="AO9" s="21">
        <v>18.295000000000002</v>
      </c>
      <c r="AP9" s="21">
        <v>18.824999999999999</v>
      </c>
      <c r="AQ9" s="21">
        <v>19.626999999999999</v>
      </c>
      <c r="AR9" s="21">
        <v>20.59</v>
      </c>
      <c r="AS9" s="21">
        <v>21.675999999999998</v>
      </c>
      <c r="AT9" s="21">
        <v>22.776</v>
      </c>
      <c r="AU9" s="21">
        <v>23.76</v>
      </c>
      <c r="AV9" s="21">
        <v>25.061</v>
      </c>
      <c r="AW9" s="21">
        <v>27.309000000000001</v>
      </c>
      <c r="AX9" s="21">
        <v>29.846</v>
      </c>
      <c r="AY9" s="21">
        <v>31.49</v>
      </c>
      <c r="AZ9" s="21">
        <v>33.445</v>
      </c>
      <c r="BA9" s="21">
        <v>35.798000000000002</v>
      </c>
      <c r="BB9" s="21">
        <v>38.765999999999998</v>
      </c>
      <c r="BC9" s="21">
        <v>42.277999999999999</v>
      </c>
      <c r="BD9" s="21">
        <v>46.268999999999998</v>
      </c>
      <c r="BE9" s="21">
        <v>49.13</v>
      </c>
      <c r="BF9" s="21">
        <v>51.051000000000002</v>
      </c>
      <c r="BG9" s="21">
        <v>52.893999999999998</v>
      </c>
      <c r="BH9" s="21">
        <v>54.567999999999998</v>
      </c>
      <c r="BI9" s="21">
        <v>55.673000000000002</v>
      </c>
      <c r="BJ9" s="21">
        <v>57.040999999999997</v>
      </c>
      <c r="BK9" s="21">
        <v>59.055</v>
      </c>
      <c r="BL9" s="21">
        <v>61.37</v>
      </c>
      <c r="BM9" s="21">
        <v>63.676000000000002</v>
      </c>
      <c r="BN9" s="21">
        <v>65.819000000000003</v>
      </c>
      <c r="BO9" s="21">
        <v>67.320999999999998</v>
      </c>
      <c r="BP9" s="21">
        <v>68.917000000000002</v>
      </c>
      <c r="BQ9" s="21">
        <v>70.385999999999996</v>
      </c>
      <c r="BR9" s="21">
        <v>71.864000000000004</v>
      </c>
      <c r="BS9" s="21">
        <v>73.177999999999997</v>
      </c>
      <c r="BT9" s="21">
        <v>74.445999999999998</v>
      </c>
      <c r="BU9" s="21">
        <v>75.266999999999996</v>
      </c>
      <c r="BV9" s="21">
        <v>76.346000000000004</v>
      </c>
      <c r="BW9" s="21">
        <v>78.069000000000003</v>
      </c>
      <c r="BX9" s="21">
        <v>79.822000000000003</v>
      </c>
      <c r="BY9" s="21">
        <v>81.039000000000001</v>
      </c>
      <c r="BZ9" s="21">
        <v>82.566999999999993</v>
      </c>
      <c r="CA9" s="21">
        <v>84.778000000000006</v>
      </c>
      <c r="CB9" s="21">
        <v>87.406999999999996</v>
      </c>
      <c r="CC9" s="21">
        <v>90.073999999999998</v>
      </c>
      <c r="CD9" s="21">
        <v>92.498000000000005</v>
      </c>
      <c r="CE9" s="21">
        <v>94.263999999999996</v>
      </c>
      <c r="CF9" s="21">
        <v>94.998999999999995</v>
      </c>
      <c r="CG9" s="21">
        <v>96.108999999999995</v>
      </c>
      <c r="CH9" s="21">
        <v>98.111999999999995</v>
      </c>
      <c r="CI9" s="21">
        <v>100</v>
      </c>
      <c r="CJ9" s="21">
        <v>101.773</v>
      </c>
      <c r="CK9" s="21">
        <v>103.64700000000001</v>
      </c>
      <c r="CL9" s="21">
        <v>104.639</v>
      </c>
      <c r="CM9" s="21">
        <v>105.736</v>
      </c>
      <c r="CN9" s="21">
        <v>107.751</v>
      </c>
      <c r="CO9" s="21">
        <v>110.322</v>
      </c>
      <c r="CP9" s="21">
        <v>112.318</v>
      </c>
      <c r="CQ9" s="21">
        <v>113.623</v>
      </c>
      <c r="CR9" s="21">
        <v>118.49</v>
      </c>
    </row>
    <row r="10" spans="1:96" x14ac:dyDescent="0.3">
      <c r="D10" s="21"/>
      <c r="E10" s="38">
        <f>E9/D9-1</f>
        <v>-3.8629349792486889E-2</v>
      </c>
      <c r="F10" s="38">
        <f t="shared" ref="F10:BQ10" si="0">F9/E9-1</f>
        <v>-9.8848793446978167E-2</v>
      </c>
      <c r="G10" s="38">
        <f t="shared" si="0"/>
        <v>-0.11386807517503983</v>
      </c>
      <c r="H10" s="38">
        <f t="shared" si="0"/>
        <v>-2.7030773495980043E-2</v>
      </c>
      <c r="I10" s="38">
        <f t="shared" si="0"/>
        <v>4.8582419148026856E-2</v>
      </c>
      <c r="J10" s="38">
        <f t="shared" si="0"/>
        <v>2.010869565217388E-2</v>
      </c>
      <c r="K10" s="38">
        <f t="shared" si="0"/>
        <v>1.2519978689397915E-2</v>
      </c>
      <c r="L10" s="38">
        <f t="shared" si="0"/>
        <v>3.643777953170213E-2</v>
      </c>
      <c r="M10" s="38">
        <f t="shared" si="0"/>
        <v>-1.8403350679020103E-2</v>
      </c>
      <c r="N10" s="38">
        <f t="shared" si="0"/>
        <v>-1.2542022239462214E-2</v>
      </c>
      <c r="O10" s="38">
        <f t="shared" si="0"/>
        <v>9.03496137226667E-3</v>
      </c>
      <c r="P10" s="38">
        <f t="shared" si="0"/>
        <v>6.5533350635868182E-2</v>
      </c>
      <c r="Q10" s="38">
        <f t="shared" si="0"/>
        <v>8.3302886371940055E-2</v>
      </c>
      <c r="R10" s="38">
        <f t="shared" si="0"/>
        <v>4.7779651489600949E-2</v>
      </c>
      <c r="S10" s="38">
        <f t="shared" si="0"/>
        <v>2.3927038626609276E-2</v>
      </c>
      <c r="T10" s="38">
        <f t="shared" si="0"/>
        <v>2.4939746410981956E-2</v>
      </c>
      <c r="U10" s="38">
        <f t="shared" si="0"/>
        <v>0.12585625191698191</v>
      </c>
      <c r="V10" s="38">
        <f t="shared" si="0"/>
        <v>0.11242281147838717</v>
      </c>
      <c r="W10" s="38">
        <f t="shared" si="0"/>
        <v>5.6816326530612304E-2</v>
      </c>
      <c r="X10" s="38">
        <f t="shared" si="0"/>
        <v>-3.0897574540400541E-4</v>
      </c>
      <c r="Y10" s="38">
        <f t="shared" si="0"/>
        <v>9.4266728480913997E-3</v>
      </c>
      <c r="Z10" s="38">
        <f t="shared" si="0"/>
        <v>6.7819963257807592E-2</v>
      </c>
      <c r="AA10" s="38">
        <f t="shared" si="0"/>
        <v>2.1792114695340592E-2</v>
      </c>
      <c r="AB10" s="38">
        <f t="shared" si="0"/>
        <v>1.2768345727515173E-2</v>
      </c>
      <c r="AC10" s="38">
        <f t="shared" si="0"/>
        <v>1.0182876142975861E-2</v>
      </c>
      <c r="AD10" s="38">
        <f t="shared" si="0"/>
        <v>1.4194610162517884E-2</v>
      </c>
      <c r="AE10" s="38">
        <f t="shared" si="0"/>
        <v>3.4212305611899918E-2</v>
      </c>
      <c r="AF10" s="38">
        <f t="shared" si="0"/>
        <v>3.4976464435146459E-2</v>
      </c>
      <c r="AG10" s="38">
        <f t="shared" si="0"/>
        <v>2.3245530920346313E-2</v>
      </c>
      <c r="AH10" s="38">
        <f t="shared" si="0"/>
        <v>1.3148959812333993E-2</v>
      </c>
      <c r="AI10" s="38">
        <f t="shared" si="0"/>
        <v>1.3709480867657886E-2</v>
      </c>
      <c r="AJ10" s="38">
        <f t="shared" si="0"/>
        <v>1.0638937308409036E-2</v>
      </c>
      <c r="AK10" s="38">
        <f t="shared" si="0"/>
        <v>1.2192220768407092E-2</v>
      </c>
      <c r="AL10" s="38">
        <f t="shared" si="0"/>
        <v>1.1457782478406564E-2</v>
      </c>
      <c r="AM10" s="38">
        <f t="shared" si="0"/>
        <v>1.5220169629371449E-2</v>
      </c>
      <c r="AN10" s="38">
        <f t="shared" si="0"/>
        <v>1.8310826276035641E-2</v>
      </c>
      <c r="AO10" s="38">
        <f t="shared" si="0"/>
        <v>2.8040008990784626E-2</v>
      </c>
      <c r="AP10" s="38">
        <f t="shared" si="0"/>
        <v>2.8969663842579818E-2</v>
      </c>
      <c r="AQ10" s="38">
        <f t="shared" si="0"/>
        <v>4.2602921646746283E-2</v>
      </c>
      <c r="AR10" s="38">
        <f t="shared" si="0"/>
        <v>4.9065063433026079E-2</v>
      </c>
      <c r="AS10" s="38">
        <f t="shared" si="0"/>
        <v>5.274405050995612E-2</v>
      </c>
      <c r="AT10" s="38">
        <f t="shared" si="0"/>
        <v>5.0747370363535715E-2</v>
      </c>
      <c r="AU10" s="38">
        <f t="shared" si="0"/>
        <v>4.3203371970495397E-2</v>
      </c>
      <c r="AV10" s="38">
        <f t="shared" si="0"/>
        <v>5.4755892255892169E-2</v>
      </c>
      <c r="AW10" s="38">
        <f t="shared" si="0"/>
        <v>8.9701129244643019E-2</v>
      </c>
      <c r="AX10" s="38">
        <f t="shared" si="0"/>
        <v>9.2899776630414932E-2</v>
      </c>
      <c r="AY10" s="38">
        <f t="shared" si="0"/>
        <v>5.5082758158547129E-2</v>
      </c>
      <c r="AZ10" s="38">
        <f t="shared" si="0"/>
        <v>6.2083201016195577E-2</v>
      </c>
      <c r="BA10" s="38">
        <f t="shared" si="0"/>
        <v>7.0354313051278261E-2</v>
      </c>
      <c r="BB10" s="38">
        <f t="shared" si="0"/>
        <v>8.2909659757528287E-2</v>
      </c>
      <c r="BC10" s="38">
        <f t="shared" si="0"/>
        <v>9.0594851158231515E-2</v>
      </c>
      <c r="BD10" s="38">
        <f t="shared" si="0"/>
        <v>9.4398978191967409E-2</v>
      </c>
      <c r="BE10" s="38">
        <f t="shared" si="0"/>
        <v>6.183405736021963E-2</v>
      </c>
      <c r="BF10" s="38">
        <f t="shared" si="0"/>
        <v>3.910034602076129E-2</v>
      </c>
      <c r="BG10" s="38">
        <f t="shared" si="0"/>
        <v>3.6101153748212544E-2</v>
      </c>
      <c r="BH10" s="38">
        <f t="shared" si="0"/>
        <v>3.1648202064506359E-2</v>
      </c>
      <c r="BI10" s="38">
        <f t="shared" si="0"/>
        <v>2.0249963348482725E-2</v>
      </c>
      <c r="BJ10" s="38">
        <f t="shared" si="0"/>
        <v>2.4572054676413879E-2</v>
      </c>
      <c r="BK10" s="38">
        <f t="shared" si="0"/>
        <v>3.5307936396627104E-2</v>
      </c>
      <c r="BL10" s="38">
        <f t="shared" si="0"/>
        <v>3.920074506815685E-2</v>
      </c>
      <c r="BM10" s="38">
        <f t="shared" si="0"/>
        <v>3.7575362554994385E-2</v>
      </c>
      <c r="BN10" s="38">
        <f t="shared" si="0"/>
        <v>3.3654752182926018E-2</v>
      </c>
      <c r="BO10" s="38">
        <f t="shared" si="0"/>
        <v>2.2820158312949035E-2</v>
      </c>
      <c r="BP10" s="38">
        <f t="shared" si="0"/>
        <v>2.3707312725598229E-2</v>
      </c>
      <c r="BQ10" s="38">
        <f t="shared" si="0"/>
        <v>2.1315495451049715E-2</v>
      </c>
      <c r="BR10" s="38">
        <f t="shared" ref="BR10:CR10" si="1">BR9/BQ9-1</f>
        <v>2.0998494018697134E-2</v>
      </c>
      <c r="BS10" s="38">
        <f t="shared" si="1"/>
        <v>1.8284537459645867E-2</v>
      </c>
      <c r="BT10" s="38">
        <f t="shared" si="1"/>
        <v>1.7327612123862357E-2</v>
      </c>
      <c r="BU10" s="38">
        <f t="shared" si="1"/>
        <v>1.1028127770464469E-2</v>
      </c>
      <c r="BV10" s="38">
        <f t="shared" si="1"/>
        <v>1.4335631817396832E-2</v>
      </c>
      <c r="BW10" s="38">
        <f t="shared" si="1"/>
        <v>2.2568307442433211E-2</v>
      </c>
      <c r="BX10" s="38">
        <f t="shared" si="1"/>
        <v>2.2454495382290052E-2</v>
      </c>
      <c r="BY10" s="38">
        <f t="shared" si="1"/>
        <v>1.5246423291824351E-2</v>
      </c>
      <c r="BZ10" s="38">
        <f t="shared" si="1"/>
        <v>1.8855119140166909E-2</v>
      </c>
      <c r="CA10" s="38">
        <f t="shared" si="1"/>
        <v>2.6778252812867276E-2</v>
      </c>
      <c r="CB10" s="38">
        <f t="shared" si="1"/>
        <v>3.1010403642454332E-2</v>
      </c>
      <c r="CC10" s="38">
        <f t="shared" si="1"/>
        <v>3.0512430354548314E-2</v>
      </c>
      <c r="CD10" s="38">
        <f t="shared" si="1"/>
        <v>2.691120634145272E-2</v>
      </c>
      <c r="CE10" s="38">
        <f t="shared" si="1"/>
        <v>1.9092304698479889E-2</v>
      </c>
      <c r="CF10" s="38">
        <f t="shared" si="1"/>
        <v>7.7972502758210105E-3</v>
      </c>
      <c r="CG10" s="38">
        <f t="shared" si="1"/>
        <v>1.1684333519300205E-2</v>
      </c>
      <c r="CH10" s="38">
        <f t="shared" si="1"/>
        <v>2.0840920205183799E-2</v>
      </c>
      <c r="CI10" s="38">
        <f t="shared" si="1"/>
        <v>1.924331376386168E-2</v>
      </c>
      <c r="CJ10" s="38">
        <f t="shared" si="1"/>
        <v>1.7730000000000024E-2</v>
      </c>
      <c r="CK10" s="38">
        <f t="shared" si="1"/>
        <v>1.841352814597208E-2</v>
      </c>
      <c r="CL10" s="38">
        <f t="shared" si="1"/>
        <v>9.5709475431029478E-3</v>
      </c>
      <c r="CM10" s="38">
        <f t="shared" si="1"/>
        <v>1.0483662879041455E-2</v>
      </c>
      <c r="CN10" s="38">
        <f t="shared" si="1"/>
        <v>1.9056896421275615E-2</v>
      </c>
      <c r="CO10" s="38">
        <f t="shared" si="1"/>
        <v>2.386056741932796E-2</v>
      </c>
      <c r="CP10" s="38">
        <f t="shared" si="1"/>
        <v>1.8092492884465461E-2</v>
      </c>
      <c r="CQ10" s="38">
        <f t="shared" si="1"/>
        <v>1.1618796630994188E-2</v>
      </c>
      <c r="CR10" s="38">
        <f t="shared" si="1"/>
        <v>4.2834637353352578E-2</v>
      </c>
    </row>
    <row r="11" spans="1:96" x14ac:dyDescent="0.3">
      <c r="A11" t="s">
        <v>357</v>
      </c>
      <c r="B11" t="s">
        <v>358</v>
      </c>
      <c r="C11" t="s">
        <v>359</v>
      </c>
      <c r="D11" s="21">
        <v>9.3140000000000001</v>
      </c>
      <c r="E11" s="21">
        <v>8.92</v>
      </c>
      <c r="F11" s="21">
        <v>7.9649999999999999</v>
      </c>
      <c r="G11" s="21">
        <v>7.024</v>
      </c>
      <c r="H11" s="21">
        <v>6.774</v>
      </c>
      <c r="I11" s="21">
        <v>7.0810000000000004</v>
      </c>
      <c r="J11" s="21">
        <v>7.2560000000000002</v>
      </c>
      <c r="K11" s="21">
        <v>7.3230000000000004</v>
      </c>
      <c r="L11" s="21">
        <v>7.59</v>
      </c>
      <c r="M11" s="21">
        <v>7.4169999999999998</v>
      </c>
      <c r="N11" s="21">
        <v>7.3449999999999998</v>
      </c>
      <c r="O11" s="21">
        <v>7.407</v>
      </c>
      <c r="P11" s="21">
        <v>7.8680000000000003</v>
      </c>
      <c r="Q11" s="21">
        <v>8.8469999999999995</v>
      </c>
      <c r="R11" s="21">
        <v>9.6609999999999996</v>
      </c>
      <c r="S11" s="21">
        <v>10.215999999999999</v>
      </c>
      <c r="T11" s="21">
        <v>10.625</v>
      </c>
      <c r="U11" s="21">
        <v>11.364000000000001</v>
      </c>
      <c r="V11" s="21">
        <v>12.516999999999999</v>
      </c>
      <c r="W11" s="21">
        <v>13.225</v>
      </c>
      <c r="X11" s="21">
        <v>13.122</v>
      </c>
      <c r="Y11" s="21">
        <v>13.278</v>
      </c>
      <c r="Z11" s="21">
        <v>14.182</v>
      </c>
      <c r="AA11" s="21">
        <v>14.473000000000001</v>
      </c>
      <c r="AB11" s="21">
        <v>14.663</v>
      </c>
      <c r="AC11" s="21">
        <v>14.787000000000001</v>
      </c>
      <c r="AD11" s="21">
        <v>14.845000000000001</v>
      </c>
      <c r="AE11" s="21">
        <v>15.14</v>
      </c>
      <c r="AF11" s="21">
        <v>15.6</v>
      </c>
      <c r="AG11" s="21">
        <v>15.968999999999999</v>
      </c>
      <c r="AH11" s="21">
        <v>16.207000000000001</v>
      </c>
      <c r="AI11" s="21">
        <v>16.472999999999999</v>
      </c>
      <c r="AJ11" s="21">
        <v>16.643999999999998</v>
      </c>
      <c r="AK11" s="21">
        <v>16.838999999999999</v>
      </c>
      <c r="AL11" s="21">
        <v>17.04</v>
      </c>
      <c r="AM11" s="21">
        <v>17.286999999999999</v>
      </c>
      <c r="AN11" s="21">
        <v>17.536000000000001</v>
      </c>
      <c r="AO11" s="21">
        <v>17.978999999999999</v>
      </c>
      <c r="AP11" s="21">
        <v>18.431000000000001</v>
      </c>
      <c r="AQ11" s="21">
        <v>19.152000000000001</v>
      </c>
      <c r="AR11" s="21">
        <v>20.015000000000001</v>
      </c>
      <c r="AS11" s="21">
        <v>20.951000000000001</v>
      </c>
      <c r="AT11" s="21">
        <v>21.841000000000001</v>
      </c>
      <c r="AU11" s="21">
        <v>22.585999999999999</v>
      </c>
      <c r="AV11" s="21">
        <v>23.802</v>
      </c>
      <c r="AW11" s="21">
        <v>26.28</v>
      </c>
      <c r="AX11" s="21">
        <v>28.47</v>
      </c>
      <c r="AY11" s="21">
        <v>30.032</v>
      </c>
      <c r="AZ11" s="21">
        <v>31.986000000000001</v>
      </c>
      <c r="BA11" s="21">
        <v>34.210999999999999</v>
      </c>
      <c r="BB11" s="21">
        <v>37.250999999999998</v>
      </c>
      <c r="BC11" s="21">
        <v>41.262</v>
      </c>
      <c r="BD11" s="21">
        <v>44.957999999999998</v>
      </c>
      <c r="BE11" s="21">
        <v>47.456000000000003</v>
      </c>
      <c r="BF11" s="21">
        <v>49.473999999999997</v>
      </c>
      <c r="BG11" s="21">
        <v>51.343000000000004</v>
      </c>
      <c r="BH11" s="21">
        <v>53.134</v>
      </c>
      <c r="BI11" s="21">
        <v>54.29</v>
      </c>
      <c r="BJ11" s="21">
        <v>55.963999999999999</v>
      </c>
      <c r="BK11" s="21">
        <v>58.151000000000003</v>
      </c>
      <c r="BL11" s="21">
        <v>60.69</v>
      </c>
      <c r="BM11" s="21">
        <v>63.354999999999997</v>
      </c>
      <c r="BN11" s="21">
        <v>65.472999999999999</v>
      </c>
      <c r="BO11" s="21">
        <v>67.218000000000004</v>
      </c>
      <c r="BP11" s="21">
        <v>68.891999999999996</v>
      </c>
      <c r="BQ11" s="21">
        <v>70.33</v>
      </c>
      <c r="BR11" s="21">
        <v>71.811000000000007</v>
      </c>
      <c r="BS11" s="21">
        <v>73.346000000000004</v>
      </c>
      <c r="BT11" s="21">
        <v>74.623000000000005</v>
      </c>
      <c r="BU11" s="21">
        <v>75.215999999999994</v>
      </c>
      <c r="BV11" s="21">
        <v>76.337999999999994</v>
      </c>
      <c r="BW11" s="21">
        <v>78.234999999999999</v>
      </c>
      <c r="BX11" s="21">
        <v>79.738</v>
      </c>
      <c r="BY11" s="21">
        <v>80.789000000000001</v>
      </c>
      <c r="BZ11" s="21">
        <v>82.358000000000004</v>
      </c>
      <c r="CA11" s="21">
        <v>84.411000000000001</v>
      </c>
      <c r="CB11" s="21">
        <v>86.811999999999998</v>
      </c>
      <c r="CC11" s="21">
        <v>89.174000000000007</v>
      </c>
      <c r="CD11" s="21">
        <v>91.438000000000002</v>
      </c>
      <c r="CE11" s="21">
        <v>94.18</v>
      </c>
      <c r="CF11" s="21">
        <v>94.093999999999994</v>
      </c>
      <c r="CG11" s="21">
        <v>95.704999999999998</v>
      </c>
      <c r="CH11" s="21">
        <v>98.131</v>
      </c>
      <c r="CI11" s="21">
        <v>100</v>
      </c>
      <c r="CJ11" s="21">
        <v>101.346</v>
      </c>
      <c r="CK11" s="21">
        <v>102.83</v>
      </c>
      <c r="CL11" s="21">
        <v>103.04300000000001</v>
      </c>
      <c r="CM11" s="21">
        <v>104.121</v>
      </c>
      <c r="CN11" s="21">
        <v>105.98399999999999</v>
      </c>
      <c r="CO11" s="21">
        <v>108.239</v>
      </c>
      <c r="CP11" s="21">
        <v>109.851</v>
      </c>
      <c r="CQ11" s="21">
        <v>111.146</v>
      </c>
      <c r="CR11" s="21">
        <v>115.53</v>
      </c>
    </row>
    <row r="12" spans="1:96" x14ac:dyDescent="0.3">
      <c r="A12" t="s">
        <v>360</v>
      </c>
      <c r="B12" t="s">
        <v>361</v>
      </c>
      <c r="C12" t="s">
        <v>362</v>
      </c>
      <c r="D12" s="21">
        <v>14.884</v>
      </c>
      <c r="E12" s="21">
        <v>14.092000000000001</v>
      </c>
      <c r="F12" s="21">
        <v>12.148999999999999</v>
      </c>
      <c r="G12" s="21">
        <v>10.467000000000001</v>
      </c>
      <c r="H12" s="21">
        <v>10.38</v>
      </c>
      <c r="I12" s="21">
        <v>11.404</v>
      </c>
      <c r="J12" s="21">
        <v>11.71</v>
      </c>
      <c r="K12" s="21">
        <v>11.756</v>
      </c>
      <c r="L12" s="21">
        <v>12.179</v>
      </c>
      <c r="M12" s="21">
        <v>11.685</v>
      </c>
      <c r="N12" s="21">
        <v>11.507999999999999</v>
      </c>
      <c r="O12" s="21">
        <v>11.611000000000001</v>
      </c>
      <c r="P12" s="21">
        <v>12.565</v>
      </c>
      <c r="Q12" s="21">
        <v>14.643000000000001</v>
      </c>
      <c r="R12" s="21">
        <v>16.327000000000002</v>
      </c>
      <c r="S12" s="21">
        <v>17.414000000000001</v>
      </c>
      <c r="T12" s="21">
        <v>18.21</v>
      </c>
      <c r="U12" s="21">
        <v>19.597999999999999</v>
      </c>
      <c r="V12" s="21">
        <v>21.957000000000001</v>
      </c>
      <c r="W12" s="21">
        <v>23.251999999999999</v>
      </c>
      <c r="X12" s="21">
        <v>22.709</v>
      </c>
      <c r="Y12" s="21">
        <v>22.78</v>
      </c>
      <c r="Z12" s="21">
        <v>24.619</v>
      </c>
      <c r="AA12" s="21">
        <v>24.856000000000002</v>
      </c>
      <c r="AB12" s="21">
        <v>24.742000000000001</v>
      </c>
      <c r="AC12" s="21">
        <v>24.648</v>
      </c>
      <c r="AD12" s="21">
        <v>24.503</v>
      </c>
      <c r="AE12" s="21">
        <v>24.919</v>
      </c>
      <c r="AF12" s="21">
        <v>25.699000000000002</v>
      </c>
      <c r="AG12" s="21">
        <v>26.283999999999999</v>
      </c>
      <c r="AH12" s="21">
        <v>26.417999999999999</v>
      </c>
      <c r="AI12" s="21">
        <v>26.625</v>
      </c>
      <c r="AJ12" s="21">
        <v>26.725000000000001</v>
      </c>
      <c r="AK12" s="21">
        <v>26.863</v>
      </c>
      <c r="AL12" s="21">
        <v>27.085999999999999</v>
      </c>
      <c r="AM12" s="21">
        <v>27.381</v>
      </c>
      <c r="AN12" s="21">
        <v>27.669</v>
      </c>
      <c r="AO12" s="21">
        <v>28.277999999999999</v>
      </c>
      <c r="AP12" s="21">
        <v>28.777000000000001</v>
      </c>
      <c r="AQ12" s="21">
        <v>29.78</v>
      </c>
      <c r="AR12" s="21">
        <v>30.934000000000001</v>
      </c>
      <c r="AS12" s="21">
        <v>32.113999999999997</v>
      </c>
      <c r="AT12" s="21">
        <v>33.079000000000001</v>
      </c>
      <c r="AU12" s="21">
        <v>33.926000000000002</v>
      </c>
      <c r="AV12" s="21">
        <v>35.948999999999998</v>
      </c>
      <c r="AW12" s="21">
        <v>40.436</v>
      </c>
      <c r="AX12" s="21">
        <v>43.703000000000003</v>
      </c>
      <c r="AY12" s="21">
        <v>45.412999999999997</v>
      </c>
      <c r="AZ12" s="21">
        <v>47.837000000000003</v>
      </c>
      <c r="BA12" s="21">
        <v>50.773000000000003</v>
      </c>
      <c r="BB12" s="21">
        <v>55.573999999999998</v>
      </c>
      <c r="BC12" s="21">
        <v>61.796999999999997</v>
      </c>
      <c r="BD12" s="21">
        <v>66.388999999999996</v>
      </c>
      <c r="BE12" s="21">
        <v>68.197999999999993</v>
      </c>
      <c r="BF12" s="21">
        <v>69.429000000000002</v>
      </c>
      <c r="BG12" s="21">
        <v>70.742000000000004</v>
      </c>
      <c r="BH12" s="21">
        <v>71.876999999999995</v>
      </c>
      <c r="BI12" s="21">
        <v>71.540999999999997</v>
      </c>
      <c r="BJ12" s="21">
        <v>73.841999999999999</v>
      </c>
      <c r="BK12" s="21">
        <v>75.787999999999997</v>
      </c>
      <c r="BL12" s="21">
        <v>78.703999999999994</v>
      </c>
      <c r="BM12" s="21">
        <v>81.927000000000007</v>
      </c>
      <c r="BN12" s="21">
        <v>83.93</v>
      </c>
      <c r="BO12" s="21">
        <v>84.942999999999998</v>
      </c>
      <c r="BP12" s="21">
        <v>85.680999999999997</v>
      </c>
      <c r="BQ12" s="21">
        <v>86.552000000000007</v>
      </c>
      <c r="BR12" s="21">
        <v>87.361000000000004</v>
      </c>
      <c r="BS12" s="21">
        <v>88.320999999999998</v>
      </c>
      <c r="BT12" s="21">
        <v>88.218999999999994</v>
      </c>
      <c r="BU12" s="21">
        <v>86.893000000000001</v>
      </c>
      <c r="BV12" s="21">
        <v>87.349000000000004</v>
      </c>
      <c r="BW12" s="21">
        <v>89.081999999999994</v>
      </c>
      <c r="BX12" s="21">
        <v>89.015000000000001</v>
      </c>
      <c r="BY12" s="21">
        <v>88.165999999999997</v>
      </c>
      <c r="BZ12" s="21">
        <v>88.054000000000002</v>
      </c>
      <c r="CA12" s="21">
        <v>89.292000000000002</v>
      </c>
      <c r="CB12" s="21">
        <v>91.084000000000003</v>
      </c>
      <c r="CC12" s="21">
        <v>92.305999999999997</v>
      </c>
      <c r="CD12" s="21">
        <v>93.331000000000003</v>
      </c>
      <c r="CE12" s="21">
        <v>96.122</v>
      </c>
      <c r="CF12" s="21">
        <v>93.811999999999998</v>
      </c>
      <c r="CG12" s="21">
        <v>95.183000000000007</v>
      </c>
      <c r="CH12" s="21">
        <v>98.772999999999996</v>
      </c>
      <c r="CI12" s="21">
        <v>100</v>
      </c>
      <c r="CJ12" s="21">
        <v>99.406999999999996</v>
      </c>
      <c r="CK12" s="21">
        <v>98.92</v>
      </c>
      <c r="CL12" s="21">
        <v>95.896000000000001</v>
      </c>
      <c r="CM12" s="21">
        <v>94.325000000000003</v>
      </c>
      <c r="CN12" s="21">
        <v>94.596999999999994</v>
      </c>
      <c r="CO12" s="21">
        <v>95.244</v>
      </c>
      <c r="CP12" s="21">
        <v>94.784999999999997</v>
      </c>
      <c r="CQ12" s="21">
        <v>94.212000000000003</v>
      </c>
      <c r="CR12" s="21">
        <v>98.89</v>
      </c>
    </row>
    <row r="13" spans="1:96" x14ac:dyDescent="0.3">
      <c r="A13" t="s">
        <v>363</v>
      </c>
      <c r="B13" t="s">
        <v>364</v>
      </c>
      <c r="C13" t="s">
        <v>365</v>
      </c>
      <c r="D13" s="21">
        <v>32.067</v>
      </c>
      <c r="E13" s="21">
        <v>30.19</v>
      </c>
      <c r="F13" s="21">
        <v>26.956</v>
      </c>
      <c r="G13" s="21">
        <v>23.751000000000001</v>
      </c>
      <c r="H13" s="21">
        <v>23.173999999999999</v>
      </c>
      <c r="I13" s="21">
        <v>24.565999999999999</v>
      </c>
      <c r="J13" s="21">
        <v>24.427</v>
      </c>
      <c r="K13" s="21">
        <v>24.567</v>
      </c>
      <c r="L13" s="21">
        <v>25.579000000000001</v>
      </c>
      <c r="M13" s="21">
        <v>25.56</v>
      </c>
      <c r="N13" s="21">
        <v>25.251000000000001</v>
      </c>
      <c r="O13" s="21">
        <v>25.506</v>
      </c>
      <c r="P13" s="21">
        <v>27.393000000000001</v>
      </c>
      <c r="Q13" s="21">
        <v>32.067999999999998</v>
      </c>
      <c r="R13" s="21">
        <v>34.978999999999999</v>
      </c>
      <c r="S13" s="21">
        <v>39.322000000000003</v>
      </c>
      <c r="T13" s="21">
        <v>41.593000000000004</v>
      </c>
      <c r="U13" s="21">
        <v>43.31</v>
      </c>
      <c r="V13" s="21">
        <v>47.106000000000002</v>
      </c>
      <c r="W13" s="21">
        <v>49.515999999999998</v>
      </c>
      <c r="X13" s="21">
        <v>49.854999999999997</v>
      </c>
      <c r="Y13" s="21">
        <v>50.107999999999997</v>
      </c>
      <c r="Z13" s="21">
        <v>53.466000000000001</v>
      </c>
      <c r="AA13" s="21">
        <v>53.798999999999999</v>
      </c>
      <c r="AB13" s="21">
        <v>53.377000000000002</v>
      </c>
      <c r="AC13" s="21">
        <v>52.207000000000001</v>
      </c>
      <c r="AD13" s="21">
        <v>52.005000000000003</v>
      </c>
      <c r="AE13" s="21">
        <v>53.259</v>
      </c>
      <c r="AF13" s="21">
        <v>55.219000000000001</v>
      </c>
      <c r="AG13" s="21">
        <v>56.222000000000001</v>
      </c>
      <c r="AH13" s="21">
        <v>57.115000000000002</v>
      </c>
      <c r="AI13" s="21">
        <v>56.899000000000001</v>
      </c>
      <c r="AJ13" s="21">
        <v>57.042999999999999</v>
      </c>
      <c r="AK13" s="21">
        <v>57.287999999999997</v>
      </c>
      <c r="AL13" s="21">
        <v>57.506999999999998</v>
      </c>
      <c r="AM13" s="21">
        <v>57.767000000000003</v>
      </c>
      <c r="AN13" s="21">
        <v>57.292999999999999</v>
      </c>
      <c r="AO13" s="21">
        <v>57.167999999999999</v>
      </c>
      <c r="AP13" s="21">
        <v>58.085999999999999</v>
      </c>
      <c r="AQ13" s="21">
        <v>59.948</v>
      </c>
      <c r="AR13" s="21">
        <v>61.637999999999998</v>
      </c>
      <c r="AS13" s="21">
        <v>62.966999999999999</v>
      </c>
      <c r="AT13" s="21">
        <v>65.141000000000005</v>
      </c>
      <c r="AU13" s="21">
        <v>65.858999999999995</v>
      </c>
      <c r="AV13" s="21">
        <v>66.834000000000003</v>
      </c>
      <c r="AW13" s="21">
        <v>71.221999999999994</v>
      </c>
      <c r="AX13" s="21">
        <v>77.596000000000004</v>
      </c>
      <c r="AY13" s="21">
        <v>81.84</v>
      </c>
      <c r="AZ13" s="21">
        <v>85.504999999999995</v>
      </c>
      <c r="BA13" s="21">
        <v>90.290999999999997</v>
      </c>
      <c r="BB13" s="21">
        <v>96.275000000000006</v>
      </c>
      <c r="BC13" s="21">
        <v>104.63</v>
      </c>
      <c r="BD13" s="21">
        <v>111.627</v>
      </c>
      <c r="BE13" s="21">
        <v>115.98099999999999</v>
      </c>
      <c r="BF13" s="21">
        <v>118.33199999999999</v>
      </c>
      <c r="BG13" s="21">
        <v>120.08199999999999</v>
      </c>
      <c r="BH13" s="21">
        <v>121.352</v>
      </c>
      <c r="BI13" s="21">
        <v>122.687</v>
      </c>
      <c r="BJ13" s="21">
        <v>126.217</v>
      </c>
      <c r="BK13" s="21">
        <v>128.29900000000001</v>
      </c>
      <c r="BL13" s="21">
        <v>130.637</v>
      </c>
      <c r="BM13" s="21">
        <v>131.935</v>
      </c>
      <c r="BN13" s="21">
        <v>133.86799999999999</v>
      </c>
      <c r="BO13" s="21">
        <v>134.79300000000001</v>
      </c>
      <c r="BP13" s="21">
        <v>136.12</v>
      </c>
      <c r="BQ13" s="21">
        <v>138.78399999999999</v>
      </c>
      <c r="BR13" s="21">
        <v>139.797</v>
      </c>
      <c r="BS13" s="21">
        <v>138.386</v>
      </c>
      <c r="BT13" s="21">
        <v>135.364</v>
      </c>
      <c r="BU13" s="21">
        <v>131.53800000000001</v>
      </c>
      <c r="BV13" s="21">
        <v>127.994</v>
      </c>
      <c r="BW13" s="21">
        <v>125.717</v>
      </c>
      <c r="BX13" s="21">
        <v>123.254</v>
      </c>
      <c r="BY13" s="21">
        <v>120.143</v>
      </c>
      <c r="BZ13" s="21">
        <v>115.752</v>
      </c>
      <c r="CA13" s="21">
        <v>113.488</v>
      </c>
      <c r="CB13" s="21">
        <v>112.309</v>
      </c>
      <c r="CC13" s="21">
        <v>110.38800000000001</v>
      </c>
      <c r="CD13" s="21">
        <v>108.038</v>
      </c>
      <c r="CE13" s="21">
        <v>106.012</v>
      </c>
      <c r="CF13" s="21">
        <v>104.02</v>
      </c>
      <c r="CG13" s="21">
        <v>102.107</v>
      </c>
      <c r="CH13" s="21">
        <v>101.28</v>
      </c>
      <c r="CI13" s="21">
        <v>100</v>
      </c>
      <c r="CJ13" s="21">
        <v>97.968000000000004</v>
      </c>
      <c r="CK13" s="21">
        <v>95.429000000000002</v>
      </c>
      <c r="CL13" s="21">
        <v>93.358000000000004</v>
      </c>
      <c r="CM13" s="21">
        <v>91.117000000000004</v>
      </c>
      <c r="CN13" s="21">
        <v>89.025000000000006</v>
      </c>
      <c r="CO13" s="21">
        <v>87.528999999999996</v>
      </c>
      <c r="CP13" s="21">
        <v>86.462999999999994</v>
      </c>
      <c r="CQ13" s="21">
        <v>85.742000000000004</v>
      </c>
      <c r="CR13" s="21">
        <v>91.186999999999998</v>
      </c>
    </row>
    <row r="14" spans="1:96" x14ac:dyDescent="0.3">
      <c r="A14" t="s">
        <v>366</v>
      </c>
      <c r="B14" t="s">
        <v>367</v>
      </c>
      <c r="C14" t="s">
        <v>368</v>
      </c>
      <c r="D14" s="21">
        <v>10.057</v>
      </c>
      <c r="E14" s="21">
        <v>9.5350000000000001</v>
      </c>
      <c r="F14" s="21">
        <v>8.1519999999999992</v>
      </c>
      <c r="G14" s="21">
        <v>6.9889999999999999</v>
      </c>
      <c r="H14" s="21">
        <v>6.9530000000000003</v>
      </c>
      <c r="I14" s="21">
        <v>7.6909999999999998</v>
      </c>
      <c r="J14" s="21">
        <v>7.9480000000000004</v>
      </c>
      <c r="K14" s="21">
        <v>7.976</v>
      </c>
      <c r="L14" s="21">
        <v>8.2530000000000001</v>
      </c>
      <c r="M14" s="21">
        <v>7.8470000000000004</v>
      </c>
      <c r="N14" s="21">
        <v>7.7229999999999999</v>
      </c>
      <c r="O14" s="21">
        <v>7.79</v>
      </c>
      <c r="P14" s="21">
        <v>8.4469999999999992</v>
      </c>
      <c r="Q14" s="21">
        <v>9.8330000000000002</v>
      </c>
      <c r="R14" s="21">
        <v>11.003</v>
      </c>
      <c r="S14" s="21">
        <v>11.644</v>
      </c>
      <c r="T14" s="21">
        <v>12.154999999999999</v>
      </c>
      <c r="U14" s="21">
        <v>13.169</v>
      </c>
      <c r="V14" s="21">
        <v>14.869</v>
      </c>
      <c r="W14" s="21">
        <v>15.78</v>
      </c>
      <c r="X14" s="21">
        <v>15.266</v>
      </c>
      <c r="Y14" s="21">
        <v>15.304</v>
      </c>
      <c r="Z14" s="21">
        <v>16.614999999999998</v>
      </c>
      <c r="AA14" s="21">
        <v>16.794</v>
      </c>
      <c r="AB14" s="21">
        <v>16.734999999999999</v>
      </c>
      <c r="AC14" s="21">
        <v>16.774999999999999</v>
      </c>
      <c r="AD14" s="21">
        <v>16.666</v>
      </c>
      <c r="AE14" s="21">
        <v>16.905000000000001</v>
      </c>
      <c r="AF14" s="21">
        <v>17.399999999999999</v>
      </c>
      <c r="AG14" s="21">
        <v>17.824000000000002</v>
      </c>
      <c r="AH14" s="21">
        <v>17.850000000000001</v>
      </c>
      <c r="AI14" s="21">
        <v>18.062999999999999</v>
      </c>
      <c r="AJ14" s="21">
        <v>18.138999999999999</v>
      </c>
      <c r="AK14" s="21">
        <v>18.238</v>
      </c>
      <c r="AL14" s="21">
        <v>18.419</v>
      </c>
      <c r="AM14" s="21">
        <v>18.664999999999999</v>
      </c>
      <c r="AN14" s="21">
        <v>19.001999999999999</v>
      </c>
      <c r="AO14" s="21">
        <v>19.61</v>
      </c>
      <c r="AP14" s="21">
        <v>19.968</v>
      </c>
      <c r="AQ14" s="21">
        <v>20.687999999999999</v>
      </c>
      <c r="AR14" s="21">
        <v>21.582999999999998</v>
      </c>
      <c r="AS14" s="21">
        <v>22.553000000000001</v>
      </c>
      <c r="AT14" s="21">
        <v>23.19</v>
      </c>
      <c r="AU14" s="21">
        <v>23.933</v>
      </c>
      <c r="AV14" s="21">
        <v>25.863</v>
      </c>
      <c r="AW14" s="21">
        <v>29.774999999999999</v>
      </c>
      <c r="AX14" s="21">
        <v>32.076000000000001</v>
      </c>
      <c r="AY14" s="21">
        <v>33.119999999999997</v>
      </c>
      <c r="AZ14" s="21">
        <v>35.018000000000001</v>
      </c>
      <c r="BA14" s="21">
        <v>37.256</v>
      </c>
      <c r="BB14" s="21">
        <v>41.271000000000001</v>
      </c>
      <c r="BC14" s="21">
        <v>46.335000000000001</v>
      </c>
      <c r="BD14" s="21">
        <v>49.912999999999997</v>
      </c>
      <c r="BE14" s="21">
        <v>51.045999999999999</v>
      </c>
      <c r="BF14" s="21">
        <v>51.921999999999997</v>
      </c>
      <c r="BG14" s="21">
        <v>53.000999999999998</v>
      </c>
      <c r="BH14" s="21">
        <v>53.993000000000002</v>
      </c>
      <c r="BI14" s="21">
        <v>53.304000000000002</v>
      </c>
      <c r="BJ14" s="21">
        <v>55.116999999999997</v>
      </c>
      <c r="BK14" s="21">
        <v>56.869</v>
      </c>
      <c r="BL14" s="21">
        <v>59.69</v>
      </c>
      <c r="BM14" s="21">
        <v>63.112000000000002</v>
      </c>
      <c r="BN14" s="21">
        <v>64.954999999999998</v>
      </c>
      <c r="BO14" s="21">
        <v>65.897999999999996</v>
      </c>
      <c r="BP14" s="21">
        <v>66.433999999999997</v>
      </c>
      <c r="BQ14" s="21">
        <v>66.787999999999997</v>
      </c>
      <c r="BR14" s="21">
        <v>67.486000000000004</v>
      </c>
      <c r="BS14" s="21">
        <v>69.013999999999996</v>
      </c>
      <c r="BT14" s="21">
        <v>69.734999999999999</v>
      </c>
      <c r="BU14" s="21">
        <v>69.222999999999999</v>
      </c>
      <c r="BV14" s="21">
        <v>70.942999999999998</v>
      </c>
      <c r="BW14" s="21">
        <v>73.989999999999995</v>
      </c>
      <c r="BX14" s="21">
        <v>74.775999999999996</v>
      </c>
      <c r="BY14" s="21">
        <v>74.781000000000006</v>
      </c>
      <c r="BZ14" s="21">
        <v>76.326999999999998</v>
      </c>
      <c r="CA14" s="21">
        <v>78.97</v>
      </c>
      <c r="CB14" s="21">
        <v>81.998000000000005</v>
      </c>
      <c r="CC14" s="21">
        <v>84.552999999999997</v>
      </c>
      <c r="CD14" s="21">
        <v>87.040999999999997</v>
      </c>
      <c r="CE14" s="21">
        <v>91.903999999999996</v>
      </c>
      <c r="CF14" s="21">
        <v>89.466999999999999</v>
      </c>
      <c r="CG14" s="21">
        <v>92.182000000000002</v>
      </c>
      <c r="CH14" s="21">
        <v>97.652000000000001</v>
      </c>
      <c r="CI14" s="21">
        <v>100</v>
      </c>
      <c r="CJ14" s="21">
        <v>100.08199999999999</v>
      </c>
      <c r="CK14" s="21">
        <v>100.599</v>
      </c>
      <c r="CL14" s="21">
        <v>97.091999999999999</v>
      </c>
      <c r="CM14" s="21">
        <v>95.878</v>
      </c>
      <c r="CN14" s="21">
        <v>97.444999999999993</v>
      </c>
      <c r="CO14" s="21">
        <v>99.313000000000002</v>
      </c>
      <c r="CP14" s="21">
        <v>99.212000000000003</v>
      </c>
      <c r="CQ14" s="21">
        <v>98.728999999999999</v>
      </c>
      <c r="CR14" s="21">
        <v>102.839</v>
      </c>
    </row>
    <row r="15" spans="1:96" x14ac:dyDescent="0.3">
      <c r="A15" t="s">
        <v>369</v>
      </c>
      <c r="B15" t="s">
        <v>370</v>
      </c>
      <c r="C15" t="s">
        <v>371</v>
      </c>
      <c r="D15" s="21">
        <v>6.7889999999999997</v>
      </c>
      <c r="E15" s="21">
        <v>6.5940000000000003</v>
      </c>
      <c r="F15" s="21">
        <v>6.13</v>
      </c>
      <c r="G15" s="21">
        <v>5.5380000000000003</v>
      </c>
      <c r="H15" s="21">
        <v>5.19</v>
      </c>
      <c r="I15" s="21">
        <v>5.1239999999999997</v>
      </c>
      <c r="J15" s="21">
        <v>5.2359999999999998</v>
      </c>
      <c r="K15" s="21">
        <v>5.3209999999999997</v>
      </c>
      <c r="L15" s="21">
        <v>5.5190000000000001</v>
      </c>
      <c r="M15" s="21">
        <v>5.524</v>
      </c>
      <c r="N15" s="21">
        <v>5.5090000000000003</v>
      </c>
      <c r="O15" s="21">
        <v>5.5529999999999999</v>
      </c>
      <c r="P15" s="21">
        <v>5.7489999999999997</v>
      </c>
      <c r="Q15" s="21">
        <v>6.1550000000000002</v>
      </c>
      <c r="R15" s="21">
        <v>6.5389999999999997</v>
      </c>
      <c r="S15" s="21">
        <v>6.84</v>
      </c>
      <c r="T15" s="21">
        <v>7.0629999999999997</v>
      </c>
      <c r="U15" s="21">
        <v>7.4909999999999997</v>
      </c>
      <c r="V15" s="21">
        <v>8.0370000000000008</v>
      </c>
      <c r="W15" s="21">
        <v>8.4619999999999997</v>
      </c>
      <c r="X15" s="21">
        <v>8.6050000000000004</v>
      </c>
      <c r="Y15" s="21">
        <v>8.8249999999999993</v>
      </c>
      <c r="Z15" s="21">
        <v>9.26</v>
      </c>
      <c r="AA15" s="21">
        <v>9.5980000000000008</v>
      </c>
      <c r="AB15" s="21">
        <v>9.968</v>
      </c>
      <c r="AC15" s="21">
        <v>10.218</v>
      </c>
      <c r="AD15" s="21">
        <v>10.391</v>
      </c>
      <c r="AE15" s="21">
        <v>10.638</v>
      </c>
      <c r="AF15" s="21">
        <v>10.949</v>
      </c>
      <c r="AG15" s="21">
        <v>11.22</v>
      </c>
      <c r="AH15" s="21">
        <v>11.521000000000001</v>
      </c>
      <c r="AI15" s="21">
        <v>11.826000000000001</v>
      </c>
      <c r="AJ15" s="21">
        <v>12.037000000000001</v>
      </c>
      <c r="AK15" s="21">
        <v>12.265000000000001</v>
      </c>
      <c r="AL15" s="21">
        <v>12.461</v>
      </c>
      <c r="AM15" s="21">
        <v>12.689</v>
      </c>
      <c r="AN15" s="21">
        <v>12.926</v>
      </c>
      <c r="AO15" s="21">
        <v>13.298</v>
      </c>
      <c r="AP15" s="21">
        <v>13.739000000000001</v>
      </c>
      <c r="AQ15" s="21">
        <v>14.337999999999999</v>
      </c>
      <c r="AR15" s="21">
        <v>15.077999999999999</v>
      </c>
      <c r="AS15" s="21">
        <v>15.913</v>
      </c>
      <c r="AT15" s="21">
        <v>16.780999999999999</v>
      </c>
      <c r="AU15" s="21">
        <v>17.491</v>
      </c>
      <c r="AV15" s="21">
        <v>18.335999999999999</v>
      </c>
      <c r="AW15" s="21">
        <v>19.89</v>
      </c>
      <c r="AX15" s="21">
        <v>21.594999999999999</v>
      </c>
      <c r="AY15" s="21">
        <v>23.093</v>
      </c>
      <c r="AZ15" s="21">
        <v>24.841000000000001</v>
      </c>
      <c r="BA15" s="21">
        <v>26.75</v>
      </c>
      <c r="BB15" s="21">
        <v>28.994</v>
      </c>
      <c r="BC15" s="21">
        <v>32.009</v>
      </c>
      <c r="BD15" s="21">
        <v>35.287999999999997</v>
      </c>
      <c r="BE15" s="21">
        <v>38.058</v>
      </c>
      <c r="BF15" s="21">
        <v>40.396000000000001</v>
      </c>
      <c r="BG15" s="21">
        <v>42.497999999999998</v>
      </c>
      <c r="BH15" s="21">
        <v>44.576999999999998</v>
      </c>
      <c r="BI15" s="21">
        <v>46.408000000000001</v>
      </c>
      <c r="BJ15" s="21">
        <v>47.795999999999999</v>
      </c>
      <c r="BK15" s="21">
        <v>50.082000000000001</v>
      </c>
      <c r="BL15" s="21">
        <v>52.442999999999998</v>
      </c>
      <c r="BM15" s="21">
        <v>54.845999999999997</v>
      </c>
      <c r="BN15" s="21">
        <v>56.991999999999997</v>
      </c>
      <c r="BO15" s="21">
        <v>59.018000000000001</v>
      </c>
      <c r="BP15" s="21">
        <v>61.058999999999997</v>
      </c>
      <c r="BQ15" s="21">
        <v>62.719000000000001</v>
      </c>
      <c r="BR15" s="21">
        <v>64.471000000000004</v>
      </c>
      <c r="BS15" s="21">
        <v>66.239999999999995</v>
      </c>
      <c r="BT15" s="21">
        <v>68.106999999999999</v>
      </c>
      <c r="BU15" s="21">
        <v>69.549000000000007</v>
      </c>
      <c r="BV15" s="21">
        <v>70.97</v>
      </c>
      <c r="BW15" s="21">
        <v>72.938000000000002</v>
      </c>
      <c r="BX15" s="21">
        <v>75.171000000000006</v>
      </c>
      <c r="BY15" s="21">
        <v>77.123000000000005</v>
      </c>
      <c r="BZ15" s="21">
        <v>79.506</v>
      </c>
      <c r="CA15" s="21">
        <v>81.965000000000003</v>
      </c>
      <c r="CB15" s="21">
        <v>84.673000000000002</v>
      </c>
      <c r="CC15" s="21">
        <v>87.616</v>
      </c>
      <c r="CD15" s="21">
        <v>90.516000000000005</v>
      </c>
      <c r="CE15" s="21">
        <v>93.234999999999999</v>
      </c>
      <c r="CF15" s="21">
        <v>94.230999999999995</v>
      </c>
      <c r="CG15" s="21">
        <v>95.956999999999994</v>
      </c>
      <c r="CH15" s="21">
        <v>97.813999999999993</v>
      </c>
      <c r="CI15" s="21">
        <v>100</v>
      </c>
      <c r="CJ15" s="21">
        <v>102.316</v>
      </c>
      <c r="CK15" s="21">
        <v>104.804</v>
      </c>
      <c r="CL15" s="21">
        <v>106.694</v>
      </c>
      <c r="CM15" s="21">
        <v>109.16</v>
      </c>
      <c r="CN15" s="21">
        <v>111.86799999999999</v>
      </c>
      <c r="CO15" s="21">
        <v>114.991</v>
      </c>
      <c r="CP15" s="21">
        <v>117.744</v>
      </c>
      <c r="CQ15" s="21">
        <v>120.105</v>
      </c>
      <c r="CR15" s="21">
        <v>124.215</v>
      </c>
    </row>
    <row r="16" spans="1:96" x14ac:dyDescent="0.3">
      <c r="A16" t="s">
        <v>372</v>
      </c>
      <c r="B16" t="s">
        <v>373</v>
      </c>
      <c r="C16" t="s">
        <v>374</v>
      </c>
      <c r="D16" s="21">
        <v>14.006</v>
      </c>
      <c r="E16" s="21">
        <v>13.407999999999999</v>
      </c>
      <c r="F16" s="21">
        <v>12.271000000000001</v>
      </c>
      <c r="G16" s="21">
        <v>10.375</v>
      </c>
      <c r="H16" s="21">
        <v>9.5069999999999997</v>
      </c>
      <c r="I16" s="21">
        <v>9.5310000000000006</v>
      </c>
      <c r="J16" s="21">
        <v>9.4149999999999991</v>
      </c>
      <c r="K16" s="21">
        <v>9.5250000000000004</v>
      </c>
      <c r="L16" s="21">
        <v>10.231</v>
      </c>
      <c r="M16" s="21">
        <v>9.93</v>
      </c>
      <c r="N16" s="21">
        <v>9.8640000000000008</v>
      </c>
      <c r="O16" s="21">
        <v>10.103999999999999</v>
      </c>
      <c r="P16" s="21">
        <v>10.836</v>
      </c>
      <c r="Q16" s="21">
        <v>11.994999999999999</v>
      </c>
      <c r="R16" s="21">
        <v>12.579000000000001</v>
      </c>
      <c r="S16" s="21">
        <v>13.073</v>
      </c>
      <c r="T16" s="21">
        <v>13.428000000000001</v>
      </c>
      <c r="U16" s="21">
        <v>14.651</v>
      </c>
      <c r="V16" s="21">
        <v>17.350000000000001</v>
      </c>
      <c r="W16" s="21">
        <v>18.760000000000002</v>
      </c>
      <c r="X16" s="21">
        <v>18.992999999999999</v>
      </c>
      <c r="Y16" s="21">
        <v>19.384</v>
      </c>
      <c r="Z16" s="21">
        <v>21.111000000000001</v>
      </c>
      <c r="AA16" s="21">
        <v>21.49</v>
      </c>
      <c r="AB16" s="21">
        <v>21.556999999999999</v>
      </c>
      <c r="AC16" s="21">
        <v>21.704000000000001</v>
      </c>
      <c r="AD16" s="21">
        <v>22.024000000000001</v>
      </c>
      <c r="AE16" s="21">
        <v>23.283000000000001</v>
      </c>
      <c r="AF16" s="21">
        <v>24.058</v>
      </c>
      <c r="AG16" s="21">
        <v>24.14</v>
      </c>
      <c r="AH16" s="21">
        <v>24.367999999999999</v>
      </c>
      <c r="AI16" s="21">
        <v>24.509</v>
      </c>
      <c r="AJ16" s="21">
        <v>24.462</v>
      </c>
      <c r="AK16" s="21">
        <v>24.488</v>
      </c>
      <c r="AL16" s="21">
        <v>24.420999999999999</v>
      </c>
      <c r="AM16" s="21">
        <v>24.58</v>
      </c>
      <c r="AN16" s="21">
        <v>24.957999999999998</v>
      </c>
      <c r="AO16" s="21">
        <v>25.469000000000001</v>
      </c>
      <c r="AP16" s="21">
        <v>26.120999999999999</v>
      </c>
      <c r="AQ16" s="21">
        <v>27.103000000000002</v>
      </c>
      <c r="AR16" s="21">
        <v>28.402000000000001</v>
      </c>
      <c r="AS16" s="21">
        <v>29.623999999999999</v>
      </c>
      <c r="AT16" s="21">
        <v>31.091999999999999</v>
      </c>
      <c r="AU16" s="21">
        <v>32.387999999999998</v>
      </c>
      <c r="AV16" s="21">
        <v>34.152999999999999</v>
      </c>
      <c r="AW16" s="21">
        <v>37.558999999999997</v>
      </c>
      <c r="AX16" s="21">
        <v>42.058999999999997</v>
      </c>
      <c r="AY16" s="21">
        <v>44.384</v>
      </c>
      <c r="AZ16" s="21">
        <v>47.655000000000001</v>
      </c>
      <c r="BA16" s="21">
        <v>51.517000000000003</v>
      </c>
      <c r="BB16" s="21">
        <v>56.140999999999998</v>
      </c>
      <c r="BC16" s="21">
        <v>61.395000000000003</v>
      </c>
      <c r="BD16" s="21">
        <v>67.123000000000005</v>
      </c>
      <c r="BE16" s="21">
        <v>70.679000000000002</v>
      </c>
      <c r="BF16" s="21">
        <v>70.896000000000001</v>
      </c>
      <c r="BG16" s="21">
        <v>71.661000000000001</v>
      </c>
      <c r="BH16" s="21">
        <v>72.548000000000002</v>
      </c>
      <c r="BI16" s="21">
        <v>74.177999999999997</v>
      </c>
      <c r="BJ16" s="21">
        <v>75.722999999999999</v>
      </c>
      <c r="BK16" s="21">
        <v>77.626999999999995</v>
      </c>
      <c r="BL16" s="21">
        <v>79.605999999999995</v>
      </c>
      <c r="BM16" s="21">
        <v>81.27</v>
      </c>
      <c r="BN16" s="21">
        <v>82.647999999999996</v>
      </c>
      <c r="BO16" s="21">
        <v>82.647000000000006</v>
      </c>
      <c r="BP16" s="21">
        <v>83.626999999999995</v>
      </c>
      <c r="BQ16" s="21">
        <v>84.875</v>
      </c>
      <c r="BR16" s="21">
        <v>86.24</v>
      </c>
      <c r="BS16" s="21">
        <v>86.191000000000003</v>
      </c>
      <c r="BT16" s="21">
        <v>86.241</v>
      </c>
      <c r="BU16" s="21">
        <v>85.608000000000004</v>
      </c>
      <c r="BV16" s="21">
        <v>85.69</v>
      </c>
      <c r="BW16" s="21">
        <v>86.814999999999998</v>
      </c>
      <c r="BX16" s="21">
        <v>87.555000000000007</v>
      </c>
      <c r="BY16" s="21">
        <v>87.840999999999994</v>
      </c>
      <c r="BZ16" s="21">
        <v>88.561000000000007</v>
      </c>
      <c r="CA16" s="21">
        <v>91.147999999999996</v>
      </c>
      <c r="CB16" s="21">
        <v>94.838999999999999</v>
      </c>
      <c r="CC16" s="21">
        <v>98.176000000000002</v>
      </c>
      <c r="CD16" s="21">
        <v>99.656000000000006</v>
      </c>
      <c r="CE16" s="21">
        <v>100.474</v>
      </c>
      <c r="CF16" s="21">
        <v>99.331000000000003</v>
      </c>
      <c r="CG16" s="21">
        <v>97.686999999999998</v>
      </c>
      <c r="CH16" s="21">
        <v>98.703999999999994</v>
      </c>
      <c r="CI16" s="21">
        <v>100</v>
      </c>
      <c r="CJ16" s="21">
        <v>100.979</v>
      </c>
      <c r="CK16" s="21">
        <v>102.922</v>
      </c>
      <c r="CL16" s="21">
        <v>103.535</v>
      </c>
      <c r="CM16" s="21">
        <v>103.52</v>
      </c>
      <c r="CN16" s="21">
        <v>105.246</v>
      </c>
      <c r="CO16" s="21">
        <v>107.217</v>
      </c>
      <c r="CP16" s="21">
        <v>108.998</v>
      </c>
      <c r="CQ16" s="21">
        <v>110.215</v>
      </c>
      <c r="CR16" s="21">
        <v>113.825</v>
      </c>
    </row>
    <row r="17" spans="1:96" x14ac:dyDescent="0.3">
      <c r="A17" t="s">
        <v>375</v>
      </c>
      <c r="B17" t="s">
        <v>376</v>
      </c>
      <c r="C17" t="s">
        <v>377</v>
      </c>
      <c r="D17" s="21">
        <v>10.412000000000001</v>
      </c>
      <c r="E17" s="21">
        <v>9.9870000000000001</v>
      </c>
      <c r="F17" s="21">
        <v>9.2420000000000009</v>
      </c>
      <c r="G17" s="21">
        <v>8.17</v>
      </c>
      <c r="H17" s="21">
        <v>7.9850000000000003</v>
      </c>
      <c r="I17" s="21">
        <v>8.3689999999999998</v>
      </c>
      <c r="J17" s="21">
        <v>8.4149999999999991</v>
      </c>
      <c r="K17" s="21">
        <v>8.5120000000000005</v>
      </c>
      <c r="L17" s="21">
        <v>9.2219999999999995</v>
      </c>
      <c r="M17" s="21">
        <v>9.3379999999999992</v>
      </c>
      <c r="N17" s="21">
        <v>9.2959999999999994</v>
      </c>
      <c r="O17" s="21">
        <v>9.5250000000000004</v>
      </c>
      <c r="P17" s="21">
        <v>10.218999999999999</v>
      </c>
      <c r="Q17" s="21">
        <v>11.218999999999999</v>
      </c>
      <c r="R17" s="21">
        <v>11.802</v>
      </c>
      <c r="S17" s="21">
        <v>12.29</v>
      </c>
      <c r="T17" s="21">
        <v>12.678000000000001</v>
      </c>
      <c r="U17" s="21">
        <v>13.919</v>
      </c>
      <c r="V17" s="21">
        <v>16.283000000000001</v>
      </c>
      <c r="W17" s="21">
        <v>17.646000000000001</v>
      </c>
      <c r="X17" s="21">
        <v>17.983000000000001</v>
      </c>
      <c r="Y17" s="21">
        <v>18.382999999999999</v>
      </c>
      <c r="Z17" s="21">
        <v>19.948</v>
      </c>
      <c r="AA17" s="21">
        <v>20.422999999999998</v>
      </c>
      <c r="AB17" s="21">
        <v>20.617999999999999</v>
      </c>
      <c r="AC17" s="21">
        <v>20.768000000000001</v>
      </c>
      <c r="AD17" s="21">
        <v>21.11</v>
      </c>
      <c r="AE17" s="21">
        <v>22.318000000000001</v>
      </c>
      <c r="AF17" s="21">
        <v>23.082000000000001</v>
      </c>
      <c r="AG17" s="21">
        <v>23.177</v>
      </c>
      <c r="AH17" s="21">
        <v>23.408000000000001</v>
      </c>
      <c r="AI17" s="21">
        <v>23.553999999999998</v>
      </c>
      <c r="AJ17" s="21">
        <v>23.501000000000001</v>
      </c>
      <c r="AK17" s="21">
        <v>23.527000000000001</v>
      </c>
      <c r="AL17" s="21">
        <v>23.47</v>
      </c>
      <c r="AM17" s="21">
        <v>23.632999999999999</v>
      </c>
      <c r="AN17" s="21">
        <v>24.018999999999998</v>
      </c>
      <c r="AO17" s="21">
        <v>24.523</v>
      </c>
      <c r="AP17" s="21">
        <v>25.184999999999999</v>
      </c>
      <c r="AQ17" s="21">
        <v>26.196000000000002</v>
      </c>
      <c r="AR17" s="21">
        <v>27.498000000000001</v>
      </c>
      <c r="AS17" s="21">
        <v>28.699000000000002</v>
      </c>
      <c r="AT17" s="21">
        <v>30.134</v>
      </c>
      <c r="AU17" s="21">
        <v>31.42</v>
      </c>
      <c r="AV17" s="21">
        <v>33.168999999999997</v>
      </c>
      <c r="AW17" s="21">
        <v>36.448999999999998</v>
      </c>
      <c r="AX17" s="21">
        <v>40.874000000000002</v>
      </c>
      <c r="AY17" s="21">
        <v>43.231999999999999</v>
      </c>
      <c r="AZ17" s="21">
        <v>46.55</v>
      </c>
      <c r="BA17" s="21">
        <v>50.444000000000003</v>
      </c>
      <c r="BB17" s="21">
        <v>54.976999999999997</v>
      </c>
      <c r="BC17" s="21">
        <v>60.104999999999997</v>
      </c>
      <c r="BD17" s="21">
        <v>65.623999999999995</v>
      </c>
      <c r="BE17" s="21">
        <v>69.311000000000007</v>
      </c>
      <c r="BF17" s="21">
        <v>69.575000000000003</v>
      </c>
      <c r="BG17" s="21">
        <v>70.253</v>
      </c>
      <c r="BH17" s="21">
        <v>71.277000000000001</v>
      </c>
      <c r="BI17" s="21">
        <v>73.021000000000001</v>
      </c>
      <c r="BJ17" s="21">
        <v>74.506</v>
      </c>
      <c r="BK17" s="21">
        <v>76.585999999999999</v>
      </c>
      <c r="BL17" s="21">
        <v>78.561000000000007</v>
      </c>
      <c r="BM17" s="21">
        <v>80.278000000000006</v>
      </c>
      <c r="BN17" s="21">
        <v>81.683000000000007</v>
      </c>
      <c r="BO17" s="21">
        <v>81.727999999999994</v>
      </c>
      <c r="BP17" s="21">
        <v>82.710999999999999</v>
      </c>
      <c r="BQ17" s="21">
        <v>83.983000000000004</v>
      </c>
      <c r="BR17" s="21">
        <v>85.378</v>
      </c>
      <c r="BS17" s="21">
        <v>85.45</v>
      </c>
      <c r="BT17" s="21">
        <v>85.599000000000004</v>
      </c>
      <c r="BU17" s="21">
        <v>85.132999999999996</v>
      </c>
      <c r="BV17" s="21">
        <v>85.277000000000001</v>
      </c>
      <c r="BW17" s="21">
        <v>86.486000000000004</v>
      </c>
      <c r="BX17" s="21">
        <v>87.241</v>
      </c>
      <c r="BY17" s="21">
        <v>87.5</v>
      </c>
      <c r="BZ17" s="21">
        <v>88.265000000000001</v>
      </c>
      <c r="CA17" s="21">
        <v>90.843000000000004</v>
      </c>
      <c r="CB17" s="21">
        <v>94.596999999999994</v>
      </c>
      <c r="CC17" s="21">
        <v>97.957999999999998</v>
      </c>
      <c r="CD17" s="21">
        <v>99.456000000000003</v>
      </c>
      <c r="CE17" s="21">
        <v>100.29600000000001</v>
      </c>
      <c r="CF17" s="21">
        <v>99.075999999999993</v>
      </c>
      <c r="CG17" s="21">
        <v>97.567999999999998</v>
      </c>
      <c r="CH17" s="21">
        <v>98.641000000000005</v>
      </c>
      <c r="CI17" s="21">
        <v>100</v>
      </c>
      <c r="CJ17" s="21">
        <v>101.09099999999999</v>
      </c>
      <c r="CK17" s="21">
        <v>103.172</v>
      </c>
      <c r="CL17" s="21">
        <v>104.075</v>
      </c>
      <c r="CM17" s="21">
        <v>104.214</v>
      </c>
      <c r="CN17" s="21">
        <v>105.95399999999999</v>
      </c>
      <c r="CO17" s="21">
        <v>107.998</v>
      </c>
      <c r="CP17" s="21">
        <v>109.79900000000001</v>
      </c>
      <c r="CQ17" s="21">
        <v>111.04900000000001</v>
      </c>
      <c r="CR17" s="21">
        <v>115.387</v>
      </c>
    </row>
    <row r="18" spans="1:96" x14ac:dyDescent="0.3">
      <c r="A18" t="s">
        <v>378</v>
      </c>
      <c r="B18" t="s">
        <v>379</v>
      </c>
      <c r="C18" t="s">
        <v>380</v>
      </c>
      <c r="D18" s="21">
        <v>13.457000000000001</v>
      </c>
      <c r="E18" s="21">
        <v>12.829000000000001</v>
      </c>
      <c r="F18" s="21">
        <v>11.949</v>
      </c>
      <c r="G18" s="21">
        <v>10.821</v>
      </c>
      <c r="H18" s="21">
        <v>10.555</v>
      </c>
      <c r="I18" s="21">
        <v>10.898</v>
      </c>
      <c r="J18" s="21">
        <v>11.018000000000001</v>
      </c>
      <c r="K18" s="21">
        <v>11.031000000000001</v>
      </c>
      <c r="L18" s="21">
        <v>11.907999999999999</v>
      </c>
      <c r="M18" s="21">
        <v>11.986000000000001</v>
      </c>
      <c r="N18" s="21">
        <v>11.88</v>
      </c>
      <c r="O18" s="21">
        <v>12.144</v>
      </c>
      <c r="P18" s="21">
        <v>12.933</v>
      </c>
      <c r="Q18" s="21">
        <v>14.311999999999999</v>
      </c>
      <c r="R18" s="21">
        <v>14.941000000000001</v>
      </c>
      <c r="S18" s="21">
        <v>15.394</v>
      </c>
      <c r="T18" s="21">
        <v>15.792</v>
      </c>
      <c r="U18" s="21">
        <v>17.376000000000001</v>
      </c>
      <c r="V18" s="21">
        <v>20.111000000000001</v>
      </c>
      <c r="W18" s="21">
        <v>21.791</v>
      </c>
      <c r="X18" s="21">
        <v>22.276</v>
      </c>
      <c r="Y18" s="21">
        <v>22.739000000000001</v>
      </c>
      <c r="Z18" s="21">
        <v>24.863</v>
      </c>
      <c r="AA18" s="21">
        <v>25.407</v>
      </c>
      <c r="AB18" s="21">
        <v>25.681000000000001</v>
      </c>
      <c r="AC18" s="21">
        <v>25.911000000000001</v>
      </c>
      <c r="AD18" s="21">
        <v>26.273</v>
      </c>
      <c r="AE18" s="21">
        <v>28.231999999999999</v>
      </c>
      <c r="AF18" s="21">
        <v>29.611000000000001</v>
      </c>
      <c r="AG18" s="21">
        <v>29.82</v>
      </c>
      <c r="AH18" s="21">
        <v>30.222999999999999</v>
      </c>
      <c r="AI18" s="21">
        <v>30.404</v>
      </c>
      <c r="AJ18" s="21">
        <v>30.28</v>
      </c>
      <c r="AK18" s="21">
        <v>30.308</v>
      </c>
      <c r="AL18" s="21">
        <v>30.315000000000001</v>
      </c>
      <c r="AM18" s="21">
        <v>30.513000000000002</v>
      </c>
      <c r="AN18" s="21">
        <v>30.852</v>
      </c>
      <c r="AO18" s="21">
        <v>31.327000000000002</v>
      </c>
      <c r="AP18" s="21">
        <v>32.093000000000004</v>
      </c>
      <c r="AQ18" s="21">
        <v>33.237000000000002</v>
      </c>
      <c r="AR18" s="21">
        <v>34.637999999999998</v>
      </c>
      <c r="AS18" s="21">
        <v>36.295000000000002</v>
      </c>
      <c r="AT18" s="21">
        <v>37.997</v>
      </c>
      <c r="AU18" s="21">
        <v>39.296999999999997</v>
      </c>
      <c r="AV18" s="21">
        <v>40.881999999999998</v>
      </c>
      <c r="AW18" s="21">
        <v>44.856999999999999</v>
      </c>
      <c r="AX18" s="21">
        <v>50.765999999999998</v>
      </c>
      <c r="AY18" s="21">
        <v>53.561999999999998</v>
      </c>
      <c r="AZ18" s="21">
        <v>57.110999999999997</v>
      </c>
      <c r="BA18" s="21">
        <v>60.93</v>
      </c>
      <c r="BB18" s="21">
        <v>65.83</v>
      </c>
      <c r="BC18" s="21">
        <v>71.641000000000005</v>
      </c>
      <c r="BD18" s="21">
        <v>78.453000000000003</v>
      </c>
      <c r="BE18" s="21">
        <v>82.911000000000001</v>
      </c>
      <c r="BF18" s="21">
        <v>82.774000000000001</v>
      </c>
      <c r="BG18" s="21">
        <v>83.036000000000001</v>
      </c>
      <c r="BH18" s="21">
        <v>83.893000000000001</v>
      </c>
      <c r="BI18" s="21">
        <v>85.364999999999995</v>
      </c>
      <c r="BJ18" s="21">
        <v>86.338999999999999</v>
      </c>
      <c r="BK18" s="21">
        <v>88.513999999999996</v>
      </c>
      <c r="BL18" s="21">
        <v>90.572000000000003</v>
      </c>
      <c r="BM18" s="21">
        <v>92.516000000000005</v>
      </c>
      <c r="BN18" s="21">
        <v>94.266999999999996</v>
      </c>
      <c r="BO18" s="21">
        <v>93.96</v>
      </c>
      <c r="BP18" s="21">
        <v>94.161000000000001</v>
      </c>
      <c r="BQ18" s="21">
        <v>94.903999999999996</v>
      </c>
      <c r="BR18" s="21">
        <v>95.849000000000004</v>
      </c>
      <c r="BS18" s="21">
        <v>95.266999999999996</v>
      </c>
      <c r="BT18" s="21">
        <v>94.734999999999999</v>
      </c>
      <c r="BU18" s="21">
        <v>93.248000000000005</v>
      </c>
      <c r="BV18" s="21">
        <v>92.313999999999993</v>
      </c>
      <c r="BW18" s="21">
        <v>92.718000000000004</v>
      </c>
      <c r="BX18" s="21">
        <v>92.346000000000004</v>
      </c>
      <c r="BY18" s="21">
        <v>91.863</v>
      </c>
      <c r="BZ18" s="21">
        <v>91.156000000000006</v>
      </c>
      <c r="CA18" s="21">
        <v>92.055000000000007</v>
      </c>
      <c r="CB18" s="21">
        <v>94.442999999999998</v>
      </c>
      <c r="CC18" s="21">
        <v>96.745000000000005</v>
      </c>
      <c r="CD18" s="21">
        <v>98.31</v>
      </c>
      <c r="CE18" s="21">
        <v>99.831999999999994</v>
      </c>
      <c r="CF18" s="21">
        <v>99.183999999999997</v>
      </c>
      <c r="CG18" s="21">
        <v>97.415999999999997</v>
      </c>
      <c r="CH18" s="21">
        <v>98.558999999999997</v>
      </c>
      <c r="CI18" s="21">
        <v>100</v>
      </c>
      <c r="CJ18" s="21">
        <v>100.251</v>
      </c>
      <c r="CK18" s="21">
        <v>101.46899999999999</v>
      </c>
      <c r="CL18" s="21">
        <v>101.90900000000001</v>
      </c>
      <c r="CM18" s="21">
        <v>101.131</v>
      </c>
      <c r="CN18" s="21">
        <v>101.994</v>
      </c>
      <c r="CO18" s="21">
        <v>102.88200000000001</v>
      </c>
      <c r="CP18" s="21">
        <v>104.256</v>
      </c>
      <c r="CQ18" s="21">
        <v>104.77500000000001</v>
      </c>
      <c r="CR18" s="21">
        <v>106.44</v>
      </c>
    </row>
    <row r="19" spans="1:96" x14ac:dyDescent="0.3">
      <c r="A19" t="s">
        <v>381</v>
      </c>
      <c r="B19" t="s">
        <v>382</v>
      </c>
      <c r="C19" t="s">
        <v>383</v>
      </c>
      <c r="D19" s="21">
        <v>3.5590000000000002</v>
      </c>
      <c r="E19" s="21">
        <v>3.3690000000000002</v>
      </c>
      <c r="F19" s="21">
        <v>3.0819999999999999</v>
      </c>
      <c r="G19" s="21">
        <v>2.6749999999999998</v>
      </c>
      <c r="H19" s="21">
        <v>2.7029999999999998</v>
      </c>
      <c r="I19" s="21">
        <v>2.7109999999999999</v>
      </c>
      <c r="J19" s="21">
        <v>2.8380000000000001</v>
      </c>
      <c r="K19" s="21">
        <v>2.8330000000000002</v>
      </c>
      <c r="L19" s="21">
        <v>3.2189999999999999</v>
      </c>
      <c r="M19" s="21">
        <v>3.1579999999999999</v>
      </c>
      <c r="N19" s="21">
        <v>3.1240000000000001</v>
      </c>
      <c r="O19" s="21">
        <v>3.173</v>
      </c>
      <c r="P19" s="21">
        <v>3.3959999999999999</v>
      </c>
      <c r="Q19" s="21">
        <v>3.7890000000000001</v>
      </c>
      <c r="R19" s="21">
        <v>4.1180000000000003</v>
      </c>
      <c r="S19" s="21">
        <v>4.2089999999999996</v>
      </c>
      <c r="T19" s="21">
        <v>4.3959999999999999</v>
      </c>
      <c r="U19" s="21">
        <v>4.9240000000000004</v>
      </c>
      <c r="V19" s="21">
        <v>5.968</v>
      </c>
      <c r="W19" s="21">
        <v>6.6390000000000002</v>
      </c>
      <c r="X19" s="21">
        <v>6.6159999999999997</v>
      </c>
      <c r="Y19" s="21">
        <v>6.6989999999999998</v>
      </c>
      <c r="Z19" s="21">
        <v>7.4710000000000001</v>
      </c>
      <c r="AA19" s="21">
        <v>7.6689999999999996</v>
      </c>
      <c r="AB19" s="21">
        <v>7.819</v>
      </c>
      <c r="AC19" s="21">
        <v>7.7240000000000002</v>
      </c>
      <c r="AD19" s="21">
        <v>7.8789999999999996</v>
      </c>
      <c r="AE19" s="21">
        <v>8.5530000000000008</v>
      </c>
      <c r="AF19" s="21">
        <v>8.92</v>
      </c>
      <c r="AG19" s="21">
        <v>8.7769999999999992</v>
      </c>
      <c r="AH19" s="21">
        <v>8.8249999999999993</v>
      </c>
      <c r="AI19" s="21">
        <v>8.8140000000000001</v>
      </c>
      <c r="AJ19" s="21">
        <v>8.7609999999999992</v>
      </c>
      <c r="AK19" s="21">
        <v>8.83</v>
      </c>
      <c r="AL19" s="21">
        <v>8.9049999999999994</v>
      </c>
      <c r="AM19" s="21">
        <v>9.032</v>
      </c>
      <c r="AN19" s="21">
        <v>9.2940000000000005</v>
      </c>
      <c r="AO19" s="21">
        <v>9.6289999999999996</v>
      </c>
      <c r="AP19" s="21">
        <v>9.9290000000000003</v>
      </c>
      <c r="AQ19" s="21">
        <v>10.427</v>
      </c>
      <c r="AR19" s="21">
        <v>11.114000000000001</v>
      </c>
      <c r="AS19" s="21">
        <v>11.845000000000001</v>
      </c>
      <c r="AT19" s="21">
        <v>12.757</v>
      </c>
      <c r="AU19" s="21">
        <v>13.673999999999999</v>
      </c>
      <c r="AV19" s="21">
        <v>14.734</v>
      </c>
      <c r="AW19" s="21">
        <v>16.77</v>
      </c>
      <c r="AX19" s="21">
        <v>18.773</v>
      </c>
      <c r="AY19" s="21">
        <v>19.692</v>
      </c>
      <c r="AZ19" s="21">
        <v>21.401</v>
      </c>
      <c r="BA19" s="21">
        <v>23.468</v>
      </c>
      <c r="BB19" s="21">
        <v>26.193999999999999</v>
      </c>
      <c r="BC19" s="21">
        <v>28.629000000000001</v>
      </c>
      <c r="BD19" s="21">
        <v>32.566000000000003</v>
      </c>
      <c r="BE19" s="21">
        <v>35.136000000000003</v>
      </c>
      <c r="BF19" s="21">
        <v>34.241</v>
      </c>
      <c r="BG19" s="21">
        <v>34.54</v>
      </c>
      <c r="BH19" s="21">
        <v>35.360999999999997</v>
      </c>
      <c r="BI19" s="21">
        <v>36.039000000000001</v>
      </c>
      <c r="BJ19" s="21">
        <v>36.618000000000002</v>
      </c>
      <c r="BK19" s="21">
        <v>38.170999999999999</v>
      </c>
      <c r="BL19" s="21">
        <v>39.665999999999997</v>
      </c>
      <c r="BM19" s="21">
        <v>40.948</v>
      </c>
      <c r="BN19" s="21">
        <v>41.689</v>
      </c>
      <c r="BO19" s="21">
        <v>41.698999999999998</v>
      </c>
      <c r="BP19" s="21">
        <v>42.921999999999997</v>
      </c>
      <c r="BQ19" s="21">
        <v>44.436999999999998</v>
      </c>
      <c r="BR19" s="21">
        <v>46.362000000000002</v>
      </c>
      <c r="BS19" s="21">
        <v>47.54</v>
      </c>
      <c r="BT19" s="21">
        <v>49.354999999999997</v>
      </c>
      <c r="BU19" s="21">
        <v>51.612000000000002</v>
      </c>
      <c r="BV19" s="21">
        <v>53.198</v>
      </c>
      <c r="BW19" s="21">
        <v>55.283000000000001</v>
      </c>
      <c r="BX19" s="21">
        <v>58.177999999999997</v>
      </c>
      <c r="BY19" s="21">
        <v>60.603000000000002</v>
      </c>
      <c r="BZ19" s="21">
        <v>62.768999999999998</v>
      </c>
      <c r="CA19" s="21">
        <v>67.415999999999997</v>
      </c>
      <c r="CB19" s="21">
        <v>75.733000000000004</v>
      </c>
      <c r="CC19" s="21">
        <v>84.748999999999995</v>
      </c>
      <c r="CD19" s="21">
        <v>89.748000000000005</v>
      </c>
      <c r="CE19" s="21">
        <v>94.334999999999994</v>
      </c>
      <c r="CF19" s="21">
        <v>92.613</v>
      </c>
      <c r="CG19" s="21">
        <v>92.006</v>
      </c>
      <c r="CH19" s="21">
        <v>95.361999999999995</v>
      </c>
      <c r="CI19" s="21">
        <v>100</v>
      </c>
      <c r="CJ19" s="21">
        <v>101.455</v>
      </c>
      <c r="CK19" s="21">
        <v>107.19799999999999</v>
      </c>
      <c r="CL19" s="21">
        <v>109.40300000000001</v>
      </c>
      <c r="CM19" s="21">
        <v>109.76300000000001</v>
      </c>
      <c r="CN19" s="21">
        <v>112.66800000000001</v>
      </c>
      <c r="CO19" s="21">
        <v>114.563</v>
      </c>
      <c r="CP19" s="21">
        <v>118.709</v>
      </c>
      <c r="CQ19" s="21">
        <v>119.97199999999999</v>
      </c>
      <c r="CR19" s="21">
        <v>127.67400000000001</v>
      </c>
    </row>
    <row r="20" spans="1:96" x14ac:dyDescent="0.3">
      <c r="A20" t="s">
        <v>384</v>
      </c>
      <c r="B20" t="s">
        <v>385</v>
      </c>
      <c r="C20" t="s">
        <v>386</v>
      </c>
      <c r="D20" s="21">
        <v>25.023</v>
      </c>
      <c r="E20" s="21">
        <v>24.021000000000001</v>
      </c>
      <c r="F20" s="21">
        <v>22.768000000000001</v>
      </c>
      <c r="G20" s="21">
        <v>21.474</v>
      </c>
      <c r="H20" s="21">
        <v>20.631</v>
      </c>
      <c r="I20" s="21">
        <v>21.795000000000002</v>
      </c>
      <c r="J20" s="21">
        <v>21.602</v>
      </c>
      <c r="K20" s="21">
        <v>21.568999999999999</v>
      </c>
      <c r="L20" s="21">
        <v>22.803000000000001</v>
      </c>
      <c r="M20" s="21">
        <v>23.352</v>
      </c>
      <c r="N20" s="21">
        <v>23.106000000000002</v>
      </c>
      <c r="O20" s="21">
        <v>23.725000000000001</v>
      </c>
      <c r="P20" s="21">
        <v>25.233000000000001</v>
      </c>
      <c r="Q20" s="21">
        <v>27.751999999999999</v>
      </c>
      <c r="R20" s="21">
        <v>27.896999999999998</v>
      </c>
      <c r="S20" s="21">
        <v>28.433</v>
      </c>
      <c r="T20" s="21">
        <v>28.913</v>
      </c>
      <c r="U20" s="21">
        <v>31.651</v>
      </c>
      <c r="V20" s="21">
        <v>35.856000000000002</v>
      </c>
      <c r="W20" s="21">
        <v>38.442</v>
      </c>
      <c r="X20" s="21">
        <v>39.972000000000001</v>
      </c>
      <c r="Y20" s="21">
        <v>40.978999999999999</v>
      </c>
      <c r="Z20" s="21">
        <v>44.46</v>
      </c>
      <c r="AA20" s="21">
        <v>45.356999999999999</v>
      </c>
      <c r="AB20" s="21">
        <v>45.552</v>
      </c>
      <c r="AC20" s="21">
        <v>46.612000000000002</v>
      </c>
      <c r="AD20" s="21">
        <v>46.997999999999998</v>
      </c>
      <c r="AE20" s="21">
        <v>50.493000000000002</v>
      </c>
      <c r="AF20" s="21">
        <v>53.335999999999999</v>
      </c>
      <c r="AG20" s="21">
        <v>54.375</v>
      </c>
      <c r="AH20" s="21">
        <v>55.371000000000002</v>
      </c>
      <c r="AI20" s="21">
        <v>55.838000000000001</v>
      </c>
      <c r="AJ20" s="21">
        <v>55.534999999999997</v>
      </c>
      <c r="AK20" s="21">
        <v>55.271999999999998</v>
      </c>
      <c r="AL20" s="21">
        <v>54.984999999999999</v>
      </c>
      <c r="AM20" s="21">
        <v>54.954999999999998</v>
      </c>
      <c r="AN20" s="21">
        <v>55.026000000000003</v>
      </c>
      <c r="AO20" s="21">
        <v>55.204000000000001</v>
      </c>
      <c r="AP20" s="21">
        <v>56.466999999999999</v>
      </c>
      <c r="AQ20" s="21">
        <v>58.017000000000003</v>
      </c>
      <c r="AR20" s="21">
        <v>59.656999999999996</v>
      </c>
      <c r="AS20" s="21">
        <v>61.890999999999998</v>
      </c>
      <c r="AT20" s="21">
        <v>63.847999999999999</v>
      </c>
      <c r="AU20" s="21">
        <v>64.686000000000007</v>
      </c>
      <c r="AV20" s="21">
        <v>65.78</v>
      </c>
      <c r="AW20" s="21">
        <v>70.712999999999994</v>
      </c>
      <c r="AX20" s="21">
        <v>81.483999999999995</v>
      </c>
      <c r="AY20" s="21">
        <v>86.486000000000004</v>
      </c>
      <c r="AZ20" s="21">
        <v>91.8</v>
      </c>
      <c r="BA20" s="21">
        <v>96.9</v>
      </c>
      <c r="BB20" s="21">
        <v>103.167</v>
      </c>
      <c r="BC20" s="21">
        <v>112.249</v>
      </c>
      <c r="BD20" s="21">
        <v>120.46299999999999</v>
      </c>
      <c r="BE20" s="21">
        <v>125.41500000000001</v>
      </c>
      <c r="BF20" s="21">
        <v>125.776</v>
      </c>
      <c r="BG20" s="21">
        <v>124.748</v>
      </c>
      <c r="BH20" s="21">
        <v>124.748</v>
      </c>
      <c r="BI20" s="21">
        <v>127.254</v>
      </c>
      <c r="BJ20" s="21">
        <v>128.083</v>
      </c>
      <c r="BK20" s="21">
        <v>129.85400000000001</v>
      </c>
      <c r="BL20" s="21">
        <v>132.33699999999999</v>
      </c>
      <c r="BM20" s="21">
        <v>135.042</v>
      </c>
      <c r="BN20" s="21">
        <v>137.33000000000001</v>
      </c>
      <c r="BO20" s="21">
        <v>137.12100000000001</v>
      </c>
      <c r="BP20" s="21">
        <v>135.518</v>
      </c>
      <c r="BQ20" s="21">
        <v>135.27699999999999</v>
      </c>
      <c r="BR20" s="21">
        <v>133.79599999999999</v>
      </c>
      <c r="BS20" s="21">
        <v>130.762</v>
      </c>
      <c r="BT20" s="21">
        <v>127.15600000000001</v>
      </c>
      <c r="BU20" s="21">
        <v>121.45099999999999</v>
      </c>
      <c r="BV20" s="21">
        <v>116.76300000000001</v>
      </c>
      <c r="BW20" s="21">
        <v>114.224</v>
      </c>
      <c r="BX20" s="21">
        <v>110.858</v>
      </c>
      <c r="BY20" s="21">
        <v>108.53100000000001</v>
      </c>
      <c r="BZ20" s="21">
        <v>105.72499999999999</v>
      </c>
      <c r="CA20" s="21">
        <v>104.84099999999999</v>
      </c>
      <c r="CB20" s="21">
        <v>104.598</v>
      </c>
      <c r="CC20" s="21">
        <v>103.56</v>
      </c>
      <c r="CD20" s="21">
        <v>103.191</v>
      </c>
      <c r="CE20" s="21">
        <v>102.542</v>
      </c>
      <c r="CF20" s="21">
        <v>103.169</v>
      </c>
      <c r="CG20" s="21">
        <v>99.471000000000004</v>
      </c>
      <c r="CH20" s="21">
        <v>99.447000000000003</v>
      </c>
      <c r="CI20" s="21">
        <v>100</v>
      </c>
      <c r="CJ20" s="21">
        <v>99.787000000000006</v>
      </c>
      <c r="CK20" s="21">
        <v>99.168999999999997</v>
      </c>
      <c r="CL20" s="21">
        <v>98.671000000000006</v>
      </c>
      <c r="CM20" s="21">
        <v>97.620999999999995</v>
      </c>
      <c r="CN20" s="21">
        <v>97.564999999999998</v>
      </c>
      <c r="CO20" s="21">
        <v>97.685000000000002</v>
      </c>
      <c r="CP20" s="21">
        <v>97.888000000000005</v>
      </c>
      <c r="CQ20" s="21">
        <v>97.688000000000002</v>
      </c>
      <c r="CR20" s="21">
        <v>97.686999999999998</v>
      </c>
    </row>
    <row r="21" spans="1:96" x14ac:dyDescent="0.3">
      <c r="A21" t="s">
        <v>387</v>
      </c>
      <c r="B21" t="s">
        <v>388</v>
      </c>
      <c r="C21" t="s">
        <v>389</v>
      </c>
      <c r="D21" s="21">
        <v>16.064</v>
      </c>
      <c r="E21" s="21">
        <v>15.378</v>
      </c>
      <c r="F21" s="21">
        <v>14.409000000000001</v>
      </c>
      <c r="G21" s="21">
        <v>13.092000000000001</v>
      </c>
      <c r="H21" s="21">
        <v>12.18</v>
      </c>
      <c r="I21" s="21">
        <v>12.397</v>
      </c>
      <c r="J21" s="21">
        <v>12.598000000000001</v>
      </c>
      <c r="K21" s="21">
        <v>12.9</v>
      </c>
      <c r="L21" s="21">
        <v>13.403</v>
      </c>
      <c r="M21" s="21">
        <v>13.339</v>
      </c>
      <c r="N21" s="21">
        <v>13.411</v>
      </c>
      <c r="O21" s="21">
        <v>13.622</v>
      </c>
      <c r="P21" s="21">
        <v>14.4</v>
      </c>
      <c r="Q21" s="21">
        <v>15.999000000000001</v>
      </c>
      <c r="R21" s="21">
        <v>17.670999999999999</v>
      </c>
      <c r="S21" s="21">
        <v>19.195</v>
      </c>
      <c r="T21" s="21">
        <v>19.722999999999999</v>
      </c>
      <c r="U21" s="21">
        <v>20.773</v>
      </c>
      <c r="V21" s="21">
        <v>22.81</v>
      </c>
      <c r="W21" s="21">
        <v>23.992999999999999</v>
      </c>
      <c r="X21" s="21">
        <v>24.033999999999999</v>
      </c>
      <c r="Y21" s="21">
        <v>24.597000000000001</v>
      </c>
      <c r="Z21" s="21">
        <v>26.109000000000002</v>
      </c>
      <c r="AA21" s="21">
        <v>26.44</v>
      </c>
      <c r="AB21" s="21">
        <v>26.901</v>
      </c>
      <c r="AC21" s="21">
        <v>27.093</v>
      </c>
      <c r="AD21" s="21">
        <v>27.736999999999998</v>
      </c>
      <c r="AE21" s="21">
        <v>28.792000000000002</v>
      </c>
      <c r="AF21" s="21">
        <v>29.706</v>
      </c>
      <c r="AG21" s="21">
        <v>30.425999999999998</v>
      </c>
      <c r="AH21" s="21">
        <v>30.922000000000001</v>
      </c>
      <c r="AI21" s="21">
        <v>31.393000000000001</v>
      </c>
      <c r="AJ21" s="21">
        <v>31.596</v>
      </c>
      <c r="AK21" s="21">
        <v>31.751000000000001</v>
      </c>
      <c r="AL21" s="21">
        <v>31.791</v>
      </c>
      <c r="AM21" s="21">
        <v>32.281999999999996</v>
      </c>
      <c r="AN21" s="21">
        <v>32.509</v>
      </c>
      <c r="AO21" s="21">
        <v>33.002000000000002</v>
      </c>
      <c r="AP21" s="21">
        <v>33.505000000000003</v>
      </c>
      <c r="AQ21" s="21">
        <v>34.676000000000002</v>
      </c>
      <c r="AR21" s="21">
        <v>36.204000000000001</v>
      </c>
      <c r="AS21" s="21">
        <v>37.929000000000002</v>
      </c>
      <c r="AT21" s="21">
        <v>39.317999999999998</v>
      </c>
      <c r="AU21" s="21">
        <v>40.49</v>
      </c>
      <c r="AV21" s="21">
        <v>42.494</v>
      </c>
      <c r="AW21" s="21">
        <v>46.460999999999999</v>
      </c>
      <c r="AX21" s="21">
        <v>50.19</v>
      </c>
      <c r="AY21" s="21">
        <v>52.408000000000001</v>
      </c>
      <c r="AZ21" s="21">
        <v>54.709000000000003</v>
      </c>
      <c r="BA21" s="21">
        <v>57.557000000000002</v>
      </c>
      <c r="BB21" s="21">
        <v>61.381999999999998</v>
      </c>
      <c r="BC21" s="21">
        <v>66.123000000000005</v>
      </c>
      <c r="BD21" s="21">
        <v>71.058000000000007</v>
      </c>
      <c r="BE21" s="21">
        <v>75.093000000000004</v>
      </c>
      <c r="BF21" s="21">
        <v>77.897999999999996</v>
      </c>
      <c r="BG21" s="21">
        <v>80.081000000000003</v>
      </c>
      <c r="BH21" s="21">
        <v>81.412999999999997</v>
      </c>
      <c r="BI21" s="21">
        <v>82.046999999999997</v>
      </c>
      <c r="BJ21" s="21">
        <v>83.518000000000001</v>
      </c>
      <c r="BK21" s="21">
        <v>86.129000000000005</v>
      </c>
      <c r="BL21" s="21">
        <v>87.24</v>
      </c>
      <c r="BM21" s="21">
        <v>88.147000000000006</v>
      </c>
      <c r="BN21" s="21">
        <v>90.271000000000001</v>
      </c>
      <c r="BO21" s="21">
        <v>89.373000000000005</v>
      </c>
      <c r="BP21" s="21">
        <v>89.998000000000005</v>
      </c>
      <c r="BQ21" s="21">
        <v>90.468000000000004</v>
      </c>
      <c r="BR21" s="21">
        <v>93.134</v>
      </c>
      <c r="BS21" s="21">
        <v>93.543999999999997</v>
      </c>
      <c r="BT21" s="21">
        <v>94.052000000000007</v>
      </c>
      <c r="BU21" s="21">
        <v>93.594999999999999</v>
      </c>
      <c r="BV21" s="21">
        <v>95.105000000000004</v>
      </c>
      <c r="BW21" s="21">
        <v>97.813999999999993</v>
      </c>
      <c r="BX21" s="21">
        <v>97.683999999999997</v>
      </c>
      <c r="BY21" s="21">
        <v>96.376000000000005</v>
      </c>
      <c r="BZ21" s="21">
        <v>95.647000000000006</v>
      </c>
      <c r="CA21" s="21">
        <v>95.334999999999994</v>
      </c>
      <c r="CB21" s="21">
        <v>95.951999999999998</v>
      </c>
      <c r="CC21" s="21">
        <v>97.087999999999994</v>
      </c>
      <c r="CD21" s="21">
        <v>98.284000000000006</v>
      </c>
      <c r="CE21" s="21">
        <v>99.834000000000003</v>
      </c>
      <c r="CF21" s="21">
        <v>98.588999999999999</v>
      </c>
      <c r="CG21" s="21">
        <v>98.305999999999997</v>
      </c>
      <c r="CH21" s="21">
        <v>99.516999999999996</v>
      </c>
      <c r="CI21" s="21">
        <v>100</v>
      </c>
      <c r="CJ21" s="21">
        <v>100.081</v>
      </c>
      <c r="CK21" s="21">
        <v>100.791</v>
      </c>
      <c r="CL21" s="21">
        <v>101.374</v>
      </c>
      <c r="CM21" s="21">
        <v>100.232</v>
      </c>
      <c r="CN21" s="21">
        <v>101.065</v>
      </c>
      <c r="CO21" s="21">
        <v>102.372</v>
      </c>
      <c r="CP21" s="21">
        <v>103.68300000000001</v>
      </c>
      <c r="CQ21" s="21">
        <v>104.672</v>
      </c>
      <c r="CR21" s="21">
        <v>105.595</v>
      </c>
    </row>
    <row r="22" spans="1:96" x14ac:dyDescent="0.3">
      <c r="A22" t="s">
        <v>390</v>
      </c>
      <c r="B22" t="s">
        <v>391</v>
      </c>
      <c r="C22" t="s">
        <v>392</v>
      </c>
      <c r="D22" s="21">
        <v>5.0709999999999997</v>
      </c>
      <c r="E22" s="21">
        <v>4.9619999999999997</v>
      </c>
      <c r="F22" s="21">
        <v>4.4930000000000003</v>
      </c>
      <c r="G22" s="21">
        <v>3.6629999999999998</v>
      </c>
      <c r="H22" s="21">
        <v>3.6070000000000002</v>
      </c>
      <c r="I22" s="21">
        <v>4.0060000000000002</v>
      </c>
      <c r="J22" s="21">
        <v>3.95</v>
      </c>
      <c r="K22" s="21">
        <v>4.1420000000000003</v>
      </c>
      <c r="L22" s="21">
        <v>4.5469999999999997</v>
      </c>
      <c r="M22" s="21">
        <v>4.6920000000000002</v>
      </c>
      <c r="N22" s="21">
        <v>4.7220000000000004</v>
      </c>
      <c r="O22" s="21">
        <v>4.8639999999999999</v>
      </c>
      <c r="P22" s="21">
        <v>5.3140000000000001</v>
      </c>
      <c r="Q22" s="21">
        <v>5.7080000000000002</v>
      </c>
      <c r="R22" s="21">
        <v>6.1760000000000002</v>
      </c>
      <c r="S22" s="21">
        <v>6.7750000000000004</v>
      </c>
      <c r="T22" s="21">
        <v>7.2320000000000002</v>
      </c>
      <c r="U22" s="21">
        <v>7.8490000000000002</v>
      </c>
      <c r="V22" s="21">
        <v>9.4019999999999992</v>
      </c>
      <c r="W22" s="21">
        <v>10.192</v>
      </c>
      <c r="X22" s="21">
        <v>10.327</v>
      </c>
      <c r="Y22" s="21">
        <v>10.582000000000001</v>
      </c>
      <c r="Z22" s="21">
        <v>11.34</v>
      </c>
      <c r="AA22" s="21">
        <v>11.651999999999999</v>
      </c>
      <c r="AB22" s="21">
        <v>11.736000000000001</v>
      </c>
      <c r="AC22" s="21">
        <v>11.782999999999999</v>
      </c>
      <c r="AD22" s="21">
        <v>12.028</v>
      </c>
      <c r="AE22" s="21">
        <v>12.335000000000001</v>
      </c>
      <c r="AF22" s="21">
        <v>12.368</v>
      </c>
      <c r="AG22" s="21">
        <v>12.337999999999999</v>
      </c>
      <c r="AH22" s="21">
        <v>12.374000000000001</v>
      </c>
      <c r="AI22" s="21">
        <v>12.458</v>
      </c>
      <c r="AJ22" s="21">
        <v>12.477</v>
      </c>
      <c r="AK22" s="21">
        <v>12.497</v>
      </c>
      <c r="AL22" s="21">
        <v>12.398999999999999</v>
      </c>
      <c r="AM22" s="21">
        <v>12.496</v>
      </c>
      <c r="AN22" s="21">
        <v>12.846</v>
      </c>
      <c r="AO22" s="21">
        <v>13.311999999999999</v>
      </c>
      <c r="AP22" s="21">
        <v>13.77</v>
      </c>
      <c r="AQ22" s="21">
        <v>14.497999999999999</v>
      </c>
      <c r="AR22" s="21">
        <v>15.518000000000001</v>
      </c>
      <c r="AS22" s="21">
        <v>16.015999999999998</v>
      </c>
      <c r="AT22" s="21">
        <v>16.943000000000001</v>
      </c>
      <c r="AU22" s="21">
        <v>17.975000000000001</v>
      </c>
      <c r="AV22" s="21">
        <v>19.571000000000002</v>
      </c>
      <c r="AW22" s="21">
        <v>21.593</v>
      </c>
      <c r="AX22" s="21">
        <v>23.59</v>
      </c>
      <c r="AY22" s="21">
        <v>25.117000000000001</v>
      </c>
      <c r="AZ22" s="21">
        <v>27.683</v>
      </c>
      <c r="BA22" s="21">
        <v>31.082000000000001</v>
      </c>
      <c r="BB22" s="21">
        <v>34.593000000000004</v>
      </c>
      <c r="BC22" s="21">
        <v>38.325000000000003</v>
      </c>
      <c r="BD22" s="21">
        <v>41.424999999999997</v>
      </c>
      <c r="BE22" s="21">
        <v>43.646000000000001</v>
      </c>
      <c r="BF22" s="21">
        <v>44.68</v>
      </c>
      <c r="BG22" s="21">
        <v>46.003</v>
      </c>
      <c r="BH22" s="21">
        <v>47.267000000000003</v>
      </c>
      <c r="BI22" s="21">
        <v>49.350999999999999</v>
      </c>
      <c r="BJ22" s="21">
        <v>51.485999999999997</v>
      </c>
      <c r="BK22" s="21">
        <v>53.277999999999999</v>
      </c>
      <c r="BL22" s="21">
        <v>55.02</v>
      </c>
      <c r="BM22" s="21">
        <v>56.287999999999997</v>
      </c>
      <c r="BN22" s="21">
        <v>57.021000000000001</v>
      </c>
      <c r="BO22" s="21">
        <v>57.722999999999999</v>
      </c>
      <c r="BP22" s="21">
        <v>60.073999999999998</v>
      </c>
      <c r="BQ22" s="21">
        <v>62.247</v>
      </c>
      <c r="BR22" s="21">
        <v>64.472999999999999</v>
      </c>
      <c r="BS22" s="21">
        <v>65.855999999999995</v>
      </c>
      <c r="BT22" s="21">
        <v>67.444000000000003</v>
      </c>
      <c r="BU22" s="21">
        <v>69.222999999999999</v>
      </c>
      <c r="BV22" s="21">
        <v>71.816000000000003</v>
      </c>
      <c r="BW22" s="21">
        <v>75.004000000000005</v>
      </c>
      <c r="BX22" s="21">
        <v>78.563999999999993</v>
      </c>
      <c r="BY22" s="21">
        <v>80.510000000000005</v>
      </c>
      <c r="BZ22" s="21">
        <v>84.325000000000003</v>
      </c>
      <c r="CA22" s="21">
        <v>90.242999999999995</v>
      </c>
      <c r="CB22" s="21">
        <v>96.706000000000003</v>
      </c>
      <c r="CC22" s="21">
        <v>102.355</v>
      </c>
      <c r="CD22" s="21">
        <v>103.708</v>
      </c>
      <c r="CE22" s="21">
        <v>102.249</v>
      </c>
      <c r="CF22" s="21">
        <v>98.671000000000006</v>
      </c>
      <c r="CG22" s="21">
        <v>98.316999999999993</v>
      </c>
      <c r="CH22" s="21">
        <v>99.049000000000007</v>
      </c>
      <c r="CI22" s="21">
        <v>100</v>
      </c>
      <c r="CJ22" s="21">
        <v>105.054</v>
      </c>
      <c r="CK22" s="21">
        <v>111.11799999999999</v>
      </c>
      <c r="CL22" s="21">
        <v>114.114</v>
      </c>
      <c r="CM22" s="21">
        <v>118.134</v>
      </c>
      <c r="CN22" s="21">
        <v>123.497</v>
      </c>
      <c r="CO22" s="21">
        <v>130.47</v>
      </c>
      <c r="CP22" s="21">
        <v>134.18199999999999</v>
      </c>
      <c r="CQ22" s="21">
        <v>138.61799999999999</v>
      </c>
      <c r="CR22" s="21">
        <v>153.74799999999999</v>
      </c>
    </row>
    <row r="23" spans="1:96" x14ac:dyDescent="0.3">
      <c r="A23" t="s">
        <v>393</v>
      </c>
      <c r="B23" t="s">
        <v>394</v>
      </c>
      <c r="C23" t="s">
        <v>395</v>
      </c>
      <c r="D23" s="22" t="s">
        <v>396</v>
      </c>
      <c r="E23" s="22" t="s">
        <v>396</v>
      </c>
      <c r="F23" s="22" t="s">
        <v>396</v>
      </c>
      <c r="G23" s="22" t="s">
        <v>396</v>
      </c>
      <c r="H23" s="22" t="s">
        <v>396</v>
      </c>
      <c r="I23" s="22" t="s">
        <v>396</v>
      </c>
      <c r="J23" s="22" t="s">
        <v>396</v>
      </c>
      <c r="K23" s="22" t="s">
        <v>396</v>
      </c>
      <c r="L23" s="22" t="s">
        <v>396</v>
      </c>
      <c r="M23" s="22" t="s">
        <v>396</v>
      </c>
      <c r="N23" s="22" t="s">
        <v>396</v>
      </c>
      <c r="O23" s="22" t="s">
        <v>396</v>
      </c>
      <c r="P23" s="22" t="s">
        <v>396</v>
      </c>
      <c r="Q23" s="22" t="s">
        <v>396</v>
      </c>
      <c r="R23" s="22" t="s">
        <v>396</v>
      </c>
      <c r="S23" s="22" t="s">
        <v>396</v>
      </c>
      <c r="T23" s="22" t="s">
        <v>396</v>
      </c>
      <c r="U23" s="22" t="s">
        <v>396</v>
      </c>
      <c r="V23" s="22" t="s">
        <v>396</v>
      </c>
      <c r="W23" s="22" t="s">
        <v>396</v>
      </c>
      <c r="X23" s="22" t="s">
        <v>396</v>
      </c>
      <c r="Y23" s="22" t="s">
        <v>396</v>
      </c>
      <c r="Z23" s="22" t="s">
        <v>396</v>
      </c>
      <c r="AA23" s="22" t="s">
        <v>396</v>
      </c>
      <c r="AB23" s="22" t="s">
        <v>396</v>
      </c>
      <c r="AC23" s="22" t="s">
        <v>396</v>
      </c>
      <c r="AD23" s="22" t="s">
        <v>396</v>
      </c>
      <c r="AE23" s="22" t="s">
        <v>396</v>
      </c>
      <c r="AF23" s="22" t="s">
        <v>396</v>
      </c>
      <c r="AG23" s="22" t="s">
        <v>396</v>
      </c>
      <c r="AH23" s="22" t="s">
        <v>396</v>
      </c>
      <c r="AI23" s="22" t="s">
        <v>396</v>
      </c>
      <c r="AJ23" s="22" t="s">
        <v>396</v>
      </c>
      <c r="AK23" s="22" t="s">
        <v>396</v>
      </c>
      <c r="AL23" s="22" t="s">
        <v>396</v>
      </c>
      <c r="AM23" s="22" t="s">
        <v>396</v>
      </c>
      <c r="AN23" s="22" t="s">
        <v>396</v>
      </c>
      <c r="AO23" s="22" t="s">
        <v>396</v>
      </c>
      <c r="AP23" s="22" t="s">
        <v>396</v>
      </c>
      <c r="AQ23" s="22" t="s">
        <v>396</v>
      </c>
      <c r="AR23" s="22" t="s">
        <v>396</v>
      </c>
      <c r="AS23" s="22" t="s">
        <v>396</v>
      </c>
      <c r="AT23" s="22" t="s">
        <v>396</v>
      </c>
      <c r="AU23" s="22" t="s">
        <v>396</v>
      </c>
      <c r="AV23" s="22" t="s">
        <v>396</v>
      </c>
      <c r="AW23" s="22" t="s">
        <v>396</v>
      </c>
      <c r="AX23" s="22" t="s">
        <v>396</v>
      </c>
      <c r="AY23" s="22" t="s">
        <v>396</v>
      </c>
      <c r="AZ23" s="22" t="s">
        <v>396</v>
      </c>
      <c r="BA23" s="22" t="s">
        <v>396</v>
      </c>
      <c r="BB23" s="22" t="s">
        <v>396</v>
      </c>
      <c r="BC23" s="22" t="s">
        <v>396</v>
      </c>
      <c r="BD23" s="22" t="s">
        <v>396</v>
      </c>
      <c r="BE23" s="22" t="s">
        <v>396</v>
      </c>
      <c r="BF23" s="22" t="s">
        <v>396</v>
      </c>
      <c r="BG23" s="22" t="s">
        <v>396</v>
      </c>
      <c r="BH23" s="22" t="s">
        <v>396</v>
      </c>
      <c r="BI23" s="22" t="s">
        <v>396</v>
      </c>
      <c r="BJ23" s="22" t="s">
        <v>396</v>
      </c>
      <c r="BK23" s="22" t="s">
        <v>396</v>
      </c>
      <c r="BL23" s="22" t="s">
        <v>396</v>
      </c>
      <c r="BM23" s="22" t="s">
        <v>396</v>
      </c>
      <c r="BN23" s="22" t="s">
        <v>396</v>
      </c>
      <c r="BO23" s="22" t="s">
        <v>396</v>
      </c>
      <c r="BP23" s="22" t="s">
        <v>396</v>
      </c>
      <c r="BQ23" s="22" t="s">
        <v>396</v>
      </c>
      <c r="BR23" s="22" t="s">
        <v>396</v>
      </c>
      <c r="BS23" s="22" t="s">
        <v>396</v>
      </c>
      <c r="BT23" s="22" t="s">
        <v>396</v>
      </c>
      <c r="BU23" s="22" t="s">
        <v>396</v>
      </c>
      <c r="BV23" s="22" t="s">
        <v>396</v>
      </c>
      <c r="BW23" s="22" t="s">
        <v>396</v>
      </c>
      <c r="BX23" s="22" t="s">
        <v>396</v>
      </c>
      <c r="BY23" s="22" t="s">
        <v>396</v>
      </c>
      <c r="BZ23" s="22" t="s">
        <v>396</v>
      </c>
      <c r="CA23" s="22" t="s">
        <v>396</v>
      </c>
      <c r="CB23" s="22" t="s">
        <v>396</v>
      </c>
      <c r="CC23" s="22" t="s">
        <v>396</v>
      </c>
      <c r="CD23" s="22" t="s">
        <v>396</v>
      </c>
      <c r="CE23" s="22" t="s">
        <v>396</v>
      </c>
      <c r="CF23" s="22" t="s">
        <v>396</v>
      </c>
      <c r="CG23" s="22" t="s">
        <v>396</v>
      </c>
      <c r="CH23" s="22" t="s">
        <v>396</v>
      </c>
      <c r="CI23" s="22" t="s">
        <v>396</v>
      </c>
      <c r="CJ23" s="22" t="s">
        <v>396</v>
      </c>
      <c r="CK23" s="22" t="s">
        <v>396</v>
      </c>
      <c r="CL23" s="22" t="s">
        <v>396</v>
      </c>
      <c r="CM23" s="22" t="s">
        <v>396</v>
      </c>
      <c r="CN23" s="22" t="s">
        <v>396</v>
      </c>
      <c r="CO23" s="22" t="s">
        <v>396</v>
      </c>
      <c r="CP23" s="22" t="s">
        <v>396</v>
      </c>
      <c r="CQ23" s="22" t="s">
        <v>396</v>
      </c>
      <c r="CR23" s="22" t="s">
        <v>396</v>
      </c>
    </row>
    <row r="24" spans="1:96" x14ac:dyDescent="0.3">
      <c r="A24" t="s">
        <v>397</v>
      </c>
      <c r="B24" t="s">
        <v>398</v>
      </c>
      <c r="C24" t="s">
        <v>395</v>
      </c>
      <c r="D24" s="22" t="s">
        <v>396</v>
      </c>
      <c r="E24" s="22" t="s">
        <v>396</v>
      </c>
      <c r="F24" s="22" t="s">
        <v>396</v>
      </c>
      <c r="G24" s="22" t="s">
        <v>396</v>
      </c>
      <c r="H24" s="22" t="s">
        <v>396</v>
      </c>
      <c r="I24" s="22" t="s">
        <v>396</v>
      </c>
      <c r="J24" s="22" t="s">
        <v>396</v>
      </c>
      <c r="K24" s="22" t="s">
        <v>396</v>
      </c>
      <c r="L24" s="22" t="s">
        <v>396</v>
      </c>
      <c r="M24" s="22" t="s">
        <v>396</v>
      </c>
      <c r="N24" s="22" t="s">
        <v>396</v>
      </c>
      <c r="O24" s="22" t="s">
        <v>396</v>
      </c>
      <c r="P24" s="22" t="s">
        <v>396</v>
      </c>
      <c r="Q24" s="22" t="s">
        <v>396</v>
      </c>
      <c r="R24" s="22" t="s">
        <v>396</v>
      </c>
      <c r="S24" s="22" t="s">
        <v>396</v>
      </c>
      <c r="T24" s="22" t="s">
        <v>396</v>
      </c>
      <c r="U24" s="22" t="s">
        <v>396</v>
      </c>
      <c r="V24" s="22" t="s">
        <v>396</v>
      </c>
      <c r="W24" s="22" t="s">
        <v>396</v>
      </c>
      <c r="X24" s="22" t="s">
        <v>396</v>
      </c>
      <c r="Y24" s="22" t="s">
        <v>396</v>
      </c>
      <c r="Z24" s="22" t="s">
        <v>396</v>
      </c>
      <c r="AA24" s="22" t="s">
        <v>396</v>
      </c>
      <c r="AB24" s="22" t="s">
        <v>396</v>
      </c>
      <c r="AC24" s="22" t="s">
        <v>396</v>
      </c>
      <c r="AD24" s="22" t="s">
        <v>396</v>
      </c>
      <c r="AE24" s="22" t="s">
        <v>396</v>
      </c>
      <c r="AF24" s="22" t="s">
        <v>396</v>
      </c>
      <c r="AG24" s="22" t="s">
        <v>396</v>
      </c>
      <c r="AH24" s="22" t="s">
        <v>396</v>
      </c>
      <c r="AI24" s="22" t="s">
        <v>396</v>
      </c>
      <c r="AJ24" s="22" t="s">
        <v>396</v>
      </c>
      <c r="AK24" s="22" t="s">
        <v>396</v>
      </c>
      <c r="AL24" s="22" t="s">
        <v>396</v>
      </c>
      <c r="AM24" s="22" t="s">
        <v>396</v>
      </c>
      <c r="AN24" s="22" t="s">
        <v>396</v>
      </c>
      <c r="AO24" s="22" t="s">
        <v>396</v>
      </c>
      <c r="AP24" s="22" t="s">
        <v>396</v>
      </c>
      <c r="AQ24" s="22" t="s">
        <v>396</v>
      </c>
      <c r="AR24" s="22" t="s">
        <v>396</v>
      </c>
      <c r="AS24" s="22" t="s">
        <v>396</v>
      </c>
      <c r="AT24" s="22" t="s">
        <v>396</v>
      </c>
      <c r="AU24" s="22" t="s">
        <v>396</v>
      </c>
      <c r="AV24" s="22" t="s">
        <v>396</v>
      </c>
      <c r="AW24" s="22" t="s">
        <v>396</v>
      </c>
      <c r="AX24" s="22" t="s">
        <v>396</v>
      </c>
      <c r="AY24" s="22" t="s">
        <v>396</v>
      </c>
      <c r="AZ24" s="22" t="s">
        <v>396</v>
      </c>
      <c r="BA24" s="22" t="s">
        <v>396</v>
      </c>
      <c r="BB24" s="22" t="s">
        <v>396</v>
      </c>
      <c r="BC24" s="22" t="s">
        <v>396</v>
      </c>
      <c r="BD24" s="22" t="s">
        <v>396</v>
      </c>
      <c r="BE24" s="22" t="s">
        <v>396</v>
      </c>
      <c r="BF24" s="22" t="s">
        <v>396</v>
      </c>
      <c r="BG24" s="22" t="s">
        <v>396</v>
      </c>
      <c r="BH24" s="22" t="s">
        <v>396</v>
      </c>
      <c r="BI24" s="22" t="s">
        <v>396</v>
      </c>
      <c r="BJ24" s="22" t="s">
        <v>396</v>
      </c>
      <c r="BK24" s="22" t="s">
        <v>396</v>
      </c>
      <c r="BL24" s="22" t="s">
        <v>396</v>
      </c>
      <c r="BM24" s="22" t="s">
        <v>396</v>
      </c>
      <c r="BN24" s="22" t="s">
        <v>396</v>
      </c>
      <c r="BO24" s="22" t="s">
        <v>396</v>
      </c>
      <c r="BP24" s="22" t="s">
        <v>396</v>
      </c>
      <c r="BQ24" s="22" t="s">
        <v>396</v>
      </c>
      <c r="BR24" s="22" t="s">
        <v>396</v>
      </c>
      <c r="BS24" s="22" t="s">
        <v>396</v>
      </c>
      <c r="BT24" s="22" t="s">
        <v>396</v>
      </c>
      <c r="BU24" s="22" t="s">
        <v>396</v>
      </c>
      <c r="BV24" s="22" t="s">
        <v>396</v>
      </c>
      <c r="BW24" s="22" t="s">
        <v>396</v>
      </c>
      <c r="BX24" s="22" t="s">
        <v>396</v>
      </c>
      <c r="BY24" s="22" t="s">
        <v>396</v>
      </c>
      <c r="BZ24" s="22" t="s">
        <v>396</v>
      </c>
      <c r="CA24" s="22" t="s">
        <v>396</v>
      </c>
      <c r="CB24" s="22" t="s">
        <v>396</v>
      </c>
      <c r="CC24" s="22" t="s">
        <v>396</v>
      </c>
      <c r="CD24" s="22" t="s">
        <v>396</v>
      </c>
      <c r="CE24" s="22" t="s">
        <v>396</v>
      </c>
      <c r="CF24" s="22" t="s">
        <v>396</v>
      </c>
      <c r="CG24" s="22" t="s">
        <v>396</v>
      </c>
      <c r="CH24" s="22" t="s">
        <v>396</v>
      </c>
      <c r="CI24" s="22" t="s">
        <v>396</v>
      </c>
      <c r="CJ24" s="22" t="s">
        <v>396</v>
      </c>
      <c r="CK24" s="22" t="s">
        <v>396</v>
      </c>
      <c r="CL24" s="22" t="s">
        <v>396</v>
      </c>
      <c r="CM24" s="22" t="s">
        <v>396</v>
      </c>
      <c r="CN24" s="22" t="s">
        <v>396</v>
      </c>
      <c r="CO24" s="22" t="s">
        <v>396</v>
      </c>
      <c r="CP24" s="22" t="s">
        <v>396</v>
      </c>
      <c r="CQ24" s="22" t="s">
        <v>396</v>
      </c>
      <c r="CR24" s="22" t="s">
        <v>396</v>
      </c>
    </row>
    <row r="25" spans="1:96" x14ac:dyDescent="0.3">
      <c r="A25" t="s">
        <v>399</v>
      </c>
      <c r="B25" t="s">
        <v>400</v>
      </c>
      <c r="C25" t="s">
        <v>401</v>
      </c>
      <c r="D25" s="21">
        <v>13.651999999999999</v>
      </c>
      <c r="E25" s="21">
        <v>12.36</v>
      </c>
      <c r="F25" s="21">
        <v>9.7260000000000009</v>
      </c>
      <c r="G25" s="21">
        <v>8.4350000000000005</v>
      </c>
      <c r="H25" s="21">
        <v>8.4339999999999993</v>
      </c>
      <c r="I25" s="21">
        <v>9.7799999999999994</v>
      </c>
      <c r="J25" s="21">
        <v>10.028</v>
      </c>
      <c r="K25" s="21">
        <v>10.366</v>
      </c>
      <c r="L25" s="21">
        <v>11.055</v>
      </c>
      <c r="M25" s="21">
        <v>10.547000000000001</v>
      </c>
      <c r="N25" s="21">
        <v>10.404999999999999</v>
      </c>
      <c r="O25" s="21">
        <v>11.285</v>
      </c>
      <c r="P25" s="21">
        <v>12.321999999999999</v>
      </c>
      <c r="Q25" s="21">
        <v>14.894</v>
      </c>
      <c r="R25" s="21">
        <v>16.292999999999999</v>
      </c>
      <c r="S25" s="21">
        <v>18.350000000000001</v>
      </c>
      <c r="T25" s="21">
        <v>18.196000000000002</v>
      </c>
      <c r="U25" s="21">
        <v>17.585000000000001</v>
      </c>
      <c r="V25" s="21">
        <v>20.416</v>
      </c>
      <c r="W25" s="21">
        <v>21.504999999999999</v>
      </c>
      <c r="X25" s="21">
        <v>20.222000000000001</v>
      </c>
      <c r="Y25" s="21">
        <v>19.690999999999999</v>
      </c>
      <c r="Z25" s="21">
        <v>22.248000000000001</v>
      </c>
      <c r="AA25" s="21">
        <v>22.384</v>
      </c>
      <c r="AB25" s="21">
        <v>22.321000000000002</v>
      </c>
      <c r="AC25" s="21">
        <v>22.018000000000001</v>
      </c>
      <c r="AD25" s="21">
        <v>22.206</v>
      </c>
      <c r="AE25" s="21">
        <v>22.948</v>
      </c>
      <c r="AF25" s="21">
        <v>23.818999999999999</v>
      </c>
      <c r="AG25" s="21">
        <v>23.577999999999999</v>
      </c>
      <c r="AH25" s="21">
        <v>23.63</v>
      </c>
      <c r="AI25" s="21">
        <v>23.962</v>
      </c>
      <c r="AJ25" s="21">
        <v>24.324999999999999</v>
      </c>
      <c r="AK25" s="21">
        <v>24.384</v>
      </c>
      <c r="AL25" s="21">
        <v>24.335999999999999</v>
      </c>
      <c r="AM25" s="21">
        <v>24.530999999999999</v>
      </c>
      <c r="AN25" s="21">
        <v>25.312000000000001</v>
      </c>
      <c r="AO25" s="21">
        <v>26.079000000000001</v>
      </c>
      <c r="AP25" s="21">
        <v>27.084</v>
      </c>
      <c r="AQ25" s="21">
        <v>27.664000000000001</v>
      </c>
      <c r="AR25" s="21">
        <v>28.588999999999999</v>
      </c>
      <c r="AS25" s="21">
        <v>29.710999999999999</v>
      </c>
      <c r="AT25" s="21">
        <v>30.795999999999999</v>
      </c>
      <c r="AU25" s="21">
        <v>32.145000000000003</v>
      </c>
      <c r="AV25" s="21">
        <v>36.381999999999998</v>
      </c>
      <c r="AW25" s="21">
        <v>44.807000000000002</v>
      </c>
      <c r="AX25" s="21">
        <v>49.387999999999998</v>
      </c>
      <c r="AY25" s="21">
        <v>51.009</v>
      </c>
      <c r="AZ25" s="21">
        <v>53.088000000000001</v>
      </c>
      <c r="BA25" s="21">
        <v>56.317</v>
      </c>
      <c r="BB25" s="21">
        <v>63.100999999999999</v>
      </c>
      <c r="BC25" s="21">
        <v>69.503</v>
      </c>
      <c r="BD25" s="21">
        <v>74.650000000000006</v>
      </c>
      <c r="BE25" s="21">
        <v>75.006</v>
      </c>
      <c r="BF25" s="21">
        <v>75.311000000000007</v>
      </c>
      <c r="BG25" s="21">
        <v>76.016000000000005</v>
      </c>
      <c r="BH25" s="21">
        <v>73.753</v>
      </c>
      <c r="BI25" s="21">
        <v>72.522999999999996</v>
      </c>
      <c r="BJ25" s="21">
        <v>74.123999999999995</v>
      </c>
      <c r="BK25" s="21">
        <v>77.92</v>
      </c>
      <c r="BL25" s="21">
        <v>79.209999999999994</v>
      </c>
      <c r="BM25" s="21">
        <v>79.656999999999996</v>
      </c>
      <c r="BN25" s="21">
        <v>80.545000000000002</v>
      </c>
      <c r="BO25" s="21">
        <v>80.153000000000006</v>
      </c>
      <c r="BP25" s="21">
        <v>80.277000000000001</v>
      </c>
      <c r="BQ25" s="21">
        <v>81.209999999999994</v>
      </c>
      <c r="BR25" s="21">
        <v>83.025000000000006</v>
      </c>
      <c r="BS25" s="21">
        <v>81.923000000000002</v>
      </c>
      <c r="BT25" s="21">
        <v>80.478999999999999</v>
      </c>
      <c r="BU25" s="21">
        <v>78.573999999999998</v>
      </c>
      <c r="BV25" s="21">
        <v>77.971000000000004</v>
      </c>
      <c r="BW25" s="21">
        <v>79.466999999999999</v>
      </c>
      <c r="BX25" s="21">
        <v>78.835999999999999</v>
      </c>
      <c r="BY25" s="21">
        <v>78.200999999999993</v>
      </c>
      <c r="BZ25" s="21">
        <v>79.400000000000006</v>
      </c>
      <c r="CA25" s="21">
        <v>82.284000000000006</v>
      </c>
      <c r="CB25" s="21">
        <v>85.131</v>
      </c>
      <c r="CC25" s="21">
        <v>87.841999999999999</v>
      </c>
      <c r="CD25" s="21">
        <v>91.138999999999996</v>
      </c>
      <c r="CE25" s="21">
        <v>95.41</v>
      </c>
      <c r="CF25" s="21">
        <v>89.694000000000003</v>
      </c>
      <c r="CG25" s="21">
        <v>93.347999999999999</v>
      </c>
      <c r="CH25" s="21">
        <v>99.242000000000004</v>
      </c>
      <c r="CI25" s="21">
        <v>100</v>
      </c>
      <c r="CJ25" s="21">
        <v>100.16800000000001</v>
      </c>
      <c r="CK25" s="21">
        <v>100.27200000000001</v>
      </c>
      <c r="CL25" s="21">
        <v>95.394999999999996</v>
      </c>
      <c r="CM25" s="21">
        <v>93.49</v>
      </c>
      <c r="CN25" s="21">
        <v>95.921000000000006</v>
      </c>
      <c r="CO25" s="21">
        <v>99.183000000000007</v>
      </c>
      <c r="CP25" s="21">
        <v>98.751000000000005</v>
      </c>
      <c r="CQ25" s="21">
        <v>95.781000000000006</v>
      </c>
      <c r="CR25" s="21">
        <v>107.54900000000001</v>
      </c>
    </row>
    <row r="26" spans="1:96" x14ac:dyDescent="0.3">
      <c r="A26" t="s">
        <v>402</v>
      </c>
      <c r="B26" t="s">
        <v>403</v>
      </c>
      <c r="C26" t="s">
        <v>404</v>
      </c>
      <c r="D26" s="21">
        <v>16.346</v>
      </c>
      <c r="E26" s="21">
        <v>14.622999999999999</v>
      </c>
      <c r="F26" s="21">
        <v>11.224</v>
      </c>
      <c r="G26" s="21">
        <v>9.6760000000000002</v>
      </c>
      <c r="H26" s="21">
        <v>10.122999999999999</v>
      </c>
      <c r="I26" s="21">
        <v>11.843</v>
      </c>
      <c r="J26" s="21">
        <v>12.132999999999999</v>
      </c>
      <c r="K26" s="21">
        <v>12.425000000000001</v>
      </c>
      <c r="L26" s="21">
        <v>13.167999999999999</v>
      </c>
      <c r="M26" s="21">
        <v>12.185</v>
      </c>
      <c r="N26" s="21">
        <v>11.917999999999999</v>
      </c>
      <c r="O26" s="21">
        <v>12.78</v>
      </c>
      <c r="P26" s="21">
        <v>13.698</v>
      </c>
      <c r="Q26" s="21">
        <v>16.681000000000001</v>
      </c>
      <c r="R26" s="21">
        <v>18.390999999999998</v>
      </c>
      <c r="S26" s="21">
        <v>21.06</v>
      </c>
      <c r="T26" s="21">
        <v>20.974</v>
      </c>
      <c r="U26" s="21">
        <v>19.907</v>
      </c>
      <c r="V26" s="21">
        <v>23.684000000000001</v>
      </c>
      <c r="W26" s="21">
        <v>25.21</v>
      </c>
      <c r="X26" s="21">
        <v>23.356000000000002</v>
      </c>
      <c r="Y26" s="21">
        <v>22.579000000000001</v>
      </c>
      <c r="Z26" s="21">
        <v>25.885999999999999</v>
      </c>
      <c r="AA26" s="21">
        <v>25.771999999999998</v>
      </c>
      <c r="AB26" s="21">
        <v>25.510999999999999</v>
      </c>
      <c r="AC26" s="21">
        <v>25.148</v>
      </c>
      <c r="AD26" s="21">
        <v>25.385000000000002</v>
      </c>
      <c r="AE26" s="21">
        <v>26.347999999999999</v>
      </c>
      <c r="AF26" s="21">
        <v>27.206</v>
      </c>
      <c r="AG26" s="21">
        <v>26.908999999999999</v>
      </c>
      <c r="AH26" s="21">
        <v>27.17</v>
      </c>
      <c r="AI26" s="21">
        <v>27.352</v>
      </c>
      <c r="AJ26" s="21">
        <v>27.872</v>
      </c>
      <c r="AK26" s="21">
        <v>27.655000000000001</v>
      </c>
      <c r="AL26" s="21">
        <v>27.565999999999999</v>
      </c>
      <c r="AM26" s="21">
        <v>27.751999999999999</v>
      </c>
      <c r="AN26" s="21">
        <v>28.718</v>
      </c>
      <c r="AO26" s="21">
        <v>29.699000000000002</v>
      </c>
      <c r="AP26" s="21">
        <v>30.943999999999999</v>
      </c>
      <c r="AQ26" s="21">
        <v>31.42</v>
      </c>
      <c r="AR26" s="21">
        <v>32.393999999999998</v>
      </c>
      <c r="AS26" s="21">
        <v>33.86</v>
      </c>
      <c r="AT26" s="21">
        <v>34.765999999999998</v>
      </c>
      <c r="AU26" s="21">
        <v>35.69</v>
      </c>
      <c r="AV26" s="21">
        <v>41.316000000000003</v>
      </c>
      <c r="AW26" s="21">
        <v>51.982999999999997</v>
      </c>
      <c r="AX26" s="21">
        <v>57.701000000000001</v>
      </c>
      <c r="AY26" s="21">
        <v>59.265000000000001</v>
      </c>
      <c r="AZ26" s="21">
        <v>61.468000000000004</v>
      </c>
      <c r="BA26" s="21">
        <v>64.998999999999995</v>
      </c>
      <c r="BB26" s="21">
        <v>73.430999999999997</v>
      </c>
      <c r="BC26" s="21">
        <v>80.463999999999999</v>
      </c>
      <c r="BD26" s="21">
        <v>86.18</v>
      </c>
      <c r="BE26" s="21">
        <v>85.471999999999994</v>
      </c>
      <c r="BF26" s="21">
        <v>84.974999999999994</v>
      </c>
      <c r="BG26" s="21">
        <v>85.741</v>
      </c>
      <c r="BH26" s="21">
        <v>81.463999999999999</v>
      </c>
      <c r="BI26" s="21">
        <v>78.668000000000006</v>
      </c>
      <c r="BJ26" s="21">
        <v>80.426000000000002</v>
      </c>
      <c r="BK26" s="21">
        <v>85.384</v>
      </c>
      <c r="BL26" s="21">
        <v>86.475999999999999</v>
      </c>
      <c r="BM26" s="21">
        <v>85.712999999999994</v>
      </c>
      <c r="BN26" s="21">
        <v>85.674000000000007</v>
      </c>
      <c r="BO26" s="21">
        <v>84.337999999999994</v>
      </c>
      <c r="BP26" s="21">
        <v>83.914000000000001</v>
      </c>
      <c r="BQ26" s="21">
        <v>84.873000000000005</v>
      </c>
      <c r="BR26" s="21">
        <v>86.887</v>
      </c>
      <c r="BS26" s="21">
        <v>84.683999999999997</v>
      </c>
      <c r="BT26" s="21">
        <v>82.335999999999999</v>
      </c>
      <c r="BU26" s="21">
        <v>79.739999999999995</v>
      </c>
      <c r="BV26" s="21">
        <v>78.661000000000001</v>
      </c>
      <c r="BW26" s="21">
        <v>80.024000000000001</v>
      </c>
      <c r="BX26" s="21">
        <v>79.557000000000002</v>
      </c>
      <c r="BY26" s="21">
        <v>78.728999999999999</v>
      </c>
      <c r="BZ26" s="21">
        <v>79.506</v>
      </c>
      <c r="CA26" s="21">
        <v>82.314999999999998</v>
      </c>
      <c r="CB26" s="21">
        <v>84.933999999999997</v>
      </c>
      <c r="CC26" s="21">
        <v>87.585999999999999</v>
      </c>
      <c r="CD26" s="21">
        <v>91.001999999999995</v>
      </c>
      <c r="CE26" s="21">
        <v>95.712999999999994</v>
      </c>
      <c r="CF26" s="21">
        <v>88.921000000000006</v>
      </c>
      <c r="CG26" s="21">
        <v>92.966999999999999</v>
      </c>
      <c r="CH26" s="21">
        <v>99.793000000000006</v>
      </c>
      <c r="CI26" s="21">
        <v>100</v>
      </c>
      <c r="CJ26" s="21">
        <v>99.311999999999998</v>
      </c>
      <c r="CK26" s="21">
        <v>98.308000000000007</v>
      </c>
      <c r="CL26" s="21">
        <v>91.305999999999997</v>
      </c>
      <c r="CM26" s="21">
        <v>87.741</v>
      </c>
      <c r="CN26" s="21">
        <v>90.028000000000006</v>
      </c>
      <c r="CO26" s="21">
        <v>93.251000000000005</v>
      </c>
      <c r="CP26" s="21">
        <v>91.820999999999998</v>
      </c>
      <c r="CQ26" s="21">
        <v>87.638999999999996</v>
      </c>
      <c r="CR26" s="21">
        <v>100.913</v>
      </c>
    </row>
    <row r="27" spans="1:96" x14ac:dyDescent="0.3">
      <c r="A27" t="s">
        <v>405</v>
      </c>
      <c r="B27" t="s">
        <v>406</v>
      </c>
      <c r="C27" t="s">
        <v>407</v>
      </c>
      <c r="D27" s="21">
        <v>6.8090000000000002</v>
      </c>
      <c r="E27" s="21">
        <v>6.81</v>
      </c>
      <c r="F27" s="21">
        <v>6.3419999999999996</v>
      </c>
      <c r="G27" s="21">
        <v>5.6920000000000002</v>
      </c>
      <c r="H27" s="21">
        <v>4.3159999999999998</v>
      </c>
      <c r="I27" s="21">
        <v>4.7069999999999999</v>
      </c>
      <c r="J27" s="21">
        <v>4.8570000000000002</v>
      </c>
      <c r="K27" s="21">
        <v>5.3310000000000004</v>
      </c>
      <c r="L27" s="21">
        <v>5.9020000000000001</v>
      </c>
      <c r="M27" s="21">
        <v>6.7050000000000001</v>
      </c>
      <c r="N27" s="21">
        <v>6.9409999999999998</v>
      </c>
      <c r="O27" s="21">
        <v>7.9989999999999997</v>
      </c>
      <c r="P27" s="21">
        <v>9.5909999999999993</v>
      </c>
      <c r="Q27" s="21">
        <v>11.273</v>
      </c>
      <c r="R27" s="21">
        <v>12.055999999999999</v>
      </c>
      <c r="S27" s="21">
        <v>12.984999999999999</v>
      </c>
      <c r="T27" s="21">
        <v>12.683</v>
      </c>
      <c r="U27" s="21">
        <v>13.19</v>
      </c>
      <c r="V27" s="21">
        <v>13.404</v>
      </c>
      <c r="W27" s="21">
        <v>13.259</v>
      </c>
      <c r="X27" s="21">
        <v>13.551</v>
      </c>
      <c r="Y27" s="21">
        <v>13.685</v>
      </c>
      <c r="Z27" s="21">
        <v>14.404</v>
      </c>
      <c r="AA27" s="21">
        <v>15.227</v>
      </c>
      <c r="AB27" s="21">
        <v>15.680999999999999</v>
      </c>
      <c r="AC27" s="21">
        <v>15.512</v>
      </c>
      <c r="AD27" s="21">
        <v>15.583</v>
      </c>
      <c r="AE27" s="21">
        <v>15.787000000000001</v>
      </c>
      <c r="AF27" s="21">
        <v>16.777999999999999</v>
      </c>
      <c r="AG27" s="21">
        <v>16.664000000000001</v>
      </c>
      <c r="AH27" s="21">
        <v>16.286999999999999</v>
      </c>
      <c r="AI27" s="21">
        <v>16.856999999999999</v>
      </c>
      <c r="AJ27" s="21">
        <v>16.91</v>
      </c>
      <c r="AK27" s="21">
        <v>17.489000000000001</v>
      </c>
      <c r="AL27" s="21">
        <v>17.521000000000001</v>
      </c>
      <c r="AM27" s="21">
        <v>17.727</v>
      </c>
      <c r="AN27" s="21">
        <v>18.128</v>
      </c>
      <c r="AO27" s="21">
        <v>18.463000000000001</v>
      </c>
      <c r="AP27" s="21">
        <v>18.986999999999998</v>
      </c>
      <c r="AQ27" s="21">
        <v>19.734000000000002</v>
      </c>
      <c r="AR27" s="21">
        <v>20.536000000000001</v>
      </c>
      <c r="AS27" s="21">
        <v>20.975000000000001</v>
      </c>
      <c r="AT27" s="21">
        <v>22.347999999999999</v>
      </c>
      <c r="AU27" s="21">
        <v>24.431999999999999</v>
      </c>
      <c r="AV27" s="21">
        <v>25.645</v>
      </c>
      <c r="AW27" s="21">
        <v>28.882999999999999</v>
      </c>
      <c r="AX27" s="21">
        <v>30.878</v>
      </c>
      <c r="AY27" s="21">
        <v>32.664999999999999</v>
      </c>
      <c r="AZ27" s="21">
        <v>34.497999999999998</v>
      </c>
      <c r="BA27" s="21">
        <v>37.076000000000001</v>
      </c>
      <c r="BB27" s="21">
        <v>40.127000000000002</v>
      </c>
      <c r="BC27" s="21">
        <v>45.237000000000002</v>
      </c>
      <c r="BD27" s="21">
        <v>49.182000000000002</v>
      </c>
      <c r="BE27" s="21">
        <v>51.966000000000001</v>
      </c>
      <c r="BF27" s="21">
        <v>54.034999999999997</v>
      </c>
      <c r="BG27" s="21">
        <v>54.6</v>
      </c>
      <c r="BH27" s="21">
        <v>56.564999999999998</v>
      </c>
      <c r="BI27" s="21">
        <v>58.497</v>
      </c>
      <c r="BJ27" s="21">
        <v>59.75</v>
      </c>
      <c r="BK27" s="21">
        <v>61.082000000000001</v>
      </c>
      <c r="BL27" s="21">
        <v>62.774000000000001</v>
      </c>
      <c r="BM27" s="21">
        <v>65.748000000000005</v>
      </c>
      <c r="BN27" s="21">
        <v>68.555000000000007</v>
      </c>
      <c r="BO27" s="21">
        <v>70.165000000000006</v>
      </c>
      <c r="BP27" s="21">
        <v>71.456000000000003</v>
      </c>
      <c r="BQ27" s="21">
        <v>72.322999999999993</v>
      </c>
      <c r="BR27" s="21">
        <v>73.683000000000007</v>
      </c>
      <c r="BS27" s="21">
        <v>75.137</v>
      </c>
      <c r="BT27" s="21">
        <v>75.897999999999996</v>
      </c>
      <c r="BU27" s="21">
        <v>75.739999999999995</v>
      </c>
      <c r="BV27" s="21">
        <v>76.325000000000003</v>
      </c>
      <c r="BW27" s="21">
        <v>78.16</v>
      </c>
      <c r="BX27" s="21">
        <v>77.106999999999999</v>
      </c>
      <c r="BY27" s="21">
        <v>76.951999999999998</v>
      </c>
      <c r="BZ27" s="21">
        <v>79.171999999999997</v>
      </c>
      <c r="CA27" s="21">
        <v>82.236000000000004</v>
      </c>
      <c r="CB27" s="21">
        <v>85.634</v>
      </c>
      <c r="CC27" s="21">
        <v>88.49</v>
      </c>
      <c r="CD27" s="21">
        <v>91.504000000000005</v>
      </c>
      <c r="CE27" s="21">
        <v>94.745999999999995</v>
      </c>
      <c r="CF27" s="21">
        <v>91.385999999999996</v>
      </c>
      <c r="CG27" s="21">
        <v>94.197000000000003</v>
      </c>
      <c r="CH27" s="21">
        <v>97.998999999999995</v>
      </c>
      <c r="CI27" s="21">
        <v>100</v>
      </c>
      <c r="CJ27" s="21">
        <v>102.099</v>
      </c>
      <c r="CK27" s="21">
        <v>104.708</v>
      </c>
      <c r="CL27" s="21">
        <v>104.60599999999999</v>
      </c>
      <c r="CM27" s="21">
        <v>106.4</v>
      </c>
      <c r="CN27" s="21">
        <v>109.155</v>
      </c>
      <c r="CO27" s="21">
        <v>112.495</v>
      </c>
      <c r="CP27" s="21">
        <v>114.38500000000001</v>
      </c>
      <c r="CQ27" s="21">
        <v>114.239</v>
      </c>
      <c r="CR27" s="21">
        <v>121.42</v>
      </c>
    </row>
    <row r="28" spans="1:96" x14ac:dyDescent="0.3">
      <c r="A28" t="s">
        <v>408</v>
      </c>
      <c r="B28" t="s">
        <v>409</v>
      </c>
      <c r="C28" t="s">
        <v>410</v>
      </c>
      <c r="D28" s="21">
        <v>9.5749999999999993</v>
      </c>
      <c r="E28" s="21">
        <v>8.1639999999999997</v>
      </c>
      <c r="F28" s="21">
        <v>6.5979999999999999</v>
      </c>
      <c r="G28" s="21">
        <v>5.2880000000000003</v>
      </c>
      <c r="H28" s="21">
        <v>5.0679999999999996</v>
      </c>
      <c r="I28" s="21">
        <v>5.758</v>
      </c>
      <c r="J28" s="21">
        <v>5.8529999999999998</v>
      </c>
      <c r="K28" s="21">
        <v>6.2629999999999999</v>
      </c>
      <c r="L28" s="21">
        <v>6.99</v>
      </c>
      <c r="M28" s="21">
        <v>6.4589999999999996</v>
      </c>
      <c r="N28" s="21">
        <v>6.78</v>
      </c>
      <c r="O28" s="21">
        <v>7.2320000000000002</v>
      </c>
      <c r="P28" s="21">
        <v>7.6379999999999999</v>
      </c>
      <c r="Q28" s="21">
        <v>8.7479999999999993</v>
      </c>
      <c r="R28" s="21">
        <v>9.4169999999999998</v>
      </c>
      <c r="S28" s="21">
        <v>9.8919999999999995</v>
      </c>
      <c r="T28" s="21">
        <v>10.169</v>
      </c>
      <c r="U28" s="21">
        <v>11.337999999999999</v>
      </c>
      <c r="V28" s="21">
        <v>13.584</v>
      </c>
      <c r="W28" s="21">
        <v>14.763</v>
      </c>
      <c r="X28" s="21">
        <v>14.07</v>
      </c>
      <c r="Y28" s="21">
        <v>14.945</v>
      </c>
      <c r="Z28" s="21">
        <v>18.062999999999999</v>
      </c>
      <c r="AA28" s="21">
        <v>17.408999999999999</v>
      </c>
      <c r="AB28" s="21">
        <v>16.661999999999999</v>
      </c>
      <c r="AC28" s="21">
        <v>16.888999999999999</v>
      </c>
      <c r="AD28" s="21">
        <v>16.797999999999998</v>
      </c>
      <c r="AE28" s="21">
        <v>17.094000000000001</v>
      </c>
      <c r="AF28" s="21">
        <v>17.289000000000001</v>
      </c>
      <c r="AG28" s="21">
        <v>16.571000000000002</v>
      </c>
      <c r="AH28" s="21">
        <v>16.72</v>
      </c>
      <c r="AI28" s="21">
        <v>16.881</v>
      </c>
      <c r="AJ28" s="21">
        <v>16.881</v>
      </c>
      <c r="AK28" s="21">
        <v>16.681999999999999</v>
      </c>
      <c r="AL28" s="21">
        <v>17.006</v>
      </c>
      <c r="AM28" s="21">
        <v>17.364000000000001</v>
      </c>
      <c r="AN28" s="21">
        <v>17.606000000000002</v>
      </c>
      <c r="AO28" s="21">
        <v>18.015999999999998</v>
      </c>
      <c r="AP28" s="21">
        <v>18.085999999999999</v>
      </c>
      <c r="AQ28" s="21">
        <v>18.361000000000001</v>
      </c>
      <c r="AR28" s="21">
        <v>18.838999999999999</v>
      </c>
      <c r="AS28" s="21">
        <v>19.954000000000001</v>
      </c>
      <c r="AT28" s="21">
        <v>21.178999999999998</v>
      </c>
      <c r="AU28" s="21">
        <v>22.661999999999999</v>
      </c>
      <c r="AV28" s="21">
        <v>26.600999999999999</v>
      </c>
      <c r="AW28" s="21">
        <v>38.058</v>
      </c>
      <c r="AX28" s="21">
        <v>41.225999999999999</v>
      </c>
      <c r="AY28" s="21">
        <v>42.466999999999999</v>
      </c>
      <c r="AZ28" s="21">
        <v>46.209000000000003</v>
      </c>
      <c r="BA28" s="21">
        <v>49.466000000000001</v>
      </c>
      <c r="BB28" s="21">
        <v>57.93</v>
      </c>
      <c r="BC28" s="21">
        <v>72.165999999999997</v>
      </c>
      <c r="BD28" s="21">
        <v>76.066000000000003</v>
      </c>
      <c r="BE28" s="21">
        <v>73.506</v>
      </c>
      <c r="BF28" s="21">
        <v>70.751000000000005</v>
      </c>
      <c r="BG28" s="21">
        <v>70.138999999999996</v>
      </c>
      <c r="BH28" s="21">
        <v>67.835999999999999</v>
      </c>
      <c r="BI28" s="21">
        <v>67.834000000000003</v>
      </c>
      <c r="BJ28" s="21">
        <v>71.935000000000002</v>
      </c>
      <c r="BK28" s="21">
        <v>75.376999999999995</v>
      </c>
      <c r="BL28" s="21">
        <v>77.024000000000001</v>
      </c>
      <c r="BM28" s="21">
        <v>79.233000000000004</v>
      </c>
      <c r="BN28" s="21">
        <v>78.572999999999993</v>
      </c>
      <c r="BO28" s="21">
        <v>78.635999999999996</v>
      </c>
      <c r="BP28" s="21">
        <v>78.033000000000001</v>
      </c>
      <c r="BQ28" s="21">
        <v>78.766000000000005</v>
      </c>
      <c r="BR28" s="21">
        <v>80.924000000000007</v>
      </c>
      <c r="BS28" s="21">
        <v>79.513999999999996</v>
      </c>
      <c r="BT28" s="21">
        <v>76.75</v>
      </c>
      <c r="BU28" s="21">
        <v>72.617999999999995</v>
      </c>
      <c r="BV28" s="21">
        <v>73.019000000000005</v>
      </c>
      <c r="BW28" s="21">
        <v>76.221000000000004</v>
      </c>
      <c r="BX28" s="21">
        <v>74.222999999999999</v>
      </c>
      <c r="BY28" s="21">
        <v>73.242000000000004</v>
      </c>
      <c r="BZ28" s="21">
        <v>75.453999999999994</v>
      </c>
      <c r="CA28" s="21">
        <v>79.06</v>
      </c>
      <c r="CB28" s="21">
        <v>83.703000000000003</v>
      </c>
      <c r="CC28" s="21">
        <v>86.909000000000006</v>
      </c>
      <c r="CD28" s="21">
        <v>89.921000000000006</v>
      </c>
      <c r="CE28" s="21">
        <v>98.96</v>
      </c>
      <c r="CF28" s="21">
        <v>87.986999999999995</v>
      </c>
      <c r="CG28" s="21">
        <v>92.783000000000001</v>
      </c>
      <c r="CH28" s="21">
        <v>99.825999999999993</v>
      </c>
      <c r="CI28" s="21">
        <v>100</v>
      </c>
      <c r="CJ28" s="21">
        <v>98.635999999999996</v>
      </c>
      <c r="CK28" s="21">
        <v>97.853999999999999</v>
      </c>
      <c r="CL28" s="21">
        <v>90.001000000000005</v>
      </c>
      <c r="CM28" s="21">
        <v>86.867000000000004</v>
      </c>
      <c r="CN28" s="21">
        <v>88.771000000000001</v>
      </c>
      <c r="CO28" s="21">
        <v>91.334000000000003</v>
      </c>
      <c r="CP28" s="21">
        <v>89.986000000000004</v>
      </c>
      <c r="CQ28" s="21">
        <v>87.891000000000005</v>
      </c>
      <c r="CR28" s="21">
        <v>94.613</v>
      </c>
    </row>
    <row r="29" spans="1:96" x14ac:dyDescent="0.3">
      <c r="A29" t="s">
        <v>411</v>
      </c>
      <c r="B29" t="s">
        <v>403</v>
      </c>
      <c r="C29" t="s">
        <v>412</v>
      </c>
      <c r="D29" s="21">
        <v>9.673</v>
      </c>
      <c r="E29" s="21">
        <v>7.9820000000000002</v>
      </c>
      <c r="F29" s="21">
        <v>6.242</v>
      </c>
      <c r="G29" s="21">
        <v>4.8920000000000003</v>
      </c>
      <c r="H29" s="21">
        <v>4.8949999999999996</v>
      </c>
      <c r="I29" s="21">
        <v>5.5890000000000004</v>
      </c>
      <c r="J29" s="21">
        <v>5.68</v>
      </c>
      <c r="K29" s="21">
        <v>6.0970000000000004</v>
      </c>
      <c r="L29" s="21">
        <v>6.8129999999999997</v>
      </c>
      <c r="M29" s="21">
        <v>6.1070000000000002</v>
      </c>
      <c r="N29" s="21">
        <v>6.218</v>
      </c>
      <c r="O29" s="21">
        <v>6.6369999999999996</v>
      </c>
      <c r="P29" s="21">
        <v>7.1180000000000003</v>
      </c>
      <c r="Q29" s="21">
        <v>8.2460000000000004</v>
      </c>
      <c r="R29" s="21">
        <v>8.9410000000000007</v>
      </c>
      <c r="S29" s="21">
        <v>9.5489999999999995</v>
      </c>
      <c r="T29" s="21">
        <v>9.782</v>
      </c>
      <c r="U29" s="21">
        <v>11.02</v>
      </c>
      <c r="V29" s="21">
        <v>13.532</v>
      </c>
      <c r="W29" s="21">
        <v>14.943</v>
      </c>
      <c r="X29" s="21">
        <v>14.146000000000001</v>
      </c>
      <c r="Y29" s="21">
        <v>15.302</v>
      </c>
      <c r="Z29" s="21">
        <v>19.21</v>
      </c>
      <c r="AA29" s="21">
        <v>18.263000000000002</v>
      </c>
      <c r="AB29" s="21">
        <v>17.48</v>
      </c>
      <c r="AC29" s="21">
        <v>17.856000000000002</v>
      </c>
      <c r="AD29" s="21">
        <v>17.808</v>
      </c>
      <c r="AE29" s="21">
        <v>18.157</v>
      </c>
      <c r="AF29" s="21">
        <v>18.318999999999999</v>
      </c>
      <c r="AG29" s="21">
        <v>17.361999999999998</v>
      </c>
      <c r="AH29" s="21">
        <v>17.488</v>
      </c>
      <c r="AI29" s="21">
        <v>17.675000000000001</v>
      </c>
      <c r="AJ29" s="21">
        <v>17.506</v>
      </c>
      <c r="AK29" s="21">
        <v>17.088000000000001</v>
      </c>
      <c r="AL29" s="21">
        <v>17.245000000000001</v>
      </c>
      <c r="AM29" s="21">
        <v>17.71</v>
      </c>
      <c r="AN29" s="21">
        <v>17.797999999999998</v>
      </c>
      <c r="AO29" s="21">
        <v>18.199000000000002</v>
      </c>
      <c r="AP29" s="21">
        <v>18.225000000000001</v>
      </c>
      <c r="AQ29" s="21">
        <v>18.47</v>
      </c>
      <c r="AR29" s="21">
        <v>18.989999999999998</v>
      </c>
      <c r="AS29" s="21">
        <v>20.280999999999999</v>
      </c>
      <c r="AT29" s="21">
        <v>21.32</v>
      </c>
      <c r="AU29" s="21">
        <v>22.954000000000001</v>
      </c>
      <c r="AV29" s="21">
        <v>27.055</v>
      </c>
      <c r="AW29" s="21">
        <v>40.485999999999997</v>
      </c>
      <c r="AX29" s="21">
        <v>43.878</v>
      </c>
      <c r="AY29" s="21">
        <v>45.051000000000002</v>
      </c>
      <c r="AZ29" s="21">
        <v>49.177999999999997</v>
      </c>
      <c r="BA29" s="21">
        <v>52.45</v>
      </c>
      <c r="BB29" s="21">
        <v>61.853999999999999</v>
      </c>
      <c r="BC29" s="21">
        <v>78.061000000000007</v>
      </c>
      <c r="BD29" s="21">
        <v>82.433000000000007</v>
      </c>
      <c r="BE29" s="21">
        <v>79.108999999999995</v>
      </c>
      <c r="BF29" s="21">
        <v>75.802000000000007</v>
      </c>
      <c r="BG29" s="21">
        <v>75.28</v>
      </c>
      <c r="BH29" s="21">
        <v>72.317999999999998</v>
      </c>
      <c r="BI29" s="21">
        <v>70.697999999999993</v>
      </c>
      <c r="BJ29" s="21">
        <v>75.73</v>
      </c>
      <c r="BK29" s="21">
        <v>79.337999999999994</v>
      </c>
      <c r="BL29" s="21">
        <v>81.558000000000007</v>
      </c>
      <c r="BM29" s="21">
        <v>83.055999999999997</v>
      </c>
      <c r="BN29" s="21">
        <v>81.486000000000004</v>
      </c>
      <c r="BO29" s="21">
        <v>81.040000000000006</v>
      </c>
      <c r="BP29" s="21">
        <v>80.134</v>
      </c>
      <c r="BQ29" s="21">
        <v>80.718000000000004</v>
      </c>
      <c r="BR29" s="21">
        <v>82.87</v>
      </c>
      <c r="BS29" s="21">
        <v>80.77</v>
      </c>
      <c r="BT29" s="21">
        <v>77.433999999999997</v>
      </c>
      <c r="BU29" s="21">
        <v>72.757000000000005</v>
      </c>
      <c r="BV29" s="21">
        <v>72.8</v>
      </c>
      <c r="BW29" s="21">
        <v>76.641000000000005</v>
      </c>
      <c r="BX29" s="21">
        <v>74.463999999999999</v>
      </c>
      <c r="BY29" s="21">
        <v>73.096999999999994</v>
      </c>
      <c r="BZ29" s="21">
        <v>74.686999999999998</v>
      </c>
      <c r="CA29" s="21">
        <v>78.231999999999999</v>
      </c>
      <c r="CB29" s="21">
        <v>83.183000000000007</v>
      </c>
      <c r="CC29" s="21">
        <v>86.528000000000006</v>
      </c>
      <c r="CD29" s="21">
        <v>89.429000000000002</v>
      </c>
      <c r="CE29" s="21">
        <v>99.233999999999995</v>
      </c>
      <c r="CF29" s="21">
        <v>86.628</v>
      </c>
      <c r="CG29" s="21">
        <v>92.052000000000007</v>
      </c>
      <c r="CH29" s="21">
        <v>99.912999999999997</v>
      </c>
      <c r="CI29" s="21">
        <v>100</v>
      </c>
      <c r="CJ29" s="21">
        <v>98.054000000000002</v>
      </c>
      <c r="CK29" s="21">
        <v>96.738</v>
      </c>
      <c r="CL29" s="21">
        <v>87.596999999999994</v>
      </c>
      <c r="CM29" s="21">
        <v>83.888000000000005</v>
      </c>
      <c r="CN29" s="21">
        <v>85.742000000000004</v>
      </c>
      <c r="CO29" s="21">
        <v>88.183000000000007</v>
      </c>
      <c r="CP29" s="21">
        <v>86.393000000000001</v>
      </c>
      <c r="CQ29" s="21">
        <v>83.972999999999999</v>
      </c>
      <c r="CR29" s="21">
        <v>90.536000000000001</v>
      </c>
    </row>
    <row r="30" spans="1:96" x14ac:dyDescent="0.3">
      <c r="A30" t="s">
        <v>413</v>
      </c>
      <c r="B30" t="s">
        <v>406</v>
      </c>
      <c r="C30" t="s">
        <v>414</v>
      </c>
      <c r="D30" s="21">
        <v>8.8559999999999999</v>
      </c>
      <c r="E30" s="21">
        <v>8.4789999999999992</v>
      </c>
      <c r="F30" s="21">
        <v>7.5289999999999999</v>
      </c>
      <c r="G30" s="21">
        <v>6.3810000000000002</v>
      </c>
      <c r="H30" s="21">
        <v>5.4</v>
      </c>
      <c r="I30" s="21">
        <v>6.0250000000000004</v>
      </c>
      <c r="J30" s="21">
        <v>6.1319999999999997</v>
      </c>
      <c r="K30" s="21">
        <v>6.4669999999999996</v>
      </c>
      <c r="L30" s="21">
        <v>7.18</v>
      </c>
      <c r="M30" s="21">
        <v>7.4109999999999996</v>
      </c>
      <c r="N30" s="21">
        <v>8.5939999999999994</v>
      </c>
      <c r="O30" s="21">
        <v>9.1440000000000001</v>
      </c>
      <c r="P30" s="21">
        <v>9.1419999999999995</v>
      </c>
      <c r="Q30" s="21">
        <v>10.220000000000001</v>
      </c>
      <c r="R30" s="21">
        <v>10.896000000000001</v>
      </c>
      <c r="S30" s="21">
        <v>11.215999999999999</v>
      </c>
      <c r="T30" s="21">
        <v>11.577999999999999</v>
      </c>
      <c r="U30" s="21">
        <v>12.646000000000001</v>
      </c>
      <c r="V30" s="21">
        <v>14.128</v>
      </c>
      <c r="W30" s="21">
        <v>14.627000000000001</v>
      </c>
      <c r="X30" s="21">
        <v>14.222</v>
      </c>
      <c r="Y30" s="21">
        <v>14.25</v>
      </c>
      <c r="Z30" s="21">
        <v>15.092000000000001</v>
      </c>
      <c r="AA30" s="21">
        <v>15.124000000000001</v>
      </c>
      <c r="AB30" s="21">
        <v>14.472</v>
      </c>
      <c r="AC30" s="21">
        <v>14.432</v>
      </c>
      <c r="AD30" s="21">
        <v>14.278</v>
      </c>
      <c r="AE30" s="21">
        <v>14.471</v>
      </c>
      <c r="AF30" s="21">
        <v>14.71</v>
      </c>
      <c r="AG30" s="21">
        <v>14.404999999999999</v>
      </c>
      <c r="AH30" s="21">
        <v>14.583</v>
      </c>
      <c r="AI30" s="21">
        <v>14.691000000000001</v>
      </c>
      <c r="AJ30" s="21">
        <v>14.974</v>
      </c>
      <c r="AK30" s="21">
        <v>15.17</v>
      </c>
      <c r="AL30" s="21">
        <v>15.792999999999999</v>
      </c>
      <c r="AM30" s="21">
        <v>15.927</v>
      </c>
      <c r="AN30" s="21">
        <v>16.483000000000001</v>
      </c>
      <c r="AO30" s="21">
        <v>16.896000000000001</v>
      </c>
      <c r="AP30" s="21">
        <v>17.059999999999999</v>
      </c>
      <c r="AQ30" s="21">
        <v>17.393000000000001</v>
      </c>
      <c r="AR30" s="21">
        <v>17.747</v>
      </c>
      <c r="AS30" s="21">
        <v>18.38</v>
      </c>
      <c r="AT30" s="21">
        <v>20.045000000000002</v>
      </c>
      <c r="AU30" s="21">
        <v>21.042999999999999</v>
      </c>
      <c r="AV30" s="21">
        <v>24.341000000000001</v>
      </c>
      <c r="AW30" s="21">
        <v>28.946999999999999</v>
      </c>
      <c r="AX30" s="21">
        <v>31.294</v>
      </c>
      <c r="AY30" s="21">
        <v>32.707999999999998</v>
      </c>
      <c r="AZ30" s="21">
        <v>35.033000000000001</v>
      </c>
      <c r="BA30" s="21">
        <v>38.215000000000003</v>
      </c>
      <c r="BB30" s="21">
        <v>43.156999999999996</v>
      </c>
      <c r="BC30" s="21">
        <v>50.085999999999999</v>
      </c>
      <c r="BD30" s="21">
        <v>52.264000000000003</v>
      </c>
      <c r="BE30" s="21">
        <v>52.302999999999997</v>
      </c>
      <c r="BF30" s="21">
        <v>51.444000000000003</v>
      </c>
      <c r="BG30" s="21">
        <v>50.56</v>
      </c>
      <c r="BH30" s="21">
        <v>50.497999999999998</v>
      </c>
      <c r="BI30" s="21">
        <v>55.969000000000001</v>
      </c>
      <c r="BJ30" s="21">
        <v>56.762999999999998</v>
      </c>
      <c r="BK30" s="21">
        <v>59.533000000000001</v>
      </c>
      <c r="BL30" s="21">
        <v>59.218000000000004</v>
      </c>
      <c r="BM30" s="21">
        <v>63.655000000000001</v>
      </c>
      <c r="BN30" s="21">
        <v>65.983000000000004</v>
      </c>
      <c r="BO30" s="21">
        <v>67.835999999999999</v>
      </c>
      <c r="BP30" s="21">
        <v>68.411000000000001</v>
      </c>
      <c r="BQ30" s="21">
        <v>69.753</v>
      </c>
      <c r="BR30" s="21">
        <v>71.930999999999997</v>
      </c>
      <c r="BS30" s="21">
        <v>73.725999999999999</v>
      </c>
      <c r="BT30" s="21">
        <v>73.724000000000004</v>
      </c>
      <c r="BU30" s="21">
        <v>72.281999999999996</v>
      </c>
      <c r="BV30" s="21">
        <v>74.537000000000006</v>
      </c>
      <c r="BW30" s="21">
        <v>74.259</v>
      </c>
      <c r="BX30" s="21">
        <v>73.213999999999999</v>
      </c>
      <c r="BY30" s="21">
        <v>74.271000000000001</v>
      </c>
      <c r="BZ30" s="21">
        <v>79.866</v>
      </c>
      <c r="CA30" s="21">
        <v>83.817999999999998</v>
      </c>
      <c r="CB30" s="21">
        <v>86.721000000000004</v>
      </c>
      <c r="CC30" s="21">
        <v>89.134</v>
      </c>
      <c r="CD30" s="21">
        <v>92.77</v>
      </c>
      <c r="CE30" s="21">
        <v>97.798000000000002</v>
      </c>
      <c r="CF30" s="21">
        <v>94.510999999999996</v>
      </c>
      <c r="CG30" s="21">
        <v>96.415999999999997</v>
      </c>
      <c r="CH30" s="21">
        <v>99.391999999999996</v>
      </c>
      <c r="CI30" s="21">
        <v>100</v>
      </c>
      <c r="CJ30" s="21">
        <v>101.575</v>
      </c>
      <c r="CK30" s="21">
        <v>103.55800000000001</v>
      </c>
      <c r="CL30" s="21">
        <v>102.45699999999999</v>
      </c>
      <c r="CM30" s="21">
        <v>102.357</v>
      </c>
      <c r="CN30" s="21">
        <v>104.521</v>
      </c>
      <c r="CO30" s="21">
        <v>107.72499999999999</v>
      </c>
      <c r="CP30" s="21">
        <v>108.77</v>
      </c>
      <c r="CQ30" s="21">
        <v>108.47499999999999</v>
      </c>
      <c r="CR30" s="21">
        <v>115.53400000000001</v>
      </c>
    </row>
    <row r="31" spans="1:96" x14ac:dyDescent="0.3">
      <c r="A31" t="s">
        <v>415</v>
      </c>
      <c r="B31" t="s">
        <v>416</v>
      </c>
      <c r="C31" t="s">
        <v>417</v>
      </c>
      <c r="D31" s="21">
        <v>5.3339999999999996</v>
      </c>
      <c r="E31" s="21">
        <v>5.1710000000000003</v>
      </c>
      <c r="F31" s="21">
        <v>4.9160000000000004</v>
      </c>
      <c r="G31" s="21">
        <v>4.468</v>
      </c>
      <c r="H31" s="21">
        <v>4.5789999999999997</v>
      </c>
      <c r="I31" s="21">
        <v>4.923</v>
      </c>
      <c r="J31" s="21">
        <v>4.9660000000000002</v>
      </c>
      <c r="K31" s="21">
        <v>5.1559999999999997</v>
      </c>
      <c r="L31" s="21">
        <v>5.2539999999999996</v>
      </c>
      <c r="M31" s="21">
        <v>5.274</v>
      </c>
      <c r="N31" s="21">
        <v>5.1870000000000003</v>
      </c>
      <c r="O31" s="21">
        <v>5.1379999999999999</v>
      </c>
      <c r="P31" s="21">
        <v>5.4610000000000003</v>
      </c>
      <c r="Q31" s="21">
        <v>5.5270000000000001</v>
      </c>
      <c r="R31" s="21">
        <v>5.5229999999999997</v>
      </c>
      <c r="S31" s="21">
        <v>5.4530000000000003</v>
      </c>
      <c r="T31" s="21">
        <v>5.51</v>
      </c>
      <c r="U31" s="21">
        <v>6.9859999999999998</v>
      </c>
      <c r="V31" s="21">
        <v>7.6210000000000004</v>
      </c>
      <c r="W31" s="21">
        <v>7.93</v>
      </c>
      <c r="X31" s="21">
        <v>8.1509999999999998</v>
      </c>
      <c r="Y31" s="21">
        <v>8.234</v>
      </c>
      <c r="Z31" s="21">
        <v>8.7379999999999995</v>
      </c>
      <c r="AA31" s="21">
        <v>8.9179999999999993</v>
      </c>
      <c r="AB31" s="21">
        <v>9.0169999999999995</v>
      </c>
      <c r="AC31" s="21">
        <v>9.2089999999999996</v>
      </c>
      <c r="AD31" s="21">
        <v>9.5679999999999996</v>
      </c>
      <c r="AE31" s="21">
        <v>10.082000000000001</v>
      </c>
      <c r="AF31" s="21">
        <v>10.52</v>
      </c>
      <c r="AG31" s="21">
        <v>10.840999999999999</v>
      </c>
      <c r="AH31" s="21">
        <v>10.973000000000001</v>
      </c>
      <c r="AI31" s="21">
        <v>11.093999999999999</v>
      </c>
      <c r="AJ31" s="21">
        <v>11.286</v>
      </c>
      <c r="AK31" s="21">
        <v>11.497999999999999</v>
      </c>
      <c r="AL31" s="21">
        <v>11.779</v>
      </c>
      <c r="AM31" s="21">
        <v>12.087999999999999</v>
      </c>
      <c r="AN31" s="21">
        <v>12.417</v>
      </c>
      <c r="AO31" s="21">
        <v>12.911</v>
      </c>
      <c r="AP31" s="21">
        <v>13.353</v>
      </c>
      <c r="AQ31" s="21">
        <v>14.068</v>
      </c>
      <c r="AR31" s="21">
        <v>14.891999999999999</v>
      </c>
      <c r="AS31" s="21">
        <v>16.077999999999999</v>
      </c>
      <c r="AT31" s="21">
        <v>17.352</v>
      </c>
      <c r="AU31" s="21">
        <v>18.661999999999999</v>
      </c>
      <c r="AV31" s="21">
        <v>19.936</v>
      </c>
      <c r="AW31" s="21">
        <v>21.852</v>
      </c>
      <c r="AX31" s="21">
        <v>23.87</v>
      </c>
      <c r="AY31" s="21">
        <v>25.181000000000001</v>
      </c>
      <c r="AZ31" s="21">
        <v>26.739000000000001</v>
      </c>
      <c r="BA31" s="21">
        <v>28.507000000000001</v>
      </c>
      <c r="BB31" s="21">
        <v>30.853000000000002</v>
      </c>
      <c r="BC31" s="21">
        <v>34.045000000000002</v>
      </c>
      <c r="BD31" s="21">
        <v>37.423999999999999</v>
      </c>
      <c r="BE31" s="21">
        <v>39.969000000000001</v>
      </c>
      <c r="BF31" s="21">
        <v>41.515999999999998</v>
      </c>
      <c r="BG31" s="21">
        <v>43.317</v>
      </c>
      <c r="BH31" s="21">
        <v>44.658999999999999</v>
      </c>
      <c r="BI31" s="21">
        <v>45.408999999999999</v>
      </c>
      <c r="BJ31" s="21">
        <v>46.634999999999998</v>
      </c>
      <c r="BK31" s="21">
        <v>48.177</v>
      </c>
      <c r="BL31" s="21">
        <v>50.015999999999998</v>
      </c>
      <c r="BM31" s="21">
        <v>52.113</v>
      </c>
      <c r="BN31" s="21">
        <v>54.005000000000003</v>
      </c>
      <c r="BO31" s="21">
        <v>55.642000000000003</v>
      </c>
      <c r="BP31" s="21">
        <v>56.953000000000003</v>
      </c>
      <c r="BQ31" s="21">
        <v>58.463000000000001</v>
      </c>
      <c r="BR31" s="21">
        <v>60.122999999999998</v>
      </c>
      <c r="BS31" s="21">
        <v>61.354999999999997</v>
      </c>
      <c r="BT31" s="21">
        <v>62.56</v>
      </c>
      <c r="BU31" s="21">
        <v>63.624000000000002</v>
      </c>
      <c r="BV31" s="21">
        <v>65.778000000000006</v>
      </c>
      <c r="BW31" s="21">
        <v>68.600999999999999</v>
      </c>
      <c r="BX31" s="21">
        <v>70.566999999999993</v>
      </c>
      <c r="BY31" s="21">
        <v>72.393000000000001</v>
      </c>
      <c r="BZ31" s="21">
        <v>75.028000000000006</v>
      </c>
      <c r="CA31" s="21">
        <v>78.153000000000006</v>
      </c>
      <c r="CB31" s="21">
        <v>82.11</v>
      </c>
      <c r="CC31" s="21">
        <v>85.661000000000001</v>
      </c>
      <c r="CD31" s="21">
        <v>89.491</v>
      </c>
      <c r="CE31" s="21">
        <v>93.308000000000007</v>
      </c>
      <c r="CF31" s="21">
        <v>92.930999999999997</v>
      </c>
      <c r="CG31" s="21">
        <v>95.385999999999996</v>
      </c>
      <c r="CH31" s="21">
        <v>98.284999999999997</v>
      </c>
      <c r="CI31" s="21">
        <v>100</v>
      </c>
      <c r="CJ31" s="21">
        <v>102.33199999999999</v>
      </c>
      <c r="CK31" s="21">
        <v>104.435</v>
      </c>
      <c r="CL31" s="21">
        <v>104.598</v>
      </c>
      <c r="CM31" s="21">
        <v>104.926</v>
      </c>
      <c r="CN31" s="21">
        <v>107.398</v>
      </c>
      <c r="CO31" s="21">
        <v>111.312</v>
      </c>
      <c r="CP31" s="21">
        <v>113.43899999999999</v>
      </c>
      <c r="CQ31" s="21">
        <v>114.68</v>
      </c>
      <c r="CR31" s="21">
        <v>120.039</v>
      </c>
    </row>
    <row r="32" spans="1:96" x14ac:dyDescent="0.3">
      <c r="A32" t="s">
        <v>418</v>
      </c>
      <c r="B32" t="s">
        <v>419</v>
      </c>
      <c r="C32" t="s">
        <v>420</v>
      </c>
      <c r="D32" s="21">
        <v>6.5620000000000003</v>
      </c>
      <c r="E32" s="21">
        <v>6.27</v>
      </c>
      <c r="F32" s="21">
        <v>6.2290000000000001</v>
      </c>
      <c r="G32" s="21">
        <v>5.9189999999999996</v>
      </c>
      <c r="H32" s="21">
        <v>5.9630000000000001</v>
      </c>
      <c r="I32" s="21">
        <v>6.3620000000000001</v>
      </c>
      <c r="J32" s="21">
        <v>6.4059999999999997</v>
      </c>
      <c r="K32" s="21">
        <v>6.9669999999999996</v>
      </c>
      <c r="L32" s="21">
        <v>7.06</v>
      </c>
      <c r="M32" s="21">
        <v>7.1470000000000002</v>
      </c>
      <c r="N32" s="21">
        <v>7.0250000000000004</v>
      </c>
      <c r="O32" s="21">
        <v>6.8019999999999996</v>
      </c>
      <c r="P32" s="21">
        <v>7.1950000000000003</v>
      </c>
      <c r="Q32" s="21">
        <v>7.1539999999999999</v>
      </c>
      <c r="R32" s="21">
        <v>7.0910000000000002</v>
      </c>
      <c r="S32" s="21">
        <v>6.968</v>
      </c>
      <c r="T32" s="21">
        <v>7.0229999999999997</v>
      </c>
      <c r="U32" s="21">
        <v>9.1950000000000003</v>
      </c>
      <c r="V32" s="21">
        <v>9.8940000000000001</v>
      </c>
      <c r="W32" s="21">
        <v>9.8719999999999999</v>
      </c>
      <c r="X32" s="21">
        <v>10.266</v>
      </c>
      <c r="Y32" s="21">
        <v>10.393000000000001</v>
      </c>
      <c r="Z32" s="21">
        <v>10.811</v>
      </c>
      <c r="AA32" s="21">
        <v>10.93</v>
      </c>
      <c r="AB32" s="21">
        <v>11.016</v>
      </c>
      <c r="AC32" s="21">
        <v>11.279</v>
      </c>
      <c r="AD32" s="21">
        <v>11.823</v>
      </c>
      <c r="AE32" s="21">
        <v>12.396000000000001</v>
      </c>
      <c r="AF32" s="21">
        <v>12.938000000000001</v>
      </c>
      <c r="AG32" s="21">
        <v>13.446</v>
      </c>
      <c r="AH32" s="21">
        <v>13.561</v>
      </c>
      <c r="AI32" s="21">
        <v>13.656000000000001</v>
      </c>
      <c r="AJ32" s="21">
        <v>13.818</v>
      </c>
      <c r="AK32" s="21">
        <v>14.013</v>
      </c>
      <c r="AL32" s="21">
        <v>14.365</v>
      </c>
      <c r="AM32" s="21">
        <v>14.811</v>
      </c>
      <c r="AN32" s="21">
        <v>15.18</v>
      </c>
      <c r="AO32" s="21">
        <v>15.692</v>
      </c>
      <c r="AP32" s="21">
        <v>16.042000000000002</v>
      </c>
      <c r="AQ32" s="21">
        <v>16.849</v>
      </c>
      <c r="AR32" s="21">
        <v>17.715</v>
      </c>
      <c r="AS32" s="21">
        <v>19.109000000000002</v>
      </c>
      <c r="AT32" s="21">
        <v>20.67</v>
      </c>
      <c r="AU32" s="21">
        <v>22.484999999999999</v>
      </c>
      <c r="AV32" s="21">
        <v>24.050999999999998</v>
      </c>
      <c r="AW32" s="21">
        <v>25.971</v>
      </c>
      <c r="AX32" s="21">
        <v>28.254000000000001</v>
      </c>
      <c r="AY32" s="21">
        <v>30.012</v>
      </c>
      <c r="AZ32" s="21">
        <v>31.858000000000001</v>
      </c>
      <c r="BA32" s="21">
        <v>34.008000000000003</v>
      </c>
      <c r="BB32" s="21">
        <v>36.566000000000003</v>
      </c>
      <c r="BC32" s="21">
        <v>40.098999999999997</v>
      </c>
      <c r="BD32" s="21">
        <v>43.843000000000004</v>
      </c>
      <c r="BE32" s="21">
        <v>46.942999999999998</v>
      </c>
      <c r="BF32" s="21">
        <v>48.499000000000002</v>
      </c>
      <c r="BG32" s="21">
        <v>50.637</v>
      </c>
      <c r="BH32" s="21">
        <v>51.712000000000003</v>
      </c>
      <c r="BI32" s="21">
        <v>51.957000000000001</v>
      </c>
      <c r="BJ32" s="21">
        <v>52.317999999999998</v>
      </c>
      <c r="BK32" s="21">
        <v>54.024999999999999</v>
      </c>
      <c r="BL32" s="21">
        <v>55.533999999999999</v>
      </c>
      <c r="BM32" s="21">
        <v>57.25</v>
      </c>
      <c r="BN32" s="21">
        <v>59.308999999999997</v>
      </c>
      <c r="BO32" s="21">
        <v>60.823999999999998</v>
      </c>
      <c r="BP32" s="21">
        <v>62.151000000000003</v>
      </c>
      <c r="BQ32" s="21">
        <v>63.860999999999997</v>
      </c>
      <c r="BR32" s="21">
        <v>65.837999999999994</v>
      </c>
      <c r="BS32" s="21">
        <v>66.936999999999998</v>
      </c>
      <c r="BT32" s="21">
        <v>67.971999999999994</v>
      </c>
      <c r="BU32" s="21">
        <v>68.840999999999994</v>
      </c>
      <c r="BV32" s="21">
        <v>70.519000000000005</v>
      </c>
      <c r="BW32" s="21">
        <v>72.885999999999996</v>
      </c>
      <c r="BX32" s="21">
        <v>74.236000000000004</v>
      </c>
      <c r="BY32" s="21">
        <v>76.631</v>
      </c>
      <c r="BZ32" s="21">
        <v>80.007999999999996</v>
      </c>
      <c r="CA32" s="21">
        <v>82.76</v>
      </c>
      <c r="CB32" s="21">
        <v>86.203999999999994</v>
      </c>
      <c r="CC32" s="21">
        <v>88.948999999999998</v>
      </c>
      <c r="CD32" s="21">
        <v>91.588999999999999</v>
      </c>
      <c r="CE32" s="21">
        <v>94.381</v>
      </c>
      <c r="CF32" s="21">
        <v>94.213999999999999</v>
      </c>
      <c r="CG32" s="21">
        <v>96.421000000000006</v>
      </c>
      <c r="CH32" s="21">
        <v>99.07</v>
      </c>
      <c r="CI32" s="21">
        <v>100</v>
      </c>
      <c r="CJ32" s="21">
        <v>100.931</v>
      </c>
      <c r="CK32" s="21">
        <v>102.63200000000001</v>
      </c>
      <c r="CL32" s="21">
        <v>103.128</v>
      </c>
      <c r="CM32" s="21">
        <v>103.711</v>
      </c>
      <c r="CN32" s="21">
        <v>105.843</v>
      </c>
      <c r="CO32" s="21">
        <v>109.089</v>
      </c>
      <c r="CP32" s="21">
        <v>111.11</v>
      </c>
      <c r="CQ32" s="21">
        <v>111.396</v>
      </c>
      <c r="CR32" s="21">
        <v>116.04900000000001</v>
      </c>
    </row>
    <row r="33" spans="1:96" x14ac:dyDescent="0.3">
      <c r="A33" t="s">
        <v>421</v>
      </c>
      <c r="B33" t="s">
        <v>422</v>
      </c>
      <c r="C33" t="s">
        <v>423</v>
      </c>
      <c r="D33" s="21">
        <v>6.3769999999999998</v>
      </c>
      <c r="E33" s="21">
        <v>6.1790000000000003</v>
      </c>
      <c r="F33" s="21">
        <v>6.1</v>
      </c>
      <c r="G33" s="21">
        <v>5.9489999999999998</v>
      </c>
      <c r="H33" s="21">
        <v>5.91</v>
      </c>
      <c r="I33" s="21">
        <v>6.1760000000000002</v>
      </c>
      <c r="J33" s="21">
        <v>6.383</v>
      </c>
      <c r="K33" s="21">
        <v>6.5309999999999997</v>
      </c>
      <c r="L33" s="21">
        <v>6.6849999999999996</v>
      </c>
      <c r="M33" s="21">
        <v>6.6989999999999998</v>
      </c>
      <c r="N33" s="21">
        <v>6.6959999999999997</v>
      </c>
      <c r="O33" s="21">
        <v>6.4859999999999998</v>
      </c>
      <c r="P33" s="21">
        <v>6.8879999999999999</v>
      </c>
      <c r="Q33" s="21">
        <v>6.7350000000000003</v>
      </c>
      <c r="R33" s="21">
        <v>6.6539999999999999</v>
      </c>
      <c r="S33" s="21">
        <v>6.524</v>
      </c>
      <c r="T33" s="21">
        <v>6.5720000000000001</v>
      </c>
      <c r="U33" s="21">
        <v>8.7449999999999992</v>
      </c>
      <c r="V33" s="21">
        <v>9.5739999999999998</v>
      </c>
      <c r="W33" s="21">
        <v>9.6050000000000004</v>
      </c>
      <c r="X33" s="21">
        <v>9.9250000000000007</v>
      </c>
      <c r="Y33" s="21">
        <v>10.138</v>
      </c>
      <c r="Z33" s="21">
        <v>10.45</v>
      </c>
      <c r="AA33" s="21">
        <v>10.507</v>
      </c>
      <c r="AB33" s="21">
        <v>10.545999999999999</v>
      </c>
      <c r="AC33" s="21">
        <v>10.82</v>
      </c>
      <c r="AD33" s="21">
        <v>11.366</v>
      </c>
      <c r="AE33" s="21">
        <v>11.986000000000001</v>
      </c>
      <c r="AF33" s="21">
        <v>12.512</v>
      </c>
      <c r="AG33" s="21">
        <v>12.981999999999999</v>
      </c>
      <c r="AH33" s="21">
        <v>13.071999999999999</v>
      </c>
      <c r="AI33" s="21">
        <v>13.163</v>
      </c>
      <c r="AJ33" s="21">
        <v>13.276</v>
      </c>
      <c r="AK33" s="21">
        <v>13.438000000000001</v>
      </c>
      <c r="AL33" s="21">
        <v>13.795</v>
      </c>
      <c r="AM33" s="21">
        <v>14.186</v>
      </c>
      <c r="AN33" s="21">
        <v>14.557</v>
      </c>
      <c r="AO33" s="21">
        <v>15.066000000000001</v>
      </c>
      <c r="AP33" s="21">
        <v>15.426</v>
      </c>
      <c r="AQ33" s="21">
        <v>16.196000000000002</v>
      </c>
      <c r="AR33" s="21">
        <v>17.018999999999998</v>
      </c>
      <c r="AS33" s="21">
        <v>18.294</v>
      </c>
      <c r="AT33" s="21">
        <v>19.817</v>
      </c>
      <c r="AU33" s="21">
        <v>21.882999999999999</v>
      </c>
      <c r="AV33" s="21">
        <v>23.484000000000002</v>
      </c>
      <c r="AW33" s="21">
        <v>25.404</v>
      </c>
      <c r="AX33" s="21">
        <v>27.545000000000002</v>
      </c>
      <c r="AY33" s="21">
        <v>29.344999999999999</v>
      </c>
      <c r="AZ33" s="21">
        <v>31.268000000000001</v>
      </c>
      <c r="BA33" s="21">
        <v>33.561</v>
      </c>
      <c r="BB33" s="21">
        <v>36.216000000000001</v>
      </c>
      <c r="BC33" s="21">
        <v>39.918999999999997</v>
      </c>
      <c r="BD33" s="21">
        <v>43.747</v>
      </c>
      <c r="BE33" s="21">
        <v>47.039000000000001</v>
      </c>
      <c r="BF33" s="21">
        <v>48.777999999999999</v>
      </c>
      <c r="BG33" s="21">
        <v>51.012999999999998</v>
      </c>
      <c r="BH33" s="21">
        <v>51.872</v>
      </c>
      <c r="BI33" s="21">
        <v>51.893999999999998</v>
      </c>
      <c r="BJ33" s="21">
        <v>52.267000000000003</v>
      </c>
      <c r="BK33" s="21">
        <v>53.904000000000003</v>
      </c>
      <c r="BL33" s="21">
        <v>55.365000000000002</v>
      </c>
      <c r="BM33" s="21">
        <v>57.161999999999999</v>
      </c>
      <c r="BN33" s="21">
        <v>58.963999999999999</v>
      </c>
      <c r="BO33" s="21">
        <v>60.677999999999997</v>
      </c>
      <c r="BP33" s="21">
        <v>61.615000000000002</v>
      </c>
      <c r="BQ33" s="21">
        <v>63.228999999999999</v>
      </c>
      <c r="BR33" s="21">
        <v>65.027000000000001</v>
      </c>
      <c r="BS33" s="21">
        <v>66.114000000000004</v>
      </c>
      <c r="BT33" s="21">
        <v>67.034999999999997</v>
      </c>
      <c r="BU33" s="21">
        <v>67.870999999999995</v>
      </c>
      <c r="BV33" s="21">
        <v>69.558999999999997</v>
      </c>
      <c r="BW33" s="21">
        <v>71.908000000000001</v>
      </c>
      <c r="BX33" s="21">
        <v>73.27</v>
      </c>
      <c r="BY33" s="21">
        <v>75.713999999999999</v>
      </c>
      <c r="BZ33" s="21">
        <v>79.504999999999995</v>
      </c>
      <c r="CA33" s="21">
        <v>82.263000000000005</v>
      </c>
      <c r="CB33" s="21">
        <v>86.010999999999996</v>
      </c>
      <c r="CC33" s="21">
        <v>89.022000000000006</v>
      </c>
      <c r="CD33" s="21">
        <v>91.75</v>
      </c>
      <c r="CE33" s="21">
        <v>94.801000000000002</v>
      </c>
      <c r="CF33" s="21">
        <v>94.126000000000005</v>
      </c>
      <c r="CG33" s="21">
        <v>96.128</v>
      </c>
      <c r="CH33" s="21">
        <v>98.945999999999998</v>
      </c>
      <c r="CI33" s="21">
        <v>100</v>
      </c>
      <c r="CJ33" s="21">
        <v>100.60899999999999</v>
      </c>
      <c r="CK33" s="21">
        <v>102.056</v>
      </c>
      <c r="CL33" s="21">
        <v>102.334</v>
      </c>
      <c r="CM33" s="21">
        <v>102.696</v>
      </c>
      <c r="CN33" s="21">
        <v>104.449</v>
      </c>
      <c r="CO33" s="21">
        <v>107.477</v>
      </c>
      <c r="CP33" s="21">
        <v>109.256</v>
      </c>
      <c r="CQ33" s="21">
        <v>109.64700000000001</v>
      </c>
      <c r="CR33" s="21">
        <v>114.104</v>
      </c>
    </row>
    <row r="34" spans="1:96" x14ac:dyDescent="0.3">
      <c r="A34" t="s">
        <v>424</v>
      </c>
      <c r="B34" t="s">
        <v>425</v>
      </c>
      <c r="C34" t="s">
        <v>426</v>
      </c>
      <c r="D34" s="21">
        <v>6.4660000000000002</v>
      </c>
      <c r="E34" s="21">
        <v>6.0750000000000002</v>
      </c>
      <c r="F34" s="21">
        <v>6.0789999999999997</v>
      </c>
      <c r="G34" s="21">
        <v>5.6150000000000002</v>
      </c>
      <c r="H34" s="21">
        <v>5.726</v>
      </c>
      <c r="I34" s="21">
        <v>6.1749999999999998</v>
      </c>
      <c r="J34" s="21">
        <v>6.1470000000000002</v>
      </c>
      <c r="K34" s="21">
        <v>6.8449999999999998</v>
      </c>
      <c r="L34" s="21">
        <v>6.9130000000000003</v>
      </c>
      <c r="M34" s="21">
        <v>7.024</v>
      </c>
      <c r="N34" s="21">
        <v>6.8630000000000004</v>
      </c>
      <c r="O34" s="21">
        <v>6.6379999999999999</v>
      </c>
      <c r="P34" s="21">
        <v>6.9429999999999996</v>
      </c>
      <c r="Q34" s="21">
        <v>7.8739999999999997</v>
      </c>
      <c r="R34" s="21">
        <v>8.2360000000000007</v>
      </c>
      <c r="S34" s="21">
        <v>8.6229999999999993</v>
      </c>
      <c r="T34" s="21">
        <v>8.8849999999999998</v>
      </c>
      <c r="U34" s="21">
        <v>10.09</v>
      </c>
      <c r="V34" s="21">
        <v>10.079000000000001</v>
      </c>
      <c r="W34" s="21">
        <v>9.8390000000000004</v>
      </c>
      <c r="X34" s="21">
        <v>10.43</v>
      </c>
      <c r="Y34" s="21">
        <v>10.266999999999999</v>
      </c>
      <c r="Z34" s="21">
        <v>11.129</v>
      </c>
      <c r="AA34" s="21">
        <v>11.718</v>
      </c>
      <c r="AB34" s="21">
        <v>12.164999999999999</v>
      </c>
      <c r="AC34" s="21">
        <v>12.286</v>
      </c>
      <c r="AD34" s="21">
        <v>12.707000000000001</v>
      </c>
      <c r="AE34" s="21">
        <v>12.843999999999999</v>
      </c>
      <c r="AF34" s="21">
        <v>13.391999999999999</v>
      </c>
      <c r="AG34" s="21">
        <v>14.083</v>
      </c>
      <c r="AH34" s="21">
        <v>14.384</v>
      </c>
      <c r="AI34" s="21">
        <v>14.49</v>
      </c>
      <c r="AJ34" s="21">
        <v>14.909000000000001</v>
      </c>
      <c r="AK34" s="21">
        <v>15.247999999999999</v>
      </c>
      <c r="AL34" s="21">
        <v>15.542</v>
      </c>
      <c r="AM34" s="21">
        <v>16.175000000000001</v>
      </c>
      <c r="AN34" s="21">
        <v>16.513999999999999</v>
      </c>
      <c r="AO34" s="21">
        <v>17.004999999999999</v>
      </c>
      <c r="AP34" s="21">
        <v>17.289000000000001</v>
      </c>
      <c r="AQ34" s="21">
        <v>18.18</v>
      </c>
      <c r="AR34" s="21">
        <v>19.154</v>
      </c>
      <c r="AS34" s="21">
        <v>20.905999999999999</v>
      </c>
      <c r="AT34" s="21">
        <v>22.521000000000001</v>
      </c>
      <c r="AU34" s="21">
        <v>23.579000000000001</v>
      </c>
      <c r="AV34" s="21">
        <v>25.018000000000001</v>
      </c>
      <c r="AW34" s="21">
        <v>26.904</v>
      </c>
      <c r="AX34" s="21">
        <v>29.484000000000002</v>
      </c>
      <c r="AY34" s="21">
        <v>31.123999999999999</v>
      </c>
      <c r="AZ34" s="21">
        <v>32.781999999999996</v>
      </c>
      <c r="BA34" s="21">
        <v>34.612000000000002</v>
      </c>
      <c r="BB34" s="21">
        <v>36.951999999999998</v>
      </c>
      <c r="BC34" s="21">
        <v>40.106000000000002</v>
      </c>
      <c r="BD34" s="21">
        <v>43.643000000000001</v>
      </c>
      <c r="BE34" s="21">
        <v>46.289000000000001</v>
      </c>
      <c r="BF34" s="21">
        <v>47.396999999999998</v>
      </c>
      <c r="BG34" s="21">
        <v>49.279000000000003</v>
      </c>
      <c r="BH34" s="21">
        <v>50.906999999999996</v>
      </c>
      <c r="BI34" s="21">
        <v>51.747999999999998</v>
      </c>
      <c r="BJ34" s="21">
        <v>52.076000000000001</v>
      </c>
      <c r="BK34" s="21">
        <v>53.973999999999997</v>
      </c>
      <c r="BL34" s="21">
        <v>55.604999999999997</v>
      </c>
      <c r="BM34" s="21">
        <v>57.093000000000004</v>
      </c>
      <c r="BN34" s="21">
        <v>59.786999999999999</v>
      </c>
      <c r="BO34" s="21">
        <v>60.825000000000003</v>
      </c>
      <c r="BP34" s="21">
        <v>62.994</v>
      </c>
      <c r="BQ34" s="21">
        <v>64.897999999999996</v>
      </c>
      <c r="BR34" s="21">
        <v>67.222999999999999</v>
      </c>
      <c r="BS34" s="21">
        <v>68.343999999999994</v>
      </c>
      <c r="BT34" s="21">
        <v>69.590999999999994</v>
      </c>
      <c r="BU34" s="21">
        <v>70.518000000000001</v>
      </c>
      <c r="BV34" s="21">
        <v>72.177999999999997</v>
      </c>
      <c r="BW34" s="21">
        <v>74.578000000000003</v>
      </c>
      <c r="BX34" s="21">
        <v>75.906000000000006</v>
      </c>
      <c r="BY34" s="21">
        <v>78.221999999999994</v>
      </c>
      <c r="BZ34" s="21">
        <v>80.894999999999996</v>
      </c>
      <c r="CA34" s="21">
        <v>83.637</v>
      </c>
      <c r="CB34" s="21">
        <v>86.531000000000006</v>
      </c>
      <c r="CC34" s="21">
        <v>88.799000000000007</v>
      </c>
      <c r="CD34" s="21">
        <v>91.278999999999996</v>
      </c>
      <c r="CE34" s="21">
        <v>93.596999999999994</v>
      </c>
      <c r="CF34" s="21">
        <v>94.364000000000004</v>
      </c>
      <c r="CG34" s="21">
        <v>96.941999999999993</v>
      </c>
      <c r="CH34" s="21">
        <v>99.289000000000001</v>
      </c>
      <c r="CI34" s="21">
        <v>100</v>
      </c>
      <c r="CJ34" s="21">
        <v>101.47799999999999</v>
      </c>
      <c r="CK34" s="21">
        <v>103.593</v>
      </c>
      <c r="CL34" s="21">
        <v>104.428</v>
      </c>
      <c r="CM34" s="21">
        <v>105.342</v>
      </c>
      <c r="CN34" s="21">
        <v>108.04</v>
      </c>
      <c r="CO34" s="21">
        <v>111.619</v>
      </c>
      <c r="CP34" s="21">
        <v>114.014</v>
      </c>
      <c r="CQ34" s="21">
        <v>114.119</v>
      </c>
      <c r="CR34" s="21">
        <v>119.10599999999999</v>
      </c>
    </row>
    <row r="35" spans="1:96" x14ac:dyDescent="0.3">
      <c r="A35" t="s">
        <v>427</v>
      </c>
      <c r="B35" t="s">
        <v>428</v>
      </c>
      <c r="C35" t="s">
        <v>429</v>
      </c>
      <c r="D35" s="21">
        <v>3.6949999999999998</v>
      </c>
      <c r="E35" s="21">
        <v>3.5939999999999999</v>
      </c>
      <c r="F35" s="21">
        <v>3.38</v>
      </c>
      <c r="G35" s="21">
        <v>3.0350000000000001</v>
      </c>
      <c r="H35" s="21">
        <v>3.129</v>
      </c>
      <c r="I35" s="21">
        <v>3.375</v>
      </c>
      <c r="J35" s="21">
        <v>3.4079999999999999</v>
      </c>
      <c r="K35" s="21">
        <v>3.44</v>
      </c>
      <c r="L35" s="21">
        <v>3.52</v>
      </c>
      <c r="M35" s="21">
        <v>3.5129999999999999</v>
      </c>
      <c r="N35" s="21">
        <v>3.456</v>
      </c>
      <c r="O35" s="21">
        <v>3.4809999999999999</v>
      </c>
      <c r="P35" s="21">
        <v>3.7050000000000001</v>
      </c>
      <c r="Q35" s="21">
        <v>4.069</v>
      </c>
      <c r="R35" s="21">
        <v>4.3499999999999996</v>
      </c>
      <c r="S35" s="21">
        <v>4.5309999999999997</v>
      </c>
      <c r="T35" s="21">
        <v>4.6950000000000003</v>
      </c>
      <c r="U35" s="21">
        <v>5.1429999999999998</v>
      </c>
      <c r="V35" s="21">
        <v>5.7839999999999998</v>
      </c>
      <c r="W35" s="21">
        <v>6.4690000000000003</v>
      </c>
      <c r="X35" s="21">
        <v>6.5279999999999996</v>
      </c>
      <c r="Y35" s="21">
        <v>6.5709999999999997</v>
      </c>
      <c r="Z35" s="21">
        <v>7.2190000000000003</v>
      </c>
      <c r="AA35" s="21">
        <v>7.5339999999999998</v>
      </c>
      <c r="AB35" s="21">
        <v>7.6829999999999998</v>
      </c>
      <c r="AC35" s="21">
        <v>7.798</v>
      </c>
      <c r="AD35" s="21">
        <v>7.9580000000000002</v>
      </c>
      <c r="AE35" s="21">
        <v>8.4629999999999992</v>
      </c>
      <c r="AF35" s="21">
        <v>8.8260000000000005</v>
      </c>
      <c r="AG35" s="21">
        <v>8.9640000000000004</v>
      </c>
      <c r="AH35" s="21">
        <v>9.1270000000000007</v>
      </c>
      <c r="AI35" s="21">
        <v>9.2859999999999996</v>
      </c>
      <c r="AJ35" s="21">
        <v>9.5229999999999997</v>
      </c>
      <c r="AK35" s="21">
        <v>9.7710000000000008</v>
      </c>
      <c r="AL35" s="21">
        <v>9.9990000000000006</v>
      </c>
      <c r="AM35" s="21">
        <v>10.194000000000001</v>
      </c>
      <c r="AN35" s="21">
        <v>10.502000000000001</v>
      </c>
      <c r="AO35" s="21">
        <v>11.006</v>
      </c>
      <c r="AP35" s="21">
        <v>11.564</v>
      </c>
      <c r="AQ35" s="21">
        <v>12.234</v>
      </c>
      <c r="AR35" s="21">
        <v>13.063000000000001</v>
      </c>
      <c r="AS35" s="21">
        <v>14.117000000000001</v>
      </c>
      <c r="AT35" s="21">
        <v>15.198</v>
      </c>
      <c r="AU35" s="21">
        <v>16.163</v>
      </c>
      <c r="AV35" s="21">
        <v>17.245999999999999</v>
      </c>
      <c r="AW35" s="21">
        <v>19.157</v>
      </c>
      <c r="AX35" s="21">
        <v>20.998999999999999</v>
      </c>
      <c r="AY35" s="21">
        <v>22.024000000000001</v>
      </c>
      <c r="AZ35" s="21">
        <v>23.393999999999998</v>
      </c>
      <c r="BA35" s="21">
        <v>24.914000000000001</v>
      </c>
      <c r="BB35" s="21">
        <v>27.114000000000001</v>
      </c>
      <c r="BC35" s="21">
        <v>30.081</v>
      </c>
      <c r="BD35" s="21">
        <v>33.225999999999999</v>
      </c>
      <c r="BE35" s="21">
        <v>35.401000000000003</v>
      </c>
      <c r="BF35" s="21">
        <v>36.963999999999999</v>
      </c>
      <c r="BG35" s="21">
        <v>38.543999999999997</v>
      </c>
      <c r="BH35" s="21">
        <v>40.113</v>
      </c>
      <c r="BI35" s="21">
        <v>41.268999999999998</v>
      </c>
      <c r="BJ35" s="21">
        <v>43.195999999999998</v>
      </c>
      <c r="BK35" s="21">
        <v>44.64</v>
      </c>
      <c r="BL35" s="21">
        <v>46.752000000000002</v>
      </c>
      <c r="BM35" s="21">
        <v>49.152999999999999</v>
      </c>
      <c r="BN35" s="21">
        <v>50.953000000000003</v>
      </c>
      <c r="BO35" s="21">
        <v>52.69</v>
      </c>
      <c r="BP35" s="21">
        <v>54.002000000000002</v>
      </c>
      <c r="BQ35" s="21">
        <v>55.393999999999998</v>
      </c>
      <c r="BR35" s="21">
        <v>56.871000000000002</v>
      </c>
      <c r="BS35" s="21">
        <v>58.177</v>
      </c>
      <c r="BT35" s="21">
        <v>59.470999999999997</v>
      </c>
      <c r="BU35" s="21">
        <v>60.63</v>
      </c>
      <c r="BV35" s="21">
        <v>63.008000000000003</v>
      </c>
      <c r="BW35" s="21">
        <v>66.031999999999996</v>
      </c>
      <c r="BX35" s="21">
        <v>68.281000000000006</v>
      </c>
      <c r="BY35" s="21">
        <v>69.814999999999998</v>
      </c>
      <c r="BZ35" s="21">
        <v>72.05</v>
      </c>
      <c r="CA35" s="21">
        <v>75.369</v>
      </c>
      <c r="CB35" s="21">
        <v>79.608999999999995</v>
      </c>
      <c r="CC35" s="21">
        <v>83.617000000000004</v>
      </c>
      <c r="CD35" s="21">
        <v>88.132999999999996</v>
      </c>
      <c r="CE35" s="21">
        <v>92.558000000000007</v>
      </c>
      <c r="CF35" s="21">
        <v>92.048000000000002</v>
      </c>
      <c r="CG35" s="21">
        <v>94.668999999999997</v>
      </c>
      <c r="CH35" s="21">
        <v>97.739000000000004</v>
      </c>
      <c r="CI35" s="21">
        <v>100</v>
      </c>
      <c r="CJ35" s="21">
        <v>103.279</v>
      </c>
      <c r="CK35" s="21">
        <v>105.645</v>
      </c>
      <c r="CL35" s="21">
        <v>105.598</v>
      </c>
      <c r="CM35" s="21">
        <v>105.77</v>
      </c>
      <c r="CN35" s="21">
        <v>108.45</v>
      </c>
      <c r="CO35" s="21">
        <v>112.77500000000001</v>
      </c>
      <c r="CP35" s="21">
        <v>114.96899999999999</v>
      </c>
      <c r="CQ35" s="21">
        <v>116.818</v>
      </c>
      <c r="CR35" s="21">
        <v>122.672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P100"/>
  <sheetViews>
    <sheetView zoomScale="112" zoomScaleNormal="112" workbookViewId="0"/>
  </sheetViews>
  <sheetFormatPr defaultColWidth="9.33203125" defaultRowHeight="14.4" x14ac:dyDescent="0.3"/>
  <cols>
    <col min="1" max="11" width="9.33203125" style="23"/>
    <col min="12" max="12" width="10.6640625" style="23" bestFit="1" customWidth="1"/>
    <col min="13" max="16384" width="9.33203125" style="23"/>
  </cols>
  <sheetData>
    <row r="1" spans="1:15" x14ac:dyDescent="0.3">
      <c r="A1" t="s">
        <v>430</v>
      </c>
      <c r="B1"/>
      <c r="C1"/>
      <c r="L1"/>
      <c r="M1"/>
      <c r="N1"/>
      <c r="O1" s="23" t="s">
        <v>431</v>
      </c>
    </row>
    <row r="2" spans="1:15" x14ac:dyDescent="0.3">
      <c r="A2" s="229" t="s">
        <v>432</v>
      </c>
      <c r="B2"/>
      <c r="C2" t="s">
        <v>433</v>
      </c>
      <c r="D2" s="298"/>
      <c r="E2"/>
      <c r="F2"/>
      <c r="G2"/>
      <c r="H2"/>
    </row>
    <row r="3" spans="1:15" x14ac:dyDescent="0.3">
      <c r="A3"/>
      <c r="B3"/>
      <c r="C3"/>
      <c r="L3"/>
      <c r="M3"/>
      <c r="N3"/>
    </row>
    <row r="4" spans="1:15" x14ac:dyDescent="0.3">
      <c r="A4"/>
      <c r="B4"/>
      <c r="C4"/>
      <c r="L4"/>
      <c r="M4"/>
      <c r="N4"/>
    </row>
    <row r="5" spans="1:15" x14ac:dyDescent="0.3">
      <c r="A5"/>
      <c r="B5"/>
      <c r="C5"/>
      <c r="L5"/>
      <c r="M5"/>
      <c r="N5"/>
    </row>
    <row r="6" spans="1:15" x14ac:dyDescent="0.3">
      <c r="A6"/>
      <c r="B6"/>
      <c r="C6"/>
      <c r="L6"/>
      <c r="M6"/>
      <c r="N6"/>
    </row>
    <row r="7" spans="1:15" x14ac:dyDescent="0.3">
      <c r="A7"/>
      <c r="B7"/>
      <c r="C7"/>
      <c r="L7"/>
      <c r="M7"/>
      <c r="N7"/>
    </row>
    <row r="8" spans="1:15" x14ac:dyDescent="0.3">
      <c r="A8"/>
      <c r="B8"/>
      <c r="C8"/>
      <c r="L8"/>
      <c r="M8"/>
      <c r="N8"/>
    </row>
    <row r="9" spans="1:15" x14ac:dyDescent="0.3">
      <c r="A9"/>
      <c r="B9"/>
      <c r="C9"/>
      <c r="L9"/>
      <c r="M9"/>
      <c r="N9"/>
    </row>
    <row r="10" spans="1:15" x14ac:dyDescent="0.3">
      <c r="A10"/>
      <c r="B10"/>
      <c r="C10"/>
    </row>
    <row r="11" spans="1:15" x14ac:dyDescent="0.3">
      <c r="A11"/>
      <c r="B11"/>
      <c r="C11"/>
      <c r="L11" t="s">
        <v>434</v>
      </c>
      <c r="M11"/>
      <c r="N11"/>
    </row>
    <row r="12" spans="1:15" x14ac:dyDescent="0.3">
      <c r="A12"/>
      <c r="B12"/>
      <c r="C12"/>
      <c r="L12" t="s">
        <v>435</v>
      </c>
      <c r="M12" s="19" t="s">
        <v>66</v>
      </c>
      <c r="N12" t="s">
        <v>432</v>
      </c>
    </row>
    <row r="13" spans="1:15" x14ac:dyDescent="0.3">
      <c r="A13"/>
      <c r="B13"/>
      <c r="C13"/>
      <c r="L13" s="34">
        <v>37622</v>
      </c>
      <c r="M13" s="87">
        <f>YEAR(L13)</f>
        <v>2003</v>
      </c>
      <c r="N13" s="30">
        <f ca="1">AVERAGEIF($A$17:$C$100,M13,C$17:C$100)</f>
        <v>89.25</v>
      </c>
    </row>
    <row r="14" spans="1:15" x14ac:dyDescent="0.3">
      <c r="A14"/>
      <c r="B14"/>
      <c r="C14"/>
      <c r="L14" s="34">
        <v>37987</v>
      </c>
      <c r="M14" s="87">
        <f>YEAR(L14)</f>
        <v>2004</v>
      </c>
      <c r="N14" s="30">
        <f t="shared" ref="N14:N33" ca="1" si="0">AVERAGEIF($A$17:$C$100,M14,C$17:C$100)</f>
        <v>94.35</v>
      </c>
      <c r="O14" s="368">
        <f ca="1">LN(N14/N13)</f>
        <v>5.5569851154810786E-2</v>
      </c>
    </row>
    <row r="15" spans="1:15" x14ac:dyDescent="0.3">
      <c r="A15"/>
      <c r="B15"/>
      <c r="C15"/>
      <c r="L15" s="34">
        <v>38353</v>
      </c>
      <c r="M15" s="87">
        <f>YEAR(L15)</f>
        <v>2005</v>
      </c>
      <c r="N15" s="30">
        <f t="shared" ca="1" si="0"/>
        <v>99.224999999999994</v>
      </c>
      <c r="O15" s="368">
        <f t="shared" ref="O15:O33" ca="1" si="1">LN(N15/N14)</f>
        <v>5.0378726854569796E-2</v>
      </c>
    </row>
    <row r="16" spans="1:15" s="24" customFormat="1" x14ac:dyDescent="0.3">
      <c r="A16" s="365" t="s">
        <v>66</v>
      </c>
      <c r="B16" s="19" t="s">
        <v>436</v>
      </c>
      <c r="C16" s="19" t="s">
        <v>437</v>
      </c>
      <c r="L16" s="34">
        <v>38718</v>
      </c>
      <c r="M16" s="87">
        <f>YEAR(L16)</f>
        <v>2006</v>
      </c>
      <c r="N16" s="30">
        <f t="shared" ca="1" si="0"/>
        <v>109.4</v>
      </c>
      <c r="O16" s="368">
        <f t="shared" ca="1" si="1"/>
        <v>9.7620891318751846E-2</v>
      </c>
    </row>
    <row r="17" spans="1:16" s="24" customFormat="1" x14ac:dyDescent="0.3">
      <c r="A17" s="365">
        <v>2003</v>
      </c>
      <c r="B17" t="s">
        <v>438</v>
      </c>
      <c r="C17">
        <v>87.9</v>
      </c>
      <c r="L17" s="34">
        <v>39083</v>
      </c>
      <c r="M17" s="87">
        <f>YEAR(L17)</f>
        <v>2007</v>
      </c>
      <c r="N17" s="30">
        <f t="shared" ca="1" si="0"/>
        <v>104.52499999999999</v>
      </c>
      <c r="O17" s="368">
        <f t="shared" ca="1" si="1"/>
        <v>-4.5584612745252218E-2</v>
      </c>
    </row>
    <row r="18" spans="1:16" x14ac:dyDescent="0.3">
      <c r="A18" s="365">
        <v>2003</v>
      </c>
      <c r="B18" t="s">
        <v>439</v>
      </c>
      <c r="C18">
        <v>88.6</v>
      </c>
      <c r="L18" s="34">
        <v>39448</v>
      </c>
      <c r="M18" s="87">
        <f t="shared" ref="M18:M33" si="2">YEAR(L18)</f>
        <v>2008</v>
      </c>
      <c r="N18" s="30">
        <f t="shared" ca="1" si="0"/>
        <v>107.9</v>
      </c>
      <c r="O18" s="368">
        <f t="shared" ca="1" si="1"/>
        <v>3.1778595021460486E-2</v>
      </c>
    </row>
    <row r="19" spans="1:16" x14ac:dyDescent="0.3">
      <c r="A19" s="365">
        <v>2003</v>
      </c>
      <c r="B19" t="s">
        <v>440</v>
      </c>
      <c r="C19">
        <v>89.7</v>
      </c>
      <c r="L19" s="34">
        <v>39814</v>
      </c>
      <c r="M19" s="87">
        <f t="shared" si="2"/>
        <v>2009</v>
      </c>
      <c r="N19" s="30">
        <f t="shared" ca="1" si="0"/>
        <v>110.925</v>
      </c>
      <c r="O19" s="368">
        <f t="shared" ca="1" si="1"/>
        <v>2.7649425000884052E-2</v>
      </c>
    </row>
    <row r="20" spans="1:16" x14ac:dyDescent="0.3">
      <c r="A20" s="365">
        <v>2003</v>
      </c>
      <c r="B20" t="s">
        <v>441</v>
      </c>
      <c r="C20">
        <v>90.8</v>
      </c>
      <c r="L20" s="34">
        <v>40179</v>
      </c>
      <c r="M20" s="87">
        <f t="shared" si="2"/>
        <v>2010</v>
      </c>
      <c r="N20" s="30">
        <f t="shared" ca="1" si="0"/>
        <v>116.925</v>
      </c>
      <c r="O20" s="368">
        <f t="shared" ca="1" si="1"/>
        <v>5.2678406346976722E-2</v>
      </c>
    </row>
    <row r="21" spans="1:16" x14ac:dyDescent="0.3">
      <c r="A21" s="365">
        <v>2004</v>
      </c>
      <c r="B21" t="s">
        <v>438</v>
      </c>
      <c r="C21">
        <v>92.2</v>
      </c>
      <c r="L21" s="34">
        <v>40544</v>
      </c>
      <c r="M21" s="87">
        <f t="shared" si="2"/>
        <v>2011</v>
      </c>
      <c r="N21" s="30">
        <f t="shared" ca="1" si="0"/>
        <v>120.875</v>
      </c>
      <c r="O21" s="368">
        <f t="shared" ca="1" si="1"/>
        <v>3.3224250161508609E-2</v>
      </c>
    </row>
    <row r="22" spans="1:16" x14ac:dyDescent="0.3">
      <c r="A22" s="365">
        <v>2004</v>
      </c>
      <c r="B22" t="s">
        <v>439</v>
      </c>
      <c r="C22">
        <v>94.3</v>
      </c>
      <c r="L22" s="34">
        <v>40909</v>
      </c>
      <c r="M22" s="87">
        <f t="shared" si="2"/>
        <v>2012</v>
      </c>
      <c r="N22" s="30">
        <f t="shared" ca="1" si="0"/>
        <v>124.80000000000001</v>
      </c>
      <c r="O22" s="368">
        <f t="shared" ca="1" si="1"/>
        <v>3.1955502161869064E-2</v>
      </c>
    </row>
    <row r="23" spans="1:16" x14ac:dyDescent="0.3">
      <c r="A23" s="365">
        <v>2004</v>
      </c>
      <c r="B23" t="s">
        <v>440</v>
      </c>
      <c r="C23">
        <v>95.2</v>
      </c>
      <c r="L23" s="34">
        <v>41275</v>
      </c>
      <c r="M23" s="87">
        <f t="shared" si="2"/>
        <v>2013</v>
      </c>
      <c r="N23" s="30">
        <f t="shared" ca="1" si="0"/>
        <v>126.8</v>
      </c>
      <c r="O23" s="368">
        <f t="shared" ca="1" si="1"/>
        <v>1.5898586067798204E-2</v>
      </c>
    </row>
    <row r="24" spans="1:16" x14ac:dyDescent="0.3">
      <c r="A24" s="365">
        <v>2004</v>
      </c>
      <c r="B24" t="s">
        <v>441</v>
      </c>
      <c r="C24">
        <v>95.7</v>
      </c>
      <c r="L24" s="34">
        <v>41640</v>
      </c>
      <c r="M24" s="87">
        <f t="shared" si="2"/>
        <v>2014</v>
      </c>
      <c r="N24" s="30">
        <f t="shared" ca="1" si="0"/>
        <v>129.4</v>
      </c>
      <c r="O24" s="368">
        <f t="shared" ca="1" si="1"/>
        <v>2.0297340063674733E-2</v>
      </c>
    </row>
    <row r="25" spans="1:16" x14ac:dyDescent="0.3">
      <c r="A25" s="365">
        <v>2005</v>
      </c>
      <c r="B25" t="s">
        <v>438</v>
      </c>
      <c r="C25">
        <v>98.1</v>
      </c>
      <c r="L25" s="34">
        <v>42005</v>
      </c>
      <c r="M25" s="87">
        <f t="shared" si="2"/>
        <v>2015</v>
      </c>
      <c r="N25" s="30">
        <f t="shared" ca="1" si="0"/>
        <v>133.5</v>
      </c>
      <c r="O25" s="368">
        <f t="shared" ca="1" si="1"/>
        <v>3.1193095773504077E-2</v>
      </c>
    </row>
    <row r="26" spans="1:16" x14ac:dyDescent="0.3">
      <c r="A26" s="365">
        <v>2005</v>
      </c>
      <c r="B26" t="s">
        <v>439</v>
      </c>
      <c r="C26">
        <v>98.7</v>
      </c>
      <c r="L26" s="34">
        <v>42370</v>
      </c>
      <c r="M26" s="87">
        <f t="shared" si="2"/>
        <v>2016</v>
      </c>
      <c r="N26" s="30">
        <f t="shared" ca="1" si="0"/>
        <v>136.94999999999999</v>
      </c>
      <c r="O26" s="368">
        <f t="shared" ca="1" si="1"/>
        <v>2.5514417868782811E-2</v>
      </c>
    </row>
    <row r="27" spans="1:16" x14ac:dyDescent="0.3">
      <c r="A27" s="365">
        <v>2005</v>
      </c>
      <c r="B27" t="s">
        <v>440</v>
      </c>
      <c r="C27">
        <v>99.5</v>
      </c>
      <c r="L27" s="34">
        <v>42736</v>
      </c>
      <c r="M27" s="87">
        <f t="shared" si="2"/>
        <v>2017</v>
      </c>
      <c r="N27" s="30">
        <f t="shared" ca="1" si="0"/>
        <v>140.44999999999999</v>
      </c>
      <c r="O27" s="368">
        <f t="shared" ca="1" si="1"/>
        <v>2.5235657841165486E-2</v>
      </c>
    </row>
    <row r="28" spans="1:16" x14ac:dyDescent="0.3">
      <c r="A28" s="365">
        <v>2005</v>
      </c>
      <c r="B28" t="s">
        <v>441</v>
      </c>
      <c r="C28">
        <v>100.6</v>
      </c>
      <c r="L28" s="34">
        <v>43101</v>
      </c>
      <c r="M28" s="87">
        <f t="shared" si="2"/>
        <v>2018</v>
      </c>
      <c r="N28" s="30">
        <f t="shared" ca="1" si="0"/>
        <v>144.44999999999999</v>
      </c>
      <c r="O28" s="368">
        <f t="shared" ca="1" si="1"/>
        <v>2.80818733619915E-2</v>
      </c>
    </row>
    <row r="29" spans="1:16" x14ac:dyDescent="0.3">
      <c r="A29" s="365">
        <v>2006</v>
      </c>
      <c r="B29" t="s">
        <v>438</v>
      </c>
      <c r="C29">
        <v>107.7</v>
      </c>
      <c r="L29" s="34">
        <v>43466</v>
      </c>
      <c r="M29" s="87">
        <f t="shared" si="2"/>
        <v>2019</v>
      </c>
      <c r="N29" s="30">
        <f t="shared" ca="1" si="0"/>
        <v>149.67500000000001</v>
      </c>
      <c r="O29" s="368">
        <f t="shared" ca="1" si="1"/>
        <v>3.5532849899171604E-2</v>
      </c>
    </row>
    <row r="30" spans="1:16" x14ac:dyDescent="0.3">
      <c r="A30" s="365">
        <v>2006</v>
      </c>
      <c r="B30" t="s">
        <v>439</v>
      </c>
      <c r="C30">
        <v>108.7</v>
      </c>
      <c r="L30" s="34">
        <v>43831</v>
      </c>
      <c r="M30" s="87">
        <f t="shared" si="2"/>
        <v>2020</v>
      </c>
      <c r="N30" s="30">
        <f t="shared" ca="1" si="0"/>
        <v>153.15</v>
      </c>
      <c r="O30" s="368">
        <f t="shared" ca="1" si="1"/>
        <v>2.2951556467368479E-2</v>
      </c>
    </row>
    <row r="31" spans="1:16" x14ac:dyDescent="0.3">
      <c r="A31" s="365">
        <v>2006</v>
      </c>
      <c r="B31" t="s">
        <v>440</v>
      </c>
      <c r="C31">
        <v>110.1</v>
      </c>
      <c r="L31" s="34">
        <v>44197</v>
      </c>
      <c r="M31" s="87">
        <f t="shared" si="2"/>
        <v>2021</v>
      </c>
      <c r="N31" s="30">
        <f t="shared" ca="1" si="0"/>
        <v>157.25</v>
      </c>
      <c r="O31" s="368">
        <f t="shared" ca="1" si="1"/>
        <v>2.6419062301765574E-2</v>
      </c>
    </row>
    <row r="32" spans="1:16" x14ac:dyDescent="0.3">
      <c r="A32" s="365">
        <v>2006</v>
      </c>
      <c r="B32" t="s">
        <v>441</v>
      </c>
      <c r="C32">
        <v>111.1</v>
      </c>
      <c r="L32" s="34">
        <v>44562</v>
      </c>
      <c r="M32" s="87">
        <f t="shared" si="2"/>
        <v>2022</v>
      </c>
      <c r="N32" s="30">
        <f t="shared" ca="1" si="0"/>
        <v>162.55000000000001</v>
      </c>
      <c r="O32" s="368">
        <f t="shared" ca="1" si="1"/>
        <v>3.3148751169364422E-2</v>
      </c>
      <c r="P32" s="369">
        <f ca="1">AVERAGE(O18:O32)</f>
        <v>2.9437291300485724E-2</v>
      </c>
    </row>
    <row r="33" spans="1:15" x14ac:dyDescent="0.3">
      <c r="A33" s="365">
        <v>2007</v>
      </c>
      <c r="B33" t="s">
        <v>438</v>
      </c>
      <c r="C33">
        <v>102.8</v>
      </c>
      <c r="L33" s="34">
        <v>44927</v>
      </c>
      <c r="M33" s="87">
        <f t="shared" si="2"/>
        <v>2023</v>
      </c>
      <c r="N33" s="30">
        <f t="shared" ca="1" si="0"/>
        <v>169.77500000000001</v>
      </c>
      <c r="O33" s="368">
        <f t="shared" ca="1" si="1"/>
        <v>4.3488384249940636E-2</v>
      </c>
    </row>
    <row r="34" spans="1:15" x14ac:dyDescent="0.3">
      <c r="A34" s="365">
        <v>2007</v>
      </c>
      <c r="B34" t="s">
        <v>439</v>
      </c>
      <c r="C34">
        <v>104.2</v>
      </c>
    </row>
    <row r="35" spans="1:15" x14ac:dyDescent="0.3">
      <c r="A35" s="365">
        <v>2007</v>
      </c>
      <c r="B35" t="s">
        <v>440</v>
      </c>
      <c r="C35">
        <v>104.9</v>
      </c>
    </row>
    <row r="36" spans="1:15" x14ac:dyDescent="0.3">
      <c r="A36" s="365">
        <v>2007</v>
      </c>
      <c r="B36" t="s">
        <v>441</v>
      </c>
      <c r="C36">
        <v>106.2</v>
      </c>
    </row>
    <row r="37" spans="1:15" x14ac:dyDescent="0.3">
      <c r="A37" s="365">
        <v>2008</v>
      </c>
      <c r="B37" t="s">
        <v>438</v>
      </c>
      <c r="C37">
        <v>106.5</v>
      </c>
    </row>
    <row r="38" spans="1:15" x14ac:dyDescent="0.3">
      <c r="A38" s="365">
        <v>2008</v>
      </c>
      <c r="B38" t="s">
        <v>439</v>
      </c>
      <c r="C38">
        <v>107.6</v>
      </c>
    </row>
    <row r="39" spans="1:15" x14ac:dyDescent="0.3">
      <c r="A39" s="365">
        <v>2008</v>
      </c>
      <c r="B39" t="s">
        <v>440</v>
      </c>
      <c r="C39">
        <v>108</v>
      </c>
    </row>
    <row r="40" spans="1:15" x14ac:dyDescent="0.3">
      <c r="A40" s="365">
        <v>2008</v>
      </c>
      <c r="B40" t="s">
        <v>441</v>
      </c>
      <c r="C40">
        <v>109.5</v>
      </c>
    </row>
    <row r="41" spans="1:15" x14ac:dyDescent="0.3">
      <c r="A41" s="365">
        <v>2009</v>
      </c>
      <c r="B41" t="s">
        <v>438</v>
      </c>
      <c r="C41">
        <v>109.6</v>
      </c>
    </row>
    <row r="42" spans="1:15" x14ac:dyDescent="0.3">
      <c r="A42" s="365">
        <v>2009</v>
      </c>
      <c r="B42" t="s">
        <v>439</v>
      </c>
      <c r="C42">
        <v>110.4</v>
      </c>
    </row>
    <row r="43" spans="1:15" x14ac:dyDescent="0.3">
      <c r="A43" s="365">
        <v>2009</v>
      </c>
      <c r="B43" t="s">
        <v>440</v>
      </c>
      <c r="C43">
        <v>111</v>
      </c>
    </row>
    <row r="44" spans="1:15" x14ac:dyDescent="0.3">
      <c r="A44" s="365">
        <v>2009</v>
      </c>
      <c r="B44" t="s">
        <v>441</v>
      </c>
      <c r="C44">
        <v>112.7</v>
      </c>
    </row>
    <row r="45" spans="1:15" x14ac:dyDescent="0.3">
      <c r="A45" s="365">
        <v>2010</v>
      </c>
      <c r="B45" t="s">
        <v>438</v>
      </c>
      <c r="C45">
        <v>115.5</v>
      </c>
    </row>
    <row r="46" spans="1:15" x14ac:dyDescent="0.3">
      <c r="A46" s="365">
        <v>2010</v>
      </c>
      <c r="B46" t="s">
        <v>439</v>
      </c>
      <c r="C46">
        <v>116.5</v>
      </c>
    </row>
    <row r="47" spans="1:15" x14ac:dyDescent="0.3">
      <c r="A47" s="365">
        <v>2010</v>
      </c>
      <c r="B47" t="s">
        <v>440</v>
      </c>
      <c r="C47">
        <v>117.7</v>
      </c>
    </row>
    <row r="48" spans="1:15" x14ac:dyDescent="0.3">
      <c r="A48" s="365">
        <v>2010</v>
      </c>
      <c r="B48" t="s">
        <v>441</v>
      </c>
      <c r="C48">
        <v>118</v>
      </c>
    </row>
    <row r="49" spans="1:3" x14ac:dyDescent="0.3">
      <c r="A49" s="365">
        <v>2011</v>
      </c>
      <c r="B49" t="s">
        <v>438</v>
      </c>
      <c r="C49">
        <v>119.4</v>
      </c>
    </row>
    <row r="50" spans="1:3" x14ac:dyDescent="0.3">
      <c r="A50" s="365">
        <v>2011</v>
      </c>
      <c r="B50" t="s">
        <v>439</v>
      </c>
      <c r="C50">
        <v>120.4</v>
      </c>
    </row>
    <row r="51" spans="1:3" x14ac:dyDescent="0.3">
      <c r="A51" s="365">
        <v>2011</v>
      </c>
      <c r="B51" t="s">
        <v>440</v>
      </c>
      <c r="C51">
        <v>121.5</v>
      </c>
    </row>
    <row r="52" spans="1:3" x14ac:dyDescent="0.3">
      <c r="A52" s="365">
        <v>2011</v>
      </c>
      <c r="B52" t="s">
        <v>441</v>
      </c>
      <c r="C52">
        <v>122.2</v>
      </c>
    </row>
    <row r="53" spans="1:3" x14ac:dyDescent="0.3">
      <c r="A53" s="365">
        <v>2012</v>
      </c>
      <c r="B53" t="s">
        <v>438</v>
      </c>
      <c r="C53">
        <v>122.9</v>
      </c>
    </row>
    <row r="54" spans="1:3" x14ac:dyDescent="0.3">
      <c r="A54" s="365">
        <v>2012</v>
      </c>
      <c r="B54" t="s">
        <v>439</v>
      </c>
      <c r="C54">
        <v>124.7</v>
      </c>
    </row>
    <row r="55" spans="1:3" x14ac:dyDescent="0.3">
      <c r="A55" s="365">
        <v>2012</v>
      </c>
      <c r="B55" t="s">
        <v>440</v>
      </c>
      <c r="C55">
        <v>125.3</v>
      </c>
    </row>
    <row r="56" spans="1:3" x14ac:dyDescent="0.3">
      <c r="A56" s="365">
        <v>2012</v>
      </c>
      <c r="B56" t="s">
        <v>441</v>
      </c>
      <c r="C56">
        <v>126.3</v>
      </c>
    </row>
    <row r="57" spans="1:3" x14ac:dyDescent="0.3">
      <c r="A57" s="365">
        <v>2013</v>
      </c>
      <c r="B57" t="s">
        <v>438</v>
      </c>
      <c r="C57">
        <v>126.5</v>
      </c>
    </row>
    <row r="58" spans="1:3" x14ac:dyDescent="0.3">
      <c r="A58" s="365">
        <v>2013</v>
      </c>
      <c r="B58" t="s">
        <v>439</v>
      </c>
      <c r="C58">
        <v>126.9</v>
      </c>
    </row>
    <row r="59" spans="1:3" x14ac:dyDescent="0.3">
      <c r="A59" s="365">
        <v>2013</v>
      </c>
      <c r="B59" t="s">
        <v>440</v>
      </c>
      <c r="C59">
        <v>126.3</v>
      </c>
    </row>
    <row r="60" spans="1:3" x14ac:dyDescent="0.3">
      <c r="A60" s="365">
        <v>2013</v>
      </c>
      <c r="B60" t="s">
        <v>441</v>
      </c>
      <c r="C60">
        <v>127.5</v>
      </c>
    </row>
    <row r="61" spans="1:3" x14ac:dyDescent="0.3">
      <c r="A61" s="365">
        <v>2014</v>
      </c>
      <c r="B61" t="s">
        <v>438</v>
      </c>
      <c r="C61">
        <v>128.19999999999999</v>
      </c>
    </row>
    <row r="62" spans="1:3" x14ac:dyDescent="0.3">
      <c r="A62" s="365">
        <v>2014</v>
      </c>
      <c r="B62" t="s">
        <v>439</v>
      </c>
      <c r="C62">
        <v>128.9</v>
      </c>
    </row>
    <row r="63" spans="1:3" x14ac:dyDescent="0.3">
      <c r="A63" s="365">
        <v>2014</v>
      </c>
      <c r="B63" t="s">
        <v>440</v>
      </c>
      <c r="C63">
        <v>129.9</v>
      </c>
    </row>
    <row r="64" spans="1:3" x14ac:dyDescent="0.3">
      <c r="A64" s="365">
        <v>2014</v>
      </c>
      <c r="B64" t="s">
        <v>441</v>
      </c>
      <c r="C64">
        <v>130.6</v>
      </c>
    </row>
    <row r="65" spans="1:3" x14ac:dyDescent="0.3">
      <c r="A65" s="365">
        <v>2015</v>
      </c>
      <c r="B65" t="s">
        <v>438</v>
      </c>
      <c r="C65">
        <v>132</v>
      </c>
    </row>
    <row r="66" spans="1:3" x14ac:dyDescent="0.3">
      <c r="A66" s="365">
        <v>2015</v>
      </c>
      <c r="B66" t="s">
        <v>439</v>
      </c>
      <c r="C66">
        <v>133</v>
      </c>
    </row>
    <row r="67" spans="1:3" x14ac:dyDescent="0.3">
      <c r="A67" s="365">
        <v>2015</v>
      </c>
      <c r="B67" t="s">
        <v>440</v>
      </c>
      <c r="C67">
        <v>134.1</v>
      </c>
    </row>
    <row r="68" spans="1:3" x14ac:dyDescent="0.3">
      <c r="A68" s="365">
        <v>2015</v>
      </c>
      <c r="B68" t="s">
        <v>441</v>
      </c>
      <c r="C68">
        <v>134.9</v>
      </c>
    </row>
    <row r="69" spans="1:3" x14ac:dyDescent="0.3">
      <c r="A69" s="365">
        <v>2016</v>
      </c>
      <c r="B69" t="s">
        <v>438</v>
      </c>
      <c r="C69">
        <v>135.6</v>
      </c>
    </row>
    <row r="70" spans="1:3" x14ac:dyDescent="0.3">
      <c r="A70" s="365">
        <v>2016</v>
      </c>
      <c r="B70" t="s">
        <v>439</v>
      </c>
      <c r="C70">
        <v>136.4</v>
      </c>
    </row>
    <row r="71" spans="1:3" x14ac:dyDescent="0.3">
      <c r="A71" s="365">
        <v>2016</v>
      </c>
      <c r="B71" t="s">
        <v>440</v>
      </c>
      <c r="C71">
        <v>137.4</v>
      </c>
    </row>
    <row r="72" spans="1:3" x14ac:dyDescent="0.3">
      <c r="A72" s="365">
        <v>2016</v>
      </c>
      <c r="B72" t="s">
        <v>441</v>
      </c>
      <c r="C72">
        <v>138.4</v>
      </c>
    </row>
    <row r="73" spans="1:3" x14ac:dyDescent="0.3">
      <c r="A73" s="365">
        <v>2017</v>
      </c>
      <c r="B73" t="s">
        <v>438</v>
      </c>
      <c r="C73">
        <v>139.1</v>
      </c>
    </row>
    <row r="74" spans="1:3" x14ac:dyDescent="0.3">
      <c r="A74" s="365">
        <v>2017</v>
      </c>
      <c r="B74" t="s">
        <v>439</v>
      </c>
      <c r="C74">
        <v>139.80000000000001</v>
      </c>
    </row>
    <row r="75" spans="1:3" x14ac:dyDescent="0.3">
      <c r="A75" s="365">
        <v>2017</v>
      </c>
      <c r="B75" t="s">
        <v>440</v>
      </c>
      <c r="C75">
        <v>141</v>
      </c>
    </row>
    <row r="76" spans="1:3" x14ac:dyDescent="0.3">
      <c r="A76" s="365">
        <v>2017</v>
      </c>
      <c r="B76" t="s">
        <v>441</v>
      </c>
      <c r="C76">
        <v>141.9</v>
      </c>
    </row>
    <row r="77" spans="1:3" x14ac:dyDescent="0.3">
      <c r="A77" s="365">
        <v>2018</v>
      </c>
      <c r="B77" t="s">
        <v>438</v>
      </c>
      <c r="C77">
        <v>143.19999999999999</v>
      </c>
    </row>
    <row r="78" spans="1:3" x14ac:dyDescent="0.3">
      <c r="A78" s="365">
        <v>2018</v>
      </c>
      <c r="B78" t="s">
        <v>439</v>
      </c>
      <c r="C78">
        <v>143.9</v>
      </c>
    </row>
    <row r="79" spans="1:3" x14ac:dyDescent="0.3">
      <c r="A79" s="365">
        <v>2018</v>
      </c>
      <c r="B79" t="s">
        <v>440</v>
      </c>
      <c r="C79">
        <v>145</v>
      </c>
    </row>
    <row r="80" spans="1:3" x14ac:dyDescent="0.3">
      <c r="A80" s="365">
        <v>2018</v>
      </c>
      <c r="B80" t="s">
        <v>441</v>
      </c>
      <c r="C80">
        <v>145.69999999999999</v>
      </c>
    </row>
    <row r="81" spans="1:3" x14ac:dyDescent="0.3">
      <c r="A81" s="365">
        <v>2019</v>
      </c>
      <c r="B81" t="s">
        <v>438</v>
      </c>
      <c r="C81">
        <v>148.19999999999999</v>
      </c>
    </row>
    <row r="82" spans="1:3" x14ac:dyDescent="0.3">
      <c r="A82" s="365">
        <v>2019</v>
      </c>
      <c r="B82" t="s">
        <v>439</v>
      </c>
      <c r="C82">
        <v>149.30000000000001</v>
      </c>
    </row>
    <row r="83" spans="1:3" x14ac:dyDescent="0.3">
      <c r="A83" s="365">
        <v>2019</v>
      </c>
      <c r="B83" t="s">
        <v>440</v>
      </c>
      <c r="C83">
        <v>150.1</v>
      </c>
    </row>
    <row r="84" spans="1:3" x14ac:dyDescent="0.3">
      <c r="A84" s="365">
        <v>2019</v>
      </c>
      <c r="B84" t="s">
        <v>441</v>
      </c>
      <c r="C84">
        <v>151.1</v>
      </c>
    </row>
    <row r="85" spans="1:3" x14ac:dyDescent="0.3">
      <c r="A85" s="365">
        <v>2020</v>
      </c>
      <c r="B85" t="s">
        <v>438</v>
      </c>
      <c r="C85">
        <v>151.5</v>
      </c>
    </row>
    <row r="86" spans="1:3" x14ac:dyDescent="0.3">
      <c r="A86" s="365">
        <v>2020</v>
      </c>
      <c r="B86" t="s">
        <v>439</v>
      </c>
      <c r="C86">
        <v>153</v>
      </c>
    </row>
    <row r="87" spans="1:3" x14ac:dyDescent="0.3">
      <c r="A87" s="365">
        <v>2020</v>
      </c>
      <c r="B87" t="s">
        <v>440</v>
      </c>
      <c r="C87">
        <v>153.5</v>
      </c>
    </row>
    <row r="88" spans="1:3" x14ac:dyDescent="0.3">
      <c r="A88" s="365">
        <v>2020</v>
      </c>
      <c r="B88" t="s">
        <v>441</v>
      </c>
      <c r="C88">
        <v>154.6</v>
      </c>
    </row>
    <row r="89" spans="1:3" x14ac:dyDescent="0.3">
      <c r="A89" s="365">
        <v>2021</v>
      </c>
      <c r="B89" t="s">
        <v>438</v>
      </c>
      <c r="C89">
        <v>155.4</v>
      </c>
    </row>
    <row r="90" spans="1:3" x14ac:dyDescent="0.3">
      <c r="A90" s="365">
        <v>2021</v>
      </c>
      <c r="B90" t="s">
        <v>439</v>
      </c>
      <c r="C90">
        <v>156.5</v>
      </c>
    </row>
    <row r="91" spans="1:3" x14ac:dyDescent="0.3">
      <c r="A91" s="365">
        <v>2021</v>
      </c>
      <c r="B91" t="s">
        <v>440</v>
      </c>
      <c r="C91">
        <v>158</v>
      </c>
    </row>
    <row r="92" spans="1:3" x14ac:dyDescent="0.3">
      <c r="A92" s="365">
        <v>2021</v>
      </c>
      <c r="B92" t="s">
        <v>441</v>
      </c>
      <c r="C92">
        <v>159.1</v>
      </c>
    </row>
    <row r="93" spans="1:3" x14ac:dyDescent="0.3">
      <c r="A93" s="365">
        <v>2022</v>
      </c>
      <c r="B93" t="s">
        <v>438</v>
      </c>
      <c r="C93">
        <v>160.5</v>
      </c>
    </row>
    <row r="94" spans="1:3" x14ac:dyDescent="0.3">
      <c r="A94" s="365">
        <v>2022</v>
      </c>
      <c r="B94" t="s">
        <v>439</v>
      </c>
      <c r="C94">
        <v>161.69999999999999</v>
      </c>
    </row>
    <row r="95" spans="1:3" x14ac:dyDescent="0.3">
      <c r="A95" s="365">
        <v>2022</v>
      </c>
      <c r="B95" t="s">
        <v>440</v>
      </c>
      <c r="C95">
        <v>163.19999999999999</v>
      </c>
    </row>
    <row r="96" spans="1:3" x14ac:dyDescent="0.3">
      <c r="A96" s="365">
        <v>2022</v>
      </c>
      <c r="B96" t="s">
        <v>441</v>
      </c>
      <c r="C96">
        <v>164.8</v>
      </c>
    </row>
    <row r="97" spans="1:3" x14ac:dyDescent="0.3">
      <c r="A97" s="365">
        <v>2023</v>
      </c>
      <c r="B97" t="s">
        <v>438</v>
      </c>
      <c r="C97">
        <v>166.5</v>
      </c>
    </row>
    <row r="98" spans="1:3" x14ac:dyDescent="0.3">
      <c r="A98" s="365">
        <v>2023</v>
      </c>
      <c r="B98" t="s">
        <v>439</v>
      </c>
      <c r="C98">
        <v>169</v>
      </c>
    </row>
    <row r="99" spans="1:3" x14ac:dyDescent="0.3">
      <c r="A99" s="365">
        <v>2023</v>
      </c>
      <c r="B99" t="s">
        <v>440</v>
      </c>
      <c r="C99">
        <v>171.1</v>
      </c>
    </row>
    <row r="100" spans="1:3" x14ac:dyDescent="0.3">
      <c r="A100" s="365">
        <v>2023</v>
      </c>
      <c r="B100" t="s">
        <v>441</v>
      </c>
      <c r="C100">
        <v>172.5</v>
      </c>
    </row>
  </sheetData>
  <pageMargins left="0.7" right="0.7" top="0.75" bottom="0.75" header="0.3" footer="0.3"/>
  <pageSetup orientation="landscape"/>
  <headerFooter>
    <oddHeader>&amp;CBureau of Labor Statistics</oddHeader>
    <oddFooter>&amp;LSource: Bureau of Labor Statistics&amp;RGenerated on: July 28, 2021 (12:35:54 PM)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D5ED-9F2E-47F0-BFBC-3A0569582E87}">
  <dimension ref="A1:J306"/>
  <sheetViews>
    <sheetView workbookViewId="0">
      <selection activeCell="A4" sqref="A4"/>
    </sheetView>
  </sheetViews>
  <sheetFormatPr defaultRowHeight="14.4" x14ac:dyDescent="0.3"/>
  <cols>
    <col min="1" max="5" width="18.33203125" customWidth="1"/>
    <col min="6" max="6" width="10.33203125" customWidth="1"/>
    <col min="7" max="255" width="18.33203125" customWidth="1"/>
  </cols>
  <sheetData>
    <row r="1" spans="1:10" x14ac:dyDescent="0.3">
      <c r="A1" t="s">
        <v>442</v>
      </c>
    </row>
    <row r="2" spans="1:10" x14ac:dyDescent="0.3">
      <c r="A2" t="s">
        <v>443</v>
      </c>
    </row>
    <row r="3" spans="1:10" x14ac:dyDescent="0.3">
      <c r="A3" t="s">
        <v>444</v>
      </c>
    </row>
    <row r="4" spans="1:10" x14ac:dyDescent="0.3">
      <c r="A4" t="s">
        <v>445</v>
      </c>
    </row>
    <row r="5" spans="1:10" x14ac:dyDescent="0.3">
      <c r="A5" t="s">
        <v>446</v>
      </c>
    </row>
    <row r="6" spans="1:10" x14ac:dyDescent="0.3">
      <c r="A6" t="s">
        <v>447</v>
      </c>
    </row>
    <row r="8" spans="1:10" x14ac:dyDescent="0.3">
      <c r="A8" t="s">
        <v>448</v>
      </c>
      <c r="B8" t="s">
        <v>449</v>
      </c>
    </row>
    <row r="9" spans="1:10" x14ac:dyDescent="0.3">
      <c r="A9" t="s">
        <v>450</v>
      </c>
      <c r="B9" t="s">
        <v>451</v>
      </c>
    </row>
    <row r="11" spans="1:10" x14ac:dyDescent="0.3">
      <c r="A11" t="s">
        <v>452</v>
      </c>
    </row>
    <row r="12" spans="1:10" x14ac:dyDescent="0.3">
      <c r="A12" t="s">
        <v>435</v>
      </c>
      <c r="B12" t="s">
        <v>453</v>
      </c>
      <c r="I12" s="34"/>
      <c r="J12" s="30"/>
    </row>
    <row r="13" spans="1:10" x14ac:dyDescent="0.3">
      <c r="A13" s="34">
        <v>35796</v>
      </c>
      <c r="B13" s="30">
        <v>6.61</v>
      </c>
      <c r="C13">
        <f t="shared" ref="C13" si="0">YEAR(A13)</f>
        <v>1998</v>
      </c>
      <c r="E13">
        <f>E15-1</f>
        <v>1999</v>
      </c>
      <c r="F13" s="25">
        <f t="shared" ref="F13:F36" si="1">AVERAGEIFS($B$13:$B$306,$C$13:$C$306,E13)/100</f>
        <v>7.0416666666666669E-2</v>
      </c>
      <c r="I13" s="34"/>
      <c r="J13" s="30"/>
    </row>
    <row r="14" spans="1:10" x14ac:dyDescent="0.3">
      <c r="A14" s="34">
        <v>35827</v>
      </c>
      <c r="B14" s="30">
        <v>6.67</v>
      </c>
      <c r="C14">
        <f t="shared" ref="C14:C78" si="2">YEAR(A14)</f>
        <v>1998</v>
      </c>
      <c r="E14">
        <f t="shared" ref="E14" si="3">E15-1</f>
        <v>1999</v>
      </c>
      <c r="F14" s="25">
        <f t="shared" si="1"/>
        <v>7.0416666666666669E-2</v>
      </c>
      <c r="I14" s="34"/>
      <c r="J14" s="30"/>
    </row>
    <row r="15" spans="1:10" x14ac:dyDescent="0.3">
      <c r="A15" s="34">
        <v>35855</v>
      </c>
      <c r="B15" s="30">
        <v>6.72</v>
      </c>
      <c r="C15">
        <f t="shared" si="2"/>
        <v>1998</v>
      </c>
      <c r="E15">
        <f>E16-1</f>
        <v>2000</v>
      </c>
      <c r="F15" s="25">
        <f t="shared" si="1"/>
        <v>7.6225000000000001E-2</v>
      </c>
      <c r="I15" s="34"/>
      <c r="J15" s="30"/>
    </row>
    <row r="16" spans="1:10" x14ac:dyDescent="0.3">
      <c r="A16" s="34">
        <v>35886</v>
      </c>
      <c r="B16" s="30">
        <v>6.69</v>
      </c>
      <c r="C16">
        <f t="shared" si="2"/>
        <v>1998</v>
      </c>
      <c r="E16">
        <v>2001</v>
      </c>
      <c r="F16" s="25">
        <f t="shared" si="1"/>
        <v>7.0824999999999999E-2</v>
      </c>
      <c r="I16" s="34"/>
      <c r="J16" s="30"/>
    </row>
    <row r="17" spans="1:10" x14ac:dyDescent="0.3">
      <c r="A17" s="34">
        <v>35916</v>
      </c>
      <c r="B17" s="30">
        <v>6.69</v>
      </c>
      <c r="C17">
        <f t="shared" si="2"/>
        <v>1998</v>
      </c>
      <c r="E17">
        <f>E16+1</f>
        <v>2002</v>
      </c>
      <c r="F17" s="25">
        <f t="shared" si="1"/>
        <v>6.4916666666666664E-2</v>
      </c>
      <c r="I17" s="34"/>
      <c r="J17" s="30"/>
    </row>
    <row r="18" spans="1:10" x14ac:dyDescent="0.3">
      <c r="A18" s="34">
        <v>35947</v>
      </c>
      <c r="B18" s="30">
        <v>6.53</v>
      </c>
      <c r="C18">
        <f t="shared" si="2"/>
        <v>1998</v>
      </c>
      <c r="E18">
        <f t="shared" ref="E18:E30" si="4">E17+1</f>
        <v>2003</v>
      </c>
      <c r="F18" s="25">
        <f t="shared" si="1"/>
        <v>5.6666666666666671E-2</v>
      </c>
      <c r="I18" s="34"/>
      <c r="J18" s="30"/>
    </row>
    <row r="19" spans="1:10" x14ac:dyDescent="0.3">
      <c r="A19" s="34">
        <v>35977</v>
      </c>
      <c r="B19" s="30">
        <v>6.55</v>
      </c>
      <c r="C19">
        <f t="shared" si="2"/>
        <v>1998</v>
      </c>
      <c r="E19">
        <f t="shared" si="4"/>
        <v>2004</v>
      </c>
      <c r="F19" s="25">
        <f t="shared" si="1"/>
        <v>5.6283333333333331E-2</v>
      </c>
      <c r="I19" s="34"/>
      <c r="J19" s="30"/>
    </row>
    <row r="20" spans="1:10" x14ac:dyDescent="0.3">
      <c r="A20" s="34">
        <v>36008</v>
      </c>
      <c r="B20" s="30">
        <v>6.52</v>
      </c>
      <c r="C20">
        <f t="shared" si="2"/>
        <v>1998</v>
      </c>
      <c r="E20">
        <f t="shared" si="4"/>
        <v>2005</v>
      </c>
      <c r="F20" s="25">
        <f t="shared" si="1"/>
        <v>5.2350000000000001E-2</v>
      </c>
      <c r="I20" s="34"/>
      <c r="J20" s="30"/>
    </row>
    <row r="21" spans="1:10" x14ac:dyDescent="0.3">
      <c r="A21" s="34">
        <v>36039</v>
      </c>
      <c r="B21" s="30">
        <v>6.4</v>
      </c>
      <c r="C21">
        <f t="shared" si="2"/>
        <v>1998</v>
      </c>
      <c r="E21">
        <f t="shared" si="4"/>
        <v>2006</v>
      </c>
      <c r="F21" s="25">
        <f t="shared" si="1"/>
        <v>5.5874999999999994E-2</v>
      </c>
      <c r="I21" s="34"/>
      <c r="J21" s="30"/>
    </row>
    <row r="22" spans="1:10" x14ac:dyDescent="0.3">
      <c r="A22" s="34">
        <v>36069</v>
      </c>
      <c r="B22" s="30">
        <v>6.37</v>
      </c>
      <c r="C22">
        <f t="shared" si="2"/>
        <v>1998</v>
      </c>
      <c r="E22">
        <f t="shared" si="4"/>
        <v>2007</v>
      </c>
      <c r="F22" s="25">
        <f t="shared" si="1"/>
        <v>5.5558333333333321E-2</v>
      </c>
      <c r="I22" s="34"/>
      <c r="J22" s="30"/>
    </row>
    <row r="23" spans="1:10" x14ac:dyDescent="0.3">
      <c r="A23" s="34">
        <v>36100</v>
      </c>
      <c r="B23" s="30">
        <v>6.41</v>
      </c>
      <c r="C23">
        <f t="shared" si="2"/>
        <v>1998</v>
      </c>
      <c r="E23">
        <f t="shared" si="4"/>
        <v>2008</v>
      </c>
      <c r="F23" s="25">
        <f t="shared" si="1"/>
        <v>5.6316666666666668E-2</v>
      </c>
      <c r="I23" s="34"/>
      <c r="J23" s="30"/>
    </row>
    <row r="24" spans="1:10" x14ac:dyDescent="0.3">
      <c r="A24" s="34">
        <v>36130</v>
      </c>
      <c r="B24" s="30">
        <v>6.22</v>
      </c>
      <c r="C24">
        <f t="shared" si="2"/>
        <v>1998</v>
      </c>
      <c r="E24">
        <f t="shared" si="4"/>
        <v>2009</v>
      </c>
      <c r="F24" s="25">
        <f t="shared" si="1"/>
        <v>5.3133333333333324E-2</v>
      </c>
      <c r="I24" s="34"/>
      <c r="J24" s="30"/>
    </row>
    <row r="25" spans="1:10" x14ac:dyDescent="0.3">
      <c r="A25" s="34">
        <v>36161</v>
      </c>
      <c r="B25" s="30">
        <v>6.24</v>
      </c>
      <c r="C25">
        <f t="shared" si="2"/>
        <v>1999</v>
      </c>
      <c r="E25">
        <f t="shared" si="4"/>
        <v>2010</v>
      </c>
      <c r="F25" s="25">
        <f t="shared" si="1"/>
        <v>4.9433333333333322E-2</v>
      </c>
      <c r="I25" s="34"/>
      <c r="J25" s="30"/>
    </row>
    <row r="26" spans="1:10" x14ac:dyDescent="0.3">
      <c r="A26" s="34">
        <v>36192</v>
      </c>
      <c r="B26" s="30">
        <v>6.4</v>
      </c>
      <c r="C26">
        <f t="shared" si="2"/>
        <v>1999</v>
      </c>
      <c r="E26">
        <f t="shared" si="4"/>
        <v>2011</v>
      </c>
      <c r="F26" s="25">
        <f t="shared" si="1"/>
        <v>4.6391666666666664E-2</v>
      </c>
      <c r="I26" s="34"/>
      <c r="J26" s="30"/>
    </row>
    <row r="27" spans="1:10" x14ac:dyDescent="0.3">
      <c r="A27" s="34">
        <v>36220</v>
      </c>
      <c r="B27" s="30">
        <v>6.62</v>
      </c>
      <c r="C27">
        <f t="shared" si="2"/>
        <v>1999</v>
      </c>
      <c r="E27">
        <f t="shared" si="4"/>
        <v>2012</v>
      </c>
      <c r="F27" s="25">
        <f t="shared" si="1"/>
        <v>3.6733333333333333E-2</v>
      </c>
      <c r="I27" s="34"/>
      <c r="J27" s="30"/>
    </row>
    <row r="28" spans="1:10" x14ac:dyDescent="0.3">
      <c r="A28" s="34">
        <v>36251</v>
      </c>
      <c r="B28" s="30">
        <v>6.64</v>
      </c>
      <c r="C28">
        <f t="shared" si="2"/>
        <v>1999</v>
      </c>
      <c r="E28">
        <f t="shared" si="4"/>
        <v>2013</v>
      </c>
      <c r="F28" s="25">
        <f t="shared" si="1"/>
        <v>4.2350000000000006E-2</v>
      </c>
      <c r="I28" s="34"/>
      <c r="J28" s="30"/>
    </row>
    <row r="29" spans="1:10" x14ac:dyDescent="0.3">
      <c r="A29" s="34">
        <v>36281</v>
      </c>
      <c r="B29" s="30">
        <v>6.93</v>
      </c>
      <c r="C29">
        <f t="shared" si="2"/>
        <v>1999</v>
      </c>
      <c r="E29">
        <f t="shared" si="4"/>
        <v>2014</v>
      </c>
      <c r="F29" s="25">
        <f t="shared" si="1"/>
        <v>4.1625000000000002E-2</v>
      </c>
      <c r="I29" s="34"/>
      <c r="J29" s="30"/>
    </row>
    <row r="30" spans="1:10" x14ac:dyDescent="0.3">
      <c r="A30" s="34">
        <v>36312</v>
      </c>
      <c r="B30" s="30">
        <v>7.23</v>
      </c>
      <c r="C30">
        <f t="shared" si="2"/>
        <v>1999</v>
      </c>
      <c r="E30">
        <f t="shared" si="4"/>
        <v>2015</v>
      </c>
      <c r="F30" s="25">
        <f t="shared" si="1"/>
        <v>3.8866666666666674E-2</v>
      </c>
      <c r="I30" s="34"/>
      <c r="J30" s="30"/>
    </row>
    <row r="31" spans="1:10" x14ac:dyDescent="0.3">
      <c r="A31" s="34">
        <v>36342</v>
      </c>
      <c r="B31" s="30">
        <v>7.19</v>
      </c>
      <c r="C31">
        <f t="shared" si="2"/>
        <v>1999</v>
      </c>
      <c r="E31">
        <v>2016</v>
      </c>
      <c r="F31" s="25">
        <f t="shared" si="1"/>
        <v>3.6658333333333334E-2</v>
      </c>
      <c r="I31" s="34"/>
      <c r="J31" s="30"/>
    </row>
    <row r="32" spans="1:10" x14ac:dyDescent="0.3">
      <c r="A32" s="34">
        <v>36373</v>
      </c>
      <c r="B32" s="30">
        <v>7.4</v>
      </c>
      <c r="C32">
        <f t="shared" si="2"/>
        <v>1999</v>
      </c>
      <c r="E32">
        <v>2017</v>
      </c>
      <c r="F32" s="25">
        <f t="shared" si="1"/>
        <v>3.7433333333333339E-2</v>
      </c>
      <c r="I32" s="34"/>
      <c r="J32" s="30"/>
    </row>
    <row r="33" spans="1:10" x14ac:dyDescent="0.3">
      <c r="A33" s="34">
        <v>36404</v>
      </c>
      <c r="B33" s="30">
        <v>7.39</v>
      </c>
      <c r="C33">
        <f t="shared" si="2"/>
        <v>1999</v>
      </c>
      <c r="E33">
        <v>2018</v>
      </c>
      <c r="F33" s="25">
        <f t="shared" si="1"/>
        <v>3.9299999999999995E-2</v>
      </c>
      <c r="I33" s="34"/>
      <c r="J33" s="30"/>
    </row>
    <row r="34" spans="1:10" x14ac:dyDescent="0.3">
      <c r="A34" s="34">
        <v>36434</v>
      </c>
      <c r="B34" s="30">
        <v>7.55</v>
      </c>
      <c r="C34">
        <f t="shared" si="2"/>
        <v>1999</v>
      </c>
      <c r="E34">
        <f>E33+1</f>
        <v>2019</v>
      </c>
      <c r="F34" s="25">
        <f t="shared" si="1"/>
        <v>3.3875000000000009E-2</v>
      </c>
      <c r="I34" s="34"/>
      <c r="J34" s="30"/>
    </row>
    <row r="35" spans="1:10" x14ac:dyDescent="0.3">
      <c r="A35" s="34">
        <v>36465</v>
      </c>
      <c r="B35" s="30">
        <v>7.36</v>
      </c>
      <c r="C35">
        <f t="shared" si="2"/>
        <v>1999</v>
      </c>
      <c r="E35">
        <f>E34+1</f>
        <v>2020</v>
      </c>
      <c r="F35" s="25">
        <f t="shared" si="1"/>
        <v>2.4766666666666666E-2</v>
      </c>
      <c r="I35" s="34"/>
      <c r="J35" s="30"/>
    </row>
    <row r="36" spans="1:10" x14ac:dyDescent="0.3">
      <c r="A36" s="34">
        <v>36495</v>
      </c>
      <c r="B36" s="30">
        <v>7.55</v>
      </c>
      <c r="C36">
        <f t="shared" si="2"/>
        <v>1999</v>
      </c>
      <c r="E36">
        <f>E35+1</f>
        <v>2021</v>
      </c>
      <c r="F36" s="25">
        <f t="shared" si="1"/>
        <v>2.7033333333333336E-2</v>
      </c>
      <c r="I36" s="34"/>
      <c r="J36" s="30"/>
    </row>
    <row r="37" spans="1:10" x14ac:dyDescent="0.3">
      <c r="A37" s="34">
        <v>36526</v>
      </c>
      <c r="B37" s="30">
        <v>7.78</v>
      </c>
      <c r="C37">
        <f t="shared" si="2"/>
        <v>2000</v>
      </c>
      <c r="E37" s="35" t="s">
        <v>454</v>
      </c>
      <c r="F37" s="36">
        <f>AVERAGE(F22:F36)</f>
        <v>4.1298333333333333E-2</v>
      </c>
      <c r="G37" s="42" t="s">
        <v>455</v>
      </c>
      <c r="I37" s="34"/>
      <c r="J37" s="30"/>
    </row>
    <row r="38" spans="1:10" x14ac:dyDescent="0.3">
      <c r="A38" s="34">
        <v>36557</v>
      </c>
      <c r="B38" s="30">
        <v>7.68</v>
      </c>
      <c r="C38">
        <f t="shared" si="2"/>
        <v>2000</v>
      </c>
      <c r="I38" s="34"/>
      <c r="J38" s="30"/>
    </row>
    <row r="39" spans="1:10" x14ac:dyDescent="0.3">
      <c r="A39" s="34">
        <v>36586</v>
      </c>
      <c r="B39" s="30">
        <v>7.68</v>
      </c>
      <c r="C39">
        <f t="shared" si="2"/>
        <v>2000</v>
      </c>
      <c r="I39" s="34"/>
      <c r="J39" s="30"/>
    </row>
    <row r="40" spans="1:10" x14ac:dyDescent="0.3">
      <c r="A40" s="34">
        <v>36617</v>
      </c>
      <c r="B40" s="30">
        <v>7.64</v>
      </c>
      <c r="C40">
        <f t="shared" si="2"/>
        <v>2000</v>
      </c>
      <c r="I40" s="34"/>
      <c r="J40" s="30"/>
    </row>
    <row r="41" spans="1:10" x14ac:dyDescent="0.3">
      <c r="A41" s="34">
        <v>36647</v>
      </c>
      <c r="B41" s="30">
        <v>7.99</v>
      </c>
      <c r="C41">
        <f t="shared" si="2"/>
        <v>2000</v>
      </c>
      <c r="I41" s="34"/>
      <c r="J41" s="30"/>
    </row>
    <row r="42" spans="1:10" x14ac:dyDescent="0.3">
      <c r="A42" s="34">
        <v>36678</v>
      </c>
      <c r="B42" s="30">
        <v>7.67</v>
      </c>
      <c r="C42">
        <f t="shared" si="2"/>
        <v>2000</v>
      </c>
      <c r="I42" s="34"/>
      <c r="J42" s="30"/>
    </row>
    <row r="43" spans="1:10" x14ac:dyDescent="0.3">
      <c r="A43" s="34">
        <v>36708</v>
      </c>
      <c r="B43" s="30">
        <v>7.65</v>
      </c>
      <c r="C43">
        <f t="shared" si="2"/>
        <v>2000</v>
      </c>
      <c r="I43" s="34"/>
      <c r="J43" s="30"/>
    </row>
    <row r="44" spans="1:10" x14ac:dyDescent="0.3">
      <c r="A44" s="34">
        <v>36739</v>
      </c>
      <c r="B44" s="30">
        <v>7.55</v>
      </c>
      <c r="C44">
        <f t="shared" si="2"/>
        <v>2000</v>
      </c>
      <c r="I44" s="34"/>
      <c r="J44" s="30"/>
    </row>
    <row r="45" spans="1:10" x14ac:dyDescent="0.3">
      <c r="A45" s="34">
        <v>36770</v>
      </c>
      <c r="B45" s="30">
        <v>7.62</v>
      </c>
      <c r="C45">
        <f t="shared" si="2"/>
        <v>2000</v>
      </c>
      <c r="I45" s="34"/>
      <c r="J45" s="30"/>
    </row>
    <row r="46" spans="1:10" x14ac:dyDescent="0.3">
      <c r="A46" s="34">
        <v>36800</v>
      </c>
      <c r="B46" s="30">
        <v>7.55</v>
      </c>
      <c r="C46">
        <f t="shared" si="2"/>
        <v>2000</v>
      </c>
      <c r="I46" s="34"/>
      <c r="J46" s="30"/>
    </row>
    <row r="47" spans="1:10" x14ac:dyDescent="0.3">
      <c r="A47" s="34">
        <v>36831</v>
      </c>
      <c r="B47" s="30">
        <v>7.45</v>
      </c>
      <c r="C47">
        <f t="shared" si="2"/>
        <v>2000</v>
      </c>
      <c r="I47" s="34"/>
      <c r="J47" s="30"/>
    </row>
    <row r="48" spans="1:10" x14ac:dyDescent="0.3">
      <c r="A48" s="34">
        <v>36861</v>
      </c>
      <c r="B48" s="30">
        <v>7.21</v>
      </c>
      <c r="C48">
        <f t="shared" si="2"/>
        <v>2000</v>
      </c>
      <c r="I48" s="34"/>
      <c r="J48" s="30"/>
    </row>
    <row r="49" spans="1:10" x14ac:dyDescent="0.3">
      <c r="A49" s="34">
        <v>36892</v>
      </c>
      <c r="B49" s="30">
        <v>7.15</v>
      </c>
      <c r="C49">
        <f t="shared" si="2"/>
        <v>2001</v>
      </c>
      <c r="I49" s="34"/>
      <c r="J49" s="30"/>
    </row>
    <row r="50" spans="1:10" x14ac:dyDescent="0.3">
      <c r="A50" s="34">
        <v>36923</v>
      </c>
      <c r="B50" s="30">
        <v>7.1</v>
      </c>
      <c r="C50">
        <f t="shared" si="2"/>
        <v>2001</v>
      </c>
      <c r="I50" s="34"/>
      <c r="J50" s="30"/>
    </row>
    <row r="51" spans="1:10" x14ac:dyDescent="0.3">
      <c r="A51" s="34">
        <v>36951</v>
      </c>
      <c r="B51" s="30">
        <v>6.98</v>
      </c>
      <c r="C51">
        <f t="shared" si="2"/>
        <v>2001</v>
      </c>
      <c r="I51" s="34"/>
      <c r="J51" s="30"/>
    </row>
    <row r="52" spans="1:10" x14ac:dyDescent="0.3">
      <c r="A52" s="34">
        <v>36982</v>
      </c>
      <c r="B52" s="30">
        <v>7.2</v>
      </c>
      <c r="C52">
        <f t="shared" si="2"/>
        <v>2001</v>
      </c>
      <c r="I52" s="34"/>
      <c r="J52" s="30"/>
    </row>
    <row r="53" spans="1:10" x14ac:dyDescent="0.3">
      <c r="A53" s="34">
        <v>37012</v>
      </c>
      <c r="B53" s="30">
        <v>7.29</v>
      </c>
      <c r="C53">
        <f t="shared" si="2"/>
        <v>2001</v>
      </c>
      <c r="I53" s="34"/>
      <c r="J53" s="30"/>
    </row>
    <row r="54" spans="1:10" x14ac:dyDescent="0.3">
      <c r="A54" s="34">
        <v>37043</v>
      </c>
      <c r="B54" s="30">
        <v>7.18</v>
      </c>
      <c r="C54">
        <f t="shared" si="2"/>
        <v>2001</v>
      </c>
      <c r="I54" s="34"/>
      <c r="J54" s="30"/>
    </row>
    <row r="55" spans="1:10" x14ac:dyDescent="0.3">
      <c r="A55" s="34">
        <v>37073</v>
      </c>
      <c r="B55" s="30">
        <v>7.13</v>
      </c>
      <c r="C55">
        <f t="shared" si="2"/>
        <v>2001</v>
      </c>
      <c r="I55" s="34"/>
      <c r="J55" s="30"/>
    </row>
    <row r="56" spans="1:10" x14ac:dyDescent="0.3">
      <c r="A56" s="34">
        <v>37104</v>
      </c>
      <c r="B56" s="30">
        <v>7.02</v>
      </c>
      <c r="C56">
        <f t="shared" si="2"/>
        <v>2001</v>
      </c>
      <c r="I56" s="34"/>
      <c r="J56" s="30"/>
    </row>
    <row r="57" spans="1:10" x14ac:dyDescent="0.3">
      <c r="A57" s="34">
        <v>37135</v>
      </c>
      <c r="B57" s="30">
        <v>7.17</v>
      </c>
      <c r="C57">
        <f t="shared" si="2"/>
        <v>2001</v>
      </c>
      <c r="I57" s="34"/>
      <c r="J57" s="30"/>
    </row>
    <row r="58" spans="1:10" x14ac:dyDescent="0.3">
      <c r="A58" s="34">
        <v>37165</v>
      </c>
      <c r="B58" s="30">
        <v>7.03</v>
      </c>
      <c r="C58">
        <f t="shared" si="2"/>
        <v>2001</v>
      </c>
      <c r="I58" s="34"/>
      <c r="J58" s="30"/>
    </row>
    <row r="59" spans="1:10" x14ac:dyDescent="0.3">
      <c r="A59" s="34">
        <v>37196</v>
      </c>
      <c r="B59" s="30">
        <v>6.97</v>
      </c>
      <c r="C59">
        <f t="shared" si="2"/>
        <v>2001</v>
      </c>
      <c r="I59" s="34"/>
      <c r="J59" s="30"/>
    </row>
    <row r="60" spans="1:10" x14ac:dyDescent="0.3">
      <c r="A60" s="34">
        <v>37226</v>
      </c>
      <c r="B60" s="30">
        <v>6.77</v>
      </c>
      <c r="C60">
        <f t="shared" si="2"/>
        <v>2001</v>
      </c>
      <c r="I60" s="34"/>
      <c r="J60" s="30"/>
    </row>
    <row r="61" spans="1:10" x14ac:dyDescent="0.3">
      <c r="A61" s="34">
        <v>37257</v>
      </c>
      <c r="B61" s="30">
        <v>6.55</v>
      </c>
      <c r="C61">
        <f t="shared" si="2"/>
        <v>2002</v>
      </c>
      <c r="I61" s="34"/>
      <c r="J61" s="30"/>
    </row>
    <row r="62" spans="1:10" x14ac:dyDescent="0.3">
      <c r="A62" s="34">
        <v>37288</v>
      </c>
      <c r="B62" s="30">
        <v>6.51</v>
      </c>
      <c r="C62">
        <f t="shared" si="2"/>
        <v>2002</v>
      </c>
      <c r="I62" s="34"/>
      <c r="J62" s="30"/>
    </row>
    <row r="63" spans="1:10" x14ac:dyDescent="0.3">
      <c r="A63" s="34">
        <v>37316</v>
      </c>
      <c r="B63" s="30">
        <v>6.81</v>
      </c>
      <c r="C63">
        <f t="shared" si="2"/>
        <v>2002</v>
      </c>
      <c r="I63" s="34"/>
      <c r="J63" s="30"/>
    </row>
    <row r="64" spans="1:10" x14ac:dyDescent="0.3">
      <c r="A64" s="34">
        <v>37347</v>
      </c>
      <c r="B64" s="30">
        <v>6.76</v>
      </c>
      <c r="C64">
        <f t="shared" si="2"/>
        <v>2002</v>
      </c>
      <c r="I64" s="34"/>
      <c r="J64" s="30"/>
    </row>
    <row r="65" spans="1:10" x14ac:dyDescent="0.3">
      <c r="A65" s="34">
        <v>37377</v>
      </c>
      <c r="B65" s="30">
        <v>6.75</v>
      </c>
      <c r="C65">
        <f t="shared" si="2"/>
        <v>2002</v>
      </c>
      <c r="I65" s="34"/>
      <c r="J65" s="30"/>
    </row>
    <row r="66" spans="1:10" x14ac:dyDescent="0.3">
      <c r="A66" s="34">
        <v>37408</v>
      </c>
      <c r="B66" s="30">
        <v>6.63</v>
      </c>
      <c r="C66">
        <f t="shared" si="2"/>
        <v>2002</v>
      </c>
      <c r="I66" s="34"/>
      <c r="J66" s="30"/>
    </row>
    <row r="67" spans="1:10" x14ac:dyDescent="0.3">
      <c r="A67" s="34">
        <v>37438</v>
      </c>
      <c r="B67" s="30">
        <v>6.53</v>
      </c>
      <c r="C67">
        <f t="shared" si="2"/>
        <v>2002</v>
      </c>
      <c r="I67" s="34"/>
      <c r="J67" s="30"/>
    </row>
    <row r="68" spans="1:10" x14ac:dyDescent="0.3">
      <c r="A68" s="34">
        <v>37469</v>
      </c>
      <c r="B68" s="30">
        <v>6.37</v>
      </c>
      <c r="C68">
        <f t="shared" si="2"/>
        <v>2002</v>
      </c>
      <c r="I68" s="34"/>
      <c r="J68" s="30"/>
    </row>
    <row r="69" spans="1:10" x14ac:dyDescent="0.3">
      <c r="A69" s="34">
        <v>37500</v>
      </c>
      <c r="B69" s="30">
        <v>6.15</v>
      </c>
      <c r="C69">
        <f t="shared" si="2"/>
        <v>2002</v>
      </c>
      <c r="I69" s="34"/>
      <c r="J69" s="30"/>
    </row>
    <row r="70" spans="1:10" x14ac:dyDescent="0.3">
      <c r="A70" s="34">
        <v>37530</v>
      </c>
      <c r="B70" s="30">
        <v>6.32</v>
      </c>
      <c r="C70">
        <f t="shared" si="2"/>
        <v>2002</v>
      </c>
      <c r="I70" s="34"/>
      <c r="J70" s="30"/>
    </row>
    <row r="71" spans="1:10" x14ac:dyDescent="0.3">
      <c r="A71" s="34">
        <v>37561</v>
      </c>
      <c r="B71" s="30">
        <v>6.31</v>
      </c>
      <c r="C71">
        <f t="shared" si="2"/>
        <v>2002</v>
      </c>
      <c r="I71" s="34"/>
      <c r="J71" s="30"/>
    </row>
    <row r="72" spans="1:10" x14ac:dyDescent="0.3">
      <c r="A72" s="34">
        <v>37591</v>
      </c>
      <c r="B72" s="30">
        <v>6.21</v>
      </c>
      <c r="C72">
        <f t="shared" si="2"/>
        <v>2002</v>
      </c>
      <c r="I72" s="34"/>
      <c r="J72" s="30"/>
    </row>
    <row r="73" spans="1:10" x14ac:dyDescent="0.3">
      <c r="A73" s="34">
        <v>37622</v>
      </c>
      <c r="B73" s="30">
        <v>6.17</v>
      </c>
      <c r="C73">
        <f t="shared" si="2"/>
        <v>2003</v>
      </c>
      <c r="I73" s="34"/>
      <c r="J73" s="30"/>
    </row>
    <row r="74" spans="1:10" x14ac:dyDescent="0.3">
      <c r="A74" s="34">
        <v>37653</v>
      </c>
      <c r="B74" s="30">
        <v>5.95</v>
      </c>
      <c r="C74">
        <f t="shared" si="2"/>
        <v>2003</v>
      </c>
      <c r="I74" s="34"/>
      <c r="J74" s="30"/>
    </row>
    <row r="75" spans="1:10" x14ac:dyDescent="0.3">
      <c r="A75" s="34">
        <v>37681</v>
      </c>
      <c r="B75" s="30">
        <v>5.89</v>
      </c>
      <c r="C75">
        <f t="shared" si="2"/>
        <v>2003</v>
      </c>
      <c r="I75" s="34"/>
      <c r="J75" s="30"/>
    </row>
    <row r="76" spans="1:10" x14ac:dyDescent="0.3">
      <c r="A76" s="34">
        <v>37712</v>
      </c>
      <c r="B76" s="30">
        <v>5.74</v>
      </c>
      <c r="C76">
        <f t="shared" si="2"/>
        <v>2003</v>
      </c>
      <c r="I76" s="34"/>
      <c r="J76" s="30"/>
    </row>
    <row r="77" spans="1:10" x14ac:dyDescent="0.3">
      <c r="A77" s="34">
        <v>37742</v>
      </c>
      <c r="B77" s="30">
        <v>5.22</v>
      </c>
      <c r="C77">
        <f t="shared" si="2"/>
        <v>2003</v>
      </c>
      <c r="I77" s="34"/>
      <c r="J77" s="30"/>
    </row>
    <row r="78" spans="1:10" x14ac:dyDescent="0.3">
      <c r="A78" s="34">
        <v>37773</v>
      </c>
      <c r="B78" s="30">
        <v>4.97</v>
      </c>
      <c r="C78">
        <f t="shared" si="2"/>
        <v>2003</v>
      </c>
      <c r="I78" s="34"/>
      <c r="J78" s="30"/>
    </row>
    <row r="79" spans="1:10" x14ac:dyDescent="0.3">
      <c r="A79" s="34">
        <v>37803</v>
      </c>
      <c r="B79" s="30">
        <v>5.49</v>
      </c>
      <c r="C79">
        <f t="shared" ref="C79:C142" si="5">YEAR(A79)</f>
        <v>2003</v>
      </c>
      <c r="I79" s="34"/>
      <c r="J79" s="30"/>
    </row>
    <row r="80" spans="1:10" x14ac:dyDescent="0.3">
      <c r="A80" s="34">
        <v>37834</v>
      </c>
      <c r="B80" s="30">
        <v>5.88</v>
      </c>
      <c r="C80">
        <f t="shared" si="5"/>
        <v>2003</v>
      </c>
      <c r="I80" s="34"/>
      <c r="J80" s="30"/>
    </row>
    <row r="81" spans="1:10" x14ac:dyDescent="0.3">
      <c r="A81" s="34">
        <v>37865</v>
      </c>
      <c r="B81" s="30">
        <v>5.72</v>
      </c>
      <c r="C81">
        <f t="shared" si="5"/>
        <v>2003</v>
      </c>
      <c r="I81" s="34"/>
      <c r="J81" s="30"/>
    </row>
    <row r="82" spans="1:10" x14ac:dyDescent="0.3">
      <c r="A82" s="34">
        <v>37895</v>
      </c>
      <c r="B82" s="30">
        <v>5.7</v>
      </c>
      <c r="C82">
        <f t="shared" si="5"/>
        <v>2003</v>
      </c>
      <c r="I82" s="34"/>
      <c r="J82" s="30"/>
    </row>
    <row r="83" spans="1:10" x14ac:dyDescent="0.3">
      <c r="A83" s="34">
        <v>37926</v>
      </c>
      <c r="B83" s="30">
        <v>5.65</v>
      </c>
      <c r="C83">
        <f t="shared" si="5"/>
        <v>2003</v>
      </c>
      <c r="I83" s="34"/>
      <c r="J83" s="30"/>
    </row>
    <row r="84" spans="1:10" x14ac:dyDescent="0.3">
      <c r="A84" s="34">
        <v>37956</v>
      </c>
      <c r="B84" s="30">
        <v>5.62</v>
      </c>
      <c r="C84">
        <f t="shared" si="5"/>
        <v>2003</v>
      </c>
      <c r="I84" s="34"/>
      <c r="J84" s="30"/>
    </row>
    <row r="85" spans="1:10" x14ac:dyDescent="0.3">
      <c r="A85" s="34">
        <v>37987</v>
      </c>
      <c r="B85" s="30">
        <v>5.54</v>
      </c>
      <c r="C85">
        <f t="shared" si="5"/>
        <v>2004</v>
      </c>
      <c r="I85" s="34"/>
      <c r="J85" s="30"/>
    </row>
    <row r="86" spans="1:10" x14ac:dyDescent="0.3">
      <c r="A86" s="34">
        <v>38018</v>
      </c>
      <c r="B86" s="30">
        <v>5.5</v>
      </c>
      <c r="C86">
        <f t="shared" si="5"/>
        <v>2004</v>
      </c>
      <c r="I86" s="34"/>
      <c r="J86" s="30"/>
    </row>
    <row r="87" spans="1:10" x14ac:dyDescent="0.3">
      <c r="A87" s="34">
        <v>38047</v>
      </c>
      <c r="B87" s="30">
        <v>5.33</v>
      </c>
      <c r="C87">
        <f t="shared" si="5"/>
        <v>2004</v>
      </c>
      <c r="I87" s="34"/>
      <c r="J87" s="30"/>
    </row>
    <row r="88" spans="1:10" x14ac:dyDescent="0.3">
      <c r="A88" s="34">
        <v>38078</v>
      </c>
      <c r="B88" s="30">
        <v>5.73</v>
      </c>
      <c r="C88">
        <f t="shared" si="5"/>
        <v>2004</v>
      </c>
      <c r="I88" s="34"/>
      <c r="J88" s="30"/>
    </row>
    <row r="89" spans="1:10" x14ac:dyDescent="0.3">
      <c r="A89" s="34">
        <v>38108</v>
      </c>
      <c r="B89" s="30">
        <v>6.04</v>
      </c>
      <c r="C89">
        <f t="shared" si="5"/>
        <v>2004</v>
      </c>
      <c r="I89" s="34"/>
      <c r="J89" s="30"/>
    </row>
    <row r="90" spans="1:10" x14ac:dyDescent="0.3">
      <c r="A90" s="34">
        <v>38139</v>
      </c>
      <c r="B90" s="30">
        <v>6.01</v>
      </c>
      <c r="C90">
        <f t="shared" si="5"/>
        <v>2004</v>
      </c>
      <c r="I90" s="34"/>
      <c r="J90" s="30"/>
    </row>
    <row r="91" spans="1:10" x14ac:dyDescent="0.3">
      <c r="A91" s="34">
        <v>38169</v>
      </c>
      <c r="B91" s="30">
        <v>5.82</v>
      </c>
      <c r="C91">
        <f t="shared" si="5"/>
        <v>2004</v>
      </c>
      <c r="I91" s="34"/>
      <c r="J91" s="30"/>
    </row>
    <row r="92" spans="1:10" x14ac:dyDescent="0.3">
      <c r="A92" s="34">
        <v>38200</v>
      </c>
      <c r="B92" s="30">
        <v>5.65</v>
      </c>
      <c r="C92">
        <f t="shared" si="5"/>
        <v>2004</v>
      </c>
      <c r="I92" s="34"/>
      <c r="J92" s="30"/>
    </row>
    <row r="93" spans="1:10" x14ac:dyDescent="0.3">
      <c r="A93" s="34">
        <v>38231</v>
      </c>
      <c r="B93" s="30">
        <v>5.46</v>
      </c>
      <c r="C93">
        <f t="shared" si="5"/>
        <v>2004</v>
      </c>
      <c r="I93" s="34"/>
      <c r="J93" s="30"/>
    </row>
    <row r="94" spans="1:10" x14ac:dyDescent="0.3">
      <c r="A94" s="34">
        <v>38261</v>
      </c>
      <c r="B94" s="30">
        <v>5.47</v>
      </c>
      <c r="C94">
        <f t="shared" si="5"/>
        <v>2004</v>
      </c>
      <c r="I94" s="34"/>
      <c r="J94" s="30"/>
    </row>
    <row r="95" spans="1:10" x14ac:dyDescent="0.3">
      <c r="A95" s="34">
        <v>38292</v>
      </c>
      <c r="B95" s="30">
        <v>5.52</v>
      </c>
      <c r="C95">
        <f t="shared" si="5"/>
        <v>2004</v>
      </c>
      <c r="I95" s="34"/>
      <c r="J95" s="30"/>
    </row>
    <row r="96" spans="1:10" x14ac:dyDescent="0.3">
      <c r="A96" s="34">
        <v>38322</v>
      </c>
      <c r="B96" s="30">
        <v>5.47</v>
      </c>
      <c r="C96">
        <f t="shared" si="5"/>
        <v>2004</v>
      </c>
      <c r="I96" s="34"/>
      <c r="J96" s="30"/>
    </row>
    <row r="97" spans="1:10" x14ac:dyDescent="0.3">
      <c r="A97" s="34">
        <v>38353</v>
      </c>
      <c r="B97" s="30">
        <v>5.36</v>
      </c>
      <c r="C97">
        <f t="shared" si="5"/>
        <v>2005</v>
      </c>
      <c r="I97" s="34"/>
      <c r="J97" s="30"/>
    </row>
    <row r="98" spans="1:10" x14ac:dyDescent="0.3">
      <c r="A98" s="34">
        <v>38384</v>
      </c>
      <c r="B98" s="30">
        <v>5.2</v>
      </c>
      <c r="C98">
        <f t="shared" si="5"/>
        <v>2005</v>
      </c>
      <c r="I98" s="34"/>
      <c r="J98" s="30"/>
    </row>
    <row r="99" spans="1:10" x14ac:dyDescent="0.3">
      <c r="A99" s="34">
        <v>38412</v>
      </c>
      <c r="B99" s="30">
        <v>5.4</v>
      </c>
      <c r="C99">
        <f t="shared" si="5"/>
        <v>2005</v>
      </c>
      <c r="I99" s="34"/>
      <c r="J99" s="30"/>
    </row>
    <row r="100" spans="1:10" x14ac:dyDescent="0.3">
      <c r="A100" s="34">
        <v>38443</v>
      </c>
      <c r="B100" s="30">
        <v>5.33</v>
      </c>
      <c r="C100">
        <f t="shared" si="5"/>
        <v>2005</v>
      </c>
      <c r="I100" s="34"/>
      <c r="J100" s="30"/>
    </row>
    <row r="101" spans="1:10" x14ac:dyDescent="0.3">
      <c r="A101" s="34">
        <v>38473</v>
      </c>
      <c r="B101" s="30">
        <v>5.15</v>
      </c>
      <c r="C101">
        <f t="shared" si="5"/>
        <v>2005</v>
      </c>
      <c r="I101" s="34"/>
      <c r="J101" s="30"/>
    </row>
    <row r="102" spans="1:10" x14ac:dyDescent="0.3">
      <c r="A102" s="34">
        <v>38504</v>
      </c>
      <c r="B102" s="30">
        <v>4.96</v>
      </c>
      <c r="C102">
        <f t="shared" si="5"/>
        <v>2005</v>
      </c>
      <c r="I102" s="34"/>
      <c r="J102" s="30"/>
    </row>
    <row r="103" spans="1:10" x14ac:dyDescent="0.3">
      <c r="A103" s="34">
        <v>38534</v>
      </c>
      <c r="B103" s="30">
        <v>5.0599999999999996</v>
      </c>
      <c r="C103">
        <f t="shared" si="5"/>
        <v>2005</v>
      </c>
      <c r="I103" s="34"/>
      <c r="J103" s="30"/>
    </row>
    <row r="104" spans="1:10" x14ac:dyDescent="0.3">
      <c r="A104" s="34">
        <v>38565</v>
      </c>
      <c r="B104" s="30">
        <v>5.09</v>
      </c>
      <c r="C104">
        <f t="shared" si="5"/>
        <v>2005</v>
      </c>
      <c r="I104" s="34"/>
      <c r="J104" s="30"/>
    </row>
    <row r="105" spans="1:10" x14ac:dyDescent="0.3">
      <c r="A105" s="34">
        <v>38596</v>
      </c>
      <c r="B105" s="30">
        <v>5.13</v>
      </c>
      <c r="C105">
        <f t="shared" si="5"/>
        <v>2005</v>
      </c>
      <c r="I105" s="34"/>
      <c r="J105" s="30"/>
    </row>
    <row r="106" spans="1:10" x14ac:dyDescent="0.3">
      <c r="A106" s="34">
        <v>38626</v>
      </c>
      <c r="B106" s="30">
        <v>5.35</v>
      </c>
      <c r="C106">
        <f t="shared" si="5"/>
        <v>2005</v>
      </c>
      <c r="I106" s="34"/>
      <c r="J106" s="30"/>
    </row>
    <row r="107" spans="1:10" x14ac:dyDescent="0.3">
      <c r="A107" s="34">
        <v>38657</v>
      </c>
      <c r="B107" s="30">
        <v>5.42</v>
      </c>
      <c r="C107">
        <f t="shared" si="5"/>
        <v>2005</v>
      </c>
      <c r="I107" s="34"/>
      <c r="J107" s="30"/>
    </row>
    <row r="108" spans="1:10" x14ac:dyDescent="0.3">
      <c r="A108" s="34">
        <v>38687</v>
      </c>
      <c r="B108" s="30">
        <v>5.37</v>
      </c>
      <c r="C108">
        <f t="shared" si="5"/>
        <v>2005</v>
      </c>
      <c r="I108" s="34"/>
      <c r="J108" s="30"/>
    </row>
    <row r="109" spans="1:10" x14ac:dyDescent="0.3">
      <c r="A109" s="34">
        <v>38718</v>
      </c>
      <c r="B109" s="30">
        <v>5.29</v>
      </c>
      <c r="C109">
        <f t="shared" si="5"/>
        <v>2006</v>
      </c>
      <c r="I109" s="34"/>
      <c r="J109" s="30"/>
    </row>
    <row r="110" spans="1:10" x14ac:dyDescent="0.3">
      <c r="A110" s="34">
        <v>38749</v>
      </c>
      <c r="B110" s="30">
        <v>5.35</v>
      </c>
      <c r="C110">
        <f t="shared" si="5"/>
        <v>2006</v>
      </c>
      <c r="I110" s="34"/>
      <c r="J110" s="30"/>
    </row>
    <row r="111" spans="1:10" x14ac:dyDescent="0.3">
      <c r="A111" s="34">
        <v>38777</v>
      </c>
      <c r="B111" s="30">
        <v>5.53</v>
      </c>
      <c r="C111">
        <f t="shared" si="5"/>
        <v>2006</v>
      </c>
      <c r="I111" s="34"/>
      <c r="J111" s="30"/>
    </row>
    <row r="112" spans="1:10" x14ac:dyDescent="0.3">
      <c r="A112" s="34">
        <v>38808</v>
      </c>
      <c r="B112" s="30">
        <v>5.84</v>
      </c>
      <c r="C112">
        <f t="shared" si="5"/>
        <v>2006</v>
      </c>
      <c r="I112" s="34"/>
      <c r="J112" s="30"/>
    </row>
    <row r="113" spans="1:10" x14ac:dyDescent="0.3">
      <c r="A113" s="34">
        <v>38838</v>
      </c>
      <c r="B113" s="30">
        <v>5.95</v>
      </c>
      <c r="C113">
        <f t="shared" si="5"/>
        <v>2006</v>
      </c>
      <c r="I113" s="34"/>
      <c r="J113" s="30"/>
    </row>
    <row r="114" spans="1:10" x14ac:dyDescent="0.3">
      <c r="A114" s="34">
        <v>38869</v>
      </c>
      <c r="B114" s="30">
        <v>5.89</v>
      </c>
      <c r="C114">
        <f t="shared" si="5"/>
        <v>2006</v>
      </c>
      <c r="I114" s="34"/>
      <c r="J114" s="30"/>
    </row>
    <row r="115" spans="1:10" x14ac:dyDescent="0.3">
      <c r="A115" s="34">
        <v>38899</v>
      </c>
      <c r="B115" s="30">
        <v>5.85</v>
      </c>
      <c r="C115">
        <f t="shared" si="5"/>
        <v>2006</v>
      </c>
      <c r="I115" s="34"/>
      <c r="J115" s="30"/>
    </row>
    <row r="116" spans="1:10" x14ac:dyDescent="0.3">
      <c r="A116" s="34">
        <v>38930</v>
      </c>
      <c r="B116" s="30">
        <v>5.68</v>
      </c>
      <c r="C116">
        <f t="shared" si="5"/>
        <v>2006</v>
      </c>
      <c r="I116" s="34"/>
      <c r="J116" s="30"/>
    </row>
    <row r="117" spans="1:10" x14ac:dyDescent="0.3">
      <c r="A117" s="34">
        <v>38961</v>
      </c>
      <c r="B117" s="30">
        <v>5.51</v>
      </c>
      <c r="C117">
        <f t="shared" si="5"/>
        <v>2006</v>
      </c>
      <c r="I117" s="34"/>
      <c r="J117" s="30"/>
    </row>
    <row r="118" spans="1:10" x14ac:dyDescent="0.3">
      <c r="A118" s="34">
        <v>38991</v>
      </c>
      <c r="B118" s="30">
        <v>5.51</v>
      </c>
      <c r="C118">
        <f t="shared" si="5"/>
        <v>2006</v>
      </c>
      <c r="I118" s="34"/>
      <c r="J118" s="30"/>
    </row>
    <row r="119" spans="1:10" x14ac:dyDescent="0.3">
      <c r="A119" s="34">
        <v>39022</v>
      </c>
      <c r="B119" s="30">
        <v>5.33</v>
      </c>
      <c r="C119">
        <f t="shared" si="5"/>
        <v>2006</v>
      </c>
      <c r="I119" s="34"/>
      <c r="J119" s="30"/>
    </row>
    <row r="120" spans="1:10" x14ac:dyDescent="0.3">
      <c r="A120" s="34">
        <v>39052</v>
      </c>
      <c r="B120" s="30">
        <v>5.32</v>
      </c>
      <c r="C120">
        <f t="shared" si="5"/>
        <v>2006</v>
      </c>
      <c r="I120" s="34"/>
      <c r="J120" s="30"/>
    </row>
    <row r="121" spans="1:10" x14ac:dyDescent="0.3">
      <c r="A121" s="34">
        <v>39083</v>
      </c>
      <c r="B121" s="30">
        <v>5.4</v>
      </c>
      <c r="C121">
        <f t="shared" si="5"/>
        <v>2007</v>
      </c>
      <c r="I121" s="34"/>
      <c r="J121" s="30"/>
    </row>
    <row r="122" spans="1:10" x14ac:dyDescent="0.3">
      <c r="A122" s="34">
        <v>39114</v>
      </c>
      <c r="B122" s="30">
        <v>5.39</v>
      </c>
      <c r="C122">
        <f t="shared" si="5"/>
        <v>2007</v>
      </c>
      <c r="I122" s="34"/>
      <c r="J122" s="30"/>
    </row>
    <row r="123" spans="1:10" x14ac:dyDescent="0.3">
      <c r="A123" s="34">
        <v>39142</v>
      </c>
      <c r="B123" s="30">
        <v>5.3</v>
      </c>
      <c r="C123">
        <f t="shared" si="5"/>
        <v>2007</v>
      </c>
      <c r="I123" s="34"/>
      <c r="J123" s="30"/>
    </row>
    <row r="124" spans="1:10" x14ac:dyDescent="0.3">
      <c r="A124" s="34">
        <v>39173</v>
      </c>
      <c r="B124" s="30">
        <v>5.47</v>
      </c>
      <c r="C124">
        <f t="shared" si="5"/>
        <v>2007</v>
      </c>
      <c r="I124" s="34"/>
      <c r="J124" s="30"/>
    </row>
    <row r="125" spans="1:10" x14ac:dyDescent="0.3">
      <c r="A125" s="34">
        <v>39203</v>
      </c>
      <c r="B125" s="30">
        <v>5.47</v>
      </c>
      <c r="C125">
        <f t="shared" si="5"/>
        <v>2007</v>
      </c>
      <c r="I125" s="34"/>
      <c r="J125" s="30"/>
    </row>
    <row r="126" spans="1:10" x14ac:dyDescent="0.3">
      <c r="A126" s="34">
        <v>39234</v>
      </c>
      <c r="B126" s="30">
        <v>5.79</v>
      </c>
      <c r="C126">
        <f t="shared" si="5"/>
        <v>2007</v>
      </c>
      <c r="I126" s="34"/>
      <c r="J126" s="30"/>
    </row>
    <row r="127" spans="1:10" x14ac:dyDescent="0.3">
      <c r="A127" s="34">
        <v>39264</v>
      </c>
      <c r="B127" s="30">
        <v>5.73</v>
      </c>
      <c r="C127">
        <f t="shared" si="5"/>
        <v>2007</v>
      </c>
      <c r="I127" s="34"/>
      <c r="J127" s="30"/>
    </row>
    <row r="128" spans="1:10" x14ac:dyDescent="0.3">
      <c r="A128" s="34">
        <v>39295</v>
      </c>
      <c r="B128" s="30">
        <v>5.79</v>
      </c>
      <c r="C128">
        <f t="shared" si="5"/>
        <v>2007</v>
      </c>
      <c r="I128" s="34"/>
      <c r="J128" s="30"/>
    </row>
    <row r="129" spans="1:10" x14ac:dyDescent="0.3">
      <c r="A129" s="34">
        <v>39326</v>
      </c>
      <c r="B129" s="30">
        <v>5.74</v>
      </c>
      <c r="C129">
        <f t="shared" si="5"/>
        <v>2007</v>
      </c>
      <c r="I129" s="34"/>
      <c r="J129" s="30"/>
    </row>
    <row r="130" spans="1:10" x14ac:dyDescent="0.3">
      <c r="A130" s="34">
        <v>39356</v>
      </c>
      <c r="B130" s="30">
        <v>5.66</v>
      </c>
      <c r="C130">
        <f t="shared" si="5"/>
        <v>2007</v>
      </c>
      <c r="I130" s="34"/>
      <c r="J130" s="30"/>
    </row>
    <row r="131" spans="1:10" x14ac:dyDescent="0.3">
      <c r="A131" s="34">
        <v>39387</v>
      </c>
      <c r="B131" s="30">
        <v>5.44</v>
      </c>
      <c r="C131">
        <f t="shared" si="5"/>
        <v>2007</v>
      </c>
      <c r="I131" s="34"/>
      <c r="J131" s="30"/>
    </row>
    <row r="132" spans="1:10" x14ac:dyDescent="0.3">
      <c r="A132" s="34">
        <v>39417</v>
      </c>
      <c r="B132" s="30">
        <v>5.49</v>
      </c>
      <c r="C132">
        <f t="shared" si="5"/>
        <v>2007</v>
      </c>
      <c r="I132" s="34"/>
      <c r="J132" s="30"/>
    </row>
    <row r="133" spans="1:10" x14ac:dyDescent="0.3">
      <c r="A133" s="34">
        <v>39448</v>
      </c>
      <c r="B133" s="30">
        <v>5.33</v>
      </c>
      <c r="C133">
        <f t="shared" si="5"/>
        <v>2008</v>
      </c>
      <c r="I133" s="34"/>
      <c r="J133" s="30"/>
    </row>
    <row r="134" spans="1:10" x14ac:dyDescent="0.3">
      <c r="A134" s="34">
        <v>39479</v>
      </c>
      <c r="B134" s="30">
        <v>5.53</v>
      </c>
      <c r="C134">
        <f t="shared" si="5"/>
        <v>2008</v>
      </c>
      <c r="I134" s="34"/>
      <c r="J134" s="30"/>
    </row>
    <row r="135" spans="1:10" x14ac:dyDescent="0.3">
      <c r="A135" s="34">
        <v>39508</v>
      </c>
      <c r="B135" s="30">
        <v>5.51</v>
      </c>
      <c r="C135">
        <f t="shared" si="5"/>
        <v>2008</v>
      </c>
      <c r="I135" s="34"/>
      <c r="J135" s="30"/>
    </row>
    <row r="136" spans="1:10" x14ac:dyDescent="0.3">
      <c r="A136" s="34">
        <v>39539</v>
      </c>
      <c r="B136" s="30">
        <v>5.55</v>
      </c>
      <c r="C136">
        <f t="shared" si="5"/>
        <v>2008</v>
      </c>
      <c r="I136" s="34"/>
      <c r="J136" s="30"/>
    </row>
    <row r="137" spans="1:10" x14ac:dyDescent="0.3">
      <c r="A137" s="34">
        <v>39569</v>
      </c>
      <c r="B137" s="30">
        <v>5.57</v>
      </c>
      <c r="C137">
        <f t="shared" si="5"/>
        <v>2008</v>
      </c>
      <c r="I137" s="34"/>
      <c r="J137" s="30"/>
    </row>
    <row r="138" spans="1:10" x14ac:dyDescent="0.3">
      <c r="A138" s="34">
        <v>39600</v>
      </c>
      <c r="B138" s="30">
        <v>5.68</v>
      </c>
      <c r="C138">
        <f t="shared" si="5"/>
        <v>2008</v>
      </c>
      <c r="I138" s="34"/>
      <c r="J138" s="30"/>
    </row>
    <row r="139" spans="1:10" x14ac:dyDescent="0.3">
      <c r="A139" s="34">
        <v>39630</v>
      </c>
      <c r="B139" s="30">
        <v>5.67</v>
      </c>
      <c r="C139">
        <f t="shared" si="5"/>
        <v>2008</v>
      </c>
      <c r="I139" s="34"/>
      <c r="J139" s="30"/>
    </row>
    <row r="140" spans="1:10" x14ac:dyDescent="0.3">
      <c r="A140" s="34">
        <v>39661</v>
      </c>
      <c r="B140" s="30">
        <v>5.64</v>
      </c>
      <c r="C140">
        <f t="shared" si="5"/>
        <v>2008</v>
      </c>
      <c r="I140" s="34"/>
      <c r="J140" s="30"/>
    </row>
    <row r="141" spans="1:10" x14ac:dyDescent="0.3">
      <c r="A141" s="34">
        <v>39692</v>
      </c>
      <c r="B141" s="30">
        <v>5.65</v>
      </c>
      <c r="C141">
        <f t="shared" si="5"/>
        <v>2008</v>
      </c>
      <c r="I141" s="34"/>
      <c r="J141" s="30"/>
    </row>
    <row r="142" spans="1:10" x14ac:dyDescent="0.3">
      <c r="A142" s="34">
        <v>39722</v>
      </c>
      <c r="B142" s="30">
        <v>6.28</v>
      </c>
      <c r="C142">
        <f t="shared" si="5"/>
        <v>2008</v>
      </c>
      <c r="I142" s="34"/>
      <c r="J142" s="30"/>
    </row>
    <row r="143" spans="1:10" x14ac:dyDescent="0.3">
      <c r="A143" s="34">
        <v>39753</v>
      </c>
      <c r="B143" s="30">
        <v>6.12</v>
      </c>
      <c r="C143">
        <f t="shared" ref="C143:C206" si="6">YEAR(A143)</f>
        <v>2008</v>
      </c>
      <c r="I143" s="34"/>
      <c r="J143" s="30"/>
    </row>
    <row r="144" spans="1:10" x14ac:dyDescent="0.3">
      <c r="A144" s="34">
        <v>39783</v>
      </c>
      <c r="B144" s="30">
        <v>5.05</v>
      </c>
      <c r="C144">
        <f t="shared" si="6"/>
        <v>2008</v>
      </c>
      <c r="I144" s="34"/>
      <c r="J144" s="30"/>
    </row>
    <row r="145" spans="1:10" x14ac:dyDescent="0.3">
      <c r="A145" s="34">
        <v>39814</v>
      </c>
      <c r="B145" s="30">
        <v>5.05</v>
      </c>
      <c r="C145">
        <f t="shared" si="6"/>
        <v>2009</v>
      </c>
      <c r="I145" s="34"/>
      <c r="J145" s="30"/>
    </row>
    <row r="146" spans="1:10" x14ac:dyDescent="0.3">
      <c r="A146" s="34">
        <v>39845</v>
      </c>
      <c r="B146" s="30">
        <v>5.27</v>
      </c>
      <c r="C146">
        <f t="shared" si="6"/>
        <v>2009</v>
      </c>
      <c r="I146" s="34"/>
      <c r="J146" s="30"/>
    </row>
    <row r="147" spans="1:10" x14ac:dyDescent="0.3">
      <c r="A147" s="34">
        <v>39873</v>
      </c>
      <c r="B147" s="30">
        <v>5.5</v>
      </c>
      <c r="C147">
        <f t="shared" si="6"/>
        <v>2009</v>
      </c>
      <c r="I147" s="34"/>
      <c r="J147" s="30"/>
    </row>
    <row r="148" spans="1:10" x14ac:dyDescent="0.3">
      <c r="A148" s="34">
        <v>39904</v>
      </c>
      <c r="B148" s="30">
        <v>5.39</v>
      </c>
      <c r="C148">
        <f t="shared" si="6"/>
        <v>2009</v>
      </c>
      <c r="I148" s="34"/>
      <c r="J148" s="30"/>
    </row>
    <row r="149" spans="1:10" x14ac:dyDescent="0.3">
      <c r="A149" s="34">
        <v>39934</v>
      </c>
      <c r="B149" s="30">
        <v>5.54</v>
      </c>
      <c r="C149">
        <f t="shared" si="6"/>
        <v>2009</v>
      </c>
      <c r="I149" s="34"/>
      <c r="J149" s="30"/>
    </row>
    <row r="150" spans="1:10" x14ac:dyDescent="0.3">
      <c r="A150" s="34">
        <v>39965</v>
      </c>
      <c r="B150" s="30">
        <v>5.61</v>
      </c>
      <c r="C150">
        <f t="shared" si="6"/>
        <v>2009</v>
      </c>
      <c r="I150" s="34"/>
      <c r="J150" s="30"/>
    </row>
    <row r="151" spans="1:10" x14ac:dyDescent="0.3">
      <c r="A151" s="34">
        <v>39995</v>
      </c>
      <c r="B151" s="30">
        <v>5.41</v>
      </c>
      <c r="C151">
        <f t="shared" si="6"/>
        <v>2009</v>
      </c>
      <c r="I151" s="34"/>
      <c r="J151" s="30"/>
    </row>
    <row r="152" spans="1:10" x14ac:dyDescent="0.3">
      <c r="A152" s="34">
        <v>40026</v>
      </c>
      <c r="B152" s="30">
        <v>5.26</v>
      </c>
      <c r="C152">
        <f t="shared" si="6"/>
        <v>2009</v>
      </c>
      <c r="I152" s="34"/>
      <c r="J152" s="30"/>
    </row>
    <row r="153" spans="1:10" x14ac:dyDescent="0.3">
      <c r="A153" s="34">
        <v>40057</v>
      </c>
      <c r="B153" s="30">
        <v>5.13</v>
      </c>
      <c r="C153">
        <f t="shared" si="6"/>
        <v>2009</v>
      </c>
      <c r="I153" s="34"/>
      <c r="J153" s="30"/>
    </row>
    <row r="154" spans="1:10" x14ac:dyDescent="0.3">
      <c r="A154" s="34">
        <v>40087</v>
      </c>
      <c r="B154" s="30">
        <v>5.15</v>
      </c>
      <c r="C154">
        <f t="shared" si="6"/>
        <v>2009</v>
      </c>
      <c r="I154" s="34"/>
      <c r="J154" s="30"/>
    </row>
    <row r="155" spans="1:10" x14ac:dyDescent="0.3">
      <c r="A155" s="34">
        <v>40118</v>
      </c>
      <c r="B155" s="30">
        <v>5.19</v>
      </c>
      <c r="C155">
        <f t="shared" si="6"/>
        <v>2009</v>
      </c>
      <c r="I155" s="34"/>
      <c r="J155" s="30"/>
    </row>
    <row r="156" spans="1:10" x14ac:dyDescent="0.3">
      <c r="A156" s="34">
        <v>40148</v>
      </c>
      <c r="B156" s="30">
        <v>5.26</v>
      </c>
      <c r="C156">
        <f t="shared" si="6"/>
        <v>2009</v>
      </c>
      <c r="I156" s="34"/>
      <c r="J156" s="30"/>
    </row>
    <row r="157" spans="1:10" x14ac:dyDescent="0.3">
      <c r="A157" s="34">
        <v>40179</v>
      </c>
      <c r="B157" s="30">
        <v>5.26</v>
      </c>
      <c r="C157">
        <f t="shared" si="6"/>
        <v>2010</v>
      </c>
      <c r="I157" s="34"/>
      <c r="J157" s="30"/>
    </row>
    <row r="158" spans="1:10" x14ac:dyDescent="0.3">
      <c r="A158" s="34">
        <v>40210</v>
      </c>
      <c r="B158" s="30">
        <v>5.35</v>
      </c>
      <c r="C158">
        <f t="shared" si="6"/>
        <v>2010</v>
      </c>
      <c r="I158" s="34"/>
      <c r="J158" s="30"/>
    </row>
    <row r="159" spans="1:10" x14ac:dyDescent="0.3">
      <c r="A159" s="34">
        <v>40238</v>
      </c>
      <c r="B159" s="30">
        <v>5.27</v>
      </c>
      <c r="C159">
        <f t="shared" si="6"/>
        <v>2010</v>
      </c>
      <c r="I159" s="34"/>
      <c r="J159" s="30"/>
    </row>
    <row r="160" spans="1:10" x14ac:dyDescent="0.3">
      <c r="A160" s="34">
        <v>40269</v>
      </c>
      <c r="B160" s="30">
        <v>5.29</v>
      </c>
      <c r="C160">
        <f t="shared" si="6"/>
        <v>2010</v>
      </c>
      <c r="I160" s="34"/>
      <c r="J160" s="30"/>
    </row>
    <row r="161" spans="1:10" x14ac:dyDescent="0.3">
      <c r="A161" s="34">
        <v>40299</v>
      </c>
      <c r="B161" s="30">
        <v>4.96</v>
      </c>
      <c r="C161">
        <f t="shared" si="6"/>
        <v>2010</v>
      </c>
      <c r="I161" s="34"/>
      <c r="J161" s="30"/>
    </row>
    <row r="162" spans="1:10" x14ac:dyDescent="0.3">
      <c r="A162" s="34">
        <v>40330</v>
      </c>
      <c r="B162" s="30">
        <v>4.88</v>
      </c>
      <c r="C162">
        <f t="shared" si="6"/>
        <v>2010</v>
      </c>
      <c r="I162" s="34"/>
      <c r="J162" s="30"/>
    </row>
    <row r="163" spans="1:10" x14ac:dyDescent="0.3">
      <c r="A163" s="34">
        <v>40360</v>
      </c>
      <c r="B163" s="30">
        <v>4.72</v>
      </c>
      <c r="C163">
        <f t="shared" si="6"/>
        <v>2010</v>
      </c>
      <c r="I163" s="34"/>
      <c r="J163" s="30"/>
    </row>
    <row r="164" spans="1:10" x14ac:dyDescent="0.3">
      <c r="A164" s="34">
        <v>40391</v>
      </c>
      <c r="B164" s="30">
        <v>4.49</v>
      </c>
      <c r="C164">
        <f t="shared" si="6"/>
        <v>2010</v>
      </c>
      <c r="I164" s="34"/>
      <c r="J164" s="30"/>
    </row>
    <row r="165" spans="1:10" x14ac:dyDescent="0.3">
      <c r="A165" s="34">
        <v>40422</v>
      </c>
      <c r="B165" s="30">
        <v>4.53</v>
      </c>
      <c r="C165">
        <f t="shared" si="6"/>
        <v>2010</v>
      </c>
      <c r="I165" s="34"/>
      <c r="J165" s="30"/>
    </row>
    <row r="166" spans="1:10" x14ac:dyDescent="0.3">
      <c r="A166" s="34">
        <v>40452</v>
      </c>
      <c r="B166" s="30">
        <v>4.68</v>
      </c>
      <c r="C166">
        <f t="shared" si="6"/>
        <v>2010</v>
      </c>
      <c r="I166" s="34"/>
      <c r="J166" s="30"/>
    </row>
    <row r="167" spans="1:10" x14ac:dyDescent="0.3">
      <c r="A167" s="34">
        <v>40483</v>
      </c>
      <c r="B167" s="30">
        <v>4.87</v>
      </c>
      <c r="C167">
        <f t="shared" si="6"/>
        <v>2010</v>
      </c>
      <c r="I167" s="34"/>
      <c r="J167" s="30"/>
    </row>
    <row r="168" spans="1:10" x14ac:dyDescent="0.3">
      <c r="A168" s="34">
        <v>40513</v>
      </c>
      <c r="B168" s="30">
        <v>5.0199999999999996</v>
      </c>
      <c r="C168">
        <f t="shared" si="6"/>
        <v>2010</v>
      </c>
      <c r="I168" s="34"/>
      <c r="J168" s="30"/>
    </row>
    <row r="169" spans="1:10" x14ac:dyDescent="0.3">
      <c r="A169" s="34">
        <v>40544</v>
      </c>
      <c r="B169" s="30">
        <v>5.04</v>
      </c>
      <c r="C169">
        <f t="shared" si="6"/>
        <v>2011</v>
      </c>
      <c r="I169" s="34"/>
      <c r="J169" s="30"/>
    </row>
    <row r="170" spans="1:10" x14ac:dyDescent="0.3">
      <c r="A170" s="34">
        <v>40575</v>
      </c>
      <c r="B170" s="30">
        <v>5.22</v>
      </c>
      <c r="C170">
        <f t="shared" si="6"/>
        <v>2011</v>
      </c>
      <c r="I170" s="34"/>
      <c r="J170" s="30"/>
    </row>
    <row r="171" spans="1:10" x14ac:dyDescent="0.3">
      <c r="A171" s="34">
        <v>40603</v>
      </c>
      <c r="B171" s="30">
        <v>5.13</v>
      </c>
      <c r="C171">
        <f t="shared" si="6"/>
        <v>2011</v>
      </c>
      <c r="I171" s="34"/>
      <c r="J171" s="30"/>
    </row>
    <row r="172" spans="1:10" x14ac:dyDescent="0.3">
      <c r="A172" s="34">
        <v>40634</v>
      </c>
      <c r="B172" s="30">
        <v>5.16</v>
      </c>
      <c r="C172">
        <f t="shared" si="6"/>
        <v>2011</v>
      </c>
      <c r="I172" s="34"/>
      <c r="J172" s="30"/>
    </row>
    <row r="173" spans="1:10" x14ac:dyDescent="0.3">
      <c r="A173" s="34">
        <v>40664</v>
      </c>
      <c r="B173" s="30">
        <v>4.96</v>
      </c>
      <c r="C173">
        <f t="shared" si="6"/>
        <v>2011</v>
      </c>
      <c r="I173" s="34"/>
      <c r="J173" s="30"/>
    </row>
    <row r="174" spans="1:10" x14ac:dyDescent="0.3">
      <c r="A174" s="34">
        <v>40695</v>
      </c>
      <c r="B174" s="30">
        <v>4.99</v>
      </c>
      <c r="C174">
        <f t="shared" si="6"/>
        <v>2011</v>
      </c>
      <c r="I174" s="34"/>
      <c r="J174" s="30"/>
    </row>
    <row r="175" spans="1:10" x14ac:dyDescent="0.3">
      <c r="A175" s="34">
        <v>40725</v>
      </c>
      <c r="B175" s="30">
        <v>4.93</v>
      </c>
      <c r="C175">
        <f t="shared" si="6"/>
        <v>2011</v>
      </c>
      <c r="I175" s="34"/>
      <c r="J175" s="30"/>
    </row>
    <row r="176" spans="1:10" x14ac:dyDescent="0.3">
      <c r="A176" s="34">
        <v>40756</v>
      </c>
      <c r="B176" s="30">
        <v>4.37</v>
      </c>
      <c r="C176">
        <f t="shared" si="6"/>
        <v>2011</v>
      </c>
      <c r="I176" s="34"/>
      <c r="J176" s="30"/>
    </row>
    <row r="177" spans="1:10" x14ac:dyDescent="0.3">
      <c r="A177" s="34">
        <v>40787</v>
      </c>
      <c r="B177" s="30">
        <v>4.09</v>
      </c>
      <c r="C177">
        <f t="shared" si="6"/>
        <v>2011</v>
      </c>
      <c r="I177" s="34"/>
      <c r="J177" s="30"/>
    </row>
    <row r="178" spans="1:10" x14ac:dyDescent="0.3">
      <c r="A178" s="34">
        <v>40817</v>
      </c>
      <c r="B178" s="30">
        <v>3.98</v>
      </c>
      <c r="C178">
        <f t="shared" si="6"/>
        <v>2011</v>
      </c>
      <c r="I178" s="34"/>
      <c r="J178" s="30"/>
    </row>
    <row r="179" spans="1:10" x14ac:dyDescent="0.3">
      <c r="A179" s="34">
        <v>40848</v>
      </c>
      <c r="B179" s="30">
        <v>3.87</v>
      </c>
      <c r="C179">
        <f t="shared" si="6"/>
        <v>2011</v>
      </c>
      <c r="I179" s="34"/>
      <c r="J179" s="30"/>
    </row>
    <row r="180" spans="1:10" x14ac:dyDescent="0.3">
      <c r="A180" s="34">
        <v>40878</v>
      </c>
      <c r="B180" s="30">
        <v>3.93</v>
      </c>
      <c r="C180">
        <f t="shared" si="6"/>
        <v>2011</v>
      </c>
      <c r="I180" s="34"/>
      <c r="J180" s="30"/>
    </row>
    <row r="181" spans="1:10" x14ac:dyDescent="0.3">
      <c r="A181" s="34">
        <v>40909</v>
      </c>
      <c r="B181" s="30">
        <v>3.85</v>
      </c>
      <c r="C181">
        <f t="shared" si="6"/>
        <v>2012</v>
      </c>
      <c r="I181" s="34"/>
      <c r="J181" s="30"/>
    </row>
    <row r="182" spans="1:10" x14ac:dyDescent="0.3">
      <c r="A182" s="34">
        <v>40940</v>
      </c>
      <c r="B182" s="30">
        <v>3.85</v>
      </c>
      <c r="C182">
        <f t="shared" si="6"/>
        <v>2012</v>
      </c>
      <c r="I182" s="34"/>
      <c r="J182" s="30"/>
    </row>
    <row r="183" spans="1:10" x14ac:dyDescent="0.3">
      <c r="A183" s="34">
        <v>40969</v>
      </c>
      <c r="B183" s="30">
        <v>3.99</v>
      </c>
      <c r="C183">
        <f t="shared" si="6"/>
        <v>2012</v>
      </c>
      <c r="I183" s="34"/>
      <c r="J183" s="30"/>
    </row>
    <row r="184" spans="1:10" x14ac:dyDescent="0.3">
      <c r="A184" s="34">
        <v>41000</v>
      </c>
      <c r="B184" s="30">
        <v>3.96</v>
      </c>
      <c r="C184">
        <f t="shared" si="6"/>
        <v>2012</v>
      </c>
      <c r="I184" s="34"/>
      <c r="J184" s="30"/>
    </row>
    <row r="185" spans="1:10" x14ac:dyDescent="0.3">
      <c r="A185" s="34">
        <v>41030</v>
      </c>
      <c r="B185" s="30">
        <v>3.8</v>
      </c>
      <c r="C185">
        <f t="shared" si="6"/>
        <v>2012</v>
      </c>
      <c r="I185" s="34"/>
      <c r="J185" s="30"/>
    </row>
    <row r="186" spans="1:10" x14ac:dyDescent="0.3">
      <c r="A186" s="34">
        <v>41061</v>
      </c>
      <c r="B186" s="30">
        <v>3.64</v>
      </c>
      <c r="C186">
        <f t="shared" si="6"/>
        <v>2012</v>
      </c>
      <c r="I186" s="34"/>
      <c r="J186" s="30"/>
    </row>
    <row r="187" spans="1:10" x14ac:dyDescent="0.3">
      <c r="A187" s="34">
        <v>41091</v>
      </c>
      <c r="B187" s="30">
        <v>3.4</v>
      </c>
      <c r="C187">
        <f t="shared" si="6"/>
        <v>2012</v>
      </c>
      <c r="I187" s="34"/>
      <c r="J187" s="30"/>
    </row>
    <row r="188" spans="1:10" x14ac:dyDescent="0.3">
      <c r="A188" s="34">
        <v>41122</v>
      </c>
      <c r="B188" s="30">
        <v>3.48</v>
      </c>
      <c r="C188">
        <f t="shared" si="6"/>
        <v>2012</v>
      </c>
      <c r="I188" s="34"/>
      <c r="J188" s="30"/>
    </row>
    <row r="189" spans="1:10" x14ac:dyDescent="0.3">
      <c r="A189" s="34">
        <v>41153</v>
      </c>
      <c r="B189" s="30">
        <v>3.49</v>
      </c>
      <c r="C189">
        <f t="shared" si="6"/>
        <v>2012</v>
      </c>
      <c r="I189" s="34"/>
      <c r="J189" s="30"/>
    </row>
    <row r="190" spans="1:10" x14ac:dyDescent="0.3">
      <c r="A190" s="34">
        <v>41183</v>
      </c>
      <c r="B190" s="30">
        <v>3.47</v>
      </c>
      <c r="C190">
        <f t="shared" si="6"/>
        <v>2012</v>
      </c>
      <c r="I190" s="34"/>
      <c r="J190" s="30"/>
    </row>
    <row r="191" spans="1:10" x14ac:dyDescent="0.3">
      <c r="A191" s="34">
        <v>41214</v>
      </c>
      <c r="B191" s="30">
        <v>3.5</v>
      </c>
      <c r="C191">
        <f t="shared" si="6"/>
        <v>2012</v>
      </c>
      <c r="I191" s="34"/>
      <c r="J191" s="30"/>
    </row>
    <row r="192" spans="1:10" x14ac:dyDescent="0.3">
      <c r="A192" s="34">
        <v>41244</v>
      </c>
      <c r="B192" s="30">
        <v>3.65</v>
      </c>
      <c r="C192">
        <f t="shared" si="6"/>
        <v>2012</v>
      </c>
      <c r="I192" s="34"/>
      <c r="J192" s="30"/>
    </row>
    <row r="193" spans="1:10" x14ac:dyDescent="0.3">
      <c r="A193" s="34">
        <v>41275</v>
      </c>
      <c r="B193" s="30">
        <v>3.8</v>
      </c>
      <c r="C193">
        <f t="shared" si="6"/>
        <v>2013</v>
      </c>
      <c r="I193" s="34"/>
      <c r="J193" s="30"/>
    </row>
    <row r="194" spans="1:10" x14ac:dyDescent="0.3">
      <c r="A194" s="34">
        <v>41306</v>
      </c>
      <c r="B194" s="30">
        <v>3.9</v>
      </c>
      <c r="C194">
        <f t="shared" si="6"/>
        <v>2013</v>
      </c>
      <c r="I194" s="34"/>
      <c r="J194" s="30"/>
    </row>
    <row r="195" spans="1:10" x14ac:dyDescent="0.3">
      <c r="A195" s="34">
        <v>41334</v>
      </c>
      <c r="B195" s="30">
        <v>3.93</v>
      </c>
      <c r="C195">
        <f t="shared" si="6"/>
        <v>2013</v>
      </c>
      <c r="I195" s="34"/>
      <c r="J195" s="30"/>
    </row>
    <row r="196" spans="1:10" x14ac:dyDescent="0.3">
      <c r="A196" s="34">
        <v>41365</v>
      </c>
      <c r="B196" s="30">
        <v>3.73</v>
      </c>
      <c r="C196">
        <f t="shared" si="6"/>
        <v>2013</v>
      </c>
      <c r="I196" s="34"/>
      <c r="J196" s="30"/>
    </row>
    <row r="197" spans="1:10" x14ac:dyDescent="0.3">
      <c r="A197" s="34">
        <v>41395</v>
      </c>
      <c r="B197" s="30">
        <v>3.89</v>
      </c>
      <c r="C197">
        <f t="shared" si="6"/>
        <v>2013</v>
      </c>
      <c r="I197" s="34"/>
      <c r="J197" s="30"/>
    </row>
    <row r="198" spans="1:10" x14ac:dyDescent="0.3">
      <c r="A198" s="34">
        <v>41426</v>
      </c>
      <c r="B198" s="30">
        <v>4.2699999999999996</v>
      </c>
      <c r="C198">
        <f t="shared" si="6"/>
        <v>2013</v>
      </c>
      <c r="I198" s="34"/>
      <c r="J198" s="30"/>
    </row>
    <row r="199" spans="1:10" x14ac:dyDescent="0.3">
      <c r="A199" s="34">
        <v>41456</v>
      </c>
      <c r="B199" s="30">
        <v>4.34</v>
      </c>
      <c r="C199">
        <f t="shared" si="6"/>
        <v>2013</v>
      </c>
      <c r="I199" s="34"/>
      <c r="J199" s="30"/>
    </row>
    <row r="200" spans="1:10" x14ac:dyDescent="0.3">
      <c r="A200" s="34">
        <v>41487</v>
      </c>
      <c r="B200" s="30">
        <v>4.54</v>
      </c>
      <c r="C200">
        <f t="shared" si="6"/>
        <v>2013</v>
      </c>
      <c r="I200" s="34"/>
      <c r="J200" s="30"/>
    </row>
    <row r="201" spans="1:10" x14ac:dyDescent="0.3">
      <c r="A201" s="34">
        <v>41518</v>
      </c>
      <c r="B201" s="30">
        <v>4.6399999999999997</v>
      </c>
      <c r="C201">
        <f t="shared" si="6"/>
        <v>2013</v>
      </c>
      <c r="I201" s="34"/>
      <c r="J201" s="30"/>
    </row>
    <row r="202" spans="1:10" x14ac:dyDescent="0.3">
      <c r="A202" s="34">
        <v>41548</v>
      </c>
      <c r="B202" s="30">
        <v>4.53</v>
      </c>
      <c r="C202">
        <f t="shared" si="6"/>
        <v>2013</v>
      </c>
      <c r="I202" s="34"/>
      <c r="J202" s="30"/>
    </row>
    <row r="203" spans="1:10" x14ac:dyDescent="0.3">
      <c r="A203" s="34">
        <v>41579</v>
      </c>
      <c r="B203" s="30">
        <v>4.63</v>
      </c>
      <c r="C203">
        <f t="shared" si="6"/>
        <v>2013</v>
      </c>
      <c r="I203" s="34"/>
      <c r="J203" s="30"/>
    </row>
    <row r="204" spans="1:10" x14ac:dyDescent="0.3">
      <c r="A204" s="34">
        <v>41609</v>
      </c>
      <c r="B204" s="30">
        <v>4.62</v>
      </c>
      <c r="C204">
        <f t="shared" si="6"/>
        <v>2013</v>
      </c>
      <c r="I204" s="34"/>
      <c r="J204" s="30"/>
    </row>
    <row r="205" spans="1:10" x14ac:dyDescent="0.3">
      <c r="A205" s="34">
        <v>41640</v>
      </c>
      <c r="B205" s="30">
        <v>4.49</v>
      </c>
      <c r="C205">
        <f t="shared" si="6"/>
        <v>2014</v>
      </c>
      <c r="I205" s="34"/>
      <c r="J205" s="30"/>
    </row>
    <row r="206" spans="1:10" x14ac:dyDescent="0.3">
      <c r="A206" s="34">
        <v>41671</v>
      </c>
      <c r="B206" s="30">
        <v>4.45</v>
      </c>
      <c r="C206">
        <f t="shared" si="6"/>
        <v>2014</v>
      </c>
      <c r="I206" s="34"/>
      <c r="J206" s="30"/>
    </row>
    <row r="207" spans="1:10" x14ac:dyDescent="0.3">
      <c r="A207" s="34">
        <v>41699</v>
      </c>
      <c r="B207" s="30">
        <v>4.38</v>
      </c>
      <c r="C207">
        <f t="shared" ref="C207:C270" si="7">YEAR(A207)</f>
        <v>2014</v>
      </c>
      <c r="I207" s="34"/>
      <c r="J207" s="30"/>
    </row>
    <row r="208" spans="1:10" x14ac:dyDescent="0.3">
      <c r="A208" s="34">
        <v>41730</v>
      </c>
      <c r="B208" s="30">
        <v>4.24</v>
      </c>
      <c r="C208">
        <f t="shared" si="7"/>
        <v>2014</v>
      </c>
      <c r="I208" s="34"/>
      <c r="J208" s="30"/>
    </row>
    <row r="209" spans="1:10" x14ac:dyDescent="0.3">
      <c r="A209" s="34">
        <v>41760</v>
      </c>
      <c r="B209" s="30">
        <v>4.16</v>
      </c>
      <c r="C209">
        <f t="shared" si="7"/>
        <v>2014</v>
      </c>
      <c r="I209" s="34"/>
      <c r="J209" s="30"/>
    </row>
    <row r="210" spans="1:10" x14ac:dyDescent="0.3">
      <c r="A210" s="34">
        <v>41791</v>
      </c>
      <c r="B210" s="30">
        <v>4.25</v>
      </c>
      <c r="C210">
        <f t="shared" si="7"/>
        <v>2014</v>
      </c>
      <c r="I210" s="34"/>
      <c r="J210" s="30"/>
    </row>
    <row r="211" spans="1:10" x14ac:dyDescent="0.3">
      <c r="A211" s="34">
        <v>41821</v>
      </c>
      <c r="B211" s="30">
        <v>4.16</v>
      </c>
      <c r="C211">
        <f t="shared" si="7"/>
        <v>2014</v>
      </c>
      <c r="I211" s="34"/>
      <c r="J211" s="30"/>
    </row>
    <row r="212" spans="1:10" x14ac:dyDescent="0.3">
      <c r="A212" s="34">
        <v>41852</v>
      </c>
      <c r="B212" s="30">
        <v>4.08</v>
      </c>
      <c r="C212">
        <f t="shared" si="7"/>
        <v>2014</v>
      </c>
      <c r="I212" s="34"/>
      <c r="J212" s="30"/>
    </row>
    <row r="213" spans="1:10" x14ac:dyDescent="0.3">
      <c r="A213" s="34">
        <v>41883</v>
      </c>
      <c r="B213" s="30">
        <v>4.1100000000000003</v>
      </c>
      <c r="C213">
        <f t="shared" si="7"/>
        <v>2014</v>
      </c>
      <c r="I213" s="34"/>
      <c r="J213" s="30"/>
    </row>
    <row r="214" spans="1:10" x14ac:dyDescent="0.3">
      <c r="A214" s="34">
        <v>41913</v>
      </c>
      <c r="B214" s="30">
        <v>3.92</v>
      </c>
      <c r="C214">
        <f t="shared" si="7"/>
        <v>2014</v>
      </c>
      <c r="I214" s="34"/>
      <c r="J214" s="30"/>
    </row>
    <row r="215" spans="1:10" x14ac:dyDescent="0.3">
      <c r="A215" s="34">
        <v>41944</v>
      </c>
      <c r="B215" s="30">
        <v>3.92</v>
      </c>
      <c r="C215">
        <f t="shared" si="7"/>
        <v>2014</v>
      </c>
      <c r="I215" s="34"/>
      <c r="J215" s="30"/>
    </row>
    <row r="216" spans="1:10" x14ac:dyDescent="0.3">
      <c r="A216" s="34">
        <v>41974</v>
      </c>
      <c r="B216" s="30">
        <v>3.79</v>
      </c>
      <c r="C216">
        <f t="shared" si="7"/>
        <v>2014</v>
      </c>
      <c r="I216" s="34"/>
      <c r="J216" s="30"/>
    </row>
    <row r="217" spans="1:10" x14ac:dyDescent="0.3">
      <c r="A217" s="34">
        <v>42005</v>
      </c>
      <c r="B217" s="30">
        <v>3.46</v>
      </c>
      <c r="C217">
        <f t="shared" si="7"/>
        <v>2015</v>
      </c>
      <c r="I217" s="34"/>
      <c r="J217" s="30"/>
    </row>
    <row r="218" spans="1:10" x14ac:dyDescent="0.3">
      <c r="A218" s="34">
        <v>42036</v>
      </c>
      <c r="B218" s="30">
        <v>3.61</v>
      </c>
      <c r="C218">
        <f t="shared" si="7"/>
        <v>2015</v>
      </c>
      <c r="I218" s="34"/>
      <c r="J218" s="30"/>
    </row>
    <row r="219" spans="1:10" x14ac:dyDescent="0.3">
      <c r="A219" s="34">
        <v>42064</v>
      </c>
      <c r="B219" s="30">
        <v>3.64</v>
      </c>
      <c r="C219">
        <f t="shared" si="7"/>
        <v>2015</v>
      </c>
      <c r="I219" s="34"/>
      <c r="J219" s="30"/>
    </row>
    <row r="220" spans="1:10" x14ac:dyDescent="0.3">
      <c r="A220" s="34">
        <v>42095</v>
      </c>
      <c r="B220" s="30">
        <v>3.52</v>
      </c>
      <c r="C220">
        <f t="shared" si="7"/>
        <v>2015</v>
      </c>
      <c r="I220" s="34"/>
      <c r="J220" s="30"/>
    </row>
    <row r="221" spans="1:10" x14ac:dyDescent="0.3">
      <c r="A221" s="34">
        <v>42125</v>
      </c>
      <c r="B221" s="30">
        <v>3.98</v>
      </c>
      <c r="C221">
        <f t="shared" si="7"/>
        <v>2015</v>
      </c>
      <c r="I221" s="34"/>
      <c r="J221" s="30"/>
    </row>
    <row r="222" spans="1:10" x14ac:dyDescent="0.3">
      <c r="A222" s="34">
        <v>42156</v>
      </c>
      <c r="B222" s="30">
        <v>4.1900000000000004</v>
      </c>
      <c r="C222">
        <f t="shared" si="7"/>
        <v>2015</v>
      </c>
      <c r="I222" s="34"/>
      <c r="J222" s="30"/>
    </row>
    <row r="223" spans="1:10" x14ac:dyDescent="0.3">
      <c r="A223" s="34">
        <v>42186</v>
      </c>
      <c r="B223" s="30">
        <v>4.1500000000000004</v>
      </c>
      <c r="C223">
        <f t="shared" si="7"/>
        <v>2015</v>
      </c>
      <c r="I223" s="34"/>
      <c r="J223" s="30"/>
    </row>
    <row r="224" spans="1:10" x14ac:dyDescent="0.3">
      <c r="A224" s="34">
        <v>42217</v>
      </c>
      <c r="B224" s="30">
        <v>4.04</v>
      </c>
      <c r="C224">
        <f t="shared" si="7"/>
        <v>2015</v>
      </c>
      <c r="I224" s="34"/>
      <c r="J224" s="30"/>
    </row>
    <row r="225" spans="1:10" x14ac:dyDescent="0.3">
      <c r="A225" s="34">
        <v>42248</v>
      </c>
      <c r="B225" s="30">
        <v>4.07</v>
      </c>
      <c r="C225">
        <f t="shared" si="7"/>
        <v>2015</v>
      </c>
      <c r="I225" s="34"/>
      <c r="J225" s="30"/>
    </row>
    <row r="226" spans="1:10" x14ac:dyDescent="0.3">
      <c r="A226" s="34">
        <v>42278</v>
      </c>
      <c r="B226" s="30">
        <v>3.95</v>
      </c>
      <c r="C226">
        <f t="shared" si="7"/>
        <v>2015</v>
      </c>
      <c r="I226" s="34"/>
      <c r="J226" s="30"/>
    </row>
    <row r="227" spans="1:10" x14ac:dyDescent="0.3">
      <c r="A227" s="34">
        <v>42309</v>
      </c>
      <c r="B227" s="30">
        <v>4.0599999999999996</v>
      </c>
      <c r="C227">
        <f t="shared" si="7"/>
        <v>2015</v>
      </c>
      <c r="I227" s="34"/>
      <c r="J227" s="30"/>
    </row>
    <row r="228" spans="1:10" x14ac:dyDescent="0.3">
      <c r="A228" s="34">
        <v>42339</v>
      </c>
      <c r="B228" s="30">
        <v>3.97</v>
      </c>
      <c r="C228">
        <f t="shared" si="7"/>
        <v>2015</v>
      </c>
      <c r="I228" s="34"/>
      <c r="J228" s="30"/>
    </row>
    <row r="229" spans="1:10" x14ac:dyDescent="0.3">
      <c r="A229" s="34">
        <v>42370</v>
      </c>
      <c r="B229" s="30">
        <v>4</v>
      </c>
      <c r="C229">
        <f t="shared" si="7"/>
        <v>2016</v>
      </c>
      <c r="I229" s="34"/>
      <c r="J229" s="30"/>
    </row>
    <row r="230" spans="1:10" x14ac:dyDescent="0.3">
      <c r="A230" s="34">
        <v>42401</v>
      </c>
      <c r="B230" s="30">
        <v>3.96</v>
      </c>
      <c r="C230">
        <f t="shared" si="7"/>
        <v>2016</v>
      </c>
      <c r="I230" s="34"/>
      <c r="J230" s="30"/>
    </row>
    <row r="231" spans="1:10" x14ac:dyDescent="0.3">
      <c r="A231" s="34">
        <v>42430</v>
      </c>
      <c r="B231" s="30">
        <v>3.82</v>
      </c>
      <c r="C231">
        <f t="shared" si="7"/>
        <v>2016</v>
      </c>
      <c r="I231" s="34"/>
      <c r="J231" s="30"/>
    </row>
    <row r="232" spans="1:10" x14ac:dyDescent="0.3">
      <c r="A232" s="34">
        <v>42461</v>
      </c>
      <c r="B232" s="30">
        <v>3.62</v>
      </c>
      <c r="C232">
        <f t="shared" si="7"/>
        <v>2016</v>
      </c>
      <c r="I232" s="34"/>
      <c r="J232" s="30"/>
    </row>
    <row r="233" spans="1:10" x14ac:dyDescent="0.3">
      <c r="A233" s="34">
        <v>42491</v>
      </c>
      <c r="B233" s="30">
        <v>3.65</v>
      </c>
      <c r="C233">
        <f t="shared" si="7"/>
        <v>2016</v>
      </c>
      <c r="I233" s="34"/>
      <c r="J233" s="30"/>
    </row>
    <row r="234" spans="1:10" x14ac:dyDescent="0.3">
      <c r="A234" s="34">
        <v>42522</v>
      </c>
      <c r="B234" s="30">
        <v>3.5</v>
      </c>
      <c r="C234">
        <f t="shared" si="7"/>
        <v>2016</v>
      </c>
      <c r="I234" s="34"/>
      <c r="J234" s="30"/>
    </row>
    <row r="235" spans="1:10" x14ac:dyDescent="0.3">
      <c r="A235" s="34">
        <v>42552</v>
      </c>
      <c r="B235" s="30">
        <v>3.28</v>
      </c>
      <c r="C235">
        <f t="shared" si="7"/>
        <v>2016</v>
      </c>
      <c r="I235" s="34"/>
      <c r="J235" s="30"/>
    </row>
    <row r="236" spans="1:10" x14ac:dyDescent="0.3">
      <c r="A236" s="34">
        <v>42583</v>
      </c>
      <c r="B236" s="30">
        <v>3.32</v>
      </c>
      <c r="C236">
        <f t="shared" si="7"/>
        <v>2016</v>
      </c>
      <c r="I236" s="34"/>
      <c r="J236" s="30"/>
    </row>
    <row r="237" spans="1:10" x14ac:dyDescent="0.3">
      <c r="A237" s="34">
        <v>42614</v>
      </c>
      <c r="B237" s="30">
        <v>3.41</v>
      </c>
      <c r="C237">
        <f t="shared" si="7"/>
        <v>2016</v>
      </c>
      <c r="I237" s="34"/>
      <c r="J237" s="30"/>
    </row>
    <row r="238" spans="1:10" x14ac:dyDescent="0.3">
      <c r="A238" s="34">
        <v>42644</v>
      </c>
      <c r="B238" s="30">
        <v>3.51</v>
      </c>
      <c r="C238">
        <f t="shared" si="7"/>
        <v>2016</v>
      </c>
      <c r="I238" s="34"/>
      <c r="J238" s="30"/>
    </row>
    <row r="239" spans="1:10" x14ac:dyDescent="0.3">
      <c r="A239" s="34">
        <v>42675</v>
      </c>
      <c r="B239" s="30">
        <v>3.86</v>
      </c>
      <c r="C239">
        <f t="shared" si="7"/>
        <v>2016</v>
      </c>
      <c r="I239" s="34"/>
      <c r="J239" s="30"/>
    </row>
    <row r="240" spans="1:10" x14ac:dyDescent="0.3">
      <c r="A240" s="34">
        <v>42705</v>
      </c>
      <c r="B240" s="30">
        <v>4.0599999999999996</v>
      </c>
      <c r="C240">
        <f t="shared" si="7"/>
        <v>2016</v>
      </c>
      <c r="I240" s="34"/>
      <c r="J240" s="30"/>
    </row>
    <row r="241" spans="1:10" x14ac:dyDescent="0.3">
      <c r="A241" s="34">
        <v>42736</v>
      </c>
      <c r="B241" s="30">
        <v>3.92</v>
      </c>
      <c r="C241">
        <f t="shared" si="7"/>
        <v>2017</v>
      </c>
      <c r="I241" s="34"/>
      <c r="J241" s="30"/>
    </row>
    <row r="242" spans="1:10" x14ac:dyDescent="0.3">
      <c r="A242" s="34">
        <v>42767</v>
      </c>
      <c r="B242" s="30">
        <v>3.95</v>
      </c>
      <c r="C242">
        <f t="shared" si="7"/>
        <v>2017</v>
      </c>
      <c r="I242" s="34"/>
      <c r="J242" s="30"/>
    </row>
    <row r="243" spans="1:10" x14ac:dyDescent="0.3">
      <c r="A243" s="34">
        <v>42795</v>
      </c>
      <c r="B243" s="30">
        <v>4.01</v>
      </c>
      <c r="C243">
        <f t="shared" si="7"/>
        <v>2017</v>
      </c>
      <c r="I243" s="34"/>
      <c r="J243" s="30"/>
    </row>
    <row r="244" spans="1:10" x14ac:dyDescent="0.3">
      <c r="A244" s="34">
        <v>42826</v>
      </c>
      <c r="B244" s="30">
        <v>3.87</v>
      </c>
      <c r="C244">
        <f t="shared" si="7"/>
        <v>2017</v>
      </c>
      <c r="I244" s="34"/>
      <c r="J244" s="30"/>
    </row>
    <row r="245" spans="1:10" x14ac:dyDescent="0.3">
      <c r="A245" s="34">
        <v>42856</v>
      </c>
      <c r="B245" s="30">
        <v>3.85</v>
      </c>
      <c r="C245">
        <f t="shared" si="7"/>
        <v>2017</v>
      </c>
      <c r="I245" s="34"/>
      <c r="J245" s="30"/>
    </row>
    <row r="246" spans="1:10" x14ac:dyDescent="0.3">
      <c r="A246" s="34">
        <v>42887</v>
      </c>
      <c r="B246" s="30">
        <v>3.68</v>
      </c>
      <c r="C246">
        <f t="shared" si="7"/>
        <v>2017</v>
      </c>
      <c r="I246" s="34"/>
      <c r="J246" s="30"/>
    </row>
    <row r="247" spans="1:10" x14ac:dyDescent="0.3">
      <c r="A247" s="34">
        <v>42917</v>
      </c>
      <c r="B247" s="30">
        <v>3.7</v>
      </c>
      <c r="C247">
        <f t="shared" si="7"/>
        <v>2017</v>
      </c>
    </row>
    <row r="248" spans="1:10" x14ac:dyDescent="0.3">
      <c r="A248" s="34">
        <v>42948</v>
      </c>
      <c r="B248" s="30">
        <v>3.63</v>
      </c>
      <c r="C248">
        <f t="shared" si="7"/>
        <v>2017</v>
      </c>
    </row>
    <row r="249" spans="1:10" x14ac:dyDescent="0.3">
      <c r="A249" s="34">
        <v>42979</v>
      </c>
      <c r="B249" s="30">
        <v>3.63</v>
      </c>
      <c r="C249">
        <f t="shared" si="7"/>
        <v>2017</v>
      </c>
    </row>
    <row r="250" spans="1:10" x14ac:dyDescent="0.3">
      <c r="A250" s="34">
        <v>43009</v>
      </c>
      <c r="B250" s="30">
        <v>3.6</v>
      </c>
      <c r="C250">
        <f t="shared" si="7"/>
        <v>2017</v>
      </c>
    </row>
    <row r="251" spans="1:10" x14ac:dyDescent="0.3">
      <c r="A251" s="34">
        <v>43040</v>
      </c>
      <c r="B251" s="30">
        <v>3.57</v>
      </c>
      <c r="C251">
        <f t="shared" si="7"/>
        <v>2017</v>
      </c>
    </row>
    <row r="252" spans="1:10" x14ac:dyDescent="0.3">
      <c r="A252" s="34">
        <v>43070</v>
      </c>
      <c r="B252" s="30">
        <v>3.51</v>
      </c>
      <c r="C252">
        <f t="shared" si="7"/>
        <v>2017</v>
      </c>
    </row>
    <row r="253" spans="1:10" x14ac:dyDescent="0.3">
      <c r="A253" s="34">
        <v>43101</v>
      </c>
      <c r="B253" s="30">
        <v>3.55</v>
      </c>
      <c r="C253">
        <f t="shared" si="7"/>
        <v>2018</v>
      </c>
    </row>
    <row r="254" spans="1:10" x14ac:dyDescent="0.3">
      <c r="A254" s="34">
        <v>43132</v>
      </c>
      <c r="B254" s="30">
        <v>3.82</v>
      </c>
      <c r="C254">
        <f t="shared" si="7"/>
        <v>2018</v>
      </c>
    </row>
    <row r="255" spans="1:10" x14ac:dyDescent="0.3">
      <c r="A255" s="34">
        <v>43160</v>
      </c>
      <c r="B255" s="30">
        <v>3.87</v>
      </c>
      <c r="C255">
        <f t="shared" si="7"/>
        <v>2018</v>
      </c>
    </row>
    <row r="256" spans="1:10" x14ac:dyDescent="0.3">
      <c r="A256" s="34">
        <v>43191</v>
      </c>
      <c r="B256" s="30">
        <v>3.85</v>
      </c>
      <c r="C256">
        <f t="shared" si="7"/>
        <v>2018</v>
      </c>
    </row>
    <row r="257" spans="1:3" x14ac:dyDescent="0.3">
      <c r="A257" s="34">
        <v>43221</v>
      </c>
      <c r="B257" s="30">
        <v>4</v>
      </c>
      <c r="C257">
        <f t="shared" si="7"/>
        <v>2018</v>
      </c>
    </row>
    <row r="258" spans="1:3" x14ac:dyDescent="0.3">
      <c r="A258" s="34">
        <v>43252</v>
      </c>
      <c r="B258" s="30">
        <v>3.96</v>
      </c>
      <c r="C258">
        <f t="shared" si="7"/>
        <v>2018</v>
      </c>
    </row>
    <row r="259" spans="1:3" x14ac:dyDescent="0.3">
      <c r="A259" s="34">
        <v>43282</v>
      </c>
      <c r="B259" s="30">
        <v>3.87</v>
      </c>
      <c r="C259">
        <f t="shared" si="7"/>
        <v>2018</v>
      </c>
    </row>
    <row r="260" spans="1:3" x14ac:dyDescent="0.3">
      <c r="A260" s="34">
        <v>43313</v>
      </c>
      <c r="B260" s="30">
        <v>3.88</v>
      </c>
      <c r="C260">
        <f t="shared" si="7"/>
        <v>2018</v>
      </c>
    </row>
    <row r="261" spans="1:3" x14ac:dyDescent="0.3">
      <c r="A261" s="34">
        <v>43344</v>
      </c>
      <c r="B261" s="30">
        <v>3.98</v>
      </c>
      <c r="C261">
        <f t="shared" si="7"/>
        <v>2018</v>
      </c>
    </row>
    <row r="262" spans="1:3" x14ac:dyDescent="0.3">
      <c r="A262" s="34">
        <v>43374</v>
      </c>
      <c r="B262" s="30">
        <v>4.1399999999999997</v>
      </c>
      <c r="C262">
        <f t="shared" si="7"/>
        <v>2018</v>
      </c>
    </row>
    <row r="263" spans="1:3" x14ac:dyDescent="0.3">
      <c r="A263" s="34">
        <v>43405</v>
      </c>
      <c r="B263" s="30">
        <v>4.22</v>
      </c>
      <c r="C263">
        <f t="shared" si="7"/>
        <v>2018</v>
      </c>
    </row>
    <row r="264" spans="1:3" x14ac:dyDescent="0.3">
      <c r="A264" s="34">
        <v>43435</v>
      </c>
      <c r="B264" s="30">
        <v>4.0199999999999996</v>
      </c>
      <c r="C264">
        <f t="shared" si="7"/>
        <v>2018</v>
      </c>
    </row>
    <row r="265" spans="1:3" x14ac:dyDescent="0.3">
      <c r="A265" s="34">
        <v>43466</v>
      </c>
      <c r="B265" s="30">
        <v>3.93</v>
      </c>
      <c r="C265">
        <f t="shared" si="7"/>
        <v>2019</v>
      </c>
    </row>
    <row r="266" spans="1:3" x14ac:dyDescent="0.3">
      <c r="A266" s="34">
        <v>43497</v>
      </c>
      <c r="B266" s="30">
        <v>3.79</v>
      </c>
      <c r="C266">
        <f t="shared" si="7"/>
        <v>2019</v>
      </c>
    </row>
    <row r="267" spans="1:3" x14ac:dyDescent="0.3">
      <c r="A267" s="34">
        <v>43525</v>
      </c>
      <c r="B267" s="30">
        <v>3.77</v>
      </c>
      <c r="C267">
        <f t="shared" si="7"/>
        <v>2019</v>
      </c>
    </row>
    <row r="268" spans="1:3" x14ac:dyDescent="0.3">
      <c r="A268" s="34">
        <v>43556</v>
      </c>
      <c r="B268" s="30">
        <v>3.69</v>
      </c>
      <c r="C268">
        <f t="shared" si="7"/>
        <v>2019</v>
      </c>
    </row>
    <row r="269" spans="1:3" x14ac:dyDescent="0.3">
      <c r="A269" s="34">
        <v>43586</v>
      </c>
      <c r="B269" s="30">
        <v>3.67</v>
      </c>
      <c r="C269">
        <f t="shared" si="7"/>
        <v>2019</v>
      </c>
    </row>
    <row r="270" spans="1:3" x14ac:dyDescent="0.3">
      <c r="A270" s="34">
        <v>43617</v>
      </c>
      <c r="B270" s="30">
        <v>3.42</v>
      </c>
      <c r="C270">
        <f t="shared" si="7"/>
        <v>2019</v>
      </c>
    </row>
    <row r="271" spans="1:3" x14ac:dyDescent="0.3">
      <c r="A271" s="34">
        <v>43647</v>
      </c>
      <c r="B271" s="30">
        <v>3.29</v>
      </c>
      <c r="C271">
        <f t="shared" ref="C271:C288" si="8">YEAR(A271)</f>
        <v>2019</v>
      </c>
    </row>
    <row r="272" spans="1:3" x14ac:dyDescent="0.3">
      <c r="A272" s="34">
        <v>43678</v>
      </c>
      <c r="B272" s="30">
        <v>2.98</v>
      </c>
      <c r="C272">
        <f t="shared" si="8"/>
        <v>2019</v>
      </c>
    </row>
    <row r="273" spans="1:3" x14ac:dyDescent="0.3">
      <c r="A273" s="34">
        <v>43709</v>
      </c>
      <c r="B273" s="30">
        <v>3.03</v>
      </c>
      <c r="C273">
        <f t="shared" si="8"/>
        <v>2019</v>
      </c>
    </row>
    <row r="274" spans="1:3" x14ac:dyDescent="0.3">
      <c r="A274" s="34">
        <v>43739</v>
      </c>
      <c r="B274" s="30">
        <v>3.01</v>
      </c>
      <c r="C274">
        <f t="shared" si="8"/>
        <v>2019</v>
      </c>
    </row>
    <row r="275" spans="1:3" x14ac:dyDescent="0.3">
      <c r="A275" s="34">
        <v>43770</v>
      </c>
      <c r="B275" s="30">
        <v>3.06</v>
      </c>
      <c r="C275">
        <f t="shared" si="8"/>
        <v>2019</v>
      </c>
    </row>
    <row r="276" spans="1:3" x14ac:dyDescent="0.3">
      <c r="A276" s="34">
        <v>43800</v>
      </c>
      <c r="B276" s="30">
        <v>3.01</v>
      </c>
      <c r="C276">
        <f t="shared" si="8"/>
        <v>2019</v>
      </c>
    </row>
    <row r="277" spans="1:3" x14ac:dyDescent="0.3">
      <c r="A277" s="34">
        <v>43831</v>
      </c>
      <c r="B277" s="30">
        <v>2.94</v>
      </c>
      <c r="C277">
        <f t="shared" si="8"/>
        <v>2020</v>
      </c>
    </row>
    <row r="278" spans="1:3" x14ac:dyDescent="0.3">
      <c r="A278" s="34">
        <v>43862</v>
      </c>
      <c r="B278" s="30">
        <v>2.78</v>
      </c>
      <c r="C278">
        <f t="shared" si="8"/>
        <v>2020</v>
      </c>
    </row>
    <row r="279" spans="1:3" x14ac:dyDescent="0.3">
      <c r="A279" s="34">
        <v>43891</v>
      </c>
      <c r="B279" s="30">
        <v>3.02</v>
      </c>
      <c r="C279">
        <f t="shared" si="8"/>
        <v>2020</v>
      </c>
    </row>
    <row r="280" spans="1:3" x14ac:dyDescent="0.3">
      <c r="A280" s="34">
        <v>43922</v>
      </c>
      <c r="B280" s="30">
        <v>2.4300000000000002</v>
      </c>
      <c r="C280">
        <f t="shared" si="8"/>
        <v>2020</v>
      </c>
    </row>
    <row r="281" spans="1:3" x14ac:dyDescent="0.3">
      <c r="A281" s="34">
        <v>43952</v>
      </c>
      <c r="B281" s="30">
        <v>2.5</v>
      </c>
      <c r="C281">
        <f t="shared" si="8"/>
        <v>2020</v>
      </c>
    </row>
    <row r="282" spans="1:3" x14ac:dyDescent="0.3">
      <c r="A282" s="34">
        <v>43983</v>
      </c>
      <c r="B282" s="30">
        <v>2.44</v>
      </c>
      <c r="C282">
        <f t="shared" si="8"/>
        <v>2020</v>
      </c>
    </row>
    <row r="283" spans="1:3" x14ac:dyDescent="0.3">
      <c r="A283" s="34">
        <v>44013</v>
      </c>
      <c r="B283" s="30">
        <v>2.14</v>
      </c>
      <c r="C283">
        <f t="shared" si="8"/>
        <v>2020</v>
      </c>
    </row>
    <row r="284" spans="1:3" x14ac:dyDescent="0.3">
      <c r="A284" s="34">
        <v>44044</v>
      </c>
      <c r="B284" s="30">
        <v>2.25</v>
      </c>
      <c r="C284">
        <f t="shared" si="8"/>
        <v>2020</v>
      </c>
    </row>
    <row r="285" spans="1:3" x14ac:dyDescent="0.3">
      <c r="A285" s="34">
        <v>44075</v>
      </c>
      <c r="B285" s="30">
        <v>2.31</v>
      </c>
      <c r="C285">
        <f t="shared" si="8"/>
        <v>2020</v>
      </c>
    </row>
    <row r="286" spans="1:3" x14ac:dyDescent="0.3">
      <c r="A286" s="34">
        <v>44105</v>
      </c>
      <c r="B286" s="30">
        <v>2.35</v>
      </c>
      <c r="C286">
        <f t="shared" si="8"/>
        <v>2020</v>
      </c>
    </row>
    <row r="287" spans="1:3" x14ac:dyDescent="0.3">
      <c r="A287" s="34">
        <v>44136</v>
      </c>
      <c r="B287" s="30">
        <v>2.2999999999999998</v>
      </c>
      <c r="C287">
        <f t="shared" si="8"/>
        <v>2020</v>
      </c>
    </row>
    <row r="288" spans="1:3" x14ac:dyDescent="0.3">
      <c r="A288" s="34">
        <v>44166</v>
      </c>
      <c r="B288" s="30">
        <v>2.2599999999999998</v>
      </c>
      <c r="C288">
        <f t="shared" si="8"/>
        <v>2020</v>
      </c>
    </row>
    <row r="289" spans="1:3" x14ac:dyDescent="0.3">
      <c r="A289" s="34">
        <v>44197</v>
      </c>
      <c r="B289" s="30">
        <v>2.4500000000000002</v>
      </c>
      <c r="C289">
        <v>2021</v>
      </c>
    </row>
    <row r="290" spans="1:3" x14ac:dyDescent="0.3">
      <c r="A290" s="34">
        <v>44228</v>
      </c>
      <c r="B290" s="30">
        <v>2.7</v>
      </c>
      <c r="C290">
        <v>2021</v>
      </c>
    </row>
    <row r="291" spans="1:3" x14ac:dyDescent="0.3">
      <c r="A291" s="34">
        <v>44256</v>
      </c>
      <c r="B291" s="30">
        <v>3.04</v>
      </c>
      <c r="C291">
        <v>2021</v>
      </c>
    </row>
    <row r="292" spans="1:3" x14ac:dyDescent="0.3">
      <c r="A292" s="34">
        <v>44287</v>
      </c>
      <c r="B292" s="30">
        <v>2.9</v>
      </c>
      <c r="C292">
        <v>2021</v>
      </c>
    </row>
    <row r="293" spans="1:3" x14ac:dyDescent="0.3">
      <c r="A293" s="34">
        <v>44317</v>
      </c>
      <c r="B293" s="30">
        <v>2.96</v>
      </c>
      <c r="C293">
        <v>2021</v>
      </c>
    </row>
    <row r="294" spans="1:3" x14ac:dyDescent="0.3">
      <c r="A294" s="34">
        <v>44348</v>
      </c>
      <c r="B294" s="30">
        <v>2.79</v>
      </c>
      <c r="C294">
        <v>2021</v>
      </c>
    </row>
    <row r="295" spans="1:3" x14ac:dyDescent="0.3">
      <c r="A295" s="34">
        <v>44378</v>
      </c>
      <c r="B295" s="30">
        <v>2.57</v>
      </c>
      <c r="C295">
        <v>2021</v>
      </c>
    </row>
    <row r="296" spans="1:3" x14ac:dyDescent="0.3">
      <c r="A296" s="34">
        <v>44409</v>
      </c>
      <c r="B296" s="30">
        <v>2.5499999999999998</v>
      </c>
      <c r="C296">
        <v>2021</v>
      </c>
    </row>
    <row r="297" spans="1:3" x14ac:dyDescent="0.3">
      <c r="A297" s="34">
        <v>44440</v>
      </c>
      <c r="B297" s="30">
        <v>2.5299999999999998</v>
      </c>
      <c r="C297">
        <v>2021</v>
      </c>
    </row>
    <row r="298" spans="1:3" x14ac:dyDescent="0.3">
      <c r="A298" s="34">
        <v>44470</v>
      </c>
      <c r="B298" s="30">
        <v>2.68</v>
      </c>
      <c r="C298">
        <v>2021</v>
      </c>
    </row>
    <row r="299" spans="1:3" x14ac:dyDescent="0.3">
      <c r="A299" s="34">
        <v>44501</v>
      </c>
      <c r="B299" s="30">
        <v>2.62</v>
      </c>
      <c r="C299">
        <v>2021</v>
      </c>
    </row>
    <row r="300" spans="1:3" x14ac:dyDescent="0.3">
      <c r="A300" s="34">
        <v>44531</v>
      </c>
      <c r="B300" s="30">
        <v>2.65</v>
      </c>
      <c r="C300">
        <v>2021</v>
      </c>
    </row>
    <row r="301" spans="1:3" x14ac:dyDescent="0.3">
      <c r="A301" s="34">
        <v>44562</v>
      </c>
      <c r="B301" s="30">
        <v>2.93</v>
      </c>
      <c r="C301">
        <v>2022</v>
      </c>
    </row>
    <row r="302" spans="1:3" x14ac:dyDescent="0.3">
      <c r="A302" s="34">
        <v>44593</v>
      </c>
      <c r="B302" s="30">
        <v>3.25</v>
      </c>
      <c r="C302">
        <v>2022</v>
      </c>
    </row>
    <row r="303" spans="1:3" x14ac:dyDescent="0.3">
      <c r="A303" s="34">
        <v>44621</v>
      </c>
      <c r="B303" s="30">
        <v>3.43</v>
      </c>
      <c r="C303">
        <v>2022</v>
      </c>
    </row>
    <row r="304" spans="1:3" x14ac:dyDescent="0.3">
      <c r="A304" s="34">
        <v>44652</v>
      </c>
      <c r="B304" s="30">
        <v>3.76</v>
      </c>
      <c r="C304">
        <v>2022</v>
      </c>
    </row>
    <row r="305" spans="1:3" x14ac:dyDescent="0.3">
      <c r="A305" s="34">
        <v>44682</v>
      </c>
      <c r="B305" s="30">
        <v>4.13</v>
      </c>
      <c r="C305">
        <v>2022</v>
      </c>
    </row>
    <row r="306" spans="1:3" x14ac:dyDescent="0.3">
      <c r="A306" s="34">
        <v>44713</v>
      </c>
      <c r="B306" s="30">
        <v>4.24</v>
      </c>
      <c r="C306">
        <v>2022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C3F0E-BBE2-4024-8F48-850BBBA09B66}">
  <dimension ref="A1:DC111"/>
  <sheetViews>
    <sheetView workbookViewId="0"/>
  </sheetViews>
  <sheetFormatPr defaultRowHeight="14.4" x14ac:dyDescent="0.3"/>
  <sheetData>
    <row r="1" spans="1:107" x14ac:dyDescent="0.3">
      <c r="F1" t="s">
        <v>456</v>
      </c>
    </row>
    <row r="2" spans="1:107" x14ac:dyDescent="0.3">
      <c r="H2">
        <v>1930</v>
      </c>
      <c r="I2">
        <v>1931</v>
      </c>
      <c r="J2">
        <v>1932</v>
      </c>
      <c r="K2">
        <v>1933</v>
      </c>
      <c r="L2">
        <v>1934</v>
      </c>
      <c r="M2">
        <v>1935</v>
      </c>
      <c r="N2">
        <v>1936</v>
      </c>
      <c r="O2">
        <v>1937</v>
      </c>
      <c r="P2">
        <v>1938</v>
      </c>
      <c r="Q2">
        <v>1939</v>
      </c>
      <c r="R2">
        <v>1940</v>
      </c>
      <c r="S2">
        <v>1941</v>
      </c>
      <c r="T2">
        <v>1942</v>
      </c>
      <c r="U2">
        <v>1943</v>
      </c>
      <c r="V2">
        <v>1944</v>
      </c>
      <c r="W2">
        <v>1945</v>
      </c>
      <c r="X2">
        <v>1946</v>
      </c>
      <c r="Y2">
        <v>1947</v>
      </c>
      <c r="Z2">
        <v>1948</v>
      </c>
      <c r="AA2">
        <v>1949</v>
      </c>
      <c r="AB2">
        <v>1950</v>
      </c>
      <c r="AC2">
        <v>1951</v>
      </c>
      <c r="AD2">
        <v>1952</v>
      </c>
      <c r="AE2">
        <v>1953</v>
      </c>
      <c r="AF2">
        <v>1954</v>
      </c>
      <c r="AG2">
        <v>1955</v>
      </c>
      <c r="AH2">
        <v>1956</v>
      </c>
      <c r="AI2">
        <v>1957</v>
      </c>
      <c r="AJ2">
        <v>1958</v>
      </c>
      <c r="AK2">
        <v>1959</v>
      </c>
      <c r="AL2">
        <v>1960</v>
      </c>
      <c r="AM2">
        <v>1961</v>
      </c>
      <c r="AN2">
        <v>1962</v>
      </c>
      <c r="AO2">
        <v>1963</v>
      </c>
      <c r="AP2">
        <v>1964</v>
      </c>
      <c r="AQ2">
        <v>1965</v>
      </c>
      <c r="AR2">
        <v>1966</v>
      </c>
      <c r="AS2">
        <v>1967</v>
      </c>
      <c r="AT2">
        <v>1968</v>
      </c>
      <c r="AU2">
        <v>1969</v>
      </c>
      <c r="AV2">
        <v>1970</v>
      </c>
      <c r="AW2">
        <v>1971</v>
      </c>
      <c r="AX2">
        <v>1972</v>
      </c>
      <c r="AY2">
        <v>1973</v>
      </c>
      <c r="AZ2">
        <v>1974</v>
      </c>
      <c r="BA2">
        <v>1975</v>
      </c>
      <c r="BB2">
        <v>1976</v>
      </c>
      <c r="BC2">
        <v>1977</v>
      </c>
      <c r="BD2">
        <v>1978</v>
      </c>
      <c r="BE2">
        <v>1979</v>
      </c>
      <c r="BF2">
        <v>1980</v>
      </c>
      <c r="BG2">
        <v>1981</v>
      </c>
      <c r="BH2">
        <v>1982</v>
      </c>
      <c r="BI2">
        <v>1983</v>
      </c>
      <c r="BJ2">
        <v>1984</v>
      </c>
      <c r="BK2">
        <v>1985</v>
      </c>
      <c r="BL2">
        <v>1986</v>
      </c>
      <c r="BM2">
        <v>1987</v>
      </c>
      <c r="BN2">
        <v>1988</v>
      </c>
      <c r="BO2">
        <v>1989</v>
      </c>
      <c r="BP2">
        <v>1990</v>
      </c>
      <c r="BQ2">
        <v>1991</v>
      </c>
      <c r="BR2">
        <v>1992</v>
      </c>
      <c r="BS2">
        <v>1993</v>
      </c>
      <c r="BT2">
        <v>1994</v>
      </c>
      <c r="BU2">
        <v>1995</v>
      </c>
      <c r="BV2">
        <v>1996</v>
      </c>
      <c r="BW2">
        <v>1997</v>
      </c>
      <c r="BX2">
        <v>1998</v>
      </c>
      <c r="BY2">
        <v>1999</v>
      </c>
      <c r="BZ2">
        <v>2000</v>
      </c>
      <c r="CA2">
        <v>2001</v>
      </c>
      <c r="CB2">
        <v>2002</v>
      </c>
      <c r="CC2">
        <v>2003</v>
      </c>
      <c r="CD2">
        <v>2004</v>
      </c>
      <c r="CE2">
        <v>2005</v>
      </c>
      <c r="CF2">
        <v>2006</v>
      </c>
      <c r="CG2">
        <v>2007</v>
      </c>
      <c r="CH2">
        <v>2008</v>
      </c>
      <c r="CI2">
        <v>2009</v>
      </c>
      <c r="CJ2">
        <v>2010</v>
      </c>
      <c r="CK2">
        <v>2011</v>
      </c>
      <c r="CL2">
        <v>2012</v>
      </c>
      <c r="CM2">
        <v>2013</v>
      </c>
      <c r="CN2">
        <v>2014</v>
      </c>
      <c r="CO2">
        <v>2015</v>
      </c>
      <c r="CP2">
        <v>2016</v>
      </c>
      <c r="CQ2">
        <v>2017</v>
      </c>
      <c r="CR2">
        <v>2018</v>
      </c>
      <c r="CS2">
        <v>2019</v>
      </c>
      <c r="CT2">
        <v>2020</v>
      </c>
      <c r="CU2">
        <v>2021</v>
      </c>
      <c r="DC2" t="s">
        <v>457</v>
      </c>
    </row>
    <row r="4" spans="1:107" x14ac:dyDescent="0.3">
      <c r="A4" t="s">
        <v>458</v>
      </c>
      <c r="F4" t="s">
        <v>459</v>
      </c>
      <c r="H4">
        <v>17.95213556634625</v>
      </c>
      <c r="I4">
        <v>17.449608562085025</v>
      </c>
      <c r="J4">
        <v>16.231295213556635</v>
      </c>
      <c r="K4">
        <v>15.546625706074719</v>
      </c>
      <c r="L4">
        <v>16.312159349915763</v>
      </c>
      <c r="M4">
        <v>16.571895748686948</v>
      </c>
      <c r="N4">
        <v>16.810920622336734</v>
      </c>
      <c r="O4">
        <v>17.854325636705976</v>
      </c>
      <c r="P4">
        <v>18.141115845803192</v>
      </c>
      <c r="Q4">
        <v>18.49281538004162</v>
      </c>
      <c r="R4">
        <v>19.530670894856804</v>
      </c>
      <c r="S4">
        <v>19.863442671687643</v>
      </c>
      <c r="T4">
        <v>20.531067287682092</v>
      </c>
      <c r="U4">
        <v>20.685858685957783</v>
      </c>
      <c r="V4">
        <v>20.685858685957783</v>
      </c>
      <c r="W4">
        <v>21.028044792389259</v>
      </c>
      <c r="X4">
        <v>23.699336042017642</v>
      </c>
      <c r="Y4">
        <v>27.305618868298485</v>
      </c>
      <c r="Z4">
        <v>30.171043504112575</v>
      </c>
      <c r="AA4">
        <v>32.062828262808445</v>
      </c>
      <c r="AB4">
        <v>33.189376672282229</v>
      </c>
      <c r="AC4">
        <v>35.617877316420575</v>
      </c>
      <c r="AD4">
        <v>36.317510653057177</v>
      </c>
      <c r="AE4">
        <v>40.401149539193334</v>
      </c>
      <c r="AF4">
        <v>42.135764542661775</v>
      </c>
      <c r="AG4">
        <v>43.60311168367852</v>
      </c>
      <c r="AH4">
        <v>47.094341492418991</v>
      </c>
      <c r="AI4">
        <v>50.028936676246175</v>
      </c>
      <c r="AJ4">
        <v>52.541274402933297</v>
      </c>
      <c r="AK4">
        <v>54.297096422554752</v>
      </c>
      <c r="AL4">
        <v>55.504905361212955</v>
      </c>
      <c r="AM4">
        <v>56.567931820434055</v>
      </c>
      <c r="AN4">
        <v>62.036666336339323</v>
      </c>
      <c r="AO4">
        <v>62.83668615598058</v>
      </c>
      <c r="AP4">
        <v>64.145872559706689</v>
      </c>
      <c r="AQ4">
        <v>65.585868595778408</v>
      </c>
      <c r="AR4">
        <v>67.671390347834702</v>
      </c>
      <c r="AS4">
        <v>69.87414527797047</v>
      </c>
      <c r="AT4">
        <v>72.049350906748586</v>
      </c>
      <c r="AU4">
        <v>75.714498067584969</v>
      </c>
      <c r="AV4">
        <v>81.56743632940244</v>
      </c>
      <c r="AW4">
        <v>90.282826280844318</v>
      </c>
      <c r="AX4">
        <v>97.101872956099484</v>
      </c>
      <c r="AY4">
        <v>100</v>
      </c>
      <c r="AZ4">
        <v>115.45476166881377</v>
      </c>
      <c r="BA4">
        <v>129.27489842433852</v>
      </c>
      <c r="BB4">
        <v>137.90952333762758</v>
      </c>
      <c r="BC4">
        <v>146.91368546229316</v>
      </c>
      <c r="BD4">
        <v>157.81230799722525</v>
      </c>
      <c r="BE4">
        <v>170.38747398672083</v>
      </c>
      <c r="BF4">
        <v>185.66633633931227</v>
      </c>
      <c r="BG4">
        <v>202.92934297889207</v>
      </c>
      <c r="BH4">
        <v>217.65860667921908</v>
      </c>
      <c r="BI4">
        <v>224.92646913090877</v>
      </c>
      <c r="BJ4">
        <v>233.10781884847887</v>
      </c>
      <c r="BK4">
        <v>238.48558121098011</v>
      </c>
      <c r="BL4">
        <v>237.23010603508075</v>
      </c>
      <c r="BM4">
        <v>244.30175403825191</v>
      </c>
      <c r="BN4">
        <v>260.52301555841848</v>
      </c>
      <c r="BO4">
        <v>275.9057576057873</v>
      </c>
      <c r="BP4">
        <v>282.436081656922</v>
      </c>
      <c r="BQ4">
        <v>290.7689525319592</v>
      </c>
      <c r="BR4">
        <v>299.76382419978199</v>
      </c>
      <c r="BS4">
        <v>308.65957288673076</v>
      </c>
      <c r="BT4">
        <v>321.01595481121791</v>
      </c>
      <c r="BU4">
        <v>327.58606679219105</v>
      </c>
      <c r="BV4">
        <v>332.61292240610447</v>
      </c>
      <c r="BW4">
        <v>341.10667921910613</v>
      </c>
      <c r="BX4">
        <v>347.36765434545634</v>
      </c>
      <c r="BY4">
        <v>354.5019076404717</v>
      </c>
      <c r="BZ4">
        <v>367.40657516598947</v>
      </c>
      <c r="CA4">
        <v>376.62196511743139</v>
      </c>
      <c r="CB4">
        <v>384.80685759587755</v>
      </c>
      <c r="CC4">
        <v>392.97819839460908</v>
      </c>
      <c r="CD4">
        <v>439.44807253988705</v>
      </c>
      <c r="CE4">
        <v>489.94896442374392</v>
      </c>
      <c r="CF4">
        <v>519.60152611237731</v>
      </c>
      <c r="CG4">
        <v>523.56773354951429</v>
      </c>
      <c r="CH4">
        <v>597.40580715489045</v>
      </c>
      <c r="CI4">
        <v>586.04251313051225</v>
      </c>
      <c r="CJ4">
        <v>601.99187394708144</v>
      </c>
      <c r="CK4">
        <v>646.50768011099012</v>
      </c>
      <c r="CL4">
        <v>699.425329501536</v>
      </c>
      <c r="CM4">
        <v>694.30908730551982</v>
      </c>
      <c r="CN4">
        <v>718.75780398374786</v>
      </c>
      <c r="CO4">
        <v>714.33326726786242</v>
      </c>
      <c r="CP4">
        <v>714.30363690417209</v>
      </c>
      <c r="CQ4">
        <v>751.66812010702608</v>
      </c>
      <c r="CR4">
        <v>794.06926964621948</v>
      </c>
      <c r="CS4">
        <v>811.83956000396381</v>
      </c>
      <c r="CT4">
        <v>846.56149043702305</v>
      </c>
      <c r="CU4">
        <v>952.86681201070246</v>
      </c>
    </row>
    <row r="6" spans="1:107" x14ac:dyDescent="0.3">
      <c r="F6" t="s">
        <v>460</v>
      </c>
      <c r="H6">
        <v>17.694124107633169</v>
      </c>
      <c r="I6">
        <v>17.381987918725976</v>
      </c>
      <c r="J6">
        <v>16.538165842943439</v>
      </c>
      <c r="K6">
        <v>15.902251510159253</v>
      </c>
      <c r="L6">
        <v>16.575837451949479</v>
      </c>
      <c r="M6">
        <v>16.598023064250413</v>
      </c>
      <c r="N6">
        <v>16.633498077979134</v>
      </c>
      <c r="O6">
        <v>17.754640307523339</v>
      </c>
      <c r="P6">
        <v>18.035584843492583</v>
      </c>
      <c r="Q6">
        <v>18.315980230642502</v>
      </c>
      <c r="R6">
        <v>18.884129599121358</v>
      </c>
      <c r="S6">
        <v>20.06875343218012</v>
      </c>
      <c r="T6">
        <v>21.004832509610104</v>
      </c>
      <c r="U6">
        <v>21.178034047226795</v>
      </c>
      <c r="V6">
        <v>21.516639209225698</v>
      </c>
      <c r="W6">
        <v>21.867984623833056</v>
      </c>
      <c r="X6">
        <v>24.628995057660624</v>
      </c>
      <c r="Y6">
        <v>28.433607907742999</v>
      </c>
      <c r="Z6">
        <v>31.603404722679841</v>
      </c>
      <c r="AA6">
        <v>33.427567270730364</v>
      </c>
      <c r="AB6">
        <v>34.302580999450846</v>
      </c>
      <c r="AC6">
        <v>36.715540911587041</v>
      </c>
      <c r="AD6">
        <v>37.68555738605162</v>
      </c>
      <c r="AE6">
        <v>41.630422844590889</v>
      </c>
      <c r="AF6">
        <v>43.088852278967607</v>
      </c>
      <c r="AG6">
        <v>44.54080175727622</v>
      </c>
      <c r="AH6">
        <v>48.129599121361885</v>
      </c>
      <c r="AI6">
        <v>51.148819330038435</v>
      </c>
      <c r="AJ6">
        <v>53.599670510708407</v>
      </c>
      <c r="AK6">
        <v>55.441735310269081</v>
      </c>
      <c r="AL6">
        <v>56.696540362438228</v>
      </c>
      <c r="AM6">
        <v>57.802526084568925</v>
      </c>
      <c r="AN6">
        <v>63.259417902251514</v>
      </c>
      <c r="AO6">
        <v>64.542449203734222</v>
      </c>
      <c r="AP6">
        <v>65.392531576057124</v>
      </c>
      <c r="AQ6">
        <v>66.674354750137297</v>
      </c>
      <c r="AR6">
        <v>68.678308621636461</v>
      </c>
      <c r="AS6">
        <v>70.371004942339368</v>
      </c>
      <c r="AT6">
        <v>72.633827567270728</v>
      </c>
      <c r="AU6">
        <v>76.696650192202085</v>
      </c>
      <c r="AV6">
        <v>82.550466776496435</v>
      </c>
      <c r="AW6">
        <v>89.780450302031852</v>
      </c>
      <c r="AX6">
        <v>96.103789126853357</v>
      </c>
      <c r="AY6">
        <v>99.999999999999986</v>
      </c>
      <c r="AZ6">
        <v>116.47248764415157</v>
      </c>
      <c r="BA6">
        <v>132.30675453047778</v>
      </c>
      <c r="BB6">
        <v>140.69028006589787</v>
      </c>
      <c r="BC6">
        <v>149.58099945085115</v>
      </c>
      <c r="BD6">
        <v>162.04239428885228</v>
      </c>
      <c r="BE6">
        <v>174.93629873695775</v>
      </c>
      <c r="BF6">
        <v>190.70752333882481</v>
      </c>
      <c r="BG6">
        <v>210.03404722679846</v>
      </c>
      <c r="BH6">
        <v>220.81021416803952</v>
      </c>
      <c r="BI6">
        <v>225.72421746293242</v>
      </c>
      <c r="BJ6">
        <v>230.07479406919276</v>
      </c>
      <c r="BK6">
        <v>231.67830862163646</v>
      </c>
      <c r="BL6">
        <v>226.82449203734211</v>
      </c>
      <c r="BM6">
        <v>231.35354200988471</v>
      </c>
      <c r="BN6">
        <v>245.54785831960461</v>
      </c>
      <c r="BO6">
        <v>257.4119439868204</v>
      </c>
      <c r="BP6">
        <v>261.7685886875343</v>
      </c>
      <c r="BQ6">
        <v>265.99582646897306</v>
      </c>
      <c r="BR6">
        <v>271.37564524986271</v>
      </c>
      <c r="BS6">
        <v>278.08429434376711</v>
      </c>
      <c r="BT6">
        <v>290.82182866556838</v>
      </c>
      <c r="BU6">
        <v>294.76301482701814</v>
      </c>
      <c r="BV6">
        <v>297.99085667215815</v>
      </c>
      <c r="BW6">
        <v>304.8665842943438</v>
      </c>
      <c r="BX6">
        <v>310.41177924217465</v>
      </c>
      <c r="BY6">
        <v>316.7927237781438</v>
      </c>
      <c r="BZ6">
        <v>327.90826468973091</v>
      </c>
      <c r="CA6">
        <v>333.96507413509062</v>
      </c>
      <c r="CB6">
        <v>340.52990115321251</v>
      </c>
      <c r="CC6">
        <v>346.75291048874249</v>
      </c>
      <c r="CD6">
        <v>393.84305326743549</v>
      </c>
      <c r="CE6">
        <v>446.69291598023062</v>
      </c>
      <c r="CF6">
        <v>476.62174629324545</v>
      </c>
      <c r="CG6">
        <v>479.08937773699267</v>
      </c>
      <c r="CH6">
        <v>545.09994508511807</v>
      </c>
      <c r="CI6">
        <v>525.14629324546945</v>
      </c>
      <c r="CJ6">
        <v>540.29181768259195</v>
      </c>
      <c r="CK6">
        <v>577.98418451400323</v>
      </c>
      <c r="CL6">
        <v>638.18780889621075</v>
      </c>
      <c r="CM6">
        <v>630.2460186710598</v>
      </c>
      <c r="CN6">
        <v>649.93234486545862</v>
      </c>
      <c r="CO6">
        <v>636.58528281164195</v>
      </c>
      <c r="CP6">
        <v>629.31532125205922</v>
      </c>
      <c r="CQ6">
        <v>672.31707852828117</v>
      </c>
      <c r="CR6">
        <v>718.30697419000535</v>
      </c>
      <c r="CS6">
        <v>739.58714991762781</v>
      </c>
      <c r="CT6">
        <v>790.94157056562324</v>
      </c>
      <c r="CU6">
        <v>911.70752333882479</v>
      </c>
      <c r="DC6">
        <v>1.9422619243152</v>
      </c>
    </row>
    <row r="8" spans="1:107" x14ac:dyDescent="0.3">
      <c r="A8" t="s">
        <v>461</v>
      </c>
      <c r="F8" t="s">
        <v>462</v>
      </c>
      <c r="H8">
        <v>18.427205653122723</v>
      </c>
      <c r="I8">
        <v>18.259482489868027</v>
      </c>
      <c r="J8">
        <v>17.042918008936923</v>
      </c>
      <c r="K8">
        <v>16.68772731996259</v>
      </c>
      <c r="L8">
        <v>16.845370466590463</v>
      </c>
      <c r="M8">
        <v>17.01870518549309</v>
      </c>
      <c r="N8">
        <v>17.369531331185701</v>
      </c>
      <c r="O8">
        <v>18.886417956978075</v>
      </c>
      <c r="P8">
        <v>19.097474799958434</v>
      </c>
      <c r="Q8">
        <v>19.17063285877585</v>
      </c>
      <c r="R8">
        <v>19.942741348851712</v>
      </c>
      <c r="S8">
        <v>20.176244414423778</v>
      </c>
      <c r="T8">
        <v>20.761924555751847</v>
      </c>
      <c r="U8">
        <v>20.958952509612384</v>
      </c>
      <c r="V8">
        <v>21.093733762859813</v>
      </c>
      <c r="W8">
        <v>21.4954795801725</v>
      </c>
      <c r="X8">
        <v>23.907928920295127</v>
      </c>
      <c r="Y8">
        <v>28.052166683986286</v>
      </c>
      <c r="Z8">
        <v>30.900550763795071</v>
      </c>
      <c r="AA8">
        <v>32.865010911358205</v>
      </c>
      <c r="AB8">
        <v>33.984931933908342</v>
      </c>
      <c r="AC8">
        <v>36.599605112750702</v>
      </c>
      <c r="AD8">
        <v>37.631196092694587</v>
      </c>
      <c r="AE8">
        <v>41.675153278603339</v>
      </c>
      <c r="AF8">
        <v>43.325781980671309</v>
      </c>
      <c r="AG8">
        <v>44.704561986906377</v>
      </c>
      <c r="AH8">
        <v>48.313519692403617</v>
      </c>
      <c r="AI8">
        <v>51.397069520939425</v>
      </c>
      <c r="AJ8">
        <v>53.52925283175724</v>
      </c>
      <c r="AK8">
        <v>55.359035643770135</v>
      </c>
      <c r="AL8">
        <v>56.558661540060271</v>
      </c>
      <c r="AM8">
        <v>57.534448716616438</v>
      </c>
      <c r="AN8">
        <v>62.854930894731368</v>
      </c>
      <c r="AO8">
        <v>63.929439883612176</v>
      </c>
      <c r="AP8">
        <v>65.23506183102981</v>
      </c>
      <c r="AQ8">
        <v>66.448924451834159</v>
      </c>
      <c r="AR8">
        <v>68.266341057882158</v>
      </c>
      <c r="AS8">
        <v>70.36786864803075</v>
      </c>
      <c r="AT8">
        <v>72.789254910111183</v>
      </c>
      <c r="AU8">
        <v>77.483840798087911</v>
      </c>
      <c r="AV8">
        <v>83.948768575288369</v>
      </c>
      <c r="AW8">
        <v>91.145380858360184</v>
      </c>
      <c r="AX8">
        <v>95.991478748830929</v>
      </c>
      <c r="AY8">
        <v>100.00000000000001</v>
      </c>
      <c r="AZ8">
        <v>115.80598565935777</v>
      </c>
      <c r="BA8">
        <v>130.05341369635246</v>
      </c>
      <c r="BB8">
        <v>138.02327756416918</v>
      </c>
      <c r="BC8">
        <v>146.23433440714953</v>
      </c>
      <c r="BD8">
        <v>159.07741868440192</v>
      </c>
      <c r="BE8">
        <v>172.46596695417227</v>
      </c>
      <c r="BF8">
        <v>187.34033045827704</v>
      </c>
      <c r="BG8">
        <v>204.93214174373898</v>
      </c>
      <c r="BH8">
        <v>220.25605320586095</v>
      </c>
      <c r="BI8">
        <v>225.91645017146419</v>
      </c>
      <c r="BJ8">
        <v>232.12283071807127</v>
      </c>
      <c r="BK8">
        <v>235.93900031175309</v>
      </c>
      <c r="BL8">
        <v>233.59804634729295</v>
      </c>
      <c r="BM8">
        <v>241.30302400498806</v>
      </c>
      <c r="BN8">
        <v>256.3142211368596</v>
      </c>
      <c r="BO8">
        <v>267.84789047074725</v>
      </c>
      <c r="BP8">
        <v>273.3386937545464</v>
      </c>
      <c r="BQ8">
        <v>278.57105372544942</v>
      </c>
      <c r="BR8">
        <v>285.56128546191417</v>
      </c>
      <c r="BS8">
        <v>292.56679309986487</v>
      </c>
      <c r="BT8">
        <v>307.38652187467522</v>
      </c>
      <c r="BU8">
        <v>313.63179361945345</v>
      </c>
      <c r="BV8">
        <v>318.59474696040735</v>
      </c>
      <c r="BW8">
        <v>327.29650316948982</v>
      </c>
      <c r="BX8">
        <v>334.23248986802452</v>
      </c>
      <c r="BY8">
        <v>340.48124285565831</v>
      </c>
      <c r="BZ8">
        <v>352.75218227164083</v>
      </c>
      <c r="CA8">
        <v>360.84417541307289</v>
      </c>
      <c r="CB8">
        <v>369.33323807544417</v>
      </c>
      <c r="CC8">
        <v>379.01867920606878</v>
      </c>
      <c r="CD8">
        <v>423.45419827496619</v>
      </c>
      <c r="CE8">
        <v>475.93900031175309</v>
      </c>
      <c r="CF8">
        <v>507.78800789774488</v>
      </c>
      <c r="CG8">
        <v>509.59186854518509</v>
      </c>
      <c r="CH8">
        <v>578.57248259378571</v>
      </c>
      <c r="CI8">
        <v>557.63878208458902</v>
      </c>
      <c r="CJ8">
        <v>577.34853995635456</v>
      </c>
      <c r="CK8">
        <v>618.61176348332117</v>
      </c>
      <c r="CL8">
        <v>674.14558869375458</v>
      </c>
      <c r="CM8">
        <v>670.132287228515</v>
      </c>
      <c r="CN8">
        <v>690.69354671100484</v>
      </c>
      <c r="CO8">
        <v>681.84942325678071</v>
      </c>
      <c r="CP8">
        <v>677.59139561467316</v>
      </c>
      <c r="CQ8">
        <v>715.78634521459014</v>
      </c>
      <c r="CR8">
        <v>755.47033149745403</v>
      </c>
      <c r="CS8">
        <v>774.99688246908454</v>
      </c>
      <c r="CT8">
        <v>811.53974851917292</v>
      </c>
      <c r="CU8">
        <v>923.41276109321416</v>
      </c>
    </row>
    <row r="9" spans="1:107" x14ac:dyDescent="0.3">
      <c r="A9" t="s">
        <v>463</v>
      </c>
    </row>
    <row r="10" spans="1:107" x14ac:dyDescent="0.3">
      <c r="A10" t="s">
        <v>464</v>
      </c>
      <c r="F10" t="s">
        <v>465</v>
      </c>
      <c r="H10">
        <v>19.27450544565459</v>
      </c>
      <c r="I10">
        <v>18.673927539453214</v>
      </c>
      <c r="J10">
        <v>17.735719048677481</v>
      </c>
      <c r="K10">
        <v>17.156256945987998</v>
      </c>
      <c r="L10">
        <v>17.680484552122692</v>
      </c>
      <c r="M10">
        <v>17.848966436985993</v>
      </c>
      <c r="N10">
        <v>18.393087352745056</v>
      </c>
      <c r="O10">
        <v>19.184818848633029</v>
      </c>
      <c r="P10">
        <v>19.239942209379862</v>
      </c>
      <c r="Q10">
        <v>19.325739053122916</v>
      </c>
      <c r="R10">
        <v>20.238719715492337</v>
      </c>
      <c r="S10">
        <v>21.123249611024676</v>
      </c>
      <c r="T10">
        <v>22.082462769504335</v>
      </c>
      <c r="U10">
        <v>22.325405645699046</v>
      </c>
      <c r="V10">
        <v>22.59302067126028</v>
      </c>
      <c r="W10">
        <v>22.677150477883977</v>
      </c>
      <c r="X10">
        <v>25.66325850188931</v>
      </c>
      <c r="Y10">
        <v>30.106023560791286</v>
      </c>
      <c r="Z10">
        <v>32.577128250722382</v>
      </c>
      <c r="AA10">
        <v>34.921204712158257</v>
      </c>
      <c r="AB10">
        <v>36.265170037786177</v>
      </c>
      <c r="AC10">
        <v>38.704045343409653</v>
      </c>
      <c r="AD10">
        <v>39.565570126694823</v>
      </c>
      <c r="AE10">
        <v>43.491998221827075</v>
      </c>
      <c r="AF10">
        <v>45.128361858190715</v>
      </c>
      <c r="AG10">
        <v>46.703600800177817</v>
      </c>
      <c r="AH10">
        <v>50.345187819515445</v>
      </c>
      <c r="AI10">
        <v>53.64603245165592</v>
      </c>
      <c r="AJ10">
        <v>56.088241831518118</v>
      </c>
      <c r="AK10">
        <v>57.808735274505452</v>
      </c>
      <c r="AL10">
        <v>59.138475216714824</v>
      </c>
      <c r="AM10">
        <v>60.174038675261173</v>
      </c>
      <c r="AN10">
        <v>65.48810846854856</v>
      </c>
      <c r="AO10">
        <v>66.687152700600123</v>
      </c>
      <c r="AP10">
        <v>67.932540564569891</v>
      </c>
      <c r="AQ10">
        <v>69.012002667259395</v>
      </c>
      <c r="AR10">
        <v>70.860080017781726</v>
      </c>
      <c r="AS10">
        <v>73.048121804845522</v>
      </c>
      <c r="AT10">
        <v>75.396421426983778</v>
      </c>
      <c r="AU10">
        <v>78.6575905756835</v>
      </c>
      <c r="AV10">
        <v>84.982218270726847</v>
      </c>
      <c r="AW10">
        <v>91.297066014669923</v>
      </c>
      <c r="AX10">
        <v>96.627583907534998</v>
      </c>
      <c r="AY10">
        <v>100</v>
      </c>
      <c r="AZ10">
        <v>117.62058235163371</v>
      </c>
      <c r="BA10">
        <v>132.89353189597688</v>
      </c>
      <c r="BB10">
        <v>142.84496554789953</v>
      </c>
      <c r="BC10">
        <v>151.89075350077795</v>
      </c>
      <c r="BD10">
        <v>165.55623471882643</v>
      </c>
      <c r="BE10">
        <v>179.32129362080465</v>
      </c>
      <c r="BF10">
        <v>195.47666148032894</v>
      </c>
      <c r="BG10">
        <v>216.09124249833295</v>
      </c>
      <c r="BH10">
        <v>228.11435874638804</v>
      </c>
      <c r="BI10">
        <v>234.69737719493219</v>
      </c>
      <c r="BJ10">
        <v>237.76961547010444</v>
      </c>
      <c r="BK10">
        <v>236.66225827961776</v>
      </c>
      <c r="BL10">
        <v>231.37386085796845</v>
      </c>
      <c r="BM10">
        <v>237.36630362302733</v>
      </c>
      <c r="BN10">
        <v>250.77400533451879</v>
      </c>
      <c r="BO10">
        <v>262.47249388753062</v>
      </c>
      <c r="BP10">
        <v>266.90686819293177</v>
      </c>
      <c r="BQ10">
        <v>270.51614247610581</v>
      </c>
      <c r="BR10">
        <v>274.80981884863303</v>
      </c>
      <c r="BS10">
        <v>280.27895087797287</v>
      </c>
      <c r="BT10">
        <v>291.65547899533232</v>
      </c>
      <c r="BU10">
        <v>296.61199711046902</v>
      </c>
      <c r="BV10">
        <v>301.03000666814847</v>
      </c>
      <c r="BW10">
        <v>307.2891753723049</v>
      </c>
      <c r="BX10">
        <v>311.47260502333847</v>
      </c>
      <c r="BY10">
        <v>316.68279062013778</v>
      </c>
      <c r="BZ10">
        <v>327.1109135363414</v>
      </c>
      <c r="CA10">
        <v>333.51742053789735</v>
      </c>
      <c r="CB10">
        <v>341.20257279395429</v>
      </c>
      <c r="CC10">
        <v>348.33946432540569</v>
      </c>
      <c r="CD10">
        <v>393.72705045565681</v>
      </c>
      <c r="CE10">
        <v>450.10068904200926</v>
      </c>
      <c r="CF10">
        <v>250.77400533451879</v>
      </c>
      <c r="CG10">
        <v>472.39216230084583</v>
      </c>
      <c r="CH10">
        <v>541.73860857968441</v>
      </c>
      <c r="CI10">
        <v>521.02633918648587</v>
      </c>
      <c r="CJ10">
        <v>537.99344298733047</v>
      </c>
      <c r="CK10">
        <v>579.87952878417434</v>
      </c>
      <c r="CL10">
        <v>636.06512558346299</v>
      </c>
      <c r="CM10">
        <v>631.45554567681711</v>
      </c>
      <c r="CN10">
        <v>649.83151811513676</v>
      </c>
      <c r="CO10">
        <v>641.97266059124252</v>
      </c>
      <c r="CP10">
        <v>633.77950655701272</v>
      </c>
      <c r="CQ10">
        <v>677.30695710157818</v>
      </c>
      <c r="CR10">
        <v>719.32418315181144</v>
      </c>
      <c r="CS10">
        <v>734.05378973105121</v>
      </c>
      <c r="CT10">
        <v>769.84863302956217</v>
      </c>
      <c r="CU10">
        <v>892.8191820404536</v>
      </c>
    </row>
    <row r="11" spans="1:107" x14ac:dyDescent="0.3">
      <c r="A11" t="s">
        <v>466</v>
      </c>
    </row>
    <row r="12" spans="1:107" x14ac:dyDescent="0.3">
      <c r="A12" t="s">
        <v>467</v>
      </c>
      <c r="F12" t="s">
        <v>468</v>
      </c>
      <c r="H12">
        <v>20.017806731813245</v>
      </c>
      <c r="I12">
        <v>19.34842562432139</v>
      </c>
      <c r="J12">
        <v>18.859174809989142</v>
      </c>
      <c r="K12">
        <v>18.473072747014115</v>
      </c>
      <c r="L12">
        <v>18.944842562432136</v>
      </c>
      <c r="M12">
        <v>18.981650380021716</v>
      </c>
      <c r="N12">
        <v>19.110749185667753</v>
      </c>
      <c r="O12">
        <v>20.483061889250813</v>
      </c>
      <c r="P12">
        <v>20.790336590662324</v>
      </c>
      <c r="Q12">
        <v>20.870575461454941</v>
      </c>
      <c r="R12">
        <v>21.773398479913141</v>
      </c>
      <c r="S12">
        <v>22.13669923995657</v>
      </c>
      <c r="T12">
        <v>22.611943539630836</v>
      </c>
      <c r="U12">
        <v>22.611943539630836</v>
      </c>
      <c r="V12">
        <v>22.797502714440824</v>
      </c>
      <c r="W12">
        <v>23.173181324647125</v>
      </c>
      <c r="X12">
        <v>26.063952225841476</v>
      </c>
      <c r="Y12">
        <v>30.389142236699243</v>
      </c>
      <c r="Z12">
        <v>33.279370249728558</v>
      </c>
      <c r="AA12">
        <v>35.23311617806732</v>
      </c>
      <c r="AB12">
        <v>36.418458197611294</v>
      </c>
      <c r="AC12">
        <v>39.184364820846909</v>
      </c>
      <c r="AD12">
        <v>40.272855591748097</v>
      </c>
      <c r="AE12">
        <v>43.972855591748107</v>
      </c>
      <c r="AF12">
        <v>45.808360477741587</v>
      </c>
      <c r="AG12">
        <v>47.190553745928341</v>
      </c>
      <c r="AH12">
        <v>51.052442996742677</v>
      </c>
      <c r="AI12">
        <v>54.306840390879479</v>
      </c>
      <c r="AJ12">
        <v>56.894353963083603</v>
      </c>
      <c r="AK12">
        <v>58.866449511400646</v>
      </c>
      <c r="AL12">
        <v>60.084473398479915</v>
      </c>
      <c r="AM12">
        <v>61.37307274701412</v>
      </c>
      <c r="AN12">
        <v>66.975787187839302</v>
      </c>
      <c r="AO12">
        <v>67.78534201954399</v>
      </c>
      <c r="AP12">
        <v>69.286319218241061</v>
      </c>
      <c r="AQ12">
        <v>70.135613463626498</v>
      </c>
      <c r="AR12">
        <v>71.990662323561338</v>
      </c>
      <c r="AS12">
        <v>74.217372421281226</v>
      </c>
      <c r="AT12">
        <v>76.249619978284471</v>
      </c>
      <c r="AU12">
        <v>79.783604777415846</v>
      </c>
      <c r="AV12">
        <v>85.717263843648226</v>
      </c>
      <c r="AW12">
        <v>91.309229098805659</v>
      </c>
      <c r="AX12">
        <v>96.492182410423453</v>
      </c>
      <c r="AY12">
        <v>100</v>
      </c>
      <c r="AZ12">
        <v>118.05342019543976</v>
      </c>
      <c r="BA12">
        <v>135.08143322475573</v>
      </c>
      <c r="BB12">
        <v>143.61194353963086</v>
      </c>
      <c r="BC12">
        <v>153.46872964169378</v>
      </c>
      <c r="BD12">
        <v>167.10586319218243</v>
      </c>
      <c r="BE12">
        <v>182.1627578718784</v>
      </c>
      <c r="BF12">
        <v>197.2562432138979</v>
      </c>
      <c r="BG12">
        <v>214.74766558089036</v>
      </c>
      <c r="BH12">
        <v>230.7989142236699</v>
      </c>
      <c r="BI12">
        <v>236.70673181324642</v>
      </c>
      <c r="BJ12">
        <v>240.64733984799133</v>
      </c>
      <c r="BK12">
        <v>238.67915309446255</v>
      </c>
      <c r="BL12">
        <v>234.24353963083604</v>
      </c>
      <c r="BM12">
        <v>240.69630836047776</v>
      </c>
      <c r="BN12">
        <v>254.35757328990232</v>
      </c>
      <c r="BO12">
        <v>265.91818675352874</v>
      </c>
      <c r="BP12">
        <v>270.91636807817594</v>
      </c>
      <c r="BQ12">
        <v>276.52193268186755</v>
      </c>
      <c r="BR12">
        <v>281.66368078175896</v>
      </c>
      <c r="BS12">
        <v>288.80589033659061</v>
      </c>
      <c r="BT12">
        <v>302.22475570032572</v>
      </c>
      <c r="BU12">
        <v>303.5164766558089</v>
      </c>
      <c r="BV12">
        <v>308.54451682953317</v>
      </c>
      <c r="BW12">
        <v>315.88262757871883</v>
      </c>
      <c r="BX12">
        <v>319.16332790445171</v>
      </c>
      <c r="BY12">
        <v>325.10200868621064</v>
      </c>
      <c r="BZ12">
        <v>336.16083061889248</v>
      </c>
      <c r="CA12">
        <v>342.67144408251903</v>
      </c>
      <c r="CB12">
        <v>350.24869706840383</v>
      </c>
      <c r="CC12">
        <v>357.4947339847991</v>
      </c>
      <c r="CD12">
        <v>401.99364820846904</v>
      </c>
      <c r="CE12">
        <v>459.03507057546148</v>
      </c>
      <c r="CF12">
        <v>486.23854505971775</v>
      </c>
      <c r="CG12">
        <v>481.77923060886735</v>
      </c>
      <c r="CH12">
        <v>555.03854505971765</v>
      </c>
      <c r="CI12">
        <v>534.65580890336594</v>
      </c>
      <c r="CJ12">
        <v>552.18979370249724</v>
      </c>
      <c r="CK12">
        <v>596.94071661237786</v>
      </c>
      <c r="CL12">
        <v>655.69413680781759</v>
      </c>
      <c r="CM12">
        <v>647.19891422366982</v>
      </c>
      <c r="CN12">
        <v>667.68935939196524</v>
      </c>
      <c r="CO12">
        <v>656.53355048859942</v>
      </c>
      <c r="CP12">
        <v>651.94321389793708</v>
      </c>
      <c r="CQ12">
        <v>691.20054288816505</v>
      </c>
      <c r="CR12">
        <v>736.23767643865358</v>
      </c>
      <c r="CS12">
        <v>751.50532030401746</v>
      </c>
      <c r="CT12">
        <v>791.4661237785017</v>
      </c>
      <c r="CU12">
        <v>918.37719869706848</v>
      </c>
    </row>
    <row r="13" spans="1:107" x14ac:dyDescent="0.3">
      <c r="A13" t="s">
        <v>469</v>
      </c>
    </row>
    <row r="14" spans="1:107" x14ac:dyDescent="0.3">
      <c r="A14" t="s">
        <v>470</v>
      </c>
      <c r="F14" t="s">
        <v>471</v>
      </c>
      <c r="H14">
        <v>18.481880509304602</v>
      </c>
      <c r="I14">
        <v>18.067776689520077</v>
      </c>
      <c r="J14">
        <v>17.105876591576887</v>
      </c>
      <c r="K14">
        <v>16.653868756121447</v>
      </c>
      <c r="L14">
        <v>17.057002938295788</v>
      </c>
      <c r="M14">
        <v>17.057002938295788</v>
      </c>
      <c r="N14">
        <v>17.600783545543585</v>
      </c>
      <c r="O14">
        <v>18.73917727717923</v>
      </c>
      <c r="P14">
        <v>19.276003917727721</v>
      </c>
      <c r="Q14">
        <v>19.442017629774732</v>
      </c>
      <c r="R14">
        <v>20.027130264446619</v>
      </c>
      <c r="S14">
        <v>20.883937316356509</v>
      </c>
      <c r="T14">
        <v>21.608227228207639</v>
      </c>
      <c r="U14">
        <v>21.903819784524977</v>
      </c>
      <c r="V14">
        <v>21.965230166503424</v>
      </c>
      <c r="W14">
        <v>22.227032321253674</v>
      </c>
      <c r="X14">
        <v>25.004113614103822</v>
      </c>
      <c r="Y14">
        <v>29.223702252693442</v>
      </c>
      <c r="Z14">
        <v>32.096865817825659</v>
      </c>
      <c r="AA14">
        <v>33.957688540646423</v>
      </c>
      <c r="AB14">
        <v>35.036826640548483</v>
      </c>
      <c r="AC14">
        <v>37.782859941234086</v>
      </c>
      <c r="AD14">
        <v>38.542605288932421</v>
      </c>
      <c r="AE14">
        <v>42.584524975514192</v>
      </c>
      <c r="AF14">
        <v>44.686973555337907</v>
      </c>
      <c r="AG14">
        <v>46.439373163565136</v>
      </c>
      <c r="AH14">
        <v>50.146523016650342</v>
      </c>
      <c r="AI14">
        <v>53.43800195886385</v>
      </c>
      <c r="AJ14">
        <v>56.160626836434865</v>
      </c>
      <c r="AK14">
        <v>57.894025465230172</v>
      </c>
      <c r="AL14">
        <v>60.077179236043101</v>
      </c>
      <c r="AM14">
        <v>61.264152791380994</v>
      </c>
      <c r="AN14">
        <v>66.355631733594521</v>
      </c>
      <c r="AO14">
        <v>67.394417238001949</v>
      </c>
      <c r="AP14">
        <v>68.797747306562201</v>
      </c>
      <c r="AQ14">
        <v>70.281684622918704</v>
      </c>
      <c r="AR14">
        <v>72.501371204701258</v>
      </c>
      <c r="AS14">
        <v>74.807933398628791</v>
      </c>
      <c r="AT14">
        <v>77.140548481880501</v>
      </c>
      <c r="AU14">
        <v>80.611459353574915</v>
      </c>
      <c r="AV14">
        <v>86.192458374142973</v>
      </c>
      <c r="AW14">
        <v>91.667580803134172</v>
      </c>
      <c r="AX14">
        <v>96.480607247796286</v>
      </c>
      <c r="AY14">
        <v>99.999999999999986</v>
      </c>
      <c r="AZ14">
        <v>117.32174338883445</v>
      </c>
      <c r="BA14">
        <v>136.13300685602351</v>
      </c>
      <c r="BB14">
        <v>145.86474045053868</v>
      </c>
      <c r="BC14">
        <v>155.1655239960823</v>
      </c>
      <c r="BD14">
        <v>169.37727717923602</v>
      </c>
      <c r="BE14">
        <v>182.95484818805093</v>
      </c>
      <c r="BF14">
        <v>201.19461312438787</v>
      </c>
      <c r="BG14">
        <v>224.83379040156709</v>
      </c>
      <c r="BH14">
        <v>241.32556317335951</v>
      </c>
      <c r="BI14">
        <v>247.96914789422135</v>
      </c>
      <c r="BJ14">
        <v>255.79480901077372</v>
      </c>
      <c r="BK14">
        <v>259.48991185112635</v>
      </c>
      <c r="BL14">
        <v>255.50989226248777</v>
      </c>
      <c r="BM14">
        <v>262.73046033300687</v>
      </c>
      <c r="BN14">
        <v>276.90323212536731</v>
      </c>
      <c r="BO14">
        <v>290.03271302644458</v>
      </c>
      <c r="BP14">
        <v>292.42605288932418</v>
      </c>
      <c r="BQ14">
        <v>303.25142017629776</v>
      </c>
      <c r="BR14">
        <v>305.11968658178262</v>
      </c>
      <c r="BS14">
        <v>312.24211557296769</v>
      </c>
      <c r="BT14">
        <v>325.70871694417241</v>
      </c>
      <c r="BU14">
        <v>338.44593535749266</v>
      </c>
      <c r="BV14">
        <v>342.14750244857981</v>
      </c>
      <c r="BW14">
        <v>348.80702742409403</v>
      </c>
      <c r="BX14">
        <v>352.82602840352592</v>
      </c>
      <c r="BY14">
        <v>358.38927522037216</v>
      </c>
      <c r="BZ14">
        <v>367.86354064642512</v>
      </c>
      <c r="CA14">
        <v>373.06420176297746</v>
      </c>
      <c r="CB14">
        <v>381.96772771792365</v>
      </c>
      <c r="CC14">
        <v>390.81407933398629</v>
      </c>
      <c r="CD14">
        <v>436.85712536728698</v>
      </c>
      <c r="CE14">
        <v>493.51420176297745</v>
      </c>
      <c r="CF14">
        <v>525.49020568070523</v>
      </c>
      <c r="CG14">
        <v>521.71352012217699</v>
      </c>
      <c r="CH14">
        <v>601.43183153770815</v>
      </c>
      <c r="CI14">
        <v>581.13408423114595</v>
      </c>
      <c r="CJ14">
        <v>604.12154750244861</v>
      </c>
      <c r="CK14">
        <v>649.74270323212534</v>
      </c>
      <c r="CL14">
        <v>709.99794319294801</v>
      </c>
      <c r="CM14">
        <v>706.14857982370222</v>
      </c>
      <c r="CN14">
        <v>729.91028403525956</v>
      </c>
      <c r="CO14">
        <v>722.41361410381978</v>
      </c>
      <c r="CP14">
        <v>721.80528893241922</v>
      </c>
      <c r="CQ14">
        <v>766.29245837414305</v>
      </c>
      <c r="CR14">
        <v>807.41185112634685</v>
      </c>
      <c r="CS14">
        <v>829.25308521057786</v>
      </c>
      <c r="CT14">
        <v>868.1234084231146</v>
      </c>
      <c r="CU14">
        <v>998.95151811949086</v>
      </c>
    </row>
    <row r="15" spans="1:107" x14ac:dyDescent="0.3">
      <c r="A15" t="s">
        <v>472</v>
      </c>
    </row>
    <row r="16" spans="1:107" x14ac:dyDescent="0.3">
      <c r="A16" t="s">
        <v>473</v>
      </c>
      <c r="F16" t="s">
        <v>474</v>
      </c>
      <c r="H16" s="30">
        <f>AVERAGE(H4,H6,H8,H10,H12,H14)</f>
        <v>18.64127633564576</v>
      </c>
      <c r="I16" s="30">
        <f t="shared" ref="I16:BT16" si="0">AVERAGE(I4,I6,I8,I10,I12,I14)</f>
        <v>18.196868137328952</v>
      </c>
      <c r="J16" s="30">
        <f t="shared" si="0"/>
        <v>17.252191585946751</v>
      </c>
      <c r="K16" s="30">
        <f t="shared" si="0"/>
        <v>16.736633830886689</v>
      </c>
      <c r="L16" s="30">
        <f t="shared" si="0"/>
        <v>17.235949553551055</v>
      </c>
      <c r="M16" s="30">
        <f t="shared" si="0"/>
        <v>17.346040625622326</v>
      </c>
      <c r="N16" s="30">
        <f t="shared" si="0"/>
        <v>17.653095019242993</v>
      </c>
      <c r="O16" s="30">
        <f t="shared" si="0"/>
        <v>18.817073652711745</v>
      </c>
      <c r="P16" s="30">
        <f t="shared" si="0"/>
        <v>19.096743034504019</v>
      </c>
      <c r="Q16" s="30">
        <f t="shared" si="0"/>
        <v>19.269626768968763</v>
      </c>
      <c r="R16" s="30">
        <f t="shared" si="0"/>
        <v>20.066131717113663</v>
      </c>
      <c r="S16" s="30">
        <f t="shared" si="0"/>
        <v>20.708721114271551</v>
      </c>
      <c r="T16" s="30">
        <f t="shared" si="0"/>
        <v>21.433409648397809</v>
      </c>
      <c r="U16" s="30">
        <f t="shared" si="0"/>
        <v>21.610669035441973</v>
      </c>
      <c r="V16" s="30">
        <f t="shared" si="0"/>
        <v>21.775330868374638</v>
      </c>
      <c r="W16" s="30">
        <f t="shared" si="0"/>
        <v>22.078145520029931</v>
      </c>
      <c r="X16" s="30">
        <f t="shared" si="0"/>
        <v>24.827930726968003</v>
      </c>
      <c r="Y16" s="30">
        <f t="shared" si="0"/>
        <v>28.918376918368622</v>
      </c>
      <c r="Z16" s="30">
        <f t="shared" si="0"/>
        <v>31.771393884810678</v>
      </c>
      <c r="AA16" s="30">
        <f t="shared" si="0"/>
        <v>33.744569312628172</v>
      </c>
      <c r="AB16" s="30">
        <f t="shared" si="0"/>
        <v>34.866224080264566</v>
      </c>
      <c r="AC16" s="30">
        <f t="shared" si="0"/>
        <v>37.434048907708167</v>
      </c>
      <c r="AD16" s="30">
        <f t="shared" si="0"/>
        <v>38.335882523196453</v>
      </c>
      <c r="AE16" s="30">
        <f t="shared" si="0"/>
        <v>42.292684075246157</v>
      </c>
      <c r="AF16" s="30">
        <f t="shared" si="0"/>
        <v>44.029015782261816</v>
      </c>
      <c r="AG16" s="30">
        <f t="shared" si="0"/>
        <v>45.530333856255403</v>
      </c>
      <c r="AH16" s="30">
        <f t="shared" si="0"/>
        <v>49.180269023182156</v>
      </c>
      <c r="AI16" s="30">
        <f t="shared" si="0"/>
        <v>52.327616721437209</v>
      </c>
      <c r="AJ16" s="30">
        <f t="shared" si="0"/>
        <v>54.802236729405912</v>
      </c>
      <c r="AK16" s="30">
        <f t="shared" si="0"/>
        <v>56.611179604621718</v>
      </c>
      <c r="AL16" s="30">
        <f t="shared" si="0"/>
        <v>58.010039185824887</v>
      </c>
      <c r="AM16" s="30">
        <f t="shared" si="0"/>
        <v>59.119361805879286</v>
      </c>
      <c r="AN16" s="30">
        <f t="shared" si="0"/>
        <v>64.495090420550767</v>
      </c>
      <c r="AO16" s="30">
        <f t="shared" si="0"/>
        <v>65.529247866912172</v>
      </c>
      <c r="AP16" s="30">
        <f t="shared" si="0"/>
        <v>66.798345509361127</v>
      </c>
      <c r="AQ16" s="30">
        <f t="shared" si="0"/>
        <v>68.023074758592415</v>
      </c>
      <c r="AR16" s="30">
        <f t="shared" si="0"/>
        <v>69.994692262232945</v>
      </c>
      <c r="AS16" s="30">
        <f t="shared" si="0"/>
        <v>72.114407748849345</v>
      </c>
      <c r="AT16" s="30">
        <f t="shared" si="0"/>
        <v>74.376503878546544</v>
      </c>
      <c r="AU16" s="30">
        <f t="shared" si="0"/>
        <v>78.157940627424878</v>
      </c>
      <c r="AV16" s="30">
        <f t="shared" si="0"/>
        <v>84.159768694950884</v>
      </c>
      <c r="AW16" s="30">
        <f t="shared" si="0"/>
        <v>90.913755559641004</v>
      </c>
      <c r="AX16" s="30">
        <f t="shared" si="0"/>
        <v>96.466252399589735</v>
      </c>
      <c r="AY16" s="30">
        <f t="shared" si="0"/>
        <v>100</v>
      </c>
      <c r="AZ16" s="30">
        <f t="shared" si="0"/>
        <v>116.78816348470518</v>
      </c>
      <c r="BA16" s="30">
        <f t="shared" si="0"/>
        <v>132.6238397713208</v>
      </c>
      <c r="BB16" s="30">
        <f t="shared" si="0"/>
        <v>141.49078841762727</v>
      </c>
      <c r="BC16" s="30">
        <f t="shared" si="0"/>
        <v>150.5423377431413</v>
      </c>
      <c r="BD16" s="30">
        <f t="shared" si="0"/>
        <v>163.49524934345405</v>
      </c>
      <c r="BE16" s="30">
        <f t="shared" si="0"/>
        <v>177.03810655976415</v>
      </c>
      <c r="BF16" s="30">
        <f t="shared" si="0"/>
        <v>192.94028465917145</v>
      </c>
      <c r="BG16" s="30">
        <f t="shared" si="0"/>
        <v>212.26137173836995</v>
      </c>
      <c r="BH16" s="30">
        <f t="shared" si="0"/>
        <v>226.49395169942284</v>
      </c>
      <c r="BI16" s="30">
        <f t="shared" si="0"/>
        <v>232.65673227795091</v>
      </c>
      <c r="BJ16" s="30">
        <f t="shared" si="0"/>
        <v>238.25286799410205</v>
      </c>
      <c r="BK16" s="30">
        <f t="shared" si="0"/>
        <v>240.15570222826273</v>
      </c>
      <c r="BL16" s="30">
        <f t="shared" si="0"/>
        <v>236.46332286183471</v>
      </c>
      <c r="BM16" s="30">
        <f t="shared" si="0"/>
        <v>242.95856539493946</v>
      </c>
      <c r="BN16" s="30">
        <f t="shared" si="0"/>
        <v>257.40331762744523</v>
      </c>
      <c r="BO16" s="30">
        <f t="shared" si="0"/>
        <v>269.9314976218098</v>
      </c>
      <c r="BP16" s="30">
        <f t="shared" si="0"/>
        <v>274.63210887657243</v>
      </c>
      <c r="BQ16" s="30">
        <f t="shared" si="0"/>
        <v>280.93755467677551</v>
      </c>
      <c r="BR16" s="30">
        <f t="shared" si="0"/>
        <v>286.38232352062226</v>
      </c>
      <c r="BS16" s="30">
        <f t="shared" si="0"/>
        <v>293.43960285298232</v>
      </c>
      <c r="BT16" s="30">
        <f t="shared" si="0"/>
        <v>306.46887616521531</v>
      </c>
      <c r="BU16" s="30">
        <f t="shared" ref="BU16:CU16" si="1">AVERAGE(BU4,BU6,BU8,BU10,BU12,BU14)</f>
        <v>312.42588072707218</v>
      </c>
      <c r="BV16" s="30">
        <f t="shared" si="1"/>
        <v>316.82009199748859</v>
      </c>
      <c r="BW16" s="30">
        <f t="shared" si="1"/>
        <v>324.20809950967623</v>
      </c>
      <c r="BX16" s="30">
        <f t="shared" si="1"/>
        <v>329.24564746449528</v>
      </c>
      <c r="BY16" s="30">
        <f t="shared" si="1"/>
        <v>335.32499146683239</v>
      </c>
      <c r="BZ16" s="30">
        <f t="shared" si="1"/>
        <v>346.53371782150339</v>
      </c>
      <c r="CA16" s="30">
        <f t="shared" si="1"/>
        <v>353.44738017483138</v>
      </c>
      <c r="CB16" s="30">
        <f t="shared" si="1"/>
        <v>361.34816573413599</v>
      </c>
      <c r="CC16" s="30">
        <f t="shared" si="1"/>
        <v>369.23301095560191</v>
      </c>
      <c r="CD16" s="30">
        <f t="shared" si="1"/>
        <v>414.88719135228365</v>
      </c>
      <c r="CE16" s="30">
        <f t="shared" si="1"/>
        <v>469.20514034936258</v>
      </c>
      <c r="CF16" s="30">
        <f t="shared" si="1"/>
        <v>461.08567272971823</v>
      </c>
      <c r="CG16" s="30">
        <f t="shared" si="1"/>
        <v>498.0223154772637</v>
      </c>
      <c r="CH16" s="30">
        <f t="shared" si="1"/>
        <v>569.88120333515076</v>
      </c>
      <c r="CI16" s="30">
        <f t="shared" si="1"/>
        <v>550.94063679692806</v>
      </c>
      <c r="CJ16" s="30">
        <f t="shared" si="1"/>
        <v>568.98950262971744</v>
      </c>
      <c r="CK16" s="30">
        <f t="shared" si="1"/>
        <v>611.61109612283201</v>
      </c>
      <c r="CL16" s="30">
        <f t="shared" si="1"/>
        <v>668.91932211262167</v>
      </c>
      <c r="CM16" s="30">
        <f t="shared" si="1"/>
        <v>663.24840548821396</v>
      </c>
      <c r="CN16" s="30">
        <f t="shared" si="1"/>
        <v>684.46914285042885</v>
      </c>
      <c r="CO16" s="30">
        <f t="shared" si="1"/>
        <v>675.61463308665782</v>
      </c>
      <c r="CP16" s="30">
        <f t="shared" si="1"/>
        <v>671.45639385971219</v>
      </c>
      <c r="CQ16" s="30">
        <f t="shared" si="1"/>
        <v>712.42858370229726</v>
      </c>
      <c r="CR16" s="30">
        <f t="shared" si="1"/>
        <v>755.13671434174842</v>
      </c>
      <c r="CS16" s="30">
        <f t="shared" si="1"/>
        <v>773.53929793938721</v>
      </c>
      <c r="CT16" s="30">
        <f t="shared" si="1"/>
        <v>813.080162458833</v>
      </c>
      <c r="CU16" s="30">
        <f t="shared" si="1"/>
        <v>933.02249921662576</v>
      </c>
    </row>
    <row r="17" spans="1:99" x14ac:dyDescent="0.3">
      <c r="A17" t="s">
        <v>475</v>
      </c>
    </row>
    <row r="18" spans="1:99" x14ac:dyDescent="0.3">
      <c r="H18" s="30">
        <v>18.64127633564576</v>
      </c>
      <c r="I18" s="30">
        <v>18.196868137328952</v>
      </c>
      <c r="J18" s="30">
        <v>17.252191585946751</v>
      </c>
      <c r="K18" s="30">
        <v>16.736633830886689</v>
      </c>
      <c r="L18" s="30">
        <v>17.235949553551055</v>
      </c>
      <c r="M18" s="30">
        <v>17.346040625622326</v>
      </c>
      <c r="N18" s="30">
        <v>17.653095019242993</v>
      </c>
      <c r="O18" s="30">
        <v>18.817073652711745</v>
      </c>
      <c r="P18" s="30">
        <v>19.096743034504019</v>
      </c>
      <c r="Q18" s="30">
        <v>19.269626768968763</v>
      </c>
      <c r="R18" s="30">
        <v>20.066131717113663</v>
      </c>
      <c r="S18" s="30">
        <v>20.708721114271551</v>
      </c>
      <c r="T18" s="30">
        <v>21.433409648397809</v>
      </c>
      <c r="U18" s="30">
        <v>21.610669035441973</v>
      </c>
      <c r="V18" s="30">
        <v>21.775330868374638</v>
      </c>
      <c r="W18" s="30">
        <v>22.078145520029931</v>
      </c>
      <c r="X18" s="30">
        <v>24.827930726968003</v>
      </c>
      <c r="Y18" s="30">
        <v>28.918376918368622</v>
      </c>
      <c r="Z18" s="30">
        <v>31.771393884810678</v>
      </c>
      <c r="AA18" s="30">
        <v>33.744569312628172</v>
      </c>
      <c r="AB18" s="30">
        <v>34.866224080264566</v>
      </c>
      <c r="AC18" s="30">
        <v>37.434048907708167</v>
      </c>
      <c r="AD18" s="30">
        <v>38.335882523196453</v>
      </c>
      <c r="AE18" s="30">
        <v>42.292684075246157</v>
      </c>
      <c r="AF18" s="30">
        <v>44.029015782261816</v>
      </c>
      <c r="AG18" s="30">
        <v>45.530333856255403</v>
      </c>
      <c r="AH18" s="30">
        <v>49.180269023182156</v>
      </c>
      <c r="AI18" s="30">
        <v>52.327616721437209</v>
      </c>
      <c r="AJ18" s="30">
        <v>54.802236729405912</v>
      </c>
      <c r="AK18" s="30">
        <v>56.611179604621718</v>
      </c>
      <c r="AL18" s="30">
        <v>58.010039185824887</v>
      </c>
      <c r="AM18" s="30">
        <v>59.119361805879286</v>
      </c>
      <c r="AN18" s="30">
        <v>64.495090420550767</v>
      </c>
      <c r="AO18" s="30">
        <v>65.529247866912172</v>
      </c>
      <c r="AP18" s="30">
        <v>66.798345509361127</v>
      </c>
      <c r="AQ18" s="30">
        <v>68.023074758592415</v>
      </c>
      <c r="AR18" s="30">
        <v>69.994692262232945</v>
      </c>
      <c r="AS18" s="30">
        <v>72.114407748849345</v>
      </c>
      <c r="AT18" s="30">
        <v>74.376503878546544</v>
      </c>
      <c r="AU18" s="30">
        <v>78.157940627424878</v>
      </c>
      <c r="AV18" s="30">
        <v>84.159768694950884</v>
      </c>
      <c r="AW18" s="30">
        <v>90.913755559641004</v>
      </c>
      <c r="AX18" s="30">
        <v>96.466252399589735</v>
      </c>
      <c r="AY18" s="30">
        <v>100</v>
      </c>
      <c r="AZ18" s="30">
        <v>116.78816348470518</v>
      </c>
      <c r="BA18" s="30">
        <v>132.6238397713208</v>
      </c>
      <c r="BB18" s="30">
        <v>141.49078841762727</v>
      </c>
      <c r="BC18" s="30">
        <v>150.5423377431413</v>
      </c>
      <c r="BD18" s="30">
        <v>163.49524934345405</v>
      </c>
      <c r="BE18" s="30">
        <v>177.03810655976415</v>
      </c>
      <c r="BF18" s="30">
        <v>192.94028465917145</v>
      </c>
      <c r="BG18" s="30">
        <v>212.26137173836995</v>
      </c>
      <c r="BH18" s="30">
        <v>226.49395169942284</v>
      </c>
      <c r="BI18" s="30">
        <v>232.65673227795091</v>
      </c>
      <c r="BJ18" s="30">
        <v>238.25286799410205</v>
      </c>
      <c r="BK18" s="30">
        <v>240.15570222826273</v>
      </c>
      <c r="BL18" s="30">
        <v>236.46332286183471</v>
      </c>
      <c r="BM18" s="30">
        <v>242.95856539493946</v>
      </c>
      <c r="BN18" s="30">
        <v>257.40331762744523</v>
      </c>
      <c r="BO18" s="30">
        <v>269.9314976218098</v>
      </c>
      <c r="BP18" s="30">
        <v>274.63210887657243</v>
      </c>
      <c r="BQ18" s="30">
        <v>280.93755467677551</v>
      </c>
      <c r="BR18" s="30">
        <v>286.38232352062226</v>
      </c>
      <c r="BS18" s="30">
        <v>293.43960285298232</v>
      </c>
      <c r="BT18" s="30">
        <v>306.46887616521531</v>
      </c>
      <c r="BU18" s="30">
        <v>312.42588072707218</v>
      </c>
      <c r="BV18" s="30">
        <v>316.82009199748859</v>
      </c>
      <c r="BW18" s="30">
        <v>324.20809950967623</v>
      </c>
      <c r="BX18" s="30">
        <v>329.24564746449528</v>
      </c>
      <c r="BY18" s="30">
        <v>335.32499146683239</v>
      </c>
      <c r="BZ18" s="30">
        <v>346.53371782150339</v>
      </c>
      <c r="CA18" s="30">
        <v>353.44738017483138</v>
      </c>
      <c r="CB18" s="30">
        <v>361.34816573413599</v>
      </c>
      <c r="CC18" s="30">
        <v>369.23301095560191</v>
      </c>
      <c r="CD18" s="30">
        <v>414.88719135228365</v>
      </c>
      <c r="CE18" s="30">
        <v>469.20514034936258</v>
      </c>
      <c r="CF18" s="30">
        <v>461.08567272971823</v>
      </c>
      <c r="CG18" s="30">
        <v>498.0223154772637</v>
      </c>
      <c r="CH18" s="30">
        <v>569.88120333515076</v>
      </c>
      <c r="CI18" s="30">
        <v>550.94063679692806</v>
      </c>
      <c r="CJ18" s="30">
        <v>568.98950262971744</v>
      </c>
      <c r="CK18" s="30">
        <v>611.61109612283201</v>
      </c>
      <c r="CL18" s="30">
        <v>668.91932211262167</v>
      </c>
      <c r="CM18" s="30">
        <v>663.24840548821396</v>
      </c>
      <c r="CN18" s="30">
        <v>684.46914285042885</v>
      </c>
      <c r="CO18" s="30">
        <v>675.61463308665782</v>
      </c>
      <c r="CP18" s="30">
        <v>671.45639385971219</v>
      </c>
      <c r="CQ18" s="30">
        <v>712.42858370229726</v>
      </c>
      <c r="CR18" s="30">
        <v>755.13671434174842</v>
      </c>
      <c r="CS18" s="30">
        <v>773.53929793938721</v>
      </c>
      <c r="CT18" s="30">
        <v>813.080162458833</v>
      </c>
      <c r="CU18">
        <v>933.02249921662576</v>
      </c>
    </row>
    <row r="19" spans="1:99" x14ac:dyDescent="0.3">
      <c r="E19" t="s">
        <v>66</v>
      </c>
      <c r="F19" t="s">
        <v>476</v>
      </c>
    </row>
    <row r="20" spans="1:99" x14ac:dyDescent="0.3">
      <c r="E20">
        <v>1930</v>
      </c>
      <c r="F20" s="30">
        <v>18.64127633564576</v>
      </c>
      <c r="H20" s="30"/>
    </row>
    <row r="21" spans="1:99" x14ac:dyDescent="0.3">
      <c r="E21">
        <v>1931</v>
      </c>
      <c r="F21" s="30">
        <v>18.196868137328952</v>
      </c>
      <c r="H21" s="30"/>
    </row>
    <row r="22" spans="1:99" x14ac:dyDescent="0.3">
      <c r="E22">
        <v>1932</v>
      </c>
      <c r="F22" s="30">
        <v>17.252191585946751</v>
      </c>
      <c r="H22" s="30"/>
    </row>
    <row r="23" spans="1:99" x14ac:dyDescent="0.3">
      <c r="E23">
        <v>1933</v>
      </c>
      <c r="F23" s="30">
        <v>16.736633830886689</v>
      </c>
      <c r="H23" s="30"/>
    </row>
    <row r="24" spans="1:99" x14ac:dyDescent="0.3">
      <c r="E24">
        <v>1934</v>
      </c>
      <c r="F24" s="30">
        <v>17.235949553551055</v>
      </c>
      <c r="H24" s="30"/>
    </row>
    <row r="25" spans="1:99" x14ac:dyDescent="0.3">
      <c r="E25">
        <v>1935</v>
      </c>
      <c r="F25" s="30">
        <v>17.346040625622326</v>
      </c>
      <c r="H25" s="30"/>
    </row>
    <row r="26" spans="1:99" x14ac:dyDescent="0.3">
      <c r="E26">
        <v>1936</v>
      </c>
      <c r="F26" s="30">
        <v>17.653095019242993</v>
      </c>
      <c r="H26" s="30"/>
    </row>
    <row r="27" spans="1:99" x14ac:dyDescent="0.3">
      <c r="E27">
        <v>1937</v>
      </c>
      <c r="F27" s="30">
        <v>18.817073652711745</v>
      </c>
      <c r="H27" s="30"/>
    </row>
    <row r="28" spans="1:99" x14ac:dyDescent="0.3">
      <c r="E28">
        <v>1938</v>
      </c>
      <c r="F28" s="30">
        <v>19.096743034504019</v>
      </c>
      <c r="H28" s="30"/>
    </row>
    <row r="29" spans="1:99" x14ac:dyDescent="0.3">
      <c r="E29">
        <v>1939</v>
      </c>
      <c r="F29" s="30">
        <v>19.269626768968763</v>
      </c>
      <c r="H29" s="30"/>
    </row>
    <row r="30" spans="1:99" x14ac:dyDescent="0.3">
      <c r="E30">
        <v>1940</v>
      </c>
      <c r="F30" s="30">
        <v>20.066131717113663</v>
      </c>
      <c r="H30" s="30"/>
    </row>
    <row r="31" spans="1:99" x14ac:dyDescent="0.3">
      <c r="E31">
        <v>1941</v>
      </c>
      <c r="F31" s="30">
        <v>20.708721114271551</v>
      </c>
      <c r="H31" s="30"/>
    </row>
    <row r="32" spans="1:99" x14ac:dyDescent="0.3">
      <c r="E32">
        <v>1942</v>
      </c>
      <c r="F32" s="30">
        <v>21.433409648397809</v>
      </c>
      <c r="H32" s="30"/>
    </row>
    <row r="33" spans="5:8" x14ac:dyDescent="0.3">
      <c r="E33">
        <v>1943</v>
      </c>
      <c r="F33" s="30">
        <v>21.610669035441973</v>
      </c>
      <c r="H33" s="30"/>
    </row>
    <row r="34" spans="5:8" x14ac:dyDescent="0.3">
      <c r="E34">
        <v>1944</v>
      </c>
      <c r="F34" s="30">
        <v>21.775330868374638</v>
      </c>
      <c r="H34" s="30"/>
    </row>
    <row r="35" spans="5:8" x14ac:dyDescent="0.3">
      <c r="E35">
        <v>1945</v>
      </c>
      <c r="F35" s="30">
        <v>22.078145520029931</v>
      </c>
      <c r="H35" s="30"/>
    </row>
    <row r="36" spans="5:8" x14ac:dyDescent="0.3">
      <c r="E36">
        <v>1946</v>
      </c>
      <c r="F36" s="30">
        <v>24.827930726968003</v>
      </c>
      <c r="H36" s="30"/>
    </row>
    <row r="37" spans="5:8" x14ac:dyDescent="0.3">
      <c r="E37">
        <v>1947</v>
      </c>
      <c r="F37" s="30">
        <v>28.918376918368622</v>
      </c>
      <c r="H37" s="30"/>
    </row>
    <row r="38" spans="5:8" x14ac:dyDescent="0.3">
      <c r="E38">
        <v>1948</v>
      </c>
      <c r="F38" s="30">
        <v>31.771393884810678</v>
      </c>
      <c r="H38" s="30"/>
    </row>
    <row r="39" spans="5:8" x14ac:dyDescent="0.3">
      <c r="E39">
        <v>1949</v>
      </c>
      <c r="F39" s="30">
        <v>33.744569312628172</v>
      </c>
      <c r="H39" s="30"/>
    </row>
    <row r="40" spans="5:8" x14ac:dyDescent="0.3">
      <c r="E40">
        <v>1950</v>
      </c>
      <c r="F40" s="30">
        <v>34.866224080264566</v>
      </c>
      <c r="H40" s="30"/>
    </row>
    <row r="41" spans="5:8" x14ac:dyDescent="0.3">
      <c r="E41">
        <v>1951</v>
      </c>
      <c r="F41" s="30">
        <v>37.434048907708167</v>
      </c>
      <c r="H41" s="30"/>
    </row>
    <row r="42" spans="5:8" x14ac:dyDescent="0.3">
      <c r="E42">
        <v>1952</v>
      </c>
      <c r="F42" s="30">
        <v>38.335882523196453</v>
      </c>
      <c r="H42" s="30"/>
    </row>
    <row r="43" spans="5:8" x14ac:dyDescent="0.3">
      <c r="E43">
        <v>1953</v>
      </c>
      <c r="F43" s="30">
        <v>42.292684075246157</v>
      </c>
      <c r="H43" s="30"/>
    </row>
    <row r="44" spans="5:8" x14ac:dyDescent="0.3">
      <c r="E44">
        <v>1954</v>
      </c>
      <c r="F44" s="30">
        <v>44.029015782261816</v>
      </c>
      <c r="H44" s="30"/>
    </row>
    <row r="45" spans="5:8" x14ac:dyDescent="0.3">
      <c r="E45">
        <v>1955</v>
      </c>
      <c r="F45" s="30">
        <v>45.530333856255403</v>
      </c>
      <c r="H45" s="30"/>
    </row>
    <row r="46" spans="5:8" x14ac:dyDescent="0.3">
      <c r="E46">
        <v>1956</v>
      </c>
      <c r="F46" s="30">
        <v>49.180269023182156</v>
      </c>
      <c r="H46" s="30"/>
    </row>
    <row r="47" spans="5:8" x14ac:dyDescent="0.3">
      <c r="E47">
        <v>1957</v>
      </c>
      <c r="F47" s="30">
        <v>52.327616721437209</v>
      </c>
      <c r="H47" s="30"/>
    </row>
    <row r="48" spans="5:8" x14ac:dyDescent="0.3">
      <c r="E48">
        <v>1958</v>
      </c>
      <c r="F48" s="30">
        <v>54.802236729405912</v>
      </c>
      <c r="H48" s="30"/>
    </row>
    <row r="49" spans="5:8" x14ac:dyDescent="0.3">
      <c r="E49">
        <v>1959</v>
      </c>
      <c r="F49" s="30">
        <v>56.611179604621718</v>
      </c>
      <c r="H49" s="30"/>
    </row>
    <row r="50" spans="5:8" x14ac:dyDescent="0.3">
      <c r="E50">
        <v>1960</v>
      </c>
      <c r="F50" s="30">
        <v>58.010039185824887</v>
      </c>
      <c r="H50" s="30"/>
    </row>
    <row r="51" spans="5:8" x14ac:dyDescent="0.3">
      <c r="E51">
        <v>1961</v>
      </c>
      <c r="F51" s="30">
        <v>59.119361805879286</v>
      </c>
      <c r="H51" s="30"/>
    </row>
    <row r="52" spans="5:8" x14ac:dyDescent="0.3">
      <c r="E52">
        <v>1962</v>
      </c>
      <c r="F52" s="30">
        <v>64.495090420550767</v>
      </c>
      <c r="H52" s="30"/>
    </row>
    <row r="53" spans="5:8" x14ac:dyDescent="0.3">
      <c r="E53">
        <v>1963</v>
      </c>
      <c r="F53" s="30">
        <v>65.529247866912172</v>
      </c>
      <c r="H53" s="30"/>
    </row>
    <row r="54" spans="5:8" x14ac:dyDescent="0.3">
      <c r="E54">
        <v>1964</v>
      </c>
      <c r="F54" s="30">
        <v>66.798345509361127</v>
      </c>
      <c r="H54" s="30"/>
    </row>
    <row r="55" spans="5:8" x14ac:dyDescent="0.3">
      <c r="E55">
        <v>1965</v>
      </c>
      <c r="F55" s="30">
        <v>68.023074758592415</v>
      </c>
      <c r="H55" s="30"/>
    </row>
    <row r="56" spans="5:8" x14ac:dyDescent="0.3">
      <c r="E56">
        <v>1966</v>
      </c>
      <c r="F56" s="30">
        <v>69.994692262232945</v>
      </c>
      <c r="H56" s="30"/>
    </row>
    <row r="57" spans="5:8" x14ac:dyDescent="0.3">
      <c r="E57">
        <v>1967</v>
      </c>
      <c r="F57" s="30">
        <v>72.114407748849345</v>
      </c>
      <c r="H57" s="30"/>
    </row>
    <row r="58" spans="5:8" x14ac:dyDescent="0.3">
      <c r="E58">
        <v>1968</v>
      </c>
      <c r="F58" s="30">
        <v>74.376503878546544</v>
      </c>
      <c r="H58" s="30"/>
    </row>
    <row r="59" spans="5:8" x14ac:dyDescent="0.3">
      <c r="E59">
        <v>1969</v>
      </c>
      <c r="F59" s="30">
        <v>78.157940627424878</v>
      </c>
      <c r="H59" s="30"/>
    </row>
    <row r="60" spans="5:8" x14ac:dyDescent="0.3">
      <c r="E60">
        <v>1970</v>
      </c>
      <c r="F60" s="30">
        <v>84.159768694950884</v>
      </c>
      <c r="H60" s="30"/>
    </row>
    <row r="61" spans="5:8" x14ac:dyDescent="0.3">
      <c r="E61">
        <v>1971</v>
      </c>
      <c r="F61" s="30">
        <v>90.913755559641004</v>
      </c>
      <c r="H61" s="30"/>
    </row>
    <row r="62" spans="5:8" x14ac:dyDescent="0.3">
      <c r="E62">
        <v>1972</v>
      </c>
      <c r="F62" s="30">
        <v>96.466252399589735</v>
      </c>
      <c r="H62" s="30"/>
    </row>
    <row r="63" spans="5:8" x14ac:dyDescent="0.3">
      <c r="E63">
        <v>1973</v>
      </c>
      <c r="F63" s="30">
        <v>100</v>
      </c>
      <c r="H63" s="30"/>
    </row>
    <row r="64" spans="5:8" x14ac:dyDescent="0.3">
      <c r="E64">
        <v>1974</v>
      </c>
      <c r="F64" s="30">
        <v>116.78816348470518</v>
      </c>
      <c r="H64" s="30"/>
    </row>
    <row r="65" spans="5:8" x14ac:dyDescent="0.3">
      <c r="E65">
        <v>1975</v>
      </c>
      <c r="F65" s="30">
        <v>132.6238397713208</v>
      </c>
      <c r="H65" s="30"/>
    </row>
    <row r="66" spans="5:8" x14ac:dyDescent="0.3">
      <c r="E66">
        <v>1976</v>
      </c>
      <c r="F66" s="30">
        <v>141.49078841762727</v>
      </c>
      <c r="H66" s="30"/>
    </row>
    <row r="67" spans="5:8" x14ac:dyDescent="0.3">
      <c r="E67">
        <v>1977</v>
      </c>
      <c r="F67" s="30">
        <v>150.5423377431413</v>
      </c>
      <c r="H67" s="30"/>
    </row>
    <row r="68" spans="5:8" x14ac:dyDescent="0.3">
      <c r="E68">
        <v>1978</v>
      </c>
      <c r="F68" s="30">
        <v>163.49524934345405</v>
      </c>
      <c r="H68" s="30"/>
    </row>
    <row r="69" spans="5:8" x14ac:dyDescent="0.3">
      <c r="E69">
        <v>1979</v>
      </c>
      <c r="F69" s="30">
        <v>177.03810655976415</v>
      </c>
      <c r="H69" s="30"/>
    </row>
    <row r="70" spans="5:8" x14ac:dyDescent="0.3">
      <c r="E70">
        <v>1980</v>
      </c>
      <c r="F70" s="30">
        <v>192.94028465917145</v>
      </c>
      <c r="H70" s="30"/>
    </row>
    <row r="71" spans="5:8" x14ac:dyDescent="0.3">
      <c r="E71">
        <v>1981</v>
      </c>
      <c r="F71" s="30">
        <v>212.26137173836995</v>
      </c>
      <c r="H71" s="30"/>
    </row>
    <row r="72" spans="5:8" x14ac:dyDescent="0.3">
      <c r="E72">
        <v>1982</v>
      </c>
      <c r="F72" s="30">
        <v>226.49395169942284</v>
      </c>
      <c r="H72" s="30"/>
    </row>
    <row r="73" spans="5:8" x14ac:dyDescent="0.3">
      <c r="E73">
        <v>1983</v>
      </c>
      <c r="F73" s="30">
        <v>232.65673227795091</v>
      </c>
      <c r="H73" s="30"/>
    </row>
    <row r="74" spans="5:8" x14ac:dyDescent="0.3">
      <c r="E74">
        <v>1984</v>
      </c>
      <c r="F74" s="30">
        <v>238.25286799410205</v>
      </c>
      <c r="H74" s="30"/>
    </row>
    <row r="75" spans="5:8" x14ac:dyDescent="0.3">
      <c r="E75">
        <v>1985</v>
      </c>
      <c r="F75" s="30">
        <v>240.15570222826273</v>
      </c>
      <c r="H75" s="30"/>
    </row>
    <row r="76" spans="5:8" x14ac:dyDescent="0.3">
      <c r="E76">
        <v>1986</v>
      </c>
      <c r="F76" s="30">
        <v>236.46332286183471</v>
      </c>
      <c r="H76" s="30"/>
    </row>
    <row r="77" spans="5:8" x14ac:dyDescent="0.3">
      <c r="E77">
        <v>1987</v>
      </c>
      <c r="F77" s="30">
        <v>242.95856539493946</v>
      </c>
      <c r="H77" s="30"/>
    </row>
    <row r="78" spans="5:8" x14ac:dyDescent="0.3">
      <c r="E78">
        <v>1988</v>
      </c>
      <c r="F78" s="30">
        <v>257.40331762744523</v>
      </c>
      <c r="H78" s="30"/>
    </row>
    <row r="79" spans="5:8" x14ac:dyDescent="0.3">
      <c r="E79">
        <v>1989</v>
      </c>
      <c r="F79" s="30">
        <v>269.9314976218098</v>
      </c>
      <c r="H79" s="30"/>
    </row>
    <row r="80" spans="5:8" x14ac:dyDescent="0.3">
      <c r="E80">
        <v>1990</v>
      </c>
      <c r="F80" s="30">
        <v>274.63210887657243</v>
      </c>
      <c r="H80" s="30"/>
    </row>
    <row r="81" spans="5:8" x14ac:dyDescent="0.3">
      <c r="E81">
        <v>1991</v>
      </c>
      <c r="F81" s="30">
        <v>280.93755467677551</v>
      </c>
      <c r="H81" s="30"/>
    </row>
    <row r="82" spans="5:8" x14ac:dyDescent="0.3">
      <c r="E82">
        <v>1992</v>
      </c>
      <c r="F82" s="30">
        <v>286.38232352062226</v>
      </c>
      <c r="H82" s="30"/>
    </row>
    <row r="83" spans="5:8" x14ac:dyDescent="0.3">
      <c r="E83">
        <v>1993</v>
      </c>
      <c r="F83" s="30">
        <v>293.43960285298232</v>
      </c>
      <c r="H83" s="30"/>
    </row>
    <row r="84" spans="5:8" x14ac:dyDescent="0.3">
      <c r="E84">
        <v>1994</v>
      </c>
      <c r="F84" s="30">
        <v>306.46887616521531</v>
      </c>
      <c r="H84" s="30"/>
    </row>
    <row r="85" spans="5:8" x14ac:dyDescent="0.3">
      <c r="E85">
        <v>1995</v>
      </c>
      <c r="F85" s="30">
        <v>312.42588072707218</v>
      </c>
      <c r="H85" s="30"/>
    </row>
    <row r="86" spans="5:8" x14ac:dyDescent="0.3">
      <c r="E86">
        <v>1996</v>
      </c>
      <c r="F86" s="30">
        <v>316.82009199748859</v>
      </c>
      <c r="H86" s="30"/>
    </row>
    <row r="87" spans="5:8" x14ac:dyDescent="0.3">
      <c r="E87">
        <v>1997</v>
      </c>
      <c r="F87" s="30">
        <v>324.20809950967623</v>
      </c>
      <c r="H87" s="30"/>
    </row>
    <row r="88" spans="5:8" x14ac:dyDescent="0.3">
      <c r="E88">
        <v>1998</v>
      </c>
      <c r="F88" s="30">
        <v>329.24564746449528</v>
      </c>
      <c r="H88" s="30"/>
    </row>
    <row r="89" spans="5:8" x14ac:dyDescent="0.3">
      <c r="E89">
        <v>1999</v>
      </c>
      <c r="F89" s="30">
        <v>335.32499146683239</v>
      </c>
      <c r="H89" s="30"/>
    </row>
    <row r="90" spans="5:8" x14ac:dyDescent="0.3">
      <c r="E90">
        <v>2000</v>
      </c>
      <c r="F90" s="30">
        <v>346.53371782150339</v>
      </c>
      <c r="H90" s="30"/>
    </row>
    <row r="91" spans="5:8" x14ac:dyDescent="0.3">
      <c r="E91">
        <v>2001</v>
      </c>
      <c r="F91" s="30">
        <v>353.44738017483138</v>
      </c>
      <c r="H91" s="30"/>
    </row>
    <row r="92" spans="5:8" x14ac:dyDescent="0.3">
      <c r="E92">
        <v>2002</v>
      </c>
      <c r="F92" s="30">
        <v>361.34816573413599</v>
      </c>
      <c r="H92" s="30"/>
    </row>
    <row r="93" spans="5:8" x14ac:dyDescent="0.3">
      <c r="E93">
        <v>2003</v>
      </c>
      <c r="F93" s="30">
        <v>369.23301095560191</v>
      </c>
      <c r="H93" s="30"/>
    </row>
    <row r="94" spans="5:8" x14ac:dyDescent="0.3">
      <c r="E94">
        <v>2004</v>
      </c>
      <c r="F94" s="30">
        <v>414.88719135228365</v>
      </c>
      <c r="H94" s="30"/>
    </row>
    <row r="95" spans="5:8" x14ac:dyDescent="0.3">
      <c r="E95">
        <v>2005</v>
      </c>
      <c r="F95" s="30">
        <v>469.20514034936258</v>
      </c>
      <c r="H95" s="30"/>
    </row>
    <row r="96" spans="5:8" x14ac:dyDescent="0.3">
      <c r="E96">
        <v>2006</v>
      </c>
      <c r="F96" s="30">
        <v>461.08567272971823</v>
      </c>
      <c r="H96" s="30"/>
    </row>
    <row r="97" spans="5:8" x14ac:dyDescent="0.3">
      <c r="E97">
        <v>2007</v>
      </c>
      <c r="F97" s="30">
        <v>498.0223154772637</v>
      </c>
      <c r="H97" s="30"/>
    </row>
    <row r="98" spans="5:8" x14ac:dyDescent="0.3">
      <c r="E98">
        <v>2008</v>
      </c>
      <c r="F98" s="30">
        <v>569.88120333515076</v>
      </c>
      <c r="H98" s="30"/>
    </row>
    <row r="99" spans="5:8" x14ac:dyDescent="0.3">
      <c r="E99">
        <v>2009</v>
      </c>
      <c r="F99" s="30">
        <v>550.94063679692806</v>
      </c>
      <c r="H99" s="30"/>
    </row>
    <row r="100" spans="5:8" x14ac:dyDescent="0.3">
      <c r="E100">
        <v>2010</v>
      </c>
      <c r="F100" s="30">
        <v>568.98950262971744</v>
      </c>
      <c r="H100" s="30"/>
    </row>
    <row r="101" spans="5:8" x14ac:dyDescent="0.3">
      <c r="E101">
        <v>2011</v>
      </c>
      <c r="F101" s="30">
        <v>611.61109612283201</v>
      </c>
      <c r="H101" s="30"/>
    </row>
    <row r="102" spans="5:8" x14ac:dyDescent="0.3">
      <c r="E102">
        <v>2012</v>
      </c>
      <c r="F102" s="30">
        <v>668.91932211262167</v>
      </c>
      <c r="H102" s="30"/>
    </row>
    <row r="103" spans="5:8" x14ac:dyDescent="0.3">
      <c r="E103">
        <v>2013</v>
      </c>
      <c r="F103" s="30">
        <v>663.24840548821396</v>
      </c>
      <c r="H103" s="30"/>
    </row>
    <row r="104" spans="5:8" x14ac:dyDescent="0.3">
      <c r="E104">
        <v>2014</v>
      </c>
      <c r="F104" s="30">
        <v>684.46914285042885</v>
      </c>
      <c r="H104" s="30"/>
    </row>
    <row r="105" spans="5:8" x14ac:dyDescent="0.3">
      <c r="E105">
        <v>2015</v>
      </c>
      <c r="F105" s="30">
        <v>675.61463308665782</v>
      </c>
      <c r="H105" s="30"/>
    </row>
    <row r="106" spans="5:8" x14ac:dyDescent="0.3">
      <c r="E106">
        <v>2016</v>
      </c>
      <c r="F106" s="30">
        <v>671.45639385971219</v>
      </c>
      <c r="H106" s="30"/>
    </row>
    <row r="107" spans="5:8" x14ac:dyDescent="0.3">
      <c r="E107">
        <v>2017</v>
      </c>
      <c r="F107" s="30">
        <v>712.42858370229726</v>
      </c>
      <c r="H107" s="30"/>
    </row>
    <row r="108" spans="5:8" x14ac:dyDescent="0.3">
      <c r="E108">
        <v>2018</v>
      </c>
      <c r="F108" s="30">
        <v>755.13671434174842</v>
      </c>
      <c r="H108" s="30"/>
    </row>
    <row r="109" spans="5:8" x14ac:dyDescent="0.3">
      <c r="E109">
        <v>2019</v>
      </c>
      <c r="F109" s="30">
        <v>773.53929793938721</v>
      </c>
      <c r="H109" s="30"/>
    </row>
    <row r="110" spans="5:8" x14ac:dyDescent="0.3">
      <c r="E110">
        <v>2020</v>
      </c>
      <c r="F110" s="30">
        <v>813.080162458833</v>
      </c>
      <c r="H110" s="30"/>
    </row>
    <row r="111" spans="5:8" x14ac:dyDescent="0.3">
      <c r="E111">
        <v>2021</v>
      </c>
      <c r="F111" s="30">
        <v>933.02249921662576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F8AA-7438-49A0-8BAC-7BD4D327B328}">
  <dimension ref="A3:Z91"/>
  <sheetViews>
    <sheetView topLeftCell="B1" zoomScaleNormal="100" workbookViewId="0">
      <selection activeCell="Y6" sqref="Y6"/>
    </sheetView>
  </sheetViews>
  <sheetFormatPr defaultRowHeight="13.2" x14ac:dyDescent="0.25"/>
  <cols>
    <col min="1" max="1" width="48.5546875" style="1" customWidth="1"/>
    <col min="2" max="2" width="16.33203125" style="1" customWidth="1"/>
    <col min="3" max="3" width="17.5546875" style="1" customWidth="1"/>
    <col min="4" max="256" width="9.33203125" style="1"/>
    <col min="257" max="257" width="48.5546875" style="1" customWidth="1"/>
    <col min="258" max="258" width="16.33203125" style="1" customWidth="1"/>
    <col min="259" max="259" width="17.5546875" style="1" customWidth="1"/>
    <col min="260" max="512" width="9.33203125" style="1"/>
    <col min="513" max="513" width="48.5546875" style="1" customWidth="1"/>
    <col min="514" max="514" width="16.33203125" style="1" customWidth="1"/>
    <col min="515" max="515" width="17.5546875" style="1" customWidth="1"/>
    <col min="516" max="768" width="9.33203125" style="1"/>
    <col min="769" max="769" width="48.5546875" style="1" customWidth="1"/>
    <col min="770" max="770" width="16.33203125" style="1" customWidth="1"/>
    <col min="771" max="771" width="17.5546875" style="1" customWidth="1"/>
    <col min="772" max="1024" width="9.33203125" style="1"/>
    <col min="1025" max="1025" width="48.5546875" style="1" customWidth="1"/>
    <col min="1026" max="1026" width="16.33203125" style="1" customWidth="1"/>
    <col min="1027" max="1027" width="17.5546875" style="1" customWidth="1"/>
    <col min="1028" max="1280" width="9.33203125" style="1"/>
    <col min="1281" max="1281" width="48.5546875" style="1" customWidth="1"/>
    <col min="1282" max="1282" width="16.33203125" style="1" customWidth="1"/>
    <col min="1283" max="1283" width="17.5546875" style="1" customWidth="1"/>
    <col min="1284" max="1536" width="9.33203125" style="1"/>
    <col min="1537" max="1537" width="48.5546875" style="1" customWidth="1"/>
    <col min="1538" max="1538" width="16.33203125" style="1" customWidth="1"/>
    <col min="1539" max="1539" width="17.5546875" style="1" customWidth="1"/>
    <col min="1540" max="1792" width="9.33203125" style="1"/>
    <col min="1793" max="1793" width="48.5546875" style="1" customWidth="1"/>
    <col min="1794" max="1794" width="16.33203125" style="1" customWidth="1"/>
    <col min="1795" max="1795" width="17.5546875" style="1" customWidth="1"/>
    <col min="1796" max="2048" width="9.33203125" style="1"/>
    <col min="2049" max="2049" width="48.5546875" style="1" customWidth="1"/>
    <col min="2050" max="2050" width="16.33203125" style="1" customWidth="1"/>
    <col min="2051" max="2051" width="17.5546875" style="1" customWidth="1"/>
    <col min="2052" max="2304" width="9.33203125" style="1"/>
    <col min="2305" max="2305" width="48.5546875" style="1" customWidth="1"/>
    <col min="2306" max="2306" width="16.33203125" style="1" customWidth="1"/>
    <col min="2307" max="2307" width="17.5546875" style="1" customWidth="1"/>
    <col min="2308" max="2560" width="9.33203125" style="1"/>
    <col min="2561" max="2561" width="48.5546875" style="1" customWidth="1"/>
    <col min="2562" max="2562" width="16.33203125" style="1" customWidth="1"/>
    <col min="2563" max="2563" width="17.5546875" style="1" customWidth="1"/>
    <col min="2564" max="2816" width="9.33203125" style="1"/>
    <col min="2817" max="2817" width="48.5546875" style="1" customWidth="1"/>
    <col min="2818" max="2818" width="16.33203125" style="1" customWidth="1"/>
    <col min="2819" max="2819" width="17.5546875" style="1" customWidth="1"/>
    <col min="2820" max="3072" width="9.33203125" style="1"/>
    <col min="3073" max="3073" width="48.5546875" style="1" customWidth="1"/>
    <col min="3074" max="3074" width="16.33203125" style="1" customWidth="1"/>
    <col min="3075" max="3075" width="17.5546875" style="1" customWidth="1"/>
    <col min="3076" max="3328" width="9.33203125" style="1"/>
    <col min="3329" max="3329" width="48.5546875" style="1" customWidth="1"/>
    <col min="3330" max="3330" width="16.33203125" style="1" customWidth="1"/>
    <col min="3331" max="3331" width="17.5546875" style="1" customWidth="1"/>
    <col min="3332" max="3584" width="9.33203125" style="1"/>
    <col min="3585" max="3585" width="48.5546875" style="1" customWidth="1"/>
    <col min="3586" max="3586" width="16.33203125" style="1" customWidth="1"/>
    <col min="3587" max="3587" width="17.5546875" style="1" customWidth="1"/>
    <col min="3588" max="3840" width="9.33203125" style="1"/>
    <col min="3841" max="3841" width="48.5546875" style="1" customWidth="1"/>
    <col min="3842" max="3842" width="16.33203125" style="1" customWidth="1"/>
    <col min="3843" max="3843" width="17.5546875" style="1" customWidth="1"/>
    <col min="3844" max="4096" width="9.33203125" style="1"/>
    <col min="4097" max="4097" width="48.5546875" style="1" customWidth="1"/>
    <col min="4098" max="4098" width="16.33203125" style="1" customWidth="1"/>
    <col min="4099" max="4099" width="17.5546875" style="1" customWidth="1"/>
    <col min="4100" max="4352" width="9.33203125" style="1"/>
    <col min="4353" max="4353" width="48.5546875" style="1" customWidth="1"/>
    <col min="4354" max="4354" width="16.33203125" style="1" customWidth="1"/>
    <col min="4355" max="4355" width="17.5546875" style="1" customWidth="1"/>
    <col min="4356" max="4608" width="9.33203125" style="1"/>
    <col min="4609" max="4609" width="48.5546875" style="1" customWidth="1"/>
    <col min="4610" max="4610" width="16.33203125" style="1" customWidth="1"/>
    <col min="4611" max="4611" width="17.5546875" style="1" customWidth="1"/>
    <col min="4612" max="4864" width="9.33203125" style="1"/>
    <col min="4865" max="4865" width="48.5546875" style="1" customWidth="1"/>
    <col min="4866" max="4866" width="16.33203125" style="1" customWidth="1"/>
    <col min="4867" max="4867" width="17.5546875" style="1" customWidth="1"/>
    <col min="4868" max="5120" width="9.33203125" style="1"/>
    <col min="5121" max="5121" width="48.5546875" style="1" customWidth="1"/>
    <col min="5122" max="5122" width="16.33203125" style="1" customWidth="1"/>
    <col min="5123" max="5123" width="17.5546875" style="1" customWidth="1"/>
    <col min="5124" max="5376" width="9.33203125" style="1"/>
    <col min="5377" max="5377" width="48.5546875" style="1" customWidth="1"/>
    <col min="5378" max="5378" width="16.33203125" style="1" customWidth="1"/>
    <col min="5379" max="5379" width="17.5546875" style="1" customWidth="1"/>
    <col min="5380" max="5632" width="9.33203125" style="1"/>
    <col min="5633" max="5633" width="48.5546875" style="1" customWidth="1"/>
    <col min="5634" max="5634" width="16.33203125" style="1" customWidth="1"/>
    <col min="5635" max="5635" width="17.5546875" style="1" customWidth="1"/>
    <col min="5636" max="5888" width="9.33203125" style="1"/>
    <col min="5889" max="5889" width="48.5546875" style="1" customWidth="1"/>
    <col min="5890" max="5890" width="16.33203125" style="1" customWidth="1"/>
    <col min="5891" max="5891" width="17.5546875" style="1" customWidth="1"/>
    <col min="5892" max="6144" width="9.33203125" style="1"/>
    <col min="6145" max="6145" width="48.5546875" style="1" customWidth="1"/>
    <col min="6146" max="6146" width="16.33203125" style="1" customWidth="1"/>
    <col min="6147" max="6147" width="17.5546875" style="1" customWidth="1"/>
    <col min="6148" max="6400" width="9.33203125" style="1"/>
    <col min="6401" max="6401" width="48.5546875" style="1" customWidth="1"/>
    <col min="6402" max="6402" width="16.33203125" style="1" customWidth="1"/>
    <col min="6403" max="6403" width="17.5546875" style="1" customWidth="1"/>
    <col min="6404" max="6656" width="9.33203125" style="1"/>
    <col min="6657" max="6657" width="48.5546875" style="1" customWidth="1"/>
    <col min="6658" max="6658" width="16.33203125" style="1" customWidth="1"/>
    <col min="6659" max="6659" width="17.5546875" style="1" customWidth="1"/>
    <col min="6660" max="6912" width="9.33203125" style="1"/>
    <col min="6913" max="6913" width="48.5546875" style="1" customWidth="1"/>
    <col min="6914" max="6914" width="16.33203125" style="1" customWidth="1"/>
    <col min="6915" max="6915" width="17.5546875" style="1" customWidth="1"/>
    <col min="6916" max="7168" width="9.33203125" style="1"/>
    <col min="7169" max="7169" width="48.5546875" style="1" customWidth="1"/>
    <col min="7170" max="7170" width="16.33203125" style="1" customWidth="1"/>
    <col min="7171" max="7171" width="17.5546875" style="1" customWidth="1"/>
    <col min="7172" max="7424" width="9.33203125" style="1"/>
    <col min="7425" max="7425" width="48.5546875" style="1" customWidth="1"/>
    <col min="7426" max="7426" width="16.33203125" style="1" customWidth="1"/>
    <col min="7427" max="7427" width="17.5546875" style="1" customWidth="1"/>
    <col min="7428" max="7680" width="9.33203125" style="1"/>
    <col min="7681" max="7681" width="48.5546875" style="1" customWidth="1"/>
    <col min="7682" max="7682" width="16.33203125" style="1" customWidth="1"/>
    <col min="7683" max="7683" width="17.5546875" style="1" customWidth="1"/>
    <col min="7684" max="7936" width="9.33203125" style="1"/>
    <col min="7937" max="7937" width="48.5546875" style="1" customWidth="1"/>
    <col min="7938" max="7938" width="16.33203125" style="1" customWidth="1"/>
    <col min="7939" max="7939" width="17.5546875" style="1" customWidth="1"/>
    <col min="7940" max="8192" width="9.33203125" style="1"/>
    <col min="8193" max="8193" width="48.5546875" style="1" customWidth="1"/>
    <col min="8194" max="8194" width="16.33203125" style="1" customWidth="1"/>
    <col min="8195" max="8195" width="17.5546875" style="1" customWidth="1"/>
    <col min="8196" max="8448" width="9.33203125" style="1"/>
    <col min="8449" max="8449" width="48.5546875" style="1" customWidth="1"/>
    <col min="8450" max="8450" width="16.33203125" style="1" customWidth="1"/>
    <col min="8451" max="8451" width="17.5546875" style="1" customWidth="1"/>
    <col min="8452" max="8704" width="9.33203125" style="1"/>
    <col min="8705" max="8705" width="48.5546875" style="1" customWidth="1"/>
    <col min="8706" max="8706" width="16.33203125" style="1" customWidth="1"/>
    <col min="8707" max="8707" width="17.5546875" style="1" customWidth="1"/>
    <col min="8708" max="8960" width="9.33203125" style="1"/>
    <col min="8961" max="8961" width="48.5546875" style="1" customWidth="1"/>
    <col min="8962" max="8962" width="16.33203125" style="1" customWidth="1"/>
    <col min="8963" max="8963" width="17.5546875" style="1" customWidth="1"/>
    <col min="8964" max="9216" width="9.33203125" style="1"/>
    <col min="9217" max="9217" width="48.5546875" style="1" customWidth="1"/>
    <col min="9218" max="9218" width="16.33203125" style="1" customWidth="1"/>
    <col min="9219" max="9219" width="17.5546875" style="1" customWidth="1"/>
    <col min="9220" max="9472" width="9.33203125" style="1"/>
    <col min="9473" max="9473" width="48.5546875" style="1" customWidth="1"/>
    <col min="9474" max="9474" width="16.33203125" style="1" customWidth="1"/>
    <col min="9475" max="9475" width="17.5546875" style="1" customWidth="1"/>
    <col min="9476" max="9728" width="9.33203125" style="1"/>
    <col min="9729" max="9729" width="48.5546875" style="1" customWidth="1"/>
    <col min="9730" max="9730" width="16.33203125" style="1" customWidth="1"/>
    <col min="9731" max="9731" width="17.5546875" style="1" customWidth="1"/>
    <col min="9732" max="9984" width="9.33203125" style="1"/>
    <col min="9985" max="9985" width="48.5546875" style="1" customWidth="1"/>
    <col min="9986" max="9986" width="16.33203125" style="1" customWidth="1"/>
    <col min="9987" max="9987" width="17.5546875" style="1" customWidth="1"/>
    <col min="9988" max="10240" width="9.33203125" style="1"/>
    <col min="10241" max="10241" width="48.5546875" style="1" customWidth="1"/>
    <col min="10242" max="10242" width="16.33203125" style="1" customWidth="1"/>
    <col min="10243" max="10243" width="17.5546875" style="1" customWidth="1"/>
    <col min="10244" max="10496" width="9.33203125" style="1"/>
    <col min="10497" max="10497" width="48.5546875" style="1" customWidth="1"/>
    <col min="10498" max="10498" width="16.33203125" style="1" customWidth="1"/>
    <col min="10499" max="10499" width="17.5546875" style="1" customWidth="1"/>
    <col min="10500" max="10752" width="9.33203125" style="1"/>
    <col min="10753" max="10753" width="48.5546875" style="1" customWidth="1"/>
    <col min="10754" max="10754" width="16.33203125" style="1" customWidth="1"/>
    <col min="10755" max="10755" width="17.5546875" style="1" customWidth="1"/>
    <col min="10756" max="11008" width="9.33203125" style="1"/>
    <col min="11009" max="11009" width="48.5546875" style="1" customWidth="1"/>
    <col min="11010" max="11010" width="16.33203125" style="1" customWidth="1"/>
    <col min="11011" max="11011" width="17.5546875" style="1" customWidth="1"/>
    <col min="11012" max="11264" width="9.33203125" style="1"/>
    <col min="11265" max="11265" width="48.5546875" style="1" customWidth="1"/>
    <col min="11266" max="11266" width="16.33203125" style="1" customWidth="1"/>
    <col min="11267" max="11267" width="17.5546875" style="1" customWidth="1"/>
    <col min="11268" max="11520" width="9.33203125" style="1"/>
    <col min="11521" max="11521" width="48.5546875" style="1" customWidth="1"/>
    <col min="11522" max="11522" width="16.33203125" style="1" customWidth="1"/>
    <col min="11523" max="11523" width="17.5546875" style="1" customWidth="1"/>
    <col min="11524" max="11776" width="9.33203125" style="1"/>
    <col min="11777" max="11777" width="48.5546875" style="1" customWidth="1"/>
    <col min="11778" max="11778" width="16.33203125" style="1" customWidth="1"/>
    <col min="11779" max="11779" width="17.5546875" style="1" customWidth="1"/>
    <col min="11780" max="12032" width="9.33203125" style="1"/>
    <col min="12033" max="12033" width="48.5546875" style="1" customWidth="1"/>
    <col min="12034" max="12034" width="16.33203125" style="1" customWidth="1"/>
    <col min="12035" max="12035" width="17.5546875" style="1" customWidth="1"/>
    <col min="12036" max="12288" width="9.33203125" style="1"/>
    <col min="12289" max="12289" width="48.5546875" style="1" customWidth="1"/>
    <col min="12290" max="12290" width="16.33203125" style="1" customWidth="1"/>
    <col min="12291" max="12291" width="17.5546875" style="1" customWidth="1"/>
    <col min="12292" max="12544" width="9.33203125" style="1"/>
    <col min="12545" max="12545" width="48.5546875" style="1" customWidth="1"/>
    <col min="12546" max="12546" width="16.33203125" style="1" customWidth="1"/>
    <col min="12547" max="12547" width="17.5546875" style="1" customWidth="1"/>
    <col min="12548" max="12800" width="9.33203125" style="1"/>
    <col min="12801" max="12801" width="48.5546875" style="1" customWidth="1"/>
    <col min="12802" max="12802" width="16.33203125" style="1" customWidth="1"/>
    <col min="12803" max="12803" width="17.5546875" style="1" customWidth="1"/>
    <col min="12804" max="13056" width="9.33203125" style="1"/>
    <col min="13057" max="13057" width="48.5546875" style="1" customWidth="1"/>
    <col min="13058" max="13058" width="16.33203125" style="1" customWidth="1"/>
    <col min="13059" max="13059" width="17.5546875" style="1" customWidth="1"/>
    <col min="13060" max="13312" width="9.33203125" style="1"/>
    <col min="13313" max="13313" width="48.5546875" style="1" customWidth="1"/>
    <col min="13314" max="13314" width="16.33203125" style="1" customWidth="1"/>
    <col min="13315" max="13315" width="17.5546875" style="1" customWidth="1"/>
    <col min="13316" max="13568" width="9.33203125" style="1"/>
    <col min="13569" max="13569" width="48.5546875" style="1" customWidth="1"/>
    <col min="13570" max="13570" width="16.33203125" style="1" customWidth="1"/>
    <col min="13571" max="13571" width="17.5546875" style="1" customWidth="1"/>
    <col min="13572" max="13824" width="9.33203125" style="1"/>
    <col min="13825" max="13825" width="48.5546875" style="1" customWidth="1"/>
    <col min="13826" max="13826" width="16.33203125" style="1" customWidth="1"/>
    <col min="13827" max="13827" width="17.5546875" style="1" customWidth="1"/>
    <col min="13828" max="14080" width="9.33203125" style="1"/>
    <col min="14081" max="14081" width="48.5546875" style="1" customWidth="1"/>
    <col min="14082" max="14082" width="16.33203125" style="1" customWidth="1"/>
    <col min="14083" max="14083" width="17.5546875" style="1" customWidth="1"/>
    <col min="14084" max="14336" width="9.33203125" style="1"/>
    <col min="14337" max="14337" width="48.5546875" style="1" customWidth="1"/>
    <col min="14338" max="14338" width="16.33203125" style="1" customWidth="1"/>
    <col min="14339" max="14339" width="17.5546875" style="1" customWidth="1"/>
    <col min="14340" max="14592" width="9.33203125" style="1"/>
    <col min="14593" max="14593" width="48.5546875" style="1" customWidth="1"/>
    <col min="14594" max="14594" width="16.33203125" style="1" customWidth="1"/>
    <col min="14595" max="14595" width="17.5546875" style="1" customWidth="1"/>
    <col min="14596" max="14848" width="9.33203125" style="1"/>
    <col min="14849" max="14849" width="48.5546875" style="1" customWidth="1"/>
    <col min="14850" max="14850" width="16.33203125" style="1" customWidth="1"/>
    <col min="14851" max="14851" width="17.5546875" style="1" customWidth="1"/>
    <col min="14852" max="15104" width="9.33203125" style="1"/>
    <col min="15105" max="15105" width="48.5546875" style="1" customWidth="1"/>
    <col min="15106" max="15106" width="16.33203125" style="1" customWidth="1"/>
    <col min="15107" max="15107" width="17.5546875" style="1" customWidth="1"/>
    <col min="15108" max="15360" width="9.33203125" style="1"/>
    <col min="15361" max="15361" width="48.5546875" style="1" customWidth="1"/>
    <col min="15362" max="15362" width="16.33203125" style="1" customWidth="1"/>
    <col min="15363" max="15363" width="17.5546875" style="1" customWidth="1"/>
    <col min="15364" max="15616" width="9.33203125" style="1"/>
    <col min="15617" max="15617" width="48.5546875" style="1" customWidth="1"/>
    <col min="15618" max="15618" width="16.33203125" style="1" customWidth="1"/>
    <col min="15619" max="15619" width="17.5546875" style="1" customWidth="1"/>
    <col min="15620" max="15872" width="9.33203125" style="1"/>
    <col min="15873" max="15873" width="48.5546875" style="1" customWidth="1"/>
    <col min="15874" max="15874" width="16.33203125" style="1" customWidth="1"/>
    <col min="15875" max="15875" width="17.5546875" style="1" customWidth="1"/>
    <col min="15876" max="16128" width="9.33203125" style="1"/>
    <col min="16129" max="16129" width="48.5546875" style="1" customWidth="1"/>
    <col min="16130" max="16130" width="16.33203125" style="1" customWidth="1"/>
    <col min="16131" max="16131" width="17.5546875" style="1" customWidth="1"/>
    <col min="16132" max="16384" width="9.33203125" style="1"/>
  </cols>
  <sheetData>
    <row r="3" spans="1:26" ht="26.4" x14ac:dyDescent="0.25">
      <c r="A3" s="2" t="s">
        <v>63</v>
      </c>
      <c r="B3" s="2" t="s">
        <v>64</v>
      </c>
      <c r="C3" s="2" t="s">
        <v>65</v>
      </c>
    </row>
    <row r="4" spans="1:26" x14ac:dyDescent="0.25">
      <c r="A4" s="2" t="s">
        <v>477</v>
      </c>
      <c r="B4" s="2" t="s">
        <v>478</v>
      </c>
      <c r="C4" s="2" t="s">
        <v>479</v>
      </c>
    </row>
    <row r="5" spans="1:26" x14ac:dyDescent="0.25">
      <c r="A5" s="2"/>
      <c r="B5" s="2"/>
      <c r="C5" s="2"/>
    </row>
    <row r="6" spans="1:26" x14ac:dyDescent="0.25">
      <c r="A6" s="2"/>
      <c r="B6" s="2"/>
      <c r="C6" s="2"/>
      <c r="D6" s="3">
        <v>1998</v>
      </c>
      <c r="E6" s="3">
        <v>1999</v>
      </c>
      <c r="F6" s="3">
        <v>2000</v>
      </c>
      <c r="G6" s="3">
        <v>2001</v>
      </c>
      <c r="H6" s="3">
        <v>2002</v>
      </c>
      <c r="I6" s="3">
        <v>2003</v>
      </c>
      <c r="J6" s="3">
        <v>2004</v>
      </c>
      <c r="K6" s="3">
        <v>2005</v>
      </c>
      <c r="L6" s="3">
        <v>2006</v>
      </c>
      <c r="M6" s="3">
        <v>2007</v>
      </c>
      <c r="N6" s="3">
        <v>2008</v>
      </c>
      <c r="O6" s="3">
        <v>2009</v>
      </c>
      <c r="P6" s="3">
        <v>2010</v>
      </c>
      <c r="Q6" s="3">
        <v>2011</v>
      </c>
      <c r="R6" s="3">
        <v>2012</v>
      </c>
      <c r="S6" s="3">
        <v>2013</v>
      </c>
      <c r="T6" s="3">
        <v>2014</v>
      </c>
      <c r="U6" s="3">
        <v>2015</v>
      </c>
      <c r="V6" s="3">
        <v>2016</v>
      </c>
      <c r="W6" s="3">
        <v>2017</v>
      </c>
      <c r="X6" s="3">
        <v>2018</v>
      </c>
      <c r="Y6" s="3">
        <v>2019</v>
      </c>
      <c r="Z6" s="3">
        <v>2020</v>
      </c>
    </row>
    <row r="7" spans="1:26" x14ac:dyDescent="0.25">
      <c r="A7" s="6" t="s">
        <v>480</v>
      </c>
      <c r="B7" s="7">
        <v>4058513</v>
      </c>
      <c r="C7" s="6" t="s">
        <v>189</v>
      </c>
      <c r="D7" s="37">
        <v>0.39224999999999999</v>
      </c>
      <c r="E7" s="37">
        <v>0.39224999999999999</v>
      </c>
      <c r="F7" s="37">
        <v>0.39224999999999999</v>
      </c>
      <c r="G7" s="37">
        <v>0.39224999999999999</v>
      </c>
      <c r="H7" s="37">
        <v>0.39224999999999999</v>
      </c>
      <c r="I7" s="37">
        <v>0.39224999999999999</v>
      </c>
      <c r="J7" s="37">
        <v>0.39224999999999999</v>
      </c>
      <c r="K7" s="37">
        <v>0.39224999999999999</v>
      </c>
      <c r="L7" s="37">
        <v>0.39224999999999999</v>
      </c>
      <c r="M7" s="37">
        <v>0.39224999999999999</v>
      </c>
      <c r="N7" s="37">
        <v>0.39224999999999999</v>
      </c>
      <c r="O7" s="37">
        <v>0.39224999999999999</v>
      </c>
      <c r="P7" s="37">
        <v>0.39224999999999999</v>
      </c>
      <c r="Q7" s="37">
        <v>0.39224999999999999</v>
      </c>
      <c r="R7" s="37">
        <v>0.39224999999999999</v>
      </c>
      <c r="S7" s="37">
        <v>0.39224999999999999</v>
      </c>
      <c r="T7" s="37">
        <v>0.39224999999999999</v>
      </c>
      <c r="U7" s="37">
        <v>0.39224999999999999</v>
      </c>
      <c r="V7" s="37">
        <v>0.39224999999999999</v>
      </c>
      <c r="W7" s="37">
        <v>0.25224999999999997</v>
      </c>
      <c r="X7" s="37">
        <v>0.25224999999999997</v>
      </c>
      <c r="Y7" s="37">
        <v>0.25224999999999997</v>
      </c>
      <c r="Z7" s="37">
        <v>0.25224999999999997</v>
      </c>
    </row>
    <row r="8" spans="1:26" x14ac:dyDescent="0.25">
      <c r="A8" s="6" t="s">
        <v>481</v>
      </c>
      <c r="B8" s="7">
        <v>4054707</v>
      </c>
      <c r="C8" s="6" t="s">
        <v>149</v>
      </c>
      <c r="D8" s="37">
        <v>0.35</v>
      </c>
      <c r="E8" s="37">
        <v>0.35</v>
      </c>
      <c r="F8" s="37">
        <v>0.35</v>
      </c>
      <c r="G8" s="37">
        <v>0.35</v>
      </c>
      <c r="H8" s="37">
        <v>0.35</v>
      </c>
      <c r="I8" s="37">
        <v>0.35</v>
      </c>
      <c r="J8" s="37">
        <v>0.35</v>
      </c>
      <c r="K8" s="37">
        <v>0.35</v>
      </c>
      <c r="L8" s="37">
        <v>0.35</v>
      </c>
      <c r="M8" s="37">
        <v>0.35</v>
      </c>
      <c r="N8" s="37">
        <v>0.35</v>
      </c>
      <c r="O8" s="37">
        <v>0.35</v>
      </c>
      <c r="P8" s="37">
        <v>0.35</v>
      </c>
      <c r="Q8" s="37">
        <v>0.35</v>
      </c>
      <c r="R8" s="37">
        <v>0.35</v>
      </c>
      <c r="S8" s="37">
        <v>0.35</v>
      </c>
      <c r="T8" s="37">
        <v>0.35</v>
      </c>
      <c r="U8" s="37">
        <v>0.35</v>
      </c>
      <c r="V8" s="37">
        <v>0.35</v>
      </c>
      <c r="W8" s="37">
        <v>0.20999999999999996</v>
      </c>
      <c r="X8" s="37">
        <v>0.20999999999999996</v>
      </c>
      <c r="Y8" s="37">
        <v>0.20999999999999996</v>
      </c>
      <c r="Z8" s="37">
        <v>0.20999999999999996</v>
      </c>
    </row>
    <row r="9" spans="1:26" x14ac:dyDescent="0.25">
      <c r="A9" s="6" t="s">
        <v>482</v>
      </c>
      <c r="B9" s="7">
        <v>4057075</v>
      </c>
      <c r="C9" s="6" t="s">
        <v>180</v>
      </c>
      <c r="D9" s="37">
        <v>0.35</v>
      </c>
      <c r="E9" s="37">
        <v>0.35</v>
      </c>
      <c r="F9" s="37">
        <v>0.35</v>
      </c>
      <c r="G9" s="37">
        <v>0.35</v>
      </c>
      <c r="H9" s="37">
        <v>0.35</v>
      </c>
      <c r="I9" s="37">
        <v>0.35</v>
      </c>
      <c r="J9" s="37">
        <v>0.35</v>
      </c>
      <c r="K9" s="37">
        <v>0.35</v>
      </c>
      <c r="L9" s="37">
        <v>0.35</v>
      </c>
      <c r="M9" s="37">
        <v>0.35</v>
      </c>
      <c r="N9" s="37">
        <v>0.35</v>
      </c>
      <c r="O9" s="37">
        <v>0.35</v>
      </c>
      <c r="P9" s="37">
        <v>0.35</v>
      </c>
      <c r="Q9" s="37">
        <v>0.35</v>
      </c>
      <c r="R9" s="37">
        <v>0.35</v>
      </c>
      <c r="S9" s="37">
        <v>0.35</v>
      </c>
      <c r="T9" s="37">
        <v>0.35</v>
      </c>
      <c r="U9" s="37">
        <v>0.35</v>
      </c>
      <c r="V9" s="37">
        <v>0.35</v>
      </c>
      <c r="W9" s="37">
        <v>0.20999999999999996</v>
      </c>
      <c r="X9" s="37">
        <v>0.20999999999999996</v>
      </c>
      <c r="Y9" s="37">
        <v>0.20999999999999996</v>
      </c>
      <c r="Z9" s="37">
        <v>0.20999999999999996</v>
      </c>
    </row>
    <row r="10" spans="1:26" x14ac:dyDescent="0.25">
      <c r="A10" s="6" t="s">
        <v>483</v>
      </c>
      <c r="B10" s="7">
        <v>4007784</v>
      </c>
      <c r="C10" s="6" t="s">
        <v>182</v>
      </c>
      <c r="D10" s="37">
        <v>0.40091666999999998</v>
      </c>
      <c r="E10" s="37">
        <v>0.40091666999999998</v>
      </c>
      <c r="F10" s="37">
        <v>0.40091666999999998</v>
      </c>
      <c r="G10" s="37">
        <v>0.40091666999999998</v>
      </c>
      <c r="H10" s="37">
        <v>0.40091666999999998</v>
      </c>
      <c r="I10" s="37">
        <v>0.40091666999999998</v>
      </c>
      <c r="J10" s="37">
        <v>0.40091666999999998</v>
      </c>
      <c r="K10" s="37">
        <v>0.40091666999999998</v>
      </c>
      <c r="L10" s="37">
        <v>0.40091666999999998</v>
      </c>
      <c r="M10" s="37">
        <v>0.40091666999999998</v>
      </c>
      <c r="N10" s="37">
        <v>0.40091666999999998</v>
      </c>
      <c r="O10" s="37">
        <v>0.40091666999999998</v>
      </c>
      <c r="P10" s="37">
        <v>0.40091666999999998</v>
      </c>
      <c r="Q10" s="37">
        <v>0.40091666999999998</v>
      </c>
      <c r="R10" s="37">
        <v>0.40091666999999998</v>
      </c>
      <c r="S10" s="37">
        <v>0.40091666999999998</v>
      </c>
      <c r="T10" s="37">
        <v>0.40091666999999998</v>
      </c>
      <c r="U10" s="37">
        <v>0.40091666999999998</v>
      </c>
      <c r="V10" s="37">
        <v>0.40091666999999998</v>
      </c>
      <c r="W10" s="37">
        <v>0.26091666999999996</v>
      </c>
      <c r="X10" s="37">
        <v>0.26091666999999996</v>
      </c>
      <c r="Y10" s="37">
        <v>0.26091666999999996</v>
      </c>
      <c r="Z10" s="37">
        <v>0.26091666999999996</v>
      </c>
    </row>
    <row r="11" spans="1:26" x14ac:dyDescent="0.25">
      <c r="A11" s="6" t="s">
        <v>484</v>
      </c>
      <c r="B11" s="7">
        <v>4058516</v>
      </c>
      <c r="C11" s="6" t="s">
        <v>189</v>
      </c>
      <c r="D11" s="37">
        <v>0.39224999999999999</v>
      </c>
      <c r="E11" s="37">
        <v>0.39224999999999999</v>
      </c>
      <c r="F11" s="37">
        <v>0.39224999999999999</v>
      </c>
      <c r="G11" s="37">
        <v>0.39224999999999999</v>
      </c>
      <c r="H11" s="37">
        <v>0.39224999999999999</v>
      </c>
      <c r="I11" s="37">
        <v>0.39224999999999999</v>
      </c>
      <c r="J11" s="37">
        <v>0.39224999999999999</v>
      </c>
      <c r="K11" s="37">
        <v>0.39224999999999999</v>
      </c>
      <c r="L11" s="37">
        <v>0.39224999999999999</v>
      </c>
      <c r="M11" s="37">
        <v>0.39224999999999999</v>
      </c>
      <c r="N11" s="37">
        <v>0.39224999999999999</v>
      </c>
      <c r="O11" s="37">
        <v>0.39224999999999999</v>
      </c>
      <c r="P11" s="37">
        <v>0.39224999999999999</v>
      </c>
      <c r="Q11" s="37">
        <v>0.39224999999999999</v>
      </c>
      <c r="R11" s="37">
        <v>0.39224999999999999</v>
      </c>
      <c r="S11" s="37">
        <v>0.39224999999999999</v>
      </c>
      <c r="T11" s="37">
        <v>0.39224999999999999</v>
      </c>
      <c r="U11" s="37">
        <v>0.39224999999999999</v>
      </c>
      <c r="V11" s="37">
        <v>0.39224999999999999</v>
      </c>
      <c r="W11" s="37">
        <v>0.25224999999999997</v>
      </c>
      <c r="X11" s="37">
        <v>0.25224999999999997</v>
      </c>
      <c r="Y11" s="37">
        <v>0.25224999999999997</v>
      </c>
      <c r="Z11" s="37">
        <v>0.25224999999999997</v>
      </c>
    </row>
    <row r="12" spans="1:26" x14ac:dyDescent="0.25">
      <c r="A12" s="6" t="s">
        <v>485</v>
      </c>
      <c r="B12" s="7">
        <v>4058793</v>
      </c>
      <c r="C12" s="6" t="s">
        <v>191</v>
      </c>
      <c r="D12" s="37">
        <v>0.40200000000000002</v>
      </c>
      <c r="E12" s="37">
        <v>0.40200000000000002</v>
      </c>
      <c r="F12" s="37">
        <v>0.40200000000000002</v>
      </c>
      <c r="G12" s="37">
        <v>0.40200000000000002</v>
      </c>
      <c r="H12" s="37">
        <v>0.40200000000000002</v>
      </c>
      <c r="I12" s="37">
        <v>0.40200000000000002</v>
      </c>
      <c r="J12" s="37">
        <v>0.40200000000000002</v>
      </c>
      <c r="K12" s="37">
        <v>0.40200000000000002</v>
      </c>
      <c r="L12" s="37">
        <v>0.40200000000000002</v>
      </c>
      <c r="M12" s="37">
        <v>0.40200000000000002</v>
      </c>
      <c r="N12" s="37">
        <v>0.40200000000000002</v>
      </c>
      <c r="O12" s="37">
        <v>0.40200000000000002</v>
      </c>
      <c r="P12" s="37">
        <v>0.40200000000000002</v>
      </c>
      <c r="Q12" s="37">
        <v>0.40200000000000002</v>
      </c>
      <c r="R12" s="37">
        <v>0.40200000000000002</v>
      </c>
      <c r="S12" s="37">
        <v>0.40200000000000002</v>
      </c>
      <c r="T12" s="37">
        <v>0.40200000000000002</v>
      </c>
      <c r="U12" s="37">
        <v>0.40200000000000002</v>
      </c>
      <c r="V12" s="37">
        <v>0.40200000000000002</v>
      </c>
      <c r="W12" s="37">
        <v>0.26200000000000001</v>
      </c>
      <c r="X12" s="37">
        <v>0.26200000000000001</v>
      </c>
      <c r="Y12" s="37">
        <v>0.26200000000000001</v>
      </c>
      <c r="Z12" s="37">
        <v>0.26200000000000001</v>
      </c>
    </row>
    <row r="13" spans="1:26" x14ac:dyDescent="0.25">
      <c r="A13" s="6" t="s">
        <v>486</v>
      </c>
      <c r="B13" s="7">
        <v>4057111</v>
      </c>
      <c r="C13" s="6" t="s">
        <v>187</v>
      </c>
      <c r="D13" s="37">
        <v>0.40700500000000001</v>
      </c>
      <c r="E13" s="37">
        <v>0.40700500000000001</v>
      </c>
      <c r="F13" s="37">
        <v>0.40700500000000001</v>
      </c>
      <c r="G13" s="37">
        <v>0.40700500000000001</v>
      </c>
      <c r="H13" s="37">
        <v>0.40700500000000001</v>
      </c>
      <c r="I13" s="37">
        <v>0.40700500000000001</v>
      </c>
      <c r="J13" s="37">
        <v>0.40700500000000001</v>
      </c>
      <c r="K13" s="37">
        <v>0.40700500000000001</v>
      </c>
      <c r="L13" s="37">
        <v>0.40700500000000001</v>
      </c>
      <c r="M13" s="37">
        <v>0.40700500000000001</v>
      </c>
      <c r="N13" s="37">
        <v>0.40700500000000001</v>
      </c>
      <c r="O13" s="37">
        <v>0.40700500000000001</v>
      </c>
      <c r="P13" s="37">
        <v>0.40700500000000001</v>
      </c>
      <c r="Q13" s="37">
        <v>0.40700500000000001</v>
      </c>
      <c r="R13" s="37">
        <v>0.40700500000000001</v>
      </c>
      <c r="S13" s="37">
        <v>0.40700500000000001</v>
      </c>
      <c r="T13" s="37">
        <v>0.40700500000000001</v>
      </c>
      <c r="U13" s="37">
        <v>0.40700500000000001</v>
      </c>
      <c r="V13" s="37">
        <v>0.40700500000000001</v>
      </c>
      <c r="W13" s="37">
        <v>0.26700499999999999</v>
      </c>
      <c r="X13" s="37">
        <v>0.26700499999999999</v>
      </c>
      <c r="Y13" s="37">
        <v>0.26700499999999999</v>
      </c>
      <c r="Z13" s="37">
        <v>0.26700499999999999</v>
      </c>
    </row>
    <row r="14" spans="1:26" x14ac:dyDescent="0.25">
      <c r="A14" s="6" t="s">
        <v>487</v>
      </c>
      <c r="B14" s="7">
        <v>4018679</v>
      </c>
      <c r="C14" s="6" t="s">
        <v>194</v>
      </c>
      <c r="D14" s="37">
        <v>0.39649667</v>
      </c>
      <c r="E14" s="37">
        <v>0.39649667</v>
      </c>
      <c r="F14" s="37">
        <v>0.39649667</v>
      </c>
      <c r="G14" s="37">
        <v>0.39649667</v>
      </c>
      <c r="H14" s="37">
        <v>0.39649667</v>
      </c>
      <c r="I14" s="37">
        <v>0.39649667</v>
      </c>
      <c r="J14" s="37">
        <v>0.39649667</v>
      </c>
      <c r="K14" s="37">
        <v>0.39649667</v>
      </c>
      <c r="L14" s="37">
        <v>0.39649667</v>
      </c>
      <c r="M14" s="37">
        <v>0.39649667</v>
      </c>
      <c r="N14" s="37">
        <v>0.39649667</v>
      </c>
      <c r="O14" s="37">
        <v>0.39649667</v>
      </c>
      <c r="P14" s="37">
        <v>0.39649667</v>
      </c>
      <c r="Q14" s="37">
        <v>0.39649667</v>
      </c>
      <c r="R14" s="37">
        <v>0.39649667</v>
      </c>
      <c r="S14" s="37">
        <v>0.39649667</v>
      </c>
      <c r="T14" s="37">
        <v>0.39649667</v>
      </c>
      <c r="U14" s="37">
        <v>0.39649667</v>
      </c>
      <c r="V14" s="37">
        <v>0.39649667</v>
      </c>
      <c r="W14" s="37">
        <v>0.25649666999999998</v>
      </c>
      <c r="X14" s="37">
        <v>0.25649666999999998</v>
      </c>
      <c r="Y14" s="37">
        <v>0.25649666999999998</v>
      </c>
      <c r="Z14" s="37">
        <v>0.25649666999999998</v>
      </c>
    </row>
    <row r="15" spans="1:26" x14ac:dyDescent="0.25">
      <c r="A15" s="6" t="s">
        <v>488</v>
      </c>
      <c r="B15" s="7">
        <v>4057112</v>
      </c>
      <c r="C15" s="6" t="s">
        <v>180</v>
      </c>
      <c r="D15" s="37">
        <v>0.35</v>
      </c>
      <c r="E15" s="37">
        <v>0.35</v>
      </c>
      <c r="F15" s="37">
        <v>0.35</v>
      </c>
      <c r="G15" s="37">
        <v>0.35</v>
      </c>
      <c r="H15" s="37">
        <v>0.35</v>
      </c>
      <c r="I15" s="37">
        <v>0.35</v>
      </c>
      <c r="J15" s="37">
        <v>0.35</v>
      </c>
      <c r="K15" s="37">
        <v>0.35</v>
      </c>
      <c r="L15" s="37">
        <v>0.35</v>
      </c>
      <c r="M15" s="37">
        <v>0.35</v>
      </c>
      <c r="N15" s="37">
        <v>0.35</v>
      </c>
      <c r="O15" s="37">
        <v>0.35</v>
      </c>
      <c r="P15" s="37">
        <v>0.35</v>
      </c>
      <c r="Q15" s="37">
        <v>0.35</v>
      </c>
      <c r="R15" s="37">
        <v>0.35</v>
      </c>
      <c r="S15" s="37">
        <v>0.35</v>
      </c>
      <c r="T15" s="37">
        <v>0.35</v>
      </c>
      <c r="U15" s="37">
        <v>0.35</v>
      </c>
      <c r="V15" s="37">
        <v>0.35</v>
      </c>
      <c r="W15" s="37">
        <v>0.20999999999999996</v>
      </c>
      <c r="X15" s="37">
        <v>0.20999999999999996</v>
      </c>
      <c r="Y15" s="37">
        <v>0.20999999999999996</v>
      </c>
      <c r="Z15" s="37">
        <v>0.20999999999999996</v>
      </c>
    </row>
    <row r="16" spans="1:26" x14ac:dyDescent="0.25">
      <c r="A16" s="6" t="s">
        <v>489</v>
      </c>
      <c r="B16" s="7">
        <v>4057076</v>
      </c>
      <c r="C16" s="6" t="s">
        <v>194</v>
      </c>
      <c r="D16" s="37">
        <v>0.39649667</v>
      </c>
      <c r="E16" s="37">
        <v>0.39649667</v>
      </c>
      <c r="F16" s="37">
        <v>0.39649667</v>
      </c>
      <c r="G16" s="37">
        <v>0.39649667</v>
      </c>
      <c r="H16" s="37">
        <v>0.39649667</v>
      </c>
      <c r="I16" s="37">
        <v>0.39649667</v>
      </c>
      <c r="J16" s="37">
        <v>0.39649667</v>
      </c>
      <c r="K16" s="37">
        <v>0.39649667</v>
      </c>
      <c r="L16" s="37">
        <v>0.39649667</v>
      </c>
      <c r="M16" s="37">
        <v>0.39649667</v>
      </c>
      <c r="N16" s="37">
        <v>0.39649667</v>
      </c>
      <c r="O16" s="37">
        <v>0.39649667</v>
      </c>
      <c r="P16" s="37">
        <v>0.39649667</v>
      </c>
      <c r="Q16" s="37">
        <v>0.39649667</v>
      </c>
      <c r="R16" s="37">
        <v>0.39649667</v>
      </c>
      <c r="S16" s="37">
        <v>0.39649667</v>
      </c>
      <c r="T16" s="37">
        <v>0.39649667</v>
      </c>
      <c r="U16" s="37">
        <v>0.39649667</v>
      </c>
      <c r="V16" s="37">
        <v>0.39649667</v>
      </c>
      <c r="W16" s="37">
        <v>0.25649666999999998</v>
      </c>
      <c r="X16" s="37">
        <v>0.25649666999999998</v>
      </c>
      <c r="Y16" s="37">
        <v>0.25649666999999998</v>
      </c>
      <c r="Z16" s="37">
        <v>0.25649666999999998</v>
      </c>
    </row>
    <row r="17" spans="1:26" x14ac:dyDescent="0.25">
      <c r="A17" s="6" t="s">
        <v>490</v>
      </c>
      <c r="B17" s="7">
        <v>4059166</v>
      </c>
      <c r="C17" s="6" t="s">
        <v>491</v>
      </c>
      <c r="D17" s="37">
        <v>0.35</v>
      </c>
      <c r="E17" s="37">
        <v>0.35</v>
      </c>
      <c r="F17" s="37">
        <v>0.35</v>
      </c>
      <c r="G17" s="37">
        <v>0.35</v>
      </c>
      <c r="H17" s="37">
        <v>0.35</v>
      </c>
      <c r="I17" s="37">
        <v>0.35</v>
      </c>
      <c r="J17" s="37">
        <v>0.35</v>
      </c>
      <c r="K17" s="37">
        <v>0.35</v>
      </c>
      <c r="L17" s="37">
        <v>0.35</v>
      </c>
      <c r="M17" s="37">
        <v>0.35</v>
      </c>
      <c r="N17" s="37">
        <v>0.35</v>
      </c>
      <c r="O17" s="37">
        <v>0.35</v>
      </c>
      <c r="P17" s="37">
        <v>0.35</v>
      </c>
      <c r="Q17" s="37">
        <v>0.35</v>
      </c>
      <c r="R17" s="37">
        <v>0.35</v>
      </c>
      <c r="S17" s="37">
        <v>0.35</v>
      </c>
      <c r="T17" s="37">
        <v>0.35</v>
      </c>
      <c r="U17" s="37">
        <v>0.35</v>
      </c>
      <c r="V17" s="37">
        <v>0.35</v>
      </c>
      <c r="W17" s="37">
        <v>0.20999999999999996</v>
      </c>
      <c r="X17" s="37">
        <v>0.20999999999999996</v>
      </c>
      <c r="Y17" s="37">
        <v>0.20999999999999996</v>
      </c>
      <c r="Z17" s="37">
        <v>0.20999999999999996</v>
      </c>
    </row>
    <row r="18" spans="1:26" x14ac:dyDescent="0.25">
      <c r="A18" s="6" t="s">
        <v>492</v>
      </c>
      <c r="B18" s="7">
        <v>4059227</v>
      </c>
      <c r="C18" s="6" t="s">
        <v>206</v>
      </c>
      <c r="D18" s="37">
        <v>0.35</v>
      </c>
      <c r="E18" s="37">
        <v>0.35</v>
      </c>
      <c r="F18" s="37">
        <v>0.35</v>
      </c>
      <c r="G18" s="37">
        <v>0.35</v>
      </c>
      <c r="H18" s="37">
        <v>0.35</v>
      </c>
      <c r="I18" s="37">
        <v>0.35</v>
      </c>
      <c r="J18" s="37">
        <v>0.35</v>
      </c>
      <c r="K18" s="37">
        <v>0.35</v>
      </c>
      <c r="L18" s="37">
        <v>0.35</v>
      </c>
      <c r="M18" s="37">
        <v>0.35</v>
      </c>
      <c r="N18" s="37">
        <v>0.35</v>
      </c>
      <c r="O18" s="37">
        <v>0.35</v>
      </c>
      <c r="P18" s="37">
        <v>0.35</v>
      </c>
      <c r="Q18" s="37">
        <v>0.35</v>
      </c>
      <c r="R18" s="37">
        <v>0.35</v>
      </c>
      <c r="S18" s="37">
        <v>0.35</v>
      </c>
      <c r="T18" s="37">
        <v>0.35</v>
      </c>
      <c r="U18" s="37">
        <v>0.35</v>
      </c>
      <c r="V18" s="37">
        <v>0.35</v>
      </c>
      <c r="W18" s="37">
        <v>0.20999999999999996</v>
      </c>
      <c r="X18" s="37">
        <v>0.20999999999999996</v>
      </c>
      <c r="Y18" s="37">
        <v>0.20999999999999996</v>
      </c>
      <c r="Z18" s="37">
        <v>0.20999999999999996</v>
      </c>
    </row>
    <row r="19" spans="1:26" x14ac:dyDescent="0.25">
      <c r="A19" s="6" t="s">
        <v>493</v>
      </c>
      <c r="B19" s="7">
        <v>4057114</v>
      </c>
      <c r="C19" s="6" t="s">
        <v>187</v>
      </c>
      <c r="D19" s="37">
        <v>0.40700500000000001</v>
      </c>
      <c r="E19" s="37">
        <v>0.40700500000000001</v>
      </c>
      <c r="F19" s="37">
        <v>0.40700500000000001</v>
      </c>
      <c r="G19" s="37">
        <v>0.40700500000000001</v>
      </c>
      <c r="H19" s="37">
        <v>0.40700500000000001</v>
      </c>
      <c r="I19" s="37">
        <v>0.40700500000000001</v>
      </c>
      <c r="J19" s="37">
        <v>0.40700500000000001</v>
      </c>
      <c r="K19" s="37">
        <v>0.40700500000000001</v>
      </c>
      <c r="L19" s="37">
        <v>0.40700500000000001</v>
      </c>
      <c r="M19" s="37">
        <v>0.40700500000000001</v>
      </c>
      <c r="N19" s="37">
        <v>0.40700500000000001</v>
      </c>
      <c r="O19" s="37">
        <v>0.40700500000000001</v>
      </c>
      <c r="P19" s="37">
        <v>0.40700500000000001</v>
      </c>
      <c r="Q19" s="37">
        <v>0.40700500000000001</v>
      </c>
      <c r="R19" s="37">
        <v>0.40700500000000001</v>
      </c>
      <c r="S19" s="37">
        <v>0.40700500000000001</v>
      </c>
      <c r="T19" s="37">
        <v>0.40700500000000001</v>
      </c>
      <c r="U19" s="37">
        <v>0.40700500000000001</v>
      </c>
      <c r="V19" s="37">
        <v>0.40700500000000001</v>
      </c>
      <c r="W19" s="37">
        <v>0.26700499999999999</v>
      </c>
      <c r="X19" s="37">
        <v>0.26700499999999999</v>
      </c>
      <c r="Y19" s="37">
        <v>0.26700499999999999</v>
      </c>
      <c r="Z19" s="37">
        <v>0.26700499999999999</v>
      </c>
    </row>
    <row r="20" spans="1:26" x14ac:dyDescent="0.25">
      <c r="A20" s="6" t="s">
        <v>494</v>
      </c>
      <c r="B20" s="7">
        <v>4059355</v>
      </c>
      <c r="C20" s="6" t="s">
        <v>199</v>
      </c>
      <c r="D20" s="37">
        <v>0.35</v>
      </c>
      <c r="E20" s="37">
        <v>0.35</v>
      </c>
      <c r="F20" s="37">
        <v>0.35</v>
      </c>
      <c r="G20" s="37">
        <v>0.35</v>
      </c>
      <c r="H20" s="37">
        <v>0.35</v>
      </c>
      <c r="I20" s="37">
        <v>0.35</v>
      </c>
      <c r="J20" s="37">
        <v>0.35</v>
      </c>
      <c r="K20" s="37">
        <v>0.35</v>
      </c>
      <c r="L20" s="37">
        <v>0.35</v>
      </c>
      <c r="M20" s="37">
        <v>0.35</v>
      </c>
      <c r="N20" s="37">
        <v>0.35</v>
      </c>
      <c r="O20" s="37">
        <v>0.35</v>
      </c>
      <c r="P20" s="37">
        <v>0.35</v>
      </c>
      <c r="Q20" s="37">
        <v>0.35</v>
      </c>
      <c r="R20" s="37">
        <v>0.35</v>
      </c>
      <c r="S20" s="37">
        <v>0.35</v>
      </c>
      <c r="T20" s="37">
        <v>0.35</v>
      </c>
      <c r="U20" s="37">
        <v>0.35</v>
      </c>
      <c r="V20" s="37">
        <v>0.35</v>
      </c>
      <c r="W20" s="37">
        <v>0.20999999999999996</v>
      </c>
      <c r="X20" s="37">
        <v>0.20999999999999996</v>
      </c>
      <c r="Y20" s="37">
        <v>0.20999999999999996</v>
      </c>
      <c r="Z20" s="37">
        <v>0.20999999999999996</v>
      </c>
    </row>
    <row r="21" spans="1:26" x14ac:dyDescent="0.25">
      <c r="A21" s="6" t="s">
        <v>495</v>
      </c>
      <c r="B21" s="7">
        <v>4088325</v>
      </c>
      <c r="C21" s="6" t="s">
        <v>201</v>
      </c>
      <c r="D21" s="37">
        <v>0.414935</v>
      </c>
      <c r="E21" s="37">
        <v>0.414935</v>
      </c>
      <c r="F21" s="37">
        <v>0.414935</v>
      </c>
      <c r="G21" s="37">
        <v>0.414935</v>
      </c>
      <c r="H21" s="37">
        <v>0.414935</v>
      </c>
      <c r="I21" s="37">
        <v>0.414935</v>
      </c>
      <c r="J21" s="37">
        <v>0.414935</v>
      </c>
      <c r="K21" s="37">
        <v>0.414935</v>
      </c>
      <c r="L21" s="37">
        <v>0.414935</v>
      </c>
      <c r="M21" s="37">
        <v>0.414935</v>
      </c>
      <c r="N21" s="37">
        <v>0.414935</v>
      </c>
      <c r="O21" s="37">
        <v>0.414935</v>
      </c>
      <c r="P21" s="37">
        <v>0.414935</v>
      </c>
      <c r="Q21" s="37">
        <v>0.414935</v>
      </c>
      <c r="R21" s="37">
        <v>0.414935</v>
      </c>
      <c r="S21" s="37">
        <v>0.414935</v>
      </c>
      <c r="T21" s="37">
        <v>0.414935</v>
      </c>
      <c r="U21" s="37">
        <v>0.414935</v>
      </c>
      <c r="V21" s="37">
        <v>0.414935</v>
      </c>
      <c r="W21" s="37">
        <v>0.27493499999999998</v>
      </c>
      <c r="X21" s="37">
        <v>0.27493499999999998</v>
      </c>
      <c r="Y21" s="37">
        <v>0.27493499999999998</v>
      </c>
      <c r="Z21" s="37">
        <v>0.27493499999999998</v>
      </c>
    </row>
    <row r="22" spans="1:26" x14ac:dyDescent="0.25">
      <c r="A22" s="6" t="s">
        <v>496</v>
      </c>
      <c r="B22" s="7">
        <v>4088326</v>
      </c>
      <c r="C22" s="6" t="s">
        <v>199</v>
      </c>
      <c r="D22" s="37">
        <v>0.35</v>
      </c>
      <c r="E22" s="37">
        <v>0.35</v>
      </c>
      <c r="F22" s="37">
        <v>0.35</v>
      </c>
      <c r="G22" s="37">
        <v>0.35</v>
      </c>
      <c r="H22" s="37">
        <v>0.35</v>
      </c>
      <c r="I22" s="37">
        <v>0.35</v>
      </c>
      <c r="J22" s="37">
        <v>0.35</v>
      </c>
      <c r="K22" s="37">
        <v>0.35</v>
      </c>
      <c r="L22" s="37">
        <v>0.35</v>
      </c>
      <c r="M22" s="37">
        <v>0.35</v>
      </c>
      <c r="N22" s="37">
        <v>0.35</v>
      </c>
      <c r="O22" s="37">
        <v>0.35</v>
      </c>
      <c r="P22" s="37">
        <v>0.35</v>
      </c>
      <c r="Q22" s="37">
        <v>0.35</v>
      </c>
      <c r="R22" s="37">
        <v>0.35</v>
      </c>
      <c r="S22" s="37">
        <v>0.35</v>
      </c>
      <c r="T22" s="37">
        <v>0.35</v>
      </c>
      <c r="U22" s="37">
        <v>0.35</v>
      </c>
      <c r="V22" s="37">
        <v>0.35</v>
      </c>
      <c r="W22" s="37">
        <v>0.20999999999999996</v>
      </c>
      <c r="X22" s="37">
        <v>0.20999999999999996</v>
      </c>
      <c r="Y22" s="37">
        <v>0.20999999999999996</v>
      </c>
      <c r="Z22" s="37">
        <v>0.20999999999999996</v>
      </c>
    </row>
    <row r="23" spans="1:26" x14ac:dyDescent="0.25">
      <c r="A23" s="6" t="s">
        <v>497</v>
      </c>
      <c r="B23" s="7">
        <v>4059358</v>
      </c>
      <c r="C23" s="6" t="s">
        <v>201</v>
      </c>
      <c r="D23" s="37">
        <v>0.414935</v>
      </c>
      <c r="E23" s="37">
        <v>0.414935</v>
      </c>
      <c r="F23" s="37">
        <v>0.414935</v>
      </c>
      <c r="G23" s="37">
        <v>0.414935</v>
      </c>
      <c r="H23" s="37">
        <v>0.414935</v>
      </c>
      <c r="I23" s="37">
        <v>0.414935</v>
      </c>
      <c r="J23" s="37">
        <v>0.414935</v>
      </c>
      <c r="K23" s="37">
        <v>0.414935</v>
      </c>
      <c r="L23" s="37">
        <v>0.414935</v>
      </c>
      <c r="M23" s="37">
        <v>0.414935</v>
      </c>
      <c r="N23" s="37">
        <v>0.414935</v>
      </c>
      <c r="O23" s="37">
        <v>0.414935</v>
      </c>
      <c r="P23" s="37">
        <v>0.414935</v>
      </c>
      <c r="Q23" s="37">
        <v>0.414935</v>
      </c>
      <c r="R23" s="37">
        <v>0.414935</v>
      </c>
      <c r="S23" s="37">
        <v>0.414935</v>
      </c>
      <c r="T23" s="37">
        <v>0.414935</v>
      </c>
      <c r="U23" s="37">
        <v>0.414935</v>
      </c>
      <c r="V23" s="37">
        <v>0.414935</v>
      </c>
      <c r="W23" s="37">
        <v>0.27493499999999998</v>
      </c>
      <c r="X23" s="37">
        <v>0.27493499999999998</v>
      </c>
      <c r="Y23" s="37">
        <v>0.27493499999999998</v>
      </c>
      <c r="Z23" s="37">
        <v>0.27493499999999998</v>
      </c>
    </row>
    <row r="24" spans="1:26" x14ac:dyDescent="0.25">
      <c r="A24" s="6" t="s">
        <v>498</v>
      </c>
      <c r="B24" s="7">
        <v>4059359</v>
      </c>
      <c r="C24" s="6" t="s">
        <v>255</v>
      </c>
      <c r="D24" s="37">
        <v>0.38900000000000001</v>
      </c>
      <c r="E24" s="37">
        <v>0.38900000000000001</v>
      </c>
      <c r="F24" s="37">
        <v>0.38900000000000001</v>
      </c>
      <c r="G24" s="37">
        <v>0.38900000000000001</v>
      </c>
      <c r="H24" s="37">
        <v>0.38900000000000001</v>
      </c>
      <c r="I24" s="37">
        <v>0.38900000000000001</v>
      </c>
      <c r="J24" s="37">
        <v>0.38900000000000001</v>
      </c>
      <c r="K24" s="37">
        <v>0.38900000000000001</v>
      </c>
      <c r="L24" s="37">
        <v>0.38900000000000001</v>
      </c>
      <c r="M24" s="37">
        <v>0.38900000000000001</v>
      </c>
      <c r="N24" s="37">
        <v>0.38900000000000001</v>
      </c>
      <c r="O24" s="37">
        <v>0.38900000000000001</v>
      </c>
      <c r="P24" s="37">
        <v>0.38900000000000001</v>
      </c>
      <c r="Q24" s="37">
        <v>0.38900000000000001</v>
      </c>
      <c r="R24" s="37">
        <v>0.38900000000000001</v>
      </c>
      <c r="S24" s="37">
        <v>0.38900000000000001</v>
      </c>
      <c r="T24" s="37">
        <v>0.38900000000000001</v>
      </c>
      <c r="U24" s="37">
        <v>0.38900000000000001</v>
      </c>
      <c r="V24" s="37">
        <v>0.38900000000000001</v>
      </c>
      <c r="W24" s="37">
        <v>0.249</v>
      </c>
      <c r="X24" s="37">
        <v>0.249</v>
      </c>
      <c r="Y24" s="37">
        <v>0.249</v>
      </c>
      <c r="Z24" s="37">
        <v>0.249</v>
      </c>
    </row>
    <row r="25" spans="1:26" x14ac:dyDescent="0.25">
      <c r="A25" s="6" t="s">
        <v>499</v>
      </c>
      <c r="B25" s="7">
        <v>4059402</v>
      </c>
      <c r="C25" s="6" t="s">
        <v>203</v>
      </c>
      <c r="D25" s="37">
        <v>0.40200000000000002</v>
      </c>
      <c r="E25" s="37">
        <v>0.40200000000000002</v>
      </c>
      <c r="F25" s="37">
        <v>0.40200000000000002</v>
      </c>
      <c r="G25" s="37">
        <v>0.40200000000000002</v>
      </c>
      <c r="H25" s="37">
        <v>0.40200000000000002</v>
      </c>
      <c r="I25" s="37">
        <v>0.40200000000000002</v>
      </c>
      <c r="J25" s="37">
        <v>0.40200000000000002</v>
      </c>
      <c r="K25" s="37">
        <v>0.40200000000000002</v>
      </c>
      <c r="L25" s="37">
        <v>0.40200000000000002</v>
      </c>
      <c r="M25" s="37">
        <v>0.40200000000000002</v>
      </c>
      <c r="N25" s="37">
        <v>0.40200000000000002</v>
      </c>
      <c r="O25" s="37">
        <v>0.40200000000000002</v>
      </c>
      <c r="P25" s="37">
        <v>0.40200000000000002</v>
      </c>
      <c r="Q25" s="37">
        <v>0.40200000000000002</v>
      </c>
      <c r="R25" s="37">
        <v>0.40200000000000002</v>
      </c>
      <c r="S25" s="37">
        <v>0.40200000000000002</v>
      </c>
      <c r="T25" s="37">
        <v>0.40200000000000002</v>
      </c>
      <c r="U25" s="37">
        <v>0.40200000000000002</v>
      </c>
      <c r="V25" s="37">
        <v>0.40200000000000002</v>
      </c>
      <c r="W25" s="37">
        <v>0.26200000000000001</v>
      </c>
      <c r="X25" s="37">
        <v>0.26200000000000001</v>
      </c>
      <c r="Y25" s="37">
        <v>0.26200000000000001</v>
      </c>
      <c r="Z25" s="37">
        <v>0.26200000000000001</v>
      </c>
    </row>
    <row r="26" spans="1:26" x14ac:dyDescent="0.25">
      <c r="A26" s="6" t="s">
        <v>500</v>
      </c>
      <c r="B26" s="7">
        <v>4057080</v>
      </c>
      <c r="C26" s="6" t="s">
        <v>194</v>
      </c>
      <c r="D26" s="37">
        <v>0.39649667</v>
      </c>
      <c r="E26" s="37">
        <v>0.39649667</v>
      </c>
      <c r="F26" s="37">
        <v>0.39649667</v>
      </c>
      <c r="G26" s="37">
        <v>0.39649667</v>
      </c>
      <c r="H26" s="37">
        <v>0.39649667</v>
      </c>
      <c r="I26" s="37">
        <v>0.39649667</v>
      </c>
      <c r="J26" s="37">
        <v>0.39649667</v>
      </c>
      <c r="K26" s="37">
        <v>0.39649667</v>
      </c>
      <c r="L26" s="37">
        <v>0.39649667</v>
      </c>
      <c r="M26" s="37">
        <v>0.39649667</v>
      </c>
      <c r="N26" s="37">
        <v>0.39649667</v>
      </c>
      <c r="O26" s="37">
        <v>0.39649667</v>
      </c>
      <c r="P26" s="37">
        <v>0.39649667</v>
      </c>
      <c r="Q26" s="37">
        <v>0.39649667</v>
      </c>
      <c r="R26" s="37">
        <v>0.39649667</v>
      </c>
      <c r="S26" s="37">
        <v>0.39649667</v>
      </c>
      <c r="T26" s="37">
        <v>0.39649667</v>
      </c>
      <c r="U26" s="37">
        <v>0.39649667</v>
      </c>
      <c r="V26" s="37">
        <v>0.39649667</v>
      </c>
      <c r="W26" s="37">
        <v>0.25649666999999998</v>
      </c>
      <c r="X26" s="37">
        <v>0.25649666999999998</v>
      </c>
      <c r="Y26" s="37">
        <v>0.25649666999999998</v>
      </c>
      <c r="Z26" s="37">
        <v>0.25649666999999998</v>
      </c>
    </row>
    <row r="27" spans="1:26" x14ac:dyDescent="0.25">
      <c r="A27" s="6" t="s">
        <v>501</v>
      </c>
      <c r="B27" s="7">
        <v>4057081</v>
      </c>
      <c r="C27" s="6" t="s">
        <v>206</v>
      </c>
      <c r="D27" s="37">
        <v>0.35</v>
      </c>
      <c r="E27" s="37">
        <v>0.35</v>
      </c>
      <c r="F27" s="37">
        <v>0.35</v>
      </c>
      <c r="G27" s="37">
        <v>0.35</v>
      </c>
      <c r="H27" s="37">
        <v>0.35</v>
      </c>
      <c r="I27" s="37">
        <v>0.35</v>
      </c>
      <c r="J27" s="37">
        <v>0.35</v>
      </c>
      <c r="K27" s="37">
        <v>0.35</v>
      </c>
      <c r="L27" s="37">
        <v>0.35</v>
      </c>
      <c r="M27" s="37">
        <v>0.35</v>
      </c>
      <c r="N27" s="37">
        <v>0.35</v>
      </c>
      <c r="O27" s="37">
        <v>0.35</v>
      </c>
      <c r="P27" s="37">
        <v>0.35</v>
      </c>
      <c r="Q27" s="37">
        <v>0.35</v>
      </c>
      <c r="R27" s="37">
        <v>0.35</v>
      </c>
      <c r="S27" s="37">
        <v>0.35</v>
      </c>
      <c r="T27" s="37">
        <v>0.35</v>
      </c>
      <c r="U27" s="37">
        <v>0.35</v>
      </c>
      <c r="V27" s="37">
        <v>0.35</v>
      </c>
      <c r="W27" s="37">
        <v>0.20999999999999996</v>
      </c>
      <c r="X27" s="37">
        <v>0.20999999999999996</v>
      </c>
      <c r="Y27" s="37">
        <v>0.20999999999999996</v>
      </c>
      <c r="Z27" s="37">
        <v>0.20999999999999996</v>
      </c>
    </row>
    <row r="28" spans="1:26" x14ac:dyDescent="0.25">
      <c r="A28" s="6" t="s">
        <v>502</v>
      </c>
      <c r="B28" s="7">
        <v>4059459</v>
      </c>
      <c r="C28" s="6" t="s">
        <v>194</v>
      </c>
      <c r="D28" s="37">
        <v>0.39649667</v>
      </c>
      <c r="E28" s="37">
        <v>0.39649667</v>
      </c>
      <c r="F28" s="37">
        <v>0.39649667</v>
      </c>
      <c r="G28" s="37">
        <v>0.39649667</v>
      </c>
      <c r="H28" s="37">
        <v>0.39649667</v>
      </c>
      <c r="I28" s="37">
        <v>0.39649667</v>
      </c>
      <c r="J28" s="37">
        <v>0.39649667</v>
      </c>
      <c r="K28" s="37">
        <v>0.39649667</v>
      </c>
      <c r="L28" s="37">
        <v>0.39649667</v>
      </c>
      <c r="M28" s="37">
        <v>0.39649667</v>
      </c>
      <c r="N28" s="37">
        <v>0.39649667</v>
      </c>
      <c r="O28" s="37">
        <v>0.39649667</v>
      </c>
      <c r="P28" s="37">
        <v>0.39649667</v>
      </c>
      <c r="Q28" s="37">
        <v>0.39649667</v>
      </c>
      <c r="R28" s="37">
        <v>0.39649667</v>
      </c>
      <c r="S28" s="37">
        <v>0.39649667</v>
      </c>
      <c r="T28" s="37">
        <v>0.39649667</v>
      </c>
      <c r="U28" s="37">
        <v>0.39649667</v>
      </c>
      <c r="V28" s="37">
        <v>0.39649667</v>
      </c>
      <c r="W28" s="37">
        <v>0.25649666999999998</v>
      </c>
      <c r="X28" s="37">
        <v>0.25649666999999998</v>
      </c>
      <c r="Y28" s="37">
        <v>0.25649666999999998</v>
      </c>
      <c r="Z28" s="37">
        <v>0.25649666999999998</v>
      </c>
    </row>
    <row r="29" spans="1:26" x14ac:dyDescent="0.25">
      <c r="A29" s="6" t="s">
        <v>503</v>
      </c>
      <c r="B29" s="7">
        <v>4057118</v>
      </c>
      <c r="C29" s="6" t="s">
        <v>209</v>
      </c>
      <c r="D29" s="37">
        <v>0.39279166999999998</v>
      </c>
      <c r="E29" s="37">
        <v>0.39279166999999998</v>
      </c>
      <c r="F29" s="37">
        <v>0.39279166999999998</v>
      </c>
      <c r="G29" s="37">
        <v>0.39279166999999998</v>
      </c>
      <c r="H29" s="37">
        <v>0.39279166999999998</v>
      </c>
      <c r="I29" s="37">
        <v>0.39279166999999998</v>
      </c>
      <c r="J29" s="37">
        <v>0.39279166999999998</v>
      </c>
      <c r="K29" s="37">
        <v>0.39279166999999998</v>
      </c>
      <c r="L29" s="37">
        <v>0.39279166999999998</v>
      </c>
      <c r="M29" s="37">
        <v>0.39279166999999998</v>
      </c>
      <c r="N29" s="37">
        <v>0.39279166999999998</v>
      </c>
      <c r="O29" s="37">
        <v>0.39279166999999998</v>
      </c>
      <c r="P29" s="37">
        <v>0.39279166999999998</v>
      </c>
      <c r="Q29" s="37">
        <v>0.39279166999999998</v>
      </c>
      <c r="R29" s="37">
        <v>0.39279166999999998</v>
      </c>
      <c r="S29" s="37">
        <v>0.39279166999999998</v>
      </c>
      <c r="T29" s="37">
        <v>0.39279166999999998</v>
      </c>
      <c r="U29" s="37">
        <v>0.39279166999999998</v>
      </c>
      <c r="V29" s="37">
        <v>0.39279166999999998</v>
      </c>
      <c r="W29" s="37">
        <v>0.25279166999999997</v>
      </c>
      <c r="X29" s="37">
        <v>0.25279166999999997</v>
      </c>
      <c r="Y29" s="37">
        <v>0.25279166999999997</v>
      </c>
      <c r="Z29" s="37">
        <v>0.25279166999999997</v>
      </c>
    </row>
    <row r="30" spans="1:26" x14ac:dyDescent="0.25">
      <c r="A30" s="6" t="s">
        <v>504</v>
      </c>
      <c r="B30" s="7">
        <v>4057126</v>
      </c>
      <c r="C30" s="6" t="s">
        <v>206</v>
      </c>
      <c r="D30" s="37">
        <v>0.35</v>
      </c>
      <c r="E30" s="37">
        <v>0.35</v>
      </c>
      <c r="F30" s="37">
        <v>0.35</v>
      </c>
      <c r="G30" s="37">
        <v>0.35</v>
      </c>
      <c r="H30" s="37">
        <v>0.35</v>
      </c>
      <c r="I30" s="37">
        <v>0.35</v>
      </c>
      <c r="J30" s="37">
        <v>0.35</v>
      </c>
      <c r="K30" s="37">
        <v>0.35</v>
      </c>
      <c r="L30" s="37">
        <v>0.35</v>
      </c>
      <c r="M30" s="37">
        <v>0.35</v>
      </c>
      <c r="N30" s="37">
        <v>0.35</v>
      </c>
      <c r="O30" s="37">
        <v>0.35</v>
      </c>
      <c r="P30" s="37">
        <v>0.35</v>
      </c>
      <c r="Q30" s="37">
        <v>0.35</v>
      </c>
      <c r="R30" s="37">
        <v>0.35</v>
      </c>
      <c r="S30" s="37">
        <v>0.35</v>
      </c>
      <c r="T30" s="37">
        <v>0.35</v>
      </c>
      <c r="U30" s="37">
        <v>0.35</v>
      </c>
      <c r="V30" s="37">
        <v>0.35</v>
      </c>
      <c r="W30" s="37">
        <v>0.20999999999999996</v>
      </c>
      <c r="X30" s="37">
        <v>0.20999999999999996</v>
      </c>
      <c r="Y30" s="37">
        <v>0.20999999999999996</v>
      </c>
      <c r="Z30" s="37">
        <v>0.20999999999999996</v>
      </c>
    </row>
    <row r="31" spans="1:26" x14ac:dyDescent="0.25">
      <c r="A31" s="6" t="s">
        <v>505</v>
      </c>
      <c r="B31" s="7">
        <v>4057103</v>
      </c>
      <c r="C31" s="6" t="s">
        <v>199</v>
      </c>
      <c r="D31" s="37">
        <v>0.35</v>
      </c>
      <c r="E31" s="37">
        <v>0.35</v>
      </c>
      <c r="F31" s="37">
        <v>0.35</v>
      </c>
      <c r="G31" s="37">
        <v>0.35</v>
      </c>
      <c r="H31" s="37">
        <v>0.35</v>
      </c>
      <c r="I31" s="37">
        <v>0.35</v>
      </c>
      <c r="J31" s="37">
        <v>0.35</v>
      </c>
      <c r="K31" s="37">
        <v>0.35</v>
      </c>
      <c r="L31" s="37">
        <v>0.35</v>
      </c>
      <c r="M31" s="37">
        <v>0.35</v>
      </c>
      <c r="N31" s="37">
        <v>0.35</v>
      </c>
      <c r="O31" s="37">
        <v>0.35</v>
      </c>
      <c r="P31" s="37">
        <v>0.35</v>
      </c>
      <c r="Q31" s="37">
        <v>0.35</v>
      </c>
      <c r="R31" s="37">
        <v>0.35</v>
      </c>
      <c r="S31" s="37">
        <v>0.35</v>
      </c>
      <c r="T31" s="37">
        <v>0.35</v>
      </c>
      <c r="U31" s="37">
        <v>0.35</v>
      </c>
      <c r="V31" s="37">
        <v>0.35</v>
      </c>
      <c r="W31" s="37">
        <v>0.20999999999999996</v>
      </c>
      <c r="X31" s="37">
        <v>0.20999999999999996</v>
      </c>
      <c r="Y31" s="37">
        <v>0.20999999999999996</v>
      </c>
      <c r="Z31" s="37">
        <v>0.20999999999999996</v>
      </c>
    </row>
    <row r="32" spans="1:26" x14ac:dyDescent="0.25">
      <c r="A32" s="6" t="s">
        <v>506</v>
      </c>
      <c r="B32" s="7">
        <v>4057079</v>
      </c>
      <c r="C32" s="6" t="s">
        <v>199</v>
      </c>
      <c r="D32" s="37">
        <v>0.35</v>
      </c>
      <c r="E32" s="37">
        <v>0.35</v>
      </c>
      <c r="F32" s="37">
        <v>0.35</v>
      </c>
      <c r="G32" s="37">
        <v>0.35</v>
      </c>
      <c r="H32" s="37">
        <v>0.35</v>
      </c>
      <c r="I32" s="37">
        <v>0.35</v>
      </c>
      <c r="J32" s="37">
        <v>0.35</v>
      </c>
      <c r="K32" s="37">
        <v>0.35</v>
      </c>
      <c r="L32" s="37">
        <v>0.35</v>
      </c>
      <c r="M32" s="37">
        <v>0.35</v>
      </c>
      <c r="N32" s="37">
        <v>0.35</v>
      </c>
      <c r="O32" s="37">
        <v>0.35</v>
      </c>
      <c r="P32" s="37">
        <v>0.35</v>
      </c>
      <c r="Q32" s="37">
        <v>0.35</v>
      </c>
      <c r="R32" s="37">
        <v>0.35</v>
      </c>
      <c r="S32" s="37">
        <v>0.35</v>
      </c>
      <c r="T32" s="37">
        <v>0.35</v>
      </c>
      <c r="U32" s="37">
        <v>0.35</v>
      </c>
      <c r="V32" s="37">
        <v>0.35</v>
      </c>
      <c r="W32" s="37">
        <v>0.20999999999999996</v>
      </c>
      <c r="X32" s="37">
        <v>0.20999999999999996</v>
      </c>
      <c r="Y32" s="37">
        <v>0.20999999999999996</v>
      </c>
      <c r="Z32" s="37">
        <v>0.20999999999999996</v>
      </c>
    </row>
    <row r="33" spans="1:26" x14ac:dyDescent="0.25">
      <c r="A33" s="6" t="s">
        <v>269</v>
      </c>
      <c r="B33" s="7">
        <v>4058656</v>
      </c>
      <c r="C33" s="6" t="s">
        <v>187</v>
      </c>
      <c r="D33" s="37">
        <v>0.40700500000000001</v>
      </c>
      <c r="E33" s="37">
        <v>0.40700500000000001</v>
      </c>
      <c r="F33" s="37">
        <v>0.40700500000000001</v>
      </c>
      <c r="G33" s="37">
        <v>0.40700500000000001</v>
      </c>
      <c r="H33" s="37">
        <v>0.40700500000000001</v>
      </c>
      <c r="I33" s="37">
        <v>0.40700500000000001</v>
      </c>
      <c r="J33" s="37">
        <v>0.40700500000000001</v>
      </c>
      <c r="K33" s="37">
        <v>0.40700500000000001</v>
      </c>
      <c r="L33" s="37">
        <v>0.40700500000000001</v>
      </c>
      <c r="M33" s="37">
        <v>0.40700500000000001</v>
      </c>
      <c r="N33" s="37">
        <v>0.40700500000000001</v>
      </c>
      <c r="O33" s="37">
        <v>0.40700500000000001</v>
      </c>
      <c r="P33" s="37">
        <v>0.40700500000000001</v>
      </c>
      <c r="Q33" s="37">
        <v>0.40700500000000001</v>
      </c>
      <c r="R33" s="37">
        <v>0.40700500000000001</v>
      </c>
      <c r="S33" s="37">
        <v>0.40700500000000001</v>
      </c>
      <c r="T33" s="37">
        <v>0.40700500000000001</v>
      </c>
      <c r="U33" s="37">
        <v>0.40700500000000001</v>
      </c>
      <c r="V33" s="37">
        <v>0.40700500000000001</v>
      </c>
      <c r="W33" s="37">
        <v>0.26700499999999999</v>
      </c>
      <c r="X33" s="37">
        <v>0.26700499999999999</v>
      </c>
      <c r="Y33" s="37">
        <v>0.26700499999999999</v>
      </c>
      <c r="Z33" s="37">
        <v>0.26700499999999999</v>
      </c>
    </row>
    <row r="34" spans="1:26" x14ac:dyDescent="0.25">
      <c r="A34" s="6" t="s">
        <v>276</v>
      </c>
      <c r="B34" s="7">
        <v>4081251</v>
      </c>
      <c r="C34" s="6" t="s">
        <v>194</v>
      </c>
      <c r="D34" s="37">
        <v>0.39649667</v>
      </c>
      <c r="E34" s="37">
        <v>0.39649667</v>
      </c>
      <c r="F34" s="37">
        <v>0.39649667</v>
      </c>
      <c r="G34" s="37">
        <v>0.39649667</v>
      </c>
      <c r="H34" s="37">
        <v>0.39649667</v>
      </c>
      <c r="I34" s="37">
        <v>0.39649667</v>
      </c>
      <c r="J34" s="37">
        <v>0.39649667</v>
      </c>
      <c r="K34" s="37">
        <v>0.39649667</v>
      </c>
      <c r="L34" s="37">
        <v>0.39649667</v>
      </c>
      <c r="M34" s="37">
        <v>0.39649667</v>
      </c>
      <c r="N34" s="37">
        <v>0.39649667</v>
      </c>
      <c r="O34" s="37">
        <v>0.39649667</v>
      </c>
      <c r="P34" s="37">
        <v>0.39649667</v>
      </c>
      <c r="Q34" s="37">
        <v>0.39649667</v>
      </c>
      <c r="R34" s="37">
        <v>0.39649667</v>
      </c>
      <c r="S34" s="37">
        <v>0.39649667</v>
      </c>
      <c r="T34" s="37">
        <v>0.39649667</v>
      </c>
      <c r="U34" s="37">
        <v>0.39649667</v>
      </c>
      <c r="V34" s="37">
        <v>0.39649667</v>
      </c>
      <c r="W34" s="37">
        <v>0.25649666999999998</v>
      </c>
      <c r="X34" s="37">
        <v>0.25649666999999998</v>
      </c>
      <c r="Y34" s="37">
        <v>0.25649666999999998</v>
      </c>
      <c r="Z34" s="37">
        <v>0.25649666999999998</v>
      </c>
    </row>
    <row r="35" spans="1:26" x14ac:dyDescent="0.25">
      <c r="A35" s="6" t="s">
        <v>507</v>
      </c>
      <c r="B35" s="7">
        <v>4060572</v>
      </c>
      <c r="C35" s="6" t="s">
        <v>191</v>
      </c>
      <c r="D35" s="37">
        <v>0.40200000000000002</v>
      </c>
      <c r="E35" s="37">
        <v>0.40200000000000002</v>
      </c>
      <c r="F35" s="37">
        <v>0.40200000000000002</v>
      </c>
      <c r="G35" s="37">
        <v>0.40200000000000002</v>
      </c>
      <c r="H35" s="37">
        <v>0.40200000000000002</v>
      </c>
      <c r="I35" s="37">
        <v>0.40200000000000002</v>
      </c>
      <c r="J35" s="37">
        <v>0.40200000000000002</v>
      </c>
      <c r="K35" s="37">
        <v>0.40200000000000002</v>
      </c>
      <c r="L35" s="37">
        <v>0.40200000000000002</v>
      </c>
      <c r="M35" s="37">
        <v>0.40200000000000002</v>
      </c>
      <c r="N35" s="37">
        <v>0.40200000000000002</v>
      </c>
      <c r="O35" s="37">
        <v>0.40200000000000002</v>
      </c>
      <c r="P35" s="37">
        <v>0.40200000000000002</v>
      </c>
      <c r="Q35" s="37">
        <v>0.40200000000000002</v>
      </c>
      <c r="R35" s="37">
        <v>0.40200000000000002</v>
      </c>
      <c r="S35" s="37">
        <v>0.40200000000000002</v>
      </c>
      <c r="T35" s="37">
        <v>0.40200000000000002</v>
      </c>
      <c r="U35" s="37">
        <v>0.40200000000000002</v>
      </c>
      <c r="V35" s="37">
        <v>0.40200000000000002</v>
      </c>
      <c r="W35" s="37">
        <v>0.26200000000000001</v>
      </c>
      <c r="X35" s="37">
        <v>0.26200000000000001</v>
      </c>
      <c r="Y35" s="37">
        <v>0.26200000000000001</v>
      </c>
      <c r="Z35" s="37">
        <v>0.26200000000000001</v>
      </c>
    </row>
    <row r="36" spans="1:26" x14ac:dyDescent="0.25">
      <c r="A36" s="6" t="s">
        <v>508</v>
      </c>
      <c r="B36" s="7">
        <v>4083318</v>
      </c>
      <c r="C36" s="6" t="s">
        <v>222</v>
      </c>
      <c r="D36" s="37">
        <v>0.40076499999999998</v>
      </c>
      <c r="E36" s="37">
        <v>0.40076499999999998</v>
      </c>
      <c r="F36" s="37">
        <v>0.40076499999999998</v>
      </c>
      <c r="G36" s="37">
        <v>0.40076499999999998</v>
      </c>
      <c r="H36" s="37">
        <v>0.40076499999999998</v>
      </c>
      <c r="I36" s="37">
        <v>0.40076499999999998</v>
      </c>
      <c r="J36" s="37">
        <v>0.40076499999999998</v>
      </c>
      <c r="K36" s="37">
        <v>0.40076499999999998</v>
      </c>
      <c r="L36" s="37">
        <v>0.40076499999999998</v>
      </c>
      <c r="M36" s="37">
        <v>0.40076499999999998</v>
      </c>
      <c r="N36" s="37">
        <v>0.40076499999999998</v>
      </c>
      <c r="O36" s="37">
        <v>0.40076499999999998</v>
      </c>
      <c r="P36" s="37">
        <v>0.40076499999999998</v>
      </c>
      <c r="Q36" s="37">
        <v>0.40076499999999998</v>
      </c>
      <c r="R36" s="37">
        <v>0.40076499999999998</v>
      </c>
      <c r="S36" s="37">
        <v>0.40076499999999998</v>
      </c>
      <c r="T36" s="37">
        <v>0.40076499999999998</v>
      </c>
      <c r="U36" s="37">
        <v>0.40076499999999998</v>
      </c>
      <c r="V36" s="37">
        <v>0.40076499999999998</v>
      </c>
      <c r="W36" s="37">
        <v>0.26076499999999997</v>
      </c>
      <c r="X36" s="37">
        <v>0.26076499999999997</v>
      </c>
      <c r="Y36" s="37">
        <v>0.26076499999999997</v>
      </c>
      <c r="Z36" s="37">
        <v>0.26076499999999997</v>
      </c>
    </row>
    <row r="37" spans="1:26" x14ac:dyDescent="0.25">
      <c r="A37" s="6" t="s">
        <v>509</v>
      </c>
      <c r="B37" s="7">
        <v>4057125</v>
      </c>
      <c r="C37" s="6" t="s">
        <v>225</v>
      </c>
      <c r="D37" s="37">
        <v>0.39989833000000002</v>
      </c>
      <c r="E37" s="37">
        <v>0.39989833000000002</v>
      </c>
      <c r="F37" s="37">
        <v>0.39989833000000002</v>
      </c>
      <c r="G37" s="37">
        <v>0.39989833000000002</v>
      </c>
      <c r="H37" s="37">
        <v>0.39989833000000002</v>
      </c>
      <c r="I37" s="37">
        <v>0.39989833000000002</v>
      </c>
      <c r="J37" s="37">
        <v>0.39989833000000002</v>
      </c>
      <c r="K37" s="37">
        <v>0.39989833000000002</v>
      </c>
      <c r="L37" s="37">
        <v>0.39989833000000002</v>
      </c>
      <c r="M37" s="37">
        <v>0.39989833000000002</v>
      </c>
      <c r="N37" s="37">
        <v>0.39989833000000002</v>
      </c>
      <c r="O37" s="37">
        <v>0.39989833000000002</v>
      </c>
      <c r="P37" s="37">
        <v>0.39989833000000002</v>
      </c>
      <c r="Q37" s="37">
        <v>0.39989833000000002</v>
      </c>
      <c r="R37" s="37">
        <v>0.39989833000000002</v>
      </c>
      <c r="S37" s="37">
        <v>0.39989833000000002</v>
      </c>
      <c r="T37" s="37">
        <v>0.39989833000000002</v>
      </c>
      <c r="U37" s="37">
        <v>0.39989833000000002</v>
      </c>
      <c r="V37" s="37">
        <v>0.39989833000000002</v>
      </c>
      <c r="W37" s="37">
        <v>0.25989833000000001</v>
      </c>
      <c r="X37" s="37">
        <v>0.25989833000000001</v>
      </c>
      <c r="Y37" s="37">
        <v>0.25989833000000001</v>
      </c>
      <c r="Z37" s="37">
        <v>0.25989833000000001</v>
      </c>
    </row>
    <row r="38" spans="1:26" x14ac:dyDescent="0.25">
      <c r="A38" s="6" t="s">
        <v>510</v>
      </c>
      <c r="B38" s="7">
        <v>4087741</v>
      </c>
      <c r="C38" s="6" t="s">
        <v>511</v>
      </c>
      <c r="D38" s="37">
        <v>0.39209832999999999</v>
      </c>
      <c r="E38" s="37">
        <v>0.39209832999999999</v>
      </c>
      <c r="F38" s="37">
        <v>0.39209832999999999</v>
      </c>
      <c r="G38" s="37">
        <v>0.39209832999999999</v>
      </c>
      <c r="H38" s="37">
        <v>0.39209832999999999</v>
      </c>
      <c r="I38" s="37">
        <v>0.39209832999999999</v>
      </c>
      <c r="J38" s="37">
        <v>0.39209832999999999</v>
      </c>
      <c r="K38" s="37">
        <v>0.39209832999999999</v>
      </c>
      <c r="L38" s="37">
        <v>0.39209832999999999</v>
      </c>
      <c r="M38" s="37">
        <v>0.39209832999999999</v>
      </c>
      <c r="N38" s="37">
        <v>0.39209832999999999</v>
      </c>
      <c r="O38" s="37">
        <v>0.39209832999999999</v>
      </c>
      <c r="P38" s="37">
        <v>0.39209832999999999</v>
      </c>
      <c r="Q38" s="37">
        <v>0.39209832999999999</v>
      </c>
      <c r="R38" s="37">
        <v>0.39209832999999999</v>
      </c>
      <c r="S38" s="37">
        <v>0.39209832999999999</v>
      </c>
      <c r="T38" s="37">
        <v>0.39209832999999999</v>
      </c>
      <c r="U38" s="37">
        <v>0.39209832999999999</v>
      </c>
      <c r="V38" s="37">
        <v>0.39209832999999999</v>
      </c>
      <c r="W38" s="37">
        <v>0.25209832999999998</v>
      </c>
      <c r="X38" s="37">
        <v>0.25209832999999998</v>
      </c>
      <c r="Y38" s="37">
        <v>0.25209832999999998</v>
      </c>
      <c r="Z38" s="37">
        <v>0.25209832999999998</v>
      </c>
    </row>
    <row r="39" spans="1:26" x14ac:dyDescent="0.25">
      <c r="A39" s="6" t="s">
        <v>512</v>
      </c>
      <c r="B39" s="7">
        <v>4059875</v>
      </c>
      <c r="C39" s="6" t="s">
        <v>513</v>
      </c>
      <c r="D39" s="37">
        <v>0.40674500000000002</v>
      </c>
      <c r="E39" s="37">
        <v>0.40674500000000002</v>
      </c>
      <c r="F39" s="37">
        <v>0.40674500000000002</v>
      </c>
      <c r="G39" s="37">
        <v>0.40674500000000002</v>
      </c>
      <c r="H39" s="37">
        <v>0.40674500000000002</v>
      </c>
      <c r="I39" s="37">
        <v>0.40674500000000002</v>
      </c>
      <c r="J39" s="37">
        <v>0.40674500000000002</v>
      </c>
      <c r="K39" s="37">
        <v>0.40674500000000002</v>
      </c>
      <c r="L39" s="37">
        <v>0.40674500000000002</v>
      </c>
      <c r="M39" s="37">
        <v>0.40674500000000002</v>
      </c>
      <c r="N39" s="37">
        <v>0.40674500000000002</v>
      </c>
      <c r="O39" s="37">
        <v>0.40674500000000002</v>
      </c>
      <c r="P39" s="37">
        <v>0.40674500000000002</v>
      </c>
      <c r="Q39" s="37">
        <v>0.40674500000000002</v>
      </c>
      <c r="R39" s="37">
        <v>0.40674500000000002</v>
      </c>
      <c r="S39" s="37">
        <v>0.40674500000000002</v>
      </c>
      <c r="T39" s="37">
        <v>0.40674500000000002</v>
      </c>
      <c r="U39" s="37">
        <v>0.40674500000000002</v>
      </c>
      <c r="V39" s="37">
        <v>0.40674500000000002</v>
      </c>
      <c r="W39" s="37">
        <v>0.26674500000000001</v>
      </c>
      <c r="X39" s="37">
        <v>0.26674500000000001</v>
      </c>
      <c r="Y39" s="37">
        <v>0.26674500000000001</v>
      </c>
      <c r="Z39" s="37">
        <v>0.26674500000000001</v>
      </c>
    </row>
    <row r="40" spans="1:26" x14ac:dyDescent="0.25">
      <c r="A40" s="6" t="s">
        <v>514</v>
      </c>
      <c r="B40" s="7">
        <v>4057090</v>
      </c>
      <c r="C40" s="6" t="s">
        <v>209</v>
      </c>
      <c r="D40" s="37">
        <v>0.39279166999999998</v>
      </c>
      <c r="E40" s="37">
        <v>0.39279166999999998</v>
      </c>
      <c r="F40" s="37">
        <v>0.39279166999999998</v>
      </c>
      <c r="G40" s="37">
        <v>0.39279166999999998</v>
      </c>
      <c r="H40" s="37">
        <v>0.39279166999999998</v>
      </c>
      <c r="I40" s="37">
        <v>0.39279166999999998</v>
      </c>
      <c r="J40" s="37">
        <v>0.39279166999999998</v>
      </c>
      <c r="K40" s="37">
        <v>0.39279166999999998</v>
      </c>
      <c r="L40" s="37">
        <v>0.39279166999999998</v>
      </c>
      <c r="M40" s="37">
        <v>0.39279166999999998</v>
      </c>
      <c r="N40" s="37">
        <v>0.39279166999999998</v>
      </c>
      <c r="O40" s="37">
        <v>0.39279166999999998</v>
      </c>
      <c r="P40" s="37">
        <v>0.39279166999999998</v>
      </c>
      <c r="Q40" s="37">
        <v>0.39279166999999998</v>
      </c>
      <c r="R40" s="37">
        <v>0.39279166999999998</v>
      </c>
      <c r="S40" s="37">
        <v>0.39279166999999998</v>
      </c>
      <c r="T40" s="37">
        <v>0.39279166999999998</v>
      </c>
      <c r="U40" s="37">
        <v>0.39279166999999998</v>
      </c>
      <c r="V40" s="37">
        <v>0.39279166999999998</v>
      </c>
      <c r="W40" s="37">
        <v>0.25279166999999997</v>
      </c>
      <c r="X40" s="37">
        <v>0.25279166999999997</v>
      </c>
      <c r="Y40" s="37">
        <v>0.25279166999999997</v>
      </c>
      <c r="Z40" s="37">
        <v>0.25279166999999997</v>
      </c>
    </row>
    <row r="41" spans="1:26" x14ac:dyDescent="0.25">
      <c r="A41" s="6" t="s">
        <v>515</v>
      </c>
      <c r="B41" s="7">
        <v>4008754</v>
      </c>
      <c r="C41" s="6" t="s">
        <v>214</v>
      </c>
      <c r="D41" s="37">
        <v>0.40134999999999998</v>
      </c>
      <c r="E41" s="37">
        <v>0.40134999999999998</v>
      </c>
      <c r="F41" s="37">
        <v>0.40134999999999998</v>
      </c>
      <c r="G41" s="37">
        <v>0.40134999999999998</v>
      </c>
      <c r="H41" s="37">
        <v>0.40134999999999998</v>
      </c>
      <c r="I41" s="37">
        <v>0.40134999999999998</v>
      </c>
      <c r="J41" s="37">
        <v>0.40134999999999998</v>
      </c>
      <c r="K41" s="37">
        <v>0.40134999999999998</v>
      </c>
      <c r="L41" s="37">
        <v>0.40134999999999998</v>
      </c>
      <c r="M41" s="37">
        <v>0.40134999999999998</v>
      </c>
      <c r="N41" s="37">
        <v>0.40134999999999998</v>
      </c>
      <c r="O41" s="37">
        <v>0.40134999999999998</v>
      </c>
      <c r="P41" s="37">
        <v>0.40134999999999998</v>
      </c>
      <c r="Q41" s="37">
        <v>0.40134999999999998</v>
      </c>
      <c r="R41" s="37">
        <v>0.40134999999999998</v>
      </c>
      <c r="S41" s="37">
        <v>0.40134999999999998</v>
      </c>
      <c r="T41" s="37">
        <v>0.40134999999999998</v>
      </c>
      <c r="U41" s="37">
        <v>0.40134999999999998</v>
      </c>
      <c r="V41" s="37">
        <v>0.40134999999999998</v>
      </c>
      <c r="W41" s="37">
        <v>0.26134999999999997</v>
      </c>
      <c r="X41" s="37">
        <v>0.26134999999999997</v>
      </c>
      <c r="Y41" s="37">
        <v>0.26134999999999997</v>
      </c>
      <c r="Z41" s="37">
        <v>0.26134999999999997</v>
      </c>
    </row>
    <row r="42" spans="1:26" x14ac:dyDescent="0.25">
      <c r="A42" s="6" t="s">
        <v>516</v>
      </c>
      <c r="B42" s="7">
        <v>4061474</v>
      </c>
      <c r="C42" s="6" t="s">
        <v>225</v>
      </c>
      <c r="D42" s="37">
        <v>0.39989833000000002</v>
      </c>
      <c r="E42" s="37">
        <v>0.39989833000000002</v>
      </c>
      <c r="F42" s="37">
        <v>0.39989833000000002</v>
      </c>
      <c r="G42" s="37">
        <v>0.39989833000000002</v>
      </c>
      <c r="H42" s="37">
        <v>0.39989833000000002</v>
      </c>
      <c r="I42" s="37">
        <v>0.39989833000000002</v>
      </c>
      <c r="J42" s="37">
        <v>0.39989833000000002</v>
      </c>
      <c r="K42" s="37">
        <v>0.39989833000000002</v>
      </c>
      <c r="L42" s="37">
        <v>0.39989833000000002</v>
      </c>
      <c r="M42" s="37">
        <v>0.39989833000000002</v>
      </c>
      <c r="N42" s="37">
        <v>0.39989833000000002</v>
      </c>
      <c r="O42" s="37">
        <v>0.39989833000000002</v>
      </c>
      <c r="P42" s="37">
        <v>0.39989833000000002</v>
      </c>
      <c r="Q42" s="37">
        <v>0.39989833000000002</v>
      </c>
      <c r="R42" s="37">
        <v>0.39989833000000002</v>
      </c>
      <c r="S42" s="37">
        <v>0.39989833000000002</v>
      </c>
      <c r="T42" s="37">
        <v>0.39989833000000002</v>
      </c>
      <c r="U42" s="37">
        <v>0.39989833000000002</v>
      </c>
      <c r="V42" s="37">
        <v>0.39989833000000002</v>
      </c>
      <c r="W42" s="37">
        <v>0.25989833000000001</v>
      </c>
      <c r="X42" s="37">
        <v>0.25989833000000001</v>
      </c>
      <c r="Y42" s="37">
        <v>0.25989833000000001</v>
      </c>
      <c r="Z42" s="37">
        <v>0.25989833000000001</v>
      </c>
    </row>
    <row r="43" spans="1:26" x14ac:dyDescent="0.25">
      <c r="A43" s="6" t="s">
        <v>517</v>
      </c>
      <c r="B43" s="7">
        <v>4076679</v>
      </c>
      <c r="C43" s="6" t="s">
        <v>214</v>
      </c>
      <c r="D43" s="37">
        <v>0.40134999999999998</v>
      </c>
      <c r="E43" s="37">
        <v>0.40134999999999998</v>
      </c>
      <c r="F43" s="37">
        <v>0.40134999999999998</v>
      </c>
      <c r="G43" s="37">
        <v>0.40134999999999998</v>
      </c>
      <c r="H43" s="37">
        <v>0.40134999999999998</v>
      </c>
      <c r="I43" s="37">
        <v>0.40134999999999998</v>
      </c>
      <c r="J43" s="37">
        <v>0.40134999999999998</v>
      </c>
      <c r="K43" s="37">
        <v>0.40134999999999998</v>
      </c>
      <c r="L43" s="37">
        <v>0.40134999999999998</v>
      </c>
      <c r="M43" s="37">
        <v>0.40134999999999998</v>
      </c>
      <c r="N43" s="37">
        <v>0.40134999999999998</v>
      </c>
      <c r="O43" s="37">
        <v>0.40134999999999998</v>
      </c>
      <c r="P43" s="37">
        <v>0.40134999999999998</v>
      </c>
      <c r="Q43" s="37">
        <v>0.40134999999999998</v>
      </c>
      <c r="R43" s="37">
        <v>0.40134999999999998</v>
      </c>
      <c r="S43" s="37">
        <v>0.40134999999999998</v>
      </c>
      <c r="T43" s="37">
        <v>0.40134999999999998</v>
      </c>
      <c r="U43" s="37">
        <v>0.40134999999999998</v>
      </c>
      <c r="V43" s="37">
        <v>0.40134999999999998</v>
      </c>
      <c r="W43" s="37">
        <v>0.26134999999999997</v>
      </c>
      <c r="X43" s="37">
        <v>0.26134999999999997</v>
      </c>
      <c r="Y43" s="37">
        <v>0.26134999999999997</v>
      </c>
      <c r="Z43" s="37">
        <v>0.26134999999999997</v>
      </c>
    </row>
    <row r="44" spans="1:26" x14ac:dyDescent="0.25">
      <c r="A44" s="6" t="s">
        <v>518</v>
      </c>
      <c r="B44" s="7">
        <v>4061634</v>
      </c>
      <c r="C44" s="6" t="s">
        <v>191</v>
      </c>
      <c r="D44" s="37">
        <v>0.40200000000000002</v>
      </c>
      <c r="E44" s="37">
        <v>0.40200000000000002</v>
      </c>
      <c r="F44" s="37">
        <v>0.40200000000000002</v>
      </c>
      <c r="G44" s="37">
        <v>0.40200000000000002</v>
      </c>
      <c r="H44" s="37">
        <v>0.40200000000000002</v>
      </c>
      <c r="I44" s="37">
        <v>0.40200000000000002</v>
      </c>
      <c r="J44" s="37">
        <v>0.40200000000000002</v>
      </c>
      <c r="K44" s="37">
        <v>0.40200000000000002</v>
      </c>
      <c r="L44" s="37">
        <v>0.40200000000000002</v>
      </c>
      <c r="M44" s="37">
        <v>0.40200000000000002</v>
      </c>
      <c r="N44" s="37">
        <v>0.40200000000000002</v>
      </c>
      <c r="O44" s="37">
        <v>0.40200000000000002</v>
      </c>
      <c r="P44" s="37">
        <v>0.40200000000000002</v>
      </c>
      <c r="Q44" s="37">
        <v>0.40200000000000002</v>
      </c>
      <c r="R44" s="37">
        <v>0.40200000000000002</v>
      </c>
      <c r="S44" s="37">
        <v>0.40200000000000002</v>
      </c>
      <c r="T44" s="37">
        <v>0.40200000000000002</v>
      </c>
      <c r="U44" s="37">
        <v>0.40200000000000002</v>
      </c>
      <c r="V44" s="37">
        <v>0.40200000000000002</v>
      </c>
      <c r="W44" s="37">
        <v>0.26200000000000001</v>
      </c>
      <c r="X44" s="37">
        <v>0.26200000000000001</v>
      </c>
      <c r="Y44" s="37">
        <v>0.26200000000000001</v>
      </c>
      <c r="Z44" s="37">
        <v>0.26200000000000001</v>
      </c>
    </row>
    <row r="45" spans="1:26" x14ac:dyDescent="0.25">
      <c r="A45" s="6" t="s">
        <v>519</v>
      </c>
      <c r="B45" s="7">
        <v>4061687</v>
      </c>
      <c r="C45" s="6" t="s">
        <v>194</v>
      </c>
      <c r="D45" s="37">
        <v>0.39649667</v>
      </c>
      <c r="E45" s="37">
        <v>0.39649667</v>
      </c>
      <c r="F45" s="37">
        <v>0.39649667</v>
      </c>
      <c r="G45" s="37">
        <v>0.39649667</v>
      </c>
      <c r="H45" s="37">
        <v>0.39649667</v>
      </c>
      <c r="I45" s="37">
        <v>0.39649667</v>
      </c>
      <c r="J45" s="37">
        <v>0.39649667</v>
      </c>
      <c r="K45" s="37">
        <v>0.39649667</v>
      </c>
      <c r="L45" s="37">
        <v>0.39649667</v>
      </c>
      <c r="M45" s="37">
        <v>0.39649667</v>
      </c>
      <c r="N45" s="37">
        <v>0.39649667</v>
      </c>
      <c r="O45" s="37">
        <v>0.39649667</v>
      </c>
      <c r="P45" s="37">
        <v>0.39649667</v>
      </c>
      <c r="Q45" s="37">
        <v>0.39649667</v>
      </c>
      <c r="R45" s="37">
        <v>0.39649667</v>
      </c>
      <c r="S45" s="37">
        <v>0.39649667</v>
      </c>
      <c r="T45" s="37">
        <v>0.39649667</v>
      </c>
      <c r="U45" s="37">
        <v>0.39649667</v>
      </c>
      <c r="V45" s="37">
        <v>0.39649667</v>
      </c>
      <c r="W45" s="37">
        <v>0.25649666999999998</v>
      </c>
      <c r="X45" s="37">
        <v>0.25649666999999998</v>
      </c>
      <c r="Y45" s="37">
        <v>0.25649666999999998</v>
      </c>
      <c r="Z45" s="37">
        <v>0.25649666999999998</v>
      </c>
    </row>
    <row r="46" spans="1:26" x14ac:dyDescent="0.25">
      <c r="A46" s="6" t="s">
        <v>520</v>
      </c>
      <c r="B46" s="7">
        <v>4061755</v>
      </c>
      <c r="C46" s="6" t="s">
        <v>218</v>
      </c>
      <c r="D46" s="37">
        <v>0.40849999999999997</v>
      </c>
      <c r="E46" s="37">
        <v>0.40849999999999997</v>
      </c>
      <c r="F46" s="37">
        <v>0.40849999999999997</v>
      </c>
      <c r="G46" s="37">
        <v>0.40849999999999997</v>
      </c>
      <c r="H46" s="37">
        <v>0.40849999999999997</v>
      </c>
      <c r="I46" s="37">
        <v>0.40849999999999997</v>
      </c>
      <c r="J46" s="37">
        <v>0.40849999999999997</v>
      </c>
      <c r="K46" s="37">
        <v>0.40849999999999997</v>
      </c>
      <c r="L46" s="37">
        <v>0.40849999999999997</v>
      </c>
      <c r="M46" s="37">
        <v>0.40849999999999997</v>
      </c>
      <c r="N46" s="37">
        <v>0.40849999999999997</v>
      </c>
      <c r="O46" s="37">
        <v>0.40849999999999997</v>
      </c>
      <c r="P46" s="37">
        <v>0.40849999999999997</v>
      </c>
      <c r="Q46" s="37">
        <v>0.40849999999999997</v>
      </c>
      <c r="R46" s="37">
        <v>0.40849999999999997</v>
      </c>
      <c r="S46" s="37">
        <v>0.40849999999999997</v>
      </c>
      <c r="T46" s="37">
        <v>0.40849999999999997</v>
      </c>
      <c r="U46" s="37">
        <v>0.40849999999999997</v>
      </c>
      <c r="V46" s="37">
        <v>0.40849999999999997</v>
      </c>
      <c r="W46" s="37">
        <v>0.26849999999999996</v>
      </c>
      <c r="X46" s="37">
        <v>0.26849999999999996</v>
      </c>
      <c r="Y46" s="37">
        <v>0.26849999999999996</v>
      </c>
      <c r="Z46" s="37">
        <v>0.26849999999999996</v>
      </c>
    </row>
    <row r="47" spans="1:26" x14ac:dyDescent="0.25">
      <c r="A47" s="6" t="s">
        <v>521</v>
      </c>
      <c r="B47" s="7">
        <v>4004389</v>
      </c>
      <c r="C47" s="6" t="s">
        <v>194</v>
      </c>
      <c r="D47" s="37">
        <v>0.39649667</v>
      </c>
      <c r="E47" s="37">
        <v>0.39649667</v>
      </c>
      <c r="F47" s="37">
        <v>0.39649667</v>
      </c>
      <c r="G47" s="37">
        <v>0.39649667</v>
      </c>
      <c r="H47" s="37">
        <v>0.39649667</v>
      </c>
      <c r="I47" s="37">
        <v>0.39649667</v>
      </c>
      <c r="J47" s="37">
        <v>0.39649667</v>
      </c>
      <c r="K47" s="37">
        <v>0.39649667</v>
      </c>
      <c r="L47" s="37">
        <v>0.39649667</v>
      </c>
      <c r="M47" s="37">
        <v>0.39649667</v>
      </c>
      <c r="N47" s="37">
        <v>0.39649667</v>
      </c>
      <c r="O47" s="37">
        <v>0.39649667</v>
      </c>
      <c r="P47" s="37">
        <v>0.39649667</v>
      </c>
      <c r="Q47" s="37">
        <v>0.39649667</v>
      </c>
      <c r="R47" s="37">
        <v>0.39649667</v>
      </c>
      <c r="S47" s="37">
        <v>0.39649667</v>
      </c>
      <c r="T47" s="37">
        <v>0.39649667</v>
      </c>
      <c r="U47" s="37">
        <v>0.39649667</v>
      </c>
      <c r="V47" s="37">
        <v>0.39649667</v>
      </c>
      <c r="W47" s="37">
        <v>0.25649666999999998</v>
      </c>
      <c r="X47" s="37">
        <v>0.25649666999999998</v>
      </c>
      <c r="Y47" s="37">
        <v>0.25649666999999998</v>
      </c>
      <c r="Z47" s="37">
        <v>0.25649666999999998</v>
      </c>
    </row>
    <row r="48" spans="1:26" x14ac:dyDescent="0.25">
      <c r="A48" s="6" t="s">
        <v>522</v>
      </c>
      <c r="B48" s="7">
        <v>4057014</v>
      </c>
      <c r="C48" s="6" t="s">
        <v>194</v>
      </c>
      <c r="D48" s="37">
        <v>0.39649667</v>
      </c>
      <c r="E48" s="37">
        <v>0.39649667</v>
      </c>
      <c r="F48" s="37">
        <v>0.39649667</v>
      </c>
      <c r="G48" s="37">
        <v>0.39649667</v>
      </c>
      <c r="H48" s="37">
        <v>0.39649667</v>
      </c>
      <c r="I48" s="37">
        <v>0.39649667</v>
      </c>
      <c r="J48" s="37">
        <v>0.39649667</v>
      </c>
      <c r="K48" s="37">
        <v>0.39649667</v>
      </c>
      <c r="L48" s="37">
        <v>0.39649667</v>
      </c>
      <c r="M48" s="37">
        <v>0.39649667</v>
      </c>
      <c r="N48" s="37">
        <v>0.39649667</v>
      </c>
      <c r="O48" s="37">
        <v>0.39649667</v>
      </c>
      <c r="P48" s="37">
        <v>0.39649667</v>
      </c>
      <c r="Q48" s="37">
        <v>0.39649667</v>
      </c>
      <c r="R48" s="37">
        <v>0.39649667</v>
      </c>
      <c r="S48" s="37">
        <v>0.39649667</v>
      </c>
      <c r="T48" s="37">
        <v>0.39649667</v>
      </c>
      <c r="U48" s="37">
        <v>0.39649667</v>
      </c>
      <c r="V48" s="37">
        <v>0.39649667</v>
      </c>
      <c r="W48" s="37">
        <v>0.25649666999999998</v>
      </c>
      <c r="X48" s="37">
        <v>0.25649666999999998</v>
      </c>
      <c r="Y48" s="37">
        <v>0.25649666999999998</v>
      </c>
      <c r="Z48" s="37">
        <v>0.25649666999999998</v>
      </c>
    </row>
    <row r="49" spans="1:26" x14ac:dyDescent="0.25">
      <c r="A49" s="6" t="s">
        <v>523</v>
      </c>
      <c r="B49" s="7">
        <v>4057130</v>
      </c>
      <c r="C49" s="6" t="s">
        <v>222</v>
      </c>
      <c r="D49" s="37">
        <v>0.40076499999999998</v>
      </c>
      <c r="E49" s="37">
        <v>0.40076499999999998</v>
      </c>
      <c r="F49" s="37">
        <v>0.40076499999999998</v>
      </c>
      <c r="G49" s="37">
        <v>0.40076499999999998</v>
      </c>
      <c r="H49" s="37">
        <v>0.40076499999999998</v>
      </c>
      <c r="I49" s="37">
        <v>0.40076499999999998</v>
      </c>
      <c r="J49" s="37">
        <v>0.40076499999999998</v>
      </c>
      <c r="K49" s="37">
        <v>0.40076499999999998</v>
      </c>
      <c r="L49" s="37">
        <v>0.40076499999999998</v>
      </c>
      <c r="M49" s="37">
        <v>0.40076499999999998</v>
      </c>
      <c r="N49" s="37">
        <v>0.40076499999999998</v>
      </c>
      <c r="O49" s="37">
        <v>0.40076499999999998</v>
      </c>
      <c r="P49" s="37">
        <v>0.40076499999999998</v>
      </c>
      <c r="Q49" s="37">
        <v>0.40076499999999998</v>
      </c>
      <c r="R49" s="37">
        <v>0.40076499999999998</v>
      </c>
      <c r="S49" s="37">
        <v>0.40076499999999998</v>
      </c>
      <c r="T49" s="37">
        <v>0.40076499999999998</v>
      </c>
      <c r="U49" s="37">
        <v>0.40076499999999998</v>
      </c>
      <c r="V49" s="37">
        <v>0.40076499999999998</v>
      </c>
      <c r="W49" s="37">
        <v>0.26076499999999997</v>
      </c>
      <c r="X49" s="37">
        <v>0.26076499999999997</v>
      </c>
      <c r="Y49" s="37">
        <v>0.26076499999999997</v>
      </c>
      <c r="Z49" s="37">
        <v>0.26076499999999997</v>
      </c>
    </row>
    <row r="50" spans="1:26" x14ac:dyDescent="0.25">
      <c r="A50" s="6" t="s">
        <v>524</v>
      </c>
      <c r="B50" s="7">
        <v>4057131</v>
      </c>
      <c r="C50" s="6" t="s">
        <v>222</v>
      </c>
      <c r="D50" s="37">
        <v>0.40076499999999998</v>
      </c>
      <c r="E50" s="37">
        <v>0.40076499999999998</v>
      </c>
      <c r="F50" s="37">
        <v>0.40076499999999998</v>
      </c>
      <c r="G50" s="37">
        <v>0.40076499999999998</v>
      </c>
      <c r="H50" s="37">
        <v>0.40076499999999998</v>
      </c>
      <c r="I50" s="37">
        <v>0.40076499999999998</v>
      </c>
      <c r="J50" s="37">
        <v>0.40076499999999998</v>
      </c>
      <c r="K50" s="37">
        <v>0.40076499999999998</v>
      </c>
      <c r="L50" s="37">
        <v>0.40076499999999998</v>
      </c>
      <c r="M50" s="37">
        <v>0.40076499999999998</v>
      </c>
      <c r="N50" s="37">
        <v>0.40076499999999998</v>
      </c>
      <c r="O50" s="37">
        <v>0.40076499999999998</v>
      </c>
      <c r="P50" s="37">
        <v>0.40076499999999998</v>
      </c>
      <c r="Q50" s="37">
        <v>0.40076499999999998</v>
      </c>
      <c r="R50" s="37">
        <v>0.40076499999999998</v>
      </c>
      <c r="S50" s="37">
        <v>0.40076499999999998</v>
      </c>
      <c r="T50" s="37">
        <v>0.40076499999999998</v>
      </c>
      <c r="U50" s="37">
        <v>0.40076499999999998</v>
      </c>
      <c r="V50" s="37">
        <v>0.40076499999999998</v>
      </c>
      <c r="W50" s="37">
        <v>0.26076499999999997</v>
      </c>
      <c r="X50" s="37">
        <v>0.26076499999999997</v>
      </c>
      <c r="Y50" s="37">
        <v>0.26076499999999997</v>
      </c>
      <c r="Z50" s="37">
        <v>0.26076499999999997</v>
      </c>
    </row>
    <row r="51" spans="1:26" x14ac:dyDescent="0.25">
      <c r="A51" s="6" t="s">
        <v>525</v>
      </c>
      <c r="B51" s="7">
        <v>4012860</v>
      </c>
      <c r="C51" s="6" t="s">
        <v>225</v>
      </c>
      <c r="D51" s="37">
        <v>0.39989833000000002</v>
      </c>
      <c r="E51" s="37">
        <v>0.39989833000000002</v>
      </c>
      <c r="F51" s="37">
        <v>0.39989833000000002</v>
      </c>
      <c r="G51" s="37">
        <v>0.39989833000000002</v>
      </c>
      <c r="H51" s="37">
        <v>0.39989833000000002</v>
      </c>
      <c r="I51" s="37">
        <v>0.39989833000000002</v>
      </c>
      <c r="J51" s="37">
        <v>0.39989833000000002</v>
      </c>
      <c r="K51" s="37">
        <v>0.39989833000000002</v>
      </c>
      <c r="L51" s="37">
        <v>0.39989833000000002</v>
      </c>
      <c r="M51" s="37">
        <v>0.39989833000000002</v>
      </c>
      <c r="N51" s="37">
        <v>0.39989833000000002</v>
      </c>
      <c r="O51" s="37">
        <v>0.39989833000000002</v>
      </c>
      <c r="P51" s="37">
        <v>0.39989833000000002</v>
      </c>
      <c r="Q51" s="37">
        <v>0.39989833000000002</v>
      </c>
      <c r="R51" s="37">
        <v>0.39989833000000002</v>
      </c>
      <c r="S51" s="37">
        <v>0.39989833000000002</v>
      </c>
      <c r="T51" s="37">
        <v>0.39989833000000002</v>
      </c>
      <c r="U51" s="37">
        <v>0.39989833000000002</v>
      </c>
      <c r="V51" s="37">
        <v>0.39989833000000002</v>
      </c>
      <c r="W51" s="37">
        <v>0.25989833000000001</v>
      </c>
      <c r="X51" s="37">
        <v>0.25989833000000001</v>
      </c>
      <c r="Y51" s="37">
        <v>0.25989833000000001</v>
      </c>
      <c r="Z51" s="37">
        <v>0.25989833000000001</v>
      </c>
    </row>
    <row r="52" spans="1:26" x14ac:dyDescent="0.25">
      <c r="A52" s="6" t="s">
        <v>227</v>
      </c>
      <c r="B52" s="7">
        <v>4061925</v>
      </c>
      <c r="C52" s="6" t="s">
        <v>214</v>
      </c>
      <c r="D52" s="37">
        <v>0.40134999999999998</v>
      </c>
      <c r="E52" s="37">
        <v>0.40134999999999998</v>
      </c>
      <c r="F52" s="37">
        <v>0.40134999999999998</v>
      </c>
      <c r="G52" s="37">
        <v>0.40134999999999998</v>
      </c>
      <c r="H52" s="37">
        <v>0.40134999999999998</v>
      </c>
      <c r="I52" s="37">
        <v>0.40134999999999998</v>
      </c>
      <c r="J52" s="37">
        <v>0.40134999999999998</v>
      </c>
      <c r="K52" s="37">
        <v>0.40134999999999998</v>
      </c>
      <c r="L52" s="37">
        <v>0.40134999999999998</v>
      </c>
      <c r="M52" s="37">
        <v>0.40134999999999998</v>
      </c>
      <c r="N52" s="37">
        <v>0.40134999999999998</v>
      </c>
      <c r="O52" s="37">
        <v>0.40134999999999998</v>
      </c>
      <c r="P52" s="37">
        <v>0.40134999999999998</v>
      </c>
      <c r="Q52" s="37">
        <v>0.40134999999999998</v>
      </c>
      <c r="R52" s="37">
        <v>0.40134999999999998</v>
      </c>
      <c r="S52" s="37">
        <v>0.40134999999999998</v>
      </c>
      <c r="T52" s="37">
        <v>0.40134999999999998</v>
      </c>
      <c r="U52" s="37">
        <v>0.40134999999999998</v>
      </c>
      <c r="V52" s="37">
        <v>0.40134999999999998</v>
      </c>
      <c r="W52" s="37">
        <v>0.26134999999999997</v>
      </c>
      <c r="X52" s="37">
        <v>0.26134999999999997</v>
      </c>
      <c r="Y52" s="37">
        <v>0.26134999999999997</v>
      </c>
      <c r="Z52" s="37">
        <v>0.26134999999999997</v>
      </c>
    </row>
    <row r="53" spans="1:26" x14ac:dyDescent="0.25">
      <c r="A53" s="6" t="s">
        <v>526</v>
      </c>
      <c r="B53" s="7">
        <v>4057132</v>
      </c>
      <c r="C53" s="6" t="s">
        <v>527</v>
      </c>
      <c r="D53" s="37">
        <v>0.42</v>
      </c>
      <c r="E53" s="37">
        <v>0.42</v>
      </c>
      <c r="F53" s="37">
        <v>0.42</v>
      </c>
      <c r="G53" s="37">
        <v>0.42</v>
      </c>
      <c r="H53" s="37">
        <v>0.42</v>
      </c>
      <c r="I53" s="37">
        <v>0.42</v>
      </c>
      <c r="J53" s="37">
        <v>0.42</v>
      </c>
      <c r="K53" s="37">
        <v>0.42</v>
      </c>
      <c r="L53" s="37">
        <v>0.42</v>
      </c>
      <c r="M53" s="37">
        <v>0.42</v>
      </c>
      <c r="N53" s="37">
        <v>0.42</v>
      </c>
      <c r="O53" s="37">
        <v>0.42</v>
      </c>
      <c r="P53" s="37">
        <v>0.42</v>
      </c>
      <c r="Q53" s="37">
        <v>0.42</v>
      </c>
      <c r="R53" s="37">
        <v>0.42</v>
      </c>
      <c r="S53" s="37">
        <v>0.42</v>
      </c>
      <c r="T53" s="37">
        <v>0.42</v>
      </c>
      <c r="U53" s="37">
        <v>0.42</v>
      </c>
      <c r="V53" s="37">
        <v>0.42</v>
      </c>
      <c r="W53" s="37">
        <v>0.27999999999999997</v>
      </c>
      <c r="X53" s="37">
        <v>0.27999999999999997</v>
      </c>
      <c r="Y53" s="37">
        <v>0.27999999999999997</v>
      </c>
      <c r="Z53" s="37">
        <v>0.27999999999999997</v>
      </c>
    </row>
    <row r="54" spans="1:26" x14ac:dyDescent="0.25">
      <c r="A54" s="6" t="s">
        <v>528</v>
      </c>
      <c r="B54" s="7">
        <v>4057115</v>
      </c>
      <c r="C54" s="6" t="s">
        <v>187</v>
      </c>
      <c r="D54" s="37">
        <v>0.40700500000000001</v>
      </c>
      <c r="E54" s="37">
        <v>0.40700500000000001</v>
      </c>
      <c r="F54" s="37">
        <v>0.40700500000000001</v>
      </c>
      <c r="G54" s="37">
        <v>0.40700500000000001</v>
      </c>
      <c r="H54" s="37">
        <v>0.40700500000000001</v>
      </c>
      <c r="I54" s="37">
        <v>0.40700500000000001</v>
      </c>
      <c r="J54" s="37">
        <v>0.40700500000000001</v>
      </c>
      <c r="K54" s="37">
        <v>0.40700500000000001</v>
      </c>
      <c r="L54" s="37">
        <v>0.40700500000000001</v>
      </c>
      <c r="M54" s="37">
        <v>0.40700500000000001</v>
      </c>
      <c r="N54" s="37">
        <v>0.40700500000000001</v>
      </c>
      <c r="O54" s="37">
        <v>0.40700500000000001</v>
      </c>
      <c r="P54" s="37">
        <v>0.40700500000000001</v>
      </c>
      <c r="Q54" s="37">
        <v>0.40700500000000001</v>
      </c>
      <c r="R54" s="37">
        <v>0.40700500000000001</v>
      </c>
      <c r="S54" s="37">
        <v>0.40700500000000001</v>
      </c>
      <c r="T54" s="37">
        <v>0.40700500000000001</v>
      </c>
      <c r="U54" s="37">
        <v>0.40700500000000001</v>
      </c>
      <c r="V54" s="37">
        <v>0.40700500000000001</v>
      </c>
      <c r="W54" s="37">
        <v>0.26700499999999999</v>
      </c>
      <c r="X54" s="37">
        <v>0.26700499999999999</v>
      </c>
      <c r="Y54" s="37">
        <v>0.26700499999999999</v>
      </c>
      <c r="Z54" s="37">
        <v>0.26700499999999999</v>
      </c>
    </row>
    <row r="55" spans="1:26" x14ac:dyDescent="0.25">
      <c r="A55" s="6" t="s">
        <v>529</v>
      </c>
      <c r="B55" s="7">
        <v>4064479</v>
      </c>
      <c r="C55" s="6" t="s">
        <v>199</v>
      </c>
      <c r="D55" s="37">
        <v>0.35</v>
      </c>
      <c r="E55" s="37">
        <v>0.35</v>
      </c>
      <c r="F55" s="37">
        <v>0.35</v>
      </c>
      <c r="G55" s="37">
        <v>0.35</v>
      </c>
      <c r="H55" s="37">
        <v>0.35</v>
      </c>
      <c r="I55" s="37">
        <v>0.35</v>
      </c>
      <c r="J55" s="37">
        <v>0.35</v>
      </c>
      <c r="K55" s="37">
        <v>0.35</v>
      </c>
      <c r="L55" s="37">
        <v>0.35</v>
      </c>
      <c r="M55" s="37">
        <v>0.35</v>
      </c>
      <c r="N55" s="37">
        <v>0.35</v>
      </c>
      <c r="O55" s="37">
        <v>0.35</v>
      </c>
      <c r="P55" s="37">
        <v>0.35</v>
      </c>
      <c r="Q55" s="37">
        <v>0.35</v>
      </c>
      <c r="R55" s="37">
        <v>0.35</v>
      </c>
      <c r="S55" s="37">
        <v>0.35</v>
      </c>
      <c r="T55" s="37">
        <v>0.35</v>
      </c>
      <c r="U55" s="37">
        <v>0.35</v>
      </c>
      <c r="V55" s="37">
        <v>0.35</v>
      </c>
      <c r="W55" s="37">
        <v>0.20999999999999996</v>
      </c>
      <c r="X55" s="37">
        <v>0.20999999999999996</v>
      </c>
      <c r="Y55" s="37">
        <v>0.20999999999999996</v>
      </c>
      <c r="Z55" s="37">
        <v>0.20999999999999996</v>
      </c>
    </row>
    <row r="56" spans="1:26" x14ac:dyDescent="0.25">
      <c r="A56" s="6" t="s">
        <v>530</v>
      </c>
      <c r="B56" s="7">
        <v>4062025</v>
      </c>
      <c r="C56" s="6" t="s">
        <v>225</v>
      </c>
      <c r="D56" s="37">
        <v>0.39989833000000002</v>
      </c>
      <c r="E56" s="37">
        <v>0.39989833000000002</v>
      </c>
      <c r="F56" s="37">
        <v>0.39989833000000002</v>
      </c>
      <c r="G56" s="37">
        <v>0.39989833000000002</v>
      </c>
      <c r="H56" s="37">
        <v>0.39989833000000002</v>
      </c>
      <c r="I56" s="37">
        <v>0.39989833000000002</v>
      </c>
      <c r="J56" s="37">
        <v>0.39989833000000002</v>
      </c>
      <c r="K56" s="37">
        <v>0.39989833000000002</v>
      </c>
      <c r="L56" s="37">
        <v>0.39989833000000002</v>
      </c>
      <c r="M56" s="37">
        <v>0.39989833000000002</v>
      </c>
      <c r="N56" s="37">
        <v>0.39989833000000002</v>
      </c>
      <c r="O56" s="37">
        <v>0.39989833000000002</v>
      </c>
      <c r="P56" s="37">
        <v>0.39989833000000002</v>
      </c>
      <c r="Q56" s="37">
        <v>0.39989833000000002</v>
      </c>
      <c r="R56" s="37">
        <v>0.39989833000000002</v>
      </c>
      <c r="S56" s="37">
        <v>0.39989833000000002</v>
      </c>
      <c r="T56" s="37">
        <v>0.39989833000000002</v>
      </c>
      <c r="U56" s="37">
        <v>0.39989833000000002</v>
      </c>
      <c r="V56" s="37">
        <v>0.39989833000000002</v>
      </c>
      <c r="W56" s="37">
        <v>0.25989833000000001</v>
      </c>
      <c r="X56" s="37">
        <v>0.25989833000000001</v>
      </c>
      <c r="Y56" s="37">
        <v>0.25989833000000001</v>
      </c>
      <c r="Z56" s="37">
        <v>0.25989833000000001</v>
      </c>
    </row>
    <row r="57" spans="1:26" x14ac:dyDescent="0.25">
      <c r="A57" s="6" t="s">
        <v>531</v>
      </c>
      <c r="B57" s="7">
        <v>4064481</v>
      </c>
      <c r="C57" s="6" t="s">
        <v>532</v>
      </c>
      <c r="D57" s="37">
        <v>0.41</v>
      </c>
      <c r="E57" s="37">
        <v>0.41</v>
      </c>
      <c r="F57" s="37">
        <v>0.41</v>
      </c>
      <c r="G57" s="37">
        <v>0.41</v>
      </c>
      <c r="H57" s="37">
        <v>0.41</v>
      </c>
      <c r="I57" s="37">
        <v>0.41</v>
      </c>
      <c r="J57" s="37">
        <v>0.41</v>
      </c>
      <c r="K57" s="37">
        <v>0.41</v>
      </c>
      <c r="L57" s="37">
        <v>0.41</v>
      </c>
      <c r="M57" s="37">
        <v>0.41</v>
      </c>
      <c r="N57" s="37">
        <v>0.41</v>
      </c>
      <c r="O57" s="37">
        <v>0.41</v>
      </c>
      <c r="P57" s="37">
        <v>0.41</v>
      </c>
      <c r="Q57" s="37">
        <v>0.41</v>
      </c>
      <c r="R57" s="37">
        <v>0.41</v>
      </c>
      <c r="S57" s="37">
        <v>0.41</v>
      </c>
      <c r="T57" s="37">
        <v>0.41</v>
      </c>
      <c r="U57" s="37">
        <v>0.41</v>
      </c>
      <c r="V57" s="37">
        <v>0.41</v>
      </c>
      <c r="W57" s="37">
        <v>0.26999999999999996</v>
      </c>
      <c r="X57" s="37">
        <v>0.26999999999999996</v>
      </c>
      <c r="Y57" s="37">
        <v>0.26999999999999996</v>
      </c>
      <c r="Z57" s="37">
        <v>0.26999999999999996</v>
      </c>
    </row>
    <row r="58" spans="1:26" x14ac:dyDescent="0.25">
      <c r="A58" s="6" t="s">
        <v>533</v>
      </c>
      <c r="B58" s="7">
        <v>4057093</v>
      </c>
      <c r="C58" s="6" t="s">
        <v>194</v>
      </c>
      <c r="D58" s="37">
        <v>0.39649667</v>
      </c>
      <c r="E58" s="37">
        <v>0.39649667</v>
      </c>
      <c r="F58" s="37">
        <v>0.39649667</v>
      </c>
      <c r="G58" s="37">
        <v>0.39649667</v>
      </c>
      <c r="H58" s="37">
        <v>0.39649667</v>
      </c>
      <c r="I58" s="37">
        <v>0.39649667</v>
      </c>
      <c r="J58" s="37">
        <v>0.39649667</v>
      </c>
      <c r="K58" s="37">
        <v>0.39649667</v>
      </c>
      <c r="L58" s="37">
        <v>0.39649667</v>
      </c>
      <c r="M58" s="37">
        <v>0.39649667</v>
      </c>
      <c r="N58" s="37">
        <v>0.39649667</v>
      </c>
      <c r="O58" s="37">
        <v>0.39649667</v>
      </c>
      <c r="P58" s="37">
        <v>0.39649667</v>
      </c>
      <c r="Q58" s="37">
        <v>0.39649667</v>
      </c>
      <c r="R58" s="37">
        <v>0.39649667</v>
      </c>
      <c r="S58" s="37">
        <v>0.39649667</v>
      </c>
      <c r="T58" s="37">
        <v>0.39649667</v>
      </c>
      <c r="U58" s="37">
        <v>0.39649667</v>
      </c>
      <c r="V58" s="37">
        <v>0.39649667</v>
      </c>
      <c r="W58" s="37">
        <v>0.25649666999999998</v>
      </c>
      <c r="X58" s="37">
        <v>0.25649666999999998</v>
      </c>
      <c r="Y58" s="37">
        <v>0.25649666999999998</v>
      </c>
      <c r="Z58" s="37">
        <v>0.25649666999999998</v>
      </c>
    </row>
    <row r="59" spans="1:26" x14ac:dyDescent="0.25">
      <c r="A59" s="6" t="s">
        <v>534</v>
      </c>
      <c r="B59" s="7">
        <v>4004218</v>
      </c>
      <c r="C59" s="6" t="s">
        <v>231</v>
      </c>
      <c r="D59" s="37">
        <v>0.40745999999999999</v>
      </c>
      <c r="E59" s="37">
        <v>0.40745999999999999</v>
      </c>
      <c r="F59" s="37">
        <v>0.40745999999999999</v>
      </c>
      <c r="G59" s="37">
        <v>0.40745999999999999</v>
      </c>
      <c r="H59" s="37">
        <v>0.40745999999999999</v>
      </c>
      <c r="I59" s="37">
        <v>0.40745999999999999</v>
      </c>
      <c r="J59" s="37">
        <v>0.40745999999999999</v>
      </c>
      <c r="K59" s="37">
        <v>0.40745999999999999</v>
      </c>
      <c r="L59" s="37">
        <v>0.40745999999999999</v>
      </c>
      <c r="M59" s="37">
        <v>0.40745999999999999</v>
      </c>
      <c r="N59" s="37">
        <v>0.40745999999999999</v>
      </c>
      <c r="O59" s="37">
        <v>0.40745999999999999</v>
      </c>
      <c r="P59" s="37">
        <v>0.40745999999999999</v>
      </c>
      <c r="Q59" s="37">
        <v>0.40745999999999999</v>
      </c>
      <c r="R59" s="37">
        <v>0.40745999999999999</v>
      </c>
      <c r="S59" s="37">
        <v>0.40745999999999999</v>
      </c>
      <c r="T59" s="37">
        <v>0.40745999999999999</v>
      </c>
      <c r="U59" s="37">
        <v>0.40745999999999999</v>
      </c>
      <c r="V59" s="37">
        <v>0.40745999999999999</v>
      </c>
      <c r="W59" s="37">
        <v>0.26745999999999998</v>
      </c>
      <c r="X59" s="37">
        <v>0.26745999999999998</v>
      </c>
      <c r="Y59" s="37">
        <v>0.26745999999999998</v>
      </c>
      <c r="Z59" s="37">
        <v>0.26745999999999998</v>
      </c>
    </row>
    <row r="60" spans="1:26" x14ac:dyDescent="0.25">
      <c r="A60" s="6" t="s">
        <v>288</v>
      </c>
      <c r="B60" s="7">
        <v>4062222</v>
      </c>
      <c r="C60" s="6" t="s">
        <v>201</v>
      </c>
      <c r="D60" s="37">
        <v>0.414935</v>
      </c>
      <c r="E60" s="37">
        <v>0.414935</v>
      </c>
      <c r="F60" s="37">
        <v>0.414935</v>
      </c>
      <c r="G60" s="37">
        <v>0.414935</v>
      </c>
      <c r="H60" s="37">
        <v>0.414935</v>
      </c>
      <c r="I60" s="37">
        <v>0.414935</v>
      </c>
      <c r="J60" s="37">
        <v>0.414935</v>
      </c>
      <c r="K60" s="37">
        <v>0.414935</v>
      </c>
      <c r="L60" s="37">
        <v>0.414935</v>
      </c>
      <c r="M60" s="37">
        <v>0.414935</v>
      </c>
      <c r="N60" s="37">
        <v>0.414935</v>
      </c>
      <c r="O60" s="37">
        <v>0.414935</v>
      </c>
      <c r="P60" s="37">
        <v>0.414935</v>
      </c>
      <c r="Q60" s="37">
        <v>0.414935</v>
      </c>
      <c r="R60" s="37">
        <v>0.414935</v>
      </c>
      <c r="S60" s="37">
        <v>0.414935</v>
      </c>
      <c r="T60" s="37">
        <v>0.414935</v>
      </c>
      <c r="U60" s="37">
        <v>0.414935</v>
      </c>
      <c r="V60" s="37">
        <v>0.414935</v>
      </c>
      <c r="W60" s="37">
        <v>0.27493499999999998</v>
      </c>
      <c r="X60" s="37">
        <v>0.27493499999999998</v>
      </c>
      <c r="Y60" s="37">
        <v>0.27493499999999998</v>
      </c>
      <c r="Z60" s="37">
        <v>0.27493499999999998</v>
      </c>
    </row>
    <row r="61" spans="1:26" x14ac:dyDescent="0.25">
      <c r="A61" s="6" t="s">
        <v>535</v>
      </c>
      <c r="B61" s="7">
        <v>4063341</v>
      </c>
      <c r="C61" s="6" t="s">
        <v>235</v>
      </c>
      <c r="D61" s="37">
        <v>0.38574999999999998</v>
      </c>
      <c r="E61" s="37">
        <v>0.38574999999999998</v>
      </c>
      <c r="F61" s="37">
        <v>0.38574999999999998</v>
      </c>
      <c r="G61" s="37">
        <v>0.38574999999999998</v>
      </c>
      <c r="H61" s="37">
        <v>0.38574999999999998</v>
      </c>
      <c r="I61" s="37">
        <v>0.38574999999999998</v>
      </c>
      <c r="J61" s="37">
        <v>0.38574999999999998</v>
      </c>
      <c r="K61" s="37">
        <v>0.38574999999999998</v>
      </c>
      <c r="L61" s="37">
        <v>0.38574999999999998</v>
      </c>
      <c r="M61" s="37">
        <v>0.38574999999999998</v>
      </c>
      <c r="N61" s="37">
        <v>0.38574999999999998</v>
      </c>
      <c r="O61" s="37">
        <v>0.38574999999999998</v>
      </c>
      <c r="P61" s="37">
        <v>0.38574999999999998</v>
      </c>
      <c r="Q61" s="37">
        <v>0.38574999999999998</v>
      </c>
      <c r="R61" s="37">
        <v>0.38574999999999998</v>
      </c>
      <c r="S61" s="37">
        <v>0.38574999999999998</v>
      </c>
      <c r="T61" s="37">
        <v>0.38574999999999998</v>
      </c>
      <c r="U61" s="37">
        <v>0.38574999999999998</v>
      </c>
      <c r="V61" s="37">
        <v>0.38574999999999998</v>
      </c>
      <c r="W61" s="37">
        <v>0.24574999999999997</v>
      </c>
      <c r="X61" s="37">
        <v>0.24574999999999997</v>
      </c>
      <c r="Y61" s="37">
        <v>0.24574999999999997</v>
      </c>
      <c r="Z61" s="37">
        <v>0.24574999999999997</v>
      </c>
    </row>
    <row r="62" spans="1:26" x14ac:dyDescent="0.25">
      <c r="A62" s="6" t="s">
        <v>536</v>
      </c>
      <c r="B62" s="7">
        <v>4083575</v>
      </c>
      <c r="C62" s="6" t="s">
        <v>201</v>
      </c>
      <c r="D62" s="37">
        <v>0.414935</v>
      </c>
      <c r="E62" s="37">
        <v>0.414935</v>
      </c>
      <c r="F62" s="37">
        <v>0.414935</v>
      </c>
      <c r="G62" s="37">
        <v>0.414935</v>
      </c>
      <c r="H62" s="37">
        <v>0.414935</v>
      </c>
      <c r="I62" s="37">
        <v>0.414935</v>
      </c>
      <c r="J62" s="37">
        <v>0.414935</v>
      </c>
      <c r="K62" s="37">
        <v>0.414935</v>
      </c>
      <c r="L62" s="37">
        <v>0.414935</v>
      </c>
      <c r="M62" s="37">
        <v>0.414935</v>
      </c>
      <c r="N62" s="37">
        <v>0.414935</v>
      </c>
      <c r="O62" s="37">
        <v>0.414935</v>
      </c>
      <c r="P62" s="37">
        <v>0.414935</v>
      </c>
      <c r="Q62" s="37">
        <v>0.414935</v>
      </c>
      <c r="R62" s="37">
        <v>0.414935</v>
      </c>
      <c r="S62" s="37">
        <v>0.414935</v>
      </c>
      <c r="T62" s="37">
        <v>0.414935</v>
      </c>
      <c r="U62" s="37">
        <v>0.414935</v>
      </c>
      <c r="V62" s="37">
        <v>0.414935</v>
      </c>
      <c r="W62" s="37">
        <v>0.27493499999999998</v>
      </c>
      <c r="X62" s="37">
        <v>0.27493499999999998</v>
      </c>
      <c r="Y62" s="37">
        <v>0.27493499999999998</v>
      </c>
      <c r="Z62" s="37">
        <v>0.27493499999999998</v>
      </c>
    </row>
    <row r="63" spans="1:26" x14ac:dyDescent="0.25">
      <c r="A63" s="6" t="s">
        <v>537</v>
      </c>
      <c r="B63" s="7">
        <v>4062303</v>
      </c>
      <c r="C63" s="6" t="s">
        <v>194</v>
      </c>
      <c r="D63" s="37">
        <v>0.39649667</v>
      </c>
      <c r="E63" s="37">
        <v>0.39649667</v>
      </c>
      <c r="F63" s="37">
        <v>0.39649667</v>
      </c>
      <c r="G63" s="37">
        <v>0.39649667</v>
      </c>
      <c r="H63" s="37">
        <v>0.39649667</v>
      </c>
      <c r="I63" s="37">
        <v>0.39649667</v>
      </c>
      <c r="J63" s="37">
        <v>0.39649667</v>
      </c>
      <c r="K63" s="37">
        <v>0.39649667</v>
      </c>
      <c r="L63" s="37">
        <v>0.39649667</v>
      </c>
      <c r="M63" s="37">
        <v>0.39649667</v>
      </c>
      <c r="N63" s="37">
        <v>0.39649667</v>
      </c>
      <c r="O63" s="37">
        <v>0.39649667</v>
      </c>
      <c r="P63" s="37">
        <v>0.39649667</v>
      </c>
      <c r="Q63" s="37">
        <v>0.39649667</v>
      </c>
      <c r="R63" s="37">
        <v>0.39649667</v>
      </c>
      <c r="S63" s="37">
        <v>0.39649667</v>
      </c>
      <c r="T63" s="37">
        <v>0.39649667</v>
      </c>
      <c r="U63" s="37">
        <v>0.39649667</v>
      </c>
      <c r="V63" s="37">
        <v>0.39649667</v>
      </c>
      <c r="W63" s="37">
        <v>0.25649666999999998</v>
      </c>
      <c r="X63" s="37">
        <v>0.25649666999999998</v>
      </c>
      <c r="Y63" s="37">
        <v>0.25649666999999998</v>
      </c>
      <c r="Z63" s="37">
        <v>0.25649666999999998</v>
      </c>
    </row>
    <row r="64" spans="1:26" x14ac:dyDescent="0.25">
      <c r="A64" s="6" t="s">
        <v>538</v>
      </c>
      <c r="B64" s="7">
        <v>4083581</v>
      </c>
      <c r="C64" s="6" t="s">
        <v>199</v>
      </c>
      <c r="D64" s="37">
        <v>0.35</v>
      </c>
      <c r="E64" s="37">
        <v>0.35</v>
      </c>
      <c r="F64" s="37">
        <v>0.35</v>
      </c>
      <c r="G64" s="37">
        <v>0.35</v>
      </c>
      <c r="H64" s="37">
        <v>0.35</v>
      </c>
      <c r="I64" s="37">
        <v>0.35</v>
      </c>
      <c r="J64" s="37">
        <v>0.35</v>
      </c>
      <c r="K64" s="37">
        <v>0.35</v>
      </c>
      <c r="L64" s="37">
        <v>0.35</v>
      </c>
      <c r="M64" s="37">
        <v>0.35</v>
      </c>
      <c r="N64" s="37">
        <v>0.35</v>
      </c>
      <c r="O64" s="37">
        <v>0.35</v>
      </c>
      <c r="P64" s="37">
        <v>0.35</v>
      </c>
      <c r="Q64" s="37">
        <v>0.35</v>
      </c>
      <c r="R64" s="37">
        <v>0.35</v>
      </c>
      <c r="S64" s="37">
        <v>0.35</v>
      </c>
      <c r="T64" s="37">
        <v>0.35</v>
      </c>
      <c r="U64" s="37">
        <v>0.35</v>
      </c>
      <c r="V64" s="37">
        <v>0.35</v>
      </c>
      <c r="W64" s="37">
        <v>0.20999999999999996</v>
      </c>
      <c r="X64" s="37">
        <v>0.20999999999999996</v>
      </c>
      <c r="Y64" s="37">
        <v>0.20999999999999996</v>
      </c>
      <c r="Z64" s="37">
        <v>0.20999999999999996</v>
      </c>
    </row>
    <row r="65" spans="1:26" x14ac:dyDescent="0.25">
      <c r="A65" s="6" t="s">
        <v>539</v>
      </c>
      <c r="B65" s="7">
        <v>4057139</v>
      </c>
      <c r="C65" s="6" t="s">
        <v>237</v>
      </c>
      <c r="D65" s="37">
        <v>0.35</v>
      </c>
      <c r="E65" s="37">
        <v>0.35</v>
      </c>
      <c r="F65" s="37">
        <v>0.35</v>
      </c>
      <c r="G65" s="37">
        <v>0.35</v>
      </c>
      <c r="H65" s="37">
        <v>0.35</v>
      </c>
      <c r="I65" s="37">
        <v>0.35</v>
      </c>
      <c r="J65" s="37">
        <v>0.35</v>
      </c>
      <c r="K65" s="37">
        <v>0.35</v>
      </c>
      <c r="L65" s="37">
        <v>0.35</v>
      </c>
      <c r="M65" s="37">
        <v>0.35</v>
      </c>
      <c r="N65" s="37">
        <v>0.35</v>
      </c>
      <c r="O65" s="37">
        <v>0.35</v>
      </c>
      <c r="P65" s="37">
        <v>0.35</v>
      </c>
      <c r="Q65" s="37">
        <v>0.35</v>
      </c>
      <c r="R65" s="37">
        <v>0.35</v>
      </c>
      <c r="S65" s="37">
        <v>0.35</v>
      </c>
      <c r="T65" s="37">
        <v>0.35</v>
      </c>
      <c r="U65" s="37">
        <v>0.35</v>
      </c>
      <c r="V65" s="37">
        <v>0.35</v>
      </c>
      <c r="W65" s="37">
        <v>0.23499999999999999</v>
      </c>
      <c r="X65" s="37">
        <v>0.23499999999999999</v>
      </c>
      <c r="Y65" s="37">
        <v>0.23499999999999999</v>
      </c>
      <c r="Z65" s="37">
        <v>0.23499999999999999</v>
      </c>
    </row>
    <row r="66" spans="1:26" x14ac:dyDescent="0.25">
      <c r="A66" s="6" t="s">
        <v>540</v>
      </c>
      <c r="B66" s="7">
        <v>4057095</v>
      </c>
      <c r="C66" s="6" t="s">
        <v>218</v>
      </c>
      <c r="D66" s="37">
        <v>0.40849999999999997</v>
      </c>
      <c r="E66" s="37">
        <v>0.40849999999999997</v>
      </c>
      <c r="F66" s="37">
        <v>0.40849999999999997</v>
      </c>
      <c r="G66" s="37">
        <v>0.40849999999999997</v>
      </c>
      <c r="H66" s="37">
        <v>0.40849999999999997</v>
      </c>
      <c r="I66" s="37">
        <v>0.40849999999999997</v>
      </c>
      <c r="J66" s="37">
        <v>0.40849999999999997</v>
      </c>
      <c r="K66" s="37">
        <v>0.40849999999999997</v>
      </c>
      <c r="L66" s="37">
        <v>0.40849999999999997</v>
      </c>
      <c r="M66" s="37">
        <v>0.40849999999999997</v>
      </c>
      <c r="N66" s="37">
        <v>0.40849999999999997</v>
      </c>
      <c r="O66" s="37">
        <v>0.40849999999999997</v>
      </c>
      <c r="P66" s="37">
        <v>0.40849999999999997</v>
      </c>
      <c r="Q66" s="37">
        <v>0.40849999999999997</v>
      </c>
      <c r="R66" s="37">
        <v>0.40849999999999997</v>
      </c>
      <c r="S66" s="37">
        <v>0.40849999999999997</v>
      </c>
      <c r="T66" s="37">
        <v>0.40849999999999997</v>
      </c>
      <c r="U66" s="37">
        <v>0.40849999999999997</v>
      </c>
      <c r="V66" s="37">
        <v>0.40849999999999997</v>
      </c>
      <c r="W66" s="37">
        <v>0.26849999999999996</v>
      </c>
      <c r="X66" s="37">
        <v>0.26849999999999996</v>
      </c>
      <c r="Y66" s="37">
        <v>0.26849999999999996</v>
      </c>
      <c r="Z66" s="37">
        <v>0.26849999999999996</v>
      </c>
    </row>
    <row r="67" spans="1:26" x14ac:dyDescent="0.25">
      <c r="A67" s="6" t="s">
        <v>541</v>
      </c>
      <c r="B67" s="7">
        <v>4062485</v>
      </c>
      <c r="C67" s="6" t="s">
        <v>180</v>
      </c>
      <c r="D67" s="37">
        <v>0.35</v>
      </c>
      <c r="E67" s="37">
        <v>0.35</v>
      </c>
      <c r="F67" s="37">
        <v>0.35</v>
      </c>
      <c r="G67" s="37">
        <v>0.35</v>
      </c>
      <c r="H67" s="37">
        <v>0.35</v>
      </c>
      <c r="I67" s="37">
        <v>0.35</v>
      </c>
      <c r="J67" s="37">
        <v>0.35</v>
      </c>
      <c r="K67" s="37">
        <v>0.35</v>
      </c>
      <c r="L67" s="37">
        <v>0.35</v>
      </c>
      <c r="M67" s="37">
        <v>0.35</v>
      </c>
      <c r="N67" s="37">
        <v>0.35</v>
      </c>
      <c r="O67" s="37">
        <v>0.35</v>
      </c>
      <c r="P67" s="37">
        <v>0.35</v>
      </c>
      <c r="Q67" s="37">
        <v>0.35</v>
      </c>
      <c r="R67" s="37">
        <v>0.35</v>
      </c>
      <c r="S67" s="37">
        <v>0.35</v>
      </c>
      <c r="T67" s="37">
        <v>0.35</v>
      </c>
      <c r="U67" s="37">
        <v>0.35</v>
      </c>
      <c r="V67" s="37">
        <v>0.35</v>
      </c>
      <c r="W67" s="37">
        <v>0.20999999999999996</v>
      </c>
      <c r="X67" s="37">
        <v>0.20999999999999996</v>
      </c>
      <c r="Y67" s="37">
        <v>0.20999999999999996</v>
      </c>
      <c r="Z67" s="37">
        <v>0.20999999999999996</v>
      </c>
    </row>
    <row r="68" spans="1:26" x14ac:dyDescent="0.25">
      <c r="A68" s="6" t="s">
        <v>542</v>
      </c>
      <c r="B68" s="7">
        <v>4057140</v>
      </c>
      <c r="C68" s="6" t="s">
        <v>241</v>
      </c>
      <c r="D68" s="37">
        <v>0.35</v>
      </c>
      <c r="E68" s="37">
        <v>0.35</v>
      </c>
      <c r="F68" s="37">
        <v>0.35</v>
      </c>
      <c r="G68" s="37">
        <v>0.35</v>
      </c>
      <c r="H68" s="37">
        <v>0.35</v>
      </c>
      <c r="I68" s="37">
        <v>0.35</v>
      </c>
      <c r="J68" s="37">
        <v>0.35</v>
      </c>
      <c r="K68" s="37">
        <v>0.35</v>
      </c>
      <c r="L68" s="37">
        <v>0.35</v>
      </c>
      <c r="M68" s="37">
        <v>0.35</v>
      </c>
      <c r="N68" s="37">
        <v>0.35</v>
      </c>
      <c r="O68" s="37">
        <v>0.35</v>
      </c>
      <c r="P68" s="37">
        <v>0.35</v>
      </c>
      <c r="Q68" s="37">
        <v>0.35</v>
      </c>
      <c r="R68" s="37">
        <v>0.35</v>
      </c>
      <c r="S68" s="37">
        <v>0.35</v>
      </c>
      <c r="T68" s="37">
        <v>0.35</v>
      </c>
      <c r="U68" s="37">
        <v>0.35</v>
      </c>
      <c r="V68" s="37">
        <v>0.35</v>
      </c>
      <c r="W68" s="37">
        <v>0.25950000000000001</v>
      </c>
      <c r="X68" s="37">
        <v>0.25950000000000001</v>
      </c>
      <c r="Y68" s="37">
        <v>0.25950000000000001</v>
      </c>
      <c r="Z68" s="37">
        <v>0.25950000000000001</v>
      </c>
    </row>
    <row r="69" spans="1:26" x14ac:dyDescent="0.25">
      <c r="A69" s="6" t="s">
        <v>243</v>
      </c>
      <c r="B69" s="7">
        <v>4057096</v>
      </c>
      <c r="C69" s="6" t="s">
        <v>194</v>
      </c>
      <c r="D69" s="37">
        <v>0.39649667</v>
      </c>
      <c r="E69" s="37">
        <v>0.39649667</v>
      </c>
      <c r="F69" s="37">
        <v>0.39649667</v>
      </c>
      <c r="G69" s="37">
        <v>0.39649667</v>
      </c>
      <c r="H69" s="37">
        <v>0.39649667</v>
      </c>
      <c r="I69" s="37">
        <v>0.39649667</v>
      </c>
      <c r="J69" s="37">
        <v>0.39649667</v>
      </c>
      <c r="K69" s="37">
        <v>0.39649667</v>
      </c>
      <c r="L69" s="37">
        <v>0.39649667</v>
      </c>
      <c r="M69" s="37">
        <v>0.39649667</v>
      </c>
      <c r="N69" s="37">
        <v>0.39649667</v>
      </c>
      <c r="O69" s="37">
        <v>0.39649667</v>
      </c>
      <c r="P69" s="37">
        <v>0.39649667</v>
      </c>
      <c r="Q69" s="37">
        <v>0.39649667</v>
      </c>
      <c r="R69" s="37">
        <v>0.39649667</v>
      </c>
      <c r="S69" s="37">
        <v>0.39649667</v>
      </c>
      <c r="T69" s="37">
        <v>0.39649667</v>
      </c>
      <c r="U69" s="37">
        <v>0.39649667</v>
      </c>
      <c r="V69" s="37">
        <v>0.39649667</v>
      </c>
      <c r="W69" s="37">
        <v>0.25649666999999998</v>
      </c>
      <c r="X69" s="37">
        <v>0.25649666999999998</v>
      </c>
      <c r="Y69" s="37">
        <v>0.25649666999999998</v>
      </c>
      <c r="Z69" s="37">
        <v>0.25649666999999998</v>
      </c>
    </row>
    <row r="70" spans="1:26" x14ac:dyDescent="0.25">
      <c r="A70" s="6" t="s">
        <v>543</v>
      </c>
      <c r="B70" s="7">
        <v>4057097</v>
      </c>
      <c r="C70" s="6" t="s">
        <v>231</v>
      </c>
      <c r="D70" s="37">
        <v>0.40745999999999999</v>
      </c>
      <c r="E70" s="37">
        <v>0.40745999999999999</v>
      </c>
      <c r="F70" s="37">
        <v>0.40745999999999999</v>
      </c>
      <c r="G70" s="37">
        <v>0.40745999999999999</v>
      </c>
      <c r="H70" s="37">
        <v>0.40745999999999999</v>
      </c>
      <c r="I70" s="37">
        <v>0.40745999999999999</v>
      </c>
      <c r="J70" s="37">
        <v>0.40745999999999999</v>
      </c>
      <c r="K70" s="37">
        <v>0.40745999999999999</v>
      </c>
      <c r="L70" s="37">
        <v>0.40745999999999999</v>
      </c>
      <c r="M70" s="37">
        <v>0.40745999999999999</v>
      </c>
      <c r="N70" s="37">
        <v>0.40745999999999999</v>
      </c>
      <c r="O70" s="37">
        <v>0.40745999999999999</v>
      </c>
      <c r="P70" s="37">
        <v>0.40745999999999999</v>
      </c>
      <c r="Q70" s="37">
        <v>0.40745999999999999</v>
      </c>
      <c r="R70" s="37">
        <v>0.40745999999999999</v>
      </c>
      <c r="S70" s="37">
        <v>0.40745999999999999</v>
      </c>
      <c r="T70" s="37">
        <v>0.40745999999999999</v>
      </c>
      <c r="U70" s="37">
        <v>0.40745999999999999</v>
      </c>
      <c r="V70" s="37">
        <v>0.40745999999999999</v>
      </c>
      <c r="W70" s="37">
        <v>0.26745999999999998</v>
      </c>
      <c r="X70" s="37">
        <v>0.26745999999999998</v>
      </c>
      <c r="Y70" s="37">
        <v>0.26745999999999998</v>
      </c>
      <c r="Z70" s="37">
        <v>0.26745999999999998</v>
      </c>
    </row>
    <row r="71" spans="1:26" x14ac:dyDescent="0.25">
      <c r="A71" s="6" t="s">
        <v>544</v>
      </c>
      <c r="B71" s="7">
        <v>4057098</v>
      </c>
      <c r="C71" s="6" t="s">
        <v>545</v>
      </c>
      <c r="D71" s="37">
        <v>0.35</v>
      </c>
      <c r="E71" s="37">
        <v>0.35</v>
      </c>
      <c r="F71" s="37">
        <v>0.35</v>
      </c>
      <c r="G71" s="37">
        <v>0.35</v>
      </c>
      <c r="H71" s="37">
        <v>0.35</v>
      </c>
      <c r="I71" s="37">
        <v>0.35</v>
      </c>
      <c r="J71" s="37">
        <v>0.35</v>
      </c>
      <c r="K71" s="37">
        <v>0.35</v>
      </c>
      <c r="L71" s="37">
        <v>0.35</v>
      </c>
      <c r="M71" s="37">
        <v>0.35</v>
      </c>
      <c r="N71" s="37">
        <v>0.35</v>
      </c>
      <c r="O71" s="37">
        <v>0.35</v>
      </c>
      <c r="P71" s="37">
        <v>0.35</v>
      </c>
      <c r="Q71" s="37">
        <v>0.35</v>
      </c>
      <c r="R71" s="37">
        <v>0.35</v>
      </c>
      <c r="S71" s="37">
        <v>0.35</v>
      </c>
      <c r="T71" s="37">
        <v>0.35</v>
      </c>
      <c r="U71" s="37">
        <v>0.35</v>
      </c>
      <c r="V71" s="37">
        <v>0.35</v>
      </c>
      <c r="W71" s="37">
        <v>0.22475000000000001</v>
      </c>
      <c r="X71" s="37">
        <v>0.22475000000000001</v>
      </c>
      <c r="Y71" s="37">
        <v>0.22475000000000001</v>
      </c>
      <c r="Z71" s="37">
        <v>0.22475000000000001</v>
      </c>
    </row>
    <row r="72" spans="1:26" x14ac:dyDescent="0.25">
      <c r="A72" s="6" t="s">
        <v>546</v>
      </c>
      <c r="B72" s="7">
        <v>4063023</v>
      </c>
      <c r="C72" s="6" t="s">
        <v>218</v>
      </c>
      <c r="D72" s="37">
        <v>0.40849999999999997</v>
      </c>
      <c r="E72" s="37">
        <v>0.40849999999999997</v>
      </c>
      <c r="F72" s="37">
        <v>0.40849999999999997</v>
      </c>
      <c r="G72" s="37">
        <v>0.40849999999999997</v>
      </c>
      <c r="H72" s="37">
        <v>0.40849999999999997</v>
      </c>
      <c r="I72" s="37">
        <v>0.40849999999999997</v>
      </c>
      <c r="J72" s="37">
        <v>0.40849999999999997</v>
      </c>
      <c r="K72" s="37">
        <v>0.40849999999999997</v>
      </c>
      <c r="L72" s="37">
        <v>0.40849999999999997</v>
      </c>
      <c r="M72" s="37">
        <v>0.40849999999999997</v>
      </c>
      <c r="N72" s="37">
        <v>0.40849999999999997</v>
      </c>
      <c r="O72" s="37">
        <v>0.40849999999999997</v>
      </c>
      <c r="P72" s="37">
        <v>0.40849999999999997</v>
      </c>
      <c r="Q72" s="37">
        <v>0.40849999999999997</v>
      </c>
      <c r="R72" s="37">
        <v>0.40849999999999997</v>
      </c>
      <c r="S72" s="37">
        <v>0.40849999999999997</v>
      </c>
      <c r="T72" s="37">
        <v>0.40849999999999997</v>
      </c>
      <c r="U72" s="37">
        <v>0.40849999999999997</v>
      </c>
      <c r="V72" s="37">
        <v>0.40849999999999997</v>
      </c>
      <c r="W72" s="37">
        <v>0.26849999999999996</v>
      </c>
      <c r="X72" s="37">
        <v>0.26849999999999996</v>
      </c>
      <c r="Y72" s="37">
        <v>0.26849999999999996</v>
      </c>
      <c r="Z72" s="37">
        <v>0.26849999999999996</v>
      </c>
    </row>
    <row r="73" spans="1:26" x14ac:dyDescent="0.25">
      <c r="A73" s="6" t="s">
        <v>547</v>
      </c>
      <c r="B73" s="7">
        <v>4057146</v>
      </c>
      <c r="C73" s="6" t="s">
        <v>231</v>
      </c>
      <c r="D73" s="37">
        <v>0.40745999999999999</v>
      </c>
      <c r="E73" s="37">
        <v>0.40745999999999999</v>
      </c>
      <c r="F73" s="37">
        <v>0.40745999999999999</v>
      </c>
      <c r="G73" s="37">
        <v>0.40745999999999999</v>
      </c>
      <c r="H73" s="37">
        <v>0.40745999999999999</v>
      </c>
      <c r="I73" s="37">
        <v>0.40745999999999999</v>
      </c>
      <c r="J73" s="37">
        <v>0.40745999999999999</v>
      </c>
      <c r="K73" s="37">
        <v>0.40745999999999999</v>
      </c>
      <c r="L73" s="37">
        <v>0.40745999999999999</v>
      </c>
      <c r="M73" s="37">
        <v>0.40745999999999999</v>
      </c>
      <c r="N73" s="37">
        <v>0.40745999999999999</v>
      </c>
      <c r="O73" s="37">
        <v>0.40745999999999999</v>
      </c>
      <c r="P73" s="37">
        <v>0.40745999999999999</v>
      </c>
      <c r="Q73" s="37">
        <v>0.40745999999999999</v>
      </c>
      <c r="R73" s="37">
        <v>0.40745999999999999</v>
      </c>
      <c r="S73" s="37">
        <v>0.40745999999999999</v>
      </c>
      <c r="T73" s="37">
        <v>0.40745999999999999</v>
      </c>
      <c r="U73" s="37">
        <v>0.40745999999999999</v>
      </c>
      <c r="V73" s="37">
        <v>0.40745999999999999</v>
      </c>
      <c r="W73" s="37">
        <v>0.26745999999999998</v>
      </c>
      <c r="X73" s="37">
        <v>0.26745999999999998</v>
      </c>
      <c r="Y73" s="37">
        <v>0.26745999999999998</v>
      </c>
      <c r="Z73" s="37">
        <v>0.26745999999999998</v>
      </c>
    </row>
    <row r="74" spans="1:26" x14ac:dyDescent="0.25">
      <c r="A74" s="6" t="s">
        <v>548</v>
      </c>
      <c r="B74" s="7">
        <v>4057100</v>
      </c>
      <c r="C74" s="6" t="s">
        <v>249</v>
      </c>
      <c r="D74" s="37">
        <v>0.35</v>
      </c>
      <c r="E74" s="37">
        <v>0.35</v>
      </c>
      <c r="F74" s="37">
        <v>0.35</v>
      </c>
      <c r="G74" s="37">
        <v>0.35</v>
      </c>
      <c r="H74" s="37">
        <v>0.35</v>
      </c>
      <c r="I74" s="37">
        <v>0.35</v>
      </c>
      <c r="J74" s="37">
        <v>0.35</v>
      </c>
      <c r="K74" s="37">
        <v>0.35</v>
      </c>
      <c r="L74" s="37">
        <v>0.35</v>
      </c>
      <c r="M74" s="37">
        <v>0.35</v>
      </c>
      <c r="N74" s="37">
        <v>0.35</v>
      </c>
      <c r="O74" s="37">
        <v>0.35</v>
      </c>
      <c r="P74" s="37">
        <v>0.35</v>
      </c>
      <c r="Q74" s="37">
        <v>0.35</v>
      </c>
      <c r="R74" s="37">
        <v>0.35</v>
      </c>
      <c r="S74" s="37">
        <v>0.35</v>
      </c>
      <c r="T74" s="37">
        <v>0.35</v>
      </c>
      <c r="U74" s="37">
        <v>0.35</v>
      </c>
      <c r="V74" s="37">
        <v>0.35</v>
      </c>
      <c r="W74" s="37">
        <v>0.20999999999999996</v>
      </c>
      <c r="X74" s="37">
        <v>0.20999999999999996</v>
      </c>
      <c r="Y74" s="37">
        <v>0.20999999999999996</v>
      </c>
      <c r="Z74" s="37">
        <v>0.20999999999999996</v>
      </c>
    </row>
    <row r="75" spans="1:26" x14ac:dyDescent="0.25">
      <c r="A75" s="6" t="s">
        <v>549</v>
      </c>
      <c r="B75" s="7">
        <v>4064035</v>
      </c>
      <c r="C75" s="6" t="s">
        <v>550</v>
      </c>
      <c r="D75" s="37">
        <v>0.4</v>
      </c>
      <c r="E75" s="37">
        <v>0.4</v>
      </c>
      <c r="F75" s="37">
        <v>0.4</v>
      </c>
      <c r="G75" s="37">
        <v>0.4</v>
      </c>
      <c r="H75" s="37">
        <v>0.4</v>
      </c>
      <c r="I75" s="37">
        <v>0.4</v>
      </c>
      <c r="J75" s="37">
        <v>0.4</v>
      </c>
      <c r="K75" s="37">
        <v>0.4</v>
      </c>
      <c r="L75" s="37">
        <v>0.4</v>
      </c>
      <c r="M75" s="37">
        <v>0.4</v>
      </c>
      <c r="N75" s="37">
        <v>0.4</v>
      </c>
      <c r="O75" s="37">
        <v>0.4</v>
      </c>
      <c r="P75" s="37">
        <v>0.4</v>
      </c>
      <c r="Q75" s="37">
        <v>0.4</v>
      </c>
      <c r="R75" s="37">
        <v>0.4</v>
      </c>
      <c r="S75" s="37">
        <v>0.4</v>
      </c>
      <c r="T75" s="37">
        <v>0.4</v>
      </c>
      <c r="U75" s="37">
        <v>0.4</v>
      </c>
      <c r="V75" s="37">
        <v>0.4</v>
      </c>
      <c r="W75" s="37">
        <v>0.26</v>
      </c>
      <c r="X75" s="37">
        <v>0.26</v>
      </c>
      <c r="Y75" s="37">
        <v>0.26</v>
      </c>
      <c r="Z75" s="37">
        <v>0.26</v>
      </c>
    </row>
    <row r="76" spans="1:26" x14ac:dyDescent="0.25">
      <c r="A76" s="6" t="s">
        <v>551</v>
      </c>
      <c r="B76" s="7">
        <v>4060957</v>
      </c>
      <c r="C76" s="6" t="s">
        <v>552</v>
      </c>
      <c r="D76" s="37">
        <v>0.35</v>
      </c>
      <c r="E76" s="37">
        <v>0.35</v>
      </c>
      <c r="F76" s="37">
        <v>0.35</v>
      </c>
      <c r="G76" s="37">
        <v>0.35</v>
      </c>
      <c r="H76" s="37">
        <v>0.35</v>
      </c>
      <c r="I76" s="37">
        <v>0.35</v>
      </c>
      <c r="J76" s="37">
        <v>0.35</v>
      </c>
      <c r="K76" s="37">
        <v>0.35</v>
      </c>
      <c r="L76" s="37">
        <v>0.35</v>
      </c>
      <c r="M76" s="37">
        <v>0.35</v>
      </c>
      <c r="N76" s="37">
        <v>0.35</v>
      </c>
      <c r="O76" s="37">
        <v>0.35</v>
      </c>
      <c r="P76" s="37">
        <v>0.35</v>
      </c>
      <c r="Q76" s="37">
        <v>0.35</v>
      </c>
      <c r="R76" s="37">
        <v>0.35</v>
      </c>
      <c r="S76" s="37">
        <v>0.35</v>
      </c>
      <c r="T76" s="37">
        <v>0.35</v>
      </c>
      <c r="U76" s="37">
        <v>0.35</v>
      </c>
      <c r="V76" s="37">
        <v>0.35</v>
      </c>
      <c r="W76" s="37">
        <v>0.25</v>
      </c>
      <c r="X76" s="37">
        <v>0.25</v>
      </c>
      <c r="Y76" s="37">
        <v>0.25</v>
      </c>
      <c r="Z76" s="37">
        <v>0.25</v>
      </c>
    </row>
    <row r="77" spans="1:26" x14ac:dyDescent="0.25">
      <c r="A77" s="6" t="s">
        <v>553</v>
      </c>
      <c r="B77" s="7">
        <v>4063179</v>
      </c>
      <c r="C77" s="6" t="s">
        <v>235</v>
      </c>
      <c r="D77" s="37">
        <v>0.38574999999999998</v>
      </c>
      <c r="E77" s="37">
        <v>0.38574999999999998</v>
      </c>
      <c r="F77" s="37">
        <v>0.38574999999999998</v>
      </c>
      <c r="G77" s="37">
        <v>0.38574999999999998</v>
      </c>
      <c r="H77" s="37">
        <v>0.38574999999999998</v>
      </c>
      <c r="I77" s="37">
        <v>0.38574999999999998</v>
      </c>
      <c r="J77" s="37">
        <v>0.38574999999999998</v>
      </c>
      <c r="K77" s="37">
        <v>0.38574999999999998</v>
      </c>
      <c r="L77" s="37">
        <v>0.38574999999999998</v>
      </c>
      <c r="M77" s="37">
        <v>0.38574999999999998</v>
      </c>
      <c r="N77" s="37">
        <v>0.38574999999999998</v>
      </c>
      <c r="O77" s="37">
        <v>0.38574999999999998</v>
      </c>
      <c r="P77" s="37">
        <v>0.38574999999999998</v>
      </c>
      <c r="Q77" s="37">
        <v>0.38574999999999998</v>
      </c>
      <c r="R77" s="37">
        <v>0.38574999999999998</v>
      </c>
      <c r="S77" s="37">
        <v>0.38574999999999998</v>
      </c>
      <c r="T77" s="37">
        <v>0.38574999999999998</v>
      </c>
      <c r="U77" s="37">
        <v>0.38574999999999998</v>
      </c>
      <c r="V77" s="37">
        <v>0.38574999999999998</v>
      </c>
      <c r="W77" s="37">
        <v>0.24574999999999997</v>
      </c>
      <c r="X77" s="37">
        <v>0.24574999999999997</v>
      </c>
      <c r="Y77" s="37">
        <v>0.24574999999999997</v>
      </c>
      <c r="Z77" s="37">
        <v>0.24574999999999997</v>
      </c>
    </row>
    <row r="78" spans="1:26" x14ac:dyDescent="0.25">
      <c r="A78" s="6" t="s">
        <v>554</v>
      </c>
      <c r="B78" s="7">
        <v>4063183</v>
      </c>
      <c r="C78" s="6" t="s">
        <v>194</v>
      </c>
      <c r="D78" s="37">
        <v>0.39649667</v>
      </c>
      <c r="E78" s="37">
        <v>0.39649667</v>
      </c>
      <c r="F78" s="37">
        <v>0.39649667</v>
      </c>
      <c r="G78" s="37">
        <v>0.39649667</v>
      </c>
      <c r="H78" s="37">
        <v>0.39649667</v>
      </c>
      <c r="I78" s="37">
        <v>0.39649667</v>
      </c>
      <c r="J78" s="37">
        <v>0.39649667</v>
      </c>
      <c r="K78" s="37">
        <v>0.39649667</v>
      </c>
      <c r="L78" s="37">
        <v>0.39649667</v>
      </c>
      <c r="M78" s="37">
        <v>0.39649667</v>
      </c>
      <c r="N78" s="37">
        <v>0.39649667</v>
      </c>
      <c r="O78" s="37">
        <v>0.39649667</v>
      </c>
      <c r="P78" s="37">
        <v>0.39649667</v>
      </c>
      <c r="Q78" s="37">
        <v>0.39649667</v>
      </c>
      <c r="R78" s="37">
        <v>0.39649667</v>
      </c>
      <c r="S78" s="37">
        <v>0.39649667</v>
      </c>
      <c r="T78" s="37">
        <v>0.39649667</v>
      </c>
      <c r="U78" s="37">
        <v>0.39649667</v>
      </c>
      <c r="V78" s="37">
        <v>0.39649667</v>
      </c>
      <c r="W78" s="37">
        <v>0.25649666999999998</v>
      </c>
      <c r="X78" s="37">
        <v>0.25649666999999998</v>
      </c>
      <c r="Y78" s="37">
        <v>0.25649666999999998</v>
      </c>
      <c r="Z78" s="37">
        <v>0.25649666999999998</v>
      </c>
    </row>
    <row r="79" spans="1:26" x14ac:dyDescent="0.25">
      <c r="A79" s="6" t="s">
        <v>555</v>
      </c>
      <c r="B79" s="7">
        <v>4063281</v>
      </c>
      <c r="C79" s="6" t="s">
        <v>214</v>
      </c>
      <c r="D79" s="37">
        <v>0.40134999999999998</v>
      </c>
      <c r="E79" s="37">
        <v>0.40134999999999998</v>
      </c>
      <c r="F79" s="37">
        <v>0.40134999999999998</v>
      </c>
      <c r="G79" s="37">
        <v>0.40134999999999998</v>
      </c>
      <c r="H79" s="37">
        <v>0.40134999999999998</v>
      </c>
      <c r="I79" s="37">
        <v>0.40134999999999998</v>
      </c>
      <c r="J79" s="37">
        <v>0.40134999999999998</v>
      </c>
      <c r="K79" s="37">
        <v>0.40134999999999998</v>
      </c>
      <c r="L79" s="37">
        <v>0.40134999999999998</v>
      </c>
      <c r="M79" s="37">
        <v>0.40134999999999998</v>
      </c>
      <c r="N79" s="37">
        <v>0.40134999999999998</v>
      </c>
      <c r="O79" s="37">
        <v>0.40134999999999998</v>
      </c>
      <c r="P79" s="37">
        <v>0.40134999999999998</v>
      </c>
      <c r="Q79" s="37">
        <v>0.40134999999999998</v>
      </c>
      <c r="R79" s="37">
        <v>0.40134999999999998</v>
      </c>
      <c r="S79" s="37">
        <v>0.40134999999999998</v>
      </c>
      <c r="T79" s="37">
        <v>0.40134999999999998</v>
      </c>
      <c r="U79" s="37">
        <v>0.40134999999999998</v>
      </c>
      <c r="V79" s="37">
        <v>0.40134999999999998</v>
      </c>
      <c r="W79" s="37">
        <v>0.26134999999999997</v>
      </c>
      <c r="X79" s="37">
        <v>0.26134999999999997</v>
      </c>
      <c r="Y79" s="37">
        <v>0.26134999999999997</v>
      </c>
      <c r="Z79" s="37">
        <v>0.26134999999999997</v>
      </c>
    </row>
    <row r="80" spans="1:26" x14ac:dyDescent="0.25">
      <c r="A80" s="6" t="s">
        <v>186</v>
      </c>
      <c r="B80" s="7">
        <v>4057110</v>
      </c>
      <c r="C80" s="6" t="s">
        <v>187</v>
      </c>
      <c r="D80" s="37">
        <v>0.40700500000000001</v>
      </c>
      <c r="E80" s="37">
        <v>0.40700500000000001</v>
      </c>
      <c r="F80" s="37">
        <v>0.40700500000000001</v>
      </c>
      <c r="G80" s="37">
        <v>0.40700500000000001</v>
      </c>
      <c r="H80" s="37">
        <v>0.40700500000000001</v>
      </c>
      <c r="I80" s="37">
        <v>0.40700500000000001</v>
      </c>
      <c r="J80" s="37">
        <v>0.40700500000000001</v>
      </c>
      <c r="K80" s="37">
        <v>0.40700500000000001</v>
      </c>
      <c r="L80" s="37">
        <v>0.40700500000000001</v>
      </c>
      <c r="M80" s="37">
        <v>0.40700500000000001</v>
      </c>
      <c r="N80" s="37">
        <v>0.40700500000000001</v>
      </c>
      <c r="O80" s="37">
        <v>0.40700500000000001</v>
      </c>
      <c r="P80" s="37">
        <v>0.40700500000000001</v>
      </c>
      <c r="Q80" s="37">
        <v>0.40700500000000001</v>
      </c>
      <c r="R80" s="37">
        <v>0.40700500000000001</v>
      </c>
      <c r="S80" s="37">
        <v>0.40700500000000001</v>
      </c>
      <c r="T80" s="37">
        <v>0.40700500000000001</v>
      </c>
      <c r="U80" s="37">
        <v>0.40700500000000001</v>
      </c>
      <c r="V80" s="37">
        <v>0.40700500000000001</v>
      </c>
      <c r="W80" s="37">
        <v>0.26700499999999999</v>
      </c>
      <c r="X80" s="37">
        <v>0.26700499999999999</v>
      </c>
      <c r="Y80" s="37">
        <v>0.26700499999999999</v>
      </c>
      <c r="Z80" s="37">
        <v>0.26700499999999999</v>
      </c>
    </row>
    <row r="81" spans="1:26" x14ac:dyDescent="0.25">
      <c r="A81" s="6" t="s">
        <v>556</v>
      </c>
      <c r="B81" s="7">
        <v>4059746</v>
      </c>
      <c r="C81" s="6" t="s">
        <v>199</v>
      </c>
      <c r="D81" s="37">
        <v>0.35</v>
      </c>
      <c r="E81" s="37">
        <v>0.35</v>
      </c>
      <c r="F81" s="37">
        <v>0.35</v>
      </c>
      <c r="G81" s="37">
        <v>0.35</v>
      </c>
      <c r="H81" s="37">
        <v>0.35</v>
      </c>
      <c r="I81" s="37">
        <v>0.35</v>
      </c>
      <c r="J81" s="37">
        <v>0.35</v>
      </c>
      <c r="K81" s="37">
        <v>0.35</v>
      </c>
      <c r="L81" s="37">
        <v>0.35</v>
      </c>
      <c r="M81" s="37">
        <v>0.35</v>
      </c>
      <c r="N81" s="37">
        <v>0.35</v>
      </c>
      <c r="O81" s="37">
        <v>0.35</v>
      </c>
      <c r="P81" s="37">
        <v>0.35</v>
      </c>
      <c r="Q81" s="37">
        <v>0.35</v>
      </c>
      <c r="R81" s="37">
        <v>0.35</v>
      </c>
      <c r="S81" s="37">
        <v>0.35</v>
      </c>
      <c r="T81" s="37">
        <v>0.35</v>
      </c>
      <c r="U81" s="37">
        <v>0.35</v>
      </c>
      <c r="V81" s="37">
        <v>0.35</v>
      </c>
      <c r="W81" s="37">
        <v>0.20999999999999996</v>
      </c>
      <c r="X81" s="37">
        <v>0.20999999999999996</v>
      </c>
      <c r="Y81" s="37">
        <v>0.20999999999999996</v>
      </c>
      <c r="Z81" s="37">
        <v>0.20999999999999996</v>
      </c>
    </row>
    <row r="82" spans="1:26" x14ac:dyDescent="0.25">
      <c r="A82" s="6" t="s">
        <v>233</v>
      </c>
      <c r="B82" s="7">
        <v>4057135</v>
      </c>
      <c r="C82" s="6" t="s">
        <v>214</v>
      </c>
      <c r="D82" s="37">
        <v>0.40134999999999998</v>
      </c>
      <c r="E82" s="37">
        <v>0.40134999999999998</v>
      </c>
      <c r="F82" s="37">
        <v>0.40134999999999998</v>
      </c>
      <c r="G82" s="37">
        <v>0.40134999999999998</v>
      </c>
      <c r="H82" s="37">
        <v>0.40134999999999998</v>
      </c>
      <c r="I82" s="37">
        <v>0.40134999999999998</v>
      </c>
      <c r="J82" s="37">
        <v>0.40134999999999998</v>
      </c>
      <c r="K82" s="37">
        <v>0.40134999999999998</v>
      </c>
      <c r="L82" s="37">
        <v>0.40134999999999998</v>
      </c>
      <c r="M82" s="37">
        <v>0.40134999999999998</v>
      </c>
      <c r="N82" s="37">
        <v>0.40134999999999998</v>
      </c>
      <c r="O82" s="37">
        <v>0.40134999999999998</v>
      </c>
      <c r="P82" s="37">
        <v>0.40134999999999998</v>
      </c>
      <c r="Q82" s="37">
        <v>0.40134999999999998</v>
      </c>
      <c r="R82" s="37">
        <v>0.40134999999999998</v>
      </c>
      <c r="S82" s="37">
        <v>0.40134999999999998</v>
      </c>
      <c r="T82" s="37">
        <v>0.40134999999999998</v>
      </c>
      <c r="U82" s="37">
        <v>0.40134999999999998</v>
      </c>
      <c r="V82" s="37">
        <v>0.40134999999999998</v>
      </c>
      <c r="W82" s="37">
        <v>0.26134999999999997</v>
      </c>
      <c r="X82" s="37">
        <v>0.26134999999999997</v>
      </c>
      <c r="Y82" s="37">
        <v>0.26134999999999997</v>
      </c>
      <c r="Z82" s="37">
        <v>0.26134999999999997</v>
      </c>
    </row>
    <row r="83" spans="1:26" x14ac:dyDescent="0.25">
      <c r="A83" s="6" t="s">
        <v>247</v>
      </c>
      <c r="B83" s="7">
        <v>4063060</v>
      </c>
      <c r="C83" s="6" t="s">
        <v>203</v>
      </c>
      <c r="D83" s="37">
        <v>0.40200000000000002</v>
      </c>
      <c r="E83" s="37">
        <v>0.40200000000000002</v>
      </c>
      <c r="F83" s="37">
        <v>0.40200000000000002</v>
      </c>
      <c r="G83" s="37">
        <v>0.40200000000000002</v>
      </c>
      <c r="H83" s="37">
        <v>0.40200000000000002</v>
      </c>
      <c r="I83" s="37">
        <v>0.40200000000000002</v>
      </c>
      <c r="J83" s="37">
        <v>0.40200000000000002</v>
      </c>
      <c r="K83" s="37">
        <v>0.40200000000000002</v>
      </c>
      <c r="L83" s="37">
        <v>0.40200000000000002</v>
      </c>
      <c r="M83" s="37">
        <v>0.40200000000000002</v>
      </c>
      <c r="N83" s="37">
        <v>0.40200000000000002</v>
      </c>
      <c r="O83" s="37">
        <v>0.40200000000000002</v>
      </c>
      <c r="P83" s="37">
        <v>0.40200000000000002</v>
      </c>
      <c r="Q83" s="37">
        <v>0.40200000000000002</v>
      </c>
      <c r="R83" s="37">
        <v>0.40200000000000002</v>
      </c>
      <c r="S83" s="37">
        <v>0.40200000000000002</v>
      </c>
      <c r="T83" s="37">
        <v>0.40200000000000002</v>
      </c>
      <c r="U83" s="37">
        <v>0.40200000000000002</v>
      </c>
      <c r="V83" s="37">
        <v>0.40200000000000002</v>
      </c>
      <c r="W83" s="37">
        <v>0.26200000000000001</v>
      </c>
      <c r="X83" s="37">
        <v>0.26200000000000001</v>
      </c>
      <c r="Y83" s="37">
        <v>0.26200000000000001</v>
      </c>
      <c r="Z83" s="37">
        <v>0.26200000000000001</v>
      </c>
    </row>
    <row r="84" spans="1:26" x14ac:dyDescent="0.25">
      <c r="A84" s="6" t="s">
        <v>557</v>
      </c>
      <c r="B84" s="7">
        <v>4062279</v>
      </c>
      <c r="C84" s="6" t="s">
        <v>201</v>
      </c>
      <c r="D84" s="37">
        <v>0.414935</v>
      </c>
      <c r="E84" s="37">
        <v>0.414935</v>
      </c>
      <c r="F84" s="37">
        <v>0.414935</v>
      </c>
      <c r="G84" s="37">
        <v>0.414935</v>
      </c>
      <c r="H84" s="37">
        <v>0.414935</v>
      </c>
      <c r="I84" s="37">
        <v>0.414935</v>
      </c>
      <c r="J84" s="37">
        <v>0.414935</v>
      </c>
      <c r="K84" s="37">
        <v>0.414935</v>
      </c>
      <c r="L84" s="37">
        <v>0.414935</v>
      </c>
      <c r="M84" s="37">
        <v>0.414935</v>
      </c>
      <c r="N84" s="37">
        <v>0.414935</v>
      </c>
      <c r="O84" s="37">
        <v>0.414935</v>
      </c>
      <c r="P84" s="37">
        <v>0.414935</v>
      </c>
      <c r="Q84" s="37">
        <v>0.414935</v>
      </c>
      <c r="R84" s="37">
        <v>0.414935</v>
      </c>
      <c r="S84" s="37">
        <v>0.414935</v>
      </c>
      <c r="T84" s="37">
        <v>0.414935</v>
      </c>
      <c r="U84" s="37">
        <v>0.414935</v>
      </c>
      <c r="V84" s="37">
        <v>0.414935</v>
      </c>
      <c r="W84" s="37">
        <v>0.27493499999999998</v>
      </c>
      <c r="X84" s="37">
        <v>0.27493499999999998</v>
      </c>
      <c r="Y84" s="37">
        <v>0.27493499999999998</v>
      </c>
      <c r="Z84" s="37">
        <v>0.27493499999999998</v>
      </c>
    </row>
    <row r="85" spans="1:26" x14ac:dyDescent="0.25">
      <c r="A85" s="6" t="s">
        <v>558</v>
      </c>
      <c r="B85" s="7">
        <v>4063729</v>
      </c>
      <c r="C85" s="6" t="s">
        <v>559</v>
      </c>
      <c r="D85" s="37">
        <v>0.35</v>
      </c>
      <c r="E85" s="37">
        <v>0.35</v>
      </c>
      <c r="F85" s="37">
        <v>0.35</v>
      </c>
      <c r="G85" s="37">
        <v>0.35</v>
      </c>
      <c r="H85" s="37">
        <v>0.35</v>
      </c>
      <c r="I85" s="37">
        <v>0.35</v>
      </c>
      <c r="J85" s="37">
        <v>0.35</v>
      </c>
      <c r="K85" s="37">
        <v>0.35</v>
      </c>
      <c r="L85" s="37">
        <v>0.35</v>
      </c>
      <c r="M85" s="37">
        <v>0.35</v>
      </c>
      <c r="N85" s="37">
        <v>0.35</v>
      </c>
      <c r="O85" s="37">
        <v>0.35</v>
      </c>
      <c r="P85" s="37">
        <v>0.35</v>
      </c>
      <c r="Q85" s="37">
        <v>0.35</v>
      </c>
      <c r="R85" s="37">
        <v>0.35</v>
      </c>
      <c r="S85" s="37">
        <v>0.35</v>
      </c>
      <c r="T85" s="37">
        <v>0.35</v>
      </c>
      <c r="U85" s="37">
        <v>0.35</v>
      </c>
      <c r="V85" s="37">
        <v>0.35</v>
      </c>
      <c r="W85" s="37">
        <v>0.26999999999999996</v>
      </c>
      <c r="X85" s="37">
        <v>0.26999999999999996</v>
      </c>
      <c r="Y85" s="37">
        <v>0.26999999999999996</v>
      </c>
      <c r="Z85" s="37">
        <v>0.26999999999999996</v>
      </c>
    </row>
    <row r="86" spans="1:26" x14ac:dyDescent="0.25">
      <c r="A86" s="6" t="s">
        <v>560</v>
      </c>
      <c r="B86" s="7">
        <v>4063762</v>
      </c>
      <c r="C86" s="6" t="s">
        <v>255</v>
      </c>
      <c r="D86" s="37">
        <v>0.38900000000000001</v>
      </c>
      <c r="E86" s="37">
        <v>0.38900000000000001</v>
      </c>
      <c r="F86" s="37">
        <v>0.38900000000000001</v>
      </c>
      <c r="G86" s="37">
        <v>0.38900000000000001</v>
      </c>
      <c r="H86" s="37">
        <v>0.38900000000000001</v>
      </c>
      <c r="I86" s="37">
        <v>0.38900000000000001</v>
      </c>
      <c r="J86" s="37">
        <v>0.38900000000000001</v>
      </c>
      <c r="K86" s="37">
        <v>0.38900000000000001</v>
      </c>
      <c r="L86" s="37">
        <v>0.38900000000000001</v>
      </c>
      <c r="M86" s="37">
        <v>0.38900000000000001</v>
      </c>
      <c r="N86" s="37">
        <v>0.38900000000000001</v>
      </c>
      <c r="O86" s="37">
        <v>0.38900000000000001</v>
      </c>
      <c r="P86" s="37">
        <v>0.38900000000000001</v>
      </c>
      <c r="Q86" s="37">
        <v>0.38900000000000001</v>
      </c>
      <c r="R86" s="37">
        <v>0.38900000000000001</v>
      </c>
      <c r="S86" s="37">
        <v>0.38900000000000001</v>
      </c>
      <c r="T86" s="37">
        <v>0.38900000000000001</v>
      </c>
      <c r="U86" s="37">
        <v>0.38900000000000001</v>
      </c>
      <c r="V86" s="37">
        <v>0.38900000000000001</v>
      </c>
      <c r="W86" s="37">
        <v>0.249</v>
      </c>
      <c r="X86" s="37">
        <v>0.249</v>
      </c>
      <c r="Y86" s="37">
        <v>0.249</v>
      </c>
      <c r="Z86" s="37">
        <v>0.249</v>
      </c>
    </row>
    <row r="87" spans="1:26" x14ac:dyDescent="0.25">
      <c r="A87" s="6" t="s">
        <v>561</v>
      </c>
      <c r="B87" s="7">
        <v>4058284</v>
      </c>
      <c r="C87" s="6" t="s">
        <v>257</v>
      </c>
      <c r="D87" s="37">
        <v>0.43</v>
      </c>
      <c r="E87" s="37">
        <v>0.43</v>
      </c>
      <c r="F87" s="37">
        <v>0.43</v>
      </c>
      <c r="G87" s="37">
        <v>0.43</v>
      </c>
      <c r="H87" s="37">
        <v>0.43</v>
      </c>
      <c r="I87" s="37">
        <v>0.43</v>
      </c>
      <c r="J87" s="37">
        <v>0.43</v>
      </c>
      <c r="K87" s="37">
        <v>0.43</v>
      </c>
      <c r="L87" s="37">
        <v>0.43</v>
      </c>
      <c r="M87" s="37">
        <v>0.43</v>
      </c>
      <c r="N87" s="37">
        <v>0.43</v>
      </c>
      <c r="O87" s="37">
        <v>0.43</v>
      </c>
      <c r="P87" s="37">
        <v>0.43</v>
      </c>
      <c r="Q87" s="37">
        <v>0.43</v>
      </c>
      <c r="R87" s="37">
        <v>0.43</v>
      </c>
      <c r="S87" s="37">
        <v>0.43</v>
      </c>
      <c r="T87" s="37">
        <v>0.43</v>
      </c>
      <c r="U87" s="37">
        <v>0.43</v>
      </c>
      <c r="V87" s="37">
        <v>0.43</v>
      </c>
      <c r="W87" s="37">
        <v>0.28999999999999998</v>
      </c>
      <c r="X87" s="37">
        <v>0.28999999999999998</v>
      </c>
      <c r="Y87" s="37">
        <v>0.28999999999999998</v>
      </c>
      <c r="Z87" s="37">
        <v>0.28999999999999998</v>
      </c>
    </row>
    <row r="88" spans="1:26" x14ac:dyDescent="0.25">
      <c r="A88" s="6" t="s">
        <v>562</v>
      </c>
      <c r="B88" s="7">
        <v>4008752</v>
      </c>
      <c r="C88" s="6" t="s">
        <v>214</v>
      </c>
      <c r="D88" s="37">
        <v>0.40134999999999998</v>
      </c>
      <c r="E88" s="37">
        <v>0.40134999999999998</v>
      </c>
      <c r="F88" s="37">
        <v>0.40134999999999998</v>
      </c>
      <c r="G88" s="37">
        <v>0.40134999999999998</v>
      </c>
      <c r="H88" s="37">
        <v>0.40134999999999998</v>
      </c>
      <c r="I88" s="37">
        <v>0.40134999999999998</v>
      </c>
      <c r="J88" s="37">
        <v>0.40134999999999998</v>
      </c>
      <c r="K88" s="37">
        <v>0.40134999999999998</v>
      </c>
      <c r="L88" s="37">
        <v>0.40134999999999998</v>
      </c>
      <c r="M88" s="37">
        <v>0.40134999999999998</v>
      </c>
      <c r="N88" s="37">
        <v>0.40134999999999998</v>
      </c>
      <c r="O88" s="37">
        <v>0.40134999999999998</v>
      </c>
      <c r="P88" s="37">
        <v>0.40134999999999998</v>
      </c>
      <c r="Q88" s="37">
        <v>0.40134999999999998</v>
      </c>
      <c r="R88" s="37">
        <v>0.40134999999999998</v>
      </c>
      <c r="S88" s="37">
        <v>0.40134999999999998</v>
      </c>
      <c r="T88" s="37">
        <v>0.40134999999999998</v>
      </c>
      <c r="U88" s="37">
        <v>0.40134999999999998</v>
      </c>
      <c r="V88" s="37">
        <v>0.40134999999999998</v>
      </c>
      <c r="W88" s="37">
        <v>0.26134999999999997</v>
      </c>
      <c r="X88" s="37">
        <v>0.26134999999999997</v>
      </c>
      <c r="Y88" s="37">
        <v>0.26134999999999997</v>
      </c>
      <c r="Z88" s="37">
        <v>0.26134999999999997</v>
      </c>
    </row>
    <row r="89" spans="1:26" x14ac:dyDescent="0.25">
      <c r="A89" s="6" t="s">
        <v>563</v>
      </c>
      <c r="B89" s="7">
        <v>4008669</v>
      </c>
      <c r="C89" s="6" t="s">
        <v>214</v>
      </c>
      <c r="D89" s="37">
        <v>0.40134999999999998</v>
      </c>
      <c r="E89" s="37">
        <v>0.40134999999999998</v>
      </c>
      <c r="F89" s="37">
        <v>0.40134999999999998</v>
      </c>
      <c r="G89" s="37">
        <v>0.40134999999999998</v>
      </c>
      <c r="H89" s="37">
        <v>0.40134999999999998</v>
      </c>
      <c r="I89" s="37">
        <v>0.40134999999999998</v>
      </c>
      <c r="J89" s="37">
        <v>0.40134999999999998</v>
      </c>
      <c r="K89" s="37">
        <v>0.40134999999999998</v>
      </c>
      <c r="L89" s="37">
        <v>0.40134999999999998</v>
      </c>
      <c r="M89" s="37">
        <v>0.40134999999999998</v>
      </c>
      <c r="N89" s="37">
        <v>0.40134999999999998</v>
      </c>
      <c r="O89" s="37">
        <v>0.40134999999999998</v>
      </c>
      <c r="P89" s="37">
        <v>0.40134999999999998</v>
      </c>
      <c r="Q89" s="37">
        <v>0.40134999999999998</v>
      </c>
      <c r="R89" s="37">
        <v>0.40134999999999998</v>
      </c>
      <c r="S89" s="37">
        <v>0.40134999999999998</v>
      </c>
      <c r="T89" s="37">
        <v>0.40134999999999998</v>
      </c>
      <c r="U89" s="37">
        <v>0.40134999999999998</v>
      </c>
      <c r="V89" s="37">
        <v>0.40134999999999998</v>
      </c>
      <c r="W89" s="37">
        <v>0.26134999999999997</v>
      </c>
      <c r="X89" s="37">
        <v>0.26134999999999997</v>
      </c>
      <c r="Y89" s="37">
        <v>0.26134999999999997</v>
      </c>
      <c r="Z89" s="37">
        <v>0.26134999999999997</v>
      </c>
    </row>
    <row r="90" spans="1:26" x14ac:dyDescent="0.25">
      <c r="A90" s="6" t="s">
        <v>298</v>
      </c>
      <c r="B90" s="7">
        <v>4076892</v>
      </c>
      <c r="C90" s="6" t="s">
        <v>564</v>
      </c>
      <c r="D90" s="37">
        <v>0.35</v>
      </c>
      <c r="E90" s="37">
        <v>0.35</v>
      </c>
      <c r="F90" s="37">
        <v>0.35</v>
      </c>
      <c r="G90" s="37">
        <v>0.35</v>
      </c>
      <c r="H90" s="37">
        <v>0.35</v>
      </c>
      <c r="I90" s="37">
        <v>0.35</v>
      </c>
      <c r="J90" s="37">
        <v>0.35</v>
      </c>
      <c r="K90" s="37">
        <v>0.35</v>
      </c>
      <c r="L90" s="37">
        <v>0.35</v>
      </c>
      <c r="M90" s="37">
        <v>0.35</v>
      </c>
      <c r="N90" s="37">
        <v>0.35</v>
      </c>
      <c r="O90" s="37">
        <v>0.35</v>
      </c>
      <c r="P90" s="37">
        <v>0.35</v>
      </c>
      <c r="Q90" s="37">
        <v>0.35</v>
      </c>
      <c r="R90" s="37">
        <v>0.35</v>
      </c>
      <c r="S90" s="37">
        <v>0.35</v>
      </c>
      <c r="T90" s="37">
        <v>0.35</v>
      </c>
      <c r="U90" s="37">
        <v>0.35</v>
      </c>
      <c r="V90" s="37">
        <v>0.35</v>
      </c>
      <c r="W90" s="37">
        <v>0.20999999999999996</v>
      </c>
      <c r="X90" s="37">
        <v>0.20999999999999996</v>
      </c>
      <c r="Y90" s="37">
        <v>0.20999999999999996</v>
      </c>
      <c r="Z90" s="37">
        <v>0.20999999999999996</v>
      </c>
    </row>
    <row r="91" spans="1:26" x14ac:dyDescent="0.25">
      <c r="A91" s="6" t="s">
        <v>261</v>
      </c>
      <c r="B91" s="7">
        <v>4064141</v>
      </c>
      <c r="C91" s="6" t="s">
        <v>203</v>
      </c>
      <c r="D91" s="37">
        <v>0.40200000000000002</v>
      </c>
      <c r="E91" s="37">
        <v>0.40200000000000002</v>
      </c>
      <c r="F91" s="37">
        <v>0.40200000000000002</v>
      </c>
      <c r="G91" s="37">
        <v>0.40200000000000002</v>
      </c>
      <c r="H91" s="37">
        <v>0.40200000000000002</v>
      </c>
      <c r="I91" s="37">
        <v>0.40200000000000002</v>
      </c>
      <c r="J91" s="37">
        <v>0.40200000000000002</v>
      </c>
      <c r="K91" s="37">
        <v>0.40200000000000002</v>
      </c>
      <c r="L91" s="37">
        <v>0.40200000000000002</v>
      </c>
      <c r="M91" s="37">
        <v>0.40200000000000002</v>
      </c>
      <c r="N91" s="37">
        <v>0.40200000000000002</v>
      </c>
      <c r="O91" s="37">
        <v>0.40200000000000002</v>
      </c>
      <c r="P91" s="37">
        <v>0.40200000000000002</v>
      </c>
      <c r="Q91" s="37">
        <v>0.40200000000000002</v>
      </c>
      <c r="R91" s="37">
        <v>0.40200000000000002</v>
      </c>
      <c r="S91" s="37">
        <v>0.40200000000000002</v>
      </c>
      <c r="T91" s="37">
        <v>0.40200000000000002</v>
      </c>
      <c r="U91" s="37">
        <v>0.40200000000000002</v>
      </c>
      <c r="V91" s="37">
        <v>0.40200000000000002</v>
      </c>
      <c r="W91" s="37">
        <v>0.26200000000000001</v>
      </c>
      <c r="X91" s="37">
        <v>0.26200000000000001</v>
      </c>
      <c r="Y91" s="37">
        <v>0.26200000000000001</v>
      </c>
      <c r="Z91" s="37">
        <v>0.26200000000000001</v>
      </c>
    </row>
  </sheetData>
  <autoFilter ref="A6:Z91" xr:uid="{D759599E-B6A6-4189-9350-AED6BADDCD55}"/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DD850-DA81-44F9-ACFA-90C91B7175B9}">
  <dimension ref="A4:D90"/>
  <sheetViews>
    <sheetView workbookViewId="0"/>
  </sheetViews>
  <sheetFormatPr defaultRowHeight="14.4" x14ac:dyDescent="0.3"/>
  <cols>
    <col min="1" max="1" width="14.33203125" style="1" bestFit="1" customWidth="1"/>
    <col min="2" max="3" width="63.6640625" style="1" bestFit="1" customWidth="1"/>
    <col min="4" max="4" width="22" style="1" bestFit="1" customWidth="1"/>
  </cols>
  <sheetData>
    <row r="4" spans="1:4" x14ac:dyDescent="0.3">
      <c r="A4" s="3" t="s">
        <v>264</v>
      </c>
      <c r="B4" s="4" t="s">
        <v>565</v>
      </c>
      <c r="C4" s="4" t="s">
        <v>265</v>
      </c>
      <c r="D4" s="5" t="s">
        <v>64</v>
      </c>
    </row>
    <row r="5" spans="1:4" x14ac:dyDescent="0.3">
      <c r="B5" s="1" t="s">
        <v>266</v>
      </c>
      <c r="C5" s="1" t="s">
        <v>266</v>
      </c>
      <c r="D5" s="1">
        <v>4058513</v>
      </c>
    </row>
    <row r="6" spans="1:4" x14ac:dyDescent="0.3">
      <c r="B6" s="1" t="s">
        <v>270</v>
      </c>
      <c r="C6" s="1" t="s">
        <v>270</v>
      </c>
      <c r="D6" s="1">
        <v>4059166</v>
      </c>
    </row>
    <row r="7" spans="1:4" x14ac:dyDescent="0.3">
      <c r="B7" s="1" t="s">
        <v>271</v>
      </c>
      <c r="C7" s="1" t="s">
        <v>271</v>
      </c>
      <c r="D7" s="1">
        <v>4059227</v>
      </c>
    </row>
    <row r="8" spans="1:4" x14ac:dyDescent="0.3">
      <c r="B8" s="1" t="s">
        <v>272</v>
      </c>
      <c r="C8" s="1" t="s">
        <v>272</v>
      </c>
      <c r="D8" s="1">
        <v>4088326</v>
      </c>
    </row>
    <row r="9" spans="1:4" x14ac:dyDescent="0.3">
      <c r="B9" s="1" t="s">
        <v>274</v>
      </c>
      <c r="C9" s="1" t="s">
        <v>274</v>
      </c>
      <c r="D9" s="1">
        <v>4059359</v>
      </c>
    </row>
    <row r="10" spans="1:4" x14ac:dyDescent="0.3">
      <c r="B10" s="1" t="s">
        <v>275</v>
      </c>
      <c r="C10" s="1" t="s">
        <v>275</v>
      </c>
      <c r="D10" s="1">
        <v>4057103</v>
      </c>
    </row>
    <row r="11" spans="1:4" x14ac:dyDescent="0.3">
      <c r="B11" s="1" t="s">
        <v>566</v>
      </c>
      <c r="C11" s="1" t="s">
        <v>276</v>
      </c>
      <c r="D11" s="1">
        <v>4081251</v>
      </c>
    </row>
    <row r="12" spans="1:4" x14ac:dyDescent="0.3">
      <c r="B12" s="1" t="s">
        <v>277</v>
      </c>
      <c r="C12" s="1" t="s">
        <v>277</v>
      </c>
      <c r="D12" s="1">
        <v>4060572</v>
      </c>
    </row>
    <row r="13" spans="1:4" x14ac:dyDescent="0.3">
      <c r="B13" s="1" t="s">
        <v>278</v>
      </c>
      <c r="C13" s="1" t="s">
        <v>278</v>
      </c>
      <c r="D13" s="1">
        <v>4083318</v>
      </c>
    </row>
    <row r="14" spans="1:4" x14ac:dyDescent="0.3">
      <c r="B14" s="1" t="s">
        <v>280</v>
      </c>
      <c r="C14" s="1" t="s">
        <v>280</v>
      </c>
      <c r="D14" s="1">
        <v>4087741</v>
      </c>
    </row>
    <row r="15" spans="1:4" x14ac:dyDescent="0.3">
      <c r="B15" s="1" t="s">
        <v>281</v>
      </c>
      <c r="C15" s="1" t="s">
        <v>281</v>
      </c>
      <c r="D15" s="1">
        <v>4059875</v>
      </c>
    </row>
    <row r="16" spans="1:4" x14ac:dyDescent="0.3">
      <c r="B16" s="1" t="s">
        <v>282</v>
      </c>
      <c r="C16" s="1" t="s">
        <v>282</v>
      </c>
      <c r="D16" s="1">
        <v>4061474</v>
      </c>
    </row>
    <row r="17" spans="1:4" x14ac:dyDescent="0.3">
      <c r="B17" s="1" t="s">
        <v>283</v>
      </c>
      <c r="C17" s="1" t="s">
        <v>283</v>
      </c>
      <c r="D17" s="1">
        <v>4076679</v>
      </c>
    </row>
    <row r="18" spans="1:4" x14ac:dyDescent="0.3">
      <c r="B18" s="1" t="s">
        <v>284</v>
      </c>
      <c r="C18" s="1" t="s">
        <v>284</v>
      </c>
      <c r="D18" s="1">
        <v>4057132</v>
      </c>
    </row>
    <row r="19" spans="1:4" x14ac:dyDescent="0.3">
      <c r="A19" s="1" t="s">
        <v>268</v>
      </c>
      <c r="B19" s="1" t="s">
        <v>285</v>
      </c>
      <c r="C19" s="1" t="s">
        <v>285</v>
      </c>
      <c r="D19" s="1">
        <v>4057115</v>
      </c>
    </row>
    <row r="20" spans="1:4" x14ac:dyDescent="0.3">
      <c r="B20" s="1" t="s">
        <v>287</v>
      </c>
      <c r="C20" s="1" t="s">
        <v>287</v>
      </c>
      <c r="D20" s="1">
        <v>4064481</v>
      </c>
    </row>
    <row r="21" spans="1:4" x14ac:dyDescent="0.3">
      <c r="A21" s="1" t="s">
        <v>268</v>
      </c>
      <c r="B21" s="1" t="s">
        <v>289</v>
      </c>
      <c r="C21" s="1" t="s">
        <v>289</v>
      </c>
      <c r="D21" s="1">
        <v>4083575</v>
      </c>
    </row>
    <row r="22" spans="1:4" x14ac:dyDescent="0.3">
      <c r="B22" s="1" t="s">
        <v>290</v>
      </c>
      <c r="C22" s="1" t="s">
        <v>290</v>
      </c>
      <c r="D22" s="1">
        <v>4062303</v>
      </c>
    </row>
    <row r="23" spans="1:4" x14ac:dyDescent="0.3">
      <c r="B23" s="1" t="s">
        <v>291</v>
      </c>
      <c r="C23" s="1" t="s">
        <v>291</v>
      </c>
      <c r="D23" s="1">
        <v>4083581</v>
      </c>
    </row>
    <row r="24" spans="1:4" x14ac:dyDescent="0.3">
      <c r="B24" s="1" t="s">
        <v>292</v>
      </c>
      <c r="C24" s="1" t="s">
        <v>292</v>
      </c>
      <c r="D24" s="1">
        <v>4057097</v>
      </c>
    </row>
    <row r="25" spans="1:4" x14ac:dyDescent="0.3">
      <c r="B25" s="1" t="s">
        <v>293</v>
      </c>
      <c r="C25" s="1" t="s">
        <v>293</v>
      </c>
      <c r="D25" s="1">
        <v>4057098</v>
      </c>
    </row>
    <row r="26" spans="1:4" x14ac:dyDescent="0.3">
      <c r="B26" s="1" t="s">
        <v>294</v>
      </c>
      <c r="C26" s="1" t="s">
        <v>294</v>
      </c>
      <c r="D26" s="1">
        <v>4064035</v>
      </c>
    </row>
    <row r="27" spans="1:4" x14ac:dyDescent="0.3">
      <c r="A27" s="1" t="s">
        <v>268</v>
      </c>
      <c r="B27" s="1" t="s">
        <v>296</v>
      </c>
      <c r="C27" s="1" t="s">
        <v>296</v>
      </c>
      <c r="D27" s="1">
        <v>4062279</v>
      </c>
    </row>
    <row r="28" spans="1:4" x14ac:dyDescent="0.3">
      <c r="A28" s="1" t="s">
        <v>268</v>
      </c>
      <c r="B28" s="1" t="s">
        <v>297</v>
      </c>
      <c r="C28" s="1" t="s">
        <v>297</v>
      </c>
      <c r="D28" s="1">
        <v>4063729</v>
      </c>
    </row>
    <row r="29" spans="1:4" x14ac:dyDescent="0.3">
      <c r="B29" s="1" t="s">
        <v>567</v>
      </c>
      <c r="C29" s="1" t="s">
        <v>298</v>
      </c>
      <c r="D29" s="1">
        <v>4076892</v>
      </c>
    </row>
    <row r="30" spans="1:4" x14ac:dyDescent="0.3">
      <c r="A30"/>
      <c r="B30"/>
      <c r="C30"/>
      <c r="D30"/>
    </row>
    <row r="31" spans="1:4" x14ac:dyDescent="0.3">
      <c r="A31"/>
      <c r="B31"/>
      <c r="C31"/>
      <c r="D31"/>
    </row>
    <row r="32" spans="1:4" x14ac:dyDescent="0.3">
      <c r="A32"/>
      <c r="B32"/>
      <c r="C32"/>
      <c r="D32"/>
    </row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</sheetData>
  <autoFilter ref="A4:D29" xr:uid="{03BD4888-977C-426B-95DB-F5C73EFCEC11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A201-7D32-48FE-AC54-0BDB528950DD}">
  <sheetPr>
    <tabColor rgb="FF00B050"/>
  </sheetPr>
  <dimension ref="A1:EC1948"/>
  <sheetViews>
    <sheetView topLeftCell="CI1" zoomScale="89" zoomScaleNormal="89" workbookViewId="0">
      <selection activeCell="CK1354" sqref="CK1354"/>
    </sheetView>
  </sheetViews>
  <sheetFormatPr defaultRowHeight="21" x14ac:dyDescent="0.4"/>
  <cols>
    <col min="1" max="1" width="71.44140625" bestFit="1" customWidth="1"/>
    <col min="2" max="2" width="46.5546875" customWidth="1"/>
    <col min="3" max="3" width="18" hidden="1" customWidth="1"/>
    <col min="4" max="4" width="9.44140625" hidden="1" customWidth="1"/>
    <col min="5" max="6" width="6.33203125" style="33" hidden="1" customWidth="1"/>
    <col min="7" max="7" width="14.6640625" customWidth="1"/>
    <col min="8" max="8" width="1.44140625" style="11" customWidth="1"/>
    <col min="9" max="9" width="16.33203125" style="11" hidden="1" customWidth="1"/>
    <col min="10" max="11" width="16.6640625" hidden="1" customWidth="1"/>
    <col min="12" max="12" width="16.6640625" style="47" hidden="1" customWidth="1"/>
    <col min="13" max="17" width="14.6640625" hidden="1" customWidth="1"/>
    <col min="18" max="18" width="19.33203125" style="389" hidden="1" customWidth="1"/>
    <col min="19" max="21" width="14.6640625" hidden="1" customWidth="1"/>
    <col min="22" max="24" width="16.6640625" hidden="1" customWidth="1"/>
    <col min="25" max="25" width="10.6640625" hidden="1" customWidth="1"/>
    <col min="26" max="26" width="16.6640625" hidden="1" customWidth="1"/>
    <col min="27" max="28" width="12.6640625" hidden="1" customWidth="1"/>
    <col min="29" max="31" width="16.6640625" style="15" hidden="1" customWidth="1"/>
    <col min="32" max="35" width="15.6640625" style="15" hidden="1" customWidth="1"/>
    <col min="36" max="37" width="16.6640625" style="15" hidden="1" customWidth="1"/>
    <col min="38" max="38" width="20.6640625" style="15" hidden="1" customWidth="1"/>
    <col min="39" max="41" width="14.6640625" style="15" hidden="1" customWidth="1"/>
    <col min="42" max="43" width="14.6640625" style="15" customWidth="1"/>
    <col min="44" max="51" width="12.6640625" style="15" customWidth="1"/>
    <col min="52" max="52" width="16.6640625" style="15" customWidth="1"/>
    <col min="53" max="53" width="12.6640625" style="15" customWidth="1"/>
    <col min="54" max="55" width="16.6640625" style="15" customWidth="1"/>
    <col min="56" max="56" width="20.6640625" style="15" customWidth="1"/>
    <col min="57" max="57" width="84.33203125" style="11" customWidth="1"/>
    <col min="58" max="58" width="15.5546875" style="286" customWidth="1"/>
    <col min="59" max="59" width="7.44140625" style="11" customWidth="1"/>
    <col min="60" max="60" width="12.6640625" style="11" customWidth="1"/>
    <col min="61" max="61" width="11.33203125" style="11" customWidth="1"/>
    <col min="62" max="64" width="16.6640625" customWidth="1"/>
    <col min="65" max="65" width="13.6640625" customWidth="1"/>
    <col min="66" max="66" width="14" customWidth="1"/>
    <col min="67" max="68" width="18.33203125" customWidth="1"/>
    <col min="69" max="69" width="18.6640625" customWidth="1"/>
    <col min="70" max="70" width="16.6640625" customWidth="1"/>
    <col min="71" max="75" width="14.6640625" customWidth="1"/>
    <col min="76" max="76" width="13.6640625" customWidth="1"/>
    <col min="77" max="77" width="18.6640625" customWidth="1"/>
    <col min="78" max="80" width="16.6640625" customWidth="1"/>
    <col min="81" max="81" width="14.33203125" customWidth="1"/>
    <col min="82" max="84" width="16.6640625" customWidth="1"/>
    <col min="85" max="85" width="14.33203125" customWidth="1"/>
    <col min="86" max="87" width="15.6640625" style="26" customWidth="1"/>
    <col min="88" max="88" width="14.33203125" style="26" customWidth="1"/>
    <col min="89" max="98" width="14.33203125" customWidth="1"/>
    <col min="99" max="99" width="14.33203125" style="36" customWidth="1"/>
    <col min="100" max="101" width="14.33203125" customWidth="1"/>
    <col min="102" max="102" width="15.6640625" customWidth="1"/>
    <col min="103" max="109" width="14.33203125" customWidth="1"/>
    <col min="110" max="113" width="14.33203125" style="25" customWidth="1"/>
    <col min="114" max="116" width="14.33203125" customWidth="1"/>
    <col min="117" max="118" width="9.33203125" customWidth="1"/>
    <col min="119" max="119" width="12.6640625" customWidth="1"/>
    <col min="120" max="134" width="9.33203125" customWidth="1"/>
  </cols>
  <sheetData>
    <row r="1" spans="1:133" ht="63" x14ac:dyDescent="0.3">
      <c r="B1" s="12" t="s">
        <v>63</v>
      </c>
      <c r="C1" s="12" t="s">
        <v>64</v>
      </c>
      <c r="D1" s="12" t="s">
        <v>65</v>
      </c>
      <c r="E1" s="12" t="s">
        <v>15</v>
      </c>
      <c r="F1" s="12"/>
      <c r="G1" s="12" t="s">
        <v>66</v>
      </c>
      <c r="H1" s="13"/>
      <c r="I1" s="13"/>
      <c r="J1" s="381" t="s">
        <v>67</v>
      </c>
      <c r="K1" s="109" t="s">
        <v>68</v>
      </c>
      <c r="L1" s="109"/>
      <c r="M1" s="109" t="s">
        <v>69</v>
      </c>
      <c r="N1" s="109"/>
      <c r="O1" s="109"/>
      <c r="P1" s="179" t="s">
        <v>70</v>
      </c>
      <c r="Q1" s="179"/>
      <c r="R1" s="383"/>
      <c r="S1" s="69" t="s">
        <v>71</v>
      </c>
      <c r="T1" s="69" t="s">
        <v>72</v>
      </c>
      <c r="U1" s="69"/>
      <c r="V1" s="109" t="s">
        <v>73</v>
      </c>
      <c r="W1" s="109" t="s">
        <v>74</v>
      </c>
      <c r="X1" s="109" t="s">
        <v>75</v>
      </c>
      <c r="Y1" s="179" t="s">
        <v>76</v>
      </c>
      <c r="Z1" s="69" t="s">
        <v>77</v>
      </c>
      <c r="AA1" s="69" t="s">
        <v>78</v>
      </c>
      <c r="AB1" s="69"/>
      <c r="AC1" s="110" t="s">
        <v>79</v>
      </c>
      <c r="AD1" s="111" t="s">
        <v>80</v>
      </c>
      <c r="AE1" s="111" t="s">
        <v>81</v>
      </c>
      <c r="AF1" s="111" t="s">
        <v>82</v>
      </c>
      <c r="AG1" s="69"/>
      <c r="AH1" s="69" t="s">
        <v>83</v>
      </c>
      <c r="AI1" s="69" t="s">
        <v>84</v>
      </c>
      <c r="AJ1" s="39" t="s">
        <v>85</v>
      </c>
      <c r="AK1" s="39" t="s">
        <v>86</v>
      </c>
      <c r="AL1" s="69" t="s">
        <v>87</v>
      </c>
      <c r="AM1" s="69" t="s">
        <v>88</v>
      </c>
      <c r="AN1" s="70" t="s">
        <v>89</v>
      </c>
      <c r="AO1" s="177" t="s">
        <v>90</v>
      </c>
      <c r="AP1" s="72" t="s">
        <v>91</v>
      </c>
      <c r="AQ1" s="72" t="s">
        <v>92</v>
      </c>
      <c r="AR1" s="39" t="s">
        <v>93</v>
      </c>
      <c r="AS1" s="39" t="s">
        <v>94</v>
      </c>
      <c r="AT1" s="39" t="s">
        <v>95</v>
      </c>
      <c r="AU1" s="107"/>
      <c r="AV1" s="172" t="s">
        <v>54</v>
      </c>
      <c r="AW1" s="172" t="s">
        <v>96</v>
      </c>
      <c r="AX1" s="178" t="s">
        <v>97</v>
      </c>
      <c r="AY1" s="178" t="s">
        <v>98</v>
      </c>
      <c r="AZ1" s="71" t="s">
        <v>99</v>
      </c>
      <c r="BA1" s="71" t="s">
        <v>100</v>
      </c>
      <c r="BB1" s="14" t="s">
        <v>101</v>
      </c>
      <c r="BC1" s="43" t="s">
        <v>102</v>
      </c>
      <c r="BJ1" s="43" t="s">
        <v>103</v>
      </c>
      <c r="BK1" s="43" t="s">
        <v>104</v>
      </c>
      <c r="BL1" s="43" t="s">
        <v>105</v>
      </c>
      <c r="BM1" s="43" t="s">
        <v>106</v>
      </c>
      <c r="BN1" s="84" t="s">
        <v>107</v>
      </c>
      <c r="BO1" s="43" t="s">
        <v>108</v>
      </c>
      <c r="BP1" s="43" t="s">
        <v>109</v>
      </c>
      <c r="BQ1" s="43" t="s">
        <v>110</v>
      </c>
      <c r="BR1" s="43" t="s">
        <v>111</v>
      </c>
      <c r="BS1" s="43"/>
      <c r="BT1" s="43"/>
      <c r="BU1" s="43"/>
      <c r="BV1" s="43"/>
      <c r="BW1" s="43"/>
      <c r="BX1" s="43" t="s">
        <v>112</v>
      </c>
      <c r="BY1" s="43" t="s">
        <v>113</v>
      </c>
      <c r="BZ1" s="43" t="s">
        <v>114</v>
      </c>
      <c r="CA1" s="43" t="s">
        <v>115</v>
      </c>
      <c r="CB1" s="43"/>
      <c r="CC1" s="43"/>
      <c r="CD1" s="44" t="s">
        <v>116</v>
      </c>
      <c r="CE1" s="44" t="s">
        <v>117</v>
      </c>
      <c r="CF1" s="44" t="s">
        <v>118</v>
      </c>
      <c r="CG1" s="44" t="s">
        <v>119</v>
      </c>
      <c r="CH1" s="44" t="s">
        <v>120</v>
      </c>
      <c r="CI1" s="44" t="s">
        <v>121</v>
      </c>
      <c r="CJ1" s="44" t="s">
        <v>122</v>
      </c>
      <c r="CK1" s="44" t="s">
        <v>123</v>
      </c>
      <c r="CL1" s="44" t="s">
        <v>124</v>
      </c>
      <c r="CM1" s="44" t="s">
        <v>125</v>
      </c>
      <c r="CN1" s="44" t="s">
        <v>126</v>
      </c>
      <c r="CO1" s="44" t="s">
        <v>127</v>
      </c>
      <c r="CP1" s="44" t="s">
        <v>128</v>
      </c>
      <c r="CQ1" s="44" t="s">
        <v>129</v>
      </c>
      <c r="CR1" s="339" t="s">
        <v>130</v>
      </c>
      <c r="CS1" s="44" t="s">
        <v>131</v>
      </c>
      <c r="CT1" s="44" t="s">
        <v>132</v>
      </c>
      <c r="CU1" s="95" t="s">
        <v>133</v>
      </c>
      <c r="CV1" s="45"/>
      <c r="CW1" s="45"/>
      <c r="CX1" s="45" t="s">
        <v>134</v>
      </c>
      <c r="CY1" s="340"/>
      <c r="CZ1" s="43" t="s">
        <v>135</v>
      </c>
      <c r="DA1" s="43" t="s">
        <v>136</v>
      </c>
      <c r="DB1" s="43" t="s">
        <v>44</v>
      </c>
      <c r="DC1" s="43" t="s">
        <v>137</v>
      </c>
      <c r="DD1" s="43" t="s">
        <v>138</v>
      </c>
      <c r="DE1" s="43" t="s">
        <v>139</v>
      </c>
      <c r="DF1" s="39" t="s">
        <v>140</v>
      </c>
      <c r="DG1" s="39" t="s">
        <v>141</v>
      </c>
      <c r="DH1" s="39"/>
      <c r="DI1" s="39"/>
      <c r="DJ1" s="43" t="s">
        <v>142</v>
      </c>
      <c r="DK1" s="43" t="s">
        <v>143</v>
      </c>
      <c r="DL1" s="43" t="s">
        <v>144</v>
      </c>
      <c r="DO1" s="341" t="s">
        <v>145</v>
      </c>
    </row>
    <row r="2" spans="1:133" ht="21.6" thickBot="1" x14ac:dyDescent="0.35">
      <c r="B2" s="209"/>
      <c r="C2" s="209"/>
      <c r="D2" s="209"/>
      <c r="E2" s="209"/>
      <c r="F2" s="209"/>
      <c r="G2" s="209"/>
      <c r="H2" s="13"/>
      <c r="I2" s="13"/>
      <c r="J2" s="210"/>
      <c r="K2" s="211"/>
      <c r="L2" s="211"/>
      <c r="M2" s="211"/>
      <c r="N2" s="211"/>
      <c r="O2" s="211"/>
      <c r="P2" s="212"/>
      <c r="Q2" s="212"/>
      <c r="R2" s="384"/>
      <c r="S2" s="213"/>
      <c r="T2" s="213"/>
      <c r="U2" s="213"/>
      <c r="V2" s="211"/>
      <c r="W2" s="211"/>
      <c r="X2" s="211"/>
      <c r="Y2" s="212"/>
      <c r="Z2" s="213"/>
      <c r="AA2" s="213"/>
      <c r="AB2" s="213"/>
      <c r="AC2" s="214"/>
      <c r="AD2" s="111"/>
      <c r="AE2" s="111"/>
      <c r="AF2" s="112"/>
      <c r="AG2" s="213"/>
      <c r="AH2" s="213"/>
      <c r="AI2" s="213"/>
      <c r="AJ2" s="39"/>
      <c r="AK2" s="39"/>
      <c r="AL2" s="70"/>
      <c r="AM2" s="70"/>
      <c r="AN2" s="70"/>
      <c r="AO2" s="177"/>
      <c r="AP2" s="72"/>
      <c r="AQ2" s="72"/>
      <c r="AR2" s="39"/>
      <c r="AS2" s="39"/>
      <c r="AT2" s="39"/>
      <c r="AU2" s="107"/>
      <c r="AV2" s="172"/>
      <c r="AW2" s="172"/>
      <c r="AX2" s="178"/>
      <c r="AY2" s="178"/>
      <c r="AZ2" s="71"/>
      <c r="BA2" s="71"/>
      <c r="BB2" s="43"/>
      <c r="BC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84"/>
      <c r="BU2" s="43"/>
      <c r="BV2" s="43"/>
      <c r="BW2" s="43"/>
      <c r="BX2" s="43"/>
      <c r="BY2" s="43"/>
      <c r="BZ2" s="43"/>
      <c r="CA2" s="43"/>
      <c r="CB2" s="43"/>
      <c r="CC2" s="43"/>
      <c r="CD2" s="44"/>
      <c r="CE2" s="44"/>
      <c r="CF2" s="44"/>
      <c r="CG2" s="44"/>
      <c r="CH2" s="173"/>
      <c r="CI2" s="173"/>
      <c r="CJ2" s="44"/>
      <c r="CK2" s="44"/>
      <c r="CL2" s="44"/>
      <c r="CM2" s="44"/>
      <c r="CN2" s="44"/>
      <c r="CO2" s="44"/>
      <c r="CP2" s="171"/>
      <c r="CQ2" s="293" t="s">
        <v>146</v>
      </c>
      <c r="CR2" s="294">
        <f>AVERAGE(CR3:CR25)</f>
        <v>3.0901941608533625E-2</v>
      </c>
      <c r="CS2" s="44"/>
      <c r="CT2" s="44"/>
      <c r="CU2" s="95"/>
      <c r="CV2" s="45"/>
      <c r="CW2" s="45"/>
      <c r="CX2" s="295" t="s">
        <v>147</v>
      </c>
      <c r="CY2" s="296">
        <f>AVERAGE(CY3:CY25)</f>
        <v>0.36856592602487503</v>
      </c>
      <c r="CZ2" s="43"/>
      <c r="DA2" s="43"/>
      <c r="DB2" s="43"/>
      <c r="DC2" s="43"/>
      <c r="DD2" s="43"/>
      <c r="DE2" s="43"/>
      <c r="DF2" s="39"/>
      <c r="DG2" s="39"/>
      <c r="DH2" s="39"/>
      <c r="DI2" s="39"/>
      <c r="DJ2" s="43"/>
      <c r="DK2" s="43"/>
      <c r="DL2" s="297"/>
      <c r="DO2" s="341"/>
    </row>
    <row r="3" spans="1:133" ht="21" customHeight="1" x14ac:dyDescent="0.4">
      <c r="A3" s="215" t="s">
        <v>148</v>
      </c>
      <c r="B3" s="216" t="s">
        <v>148</v>
      </c>
      <c r="C3" s="216">
        <v>4054707</v>
      </c>
      <c r="D3" s="216" t="s">
        <v>149</v>
      </c>
      <c r="E3" s="216"/>
      <c r="F3" s="216"/>
      <c r="G3" s="216" t="s">
        <v>150</v>
      </c>
      <c r="H3" s="217">
        <v>1998</v>
      </c>
      <c r="I3" s="218"/>
      <c r="J3" s="219"/>
      <c r="K3" s="219"/>
      <c r="L3" s="219"/>
      <c r="M3" s="219"/>
      <c r="N3" s="219"/>
      <c r="O3" s="219"/>
      <c r="P3" s="219"/>
      <c r="Q3" s="218"/>
      <c r="R3" s="385"/>
      <c r="S3" s="220" t="s">
        <v>7</v>
      </c>
      <c r="T3" s="221">
        <f ca="1">AVERAGE(T12:T27)</f>
        <v>1.0043584769466103E-2</v>
      </c>
      <c r="U3" s="221">
        <f ca="1">AVERAGE(U12:U27)</f>
        <v>1.0043584769466103E-2</v>
      </c>
      <c r="V3" s="222"/>
      <c r="W3" s="222"/>
      <c r="X3" s="222"/>
      <c r="Y3" s="219"/>
      <c r="Z3" s="220" t="s">
        <v>7</v>
      </c>
      <c r="AA3" s="221">
        <f>AVERAGE(AA12:AA27)</f>
        <v>1.0669577934373323E-2</v>
      </c>
      <c r="AB3" s="221"/>
      <c r="AC3" s="222"/>
      <c r="AD3" s="223"/>
      <c r="AE3" s="224">
        <v>5608.1853457347206</v>
      </c>
      <c r="AF3" s="225"/>
      <c r="AG3" s="226"/>
      <c r="AH3" s="220" t="s">
        <v>7</v>
      </c>
      <c r="AI3" s="221">
        <f>AVERAGE(AI12:AI27)</f>
        <v>3.2721839558613734E-2</v>
      </c>
      <c r="AJ3" s="218"/>
      <c r="AK3" s="218"/>
      <c r="AL3" s="220" t="s">
        <v>7</v>
      </c>
      <c r="AM3" s="227">
        <f>AVERAGE(AM12:AM27)</f>
        <v>3.7061532113432688E-2</v>
      </c>
      <c r="AN3" s="227"/>
      <c r="AO3" s="225"/>
      <c r="AP3" s="224"/>
      <c r="AQ3" s="225"/>
      <c r="AR3" s="417">
        <f>AVERAGE(AR7:AR1352)</f>
        <v>0.28150201765111105</v>
      </c>
      <c r="AS3" s="417">
        <f>AVERAGE(AS7:AS1352)</f>
        <v>0.40482536921379164</v>
      </c>
      <c r="AT3" s="417">
        <f>AVERAGE(AT7:AT1352)</f>
        <v>0.31367261313509692</v>
      </c>
      <c r="AU3" s="223"/>
      <c r="AV3" s="220" t="s">
        <v>7</v>
      </c>
      <c r="AW3" s="227">
        <f ca="1">AVERAGE(AW12:AW27)</f>
        <v>2.0108863030381272E-2</v>
      </c>
      <c r="AX3" s="223"/>
      <c r="AY3" s="223"/>
      <c r="AZ3" s="225"/>
      <c r="BA3" s="227">
        <f ca="1">AVERAGE(BA12:BA27)</f>
        <v>2.038105481328608E-2</v>
      </c>
      <c r="BB3" s="228">
        <f>IFERROR(INDEX('Total Customers'!$E$7:$AA$91,MATCH($C3,'Total Customers'!$C$7:$C$91,0),MATCH($G3,'Total Customers'!$E$5:$AA$5,0)),"NA")</f>
        <v>1467712</v>
      </c>
      <c r="BC3" s="271"/>
      <c r="BE3" s="320" t="str">
        <f t="shared" ref="BE3:BE66" si="0">A3</f>
        <v>ATLANTA GAS LIGHT COMPANY</v>
      </c>
      <c r="BF3" s="321">
        <f t="shared" ref="BF3:BF66" si="1">C3</f>
        <v>4054707</v>
      </c>
      <c r="BG3" s="322" t="str">
        <f t="shared" ref="BG3:BG66" si="2">D3</f>
        <v>GA</v>
      </c>
      <c r="BH3" s="322"/>
      <c r="BI3" s="322" t="str">
        <f t="shared" ref="BI3:BI66" si="3">G3</f>
        <v>1998 Y</v>
      </c>
      <c r="BJ3" s="322">
        <f>INDEX('Gross Dx Plant'!$D$7:$AC$91,MATCH($C3,'Gross Dx Plant'!$C$7:$C$91,0),MATCH(Calculation!$G3,'Gross Dx Plant'!$D$5:$AC$5,0))</f>
        <v>1551165</v>
      </c>
      <c r="BK3" s="322">
        <f>INDEX('Gross Gen Plant'!$D$7:$AC$91,MATCH($C3,'Gross Gen Plant'!$C$7:$C$91,0),MATCH(Calculation!$G3,'Gross Gen Plant'!$D$5:$AC$5,0))</f>
        <v>161605</v>
      </c>
      <c r="BL3" s="322">
        <f>INDEX('Dist. Plant Gas Additions'!$E$7:$AD$91,MATCH($C3,'Dist. Plant Gas Additions'!$C$7:$C$91,0),MATCH(Calculation!$G3,'Dist. Plant Gas Additions'!$E$5:$AD$5,0))</f>
        <v>84798</v>
      </c>
      <c r="BM3" s="322">
        <f>INDEX('Gen. Plant Additions'!$E$7:$AD$91,MATCH($C3,'Gen. Plant Additions'!$C$7:$C$91,0),MATCH(Calculation!$G3,'Gen. Plant Additions'!$E$5:$AD$5,0))</f>
        <v>5414</v>
      </c>
      <c r="BN3" s="338">
        <f>+(BY3/(BY3+BZ3))</f>
        <v>0.90564699288287398</v>
      </c>
      <c r="BO3" s="322">
        <f>+BN3*BM3</f>
        <v>4903.1728194678799</v>
      </c>
      <c r="BP3" s="322">
        <f>+BO3-BM3</f>
        <v>-510.82718053212011</v>
      </c>
      <c r="BQ3" s="322">
        <f>INDEX('Dist Plant Depreciation'!$D$7:$AC$94,MATCH($C3,'Dist Plant Depreciation'!$C$7:$C$94,0),MATCH(Calculation!$G3,'Dist Plant Depreciation'!$D$5:$AC$5,0))</f>
        <v>540916.46882823494</v>
      </c>
      <c r="BR3" s="322"/>
      <c r="BS3" s="322" t="s">
        <v>151</v>
      </c>
      <c r="BT3" s="344"/>
      <c r="BU3" s="322" t="s">
        <v>152</v>
      </c>
      <c r="BV3" s="322" t="s">
        <v>153</v>
      </c>
      <c r="BW3" s="322" t="s">
        <v>154</v>
      </c>
      <c r="BX3" s="345">
        <f>+BW76</f>
        <v>201.71943868802228</v>
      </c>
      <c r="BY3" s="322">
        <f>INDEX('Gross Dx Plant'!$D$7:$AC$91,MATCH($C3,'Gross Dx Plant'!$C$7:$C$91,0),MATCH(Calculation!$G3,'Gross Dx Plant'!$D$5:$AC$5,0))</f>
        <v>1551165</v>
      </c>
      <c r="BZ3" s="322">
        <f>INDEX('Gross Gen Plant'!$D$7:$AC$91,MATCH($C3,'Gross Gen Plant'!$C$7:$C$91,0),MATCH(Calculation!$G3,'Gross Gen Plant'!$D$5:$AC$5,0))</f>
        <v>161605</v>
      </c>
      <c r="CA3" s="322"/>
      <c r="CB3" s="322"/>
      <c r="CC3" s="346">
        <v>1998</v>
      </c>
      <c r="CD3" s="322">
        <f>BJ3+BK3</f>
        <v>1712770</v>
      </c>
      <c r="CE3" s="322">
        <f>540916+40574</f>
        <v>581490</v>
      </c>
      <c r="CF3" s="322">
        <f>+CD3-CE3</f>
        <v>1131280</v>
      </c>
      <c r="CG3" s="322">
        <f>CF3/$BX$3</f>
        <v>5608.1853457347206</v>
      </c>
      <c r="CH3" s="344"/>
      <c r="CI3" s="344"/>
      <c r="CJ3" s="344"/>
      <c r="CK3" s="443">
        <v>1</v>
      </c>
      <c r="CL3" s="322">
        <f>+CG3</f>
        <v>5608.1853457347206</v>
      </c>
      <c r="CM3" s="347"/>
      <c r="CN3" s="326"/>
      <c r="CO3" s="326"/>
      <c r="CP3" s="225" t="e">
        <f>VLOOKUP($H3,RoR!$E:$F,2,FALSE)</f>
        <v>#N/A</v>
      </c>
      <c r="CQ3" s="326">
        <v>1.1028127770464469E-2</v>
      </c>
      <c r="CR3" s="326"/>
      <c r="CS3" s="326"/>
      <c r="CT3" s="326"/>
      <c r="CU3" s="348"/>
      <c r="CV3" s="349"/>
      <c r="CW3" s="350"/>
      <c r="CX3" s="350"/>
      <c r="CY3" s="350"/>
      <c r="CZ3" s="330">
        <f>INDEX('State Tax Lookup'!$D$7:$Z$91,MATCH(Calculation!$C3,'State Tax Lookup'!$B$7:$B$91,0),MATCH($H3,'State Tax Lookup'!$D$6:$Z$6,0))</f>
        <v>0.35</v>
      </c>
      <c r="DA3" s="351">
        <v>0.37</v>
      </c>
      <c r="DB3" s="344"/>
      <c r="DC3" s="326"/>
      <c r="DD3" s="330"/>
      <c r="DE3" s="352">
        <f>HLOOKUP($H3,'GDP-PI'!$D$8:$CQ$11,3,FALSE)</f>
        <v>1.1028127770464469E-2</v>
      </c>
      <c r="DF3" s="330">
        <f>VLOOKUP(H3,'HW Dx Data'!$E:$F,2,FALSE)</f>
        <v>329.24564746449528</v>
      </c>
      <c r="DG3" s="330"/>
      <c r="DH3" s="330"/>
      <c r="DI3" s="330"/>
      <c r="DJ3" s="326"/>
      <c r="DK3" s="344">
        <f>HLOOKUP(H3,'GDP-PI'!$8:$9,2,FALSE)</f>
        <v>75.266999999999996</v>
      </c>
      <c r="DL3" s="292"/>
      <c r="DM3" s="291"/>
      <c r="DN3" s="291"/>
      <c r="DO3" s="353">
        <v>2.5640776638641321E-2</v>
      </c>
      <c r="DP3" s="353"/>
      <c r="DQ3" s="353"/>
      <c r="DR3" s="353"/>
      <c r="DS3" s="353"/>
      <c r="DT3" s="353"/>
      <c r="DU3" s="353"/>
      <c r="DV3" s="353"/>
      <c r="DW3" s="353"/>
      <c r="DX3" s="353"/>
      <c r="DY3" s="353"/>
      <c r="DZ3" s="291"/>
      <c r="EA3" s="291"/>
      <c r="EB3" s="291"/>
      <c r="EC3" s="292">
        <v>1998</v>
      </c>
    </row>
    <row r="4" spans="1:133" ht="21" customHeight="1" x14ac:dyDescent="0.4">
      <c r="A4" s="229" t="s">
        <v>148</v>
      </c>
      <c r="B4" s="391" t="s">
        <v>148</v>
      </c>
      <c r="C4" s="391">
        <v>4054707</v>
      </c>
      <c r="D4" s="391" t="s">
        <v>149</v>
      </c>
      <c r="E4" s="391"/>
      <c r="F4" s="391"/>
      <c r="G4" s="391" t="s">
        <v>155</v>
      </c>
      <c r="H4" s="11">
        <v>1999</v>
      </c>
      <c r="I4" s="46"/>
      <c r="J4" s="47"/>
      <c r="K4" s="47"/>
      <c r="M4" s="47"/>
      <c r="N4" s="47"/>
      <c r="O4" s="47"/>
      <c r="P4" s="47"/>
      <c r="Q4" s="47"/>
      <c r="R4" s="386"/>
      <c r="S4" s="119"/>
      <c r="T4" s="47"/>
      <c r="U4" s="47"/>
      <c r="V4" s="85"/>
      <c r="W4" s="85"/>
      <c r="X4" s="85"/>
      <c r="Y4" s="47"/>
      <c r="Z4" s="85"/>
      <c r="AA4" s="85"/>
      <c r="AB4" s="85"/>
      <c r="AC4" s="47">
        <f>+CL3*DB4</f>
        <v>0</v>
      </c>
      <c r="AD4" s="46"/>
      <c r="AE4" s="73">
        <v>5915.2843074017901</v>
      </c>
      <c r="AF4" s="61">
        <v>5.3312362345904502E-2</v>
      </c>
      <c r="AG4" s="61"/>
      <c r="AH4" s="61"/>
      <c r="AI4" s="61"/>
      <c r="AJ4" s="46"/>
      <c r="AK4" s="61"/>
      <c r="AL4" s="73"/>
      <c r="AM4" s="61"/>
      <c r="AN4" s="61"/>
      <c r="AO4" s="61"/>
      <c r="AP4" s="73"/>
      <c r="AQ4" s="61"/>
      <c r="AR4" s="62"/>
      <c r="AS4" s="62"/>
      <c r="AT4" s="62"/>
      <c r="AU4" s="62"/>
      <c r="AV4" s="62"/>
      <c r="AW4" s="61"/>
      <c r="AX4" s="62"/>
      <c r="AY4" s="62"/>
      <c r="BA4" s="61"/>
      <c r="BB4" s="230">
        <f>IFERROR(INDEX('Total Customers'!$E$7:$AA$91,MATCH($C4,'Total Customers'!$C$7:$C$91,0),MATCH($G4,'Total Customers'!$E$5:$AA$5,0)),"NA")</f>
        <v>1638195</v>
      </c>
      <c r="BC4" s="392">
        <f>LN(BB4/BB3)</f>
        <v>0.10989030030495012</v>
      </c>
      <c r="BE4" s="281" t="str">
        <f t="shared" si="0"/>
        <v>ATLANTA GAS LIGHT COMPANY</v>
      </c>
      <c r="BF4" s="290">
        <f t="shared" si="1"/>
        <v>4054707</v>
      </c>
      <c r="BG4" s="46" t="str">
        <f t="shared" si="2"/>
        <v>GA</v>
      </c>
      <c r="BH4" s="46"/>
      <c r="BI4" s="46" t="str">
        <f t="shared" si="3"/>
        <v>1999 Y</v>
      </c>
      <c r="BJ4" s="46"/>
      <c r="BK4" s="46"/>
      <c r="BL4" s="46">
        <f>INDEX('Dist. Plant Gas Additions'!$E$7:$AD$91,MATCH($C4,'Dist. Plant Gas Additions'!$C$7:$C$91,0),MATCH(Calculation!$G4,'Dist. Plant Gas Additions'!$E$5:$AD$5,0))</f>
        <v>109283</v>
      </c>
      <c r="BM4" s="46">
        <f>INDEX('Gen. Plant Additions'!$E$7:$AD$91,MATCH($C4,'Gen. Plant Additions'!$C$7:$C$91,0),MATCH(Calculation!$G4,'Gen. Plant Additions'!$E$5:$AD$5,0))</f>
        <v>3051</v>
      </c>
      <c r="BN4" s="393">
        <f t="shared" ref="BN4:BN25" si="4">+(BY4/(BY4+BZ4))</f>
        <v>0.90918610350984141</v>
      </c>
      <c r="BO4" s="46">
        <f t="shared" ref="BO4:BO22" si="5">+BN4*BM4</f>
        <v>2773.9268018085263</v>
      </c>
      <c r="BP4" s="46">
        <f t="shared" ref="BP4:BP22" si="6">+BO4-BM4</f>
        <v>-277.07319819147369</v>
      </c>
      <c r="BQ4" s="46">
        <f>INDEX('Dist Plant Depreciation'!$D$7:$AC$94,MATCH($C4,'Dist Plant Depreciation'!$C$7:$C$94,0),MATCH(Calculation!$G4,'Dist Plant Depreciation'!$D$5:$AC$5,0))</f>
        <v>566664.09274445893</v>
      </c>
      <c r="BR4" s="46"/>
      <c r="BS4" s="53">
        <v>1930</v>
      </c>
      <c r="BT4" s="53"/>
      <c r="BU4" s="51">
        <v>18.779104489505663</v>
      </c>
      <c r="BV4" s="62"/>
      <c r="BW4" s="46"/>
      <c r="BX4" s="46"/>
      <c r="BY4" s="46">
        <f>INDEX('Gross Dx Plant'!$D$7:$AC$91,MATCH($C4,'Gross Dx Plant'!$C$7:$C$91,0),MATCH(Calculation!$G4,'Gross Dx Plant'!$D$5:$AC$5,0))</f>
        <v>1674869</v>
      </c>
      <c r="BZ4" s="46">
        <f>INDEX('Gross Gen Plant'!$D$7:$AC$91,MATCH($C4,'Gross Gen Plant'!$C$7:$C$91,0),MATCH(Calculation!$G4,'Gross Gen Plant'!$D$5:$AC$5,0))</f>
        <v>167294</v>
      </c>
      <c r="CA4" s="46"/>
      <c r="CB4" s="46"/>
      <c r="CC4" s="73">
        <v>1999</v>
      </c>
      <c r="CD4" s="46"/>
      <c r="CE4" s="46"/>
      <c r="CF4" s="46"/>
      <c r="CG4" s="53"/>
      <c r="CH4" s="46">
        <f t="shared" ref="CH4:CH26" si="7">+BM4+BL4</f>
        <v>112334</v>
      </c>
      <c r="CI4" s="46">
        <f>+CH4+BP4</f>
        <v>112056.92680180853</v>
      </c>
      <c r="CJ4" s="46">
        <f t="shared" ref="CJ4:CJ27" si="8">+CI4/$DF4</f>
        <v>334.1740987202628</v>
      </c>
      <c r="CK4" s="443">
        <v>0.99009900990099009</v>
      </c>
      <c r="CL4" s="46">
        <f>+CL3*CK4+CJ4</f>
        <v>5886.8328568734514</v>
      </c>
      <c r="CM4" s="61">
        <f>LN(CL4/CL3)</f>
        <v>4.8490938317011088E-2</v>
      </c>
      <c r="CN4" s="56">
        <f>+(CL3-CL4+CJ4)/CL3</f>
        <v>9.9009900990099202E-3</v>
      </c>
      <c r="CO4" s="56"/>
      <c r="CP4" s="61">
        <f>VLOOKUP($H4,RoR!$E:$F,2,FALSE)</f>
        <v>7.0416666666666669E-2</v>
      </c>
      <c r="CQ4" s="56">
        <v>1.4335631817396832E-2</v>
      </c>
      <c r="CR4" s="56">
        <f>+CP4-CQ4</f>
        <v>5.6081034849269837E-2</v>
      </c>
      <c r="CS4" s="56"/>
      <c r="CT4" s="56"/>
      <c r="CU4" s="96">
        <f t="shared" ref="CU4:CU27" si="9">1-CZ4*DA4</f>
        <v>0.87050000000000005</v>
      </c>
      <c r="CV4" s="58">
        <f t="shared" ref="CV4:CV24" si="10">2/(DD4*39)</f>
        <v>0.72826581702321336</v>
      </c>
      <c r="CW4" s="58">
        <f t="shared" ref="CW4:CW26" si="11">+(DD4*40-(1+DD4))/(DD4*40)</f>
        <v>0.61997041420118348</v>
      </c>
      <c r="CX4" s="58">
        <f t="shared" ref="CX4:CX24" si="12">+(1-(1/(1+DD4)^40))</f>
        <v>0.93425155319585029</v>
      </c>
      <c r="CY4" s="58">
        <f t="shared" ref="CY4:CY24" si="13">+CX4*CW4*CV4</f>
        <v>0.42181762214141483</v>
      </c>
      <c r="CZ4" s="303">
        <f>INDEX('State Tax Lookup'!$D$7:$Z$91,MATCH(Calculation!$C4,'State Tax Lookup'!$B$7:$B$91,0),MATCH($H4,'State Tax Lookup'!$D$6:$Z$6,0))</f>
        <v>0.35</v>
      </c>
      <c r="DA4" s="303">
        <v>0.37</v>
      </c>
      <c r="DB4" s="57"/>
      <c r="DC4" s="56"/>
      <c r="DD4" s="303">
        <f>VLOOKUP($H4,RoR!$E:$F,2,FALSE)</f>
        <v>7.0416666666666669E-2</v>
      </c>
      <c r="DE4" s="304">
        <f>HLOOKUP($H4,'GDP-PI'!$D$8:$CQ$11,3,FALSE)</f>
        <v>1.4335631817396832E-2</v>
      </c>
      <c r="DF4" s="303">
        <f>VLOOKUP(H4,'HW Dx Data'!$E:$F,2,FALSE)</f>
        <v>335.32499146683239</v>
      </c>
      <c r="DG4" s="89"/>
      <c r="DH4" s="89"/>
      <c r="DI4" s="89"/>
      <c r="DJ4" s="56"/>
      <c r="DK4" s="53">
        <f>HLOOKUP(H4,'GDP-PI'!$8:$9,2,FALSE)</f>
        <v>76.346000000000004</v>
      </c>
      <c r="DL4" s="298"/>
      <c r="DO4" s="27">
        <v>9.3649579827502199E-3</v>
      </c>
      <c r="DP4" s="27"/>
      <c r="DQ4" s="27"/>
      <c r="DR4" s="27"/>
      <c r="DS4" s="27"/>
      <c r="DT4" s="27"/>
      <c r="DU4" s="27"/>
      <c r="DV4" s="27"/>
      <c r="DW4" s="27"/>
      <c r="DX4" s="27"/>
      <c r="DY4" s="27"/>
      <c r="EC4" s="298">
        <f>+EC3+1</f>
        <v>1999</v>
      </c>
    </row>
    <row r="5" spans="1:133" ht="21" customHeight="1" x14ac:dyDescent="0.4">
      <c r="A5" s="229" t="s">
        <v>148</v>
      </c>
      <c r="B5" s="391" t="s">
        <v>148</v>
      </c>
      <c r="C5" s="391">
        <v>4054707</v>
      </c>
      <c r="D5" s="391" t="s">
        <v>149</v>
      </c>
      <c r="E5" s="391"/>
      <c r="F5" s="391"/>
      <c r="G5" s="391" t="s">
        <v>156</v>
      </c>
      <c r="H5" s="11">
        <v>2000</v>
      </c>
      <c r="I5" s="46"/>
      <c r="J5" s="47"/>
      <c r="K5" s="47"/>
      <c r="M5" s="47"/>
      <c r="N5" s="47"/>
      <c r="O5" s="47"/>
      <c r="P5" s="47"/>
      <c r="Q5" s="47"/>
      <c r="R5" s="386"/>
      <c r="S5" s="119"/>
      <c r="T5" s="47"/>
      <c r="U5" s="47"/>
      <c r="V5" s="47"/>
      <c r="W5" s="47"/>
      <c r="X5" s="47"/>
      <c r="Y5" s="47"/>
      <c r="Z5" s="47"/>
      <c r="AA5" s="47"/>
      <c r="AB5" s="47"/>
      <c r="AC5" s="47">
        <f t="shared" ref="AC5:AC27" si="14">+CL4*DB5</f>
        <v>0</v>
      </c>
      <c r="AD5" s="46"/>
      <c r="AE5" s="73">
        <v>6239.9357374617239</v>
      </c>
      <c r="AF5" s="61">
        <v>5.3430322074559021E-2</v>
      </c>
      <c r="AG5" s="61"/>
      <c r="AH5" s="61"/>
      <c r="AI5" s="61"/>
      <c r="AJ5" s="46"/>
      <c r="AK5" s="61"/>
      <c r="AL5" s="46"/>
      <c r="AM5" s="46"/>
      <c r="AN5" s="46"/>
      <c r="AO5" s="46"/>
      <c r="AP5" s="73"/>
      <c r="AQ5" s="61"/>
      <c r="AR5" s="62"/>
      <c r="AS5" s="62"/>
      <c r="AT5" s="62"/>
      <c r="AU5" s="62"/>
      <c r="AV5" s="62"/>
      <c r="AW5" s="61"/>
      <c r="AX5" s="62"/>
      <c r="AY5" s="62"/>
      <c r="AZ5" s="62"/>
      <c r="BA5" s="62"/>
      <c r="BB5" s="230">
        <f>IFERROR(INDEX('Total Customers'!$E$7:$AA$91,MATCH($C5,'Total Customers'!$C$7:$C$91,0),MATCH($G5,'Total Customers'!$E$5:$AA$5,0)),"NA")</f>
        <v>1478549</v>
      </c>
      <c r="BC5" s="392">
        <f t="shared" ref="BC5:BC67" si="15">LN(BB5/BB4)</f>
        <v>-0.10253382450543234</v>
      </c>
      <c r="BE5" s="281" t="str">
        <f t="shared" si="0"/>
        <v>ATLANTA GAS LIGHT COMPANY</v>
      </c>
      <c r="BF5" s="290">
        <f t="shared" si="1"/>
        <v>4054707</v>
      </c>
      <c r="BG5" s="46" t="str">
        <f t="shared" si="2"/>
        <v>GA</v>
      </c>
      <c r="BH5" s="46"/>
      <c r="BI5" s="46" t="str">
        <f t="shared" si="3"/>
        <v>2000 Y</v>
      </c>
      <c r="BJ5" s="46"/>
      <c r="BK5" s="46"/>
      <c r="BL5" s="46">
        <f>INDEX('Dist. Plant Gas Additions'!$E$7:$AD$91,MATCH($C5,'Dist. Plant Gas Additions'!$C$7:$C$91,0),MATCH(Calculation!$G5,'Dist. Plant Gas Additions'!$E$5:$AD$5,0))</f>
        <v>96835</v>
      </c>
      <c r="BM5" s="46">
        <f>INDEX('Gen. Plant Additions'!$E$7:$AD$91,MATCH($C5,'Gen. Plant Additions'!$C$7:$C$91,0),MATCH(Calculation!$G5,'Gen. Plant Additions'!$E$5:$AD$5,0))</f>
        <v>26207</v>
      </c>
      <c r="BN5" s="393">
        <f t="shared" si="4"/>
        <v>0.91059661788067647</v>
      </c>
      <c r="BO5" s="46">
        <f t="shared" si="5"/>
        <v>23864.005564798888</v>
      </c>
      <c r="BP5" s="46">
        <f t="shared" si="6"/>
        <v>-2342.9944352011116</v>
      </c>
      <c r="BQ5" s="46">
        <f>INDEX('Dist Plant Depreciation'!$D$7:$AC$94,MATCH($C5,'Dist Plant Depreciation'!$C$7:$C$94,0),MATCH(Calculation!$G5,'Dist Plant Depreciation'!$D$5:$AC$5,0))</f>
        <v>593637.30355909525</v>
      </c>
      <c r="BR5" s="46"/>
      <c r="BS5" s="53">
        <v>1931</v>
      </c>
      <c r="BT5" s="53"/>
      <c r="BU5" s="51">
        <v>18.346320052377738</v>
      </c>
      <c r="BV5" s="62"/>
      <c r="BW5" s="46"/>
      <c r="BX5" s="46"/>
      <c r="BY5" s="46">
        <f>INDEX('Gross Dx Plant'!$D$7:$AC$91,MATCH($C5,'Gross Dx Plant'!$C$7:$C$91,0),MATCH(Calculation!$G5,'Gross Dx Plant'!$D$5:$AC$5,0))</f>
        <v>1743696</v>
      </c>
      <c r="BZ5" s="46">
        <f>INDEX('Gross Gen Plant'!$D$7:$AC$91,MATCH($C5,'Gross Gen Plant'!$C$7:$C$91,0),MATCH(Calculation!$G5,'Gross Gen Plant'!$D$5:$AC$5,0))</f>
        <v>171198</v>
      </c>
      <c r="CA5" s="46"/>
      <c r="CB5" s="46"/>
      <c r="CC5" s="73">
        <v>2000</v>
      </c>
      <c r="CD5" s="46"/>
      <c r="CE5" s="46"/>
      <c r="CF5" s="46"/>
      <c r="CG5" s="53"/>
      <c r="CH5" s="46">
        <f t="shared" si="7"/>
        <v>123042</v>
      </c>
      <c r="CI5" s="46">
        <f t="shared" ref="CI5:CI52" si="16">+CH5+BP5</f>
        <v>120699.00556479889</v>
      </c>
      <c r="CJ5" s="46">
        <f t="shared" si="8"/>
        <v>348.3037850503481</v>
      </c>
      <c r="CK5" s="443">
        <v>0.98</v>
      </c>
      <c r="CL5" s="46">
        <f>+CL3*CK5+CJ4*CK4+CJ5</f>
        <v>6175.1908681478617</v>
      </c>
      <c r="CM5" s="61">
        <f t="shared" ref="CM5:CM27" si="17">LN(CL5/CL4)</f>
        <v>4.7821654116702465E-2</v>
      </c>
      <c r="CN5" s="56">
        <f t="shared" ref="CN5:CN27" si="18">+(CL4-CL5+CJ5)/CL4</f>
        <v>1.0183026295021318E-2</v>
      </c>
      <c r="CO5" s="56"/>
      <c r="CP5" s="61">
        <f>VLOOKUP($H5,RoR!$E:$F,2,FALSE)</f>
        <v>7.6225000000000001E-2</v>
      </c>
      <c r="CQ5" s="56">
        <v>2.2568307442433211E-2</v>
      </c>
      <c r="CR5" s="56">
        <f t="shared" ref="CR5:CR25" si="19">+CP5-CQ5</f>
        <v>5.365669255756679E-2</v>
      </c>
      <c r="CS5" s="56"/>
      <c r="CT5" s="56"/>
      <c r="CU5" s="96">
        <f t="shared" si="9"/>
        <v>0.87050000000000005</v>
      </c>
      <c r="CV5" s="58">
        <f t="shared" si="10"/>
        <v>0.67277207323124022</v>
      </c>
      <c r="CW5" s="58">
        <f t="shared" si="11"/>
        <v>0.6470236142997704</v>
      </c>
      <c r="CX5" s="58">
        <f t="shared" si="12"/>
        <v>0.94704866037543145</v>
      </c>
      <c r="CY5" s="58">
        <f t="shared" si="13"/>
        <v>0.41224973107878493</v>
      </c>
      <c r="CZ5" s="303">
        <f>INDEX('State Tax Lookup'!$D$7:$Z$91,MATCH(Calculation!$C5,'State Tax Lookup'!$B$7:$B$91,0),MATCH($H5,'State Tax Lookup'!$D$6:$Z$6,0))</f>
        <v>0.35</v>
      </c>
      <c r="DA5" s="303">
        <v>0.37</v>
      </c>
      <c r="DB5" s="57"/>
      <c r="DC5" s="56"/>
      <c r="DD5" s="303">
        <f>VLOOKUP($H5,RoR!$E:$F,2,FALSE)</f>
        <v>7.6225000000000001E-2</v>
      </c>
      <c r="DE5" s="304">
        <f>HLOOKUP($H5,'GDP-PI'!$D$8:$CQ$11,3,FALSE)</f>
        <v>2.2568307442433211E-2</v>
      </c>
      <c r="DF5" s="303">
        <f>VLOOKUP(H5,'HW Dx Data'!$E:$F,2,FALSE)</f>
        <v>346.53371782150339</v>
      </c>
      <c r="DG5" s="89"/>
      <c r="DH5" s="89"/>
      <c r="DI5" s="89"/>
      <c r="DJ5" s="56"/>
      <c r="DK5" s="53">
        <f>HLOOKUP(H5,'GDP-PI'!$8:$9,2,FALSE)</f>
        <v>78.069000000000003</v>
      </c>
      <c r="DL5" s="298"/>
      <c r="DO5" s="27">
        <v>2.2656063207879284E-2</v>
      </c>
      <c r="DP5" s="27"/>
      <c r="DQ5" s="27"/>
      <c r="DR5" s="27"/>
      <c r="DS5" s="27"/>
      <c r="DT5" s="27"/>
      <c r="DU5" s="27"/>
      <c r="DV5" s="27"/>
      <c r="DW5" s="27"/>
      <c r="DX5" s="27"/>
      <c r="DY5" s="27"/>
      <c r="EC5" s="298">
        <f t="shared" ref="EC5:EC52" si="20">+EC4+1</f>
        <v>2000</v>
      </c>
    </row>
    <row r="6" spans="1:133" ht="21" customHeight="1" x14ac:dyDescent="0.4">
      <c r="A6" s="229" t="s">
        <v>148</v>
      </c>
      <c r="B6" s="391" t="s">
        <v>148</v>
      </c>
      <c r="C6" s="391">
        <v>4054707</v>
      </c>
      <c r="D6" s="391" t="s">
        <v>149</v>
      </c>
      <c r="E6" s="391"/>
      <c r="F6" s="391"/>
      <c r="G6" s="391" t="s">
        <v>157</v>
      </c>
      <c r="H6" s="11">
        <v>2001</v>
      </c>
      <c r="I6" s="46"/>
      <c r="J6" s="47"/>
      <c r="K6" s="47"/>
      <c r="M6" s="47"/>
      <c r="N6" s="47"/>
      <c r="O6" s="47"/>
      <c r="P6" s="47"/>
      <c r="Q6" s="47"/>
      <c r="R6" s="386"/>
      <c r="S6" s="59"/>
      <c r="T6" s="47"/>
      <c r="U6" s="47"/>
      <c r="V6" s="47"/>
      <c r="W6" s="47"/>
      <c r="X6" s="47"/>
      <c r="Y6" s="47"/>
      <c r="Z6" s="47"/>
      <c r="AA6" s="47"/>
      <c r="AB6" s="47"/>
      <c r="AC6" s="47">
        <f t="shared" si="14"/>
        <v>60910.72125358606</v>
      </c>
      <c r="AD6" s="46"/>
      <c r="AE6" s="73">
        <v>6477.0174648424127</v>
      </c>
      <c r="AF6" s="61">
        <v>3.7290252792618349E-2</v>
      </c>
      <c r="AG6" s="61"/>
      <c r="AH6" s="61"/>
      <c r="AI6" s="61"/>
      <c r="AJ6" s="46"/>
      <c r="AK6" s="61"/>
      <c r="AL6" s="61"/>
      <c r="AM6" s="61"/>
      <c r="AN6" s="61"/>
      <c r="AO6" s="61"/>
      <c r="AP6" s="73"/>
      <c r="AQ6" s="61"/>
      <c r="AR6" s="62"/>
      <c r="AS6" s="62"/>
      <c r="AT6" s="62"/>
      <c r="AU6" s="62"/>
      <c r="AV6" s="62"/>
      <c r="AW6" s="61"/>
      <c r="AX6" s="62"/>
      <c r="AY6" s="62"/>
      <c r="AZ6" s="62"/>
      <c r="BA6" s="62"/>
      <c r="BB6" s="230">
        <f>IFERROR(INDEX('Total Customers'!$E$7:$AA$91,MATCH($C6,'Total Customers'!$C$7:$C$91,0),MATCH($G6,'Total Customers'!$E$5:$AA$5,0)),"NA")</f>
        <v>1533343</v>
      </c>
      <c r="BC6" s="392">
        <f t="shared" si="15"/>
        <v>3.6389117696005835E-2</v>
      </c>
      <c r="BE6" s="281" t="str">
        <f t="shared" si="0"/>
        <v>ATLANTA GAS LIGHT COMPANY</v>
      </c>
      <c r="BF6" s="290">
        <f t="shared" si="1"/>
        <v>4054707</v>
      </c>
      <c r="BG6" s="46" t="str">
        <f t="shared" si="2"/>
        <v>GA</v>
      </c>
      <c r="BH6" s="46"/>
      <c r="BI6" s="46" t="str">
        <f t="shared" si="3"/>
        <v>2001 Y</v>
      </c>
      <c r="BJ6" s="46"/>
      <c r="BK6" s="46"/>
      <c r="BL6" s="46">
        <f>INDEX('Dist. Plant Gas Additions'!$E$7:$AD$91,MATCH($C6,'Dist. Plant Gas Additions'!$C$7:$C$91,0),MATCH(Calculation!$G6,'Dist. Plant Gas Additions'!$E$5:$AD$5,0))</f>
        <v>92757</v>
      </c>
      <c r="BM6" s="46">
        <f>INDEX('Gen. Plant Additions'!$E$7:$AD$91,MATCH($C6,'Gen. Plant Additions'!$C$7:$C$91,0),MATCH(Calculation!$G6,'Gen. Plant Additions'!$E$5:$AD$5,0))</f>
        <v>2119</v>
      </c>
      <c r="BN6" s="393">
        <f t="shared" si="4"/>
        <v>0.92165150134653528</v>
      </c>
      <c r="BO6" s="46">
        <f t="shared" si="5"/>
        <v>1952.9795313533082</v>
      </c>
      <c r="BP6" s="46">
        <f t="shared" si="6"/>
        <v>-166.02046864669182</v>
      </c>
      <c r="BQ6" s="46">
        <f>INDEX('Dist Plant Depreciation'!$D$7:$AC$94,MATCH($C6,'Dist Plant Depreciation'!$C$7:$C$94,0),MATCH(Calculation!$G6,'Dist Plant Depreciation'!$D$5:$AC$5,0))</f>
        <v>621894.43920850824</v>
      </c>
      <c r="BR6" s="46"/>
      <c r="BS6" s="53">
        <v>1932</v>
      </c>
      <c r="BT6" s="53"/>
      <c r="BU6" s="51">
        <v>17.456370860424776</v>
      </c>
      <c r="BV6" s="62"/>
      <c r="BW6" s="46"/>
      <c r="BX6" s="46"/>
      <c r="BY6" s="46">
        <f>INDEX('Gross Dx Plant'!$D$7:$AC$91,MATCH($C6,'Gross Dx Plant'!$C$7:$C$91,0),MATCH(Calculation!$G6,'Gross Dx Plant'!$D$5:$AC$5,0))</f>
        <v>1828881</v>
      </c>
      <c r="BZ6" s="46">
        <f>INDEX('Gross Gen Plant'!$D$7:$AC$91,MATCH($C6,'Gross Gen Plant'!$C$7:$C$91,0),MATCH(Calculation!$G6,'Gross Gen Plant'!$D$5:$AC$5,0))</f>
        <v>155471</v>
      </c>
      <c r="CA6" s="46"/>
      <c r="CB6" s="46"/>
      <c r="CC6" s="73">
        <v>2001</v>
      </c>
      <c r="CD6" s="46"/>
      <c r="CE6" s="46"/>
      <c r="CF6" s="46"/>
      <c r="CG6" s="53"/>
      <c r="CH6" s="46">
        <f t="shared" si="7"/>
        <v>94876</v>
      </c>
      <c r="CI6" s="46">
        <f t="shared" si="16"/>
        <v>94709.97953135331</v>
      </c>
      <c r="CJ6" s="46">
        <f t="shared" si="8"/>
        <v>267.9606211383018</v>
      </c>
      <c r="CK6" s="443">
        <v>0.96969696969696972</v>
      </c>
      <c r="CL6" s="46">
        <f>+CL3*CK6+CJ4*CK5+CJ5*CK3+CJ6</f>
        <v>6381.9953581924183</v>
      </c>
      <c r="CM6" s="61">
        <f t="shared" si="17"/>
        <v>3.2941008669884246E-2</v>
      </c>
      <c r="CN6" s="56">
        <f t="shared" si="18"/>
        <v>9.9035207817127612E-3</v>
      </c>
      <c r="CO6" s="56">
        <f>+(CN6+CN5+CN4)/3</f>
        <v>9.9958457252480003E-3</v>
      </c>
      <c r="CP6" s="61">
        <f>VLOOKUP($H6,RoR!$E:$F,2,FALSE)</f>
        <v>7.0824999999999999E-2</v>
      </c>
      <c r="CQ6" s="56">
        <v>2.2454495382290052E-2</v>
      </c>
      <c r="CR6" s="56">
        <f t="shared" si="19"/>
        <v>4.8370504617709947E-2</v>
      </c>
      <c r="CS6" s="56">
        <f>+$CR$2-CO6</f>
        <v>2.0906095883285625E-2</v>
      </c>
      <c r="CT6" s="56">
        <f>+((DF4/DF3-1)+(DF5/DF4-1)+(DF6/DF5-1))/3</f>
        <v>2.3947275901631187E-2</v>
      </c>
      <c r="CU6" s="96">
        <f t="shared" si="9"/>
        <v>0.87050000000000005</v>
      </c>
      <c r="CV6" s="58">
        <f t="shared" si="10"/>
        <v>0.72406708481540816</v>
      </c>
      <c r="CW6" s="58">
        <f t="shared" si="11"/>
        <v>0.62201729615248857</v>
      </c>
      <c r="CX6" s="58">
        <f t="shared" si="12"/>
        <v>0.9352469954311422</v>
      </c>
      <c r="CY6" s="58">
        <f t="shared" si="13"/>
        <v>0.42121864641655071</v>
      </c>
      <c r="CZ6" s="303">
        <f>INDEX('State Tax Lookup'!$D$7:$Z$91,MATCH(Calculation!$C6,'State Tax Lookup'!$B$7:$B$91,0),MATCH($H6,'State Tax Lookup'!$D$6:$Z$6,0))</f>
        <v>0.35</v>
      </c>
      <c r="DA6" s="303">
        <v>0.37</v>
      </c>
      <c r="DB6" s="57">
        <f t="shared" ref="DB6:DB27" si="21">+(DF6*CS6-CT6)*CU6/(1-CZ6)</f>
        <v>9.8637795258715855</v>
      </c>
      <c r="DC6" s="56"/>
      <c r="DD6" s="303">
        <f>VLOOKUP($H6,RoR!$E:$F,2,FALSE)</f>
        <v>7.0824999999999999E-2</v>
      </c>
      <c r="DE6" s="304">
        <f>HLOOKUP($H6,'GDP-PI'!$D$8:$CQ$11,3,FALSE)</f>
        <v>2.2454495382290052E-2</v>
      </c>
      <c r="DF6" s="303">
        <f>VLOOKUP(H6,'HW Dx Data'!$E:$F,2,FALSE)</f>
        <v>353.44738017483138</v>
      </c>
      <c r="DG6" s="89"/>
      <c r="DH6" s="89"/>
      <c r="DI6" s="89"/>
      <c r="DJ6" s="56"/>
      <c r="DK6" s="53">
        <f>HLOOKUP(H6,'GDP-PI'!$8:$9,2,FALSE)</f>
        <v>79.822000000000003</v>
      </c>
      <c r="DL6" s="298"/>
      <c r="DO6" s="27">
        <v>3.4390332219296701E-3</v>
      </c>
      <c r="DP6" s="27"/>
      <c r="DQ6" s="27"/>
      <c r="DR6" s="27"/>
      <c r="DS6" s="27"/>
      <c r="DT6" s="27"/>
      <c r="DU6" s="27"/>
      <c r="DV6" s="27"/>
      <c r="DW6" s="27"/>
      <c r="DX6" s="27"/>
      <c r="DY6" s="27"/>
      <c r="EC6" s="298">
        <f t="shared" si="20"/>
        <v>2001</v>
      </c>
    </row>
    <row r="7" spans="1:133" ht="21" customHeight="1" x14ac:dyDescent="0.4">
      <c r="A7" s="229" t="s">
        <v>148</v>
      </c>
      <c r="B7" s="391" t="s">
        <v>148</v>
      </c>
      <c r="C7" s="391">
        <v>4054707</v>
      </c>
      <c r="D7" s="391" t="s">
        <v>149</v>
      </c>
      <c r="E7" s="391"/>
      <c r="F7" s="391"/>
      <c r="G7" s="391" t="s">
        <v>158</v>
      </c>
      <c r="H7" s="11">
        <v>2002</v>
      </c>
      <c r="I7" s="46"/>
      <c r="J7" s="47"/>
      <c r="K7" s="47"/>
      <c r="M7" s="47"/>
      <c r="N7" s="47"/>
      <c r="O7" s="47"/>
      <c r="P7" s="47"/>
      <c r="Q7" s="47"/>
      <c r="R7" s="386"/>
      <c r="S7" s="119"/>
      <c r="T7" s="47"/>
      <c r="U7" s="47"/>
      <c r="V7" s="47"/>
      <c r="W7" s="47"/>
      <c r="X7" s="47"/>
      <c r="Y7" s="47"/>
      <c r="Z7" s="47"/>
      <c r="AA7" s="47"/>
      <c r="AB7" s="47"/>
      <c r="AC7" s="47">
        <f t="shared" si="14"/>
        <v>62926.151786213442</v>
      </c>
      <c r="AD7" s="46"/>
      <c r="AE7" s="73">
        <v>6702.2378984315137</v>
      </c>
      <c r="AF7" s="61">
        <v>3.4181348680475739E-2</v>
      </c>
      <c r="AG7" s="61"/>
      <c r="AH7" s="61"/>
      <c r="AI7" s="61"/>
      <c r="AJ7" s="46"/>
      <c r="AK7" s="61"/>
      <c r="AL7" s="46"/>
      <c r="AM7" s="46"/>
      <c r="AN7" s="46"/>
      <c r="AO7" s="46"/>
      <c r="AP7" s="73"/>
      <c r="AQ7" s="61"/>
      <c r="AR7" s="62">
        <f>AVERAGE(AR12:AR27)</f>
        <v>0.23409294025989869</v>
      </c>
      <c r="AS7" s="62">
        <f t="shared" ref="AS7" si="22">AVERAGE(AS12:AS27)</f>
        <v>0.33789426362539038</v>
      </c>
      <c r="AT7" s="62">
        <f>AVERAGE(AT12:AT27)</f>
        <v>0.42801279611471083</v>
      </c>
      <c r="AU7" s="62"/>
      <c r="AV7" s="62"/>
      <c r="AW7" s="61"/>
      <c r="AX7" s="62"/>
      <c r="AY7" s="62"/>
      <c r="AZ7" s="62"/>
      <c r="BA7" s="62"/>
      <c r="BB7" s="230">
        <f>IFERROR(INDEX('Total Customers'!$E$7:$AA$91,MATCH($C7,'Total Customers'!$C$7:$C$91,0),MATCH($G7,'Total Customers'!$E$5:$AA$5,0)),"NA")</f>
        <v>1519499</v>
      </c>
      <c r="BC7" s="392">
        <f t="shared" si="15"/>
        <v>-9.0696438916200196E-3</v>
      </c>
      <c r="BE7" s="281" t="str">
        <f t="shared" si="0"/>
        <v>ATLANTA GAS LIGHT COMPANY</v>
      </c>
      <c r="BF7" s="290">
        <f t="shared" si="1"/>
        <v>4054707</v>
      </c>
      <c r="BG7" s="46" t="str">
        <f t="shared" si="2"/>
        <v>GA</v>
      </c>
      <c r="BH7" s="46"/>
      <c r="BI7" s="46" t="str">
        <f t="shared" si="3"/>
        <v>2002 Y</v>
      </c>
      <c r="BJ7" s="46"/>
      <c r="BK7" s="46"/>
      <c r="BL7" s="46">
        <f>INDEX('Dist. Plant Gas Additions'!$E$7:$AD$91,MATCH($C7,'Dist. Plant Gas Additions'!$C$7:$C$91,0),MATCH(Calculation!$G7,'Dist. Plant Gas Additions'!$E$5:$AD$5,0))</f>
        <v>96943</v>
      </c>
      <c r="BM7" s="46">
        <f>INDEX('Gen. Plant Additions'!$E$7:$AD$91,MATCH($C7,'Gen. Plant Additions'!$C$7:$C$91,0),MATCH(Calculation!$G7,'Gen. Plant Additions'!$E$5:$AD$5,0))</f>
        <v>-2100</v>
      </c>
      <c r="BN7" s="393">
        <f t="shared" si="4"/>
        <v>0.92718414837139662</v>
      </c>
      <c r="BO7" s="46">
        <f t="shared" si="5"/>
        <v>-1947.0867115799329</v>
      </c>
      <c r="BP7" s="46">
        <f t="shared" si="6"/>
        <v>152.91328842006715</v>
      </c>
      <c r="BQ7" s="46">
        <f>INDEX('Dist Plant Depreciation'!$D$7:$AC$94,MATCH($C7,'Dist Plant Depreciation'!$C$7:$C$94,0),MATCH(Calculation!$G7,'Dist Plant Depreciation'!$D$5:$AC$5,0))</f>
        <v>651496.61451483332</v>
      </c>
      <c r="BR7" s="46"/>
      <c r="BS7" s="53">
        <v>1933</v>
      </c>
      <c r="BT7" s="53"/>
      <c r="BU7" s="51">
        <v>16.974635455849079</v>
      </c>
      <c r="BV7" s="62"/>
      <c r="BW7" s="46"/>
      <c r="BX7" s="46"/>
      <c r="BY7" s="46">
        <f>INDEX('Gross Dx Plant'!$D$7:$AC$91,MATCH($C7,'Gross Dx Plant'!$C$7:$C$91,0),MATCH(Calculation!$G7,'Gross Dx Plant'!$D$5:$AC$5,0))</f>
        <v>1941213</v>
      </c>
      <c r="BZ7" s="46">
        <f>INDEX('Gross Gen Plant'!$D$7:$AC$91,MATCH($C7,'Gross Gen Plant'!$C$7:$C$91,0),MATCH(Calculation!$G7,'Gross Gen Plant'!$D$5:$AC$5,0))</f>
        <v>152452</v>
      </c>
      <c r="CA7" s="46"/>
      <c r="CB7" s="46"/>
      <c r="CC7" s="73">
        <v>2002</v>
      </c>
      <c r="CD7" s="46"/>
      <c r="CE7" s="46"/>
      <c r="CF7" s="305"/>
      <c r="CG7" s="53"/>
      <c r="CH7" s="46">
        <f t="shared" si="7"/>
        <v>94843</v>
      </c>
      <c r="CI7" s="46">
        <f t="shared" si="16"/>
        <v>94995.913288420066</v>
      </c>
      <c r="CJ7" s="46">
        <f t="shared" si="8"/>
        <v>262.8930275470496</v>
      </c>
      <c r="CK7" s="443">
        <v>0.95918367346938771</v>
      </c>
      <c r="CL7" s="46">
        <f>+CL3*CK7+CJ4*CK6+CJ5*CK5+CJ6*CK4+CJ7</f>
        <v>6572.865714877149</v>
      </c>
      <c r="CM7" s="61">
        <f t="shared" si="17"/>
        <v>2.9469118737786321E-2</v>
      </c>
      <c r="CN7" s="56">
        <f t="shared" si="18"/>
        <v>1.1285290386472165E-2</v>
      </c>
      <c r="CO7" s="56">
        <f t="shared" ref="CO7:CO26" si="23">+(CN7+CN6+CN5)/3</f>
        <v>1.0457279154402081E-2</v>
      </c>
      <c r="CP7" s="61">
        <f>VLOOKUP($H7,RoR!$E:$F,2,FALSE)</f>
        <v>6.4916666666666664E-2</v>
      </c>
      <c r="CQ7" s="56">
        <v>1.5246423291824351E-2</v>
      </c>
      <c r="CR7" s="56">
        <f t="shared" si="19"/>
        <v>4.9670243374842313E-2</v>
      </c>
      <c r="CS7" s="56">
        <f t="shared" ref="CS7:CS25" si="24">+$CR$2-CO7</f>
        <v>2.0444662454131544E-2</v>
      </c>
      <c r="CT7" s="56">
        <f t="shared" ref="CT7:CT24" si="25">+((DF5/DF4-1)+(DF6/DF5-1)+(DF7/DF6-1))/3</f>
        <v>2.5243621214759093E-2</v>
      </c>
      <c r="CU7" s="96">
        <f t="shared" si="9"/>
        <v>0.87050000000000005</v>
      </c>
      <c r="CV7" s="58">
        <f t="shared" si="10"/>
        <v>0.78996741384417901</v>
      </c>
      <c r="CW7" s="58">
        <f t="shared" si="11"/>
        <v>0.58989088575096271</v>
      </c>
      <c r="CX7" s="58">
        <f t="shared" si="12"/>
        <v>0.91920675783645744</v>
      </c>
      <c r="CY7" s="58">
        <f t="shared" si="13"/>
        <v>0.42834536472275586</v>
      </c>
      <c r="CZ7" s="303">
        <f>INDEX('State Tax Lookup'!$D$7:$Z$91,MATCH(Calculation!$C7,'State Tax Lookup'!$B$7:$B$91,0),MATCH($H7,'State Tax Lookup'!$D$6:$Z$6,0))</f>
        <v>0.35</v>
      </c>
      <c r="DA7" s="303">
        <v>0.37</v>
      </c>
      <c r="DB7" s="57">
        <f t="shared" si="21"/>
        <v>9.8599494757445427</v>
      </c>
      <c r="DC7" s="56">
        <f t="shared" ref="DC7:DC27" si="26">LN(DB7/DB6)</f>
        <v>-3.8836978290155739E-4</v>
      </c>
      <c r="DD7" s="303">
        <f>VLOOKUP($H7,RoR!$E:$F,2,FALSE)</f>
        <v>6.4916666666666664E-2</v>
      </c>
      <c r="DE7" s="304">
        <f>HLOOKUP($H7,'GDP-PI'!$D$8:$CQ$11,3,FALSE)</f>
        <v>1.5246423291824351E-2</v>
      </c>
      <c r="DF7" s="303">
        <f>VLOOKUP(H7,'HW Dx Data'!$E:$F,2,FALSE)</f>
        <v>361.34816573413599</v>
      </c>
      <c r="DG7" s="89"/>
      <c r="DH7" s="89"/>
      <c r="DI7" s="89"/>
      <c r="DJ7" s="56"/>
      <c r="DK7" s="53">
        <f>HLOOKUP(H7,'GDP-PI'!$8:$9,2,FALSE)</f>
        <v>81.039000000000001</v>
      </c>
      <c r="DL7" s="355">
        <f>LN(DK7/DK6)</f>
        <v>1.513136459537477E-2</v>
      </c>
      <c r="DO7" s="27">
        <v>8.1307452597312275E-5</v>
      </c>
      <c r="DP7" s="27"/>
      <c r="DQ7" s="27"/>
      <c r="DR7" s="27"/>
      <c r="DS7" s="27"/>
      <c r="DT7" s="27"/>
      <c r="DU7" s="27"/>
      <c r="DV7" s="27"/>
      <c r="DW7" s="27"/>
      <c r="DX7" s="27"/>
      <c r="DY7" s="27"/>
      <c r="EC7" s="298">
        <f t="shared" si="20"/>
        <v>2002</v>
      </c>
    </row>
    <row r="8" spans="1:133" ht="21" customHeight="1" x14ac:dyDescent="0.4">
      <c r="A8" s="229" t="s">
        <v>148</v>
      </c>
      <c r="B8" s="391" t="s">
        <v>148</v>
      </c>
      <c r="C8" s="391">
        <v>4054707</v>
      </c>
      <c r="D8" s="391" t="s">
        <v>149</v>
      </c>
      <c r="E8" s="391"/>
      <c r="F8" s="391"/>
      <c r="G8" s="391" t="s">
        <v>159</v>
      </c>
      <c r="H8" s="11">
        <v>2003</v>
      </c>
      <c r="I8" s="46"/>
      <c r="J8" s="47"/>
      <c r="K8" s="47"/>
      <c r="M8" s="59"/>
      <c r="N8" s="59"/>
      <c r="O8" s="59"/>
      <c r="P8" s="59"/>
      <c r="Q8" s="59"/>
      <c r="R8" s="386"/>
      <c r="S8" s="119"/>
      <c r="T8" s="59"/>
      <c r="U8" s="59"/>
      <c r="V8" s="47"/>
      <c r="W8" s="47"/>
      <c r="X8" s="47"/>
      <c r="Y8" s="59"/>
      <c r="Z8" s="47"/>
      <c r="AA8" s="47"/>
      <c r="AB8" s="47"/>
      <c r="AC8" s="47">
        <f t="shared" si="14"/>
        <v>65329.000372622511</v>
      </c>
      <c r="AD8" s="46"/>
      <c r="AE8" s="73">
        <v>6890.4771690257439</v>
      </c>
      <c r="AF8" s="61">
        <v>2.7698852611096007E-2</v>
      </c>
      <c r="AG8" s="61"/>
      <c r="AH8" s="61"/>
      <c r="AI8" s="61"/>
      <c r="AJ8" s="46"/>
      <c r="AK8" s="61"/>
      <c r="AL8" s="46"/>
      <c r="AM8" s="46"/>
      <c r="AN8" s="46"/>
      <c r="AO8" s="46"/>
      <c r="AP8" s="73"/>
      <c r="AQ8" s="61"/>
      <c r="AR8" s="62"/>
      <c r="AS8" s="62"/>
      <c r="AT8" s="62"/>
      <c r="AU8" s="62"/>
      <c r="AV8" s="62"/>
      <c r="AW8" s="61"/>
      <c r="AX8" s="62"/>
      <c r="AY8" s="62"/>
      <c r="AZ8" s="62"/>
      <c r="BA8" s="62"/>
      <c r="BB8" s="230">
        <f>IFERROR(INDEX('Total Customers'!$E$7:$AA$91,MATCH($C8,'Total Customers'!$C$7:$C$91,0),MATCH($G8,'Total Customers'!$E$5:$AA$5,0)),"NA")</f>
        <v>1527668</v>
      </c>
      <c r="BC8" s="392">
        <f t="shared" si="15"/>
        <v>5.3617143859715994E-3</v>
      </c>
      <c r="BE8" s="281" t="str">
        <f t="shared" si="0"/>
        <v>ATLANTA GAS LIGHT COMPANY</v>
      </c>
      <c r="BF8" s="290">
        <f t="shared" si="1"/>
        <v>4054707</v>
      </c>
      <c r="BG8" s="46" t="str">
        <f t="shared" si="2"/>
        <v>GA</v>
      </c>
      <c r="BH8" s="46"/>
      <c r="BI8" s="46" t="str">
        <f t="shared" si="3"/>
        <v>2003 Y</v>
      </c>
      <c r="BJ8" s="46"/>
      <c r="BK8" s="46"/>
      <c r="BL8" s="46">
        <f>INDEX('Dist. Plant Gas Additions'!$E$7:$AD$91,MATCH($C8,'Dist. Plant Gas Additions'!$C$7:$C$91,0),MATCH(Calculation!$G8,'Dist. Plant Gas Additions'!$E$5:$AD$5,0))</f>
        <v>79948</v>
      </c>
      <c r="BM8" s="46">
        <f>INDEX('Gen. Plant Additions'!$E$7:$AD$91,MATCH($C8,'Gen. Plant Additions'!$C$7:$C$91,0),MATCH(Calculation!$G8,'Gen. Plant Additions'!$E$5:$AD$5,0))</f>
        <v>3554</v>
      </c>
      <c r="BN8" s="393">
        <f t="shared" si="4"/>
        <v>0.94135348367243399</v>
      </c>
      <c r="BO8" s="46">
        <f t="shared" si="5"/>
        <v>3345.5702809718305</v>
      </c>
      <c r="BP8" s="46">
        <f t="shared" si="6"/>
        <v>-208.42971902816953</v>
      </c>
      <c r="BQ8" s="46">
        <f>INDEX('Dist Plant Depreciation'!$D$7:$AC$94,MATCH($C8,'Dist Plant Depreciation'!$C$7:$C$94,0),MATCH(Calculation!$G8,'Dist Plant Depreciation'!$D$5:$AC$5,0))</f>
        <v>682507.85336573946</v>
      </c>
      <c r="BR8" s="46"/>
      <c r="BS8" s="53">
        <v>1934</v>
      </c>
      <c r="BT8" s="53"/>
      <c r="BU8" s="51">
        <v>17.42070759427811</v>
      </c>
      <c r="BV8" s="62"/>
      <c r="BW8" s="46"/>
      <c r="BX8" s="46"/>
      <c r="BY8" s="46">
        <f>INDEX('Gross Dx Plant'!$D$7:$AC$91,MATCH($C8,'Gross Dx Plant'!$C$7:$C$91,0),MATCH(Calculation!$G8,'Gross Dx Plant'!$D$5:$AC$5,0))</f>
        <v>2005820</v>
      </c>
      <c r="BZ8" s="46">
        <f>INDEX('Gross Gen Plant'!$D$7:$AC$91,MATCH($C8,'Gross Gen Plant'!$C$7:$C$91,0),MATCH(Calculation!$G8,'Gross Gen Plant'!$D$5:$AC$5,0))</f>
        <v>124963</v>
      </c>
      <c r="CA8" s="46"/>
      <c r="CB8" s="46"/>
      <c r="CC8" s="73">
        <v>2003</v>
      </c>
      <c r="CD8" s="46"/>
      <c r="CE8" s="46"/>
      <c r="CF8" s="46"/>
      <c r="CG8" s="53"/>
      <c r="CH8" s="46">
        <f t="shared" si="7"/>
        <v>83502</v>
      </c>
      <c r="CI8" s="46">
        <f t="shared" si="16"/>
        <v>83293.570280971835</v>
      </c>
      <c r="CJ8" s="46">
        <f t="shared" si="8"/>
        <v>225.58538323916926</v>
      </c>
      <c r="CK8" s="443">
        <v>0.94845360824742264</v>
      </c>
      <c r="CL8" s="46">
        <f>+CL3*CK8+CJ4*CK7+CJ5*CK6+CJ6*CK5+CJ7*CK4+CJ8</f>
        <v>6725.8640096074587</v>
      </c>
      <c r="CM8" s="61">
        <f t="shared" si="17"/>
        <v>2.3010475234926751E-2</v>
      </c>
      <c r="CN8" s="56">
        <f t="shared" si="18"/>
        <v>1.1043446140176664E-2</v>
      </c>
      <c r="CO8" s="56">
        <f t="shared" si="23"/>
        <v>1.0744085769453864E-2</v>
      </c>
      <c r="CP8" s="61">
        <f>VLOOKUP($H8,RoR!$E:$F,2,FALSE)</f>
        <v>5.6666666666666671E-2</v>
      </c>
      <c r="CQ8" s="56">
        <v>1.8855119140166909E-2</v>
      </c>
      <c r="CR8" s="56">
        <f t="shared" si="19"/>
        <v>3.7811547526499761E-2</v>
      </c>
      <c r="CS8" s="56">
        <f t="shared" si="24"/>
        <v>2.0157855839079759E-2</v>
      </c>
      <c r="CT8" s="56">
        <f t="shared" si="25"/>
        <v>2.1375012817671957E-2</v>
      </c>
      <c r="CU8" s="96">
        <f t="shared" si="9"/>
        <v>0.87050000000000005</v>
      </c>
      <c r="CV8" s="58">
        <f t="shared" si="10"/>
        <v>0.90497737556561086</v>
      </c>
      <c r="CW8" s="58">
        <f t="shared" si="11"/>
        <v>0.5338235294117647</v>
      </c>
      <c r="CX8" s="58">
        <f t="shared" si="12"/>
        <v>0.88972433127405692</v>
      </c>
      <c r="CY8" s="58">
        <f t="shared" si="13"/>
        <v>0.42982423775949252</v>
      </c>
      <c r="CZ8" s="303">
        <f>INDEX('State Tax Lookup'!$D$7:$Z$91,MATCH(Calculation!$C8,'State Tax Lookup'!$B$7:$B$91,0),MATCH($H8,'State Tax Lookup'!$D$6:$Z$6,0))</f>
        <v>0.35</v>
      </c>
      <c r="DA8" s="303">
        <v>0.37</v>
      </c>
      <c r="DB8" s="57">
        <f t="shared" si="21"/>
        <v>9.9391959620832679</v>
      </c>
      <c r="DC8" s="56">
        <f t="shared" si="26"/>
        <v>8.005083832773166E-3</v>
      </c>
      <c r="DD8" s="303">
        <f>VLOOKUP($H8,RoR!$E:$F,2,FALSE)</f>
        <v>5.6666666666666671E-2</v>
      </c>
      <c r="DE8" s="304">
        <f>HLOOKUP($H8,'GDP-PI'!$D$8:$CQ$11,3,FALSE)</f>
        <v>1.8855119140166909E-2</v>
      </c>
      <c r="DF8" s="303">
        <f>VLOOKUP(H8,'HW Dx Data'!$E:$F,2,FALSE)</f>
        <v>369.23301095560191</v>
      </c>
      <c r="DG8" s="89">
        <f ca="1">VLOOKUP(CC8,'ECI - Input Price'!M$13:N$33,2,FALSE)</f>
        <v>89.25</v>
      </c>
      <c r="DH8" s="89"/>
      <c r="DI8" s="89" t="b">
        <f ca="1">DG8=DH8</f>
        <v>0</v>
      </c>
      <c r="DJ8" s="56"/>
      <c r="DK8" s="53">
        <f>HLOOKUP(H8,'GDP-PI'!$8:$9,2,FALSE)</f>
        <v>82.566999999999993</v>
      </c>
      <c r="DL8" s="355">
        <f t="shared" ref="DL8:DL27" si="27">LN(DK8/DK7)</f>
        <v>1.8679564681853753E-2</v>
      </c>
      <c r="DO8" s="27">
        <v>5.2482057898802836E-2</v>
      </c>
      <c r="DP8" s="27"/>
      <c r="DQ8" s="27"/>
      <c r="DR8" s="27"/>
      <c r="DS8" s="27"/>
      <c r="DT8" s="27"/>
      <c r="DU8" s="27"/>
      <c r="DV8" s="27"/>
      <c r="DW8" s="27"/>
      <c r="DX8" s="27"/>
      <c r="DY8" s="27"/>
      <c r="EC8" s="298">
        <f t="shared" si="20"/>
        <v>2003</v>
      </c>
    </row>
    <row r="9" spans="1:133" ht="21" customHeight="1" x14ac:dyDescent="0.4">
      <c r="A9" s="229" t="s">
        <v>148</v>
      </c>
      <c r="B9" s="391" t="s">
        <v>148</v>
      </c>
      <c r="C9" s="391">
        <v>4054707</v>
      </c>
      <c r="D9" s="391" t="s">
        <v>149</v>
      </c>
      <c r="E9" s="391"/>
      <c r="F9" s="391"/>
      <c r="G9" s="391" t="s">
        <v>160</v>
      </c>
      <c r="H9" s="11">
        <v>2004</v>
      </c>
      <c r="I9" s="46"/>
      <c r="J9" s="47">
        <f>IFERROR(INDEX('Labor Expenditures'!$E$7:$W$91,MATCH($C9,'Labor Expenditures'!$C$7:$C$91,0),MATCH($G9,'Labor Expenditures'!$E$5:$W$5,0)),"NA")</f>
        <v>71776.325745732305</v>
      </c>
      <c r="K9" s="47">
        <f t="shared" ref="K9:K27" ca="1" si="28">+J9/DG9</f>
        <v>760.74537091396189</v>
      </c>
      <c r="M9" s="59"/>
      <c r="N9" s="59"/>
      <c r="O9" s="59"/>
      <c r="P9" s="59"/>
      <c r="Q9" s="59"/>
      <c r="R9" s="386"/>
      <c r="S9" s="119"/>
      <c r="T9" s="59"/>
      <c r="U9" s="59"/>
      <c r="V9" s="47">
        <f>IFERROR(INDEX('Non-Labor Expenditures'!$E$7:$AA$91,MATCH($C9,'Non-Labor Expenditures'!$C$7:$C$91,0),MATCH($G9,'Non-Labor Expenditures'!$E$5:$AA$5,0)),"NA")</f>
        <v>103945.52564825716</v>
      </c>
      <c r="W9" s="47">
        <v>0</v>
      </c>
      <c r="X9" s="47"/>
      <c r="Y9" s="59"/>
      <c r="Z9" s="47"/>
      <c r="AA9" s="47"/>
      <c r="AB9" s="47"/>
      <c r="AC9" s="47">
        <f t="shared" si="14"/>
        <v>73028.162809426532</v>
      </c>
      <c r="AD9" s="46"/>
      <c r="AE9" s="73">
        <v>7072.9298540189948</v>
      </c>
      <c r="AF9" s="61">
        <v>2.6134462646072037E-2</v>
      </c>
      <c r="AG9" s="61"/>
      <c r="AH9" s="61"/>
      <c r="AI9" s="61"/>
      <c r="AJ9" s="46">
        <f t="shared" ref="AJ9:AJ27" si="29">+J9+V9+AC9</f>
        <v>248750.01420341601</v>
      </c>
      <c r="AK9" s="61"/>
      <c r="AL9" s="46"/>
      <c r="AM9" s="46"/>
      <c r="AN9" s="46"/>
      <c r="AO9" s="73">
        <f>+(Outputs!F12*1000)/Outputs!E12</f>
        <v>256.39404701280364</v>
      </c>
      <c r="AP9" s="73"/>
      <c r="AQ9" s="61"/>
      <c r="AR9" s="62">
        <f t="shared" ref="AR9:AR27" si="30">+J9/AJ9</f>
        <v>0.28854802672307395</v>
      </c>
      <c r="AS9" s="62">
        <f t="shared" ref="AS9:AS27" si="31">+V9/AJ9</f>
        <v>0.41787143603238319</v>
      </c>
      <c r="AT9" s="62">
        <f t="shared" ref="AT9:AT27" si="32">+AC9/AJ9</f>
        <v>0.29358053724454286</v>
      </c>
      <c r="AU9" s="62"/>
      <c r="AV9" s="62"/>
      <c r="AW9" s="61"/>
      <c r="AX9" s="62"/>
      <c r="AY9" s="62"/>
      <c r="AZ9" s="49"/>
      <c r="BA9" s="62"/>
      <c r="BB9" s="230">
        <f>IFERROR(INDEX('Total Customers'!$E$7:$AA$91,MATCH($C9,'Total Customers'!$C$7:$C$91,0),MATCH($G9,'Total Customers'!$E$5:$AA$5,0)),"NA")</f>
        <v>1532615</v>
      </c>
      <c r="BC9" s="392">
        <f t="shared" si="15"/>
        <v>3.2330371466000938E-3</v>
      </c>
      <c r="BE9" s="281" t="str">
        <f t="shared" si="0"/>
        <v>ATLANTA GAS LIGHT COMPANY</v>
      </c>
      <c r="BF9" s="290">
        <f t="shared" si="1"/>
        <v>4054707</v>
      </c>
      <c r="BG9" s="46" t="str">
        <f t="shared" si="2"/>
        <v>GA</v>
      </c>
      <c r="BH9" s="46"/>
      <c r="BI9" s="46" t="str">
        <f t="shared" si="3"/>
        <v>2004 Y</v>
      </c>
      <c r="BJ9" s="46"/>
      <c r="BK9" s="46"/>
      <c r="BL9" s="46">
        <f>INDEX('Dist. Plant Gas Additions'!$E$7:$AD$91,MATCH($C9,'Dist. Plant Gas Additions'!$C$7:$C$91,0),MATCH(Calculation!$G9,'Dist. Plant Gas Additions'!$E$5:$AD$5,0))</f>
        <v>89428</v>
      </c>
      <c r="BM9" s="46">
        <f>INDEX('Gen. Plant Additions'!$E$7:$AD$91,MATCH($C9,'Gen. Plant Additions'!$C$7:$C$91,0),MATCH(Calculation!$G9,'Gen. Plant Additions'!$E$5:$AD$5,0))</f>
        <v>2969</v>
      </c>
      <c r="BN9" s="393">
        <f t="shared" si="4"/>
        <v>0.94774990256667224</v>
      </c>
      <c r="BO9" s="46">
        <f t="shared" si="5"/>
        <v>2813.8694607204498</v>
      </c>
      <c r="BP9" s="46">
        <f t="shared" si="6"/>
        <v>-155.13053927955025</v>
      </c>
      <c r="BQ9" s="46">
        <f>INDEX('Dist Plant Depreciation'!$D$7:$AC$94,MATCH($C9,'Dist Plant Depreciation'!$C$7:$C$94,0),MATCH(Calculation!$G9,'Dist Plant Depreciation'!$D$5:$AC$5,0))</f>
        <v>714995.22718594875</v>
      </c>
      <c r="BR9" s="46"/>
      <c r="BS9" s="53">
        <v>1935</v>
      </c>
      <c r="BT9" s="53"/>
      <c r="BU9" s="51">
        <v>17.500869601009402</v>
      </c>
      <c r="BV9" s="62"/>
      <c r="BW9" s="46"/>
      <c r="BX9" s="46"/>
      <c r="BY9" s="46">
        <f>INDEX('Gross Dx Plant'!$D$7:$AC$91,MATCH($C9,'Gross Dx Plant'!$C$7:$C$91,0),MATCH(Calculation!$G9,'Gross Dx Plant'!$D$5:$AC$5,0))</f>
        <v>2127817</v>
      </c>
      <c r="BZ9" s="46">
        <f>INDEX('Gross Gen Plant'!$D$7:$AC$91,MATCH($C9,'Gross Gen Plant'!$C$7:$C$91,0),MATCH(Calculation!$G9,'Gross Gen Plant'!$D$5:$AC$5,0))</f>
        <v>117308</v>
      </c>
      <c r="CA9" s="46"/>
      <c r="CB9" s="46"/>
      <c r="CC9" s="73">
        <v>2004</v>
      </c>
      <c r="CD9" s="46"/>
      <c r="CE9" s="46"/>
      <c r="CF9" s="46"/>
      <c r="CG9" s="53"/>
      <c r="CH9" s="46">
        <f t="shared" si="7"/>
        <v>92397</v>
      </c>
      <c r="CI9" s="46">
        <f t="shared" si="16"/>
        <v>92241.869460720452</v>
      </c>
      <c r="CJ9" s="46">
        <f t="shared" si="8"/>
        <v>222.33000049981592</v>
      </c>
      <c r="CK9" s="443">
        <v>0.9375</v>
      </c>
      <c r="CL9" s="46">
        <f>+CL3*CK9+CJ4*CK8+CJ5*CK7+CJ6*CK6+CJ7*CK5+CJ8*CK4+CJ9</f>
        <v>6871.8673297733403</v>
      </c>
      <c r="CM9" s="61">
        <f t="shared" si="17"/>
        <v>2.1475484083225145E-2</v>
      </c>
      <c r="CN9" s="56">
        <f t="shared" si="18"/>
        <v>1.1348234252864256E-2</v>
      </c>
      <c r="CO9" s="56">
        <f t="shared" si="23"/>
        <v>1.1225656926504362E-2</v>
      </c>
      <c r="CP9" s="61">
        <f>VLOOKUP($H9,RoR!$E:$F,2,FALSE)</f>
        <v>5.6283333333333331E-2</v>
      </c>
      <c r="CQ9" s="56">
        <v>2.6778252812867276E-2</v>
      </c>
      <c r="CR9" s="56">
        <f t="shared" si="19"/>
        <v>2.9505080520466055E-2</v>
      </c>
      <c r="CS9" s="56">
        <f t="shared" si="24"/>
        <v>1.9676284682029262E-2</v>
      </c>
      <c r="CT9" s="56">
        <f t="shared" si="25"/>
        <v>5.5940039414565046E-2</v>
      </c>
      <c r="CU9" s="96">
        <f t="shared" si="9"/>
        <v>0.87050000000000005</v>
      </c>
      <c r="CV9" s="58">
        <f t="shared" si="10"/>
        <v>0.91114097628755619</v>
      </c>
      <c r="CW9" s="58">
        <f t="shared" si="11"/>
        <v>0.53081877405981637</v>
      </c>
      <c r="CX9" s="58">
        <f t="shared" si="12"/>
        <v>0.88811215519385678</v>
      </c>
      <c r="CY9" s="58">
        <f t="shared" si="13"/>
        <v>0.42953609753547711</v>
      </c>
      <c r="CZ9" s="303">
        <f>INDEX('State Tax Lookup'!$D$7:$Z$91,MATCH(Calculation!$C9,'State Tax Lookup'!$B$7:$B$91,0),MATCH($H9,'State Tax Lookup'!$D$6:$Z$6,0))</f>
        <v>0.35</v>
      </c>
      <c r="DA9" s="303">
        <v>0.37</v>
      </c>
      <c r="DB9" s="57">
        <f t="shared" si="21"/>
        <v>10.857811383802968</v>
      </c>
      <c r="DC9" s="56">
        <f t="shared" si="26"/>
        <v>8.8398635888974661E-2</v>
      </c>
      <c r="DD9" s="303">
        <f>VLOOKUP($H9,RoR!$E:$F,2,FALSE)</f>
        <v>5.6283333333333331E-2</v>
      </c>
      <c r="DE9" s="304">
        <f>HLOOKUP($H9,'GDP-PI'!$D$8:$CQ$11,3,FALSE)</f>
        <v>2.6778252812867276E-2</v>
      </c>
      <c r="DF9" s="303">
        <f>VLOOKUP(H9,'HW Dx Data'!$E:$F,2,FALSE)</f>
        <v>414.88719135228365</v>
      </c>
      <c r="DG9" s="89">
        <f ca="1">VLOOKUP(CC9,'ECI - Input Price'!M$13:N$33,2,FALSE)</f>
        <v>94.35</v>
      </c>
      <c r="DH9" s="89"/>
      <c r="DI9" s="89" t="b">
        <f t="shared" ref="DI9:DI27" ca="1" si="33">DG9=DH9</f>
        <v>0</v>
      </c>
      <c r="DJ9" s="56">
        <f t="shared" ref="DJ9:DJ27" ca="1" si="34">LN(DG9/DG8)</f>
        <v>5.5569851154810786E-2</v>
      </c>
      <c r="DK9" s="53">
        <f>HLOOKUP(H9,'GDP-PI'!$8:$9,2,FALSE)</f>
        <v>84.778000000000006</v>
      </c>
      <c r="DL9" s="355">
        <f t="shared" si="27"/>
        <v>2.6425990216022755E-2</v>
      </c>
      <c r="DO9" s="27">
        <v>7.3928096917723254E-3</v>
      </c>
      <c r="DP9" s="27"/>
      <c r="DQ9" s="27"/>
      <c r="DR9" s="27"/>
      <c r="DS9" s="27"/>
      <c r="DT9" s="27"/>
      <c r="DU9" s="27"/>
      <c r="DV9" s="27"/>
      <c r="DW9" s="27"/>
      <c r="DX9" s="27"/>
      <c r="DY9" s="27"/>
      <c r="EC9" s="298">
        <f t="shared" si="20"/>
        <v>2004</v>
      </c>
    </row>
    <row r="10" spans="1:133" ht="21" customHeight="1" x14ac:dyDescent="0.4">
      <c r="A10" s="229" t="s">
        <v>148</v>
      </c>
      <c r="B10" s="391" t="s">
        <v>148</v>
      </c>
      <c r="C10" s="391">
        <v>4054707</v>
      </c>
      <c r="D10" s="391" t="s">
        <v>149</v>
      </c>
      <c r="E10" s="391"/>
      <c r="F10" s="391"/>
      <c r="G10" s="391" t="s">
        <v>161</v>
      </c>
      <c r="H10" s="11">
        <v>2005</v>
      </c>
      <c r="I10" s="46"/>
      <c r="J10" s="47">
        <f>IFERROR(INDEX('Labor Expenditures'!$E$7:$W$91,MATCH($C10,'Labor Expenditures'!$C$7:$C$91,0),MATCH($G10,'Labor Expenditures'!$E$5:$W$5,0)),"NA")</f>
        <v>69488.661869120464</v>
      </c>
      <c r="K10" s="47">
        <f t="shared" ca="1" si="28"/>
        <v>700.31405259884571</v>
      </c>
      <c r="M10" s="59">
        <f ca="1">LN(K10/K9)</f>
        <v>-8.2769822859315445E-2</v>
      </c>
      <c r="N10" s="59"/>
      <c r="O10" s="59"/>
      <c r="P10" s="59"/>
      <c r="Q10" s="61"/>
      <c r="R10" s="387"/>
      <c r="S10" s="49">
        <v>100</v>
      </c>
      <c r="T10" s="46"/>
      <c r="U10" s="46"/>
      <c r="V10" s="47">
        <f>IFERROR(INDEX('Non-Labor Expenditures'!$E$7:$AA$91,MATCH($C10,'Non-Labor Expenditures'!$C$7:$C$91,0),MATCH($G10,'Non-Labor Expenditures'!$E$5:$AA$5,0)),"NA")</f>
        <v>100632.56107824939</v>
      </c>
      <c r="W10" s="47">
        <f t="shared" ref="W10:W27" si="35">+V10/DK10</f>
        <v>1151.3100904761563</v>
      </c>
      <c r="X10" s="59"/>
      <c r="Y10" s="59"/>
      <c r="Z10" s="49">
        <v>100</v>
      </c>
      <c r="AA10" s="46">
        <f t="shared" ref="AA10:AA26" si="36">+Y10+Y35+Y60+Y85+Y110+Y135+Y160+Y185+Y210+Y235+Y260+Y285+Y310+Y335+Y360+Y385+Y410+Y435+Y460+Y485+Y510+Y535+Y560+Y585+Y610+Y635+Y660+Y685+Y710+Y735+Y760+Y785+Y810+Y835+Y860+Y885+Y910+Y935+Y960+Y985+Y1010+Y1035+Y1060+Y1085+Y1110+Y1135+Y1160+Y1185+Y1210+Y1235+Y1260+Y1285+Y1310+Y1335</f>
        <v>0</v>
      </c>
      <c r="AB10" s="46"/>
      <c r="AC10" s="47">
        <f t="shared" si="14"/>
        <v>83576.97632671053</v>
      </c>
      <c r="AD10" s="46"/>
      <c r="AE10" s="73">
        <v>7375.7075519474301</v>
      </c>
      <c r="AF10" s="61">
        <v>4.1917036296246747E-2</v>
      </c>
      <c r="AG10" s="61"/>
      <c r="AH10" s="49">
        <v>100</v>
      </c>
      <c r="AI10" s="46">
        <f t="shared" ref="AI10:AI27" si="37">+AG10+AG35+AG60+AG85+AG110+AG135+AG160+AG185+AG210+AG235+AG260+AG285+AG310+AG335+AG360+AG385+AG410+AG435+AG460+AG485+AG510+AG535+AG560+AG585+AG610+AG635+AG660+AG685+AG710+AG735+AG760+AG785+AG810+AG835+AG860+AG885+AG910+AG935+AG960+AG985+AG1010+AG1035+AG1060+AG1085+AG1110+AG1135+AG1160+AG1185+AG1210+AG1235+AG1260+AG1285+AG1310+AG1335</f>
        <v>0</v>
      </c>
      <c r="AJ10" s="46">
        <f t="shared" si="29"/>
        <v>253698.1992740804</v>
      </c>
      <c r="AK10" s="61">
        <f>LN(AJ10/AJ9)</f>
        <v>1.9696935586767654E-2</v>
      </c>
      <c r="AL10" s="129">
        <f t="shared" ref="AL10:AL26" si="38">+AJ10+AJ35+AJ60+AJ85+AJ110+AJ135+AJ160+AJ185+AJ210+AJ235+AJ260+AJ285+AJ310+AJ335+AJ360+AJ385+AJ410+AJ435+AJ460+AJ485+AJ510+AJ535+AJ560+AJ585+AJ610+AJ635+AJ660+AJ685+AJ710+AJ735+AJ760+AJ785+AJ810+AJ835+AJ860+AJ885+AJ910+AJ935+AJ960+AJ985+AJ1010+AJ1035+AJ1060+AJ1085+AJ1110+AJ1135+AJ1160+AJ1185+AJ1210+AJ1235+AJ1260+AJ1285+AJ1310+AJ1335</f>
        <v>7417170.530093574</v>
      </c>
      <c r="AM10" s="46"/>
      <c r="AN10" s="46">
        <f>+AL10*1000/Outputs!B13</f>
        <v>216.2809011149123</v>
      </c>
      <c r="AO10" s="73">
        <f>+(Outputs!F13*1000)/Outputs!E13</f>
        <v>289.88035475436254</v>
      </c>
      <c r="AP10" s="73"/>
      <c r="AQ10" s="61"/>
      <c r="AR10" s="62">
        <f t="shared" si="30"/>
        <v>0.27390285807290676</v>
      </c>
      <c r="AS10" s="62">
        <f t="shared" si="31"/>
        <v>0.39666249648674873</v>
      </c>
      <c r="AT10" s="62">
        <f t="shared" si="32"/>
        <v>0.32943464544034445</v>
      </c>
      <c r="AU10" s="62"/>
      <c r="AV10" s="49">
        <v>100</v>
      </c>
      <c r="AW10" s="61"/>
      <c r="AY10" s="62"/>
      <c r="AZ10" s="49">
        <v>100</v>
      </c>
      <c r="BA10" s="61"/>
      <c r="BB10" s="230">
        <f>IFERROR(INDEX('Total Customers'!$E$7:$AA$91,MATCH($C10,'Total Customers'!$C$7:$C$91,0),MATCH($G10,'Total Customers'!$E$5:$AA$5,0)),"NA")</f>
        <v>1546746</v>
      </c>
      <c r="BC10" s="392">
        <f t="shared" si="15"/>
        <v>9.1779425622112217E-3</v>
      </c>
      <c r="BE10" s="281" t="str">
        <f t="shared" si="0"/>
        <v>ATLANTA GAS LIGHT COMPANY</v>
      </c>
      <c r="BF10" s="290">
        <f t="shared" si="1"/>
        <v>4054707</v>
      </c>
      <c r="BG10" s="46" t="str">
        <f t="shared" si="2"/>
        <v>GA</v>
      </c>
      <c r="BH10" s="46"/>
      <c r="BI10" s="46" t="str">
        <f t="shared" si="3"/>
        <v>2005 Y</v>
      </c>
      <c r="BJ10" s="46"/>
      <c r="BK10" s="46"/>
      <c r="BL10" s="46">
        <f>INDEX('Dist. Plant Gas Additions'!$E$7:$AD$91,MATCH($C10,'Dist. Plant Gas Additions'!$C$7:$C$91,0),MATCH(Calculation!$G10,'Dist. Plant Gas Additions'!$E$5:$AD$5,0))</f>
        <v>156227</v>
      </c>
      <c r="BM10" s="46">
        <f>INDEX('Gen. Plant Additions'!$E$7:$AD$91,MATCH($C10,'Gen. Plant Additions'!$C$7:$C$91,0),MATCH(Calculation!$G10,'Gen. Plant Additions'!$E$5:$AD$5,0))</f>
        <v>5858</v>
      </c>
      <c r="BN10" s="393">
        <f t="shared" si="4"/>
        <v>0.94969603390959711</v>
      </c>
      <c r="BO10" s="46">
        <f t="shared" si="5"/>
        <v>5563.3193666424195</v>
      </c>
      <c r="BP10" s="46">
        <f t="shared" si="6"/>
        <v>-294.68063335758052</v>
      </c>
      <c r="BQ10" s="46">
        <f>INDEX('Dist Plant Depreciation'!$D$7:$AC$94,MATCH($C10,'Dist Plant Depreciation'!$C$7:$C$94,0),MATCH(Calculation!$G10,'Dist Plant Depreciation'!$D$5:$AC$5,0))</f>
        <v>749029</v>
      </c>
      <c r="BR10" s="46">
        <f>INDEX('Gen. Plant Depreciation'!$D$7:$AC$94,MATCH($C10,'Gen. Plant Depreciation'!$C$7:$C$94,0),MATCH(Calculation!$G10,'Gen. Plant Depreciation'!$D$5:$AC$5,0))</f>
        <v>40574</v>
      </c>
      <c r="BS10" s="53">
        <v>1936</v>
      </c>
      <c r="BT10" s="53"/>
      <c r="BU10" s="51">
        <v>17.821529898624249</v>
      </c>
      <c r="BV10" s="62"/>
      <c r="BW10" s="46"/>
      <c r="BX10" s="46"/>
      <c r="BY10" s="46">
        <f>INDEX('Gross Dx Plant'!$D$7:$AC$91,MATCH($C10,'Gross Dx Plant'!$C$7:$C$91,0),MATCH(Calculation!$G10,'Gross Dx Plant'!$D$5:$AC$5,0))</f>
        <v>2235159</v>
      </c>
      <c r="BZ10" s="46">
        <f>INDEX('Gross Gen Plant'!$D$7:$AC$91,MATCH($C10,'Gross Gen Plant'!$C$7:$C$91,0),MATCH(Calculation!$G10,'Gross Gen Plant'!$D$5:$AC$5,0))</f>
        <v>118393</v>
      </c>
      <c r="CA10" s="46">
        <f t="shared" ref="CA10:CA71" si="39">IF(OR(BQ10="NA",BR10="NA"),"NA",(SUM(BY10:BZ10)-SUM(BQ10:BR10)))</f>
        <v>1563949</v>
      </c>
      <c r="CB10" s="46"/>
      <c r="CC10" s="73">
        <v>2005</v>
      </c>
      <c r="CD10" s="46"/>
      <c r="CE10" s="46"/>
      <c r="CF10" s="46"/>
      <c r="CG10" s="53"/>
      <c r="CH10" s="46">
        <f t="shared" si="7"/>
        <v>162085</v>
      </c>
      <c r="CI10" s="46">
        <f t="shared" si="16"/>
        <v>161790.31936664242</v>
      </c>
      <c r="CJ10" s="46">
        <f t="shared" si="8"/>
        <v>344.81787485571016</v>
      </c>
      <c r="CK10" s="443">
        <v>0.9263157894736842</v>
      </c>
      <c r="CL10" s="46">
        <f>+CL3*CK10+CJ4*CK9+CJ5*CK8+CJ6*CK7+CJ7*CK6+CJ8*CK5+CJ9*CK4+CJ10</f>
        <v>7136.5591241881493</v>
      </c>
      <c r="CM10" s="61">
        <f t="shared" si="17"/>
        <v>3.7794866229464021E-2</v>
      </c>
      <c r="CN10" s="56">
        <f t="shared" si="18"/>
        <v>1.1660015625409928E-2</v>
      </c>
      <c r="CO10" s="56">
        <f t="shared" si="23"/>
        <v>1.1350565339483615E-2</v>
      </c>
      <c r="CP10" s="61">
        <f>VLOOKUP($H10,RoR!$E:$F,2,FALSE)</f>
        <v>5.2350000000000001E-2</v>
      </c>
      <c r="CQ10" s="56">
        <v>3.1010403642454332E-2</v>
      </c>
      <c r="CR10" s="56">
        <f t="shared" si="19"/>
        <v>2.1339596357545669E-2</v>
      </c>
      <c r="CS10" s="56">
        <f t="shared" si="24"/>
        <v>1.955137626905001E-2</v>
      </c>
      <c r="CT10" s="56">
        <f t="shared" si="25"/>
        <v>9.2129610649277341E-2</v>
      </c>
      <c r="CU10" s="96">
        <f t="shared" si="9"/>
        <v>0.87050000000000005</v>
      </c>
      <c r="CV10" s="58">
        <f t="shared" si="10"/>
        <v>0.97959983346802826</v>
      </c>
      <c r="CW10" s="58">
        <f t="shared" si="11"/>
        <v>0.49744508118433622</v>
      </c>
      <c r="CX10" s="58">
        <f t="shared" si="12"/>
        <v>0.87010519444335932</v>
      </c>
      <c r="CY10" s="58">
        <f t="shared" si="13"/>
        <v>0.42399975420741998</v>
      </c>
      <c r="CZ10" s="303">
        <f>INDEX('State Tax Lookup'!$D$7:$Z$91,MATCH(Calculation!$C10,'State Tax Lookup'!$B$7:$B$91,0),MATCH($H10,'State Tax Lookup'!$D$6:$Z$6,0))</f>
        <v>0.35</v>
      </c>
      <c r="DA10" s="303">
        <v>0.37</v>
      </c>
      <c r="DB10" s="57">
        <f t="shared" si="21"/>
        <v>12.162192940571105</v>
      </c>
      <c r="DC10" s="56">
        <f t="shared" si="26"/>
        <v>0.11344743662679498</v>
      </c>
      <c r="DD10" s="303">
        <f>VLOOKUP($H10,RoR!$E:$F,2,FALSE)</f>
        <v>5.2350000000000001E-2</v>
      </c>
      <c r="DE10" s="304">
        <f>HLOOKUP($H10,'GDP-PI'!$D$8:$CQ$11,3,FALSE)</f>
        <v>3.1010403642454332E-2</v>
      </c>
      <c r="DF10" s="303">
        <f>VLOOKUP(H10,'HW Dx Data'!$E:$F,2,FALSE)</f>
        <v>469.20514034936258</v>
      </c>
      <c r="DG10" s="89">
        <f ca="1">VLOOKUP(CC10,'ECI - Input Price'!M$13:N$33,2,FALSE)</f>
        <v>99.224999999999994</v>
      </c>
      <c r="DH10" s="89"/>
      <c r="DI10" s="89" t="b">
        <f t="shared" ca="1" si="33"/>
        <v>0</v>
      </c>
      <c r="DJ10" s="56">
        <f t="shared" ca="1" si="34"/>
        <v>5.0378726854569796E-2</v>
      </c>
      <c r="DK10" s="53">
        <f>HLOOKUP(H10,'GDP-PI'!$8:$9,2,FALSE)</f>
        <v>87.406999999999996</v>
      </c>
      <c r="DL10" s="355">
        <f t="shared" si="27"/>
        <v>3.0539295810733648E-2</v>
      </c>
      <c r="DO10" s="27">
        <v>4.4391290945732563E-3</v>
      </c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EC10" s="298">
        <f t="shared" si="20"/>
        <v>2005</v>
      </c>
    </row>
    <row r="11" spans="1:133" ht="21" customHeight="1" x14ac:dyDescent="0.4">
      <c r="A11" s="229" t="s">
        <v>148</v>
      </c>
      <c r="B11" s="391" t="s">
        <v>148</v>
      </c>
      <c r="C11" s="391">
        <v>4054707</v>
      </c>
      <c r="D11" s="391" t="s">
        <v>149</v>
      </c>
      <c r="E11" s="391"/>
      <c r="F11" s="391"/>
      <c r="G11" s="391" t="s">
        <v>162</v>
      </c>
      <c r="H11" s="11">
        <v>2006</v>
      </c>
      <c r="I11" s="46"/>
      <c r="J11" s="47">
        <f>IFERROR(INDEX('Labor Expenditures'!$E$7:$W$91,MATCH($C11,'Labor Expenditures'!$C$7:$C$91,0),MATCH($G11,'Labor Expenditures'!$E$5:$W$5,0)),"NA")</f>
        <v>65146.641191404371</v>
      </c>
      <c r="K11" s="47">
        <f t="shared" ca="1" si="28"/>
        <v>595.49032167645669</v>
      </c>
      <c r="M11" s="59">
        <f t="shared" ref="M11:M26" ca="1" si="40">LN(K11/K10)</f>
        <v>-0.1621437447706035</v>
      </c>
      <c r="N11" s="59"/>
      <c r="O11" s="59"/>
      <c r="P11" s="59">
        <f t="shared" ref="P11:P27" ca="1" si="41">+M11*$AX11</f>
        <v>-5.4002471721520942E-3</v>
      </c>
      <c r="Q11" s="61"/>
      <c r="R11" s="387"/>
      <c r="S11" s="49">
        <f ca="1">+S10*EXP(T11)</f>
        <v>89.564652070651078</v>
      </c>
      <c r="T11" s="61">
        <f t="shared" ref="T11:T27" ca="1" si="42">+P11+P36+P61+P86+P111+P136+P161+P186+P211+P236+P261+P286+P311+P336+P361+P386+P411+P436+P461+P486+P511+P536+P561+P586+P611+P636+P661+P686+P711+P736+P761+P786+P811+P836+P861+P886+P911+P936+P961+P986+P1011+P1036+P1061+P1086+P1111+P1136+P1161+P1186+P1211+P1236+P1261+P1286+P1311+P1336</f>
        <v>-0.11020945198607054</v>
      </c>
      <c r="U11" s="61">
        <f ca="1">SUMIF($G$11:P$1352,$G11,$P$11:$P$1352)</f>
        <v>-0.11020945198607054</v>
      </c>
      <c r="V11" s="47">
        <f>IFERROR(INDEX('Non-Labor Expenditures'!$E$7:$AA$91,MATCH($C11,'Non-Labor Expenditures'!$C$7:$C$91,0),MATCH($G11,'Non-Labor Expenditures'!$E$5:$AA$5,0)),"NA")</f>
        <v>94344.504159319738</v>
      </c>
      <c r="W11" s="47">
        <f t="shared" si="35"/>
        <v>1047.411063784441</v>
      </c>
      <c r="X11" s="59">
        <f t="shared" ref="X11:X26" si="43">LN(W11/W10)</f>
        <v>-9.4579037177305952E-2</v>
      </c>
      <c r="Y11" s="59">
        <f t="shared" ref="Y11:Y27" si="44">+X11*$AX11</f>
        <v>-3.1499838540438889E-3</v>
      </c>
      <c r="Z11" s="49">
        <f>+Z10*EXP(AA11)</f>
        <v>95.772091313972609</v>
      </c>
      <c r="AA11" s="61">
        <f t="shared" si="36"/>
        <v>-4.3198865855011419E-2</v>
      </c>
      <c r="AB11" s="61"/>
      <c r="AC11" s="47">
        <f t="shared" si="14"/>
        <v>84082.022493740427</v>
      </c>
      <c r="AD11" s="59">
        <f>LN(AC11/AC10)</f>
        <v>6.0247013070775894E-3</v>
      </c>
      <c r="AE11" s="73">
        <v>7546.2287197094793</v>
      </c>
      <c r="AF11" s="61">
        <v>2.28560942712259E-2</v>
      </c>
      <c r="AG11" s="59">
        <f t="shared" ref="AG11:AG27" si="45">+AF11*$AX11</f>
        <v>7.6122923292078063E-4</v>
      </c>
      <c r="AH11" s="49">
        <f>+AH10*EXP(AI11)</f>
        <v>103.20302349465</v>
      </c>
      <c r="AI11" s="61">
        <f>+AG11+AG36+AG61+AG86+AG111+AG136+AG161+AG186+AG211+AG236+AG261+AG286+AG311+AG336+AG361+AG386+AG411+AG436+AG461+AG486+AG511+AG536+AG561+AG586+AG611+AG636+AG661+AG686+AG711+AG736+AG761+AG786+AG811+AG836+AG861+AG886+AG911+AG936+AG961+AG986+AG1011+AG1036+AG1061+AG1086+AG1111+AG1136+AG1161+AG1186+AG1211+AG1236+AG1261+AG1286+AG1311+AG1336</f>
        <v>3.1527964058988861E-2</v>
      </c>
      <c r="AJ11" s="46">
        <f t="shared" si="29"/>
        <v>243573.16784446454</v>
      </c>
      <c r="AK11" s="61">
        <f t="shared" ref="AK11:AK27" si="46">LN(AJ11/AJ10)</f>
        <v>-4.0727987377407418E-2</v>
      </c>
      <c r="AL11" s="129">
        <f t="shared" si="38"/>
        <v>7313344.0564723667</v>
      </c>
      <c r="AM11" s="61">
        <f t="shared" ref="AM11:AM27" si="47">LN(AL11/AL10)</f>
        <v>-1.4097021855398999E-2</v>
      </c>
      <c r="AN11" s="46">
        <f>+AL11*1000/Outputs!B14</f>
        <v>210.87192915360504</v>
      </c>
      <c r="AO11" s="73">
        <f>+(Outputs!F14*1000)/Outputs!E14</f>
        <v>280.92917531252846</v>
      </c>
      <c r="AP11" s="73">
        <f t="shared" ref="AP11:AP27" si="48">+(AJ11*1000)/BB11</f>
        <v>163.08020388909094</v>
      </c>
      <c r="AQ11" s="61">
        <f>+BB11/Outputs!$B$14</f>
        <v>4.3065645844266774E-2</v>
      </c>
      <c r="AR11" s="62">
        <f t="shared" si="30"/>
        <v>0.2674623061642169</v>
      </c>
      <c r="AS11" s="62">
        <f t="shared" si="31"/>
        <v>0.38733537439380072</v>
      </c>
      <c r="AT11" s="62">
        <f t="shared" si="32"/>
        <v>0.34520231944198232</v>
      </c>
      <c r="AU11" s="62">
        <f t="shared" ref="AU11:AU27" ca="1" si="49">+(((AR11+AR10)/2)*T11+((AS10+AS11)/2)*AA11+((AT10+AT11)/2)*AI11)</f>
        <v>-3.6130723474015282E-2</v>
      </c>
      <c r="AV11" s="49">
        <f ca="1">+AV10*EXP(AU11)</f>
        <v>96.451420059461356</v>
      </c>
      <c r="AW11" s="61">
        <f ca="1">LN(AV11/AV10)</f>
        <v>-3.6130723474015289E-2</v>
      </c>
      <c r="AX11" s="56">
        <f>+AJ11/$AL$11</f>
        <v>3.3305306842346678E-2</v>
      </c>
      <c r="AY11" s="56">
        <f ca="1">+AX11*AW11</f>
        <v>-1.2033448317380572E-3</v>
      </c>
      <c r="AZ11" s="49">
        <f ca="1">+AZ10*EXP(BA11)</f>
        <v>102.78709284175758</v>
      </c>
      <c r="BA11" s="61">
        <f t="shared" ref="BA11:BA27" ca="1" si="50">+(((AR10+AR11)/2)*DJ11+((AS10+AS11)/2)*DL11+((AT10+AT11)/2)*DC11)</f>
        <v>2.7489603136125862E-2</v>
      </c>
      <c r="BB11" s="230">
        <f>IFERROR(INDEX('Total Customers'!$E$7:$AA$91,MATCH($C11,'Total Customers'!$C$7:$C$91,0),MATCH($G11,'Total Customers'!$E$5:$AA$5,0)),"NA")</f>
        <v>1493579</v>
      </c>
      <c r="BC11" s="392">
        <f t="shared" si="15"/>
        <v>-3.4978116200810601E-2</v>
      </c>
      <c r="BE11" s="281" t="str">
        <f t="shared" si="0"/>
        <v>ATLANTA GAS LIGHT COMPANY</v>
      </c>
      <c r="BF11" s="290">
        <f t="shared" si="1"/>
        <v>4054707</v>
      </c>
      <c r="BG11" s="46" t="str">
        <f t="shared" si="2"/>
        <v>GA</v>
      </c>
      <c r="BH11" s="46"/>
      <c r="BI11" s="46" t="str">
        <f t="shared" si="3"/>
        <v>2006 Y</v>
      </c>
      <c r="BJ11" s="46"/>
      <c r="BK11" s="46"/>
      <c r="BL11" s="46">
        <f>INDEX('Dist. Plant Gas Additions'!$E$7:$AD$91,MATCH($C11,'Dist. Plant Gas Additions'!$C$7:$C$91,0),MATCH(Calculation!$G11,'Dist. Plant Gas Additions'!$E$5:$AD$5,0))</f>
        <v>70711</v>
      </c>
      <c r="BM11" s="46">
        <f>INDEX('Gen. Plant Additions'!$E$7:$AD$91,MATCH($C11,'Gen. Plant Additions'!$C$7:$C$91,0),MATCH(Calculation!$G11,'Gen. Plant Additions'!$E$5:$AD$5,0))</f>
        <v>29029</v>
      </c>
      <c r="BN11" s="393">
        <f t="shared" si="4"/>
        <v>0.94984879708903935</v>
      </c>
      <c r="BO11" s="46">
        <f t="shared" si="5"/>
        <v>27573.160730697724</v>
      </c>
      <c r="BP11" s="46">
        <f t="shared" si="6"/>
        <v>-1455.8392693022761</v>
      </c>
      <c r="BQ11" s="46">
        <f>INDEX('Dist Plant Depreciation'!$D$7:$AC$94,MATCH($C11,'Dist Plant Depreciation'!$C$7:$C$94,0),MATCH(Calculation!$G11,'Dist Plant Depreciation'!$D$5:$AC$5,0))</f>
        <v>793295</v>
      </c>
      <c r="BR11" s="46">
        <f>INDEX('Gen. Plant Depreciation'!$D$7:$AC$94,MATCH($C11,'Gen. Plant Depreciation'!$C$7:$C$94,0),MATCH(Calculation!$G11,'Gen. Plant Depreciation'!$D$5:$AC$5,0))</f>
        <v>27865</v>
      </c>
      <c r="BS11" s="53">
        <v>1937</v>
      </c>
      <c r="BT11" s="53"/>
      <c r="BU11" s="51">
        <v>19.009623255912896</v>
      </c>
      <c r="BV11" s="62"/>
      <c r="BW11" s="46"/>
      <c r="BX11" s="46"/>
      <c r="BY11" s="46">
        <f>INDEX('Gross Dx Plant'!$D$7:$AC$91,MATCH($C11,'Gross Dx Plant'!$C$7:$C$91,0),MATCH(Calculation!$G11,'Gross Dx Plant'!$D$5:$AC$5,0))</f>
        <v>2299507</v>
      </c>
      <c r="BZ11" s="46">
        <f>INDEX('Gross Gen Plant'!$D$7:$AC$91,MATCH($C11,'Gross Gen Plant'!$C$7:$C$91,0),MATCH(Calculation!$G11,'Gross Gen Plant'!$D$5:$AC$5,0))</f>
        <v>121412</v>
      </c>
      <c r="CA11" s="46">
        <f t="shared" si="39"/>
        <v>1599759</v>
      </c>
      <c r="CB11" s="61"/>
      <c r="CC11" s="73">
        <v>2006</v>
      </c>
      <c r="CD11" s="46"/>
      <c r="CE11" s="46"/>
      <c r="CF11" s="46"/>
      <c r="CG11" s="53"/>
      <c r="CH11" s="46">
        <f t="shared" si="7"/>
        <v>99740</v>
      </c>
      <c r="CI11" s="46">
        <f t="shared" si="16"/>
        <v>98284.160730697724</v>
      </c>
      <c r="CJ11" s="46">
        <f t="shared" si="8"/>
        <v>213.15813208603097</v>
      </c>
      <c r="CK11" s="443">
        <v>0.91489361702127658</v>
      </c>
      <c r="CL11" s="46">
        <f>+CL3*CK11+CJ4*CK10+CJ5*CK9+CJ6*CK8+CJ7*CK7+CJ8*CK6+CJ9*CK5+CJ10*CK4+CJ11</f>
        <v>7264.4842679278918</v>
      </c>
      <c r="CM11" s="61">
        <f t="shared" si="17"/>
        <v>1.7766561104005919E-2</v>
      </c>
      <c r="CN11" s="56">
        <f t="shared" si="18"/>
        <v>1.1943148912955243E-2</v>
      </c>
      <c r="CO11" s="56">
        <f t="shared" si="23"/>
        <v>1.1650466263743142E-2</v>
      </c>
      <c r="CP11" s="61">
        <f>VLOOKUP($H11,RoR!$E:$F,2,FALSE)</f>
        <v>5.5874999999999994E-2</v>
      </c>
      <c r="CQ11" s="56">
        <v>3.0512430354548314E-2</v>
      </c>
      <c r="CR11" s="56">
        <f t="shared" si="19"/>
        <v>2.536256964545168E-2</v>
      </c>
      <c r="CS11" s="56">
        <f t="shared" si="24"/>
        <v>1.9251475344790485E-2</v>
      </c>
      <c r="CT11" s="56">
        <f t="shared" si="25"/>
        <v>7.9087823893859641E-2</v>
      </c>
      <c r="CU11" s="96">
        <f t="shared" si="9"/>
        <v>0.87050000000000005</v>
      </c>
      <c r="CV11" s="58">
        <f t="shared" si="10"/>
        <v>0.91779957551769631</v>
      </c>
      <c r="CW11" s="58">
        <f t="shared" si="11"/>
        <v>0.52757270693512304</v>
      </c>
      <c r="CX11" s="58">
        <f t="shared" si="12"/>
        <v>0.88636824549024895</v>
      </c>
      <c r="CY11" s="58">
        <f t="shared" si="13"/>
        <v>0.42918482841932087</v>
      </c>
      <c r="CZ11" s="303">
        <f>INDEX('State Tax Lookup'!$D$7:$Z$91,MATCH(Calculation!$C11,'State Tax Lookup'!$B$7:$B$91,0),MATCH($H11,'State Tax Lookup'!$D$6:$Z$6,0))</f>
        <v>0.35</v>
      </c>
      <c r="DA11" s="303">
        <v>0.37</v>
      </c>
      <c r="DB11" s="57">
        <f t="shared" si="21"/>
        <v>11.781871491649072</v>
      </c>
      <c r="DC11" s="56">
        <f t="shared" si="26"/>
        <v>-3.1770164922386331E-2</v>
      </c>
      <c r="DD11" s="303">
        <f>VLOOKUP($H11,RoR!$E:$F,2,FALSE)</f>
        <v>5.5874999999999994E-2</v>
      </c>
      <c r="DE11" s="304">
        <f>HLOOKUP($H11,'GDP-PI'!$D$8:$CQ$11,3,FALSE)</f>
        <v>3.0512430354548314E-2</v>
      </c>
      <c r="DF11" s="303">
        <f>VLOOKUP(H11,'HW Dx Data'!$E:$F,2,FALSE)</f>
        <v>461.08567272971823</v>
      </c>
      <c r="DG11" s="89">
        <f ca="1">VLOOKUP(CC11,'ECI - Input Price'!M$13:N$33,2,FALSE)</f>
        <v>109.4</v>
      </c>
      <c r="DH11" s="89"/>
      <c r="DI11" s="89" t="b">
        <f t="shared" ca="1" si="33"/>
        <v>0</v>
      </c>
      <c r="DJ11" s="56">
        <f t="shared" ca="1" si="34"/>
        <v>9.7620891318751846E-2</v>
      </c>
      <c r="DK11" s="53">
        <f>HLOOKUP(H11,'GDP-PI'!$8:$9,2,FALSE)</f>
        <v>90.073999999999998</v>
      </c>
      <c r="DL11" s="355">
        <f t="shared" si="27"/>
        <v>3.005618372545445E-2</v>
      </c>
      <c r="DO11" s="27">
        <v>4.2856778722666529E-3</v>
      </c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EC11" s="298">
        <f t="shared" si="20"/>
        <v>2006</v>
      </c>
    </row>
    <row r="12" spans="1:133" ht="21" customHeight="1" x14ac:dyDescent="0.4">
      <c r="A12" s="229" t="s">
        <v>148</v>
      </c>
      <c r="B12" s="391" t="s">
        <v>148</v>
      </c>
      <c r="C12" s="391">
        <v>4054707</v>
      </c>
      <c r="D12" s="391" t="s">
        <v>149</v>
      </c>
      <c r="E12" s="391"/>
      <c r="F12" s="391"/>
      <c r="G12" s="391" t="s">
        <v>163</v>
      </c>
      <c r="H12" s="11">
        <v>2007</v>
      </c>
      <c r="I12" s="46"/>
      <c r="J12" s="47">
        <f>IFERROR(INDEX('Labor Expenditures'!$E$7:$W$91,MATCH($C12,'Labor Expenditures'!$C$7:$C$91,0),MATCH($G12,'Labor Expenditures'!$E$5:$W$5,0)),"NA")</f>
        <v>56282.414463482943</v>
      </c>
      <c r="K12" s="47">
        <f t="shared" ca="1" si="28"/>
        <v>538.45888030120011</v>
      </c>
      <c r="M12" s="59">
        <f t="shared" ca="1" si="40"/>
        <v>-0.10067400225055699</v>
      </c>
      <c r="N12" s="59"/>
      <c r="O12" s="59"/>
      <c r="P12" s="59">
        <f t="shared" ca="1" si="41"/>
        <v>-3.0068680264185685E-3</v>
      </c>
      <c r="Q12" s="61"/>
      <c r="R12" s="387"/>
      <c r="S12" s="49">
        <f t="shared" ref="S12:S25" ca="1" si="51">+S11*EXP(T12)</f>
        <v>96.562376478509293</v>
      </c>
      <c r="T12" s="61">
        <f t="shared" ca="1" si="42"/>
        <v>7.5228453902266873E-2</v>
      </c>
      <c r="U12" s="61">
        <f ca="1">SUMIF($G$11:P$1352,$G12,$P$11:$P$1352)</f>
        <v>7.5228453902266873E-2</v>
      </c>
      <c r="V12" s="47">
        <f>IFERROR(INDEX('Non-Labor Expenditures'!$E$7:$AA$91,MATCH($C12,'Non-Labor Expenditures'!$C$7:$C$91,0),MATCH($G12,'Non-Labor Expenditures'!$E$5:$AA$5,0)),"NA")</f>
        <v>81507.448248110624</v>
      </c>
      <c r="W12" s="47">
        <f t="shared" si="35"/>
        <v>881.18065523698476</v>
      </c>
      <c r="X12" s="59">
        <f t="shared" si="43"/>
        <v>-0.17281408294584727</v>
      </c>
      <c r="Y12" s="59">
        <f t="shared" si="44"/>
        <v>-5.1615027604789568E-3</v>
      </c>
      <c r="Z12" s="49">
        <f t="shared" ref="Z12:Z26" si="52">+Z11*EXP(AA12)</f>
        <v>96.065922182089523</v>
      </c>
      <c r="AA12" s="61">
        <f t="shared" si="36"/>
        <v>3.0633250682372158E-3</v>
      </c>
      <c r="AB12" s="61"/>
      <c r="AC12" s="47">
        <f t="shared" si="14"/>
        <v>91154.471466767602</v>
      </c>
      <c r="AD12" s="59">
        <f t="shared" ref="AD12:AD26" si="53">LN(AC12/AC11)</f>
        <v>8.0762775380266189E-2</v>
      </c>
      <c r="AE12" s="73">
        <v>7762.2375222269548</v>
      </c>
      <c r="AF12" s="61">
        <v>2.8222701983817405E-2</v>
      </c>
      <c r="AG12" s="59">
        <f t="shared" si="45"/>
        <v>8.429379811788595E-4</v>
      </c>
      <c r="AH12" s="49">
        <f t="shared" ref="AH12:AH27" si="54">+AH11*EXP(AI12)</f>
        <v>106.05771515006812</v>
      </c>
      <c r="AI12" s="61">
        <f t="shared" si="37"/>
        <v>2.7285278435961131E-2</v>
      </c>
      <c r="AJ12" s="46">
        <f t="shared" si="29"/>
        <v>228944.33417836117</v>
      </c>
      <c r="AK12" s="61">
        <f t="shared" si="46"/>
        <v>-6.1938489532807985E-2</v>
      </c>
      <c r="AL12" s="129">
        <f t="shared" si="38"/>
        <v>7665365.4938682439</v>
      </c>
      <c r="AM12" s="61">
        <f t="shared" si="47"/>
        <v>4.7011562243197837E-2</v>
      </c>
      <c r="AN12" s="46">
        <f>+AL12*1000/Outputs!B15</f>
        <v>219.35797465488091</v>
      </c>
      <c r="AO12" s="73">
        <f>+(Outputs!F15*1000)/Outputs!E15</f>
        <v>297.04083111013443</v>
      </c>
      <c r="AP12" s="73">
        <f t="shared" si="48"/>
        <v>146.88356882870764</v>
      </c>
      <c r="AQ12" s="61">
        <f>+BB12/Outputs!$B$15</f>
        <v>4.460435302799301E-2</v>
      </c>
      <c r="AR12" s="62">
        <f t="shared" si="30"/>
        <v>0.24583449363562593</v>
      </c>
      <c r="AS12" s="62">
        <f t="shared" si="31"/>
        <v>0.35601426233422973</v>
      </c>
      <c r="AT12" s="62">
        <f t="shared" si="32"/>
        <v>0.3981512440301444</v>
      </c>
      <c r="AU12" s="62">
        <f t="shared" ca="1" si="49"/>
        <v>3.0587127587139232E-2</v>
      </c>
      <c r="AV12" s="49">
        <f ca="1">+AV11*EXP(AU12)</f>
        <v>99.44717414863149</v>
      </c>
      <c r="AW12" s="61">
        <f ca="1">LN(AV12/AV11)</f>
        <v>3.0587127587139235E-2</v>
      </c>
      <c r="AX12" s="56">
        <f>+AJ12/$AL$12</f>
        <v>2.9867373494649487E-2</v>
      </c>
      <c r="AY12" s="56">
        <f ca="1">+AX12*AW12</f>
        <v>9.1355716377358449E-4</v>
      </c>
      <c r="AZ12" s="49">
        <f t="shared" ref="AZ12:AZ26" ca="1" si="55">+AZ11*EXP(BA12)</f>
        <v>105.02987149367476</v>
      </c>
      <c r="BA12" s="61">
        <f t="shared" ca="1" si="50"/>
        <v>2.1585010989531167E-2</v>
      </c>
      <c r="BB12" s="230">
        <f>IFERROR(INDEX('Total Customers'!$E$7:$AA$91,MATCH($C12,'Total Customers'!$C$7:$C$91,0),MATCH($G12,'Total Customers'!$E$5:$AA$5,0)),"NA")</f>
        <v>1558679</v>
      </c>
      <c r="BC12" s="392">
        <f t="shared" si="15"/>
        <v>4.2663414499097788E-2</v>
      </c>
      <c r="BE12" s="281" t="str">
        <f t="shared" si="0"/>
        <v>ATLANTA GAS LIGHT COMPANY</v>
      </c>
      <c r="BF12" s="290">
        <f t="shared" si="1"/>
        <v>4054707</v>
      </c>
      <c r="BG12" s="46" t="str">
        <f t="shared" si="2"/>
        <v>GA</v>
      </c>
      <c r="BH12" s="46"/>
      <c r="BI12" s="46" t="str">
        <f t="shared" si="3"/>
        <v>2007 Y</v>
      </c>
      <c r="BJ12" s="46"/>
      <c r="BK12" s="46"/>
      <c r="BL12" s="46">
        <f>INDEX('Dist. Plant Gas Additions'!$E$7:$AD$91,MATCH($C12,'Dist. Plant Gas Additions'!$C$7:$C$91,0),MATCH(Calculation!$G12,'Dist. Plant Gas Additions'!$E$5:$AD$5,0))</f>
        <v>90558</v>
      </c>
      <c r="BM12" s="46">
        <f>INDEX('Gen. Plant Additions'!$E$7:$AD$91,MATCH($C12,'Gen. Plant Additions'!$C$7:$C$91,0),MATCH(Calculation!$G12,'Gen. Plant Additions'!$E$5:$AD$5,0))</f>
        <v>41124</v>
      </c>
      <c r="BN12" s="393">
        <f t="shared" si="4"/>
        <v>0.94574901445993043</v>
      </c>
      <c r="BO12" s="46">
        <f t="shared" si="5"/>
        <v>38892.982470650182</v>
      </c>
      <c r="BP12" s="46">
        <f t="shared" si="6"/>
        <v>-2231.0175293498178</v>
      </c>
      <c r="BQ12" s="46">
        <f>INDEX('Dist Plant Depreciation'!$D$7:$AC$94,MATCH($C12,'Dist Plant Depreciation'!$C$7:$C$94,0),MATCH(Calculation!$G12,'Dist Plant Depreciation'!$D$5:$AC$5,0))</f>
        <v>818382</v>
      </c>
      <c r="BR12" s="46">
        <f>INDEX('Gen. Plant Depreciation'!$D$7:$AC$94,MATCH($C12,'Gen. Plant Depreciation'!$C$7:$C$94,0),MATCH(Calculation!$G12,'Gen. Plant Depreciation'!$D$5:$AC$5,0))</f>
        <v>59329</v>
      </c>
      <c r="BS12" s="53">
        <v>1938</v>
      </c>
      <c r="BT12" s="53"/>
      <c r="BU12" s="51">
        <v>19.287868472244185</v>
      </c>
      <c r="BV12" s="62"/>
      <c r="BW12" s="46"/>
      <c r="BX12" s="46"/>
      <c r="BY12" s="46">
        <f>INDEX('Gross Dx Plant'!$D$7:$AC$91,MATCH($C12,'Gross Dx Plant'!$C$7:$C$91,0),MATCH(Calculation!$G12,'Gross Dx Plant'!$D$5:$AC$5,0))</f>
        <v>2360198</v>
      </c>
      <c r="BZ12" s="46">
        <f>INDEX('Gross Gen Plant'!$D$7:$AC$91,MATCH($C12,'Gross Gen Plant'!$C$7:$C$91,0),MATCH(Calculation!$G12,'Gross Gen Plant'!$D$5:$AC$5,0))</f>
        <v>135388</v>
      </c>
      <c r="CA12" s="46">
        <f t="shared" si="39"/>
        <v>1617875</v>
      </c>
      <c r="CB12" s="394"/>
      <c r="CC12" s="73">
        <v>2007</v>
      </c>
      <c r="CD12" s="46"/>
      <c r="CE12" s="46"/>
      <c r="CF12" s="46"/>
      <c r="CG12" s="53"/>
      <c r="CH12" s="46">
        <f t="shared" si="7"/>
        <v>131682</v>
      </c>
      <c r="CI12" s="46">
        <f t="shared" si="16"/>
        <v>129450.98247065018</v>
      </c>
      <c r="CJ12" s="46">
        <f t="shared" si="8"/>
        <v>259.93008435092912</v>
      </c>
      <c r="CK12" s="443">
        <v>0.90322580645161288</v>
      </c>
      <c r="CL12" s="46">
        <f>+CL3*CK12+CJ4*CK11+CJ5*CK10+CJ6*CK9+CJ7*CK8+CJ8*CK7+CJ9*CK6+CJ10*CK5+CJ11*CK4+CJ12</f>
        <v>7435.2555016011929</v>
      </c>
      <c r="CM12" s="61">
        <f t="shared" si="17"/>
        <v>2.3235638112139818E-2</v>
      </c>
      <c r="CN12" s="56">
        <f t="shared" si="18"/>
        <v>1.2273252634224437E-2</v>
      </c>
      <c r="CO12" s="56">
        <f t="shared" si="23"/>
        <v>1.1958805724196537E-2</v>
      </c>
      <c r="CP12" s="61">
        <f>VLOOKUP($H12,RoR!$E:$F,2,FALSE)</f>
        <v>5.5558333333333321E-2</v>
      </c>
      <c r="CQ12" s="56">
        <v>2.691120634145272E-2</v>
      </c>
      <c r="CR12" s="56">
        <f t="shared" si="19"/>
        <v>2.86471269918806E-2</v>
      </c>
      <c r="CS12" s="56">
        <f t="shared" si="24"/>
        <v>1.894313588433709E-2</v>
      </c>
      <c r="CT12" s="56">
        <f t="shared" si="25"/>
        <v>6.4575155250632399E-2</v>
      </c>
      <c r="CU12" s="96">
        <f t="shared" si="9"/>
        <v>0.87050000000000005</v>
      </c>
      <c r="CV12" s="58">
        <f t="shared" si="10"/>
        <v>0.92303077153834634</v>
      </c>
      <c r="CW12" s="58">
        <f t="shared" si="11"/>
        <v>0.52502249887505614</v>
      </c>
      <c r="CX12" s="58">
        <f t="shared" si="12"/>
        <v>0.88499666072084604</v>
      </c>
      <c r="CY12" s="58">
        <f t="shared" si="13"/>
        <v>0.42887993290280618</v>
      </c>
      <c r="CZ12" s="303">
        <f>INDEX('State Tax Lookup'!$D$7:$Z$91,MATCH(Calculation!$C12,'State Tax Lookup'!$B$7:$B$91,0),MATCH($H12,'State Tax Lookup'!$D$6:$Z$6,0))</f>
        <v>0.35</v>
      </c>
      <c r="DA12" s="303">
        <v>0.37</v>
      </c>
      <c r="DB12" s="57">
        <f t="shared" si="21"/>
        <v>12.547961851773454</v>
      </c>
      <c r="DC12" s="56">
        <f t="shared" si="26"/>
        <v>6.2996214276260357E-2</v>
      </c>
      <c r="DD12" s="303">
        <f>VLOOKUP($H12,RoR!$E:$F,2,FALSE)</f>
        <v>5.5558333333333321E-2</v>
      </c>
      <c r="DE12" s="304">
        <f>HLOOKUP($H12,'GDP-PI'!$D$8:$CQ$11,3,FALSE)</f>
        <v>2.691120634145272E-2</v>
      </c>
      <c r="DF12" s="303">
        <f>VLOOKUP(H12,'HW Dx Data'!$E:$F,2,FALSE)</f>
        <v>498.0223154772637</v>
      </c>
      <c r="DG12" s="89">
        <f ca="1">VLOOKUP(CC12,'ECI - Input Price'!M$13:N$33,2,FALSE)</f>
        <v>104.52499999999999</v>
      </c>
      <c r="DH12" s="89"/>
      <c r="DI12" s="89" t="b">
        <f t="shared" ca="1" si="33"/>
        <v>0</v>
      </c>
      <c r="DJ12" s="56">
        <f t="shared" ca="1" si="34"/>
        <v>-4.5584612745252218E-2</v>
      </c>
      <c r="DK12" s="53">
        <f>HLOOKUP(H12,'GDP-PI'!$8:$9,2,FALSE)</f>
        <v>92.498000000000005</v>
      </c>
      <c r="DL12" s="355">
        <f t="shared" si="27"/>
        <v>2.6555467950038037E-2</v>
      </c>
      <c r="DO12" s="27">
        <v>1.0258771601337193E-2</v>
      </c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EC12" s="298">
        <f t="shared" si="20"/>
        <v>2007</v>
      </c>
    </row>
    <row r="13" spans="1:133" ht="21" customHeight="1" x14ac:dyDescent="0.4">
      <c r="A13" s="229" t="s">
        <v>148</v>
      </c>
      <c r="B13" s="391" t="s">
        <v>148</v>
      </c>
      <c r="C13" s="391">
        <v>4054707</v>
      </c>
      <c r="D13" s="391" t="s">
        <v>149</v>
      </c>
      <c r="E13" s="391"/>
      <c r="F13" s="391"/>
      <c r="G13" s="391" t="s">
        <v>164</v>
      </c>
      <c r="H13" s="11">
        <v>2008</v>
      </c>
      <c r="I13" s="46"/>
      <c r="J13" s="47">
        <f>IFERROR(INDEX('Labor Expenditures'!$E$7:$W$91,MATCH($C13,'Labor Expenditures'!$C$7:$C$91,0),MATCH($G13,'Labor Expenditures'!$E$5:$W$5,0)),"NA")</f>
        <v>54610.978620473994</v>
      </c>
      <c r="K13" s="47">
        <f t="shared" ca="1" si="28"/>
        <v>506.1258444900277</v>
      </c>
      <c r="M13" s="59">
        <f t="shared" ca="1" si="40"/>
        <v>-6.192579108887486E-2</v>
      </c>
      <c r="N13" s="59"/>
      <c r="O13" s="59"/>
      <c r="P13" s="59">
        <f t="shared" ca="1" si="41"/>
        <v>-1.8275024083391038E-3</v>
      </c>
      <c r="Q13" s="61"/>
      <c r="R13" s="387"/>
      <c r="S13" s="49">
        <f t="shared" ca="1" si="51"/>
        <v>95.23750694806688</v>
      </c>
      <c r="T13" s="61">
        <f t="shared" ca="1" si="42"/>
        <v>-1.3815343150004095E-2</v>
      </c>
      <c r="U13" s="61">
        <f ca="1">SUMIF($G$11:P$1352,$G13,$P$11:$P$1352)</f>
        <v>-1.3815343150004095E-2</v>
      </c>
      <c r="V13" s="47">
        <f>IFERROR(INDEX('Non-Labor Expenditures'!$E$7:$AA$91,MATCH($C13,'Non-Labor Expenditures'!$C$7:$C$91,0),MATCH($G13,'Non-Labor Expenditures'!$E$5:$AA$5,0)),"NA")</f>
        <v>79086.896966280299</v>
      </c>
      <c r="W13" s="47">
        <f t="shared" si="35"/>
        <v>838.99364514852232</v>
      </c>
      <c r="X13" s="59">
        <f t="shared" si="43"/>
        <v>-4.9059529815446749E-2</v>
      </c>
      <c r="Y13" s="59">
        <f t="shared" si="44"/>
        <v>-1.4478040136950308E-3</v>
      </c>
      <c r="Z13" s="49">
        <f t="shared" si="52"/>
        <v>95.975269971947924</v>
      </c>
      <c r="AA13" s="61">
        <f t="shared" si="36"/>
        <v>-9.4409137808455334E-4</v>
      </c>
      <c r="AB13" s="61"/>
      <c r="AC13" s="47">
        <f t="shared" si="14"/>
        <v>105038.47641345498</v>
      </c>
      <c r="AD13" s="59">
        <f t="shared" si="53"/>
        <v>0.1417711690098003</v>
      </c>
      <c r="AE13" s="73">
        <v>7952.4143960019819</v>
      </c>
      <c r="AF13" s="61">
        <v>2.4204947043607452E-2</v>
      </c>
      <c r="AG13" s="59">
        <f t="shared" si="45"/>
        <v>7.1431625237420595E-4</v>
      </c>
      <c r="AH13" s="49">
        <f t="shared" si="54"/>
        <v>109.04805592298163</v>
      </c>
      <c r="AI13" s="61">
        <f t="shared" si="37"/>
        <v>2.7805236614413656E-2</v>
      </c>
      <c r="AJ13" s="46">
        <f t="shared" si="29"/>
        <v>238736.35200020927</v>
      </c>
      <c r="AK13" s="61">
        <f t="shared" si="46"/>
        <v>4.1880921515451391E-2</v>
      </c>
      <c r="AL13" s="129">
        <f t="shared" si="38"/>
        <v>8089695.1992097208</v>
      </c>
      <c r="AM13" s="61">
        <f t="shared" si="47"/>
        <v>5.3878859453380563E-2</v>
      </c>
      <c r="AN13" s="46">
        <f>+AL13*1000/Outputs!B16</f>
        <v>230.26318135484846</v>
      </c>
      <c r="AO13" s="73">
        <f>+(Outputs!F16*1000)/Outputs!E16</f>
        <v>320.27771716338293</v>
      </c>
      <c r="AP13" s="73">
        <f t="shared" si="48"/>
        <v>153.30834366163589</v>
      </c>
      <c r="AQ13" s="61">
        <f>+BB13/Outputs!$B$16</f>
        <v>4.432462844041881E-2</v>
      </c>
      <c r="AR13" s="62">
        <f t="shared" si="30"/>
        <v>0.22875015959205963</v>
      </c>
      <c r="AS13" s="62">
        <f t="shared" si="31"/>
        <v>0.33127295572569937</v>
      </c>
      <c r="AT13" s="62">
        <f t="shared" si="32"/>
        <v>0.43997688468224105</v>
      </c>
      <c r="AU13" s="62">
        <f t="shared" ca="1" si="49"/>
        <v>8.0494695785696749E-3</v>
      </c>
      <c r="AV13" s="49">
        <f t="shared" ref="AV13:AV26" ca="1" si="56">+AV12*EXP(AU13)</f>
        <v>100.25090160173819</v>
      </c>
      <c r="AW13" s="61">
        <f t="shared" ref="AW13:AW26" ca="1" si="57">LN(AV13/AV12)</f>
        <v>8.0494695785696298E-3</v>
      </c>
      <c r="AX13" s="56">
        <f>+AJ13/$AL$13</f>
        <v>2.951116774134226E-2</v>
      </c>
      <c r="AY13" s="56">
        <f t="shared" ref="AY13:AY26" ca="1" si="58">+AX13*AW13</f>
        <v>2.3754924696199993E-4</v>
      </c>
      <c r="AZ13" s="49">
        <f t="shared" ca="1" si="55"/>
        <v>111.93951724553453</v>
      </c>
      <c r="BA13" s="61">
        <f t="shared" ca="1" si="50"/>
        <v>6.37139007221071E-2</v>
      </c>
      <c r="BB13" s="230">
        <f>IFERROR(INDEX('Total Customers'!$E$7:$AA$91,MATCH($C13,'Total Customers'!$C$7:$C$91,0),MATCH($G13,'Total Customers'!$E$5:$AA$5,0)),"NA")</f>
        <v>1557230</v>
      </c>
      <c r="BC13" s="392">
        <f t="shared" si="15"/>
        <v>-9.3006573969363262E-4</v>
      </c>
      <c r="BE13" s="281" t="str">
        <f t="shared" si="0"/>
        <v>ATLANTA GAS LIGHT COMPANY</v>
      </c>
      <c r="BF13" s="290">
        <f t="shared" si="1"/>
        <v>4054707</v>
      </c>
      <c r="BG13" s="46" t="str">
        <f t="shared" si="2"/>
        <v>GA</v>
      </c>
      <c r="BH13" s="46"/>
      <c r="BI13" s="46" t="str">
        <f t="shared" si="3"/>
        <v>2008 Y</v>
      </c>
      <c r="BJ13" s="46"/>
      <c r="BK13" s="46"/>
      <c r="BL13" s="46">
        <f>INDEX('Dist. Plant Gas Additions'!$E$7:$AD$91,MATCH($C13,'Dist. Plant Gas Additions'!$C$7:$C$91,0),MATCH(Calculation!$G13,'Dist. Plant Gas Additions'!$E$5:$AD$5,0))</f>
        <v>125734</v>
      </c>
      <c r="BM13" s="46">
        <f>INDEX('Gen. Plant Additions'!$E$7:$AD$91,MATCH($C13,'Gen. Plant Additions'!$C$7:$C$91,0),MATCH(Calculation!$G13,'Gen. Plant Additions'!$E$5:$AD$5,0))</f>
        <v>11912</v>
      </c>
      <c r="BN13" s="393">
        <f t="shared" si="4"/>
        <v>0.94256643127898254</v>
      </c>
      <c r="BO13" s="46">
        <f t="shared" si="5"/>
        <v>11227.85132939524</v>
      </c>
      <c r="BP13" s="46">
        <f t="shared" si="6"/>
        <v>-684.1486706047599</v>
      </c>
      <c r="BQ13" s="46">
        <f>INDEX('Dist Plant Depreciation'!$D$7:$AC$94,MATCH($C13,'Dist Plant Depreciation'!$C$7:$C$94,0),MATCH(Calculation!$G13,'Dist Plant Depreciation'!$D$5:$AC$5,0))</f>
        <v>839359</v>
      </c>
      <c r="BR13" s="46">
        <f>INDEX('Gen. Plant Depreciation'!$D$7:$AC$94,MATCH($C13,'Gen. Plant Depreciation'!$C$7:$C$94,0),MATCH(Calculation!$G13,'Gen. Plant Depreciation'!$D$5:$AC$5,0))</f>
        <v>28752</v>
      </c>
      <c r="BS13" s="53">
        <v>1939</v>
      </c>
      <c r="BT13" s="53"/>
      <c r="BU13" s="51">
        <v>19.424989046754188</v>
      </c>
      <c r="BV13" s="62"/>
      <c r="BW13" s="46"/>
      <c r="BX13" s="46"/>
      <c r="BY13" s="46">
        <f>INDEX('Gross Dx Plant'!$D$7:$AC$91,MATCH($C13,'Gross Dx Plant'!$C$7:$C$91,0),MATCH(Calculation!$G13,'Gross Dx Plant'!$D$5:$AC$5,0))</f>
        <v>2449306</v>
      </c>
      <c r="BZ13" s="46">
        <f>INDEX('Gross Gen Plant'!$D$7:$AC$91,MATCH($C13,'Gross Gen Plant'!$C$7:$C$91,0),MATCH(Calculation!$G13,'Gross Gen Plant'!$D$5:$AC$5,0))</f>
        <v>149244</v>
      </c>
      <c r="CA13" s="46">
        <f t="shared" si="39"/>
        <v>1730439</v>
      </c>
      <c r="CB13" s="46"/>
      <c r="CC13" s="73">
        <v>2008</v>
      </c>
      <c r="CD13" s="46"/>
      <c r="CE13" s="46"/>
      <c r="CF13" s="46"/>
      <c r="CG13" s="53"/>
      <c r="CH13" s="46">
        <f t="shared" si="7"/>
        <v>137646</v>
      </c>
      <c r="CI13" s="46">
        <f t="shared" si="16"/>
        <v>136961.85132939523</v>
      </c>
      <c r="CJ13" s="46">
        <f t="shared" si="8"/>
        <v>240.33403896784975</v>
      </c>
      <c r="CK13" s="443">
        <v>0.89130434782608692</v>
      </c>
      <c r="CL13" s="46">
        <f>+CL3*CK13+CJ4*CK12+CJ5*CK11+CJ6*CK10+CJ7*CK9+CJ8*CK8+CJ9*CK7+CJ10*CK6+CJ11*CK5+CJ12*CK4+CJ13</f>
        <v>7581.9408824689699</v>
      </c>
      <c r="CM13" s="61">
        <f t="shared" si="17"/>
        <v>1.9536275945160702E-2</v>
      </c>
      <c r="CN13" s="56">
        <f t="shared" si="18"/>
        <v>1.2595217216127327E-2</v>
      </c>
      <c r="CO13" s="56">
        <f t="shared" si="23"/>
        <v>1.2270539587769002E-2</v>
      </c>
      <c r="CP13" s="61">
        <f>VLOOKUP($H13,RoR!$E:$F,2,FALSE)</f>
        <v>5.6316666666666668E-2</v>
      </c>
      <c r="CQ13" s="56">
        <v>1.9092304698479889E-2</v>
      </c>
      <c r="CR13" s="56">
        <f t="shared" si="19"/>
        <v>3.7224361968186778E-2</v>
      </c>
      <c r="CS13" s="56">
        <f t="shared" si="24"/>
        <v>1.8631402020764624E-2</v>
      </c>
      <c r="CT13" s="56">
        <f t="shared" si="25"/>
        <v>6.9030581091053131E-2</v>
      </c>
      <c r="CU13" s="96">
        <f t="shared" si="9"/>
        <v>0.87050000000000005</v>
      </c>
      <c r="CV13" s="58">
        <f t="shared" si="10"/>
        <v>0.91060168006009956</v>
      </c>
      <c r="CW13" s="58">
        <f t="shared" si="11"/>
        <v>0.53108168097070152</v>
      </c>
      <c r="CX13" s="58">
        <f t="shared" si="12"/>
        <v>0.88825329850328805</v>
      </c>
      <c r="CY13" s="58">
        <f t="shared" si="13"/>
        <v>0.4295627335323573</v>
      </c>
      <c r="CZ13" s="303">
        <f>INDEX('State Tax Lookup'!$D$7:$Z$91,MATCH(Calculation!$C13,'State Tax Lookup'!$B$7:$B$91,0),MATCH($H13,'State Tax Lookup'!$D$6:$Z$6,0))</f>
        <v>0.35</v>
      </c>
      <c r="DA13" s="303">
        <v>0.37</v>
      </c>
      <c r="DB13" s="57">
        <f t="shared" si="21"/>
        <v>14.127083647742138</v>
      </c>
      <c r="DC13" s="56">
        <f t="shared" si="26"/>
        <v>0.11853553089766049</v>
      </c>
      <c r="DD13" s="303">
        <f>VLOOKUP($H13,RoR!$E:$F,2,FALSE)</f>
        <v>5.6316666666666668E-2</v>
      </c>
      <c r="DE13" s="304">
        <f>HLOOKUP($H13,'GDP-PI'!$D$8:$CQ$11,3,FALSE)</f>
        <v>1.9092304698479889E-2</v>
      </c>
      <c r="DF13" s="303">
        <f>VLOOKUP(H13,'HW Dx Data'!$E:$F,2,FALSE)</f>
        <v>569.88120333515076</v>
      </c>
      <c r="DG13" s="89">
        <f ca="1">VLOOKUP(CC13,'ECI - Input Price'!M$13:N$33,2,FALSE)</f>
        <v>107.9</v>
      </c>
      <c r="DH13" s="89"/>
      <c r="DI13" s="89" t="b">
        <f t="shared" ca="1" si="33"/>
        <v>0</v>
      </c>
      <c r="DJ13" s="56">
        <f t="shared" ca="1" si="34"/>
        <v>3.1778595021460486E-2</v>
      </c>
      <c r="DK13" s="53">
        <f>HLOOKUP(H13,'GDP-PI'!$8:$9,2,FALSE)</f>
        <v>94.263999999999996</v>
      </c>
      <c r="DL13" s="355">
        <f t="shared" si="27"/>
        <v>1.8912333748032254E-2</v>
      </c>
      <c r="DO13" s="27">
        <v>7.8947970301827992E-3</v>
      </c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EC13" s="298">
        <f t="shared" si="20"/>
        <v>2008</v>
      </c>
    </row>
    <row r="14" spans="1:133" ht="21" customHeight="1" x14ac:dyDescent="0.4">
      <c r="A14" s="229" t="s">
        <v>148</v>
      </c>
      <c r="B14" s="391" t="s">
        <v>148</v>
      </c>
      <c r="C14" s="391">
        <v>4054707</v>
      </c>
      <c r="D14" s="391" t="s">
        <v>149</v>
      </c>
      <c r="E14" s="391"/>
      <c r="F14" s="391"/>
      <c r="G14" s="391" t="s">
        <v>165</v>
      </c>
      <c r="H14" s="11">
        <v>2009</v>
      </c>
      <c r="I14" s="46"/>
      <c r="J14" s="47">
        <f>IFERROR(INDEX('Labor Expenditures'!$E$7:$W$91,MATCH($C14,'Labor Expenditures'!$C$7:$C$91,0),MATCH($G14,'Labor Expenditures'!$E$5:$W$5,0)),"NA")</f>
        <v>59435.214788812809</v>
      </c>
      <c r="K14" s="47">
        <f t="shared" ca="1" si="28"/>
        <v>535.81442225659509</v>
      </c>
      <c r="M14" s="59">
        <f t="shared" ca="1" si="40"/>
        <v>5.7002531095763753E-2</v>
      </c>
      <c r="N14" s="59"/>
      <c r="O14" s="59"/>
      <c r="P14" s="59">
        <f t="shared" ca="1" si="41"/>
        <v>1.6665266943625486E-3</v>
      </c>
      <c r="Q14" s="61"/>
      <c r="R14" s="387"/>
      <c r="S14" s="49">
        <f t="shared" ca="1" si="51"/>
        <v>100.25385170424836</v>
      </c>
      <c r="T14" s="61">
        <f t="shared" ca="1" si="42"/>
        <v>5.1331641684336231E-2</v>
      </c>
      <c r="U14" s="61">
        <f ca="1">SUMIF($G$11:P$1352,$G14,$P$11:$P$1352)</f>
        <v>5.1331641684336231E-2</v>
      </c>
      <c r="V14" s="47">
        <f>IFERROR(INDEX('Non-Labor Expenditures'!$E$7:$AA$91,MATCH($C14,'Non-Labor Expenditures'!$C$7:$C$91,0),MATCH($G14,'Non-Labor Expenditures'!$E$5:$AA$5,0)),"NA")</f>
        <v>86073.291981061731</v>
      </c>
      <c r="W14" s="47">
        <f t="shared" si="35"/>
        <v>906.04418973948918</v>
      </c>
      <c r="X14" s="59">
        <f t="shared" si="43"/>
        <v>7.6884947278337903E-2</v>
      </c>
      <c r="Y14" s="59">
        <f t="shared" si="44"/>
        <v>2.2478092563775571E-3</v>
      </c>
      <c r="Z14" s="49">
        <f t="shared" si="52"/>
        <v>103.0599321581585</v>
      </c>
      <c r="AA14" s="61">
        <f t="shared" si="36"/>
        <v>7.1220130801434994E-2</v>
      </c>
      <c r="AB14" s="61"/>
      <c r="AC14" s="47">
        <f t="shared" si="14"/>
        <v>101735.30420221115</v>
      </c>
      <c r="AD14" s="59">
        <f t="shared" si="53"/>
        <v>-3.1952341620419572E-2</v>
      </c>
      <c r="AE14" s="73">
        <v>8245.8869175046984</v>
      </c>
      <c r="AF14" s="61">
        <v>3.6238940402753154E-2</v>
      </c>
      <c r="AG14" s="59">
        <f t="shared" si="45"/>
        <v>1.0594821036129366E-3</v>
      </c>
      <c r="AH14" s="49">
        <f t="shared" si="54"/>
        <v>111.969240729752</v>
      </c>
      <c r="AI14" s="61">
        <f t="shared" si="37"/>
        <v>2.6435532136673507E-2</v>
      </c>
      <c r="AJ14" s="46">
        <f t="shared" si="29"/>
        <v>247243.81097208569</v>
      </c>
      <c r="AK14" s="61">
        <f t="shared" si="46"/>
        <v>3.5015125401973532E-2</v>
      </c>
      <c r="AL14" s="129">
        <f t="shared" si="38"/>
        <v>8456824.0465912633</v>
      </c>
      <c r="AM14" s="61">
        <f t="shared" si="47"/>
        <v>4.4382640810928929E-2</v>
      </c>
      <c r="AN14" s="46">
        <f>+AL14*1000/Outputs!B17</f>
        <v>240.4061958997699</v>
      </c>
      <c r="AO14" s="73">
        <f>+(Outputs!F17*1000)/Outputs!E17</f>
        <v>331.12007750670568</v>
      </c>
      <c r="AP14" s="73">
        <f t="shared" si="48"/>
        <v>163.23720922555009</v>
      </c>
      <c r="AQ14" s="61">
        <f>+BB14/Outputs!$B$17</f>
        <v>4.3057085506732623E-2</v>
      </c>
      <c r="AR14" s="62">
        <f t="shared" si="30"/>
        <v>0.24039111254244161</v>
      </c>
      <c r="AS14" s="62">
        <f t="shared" si="31"/>
        <v>0.34813122982795136</v>
      </c>
      <c r="AT14" s="62">
        <f t="shared" si="32"/>
        <v>0.41147765762960703</v>
      </c>
      <c r="AU14" s="62">
        <f t="shared" ca="1" si="49"/>
        <v>4.74888502794584E-2</v>
      </c>
      <c r="AV14" s="49">
        <f t="shared" ca="1" si="56"/>
        <v>105.12655498540245</v>
      </c>
      <c r="AW14" s="61">
        <f t="shared" ca="1" si="57"/>
        <v>4.7488850279458442E-2</v>
      </c>
      <c r="AX14" s="56">
        <f>+AJ14/$AL$14</f>
        <v>2.9236012196770671E-2</v>
      </c>
      <c r="AY14" s="56">
        <f t="shared" ca="1" si="58"/>
        <v>1.3883846059808632E-3</v>
      </c>
      <c r="AZ14" s="49">
        <f t="shared" ca="1" si="55"/>
        <v>110.51627603479892</v>
      </c>
      <c r="BA14" s="61">
        <f t="shared" ca="1" si="50"/>
        <v>-1.2795896292238564E-2</v>
      </c>
      <c r="BB14" s="230">
        <f>IFERROR(INDEX('Total Customers'!$E$7:$AA$91,MATCH($C14,'Total Customers'!$C$7:$C$91,0),MATCH($G14,'Total Customers'!$E$5:$AA$5,0)),"NA")</f>
        <v>1514629</v>
      </c>
      <c r="BC14" s="392">
        <f t="shared" si="15"/>
        <v>-2.773807743286856E-2</v>
      </c>
      <c r="BE14" s="281" t="str">
        <f t="shared" si="0"/>
        <v>ATLANTA GAS LIGHT COMPANY</v>
      </c>
      <c r="BF14" s="290">
        <f t="shared" si="1"/>
        <v>4054707</v>
      </c>
      <c r="BG14" s="46" t="str">
        <f t="shared" si="2"/>
        <v>GA</v>
      </c>
      <c r="BH14" s="46"/>
      <c r="BI14" s="46" t="str">
        <f t="shared" si="3"/>
        <v>2009 Y</v>
      </c>
      <c r="BJ14" s="46"/>
      <c r="BK14" s="46"/>
      <c r="BL14" s="46">
        <f>INDEX('Dist. Plant Gas Additions'!$E$7:$AD$91,MATCH($C14,'Dist. Plant Gas Additions'!$C$7:$C$91,0),MATCH(Calculation!$G14,'Dist. Plant Gas Additions'!$E$5:$AD$5,0))</f>
        <v>175450</v>
      </c>
      <c r="BM14" s="46">
        <f>INDEX('Gen. Plant Additions'!$E$7:$AD$91,MATCH($C14,'Gen. Plant Additions'!$C$7:$C$91,0),MATCH(Calculation!$G14,'Gen. Plant Additions'!$E$5:$AD$5,0))</f>
        <v>16166</v>
      </c>
      <c r="BN14" s="393">
        <f t="shared" si="4"/>
        <v>0.94379495769293442</v>
      </c>
      <c r="BO14" s="46">
        <f t="shared" si="5"/>
        <v>15257.389286063977</v>
      </c>
      <c r="BP14" s="46">
        <f t="shared" si="6"/>
        <v>-908.61071393602288</v>
      </c>
      <c r="BQ14" s="46">
        <f>INDEX('Dist Plant Depreciation'!$D$7:$AC$94,MATCH($C14,'Dist Plant Depreciation'!$C$7:$C$94,0),MATCH(Calculation!$G14,'Dist Plant Depreciation'!$D$5:$AC$5,0))</f>
        <v>878304</v>
      </c>
      <c r="BR14" s="46">
        <f>INDEX('Gen. Plant Depreciation'!$D$7:$AC$94,MATCH($C14,'Gen. Plant Depreciation'!$C$7:$C$94,0),MATCH(Calculation!$G14,'Gen. Plant Depreciation'!$D$5:$AC$5,0))</f>
        <v>54558</v>
      </c>
      <c r="BS14" s="53">
        <v>1940</v>
      </c>
      <c r="BT14" s="53"/>
      <c r="BU14" s="51">
        <v>20.173223881565029</v>
      </c>
      <c r="BV14" s="62"/>
      <c r="BW14" s="46"/>
      <c r="BX14" s="46"/>
      <c r="BY14" s="46">
        <f>INDEX('Gross Dx Plant'!$D$7:$AC$91,MATCH($C14,'Gross Dx Plant'!$C$7:$C$91,0),MATCH(Calculation!$G14,'Gross Dx Plant'!$D$5:$AC$5,0))</f>
        <v>2612180</v>
      </c>
      <c r="BZ14" s="46">
        <f>INDEX('Gross Gen Plant'!$D$7:$AC$91,MATCH($C14,'Gross Gen Plant'!$C$7:$C$91,0),MATCH(Calculation!$G14,'Gross Gen Plant'!$D$5:$AC$5,0))</f>
        <v>155561</v>
      </c>
      <c r="CA14" s="46">
        <f t="shared" si="39"/>
        <v>1834879</v>
      </c>
      <c r="CB14" s="46"/>
      <c r="CC14" s="73">
        <v>2009</v>
      </c>
      <c r="CD14" s="46"/>
      <c r="CE14" s="46"/>
      <c r="CF14" s="46"/>
      <c r="CG14" s="53"/>
      <c r="CH14" s="46">
        <f t="shared" si="7"/>
        <v>191616</v>
      </c>
      <c r="CI14" s="46">
        <f t="shared" si="16"/>
        <v>190707.38928606399</v>
      </c>
      <c r="CJ14" s="46">
        <f t="shared" si="8"/>
        <v>346.14870740848454</v>
      </c>
      <c r="CK14" s="443">
        <v>0.87912087912087911</v>
      </c>
      <c r="CL14" s="46">
        <f>+CL3*CK14+CJ4*CK13+CJ5*CK12+CJ6*CK11+CJ7*CK10+CJ8*CK9+CJ9*CK8+CJ10*CK7+CJ11*CK6+CJ12*CK5+CJ13*CK4+CJ14</f>
        <v>7830.0311926439745</v>
      </c>
      <c r="CM14" s="61">
        <f t="shared" si="17"/>
        <v>3.2197273755188119E-2</v>
      </c>
      <c r="CN14" s="56">
        <f t="shared" si="18"/>
        <v>1.2933152441245151E-2</v>
      </c>
      <c r="CO14" s="56">
        <f t="shared" si="23"/>
        <v>1.2600540763865638E-2</v>
      </c>
      <c r="CP14" s="61">
        <f>VLOOKUP($H14,RoR!$E:$F,2,FALSE)</f>
        <v>5.3133333333333324E-2</v>
      </c>
      <c r="CQ14" s="56">
        <v>7.7972502758210105E-3</v>
      </c>
      <c r="CR14" s="56">
        <f t="shared" si="19"/>
        <v>4.5336083057512314E-2</v>
      </c>
      <c r="CS14" s="56">
        <f t="shared" si="24"/>
        <v>1.8301400844667987E-2</v>
      </c>
      <c r="CT14" s="56">
        <f t="shared" si="25"/>
        <v>6.3720160300892073E-2</v>
      </c>
      <c r="CU14" s="96">
        <f t="shared" si="9"/>
        <v>0.87050000000000005</v>
      </c>
      <c r="CV14" s="58">
        <f t="shared" si="10"/>
        <v>0.96515780330083989</v>
      </c>
      <c r="CW14" s="58">
        <f t="shared" si="11"/>
        <v>0.50448557089084056</v>
      </c>
      <c r="CX14" s="58">
        <f t="shared" si="12"/>
        <v>0.87391435735465484</v>
      </c>
      <c r="CY14" s="58">
        <f t="shared" si="13"/>
        <v>0.42551605393279146</v>
      </c>
      <c r="CZ14" s="303">
        <f>INDEX('State Tax Lookup'!$D$7:$Z$91,MATCH(Calculation!$C14,'State Tax Lookup'!$B$7:$B$91,0),MATCH($H14,'State Tax Lookup'!$D$6:$Z$6,0))</f>
        <v>0.35</v>
      </c>
      <c r="DA14" s="303">
        <v>0.37</v>
      </c>
      <c r="DB14" s="57">
        <f t="shared" si="21"/>
        <v>13.418108341815802</v>
      </c>
      <c r="DC14" s="56">
        <f t="shared" si="26"/>
        <v>-5.1488617565580402E-2</v>
      </c>
      <c r="DD14" s="303">
        <f>VLOOKUP($H14,RoR!$E:$F,2,FALSE)</f>
        <v>5.3133333333333324E-2</v>
      </c>
      <c r="DE14" s="304">
        <f>HLOOKUP($H14,'GDP-PI'!$D$8:$CQ$11,3,FALSE)</f>
        <v>7.7972502758210105E-3</v>
      </c>
      <c r="DF14" s="303">
        <f>VLOOKUP(H14,'HW Dx Data'!$E:$F,2,FALSE)</f>
        <v>550.94063679692806</v>
      </c>
      <c r="DG14" s="89">
        <f ca="1">VLOOKUP(CC14,'ECI - Input Price'!M$13:N$33,2,FALSE)</f>
        <v>110.925</v>
      </c>
      <c r="DH14" s="89"/>
      <c r="DI14" s="89" t="b">
        <f t="shared" ca="1" si="33"/>
        <v>0</v>
      </c>
      <c r="DJ14" s="56">
        <f t="shared" ca="1" si="34"/>
        <v>2.7649425000884052E-2</v>
      </c>
      <c r="DK14" s="53">
        <f>HLOOKUP(H14,'GDP-PI'!$8:$9,2,FALSE)</f>
        <v>94.998999999999995</v>
      </c>
      <c r="DL14" s="355">
        <f t="shared" si="27"/>
        <v>7.7670088183096342E-3</v>
      </c>
      <c r="DO14" s="27">
        <v>5.1851356378726017E-2</v>
      </c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EC14" s="298">
        <f t="shared" si="20"/>
        <v>2009</v>
      </c>
    </row>
    <row r="15" spans="1:133" ht="21" customHeight="1" x14ac:dyDescent="0.4">
      <c r="A15" s="229" t="s">
        <v>148</v>
      </c>
      <c r="B15" s="391" t="s">
        <v>148</v>
      </c>
      <c r="C15" s="391">
        <v>4054707</v>
      </c>
      <c r="D15" s="391" t="s">
        <v>149</v>
      </c>
      <c r="E15" s="391"/>
      <c r="F15" s="391"/>
      <c r="G15" s="391" t="s">
        <v>166</v>
      </c>
      <c r="H15" s="11">
        <v>2010</v>
      </c>
      <c r="I15" s="46"/>
      <c r="J15" s="47">
        <f>IFERROR(INDEX('Labor Expenditures'!$E$7:$W$91,MATCH($C15,'Labor Expenditures'!$C$7:$C$91,0),MATCH($G15,'Labor Expenditures'!$E$5:$W$5,0)),"NA")</f>
        <v>61005.110244989701</v>
      </c>
      <c r="K15" s="47">
        <f t="shared" ca="1" si="28"/>
        <v>521.74565101552025</v>
      </c>
      <c r="M15" s="59">
        <f t="shared" ca="1" si="40"/>
        <v>-2.6607663444493713E-2</v>
      </c>
      <c r="N15" s="59"/>
      <c r="O15" s="59"/>
      <c r="P15" s="59">
        <f t="shared" ca="1" si="41"/>
        <v>-7.8176719999000497E-4</v>
      </c>
      <c r="Q15" s="61"/>
      <c r="R15" s="387"/>
      <c r="S15" s="49">
        <f t="shared" ca="1" si="51"/>
        <v>98.042322994121079</v>
      </c>
      <c r="T15" s="61">
        <f t="shared" ca="1" si="42"/>
        <v>-2.2306233708934441E-2</v>
      </c>
      <c r="U15" s="61">
        <f ca="1">SUMIF($G$11:P$1352,$G15,$P$11:$P$1352)</f>
        <v>-2.2306233708934441E-2</v>
      </c>
      <c r="V15" s="47">
        <f>IFERROR(INDEX('Non-Labor Expenditures'!$E$7:$AA$91,MATCH($C15,'Non-Labor Expenditures'!$C$7:$C$91,0),MATCH($G15,'Non-Labor Expenditures'!$E$5:$AA$5,0)),"NA")</f>
        <v>88346.793817631013</v>
      </c>
      <c r="W15" s="47">
        <f t="shared" si="35"/>
        <v>919.23538708790034</v>
      </c>
      <c r="X15" s="59">
        <f t="shared" si="43"/>
        <v>1.4454144095332433E-2</v>
      </c>
      <c r="Y15" s="59">
        <f t="shared" si="44"/>
        <v>4.2468124949162028E-4</v>
      </c>
      <c r="Z15" s="49">
        <f t="shared" si="52"/>
        <v>105.012035615285</v>
      </c>
      <c r="AA15" s="61">
        <f t="shared" si="36"/>
        <v>1.8764283871399442E-2</v>
      </c>
      <c r="AB15" s="61"/>
      <c r="AC15" s="47">
        <f t="shared" si="14"/>
        <v>106780.80958551924</v>
      </c>
      <c r="AD15" s="59">
        <f t="shared" si="53"/>
        <v>4.8403841405345725E-2</v>
      </c>
      <c r="AE15" s="73">
        <v>8398.9977924598425</v>
      </c>
      <c r="AF15" s="61">
        <v>1.8397867737244694E-2</v>
      </c>
      <c r="AG15" s="59">
        <f t="shared" si="45"/>
        <v>5.4055289660200024E-4</v>
      </c>
      <c r="AH15" s="49">
        <f t="shared" si="54"/>
        <v>115.08255376681358</v>
      </c>
      <c r="AI15" s="61">
        <f t="shared" si="37"/>
        <v>2.7425532433563375E-2</v>
      </c>
      <c r="AJ15" s="46">
        <f t="shared" si="29"/>
        <v>256132.71364813996</v>
      </c>
      <c r="AK15" s="61">
        <f t="shared" si="46"/>
        <v>3.5320784106337468E-2</v>
      </c>
      <c r="AL15" s="129">
        <f t="shared" si="38"/>
        <v>8717547.9374956153</v>
      </c>
      <c r="AM15" s="61">
        <f t="shared" si="47"/>
        <v>3.0364303617829668E-2</v>
      </c>
      <c r="AN15" s="46">
        <f>+AL15*1000/Outputs!B18</f>
        <v>246.46200506914823</v>
      </c>
      <c r="AO15" s="73">
        <f>+(Outputs!F18*1000)/Outputs!E18</f>
        <v>340.84419492540439</v>
      </c>
      <c r="AP15" s="73">
        <f t="shared" si="48"/>
        <v>169.29368646804352</v>
      </c>
      <c r="AQ15" s="61">
        <f>+BB15/Outputs!$B$18</f>
        <v>4.2774005578280226E-2</v>
      </c>
      <c r="AR15" s="62">
        <f t="shared" si="30"/>
        <v>0.23817773753334348</v>
      </c>
      <c r="AS15" s="62">
        <f t="shared" si="31"/>
        <v>0.34492584941334997</v>
      </c>
      <c r="AT15" s="62">
        <f t="shared" si="32"/>
        <v>0.41689641305330649</v>
      </c>
      <c r="AU15" s="62">
        <f t="shared" ca="1" si="49"/>
        <v>1.2524125550498724E-2</v>
      </c>
      <c r="AV15" s="49">
        <f t="shared" ca="1" si="56"/>
        <v>106.45145243183211</v>
      </c>
      <c r="AW15" s="61">
        <f t="shared" ca="1" si="57"/>
        <v>1.2524125550498803E-2</v>
      </c>
      <c r="AX15" s="56">
        <f>+AJ15/$AL$15</f>
        <v>2.9381279630992428E-2</v>
      </c>
      <c r="AY15" s="56">
        <f t="shared" ca="1" si="58"/>
        <v>3.6797483493286235E-4</v>
      </c>
      <c r="AZ15" s="49">
        <f t="shared" ca="1" si="55"/>
        <v>113.12642062432774</v>
      </c>
      <c r="BA15" s="61">
        <f t="shared" ca="1" si="50"/>
        <v>2.3343155402729146E-2</v>
      </c>
      <c r="BB15" s="230">
        <f>IFERROR(INDEX('Total Customers'!$E$7:$AA$91,MATCH($C15,'Total Customers'!$C$7:$C$91,0),MATCH($G15,'Total Customers'!$E$5:$AA$5,0)),"NA")</f>
        <v>1512949</v>
      </c>
      <c r="BC15" s="392">
        <f t="shared" si="15"/>
        <v>-1.1097981108537996E-3</v>
      </c>
      <c r="BE15" s="281" t="str">
        <f t="shared" si="0"/>
        <v>ATLANTA GAS LIGHT COMPANY</v>
      </c>
      <c r="BF15" s="290">
        <f t="shared" si="1"/>
        <v>4054707</v>
      </c>
      <c r="BG15" s="46" t="str">
        <f t="shared" si="2"/>
        <v>GA</v>
      </c>
      <c r="BH15" s="46"/>
      <c r="BI15" s="46" t="str">
        <f t="shared" si="3"/>
        <v>2010 Y</v>
      </c>
      <c r="BJ15" s="46"/>
      <c r="BK15" s="46"/>
      <c r="BL15" s="46">
        <f>INDEX('Dist. Plant Gas Additions'!$E$7:$AD$91,MATCH($C15,'Dist. Plant Gas Additions'!$C$7:$C$91,0),MATCH(Calculation!$G15,'Dist. Plant Gas Additions'!$E$5:$AD$5,0))</f>
        <v>112536</v>
      </c>
      <c r="BM15" s="46">
        <f>INDEX('Gen. Plant Additions'!$E$7:$AD$91,MATCH($C15,'Gen. Plant Additions'!$C$7:$C$91,0),MATCH(Calculation!$G15,'Gen. Plant Additions'!$E$5:$AD$5,0))</f>
        <v>7556</v>
      </c>
      <c r="BN15" s="393">
        <f t="shared" si="4"/>
        <v>0.94617274874675117</v>
      </c>
      <c r="BO15" s="46">
        <f t="shared" si="5"/>
        <v>7149.2812895304514</v>
      </c>
      <c r="BP15" s="46">
        <f t="shared" si="6"/>
        <v>-406.71871046954857</v>
      </c>
      <c r="BQ15" s="46">
        <f>INDEX('Dist Plant Depreciation'!$D$7:$AC$94,MATCH($C15,'Dist Plant Depreciation'!$C$7:$C$94,0),MATCH(Calculation!$G15,'Dist Plant Depreciation'!$D$5:$AC$5,0))</f>
        <v>918267</v>
      </c>
      <c r="BR15" s="46">
        <f>INDEX('Gen. Plant Depreciation'!$D$7:$AC$94,MATCH($C15,'Gen. Plant Depreciation'!$C$7:$C$94,0),MATCH(Calculation!$G15,'Gen. Plant Depreciation'!$D$5:$AC$5,0))</f>
        <v>71779</v>
      </c>
      <c r="BS15" s="53">
        <v>1941</v>
      </c>
      <c r="BT15" s="53"/>
      <c r="BU15" s="51">
        <v>20.877776802788329</v>
      </c>
      <c r="BV15" s="62"/>
      <c r="BW15" s="46"/>
      <c r="BX15" s="46"/>
      <c r="BY15" s="46">
        <f>INDEX('Gross Dx Plant'!$D$7:$AC$91,MATCH($C15,'Gross Dx Plant'!$C$7:$C$91,0),MATCH(Calculation!$G15,'Gross Dx Plant'!$D$5:$AC$5,0))</f>
        <v>2723387</v>
      </c>
      <c r="BZ15" s="46">
        <f>INDEX('Gross Gen Plant'!$D$7:$AC$91,MATCH($C15,'Gross Gen Plant'!$C$7:$C$91,0),MATCH(Calculation!$G15,'Gross Gen Plant'!$D$5:$AC$5,0))</f>
        <v>154932</v>
      </c>
      <c r="CA15" s="46">
        <f t="shared" si="39"/>
        <v>1888273</v>
      </c>
      <c r="CB15" s="46"/>
      <c r="CC15" s="73">
        <v>2010</v>
      </c>
      <c r="CD15" s="46"/>
      <c r="CE15" s="46"/>
      <c r="CF15" s="46"/>
      <c r="CG15" s="53"/>
      <c r="CH15" s="46">
        <f t="shared" si="7"/>
        <v>120092</v>
      </c>
      <c r="CI15" s="46">
        <f t="shared" si="16"/>
        <v>119685.28128953045</v>
      </c>
      <c r="CJ15" s="46">
        <f t="shared" si="8"/>
        <v>210.3470815127117</v>
      </c>
      <c r="CK15" s="443">
        <v>0.8666666666666667</v>
      </c>
      <c r="CL15" s="46">
        <f>+CL3*CK15+CJ4*CK14+CJ5*CK13+CJ6*CK12+CJ7*CK11+CJ8*CK10+CJ9*CK9+CJ10*CK8+CJ11*CK7+CJ12*CK6+CJ13*CK5+CJ14*CK4+CJ15</f>
        <v>7936.7480889596909</v>
      </c>
      <c r="CM15" s="61">
        <f t="shared" si="17"/>
        <v>1.3537137052140238E-2</v>
      </c>
      <c r="CN15" s="56">
        <f t="shared" si="18"/>
        <v>1.3234964541948696E-2</v>
      </c>
      <c r="CO15" s="56">
        <f t="shared" si="23"/>
        <v>1.2921111399773725E-2</v>
      </c>
      <c r="CP15" s="61">
        <f>VLOOKUP($H15,RoR!$E:$F,2,FALSE)</f>
        <v>4.9433333333333322E-2</v>
      </c>
      <c r="CQ15" s="56">
        <v>1.1684333519300205E-2</v>
      </c>
      <c r="CR15" s="56">
        <f t="shared" si="19"/>
        <v>3.7748999814033117E-2</v>
      </c>
      <c r="CS15" s="56">
        <f t="shared" si="24"/>
        <v>1.7980830208759901E-2</v>
      </c>
      <c r="CT15" s="56">
        <f t="shared" si="25"/>
        <v>4.7937530248493419E-2</v>
      </c>
      <c r="CU15" s="96">
        <f t="shared" si="9"/>
        <v>0.87050000000000005</v>
      </c>
      <c r="CV15" s="58">
        <f t="shared" si="10"/>
        <v>1.037398205301105</v>
      </c>
      <c r="CW15" s="58">
        <f t="shared" si="11"/>
        <v>0.46926837491571133</v>
      </c>
      <c r="CX15" s="58">
        <f t="shared" si="12"/>
        <v>0.8548537519972772</v>
      </c>
      <c r="CY15" s="58">
        <f t="shared" si="13"/>
        <v>0.41615833911547367</v>
      </c>
      <c r="CZ15" s="303">
        <f>INDEX('State Tax Lookup'!$D$7:$Z$91,MATCH(Calculation!$C15,'State Tax Lookup'!$B$7:$B$91,0),MATCH($H15,'State Tax Lookup'!$D$6:$Z$6,0))</f>
        <v>0.35</v>
      </c>
      <c r="DA15" s="303">
        <v>0.37</v>
      </c>
      <c r="DB15" s="57">
        <f t="shared" si="21"/>
        <v>13.637341532666673</v>
      </c>
      <c r="DC15" s="56">
        <f t="shared" si="26"/>
        <v>1.6206567650157572E-2</v>
      </c>
      <c r="DD15" s="303">
        <f>VLOOKUP($H15,RoR!$E:$F,2,FALSE)</f>
        <v>4.9433333333333322E-2</v>
      </c>
      <c r="DE15" s="304">
        <f>HLOOKUP($H15,'GDP-PI'!$D$8:$CQ$11,3,FALSE)</f>
        <v>1.1684333519300205E-2</v>
      </c>
      <c r="DF15" s="303">
        <f>VLOOKUP(H15,'HW Dx Data'!$E:$F,2,FALSE)</f>
        <v>568.98950262971744</v>
      </c>
      <c r="DG15" s="89">
        <f ca="1">VLOOKUP(CC15,'ECI - Input Price'!M$13:N$33,2,FALSE)</f>
        <v>116.925</v>
      </c>
      <c r="DH15" s="89"/>
      <c r="DI15" s="89" t="b">
        <f t="shared" ca="1" si="33"/>
        <v>0</v>
      </c>
      <c r="DJ15" s="56">
        <f t="shared" ca="1" si="34"/>
        <v>5.2678406346976722E-2</v>
      </c>
      <c r="DK15" s="53">
        <f>HLOOKUP(H15,'GDP-PI'!$8:$9,2,FALSE)</f>
        <v>96.108999999999995</v>
      </c>
      <c r="DL15" s="355">
        <f t="shared" si="27"/>
        <v>1.1616598807150427E-2</v>
      </c>
      <c r="DO15" s="27">
        <v>4.3705481173557353E-2</v>
      </c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EC15" s="298">
        <f t="shared" si="20"/>
        <v>2010</v>
      </c>
    </row>
    <row r="16" spans="1:133" ht="21" customHeight="1" x14ac:dyDescent="0.4">
      <c r="A16" s="229" t="s">
        <v>148</v>
      </c>
      <c r="B16" s="391" t="s">
        <v>148</v>
      </c>
      <c r="C16" s="391">
        <v>4054707</v>
      </c>
      <c r="D16" s="391" t="s">
        <v>149</v>
      </c>
      <c r="E16" s="391"/>
      <c r="F16" s="391"/>
      <c r="G16" s="391" t="s">
        <v>167</v>
      </c>
      <c r="H16" s="11">
        <v>2011</v>
      </c>
      <c r="I16" s="46"/>
      <c r="J16" s="47">
        <f>IFERROR(INDEX('Labor Expenditures'!$E$7:$W$91,MATCH($C16,'Labor Expenditures'!$C$7:$C$91,0),MATCH($G16,'Labor Expenditures'!$E$5:$W$5,0)),"NA")</f>
        <v>58525.836594776476</v>
      </c>
      <c r="K16" s="47">
        <f t="shared" ca="1" si="28"/>
        <v>484.1847908564755</v>
      </c>
      <c r="M16" s="59">
        <f t="shared" ca="1" si="40"/>
        <v>-7.4713577402570452E-2</v>
      </c>
      <c r="N16" s="59"/>
      <c r="O16" s="59"/>
      <c r="P16" s="59">
        <f t="shared" ca="1" si="41"/>
        <v>-2.1223008841771171E-3</v>
      </c>
      <c r="Q16" s="61"/>
      <c r="R16" s="387"/>
      <c r="S16" s="49">
        <f t="shared" ca="1" si="51"/>
        <v>96.967290467427162</v>
      </c>
      <c r="T16" s="61">
        <f t="shared" ca="1" si="42"/>
        <v>-1.1025542770953257E-2</v>
      </c>
      <c r="U16" s="61">
        <f ca="1">SUMIF($G$11:P$1352,$G16,$P$11:$P$1352)</f>
        <v>-1.1025542770953257E-2</v>
      </c>
      <c r="V16" s="47">
        <f>IFERROR(INDEX('Non-Labor Expenditures'!$E$7:$AA$91,MATCH($C16,'Non-Labor Expenditures'!$C$7:$C$91,0),MATCH($G16,'Non-Labor Expenditures'!$E$5:$AA$5,0)),"NA")</f>
        <v>84756.342507679277</v>
      </c>
      <c r="W16" s="47">
        <f t="shared" si="35"/>
        <v>863.87335400031884</v>
      </c>
      <c r="X16" s="59">
        <f t="shared" si="43"/>
        <v>-6.2116046453911056E-2</v>
      </c>
      <c r="Y16" s="59">
        <f t="shared" si="44"/>
        <v>-1.7644576112371625E-3</v>
      </c>
      <c r="Z16" s="49">
        <f t="shared" si="52"/>
        <v>105.17760193744122</v>
      </c>
      <c r="AA16" s="61">
        <f t="shared" si="36"/>
        <v>1.5753997992192673E-3</v>
      </c>
      <c r="AB16" s="61"/>
      <c r="AC16" s="47">
        <f t="shared" si="14"/>
        <v>114434.84049022898</v>
      </c>
      <c r="AD16" s="59">
        <f t="shared" si="53"/>
        <v>6.92273574677333E-2</v>
      </c>
      <c r="AE16" s="73">
        <v>8737.6413762997527</v>
      </c>
      <c r="AF16" s="61">
        <v>3.9527899525527543E-2</v>
      </c>
      <c r="AG16" s="59">
        <f t="shared" si="45"/>
        <v>1.1228226385235998E-3</v>
      </c>
      <c r="AH16" s="49">
        <f t="shared" si="54"/>
        <v>118.64874246527195</v>
      </c>
      <c r="AI16" s="61">
        <f t="shared" si="37"/>
        <v>3.0517654466569705E-2</v>
      </c>
      <c r="AJ16" s="46">
        <f t="shared" si="29"/>
        <v>257717.01959268475</v>
      </c>
      <c r="AK16" s="61">
        <f t="shared" si="46"/>
        <v>6.1664368484204363E-3</v>
      </c>
      <c r="AL16" s="129">
        <f t="shared" si="38"/>
        <v>9072681.745954968</v>
      </c>
      <c r="AM16" s="61">
        <f t="shared" si="47"/>
        <v>3.9929893977223747E-2</v>
      </c>
      <c r="AN16" s="46">
        <f>+AL16*1000/Outputs!B19</f>
        <v>255.264706123548</v>
      </c>
      <c r="AO16" s="73">
        <f>+(Outputs!F19*1000)/Outputs!E19</f>
        <v>356.7655846866038</v>
      </c>
      <c r="AP16" s="73">
        <f t="shared" si="48"/>
        <v>170.5654228364439</v>
      </c>
      <c r="AQ16" s="61">
        <f>+BB16/Outputs!$B$19</f>
        <v>4.2511575449263213E-2</v>
      </c>
      <c r="AR16" s="62">
        <f t="shared" si="30"/>
        <v>0.22709340922565022</v>
      </c>
      <c r="AS16" s="62">
        <f t="shared" si="31"/>
        <v>0.32887367175685384</v>
      </c>
      <c r="AT16" s="62">
        <f t="shared" si="32"/>
        <v>0.44403291901749586</v>
      </c>
      <c r="AU16" s="62">
        <f t="shared" ca="1" si="49"/>
        <v>1.1102590288977608E-2</v>
      </c>
      <c r="AV16" s="49">
        <f t="shared" ca="1" si="56"/>
        <v>107.63992464556958</v>
      </c>
      <c r="AW16" s="61">
        <f t="shared" ca="1" si="57"/>
        <v>1.1102590288977714E-2</v>
      </c>
      <c r="AX16" s="56">
        <f>+AJ16/$AL$16</f>
        <v>2.8405826062132867E-2</v>
      </c>
      <c r="AY16" s="56">
        <f t="shared" ca="1" si="58"/>
        <v>3.1537824858782643E-4</v>
      </c>
      <c r="AZ16" s="49">
        <f t="shared" ca="1" si="55"/>
        <v>117.58446322817869</v>
      </c>
      <c r="BA16" s="61">
        <f t="shared" ca="1" si="50"/>
        <v>3.8650951383527574E-2</v>
      </c>
      <c r="BB16" s="230">
        <f>IFERROR(INDEX('Total Customers'!$E$7:$AA$91,MATCH($C16,'Total Customers'!$C$7:$C$91,0),MATCH($G16,'Total Customers'!$E$5:$AA$5,0)),"NA")</f>
        <v>1510957</v>
      </c>
      <c r="BC16" s="392">
        <f t="shared" si="15"/>
        <v>-1.3175014621119023E-3</v>
      </c>
      <c r="BE16" s="281" t="str">
        <f t="shared" si="0"/>
        <v>ATLANTA GAS LIGHT COMPANY</v>
      </c>
      <c r="BF16" s="290">
        <f t="shared" si="1"/>
        <v>4054707</v>
      </c>
      <c r="BG16" s="46" t="str">
        <f t="shared" si="2"/>
        <v>GA</v>
      </c>
      <c r="BH16" s="46"/>
      <c r="BI16" s="46" t="str">
        <f t="shared" si="3"/>
        <v>2011 Y</v>
      </c>
      <c r="BJ16" s="46"/>
      <c r="BK16" s="46"/>
      <c r="BL16" s="46">
        <f>INDEX('Dist. Plant Gas Additions'!$E$7:$AD$91,MATCH($C16,'Dist. Plant Gas Additions'!$C$7:$C$91,0),MATCH(Calculation!$G16,'Dist. Plant Gas Additions'!$E$5:$AD$5,0))</f>
        <v>223485</v>
      </c>
      <c r="BM16" s="46">
        <f>INDEX('Gen. Plant Additions'!$E$7:$AD$91,MATCH($C16,'Gen. Plant Additions'!$C$7:$C$91,0),MATCH(Calculation!$G16,'Gen. Plant Additions'!$E$5:$AD$5,0))</f>
        <v>20972</v>
      </c>
      <c r="BN16" s="393">
        <f t="shared" si="4"/>
        <v>0.94543581866396409</v>
      </c>
      <c r="BO16" s="46">
        <f t="shared" si="5"/>
        <v>19827.679989020657</v>
      </c>
      <c r="BP16" s="46">
        <f t="shared" si="6"/>
        <v>-1144.3200109793434</v>
      </c>
      <c r="BQ16" s="46">
        <f>INDEX('Dist Plant Depreciation'!$D$7:$AC$94,MATCH($C16,'Dist Plant Depreciation'!$C$7:$C$94,0),MATCH(Calculation!$G16,'Dist Plant Depreciation'!$D$5:$AC$5,0))</f>
        <v>1008761</v>
      </c>
      <c r="BR16" s="46">
        <f>INDEX('Gen. Plant Depreciation'!$D$7:$AC$94,MATCH($C16,'Gen. Plant Depreciation'!$C$7:$C$94,0),MATCH(Calculation!$G16,'Gen. Plant Depreciation'!$D$5:$AC$5,0))</f>
        <v>36147</v>
      </c>
      <c r="BS16" s="53">
        <v>1942</v>
      </c>
      <c r="BT16" s="53"/>
      <c r="BU16" s="51">
        <v>21.613878120540953</v>
      </c>
      <c r="BV16" s="62"/>
      <c r="BW16" s="46"/>
      <c r="BX16" s="46"/>
      <c r="BY16" s="46">
        <f>INDEX('Gross Dx Plant'!$D$7:$AC$91,MATCH($C16,'Gross Dx Plant'!$C$7:$C$91,0),MATCH(Calculation!$G16,'Gross Dx Plant'!$D$5:$AC$5,0))</f>
        <v>2865754</v>
      </c>
      <c r="BZ16" s="46">
        <f>INDEX('Gross Gen Plant'!$D$7:$AC$91,MATCH($C16,'Gross Gen Plant'!$C$7:$C$91,0),MATCH(Calculation!$G16,'Gross Gen Plant'!$D$5:$AC$5,0))</f>
        <v>165392</v>
      </c>
      <c r="CA16" s="46">
        <f t="shared" si="39"/>
        <v>1986238</v>
      </c>
      <c r="CB16" s="46"/>
      <c r="CC16" s="73">
        <v>2011</v>
      </c>
      <c r="CD16" s="46"/>
      <c r="CE16" s="46"/>
      <c r="CF16" s="46"/>
      <c r="CG16" s="53"/>
      <c r="CH16" s="46">
        <f t="shared" si="7"/>
        <v>244457</v>
      </c>
      <c r="CI16" s="46">
        <f t="shared" si="16"/>
        <v>243312.67998902066</v>
      </c>
      <c r="CJ16" s="46">
        <f t="shared" si="8"/>
        <v>397.82254038791234</v>
      </c>
      <c r="CK16" s="443">
        <v>0.8539325842696629</v>
      </c>
      <c r="CL16" s="46">
        <f>+CL3*CK16+CJ4*CK15+CJ5*CK14+CJ6*CK13+CJ7*CK12+CJ8*CK11+CJ9*CK10+CJ10*CK9+CJ11*CK8+CJ12*CK7+CJ13*CK6+CJ14*CK5+CJ15*CK4+CJ16</f>
        <v>8226.5734883503665</v>
      </c>
      <c r="CM16" s="61">
        <f t="shared" si="17"/>
        <v>3.5865953147590682E-2</v>
      </c>
      <c r="CN16" s="56">
        <f t="shared" si="18"/>
        <v>1.360722802169629E-2</v>
      </c>
      <c r="CO16" s="56">
        <f t="shared" si="23"/>
        <v>1.3258448334963377E-2</v>
      </c>
      <c r="CP16" s="61">
        <f>VLOOKUP($H16,RoR!$E:$F,2,FALSE)</f>
        <v>4.6391666666666664E-2</v>
      </c>
      <c r="CQ16" s="56">
        <v>2.0840920205183799E-2</v>
      </c>
      <c r="CR16" s="56">
        <f t="shared" si="19"/>
        <v>2.5550746461482865E-2</v>
      </c>
      <c r="CS16" s="56">
        <f t="shared" si="24"/>
        <v>1.7643493273570246E-2</v>
      </c>
      <c r="CT16" s="56">
        <f t="shared" si="25"/>
        <v>2.4810540821321614E-2</v>
      </c>
      <c r="CU16" s="96">
        <f t="shared" si="9"/>
        <v>0.87050000000000005</v>
      </c>
      <c r="CV16" s="58">
        <f t="shared" si="10"/>
        <v>1.1054151524782025</v>
      </c>
      <c r="CW16" s="58">
        <f t="shared" si="11"/>
        <v>0.43611011316687626</v>
      </c>
      <c r="CX16" s="58">
        <f t="shared" si="12"/>
        <v>0.83698442246886229</v>
      </c>
      <c r="CY16" s="58">
        <f t="shared" si="13"/>
        <v>0.40349573304423936</v>
      </c>
      <c r="CZ16" s="303">
        <f>INDEX('State Tax Lookup'!$D$7:$Z$91,MATCH(Calculation!$C16,'State Tax Lookup'!$B$7:$B$91,0),MATCH($H16,'State Tax Lookup'!$D$6:$Z$6,0))</f>
        <v>0.35</v>
      </c>
      <c r="DA16" s="303">
        <v>0.37</v>
      </c>
      <c r="DB16" s="57">
        <f t="shared" si="21"/>
        <v>14.418353613794553</v>
      </c>
      <c r="DC16" s="56">
        <f t="shared" si="26"/>
        <v>5.569022041559301E-2</v>
      </c>
      <c r="DD16" s="303">
        <f>VLOOKUP($H16,RoR!$E:$F,2,FALSE)</f>
        <v>4.6391666666666664E-2</v>
      </c>
      <c r="DE16" s="304">
        <f>HLOOKUP($H16,'GDP-PI'!$D$8:$CQ$11,3,FALSE)</f>
        <v>2.0840920205183799E-2</v>
      </c>
      <c r="DF16" s="303">
        <f>VLOOKUP(H16,'HW Dx Data'!$E:$F,2,FALSE)</f>
        <v>611.61109612283201</v>
      </c>
      <c r="DG16" s="89">
        <f ca="1">VLOOKUP(CC16,'ECI - Input Price'!M$13:N$33,2,FALSE)</f>
        <v>120.875</v>
      </c>
      <c r="DH16" s="89"/>
      <c r="DI16" s="89" t="b">
        <f t="shared" ca="1" si="33"/>
        <v>0</v>
      </c>
      <c r="DJ16" s="56">
        <f t="shared" ca="1" si="34"/>
        <v>3.3224250161508609E-2</v>
      </c>
      <c r="DK16" s="53">
        <f>HLOOKUP(H16,'GDP-PI'!$8:$9,2,FALSE)</f>
        <v>98.111999999999995</v>
      </c>
      <c r="DL16" s="355">
        <f t="shared" si="27"/>
        <v>2.0626719212849295E-2</v>
      </c>
      <c r="DO16" s="27">
        <v>7.0491873246850015E-4</v>
      </c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EC16" s="298">
        <f t="shared" si="20"/>
        <v>2011</v>
      </c>
    </row>
    <row r="17" spans="1:133" ht="21" customHeight="1" x14ac:dyDescent="0.4">
      <c r="A17" s="229" t="s">
        <v>148</v>
      </c>
      <c r="B17" s="391" t="s">
        <v>148</v>
      </c>
      <c r="C17" s="391">
        <v>4054707</v>
      </c>
      <c r="D17" s="391" t="s">
        <v>149</v>
      </c>
      <c r="E17" s="391"/>
      <c r="F17" s="391"/>
      <c r="G17" s="391" t="s">
        <v>168</v>
      </c>
      <c r="H17" s="11">
        <v>2012</v>
      </c>
      <c r="I17" s="46"/>
      <c r="J17" s="47">
        <f>IFERROR(INDEX('Labor Expenditures'!$E$7:$W$91,MATCH($C17,'Labor Expenditures'!$C$7:$C$91,0),MATCH($G17,'Labor Expenditures'!$E$5:$W$5,0)),"NA")</f>
        <v>57144.011407196085</v>
      </c>
      <c r="K17" s="47">
        <f t="shared" ca="1" si="28"/>
        <v>457.88470678843015</v>
      </c>
      <c r="M17" s="59">
        <f t="shared" ca="1" si="40"/>
        <v>-5.5849212618667557E-2</v>
      </c>
      <c r="N17" s="59"/>
      <c r="O17" s="59"/>
      <c r="P17" s="59">
        <f t="shared" ca="1" si="41"/>
        <v>-1.5872192503125432E-3</v>
      </c>
      <c r="Q17" s="61"/>
      <c r="R17" s="387"/>
      <c r="S17" s="49">
        <f t="shared" ca="1" si="51"/>
        <v>94.65335078444366</v>
      </c>
      <c r="T17" s="61">
        <f t="shared" ca="1" si="42"/>
        <v>-2.415243108699151E-2</v>
      </c>
      <c r="U17" s="61">
        <f ca="1">SUMIF($G$11:P$1352,$G17,$P$11:$P$1352)</f>
        <v>-2.415243108699151E-2</v>
      </c>
      <c r="V17" s="47">
        <f>IFERROR(INDEX('Non-Labor Expenditures'!$E$7:$AA$91,MATCH($C17,'Non-Labor Expenditures'!$C$7:$C$91,0),MATCH($G17,'Non-Labor Expenditures'!$E$5:$AA$5,0)),"NA")</f>
        <v>82755.201546718541</v>
      </c>
      <c r="W17" s="47">
        <f t="shared" si="35"/>
        <v>827.55201546718536</v>
      </c>
      <c r="X17" s="59">
        <f t="shared" si="43"/>
        <v>-4.2954213195541192E-2</v>
      </c>
      <c r="Y17" s="59">
        <f t="shared" si="44"/>
        <v>-1.2207469160129875E-3</v>
      </c>
      <c r="Z17" s="49">
        <f t="shared" si="52"/>
        <v>104.00052687376231</v>
      </c>
      <c r="AA17" s="61">
        <f t="shared" si="36"/>
        <v>-1.1254403072877587E-2</v>
      </c>
      <c r="AB17" s="61"/>
      <c r="AC17" s="47">
        <f t="shared" si="14"/>
        <v>126915.40263323912</v>
      </c>
      <c r="AD17" s="59">
        <f t="shared" si="53"/>
        <v>0.10351516118370688</v>
      </c>
      <c r="AE17" s="73">
        <v>8785.1872294407331</v>
      </c>
      <c r="AF17" s="61">
        <v>5.4267459774272036E-3</v>
      </c>
      <c r="AG17" s="59">
        <f t="shared" si="45"/>
        <v>1.542266269847031E-4</v>
      </c>
      <c r="AH17" s="49">
        <f t="shared" si="54"/>
        <v>122.13667157231505</v>
      </c>
      <c r="AI17" s="61">
        <f t="shared" si="37"/>
        <v>2.897329236682589E-2</v>
      </c>
      <c r="AJ17" s="46">
        <f t="shared" si="29"/>
        <v>266814.61558715376</v>
      </c>
      <c r="AK17" s="61">
        <f t="shared" si="46"/>
        <v>3.4691933915741588E-2</v>
      </c>
      <c r="AL17" s="129">
        <f t="shared" si="38"/>
        <v>9388360.2991588805</v>
      </c>
      <c r="AM17" s="61">
        <f t="shared" si="47"/>
        <v>3.4202763418619449E-2</v>
      </c>
      <c r="AN17" s="46">
        <f>+AL17*1000/Outputs!B20</f>
        <v>262.88061517636226</v>
      </c>
      <c r="AO17" s="73">
        <f>+(Outputs!F20*1000)/Outputs!E20</f>
        <v>363.4790066934458</v>
      </c>
      <c r="AP17" s="73">
        <f t="shared" si="48"/>
        <v>176.5817132697421</v>
      </c>
      <c r="AQ17" s="61">
        <f>+BB17/Outputs!$B$20</f>
        <v>4.2308994447714146E-2</v>
      </c>
      <c r="AR17" s="62">
        <f t="shared" si="30"/>
        <v>0.21417121877467113</v>
      </c>
      <c r="AS17" s="62">
        <f t="shared" si="31"/>
        <v>0.31015992645158125</v>
      </c>
      <c r="AT17" s="62">
        <f t="shared" si="32"/>
        <v>0.47566885477374754</v>
      </c>
      <c r="AU17" s="62">
        <f t="shared" ca="1" si="49"/>
        <v>4.3986165860441639E-3</v>
      </c>
      <c r="AV17" s="49">
        <f t="shared" ca="1" si="56"/>
        <v>108.11443423124244</v>
      </c>
      <c r="AW17" s="61">
        <f t="shared" ca="1" si="57"/>
        <v>4.3986165860441283E-3</v>
      </c>
      <c r="AX17" s="56">
        <f>+AJ17/$AL$17</f>
        <v>2.8419724753326537E-2</v>
      </c>
      <c r="AY17" s="56">
        <f t="shared" ca="1" si="58"/>
        <v>1.2500747267079097E-4</v>
      </c>
      <c r="AZ17" s="49">
        <f t="shared" ca="1" si="55"/>
        <v>122.90430283903933</v>
      </c>
      <c r="BA17" s="61">
        <f t="shared" ca="1" si="50"/>
        <v>4.4249115524604928E-2</v>
      </c>
      <c r="BB17" s="230">
        <f>IFERROR(INDEX('Total Customers'!$E$7:$AA$91,MATCH($C17,'Total Customers'!$C$7:$C$91,0),MATCH($G17,'Total Customers'!$E$5:$AA$5,0)),"NA")</f>
        <v>1510998</v>
      </c>
      <c r="BC17" s="392">
        <f t="shared" si="15"/>
        <v>2.7134752173766412E-5</v>
      </c>
      <c r="BE17" s="281" t="str">
        <f t="shared" si="0"/>
        <v>ATLANTA GAS LIGHT COMPANY</v>
      </c>
      <c r="BF17" s="290">
        <f t="shared" si="1"/>
        <v>4054707</v>
      </c>
      <c r="BG17" s="46" t="str">
        <f t="shared" si="2"/>
        <v>GA</v>
      </c>
      <c r="BH17" s="46"/>
      <c r="BI17" s="46" t="str">
        <f t="shared" si="3"/>
        <v>2012 Y</v>
      </c>
      <c r="BJ17" s="46"/>
      <c r="BK17" s="46"/>
      <c r="BL17" s="46">
        <f>INDEX('Dist. Plant Gas Additions'!$E$7:$AD$91,MATCH($C17,'Dist. Plant Gas Additions'!$C$7:$C$91,0),MATCH(Calculation!$G17,'Dist. Plant Gas Additions'!$E$5:$AD$5,0))</f>
        <v>69639</v>
      </c>
      <c r="BM17" s="46">
        <f>INDEX('Gen. Plant Additions'!$E$7:$AD$91,MATCH($C17,'Gen. Plant Additions'!$C$7:$C$91,0),MATCH(Calculation!$G17,'Gen. Plant Additions'!$E$5:$AD$5,0))</f>
        <v>5799</v>
      </c>
      <c r="BN17" s="393">
        <f t="shared" si="4"/>
        <v>0.94583226316054403</v>
      </c>
      <c r="BO17" s="46">
        <f t="shared" si="5"/>
        <v>5484.8812940679945</v>
      </c>
      <c r="BP17" s="46">
        <f t="shared" si="6"/>
        <v>-314.11870593200547</v>
      </c>
      <c r="BQ17" s="46">
        <f>INDEX('Dist Plant Depreciation'!$D$7:$AC$94,MATCH($C17,'Dist Plant Depreciation'!$C$7:$C$94,0),MATCH(Calculation!$G17,'Dist Plant Depreciation'!$D$5:$AC$5,0))</f>
        <v>1051228</v>
      </c>
      <c r="BR17" s="46">
        <f>INDEX('Gen. Plant Depreciation'!$D$7:$AC$94,MATCH($C17,'Gen. Plant Depreciation'!$C$7:$C$94,0),MATCH(Calculation!$G17,'Gen. Plant Depreciation'!$D$5:$AC$5,0))</f>
        <v>66744</v>
      </c>
      <c r="BS17" s="53">
        <v>1943</v>
      </c>
      <c r="BT17" s="53"/>
      <c r="BU17" s="51">
        <v>21.79563110533881</v>
      </c>
      <c r="BV17" s="62"/>
      <c r="BW17" s="46"/>
      <c r="BX17" s="46"/>
      <c r="BY17" s="46">
        <f>INDEX('Gross Dx Plant'!$D$7:$AC$91,MATCH($C17,'Gross Dx Plant'!$C$7:$C$91,0),MATCH(Calculation!$G17,'Gross Dx Plant'!$D$5:$AC$5,0))</f>
        <v>2931312</v>
      </c>
      <c r="BZ17" s="46">
        <f>INDEX('Gross Gen Plant'!$D$7:$AC$91,MATCH($C17,'Gross Gen Plant'!$C$7:$C$91,0),MATCH(Calculation!$G17,'Gross Gen Plant'!$D$5:$AC$5,0))</f>
        <v>167876</v>
      </c>
      <c r="CA17" s="46">
        <f t="shared" si="39"/>
        <v>1981216</v>
      </c>
      <c r="CB17" s="46"/>
      <c r="CC17" s="73">
        <v>2012</v>
      </c>
      <c r="CD17" s="46"/>
      <c r="CE17" s="46"/>
      <c r="CF17" s="46"/>
      <c r="CG17" s="53"/>
      <c r="CH17" s="46">
        <f t="shared" si="7"/>
        <v>75438</v>
      </c>
      <c r="CI17" s="46">
        <f t="shared" si="16"/>
        <v>75123.881294067993</v>
      </c>
      <c r="CJ17" s="46">
        <f t="shared" si="8"/>
        <v>112.3063407060917</v>
      </c>
      <c r="CK17" s="443">
        <v>0.84090909090909094</v>
      </c>
      <c r="CL17" s="46">
        <f>+CL3*CK17+CJ4*CK16+CJ5*CK15+CJ6*CK14+CJ7*CK13+CJ8*CK12+CJ9*CK11+CJ10*CK10+CJ11*CK9+CJ12*CK8+CJ13*CK7+CJ14*CK6+CJ15*CK5+CJ16*CK4+CJ17</f>
        <v>8224.5414262801805</v>
      </c>
      <c r="CM17" s="61">
        <f t="shared" si="17"/>
        <v>-2.4704247597387126E-4</v>
      </c>
      <c r="CN17" s="56">
        <f t="shared" si="18"/>
        <v>1.3898666673092024E-2</v>
      </c>
      <c r="CO17" s="56">
        <f t="shared" si="23"/>
        <v>1.358028641224567E-2</v>
      </c>
      <c r="CP17" s="61">
        <f>VLOOKUP($H17,RoR!$E:$F,2,FALSE)</f>
        <v>3.6733333333333333E-2</v>
      </c>
      <c r="CQ17" s="56">
        <v>1.924331376386168E-2</v>
      </c>
      <c r="CR17" s="56">
        <f t="shared" si="19"/>
        <v>1.7490019569471653E-2</v>
      </c>
      <c r="CS17" s="56">
        <f t="shared" si="24"/>
        <v>1.7321655196287956E-2</v>
      </c>
      <c r="CT17" s="56">
        <f t="shared" si="25"/>
        <v>6.7122682943869583E-2</v>
      </c>
      <c r="CU17" s="96">
        <f t="shared" si="9"/>
        <v>0.87050000000000005</v>
      </c>
      <c r="CV17" s="58">
        <f t="shared" si="10"/>
        <v>1.3960631020522127</v>
      </c>
      <c r="CW17" s="58">
        <f t="shared" si="11"/>
        <v>0.29441923774954631</v>
      </c>
      <c r="CX17" s="58">
        <f t="shared" si="12"/>
        <v>0.76377954189366437</v>
      </c>
      <c r="CY17" s="58">
        <f t="shared" si="13"/>
        <v>0.31393465103033691</v>
      </c>
      <c r="CZ17" s="303">
        <f>INDEX('State Tax Lookup'!$D$7:$Z$91,MATCH(Calculation!$C17,'State Tax Lookup'!$B$7:$B$91,0),MATCH($H17,'State Tax Lookup'!$D$6:$Z$6,0))</f>
        <v>0.35</v>
      </c>
      <c r="DA17" s="303">
        <v>0.37</v>
      </c>
      <c r="DB17" s="57">
        <f t="shared" si="21"/>
        <v>15.4274927237888</v>
      </c>
      <c r="DC17" s="56">
        <f t="shared" si="26"/>
        <v>6.7649208036116237E-2</v>
      </c>
      <c r="DD17" s="303">
        <f>VLOOKUP($H17,RoR!$E:$F,2,FALSE)</f>
        <v>3.6733333333333333E-2</v>
      </c>
      <c r="DE17" s="304">
        <f>HLOOKUP($H17,'GDP-PI'!$D$8:$CQ$11,3,FALSE)</f>
        <v>1.924331376386168E-2</v>
      </c>
      <c r="DF17" s="303">
        <f>VLOOKUP(H17,'HW Dx Data'!$E:$F,2,FALSE)</f>
        <v>668.91932211262167</v>
      </c>
      <c r="DG17" s="89">
        <f ca="1">VLOOKUP(CC17,'ECI - Input Price'!M$13:N$33,2,FALSE)</f>
        <v>124.80000000000001</v>
      </c>
      <c r="DH17" s="89"/>
      <c r="DI17" s="89" t="b">
        <f t="shared" ca="1" si="33"/>
        <v>0</v>
      </c>
      <c r="DJ17" s="56">
        <f t="shared" ca="1" si="34"/>
        <v>3.1955502161869064E-2</v>
      </c>
      <c r="DK17" s="53">
        <f>HLOOKUP(H17,'GDP-PI'!$8:$9,2,FALSE)</f>
        <v>100</v>
      </c>
      <c r="DL17" s="355">
        <f t="shared" si="27"/>
        <v>1.9060502738742411E-2</v>
      </c>
      <c r="DO17" s="27">
        <v>1.2856192326674205E-3</v>
      </c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EC17" s="298">
        <f t="shared" si="20"/>
        <v>2012</v>
      </c>
    </row>
    <row r="18" spans="1:133" ht="21" customHeight="1" x14ac:dyDescent="0.4">
      <c r="A18" s="229" t="s">
        <v>148</v>
      </c>
      <c r="B18" s="391" t="s">
        <v>148</v>
      </c>
      <c r="C18" s="391">
        <v>4054707</v>
      </c>
      <c r="D18" s="391" t="s">
        <v>149</v>
      </c>
      <c r="E18" s="391"/>
      <c r="F18" s="391"/>
      <c r="G18" s="391" t="s">
        <v>169</v>
      </c>
      <c r="H18" s="11">
        <v>2013</v>
      </c>
      <c r="I18" s="46"/>
      <c r="J18" s="47">
        <f>IFERROR(INDEX('Labor Expenditures'!$E$7:$W$91,MATCH($C18,'Labor Expenditures'!$C$7:$C$91,0),MATCH($G18,'Labor Expenditures'!$E$5:$W$5,0)),"NA")</f>
        <v>61019.268278164054</v>
      </c>
      <c r="K18" s="47">
        <f t="shared" ca="1" si="28"/>
        <v>481.22451323473229</v>
      </c>
      <c r="M18" s="59">
        <f t="shared" ca="1" si="40"/>
        <v>4.9716504165944676E-2</v>
      </c>
      <c r="N18" s="59"/>
      <c r="O18" s="59"/>
      <c r="P18" s="59">
        <f t="shared" ca="1" si="41"/>
        <v>1.392937890878382E-3</v>
      </c>
      <c r="Q18" s="61"/>
      <c r="R18" s="387"/>
      <c r="S18" s="49">
        <f t="shared" ca="1" si="51"/>
        <v>98.447548215695932</v>
      </c>
      <c r="T18" s="61">
        <f t="shared" ca="1" si="42"/>
        <v>3.9302622050529507E-2</v>
      </c>
      <c r="U18" s="61">
        <f ca="1">SUMIF($G$11:P$1352,$G18,$P$11:$P$1352)</f>
        <v>3.9302622050529507E-2</v>
      </c>
      <c r="V18" s="47">
        <f>IFERROR(INDEX('Non-Labor Expenditures'!$E$7:$AA$91,MATCH($C18,'Non-Labor Expenditures'!$C$7:$C$91,0),MATCH($G18,'Non-Labor Expenditures'!$E$5:$AA$5,0)),"NA")</f>
        <v>88367.297294023301</v>
      </c>
      <c r="W18" s="47">
        <f t="shared" si="35"/>
        <v>868.27839696209514</v>
      </c>
      <c r="X18" s="59">
        <f t="shared" si="43"/>
        <v>4.8040433217232455E-2</v>
      </c>
      <c r="Y18" s="59">
        <f t="shared" si="44"/>
        <v>1.3459783797174795E-3</v>
      </c>
      <c r="Z18" s="49">
        <f t="shared" si="52"/>
        <v>107.98821459808234</v>
      </c>
      <c r="AA18" s="61">
        <f t="shared" si="36"/>
        <v>3.7626131855514097E-2</v>
      </c>
      <c r="AB18" s="61"/>
      <c r="AC18" s="47">
        <f t="shared" si="14"/>
        <v>123241.04241481892</v>
      </c>
      <c r="AD18" s="59">
        <f t="shared" si="53"/>
        <v>-2.9378611397608265E-2</v>
      </c>
      <c r="AE18" s="73">
        <v>8975.5753586078317</v>
      </c>
      <c r="AF18" s="61">
        <v>2.1440005315540047E-2</v>
      </c>
      <c r="AG18" s="59">
        <f t="shared" si="45"/>
        <v>6.0069782229593314E-4</v>
      </c>
      <c r="AH18" s="49">
        <f t="shared" si="54"/>
        <v>126.16338106249887</v>
      </c>
      <c r="AI18" s="61">
        <f t="shared" si="37"/>
        <v>3.2437065592454448E-2</v>
      </c>
      <c r="AJ18" s="46">
        <f t="shared" si="29"/>
        <v>272627.60798700631</v>
      </c>
      <c r="AK18" s="61">
        <f t="shared" si="46"/>
        <v>2.1552697080050729E-2</v>
      </c>
      <c r="AL18" s="129">
        <f t="shared" si="38"/>
        <v>9730578.5828615557</v>
      </c>
      <c r="AM18" s="61">
        <f t="shared" si="47"/>
        <v>3.5802702294848075E-2</v>
      </c>
      <c r="AN18" s="46">
        <f>+AL18*1000/Outputs!B21</f>
        <v>270.72647042366913</v>
      </c>
      <c r="AO18" s="73">
        <f>+(Outputs!F21*1000)/Outputs!E21</f>
        <v>369.55147679256982</v>
      </c>
      <c r="AP18" s="73">
        <f t="shared" si="48"/>
        <v>179.5450107788582</v>
      </c>
      <c r="AQ18" s="61">
        <f>+BB18/Outputs!$B$21</f>
        <v>4.2246287344955016E-2</v>
      </c>
      <c r="AR18" s="62">
        <f t="shared" si="30"/>
        <v>0.2238191088888998</v>
      </c>
      <c r="AS18" s="62">
        <f t="shared" si="31"/>
        <v>0.32413187331429388</v>
      </c>
      <c r="AT18" s="62">
        <f t="shared" si="32"/>
        <v>0.45204901779680617</v>
      </c>
      <c r="AU18" s="62">
        <f t="shared" ca="1" si="49"/>
        <v>3.5586280343337211E-2</v>
      </c>
      <c r="AV18" s="49">
        <f t="shared" ca="1" si="56"/>
        <v>112.03110127795415</v>
      </c>
      <c r="AW18" s="61">
        <f t="shared" ca="1" si="57"/>
        <v>3.5586280343337238E-2</v>
      </c>
      <c r="AX18" s="56">
        <f>+AJ18/$AL$18</f>
        <v>2.8017615362275029E-2</v>
      </c>
      <c r="AY18" s="56">
        <f t="shared" ca="1" si="58"/>
        <v>9.9704271483371139E-4</v>
      </c>
      <c r="AZ18" s="49">
        <f t="shared" ca="1" si="55"/>
        <v>122.35767675740567</v>
      </c>
      <c r="BA18" s="61">
        <f t="shared" ca="1" si="50"/>
        <v>-4.457494697064128E-3</v>
      </c>
      <c r="BB18" s="230">
        <f>IFERROR(INDEX('Total Customers'!$E$7:$AA$91,MATCH($C18,'Total Customers'!$C$7:$C$91,0),MATCH($G18,'Total Customers'!$E$5:$AA$5,0)),"NA")</f>
        <v>1518436</v>
      </c>
      <c r="BC18" s="392">
        <f t="shared" si="15"/>
        <v>4.9104980970240304E-3</v>
      </c>
      <c r="BE18" s="281" t="str">
        <f t="shared" si="0"/>
        <v>ATLANTA GAS LIGHT COMPANY</v>
      </c>
      <c r="BF18" s="290">
        <f t="shared" si="1"/>
        <v>4054707</v>
      </c>
      <c r="BG18" s="46" t="str">
        <f t="shared" si="2"/>
        <v>GA</v>
      </c>
      <c r="BH18" s="46"/>
      <c r="BI18" s="46" t="str">
        <f t="shared" si="3"/>
        <v>2013 Y</v>
      </c>
      <c r="BJ18" s="46"/>
      <c r="BK18" s="46"/>
      <c r="BL18" s="46">
        <f>INDEX('Dist. Plant Gas Additions'!$E$7:$AD$91,MATCH($C18,'Dist. Plant Gas Additions'!$C$7:$C$91,0),MATCH(Calculation!$G18,'Dist. Plant Gas Additions'!$E$5:$AD$5,0))</f>
        <v>143553</v>
      </c>
      <c r="BM18" s="46">
        <f>INDEX('Gen. Plant Additions'!$E$7:$AD$91,MATCH($C18,'Gen. Plant Additions'!$C$7:$C$91,0),MATCH(Calculation!$G18,'Gen. Plant Additions'!$E$5:$AD$5,0))</f>
        <v>27931</v>
      </c>
      <c r="BN18" s="393">
        <f t="shared" si="4"/>
        <v>0.94342546484479284</v>
      </c>
      <c r="BO18" s="46">
        <f t="shared" si="5"/>
        <v>26350.816658579908</v>
      </c>
      <c r="BP18" s="46">
        <f t="shared" si="6"/>
        <v>-1580.1833414200919</v>
      </c>
      <c r="BQ18" s="46">
        <f>INDEX('Dist Plant Depreciation'!$D$7:$AC$94,MATCH($C18,'Dist Plant Depreciation'!$C$7:$C$94,0),MATCH(Calculation!$G18,'Dist Plant Depreciation'!$D$5:$AC$5,0))</f>
        <v>1124693</v>
      </c>
      <c r="BR18" s="46">
        <f>INDEX('Gen. Plant Depreciation'!$D$7:$AC$94,MATCH($C18,'Gen. Plant Depreciation'!$C$7:$C$94,0),MATCH(Calculation!$G18,'Gen. Plant Depreciation'!$D$5:$AC$5,0))</f>
        <v>54299</v>
      </c>
      <c r="BS18" s="53">
        <v>1944</v>
      </c>
      <c r="BT18" s="53"/>
      <c r="BU18" s="51">
        <v>21.993225304858008</v>
      </c>
      <c r="BV18" s="62"/>
      <c r="BW18" s="46"/>
      <c r="BX18" s="46"/>
      <c r="BY18" s="46">
        <f>INDEX('Gross Dx Plant'!$D$7:$AC$91,MATCH($C18,'Gross Dx Plant'!$C$7:$C$91,0),MATCH(Calculation!$G18,'Gross Dx Plant'!$D$5:$AC$5,0))</f>
        <v>3060459</v>
      </c>
      <c r="BZ18" s="46">
        <f>INDEX('Gross Gen Plant'!$D$7:$AC$91,MATCH($C18,'Gross Gen Plant'!$C$7:$C$91,0),MATCH(Calculation!$G18,'Gross Gen Plant'!$D$5:$AC$5,0))</f>
        <v>183527</v>
      </c>
      <c r="CA18" s="46">
        <f t="shared" si="39"/>
        <v>2064994</v>
      </c>
      <c r="CB18" s="46"/>
      <c r="CC18" s="73">
        <v>2013</v>
      </c>
      <c r="CD18" s="46"/>
      <c r="CE18" s="46"/>
      <c r="CF18" s="46"/>
      <c r="CG18" s="53"/>
      <c r="CH18" s="46">
        <f t="shared" si="7"/>
        <v>171484</v>
      </c>
      <c r="CI18" s="46">
        <f t="shared" si="16"/>
        <v>169903.81665857992</v>
      </c>
      <c r="CJ18" s="46">
        <f t="shared" si="8"/>
        <v>256.16920486000197</v>
      </c>
      <c r="CK18" s="443">
        <v>0.82758620689655171</v>
      </c>
      <c r="CL18" s="46">
        <f>+CL3*CK18+CJ4*CK17+CJ5*CK16+CJ6*CK15+CJ7*CK14+CJ8*CK13+CJ9*CK12+CJ10*CK11+CJ11*CK10+CJ12*CK9+CJ13*CK8+CJ14*CK7+CJ15*CK6+CJ16*CK5+CJ17*CK4+CJ18</f>
        <v>8362.6979055014417</v>
      </c>
      <c r="CM18" s="61">
        <f t="shared" si="17"/>
        <v>1.6658549550688052E-2</v>
      </c>
      <c r="CN18" s="56">
        <f t="shared" si="18"/>
        <v>1.4348851750159635E-2</v>
      </c>
      <c r="CO18" s="56">
        <f t="shared" si="23"/>
        <v>1.3951582148315983E-2</v>
      </c>
      <c r="CP18" s="61">
        <f>VLOOKUP($H18,RoR!$E:$F,2,FALSE)</f>
        <v>4.2350000000000006E-2</v>
      </c>
      <c r="CQ18" s="56">
        <v>1.7730000000000024E-2</v>
      </c>
      <c r="CR18" s="56">
        <f t="shared" si="19"/>
        <v>2.4619999999999982E-2</v>
      </c>
      <c r="CS18" s="56">
        <f t="shared" si="24"/>
        <v>1.695035946021764E-2</v>
      </c>
      <c r="CT18" s="56">
        <f t="shared" si="25"/>
        <v>5.3376742735721204E-2</v>
      </c>
      <c r="CU18" s="96">
        <f t="shared" si="9"/>
        <v>0.87050000000000005</v>
      </c>
      <c r="CV18" s="58">
        <f t="shared" si="10"/>
        <v>1.2109103018193925</v>
      </c>
      <c r="CW18" s="58">
        <f t="shared" si="11"/>
        <v>0.38468122786304604</v>
      </c>
      <c r="CX18" s="58">
        <f t="shared" si="12"/>
        <v>0.80969194503422559</v>
      </c>
      <c r="CY18" s="58">
        <f t="shared" si="13"/>
        <v>0.37716621754800816</v>
      </c>
      <c r="CZ18" s="303">
        <f>INDEX('State Tax Lookup'!$D$7:$Z$91,MATCH(Calculation!$C18,'State Tax Lookup'!$B$7:$B$91,0),MATCH($H18,'State Tax Lookup'!$D$6:$Z$6,0))</f>
        <v>0.35</v>
      </c>
      <c r="DA18" s="303">
        <v>0.37</v>
      </c>
      <c r="DB18" s="57">
        <f t="shared" si="21"/>
        <v>14.984548806699699</v>
      </c>
      <c r="DC18" s="56">
        <f t="shared" si="26"/>
        <v>-2.913156892163437E-2</v>
      </c>
      <c r="DD18" s="303">
        <f>VLOOKUP($H18,RoR!$E:$F,2,FALSE)</f>
        <v>4.2350000000000006E-2</v>
      </c>
      <c r="DE18" s="304">
        <f>HLOOKUP($H18,'GDP-PI'!$D$8:$CQ$11,3,FALSE)</f>
        <v>1.7730000000000024E-2</v>
      </c>
      <c r="DF18" s="303">
        <f>VLOOKUP(H18,'HW Dx Data'!$E:$F,2,FALSE)</f>
        <v>663.24840548821396</v>
      </c>
      <c r="DG18" s="89">
        <f ca="1">VLOOKUP(CC18,'ECI - Input Price'!M$13:N$33,2,FALSE)</f>
        <v>126.8</v>
      </c>
      <c r="DH18" s="89"/>
      <c r="DI18" s="89" t="b">
        <f t="shared" ca="1" si="33"/>
        <v>0</v>
      </c>
      <c r="DJ18" s="56">
        <f t="shared" ca="1" si="34"/>
        <v>1.5898586067798204E-2</v>
      </c>
      <c r="DK18" s="53">
        <f>HLOOKUP(H18,'GDP-PI'!$8:$9,2,FALSE)</f>
        <v>101.773</v>
      </c>
      <c r="DL18" s="355">
        <f t="shared" si="27"/>
        <v>1.7574657016510519E-2</v>
      </c>
      <c r="DO18" s="27">
        <v>3.7681794141276863E-2</v>
      </c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EC18" s="298">
        <f t="shared" si="20"/>
        <v>2013</v>
      </c>
    </row>
    <row r="19" spans="1:133" ht="21" customHeight="1" x14ac:dyDescent="0.4">
      <c r="A19" s="229" t="s">
        <v>148</v>
      </c>
      <c r="B19" s="391" t="s">
        <v>148</v>
      </c>
      <c r="C19" s="391">
        <v>4054707</v>
      </c>
      <c r="D19" s="391" t="s">
        <v>149</v>
      </c>
      <c r="E19" s="391"/>
      <c r="F19" s="391"/>
      <c r="G19" s="391" t="s">
        <v>170</v>
      </c>
      <c r="H19" s="11">
        <v>2014</v>
      </c>
      <c r="I19" s="46"/>
      <c r="J19" s="47">
        <f>IFERROR(INDEX('Labor Expenditures'!$E$7:$W$91,MATCH($C19,'Labor Expenditures'!$C$7:$C$91,0),MATCH($G19,'Labor Expenditures'!$E$5:$W$5,0)),"NA")</f>
        <v>58448.356257342151</v>
      </c>
      <c r="K19" s="47">
        <f t="shared" ca="1" si="28"/>
        <v>451.68745175689452</v>
      </c>
      <c r="M19" s="59">
        <f t="shared" ca="1" si="40"/>
        <v>-6.3343462450527951E-2</v>
      </c>
      <c r="N19" s="59"/>
      <c r="O19" s="59"/>
      <c r="P19" s="59">
        <f t="shared" ca="1" si="41"/>
        <v>-1.7240993375879955E-3</v>
      </c>
      <c r="Q19" s="61"/>
      <c r="R19" s="387"/>
      <c r="S19" s="49">
        <f t="shared" ca="1" si="51"/>
        <v>97.343145989243439</v>
      </c>
      <c r="T19" s="61">
        <f t="shared" ca="1" si="42"/>
        <v>-1.1281577445603852E-2</v>
      </c>
      <c r="U19" s="61">
        <f ca="1">SUMIF($G$11:P$1352,$G19,$P$11:$P$1352)</f>
        <v>-1.1281577445603852E-2</v>
      </c>
      <c r="V19" s="47">
        <f>IFERROR(INDEX('Non-Labor Expenditures'!$E$7:$AA$91,MATCH($C19,'Non-Labor Expenditures'!$C$7:$C$91,0),MATCH($G19,'Non-Labor Expenditures'!$E$5:$AA$5,0)),"NA")</f>
        <v>84644.136507743504</v>
      </c>
      <c r="W19" s="47">
        <f t="shared" si="35"/>
        <v>816.65785317224334</v>
      </c>
      <c r="X19" s="59">
        <f t="shared" si="43"/>
        <v>-6.1292174285109212E-2</v>
      </c>
      <c r="Y19" s="59">
        <f t="shared" si="44"/>
        <v>-1.6682668265382136E-3</v>
      </c>
      <c r="Z19" s="49">
        <f t="shared" si="52"/>
        <v>106.99606720966329</v>
      </c>
      <c r="AA19" s="61">
        <f t="shared" si="36"/>
        <v>-9.2300183413755923E-3</v>
      </c>
      <c r="AB19" s="61"/>
      <c r="AC19" s="47">
        <f t="shared" si="14"/>
        <v>126619.23164025489</v>
      </c>
      <c r="AD19" s="59">
        <f t="shared" si="53"/>
        <v>2.7042274758214337E-2</v>
      </c>
      <c r="AE19" s="73">
        <v>9187.5785019206905</v>
      </c>
      <c r="AF19" s="61">
        <v>2.3345369800932571E-2</v>
      </c>
      <c r="AG19" s="59">
        <f t="shared" si="45"/>
        <v>6.3542053200786423E-4</v>
      </c>
      <c r="AH19" s="49">
        <f t="shared" si="54"/>
        <v>130.87791165877442</v>
      </c>
      <c r="AI19" s="61">
        <f t="shared" si="37"/>
        <v>3.6687174481198716E-2</v>
      </c>
      <c r="AJ19" s="46">
        <f t="shared" si="29"/>
        <v>269711.72440534056</v>
      </c>
      <c r="AK19" s="61">
        <f t="shared" si="46"/>
        <v>-1.0753089455850224E-2</v>
      </c>
      <c r="AL19" s="129">
        <f t="shared" si="38"/>
        <v>9909217.012540536</v>
      </c>
      <c r="AM19" s="61">
        <f t="shared" si="47"/>
        <v>1.8191977146988732E-2</v>
      </c>
      <c r="AN19" s="46">
        <f>+AL19*1000/Outputs!B22</f>
        <v>274.22334869881774</v>
      </c>
      <c r="AO19" s="73">
        <f>+(Outputs!F22*1000)/Outputs!E22</f>
        <v>382.21680738398641</v>
      </c>
      <c r="AP19" s="73">
        <f t="shared" si="48"/>
        <v>175.9910399237213</v>
      </c>
      <c r="AQ19" s="61">
        <f>+BB19/Outputs!$B$22</f>
        <v>4.2410594325757139E-2</v>
      </c>
      <c r="AR19" s="62">
        <f t="shared" si="30"/>
        <v>0.21670676862939078</v>
      </c>
      <c r="AS19" s="62">
        <f t="shared" si="31"/>
        <v>0.31383187621660347</v>
      </c>
      <c r="AT19" s="62">
        <f t="shared" si="32"/>
        <v>0.46946135515400572</v>
      </c>
      <c r="AU19" s="62">
        <f t="shared" ca="1" si="49"/>
        <v>1.147468396268141E-2</v>
      </c>
      <c r="AV19" s="49">
        <f t="shared" ca="1" si="56"/>
        <v>113.32402652700418</v>
      </c>
      <c r="AW19" s="61">
        <f t="shared" ca="1" si="57"/>
        <v>1.1474683962681406E-2</v>
      </c>
      <c r="AX19" s="56">
        <f>+AJ19/$AL$19</f>
        <v>2.7218268008865776E-2</v>
      </c>
      <c r="AY19" s="56">
        <f t="shared" ca="1" si="58"/>
        <v>3.1232102341329648E-4</v>
      </c>
      <c r="AZ19" s="49">
        <f t="shared" ca="1" si="55"/>
        <v>124.21622524552909</v>
      </c>
      <c r="BA19" s="61">
        <f t="shared" ca="1" si="50"/>
        <v>1.5075266857295357E-2</v>
      </c>
      <c r="BB19" s="230">
        <f>IFERROR(INDEX('Total Customers'!$E$7:$AA$91,MATCH($C19,'Total Customers'!$C$7:$C$91,0),MATCH($G19,'Total Customers'!$E$5:$AA$5,0)),"NA")</f>
        <v>1532531</v>
      </c>
      <c r="BC19" s="392">
        <f t="shared" si="15"/>
        <v>9.2397592486168478E-3</v>
      </c>
      <c r="BE19" s="281" t="str">
        <f t="shared" si="0"/>
        <v>ATLANTA GAS LIGHT COMPANY</v>
      </c>
      <c r="BF19" s="290">
        <f t="shared" si="1"/>
        <v>4054707</v>
      </c>
      <c r="BG19" s="46" t="str">
        <f t="shared" si="2"/>
        <v>GA</v>
      </c>
      <c r="BH19" s="46"/>
      <c r="BI19" s="46" t="str">
        <f t="shared" si="3"/>
        <v>2014 Y</v>
      </c>
      <c r="BJ19" s="46"/>
      <c r="BK19" s="46"/>
      <c r="BL19" s="46">
        <f>INDEX('Dist. Plant Gas Additions'!$E$7:$AD$91,MATCH($C19,'Dist. Plant Gas Additions'!$C$7:$C$91,0),MATCH(Calculation!$G19,'Dist. Plant Gas Additions'!$E$5:$AD$5,0))</f>
        <v>176212</v>
      </c>
      <c r="BM19" s="46">
        <f>INDEX('Gen. Plant Additions'!$E$7:$AD$91,MATCH($C19,'Gen. Plant Additions'!$C$7:$C$91,0),MATCH(Calculation!$G19,'Gen. Plant Additions'!$E$5:$AD$5,0))</f>
        <v>18160</v>
      </c>
      <c r="BN19" s="393">
        <f t="shared" si="4"/>
        <v>0.9414946934394548</v>
      </c>
      <c r="BO19" s="46">
        <f t="shared" si="5"/>
        <v>17097.543632860499</v>
      </c>
      <c r="BP19" s="46">
        <f t="shared" si="6"/>
        <v>-1062.4563671395008</v>
      </c>
      <c r="BQ19" s="46">
        <f>INDEX('Dist Plant Depreciation'!$D$7:$AC$94,MATCH($C19,'Dist Plant Depreciation'!$C$7:$C$94,0),MATCH(Calculation!$G19,'Dist Plant Depreciation'!$D$5:$AC$5,0))</f>
        <v>1146445</v>
      </c>
      <c r="BR19" s="46">
        <f>INDEX('Gen. Plant Depreciation'!$D$7:$AC$94,MATCH($C19,'Gen. Plant Depreciation'!$C$7:$C$94,0),MATCH(Calculation!$G19,'Gen. Plant Depreciation'!$D$5:$AC$5,0))</f>
        <v>84242</v>
      </c>
      <c r="BS19" s="53">
        <v>1945</v>
      </c>
      <c r="BT19" s="53"/>
      <c r="BU19" s="51">
        <v>22.288165665558065</v>
      </c>
      <c r="BV19" s="62"/>
      <c r="BW19" s="46"/>
      <c r="BX19" s="46"/>
      <c r="BY19" s="46">
        <f>INDEX('Gross Dx Plant'!$D$7:$AC$91,MATCH($C19,'Gross Dx Plant'!$C$7:$C$91,0),MATCH(Calculation!$G19,'Gross Dx Plant'!$D$5:$AC$5,0))</f>
        <v>3210431</v>
      </c>
      <c r="BZ19" s="46">
        <f>INDEX('Gross Gen Plant'!$D$7:$AC$91,MATCH($C19,'Gross Gen Plant'!$C$7:$C$91,0),MATCH(Calculation!$G19,'Gross Gen Plant'!$D$5:$AC$5,0))</f>
        <v>199499</v>
      </c>
      <c r="CA19" s="46">
        <f t="shared" si="39"/>
        <v>2179243</v>
      </c>
      <c r="CB19" s="46"/>
      <c r="CC19" s="73">
        <v>2014</v>
      </c>
      <c r="CD19" s="46"/>
      <c r="CE19" s="46"/>
      <c r="CF19" s="46"/>
      <c r="CG19" s="53"/>
      <c r="CH19" s="46">
        <f t="shared" si="7"/>
        <v>194372</v>
      </c>
      <c r="CI19" s="46">
        <f t="shared" si="16"/>
        <v>193309.5436328605</v>
      </c>
      <c r="CJ19" s="46">
        <f t="shared" si="8"/>
        <v>282.42258347518049</v>
      </c>
      <c r="CK19" s="443">
        <v>0.81395348837209303</v>
      </c>
      <c r="CL19" s="46">
        <f>+CL3*CK19+CJ4*CK18+CJ5*CK17+CJ6*CK16+CJ7*CK15+CJ8*CK14+CJ9*CK13+CJ10*CK12+CJ11*CK11+CJ12*CK10+CJ13*CK9+CJ14*CK8+CJ15*CK7+CJ16*CK6+CJ17*CK5+CJ18*CK4+CJ19</f>
        <v>8521.899548362011</v>
      </c>
      <c r="CM19" s="61">
        <f t="shared" si="17"/>
        <v>1.8858176672788586E-2</v>
      </c>
      <c r="CN19" s="56">
        <f t="shared" si="18"/>
        <v>1.4734591875374292E-2</v>
      </c>
      <c r="CO19" s="56">
        <f t="shared" si="23"/>
        <v>1.4327370099541983E-2</v>
      </c>
      <c r="CP19" s="61">
        <f>VLOOKUP($H19,RoR!$E:$F,2,FALSE)</f>
        <v>4.1625000000000002E-2</v>
      </c>
      <c r="CQ19" s="56">
        <v>1.841352814597208E-2</v>
      </c>
      <c r="CR19" s="56">
        <f t="shared" si="19"/>
        <v>2.3211471854027922E-2</v>
      </c>
      <c r="CS19" s="56">
        <f t="shared" si="24"/>
        <v>1.6574571508991644E-2</v>
      </c>
      <c r="CT19" s="56">
        <f t="shared" si="25"/>
        <v>3.9072621432650924E-2</v>
      </c>
      <c r="CU19" s="96">
        <f t="shared" si="9"/>
        <v>0.87050000000000005</v>
      </c>
      <c r="CV19" s="58">
        <f t="shared" si="10"/>
        <v>1.2320012320012319</v>
      </c>
      <c r="CW19" s="58">
        <f t="shared" si="11"/>
        <v>0.37439939939939942</v>
      </c>
      <c r="CX19" s="58">
        <f t="shared" si="12"/>
        <v>0.80432100613819935</v>
      </c>
      <c r="CY19" s="58">
        <f t="shared" si="13"/>
        <v>0.37100152660040037</v>
      </c>
      <c r="CZ19" s="303">
        <f>INDEX('State Tax Lookup'!$D$7:$Z$91,MATCH(Calculation!$C19,'State Tax Lookup'!$B$7:$B$91,0),MATCH($H19,'State Tax Lookup'!$D$6:$Z$6,0))</f>
        <v>0.35</v>
      </c>
      <c r="DA19" s="303">
        <v>0.37</v>
      </c>
      <c r="DB19" s="57">
        <f t="shared" si="21"/>
        <v>15.140954877367722</v>
      </c>
      <c r="DC19" s="56">
        <f t="shared" si="26"/>
        <v>1.0383725207526451E-2</v>
      </c>
      <c r="DD19" s="303">
        <f>VLOOKUP($H19,RoR!$E:$F,2,FALSE)</f>
        <v>4.1625000000000002E-2</v>
      </c>
      <c r="DE19" s="304">
        <f>HLOOKUP($H19,'GDP-PI'!$D$8:$CQ$11,3,FALSE)</f>
        <v>1.841352814597208E-2</v>
      </c>
      <c r="DF19" s="303">
        <f>VLOOKUP(H19,'HW Dx Data'!$E:$F,2,FALSE)</f>
        <v>684.46914285042885</v>
      </c>
      <c r="DG19" s="89">
        <f ca="1">VLOOKUP(CC19,'ECI - Input Price'!M$13:N$33,2,FALSE)</f>
        <v>129.4</v>
      </c>
      <c r="DH19" s="89"/>
      <c r="DI19" s="89" t="b">
        <f t="shared" ca="1" si="33"/>
        <v>0</v>
      </c>
      <c r="DJ19" s="56">
        <f t="shared" ca="1" si="34"/>
        <v>2.0297340063674733E-2</v>
      </c>
      <c r="DK19" s="53">
        <f>HLOOKUP(H19,'GDP-PI'!$8:$9,2,FALSE)</f>
        <v>103.64700000000001</v>
      </c>
      <c r="DL19" s="355">
        <f t="shared" si="27"/>
        <v>1.8246051898256087E-2</v>
      </c>
      <c r="DO19" s="27">
        <v>3.3310601358195048E-3</v>
      </c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EC19" s="298">
        <f t="shared" si="20"/>
        <v>2014</v>
      </c>
    </row>
    <row r="20" spans="1:133" ht="21" customHeight="1" x14ac:dyDescent="0.4">
      <c r="A20" s="229" t="s">
        <v>148</v>
      </c>
      <c r="B20" s="391" t="s">
        <v>148</v>
      </c>
      <c r="C20" s="391">
        <v>4054707</v>
      </c>
      <c r="D20" s="391" t="s">
        <v>149</v>
      </c>
      <c r="E20" s="391"/>
      <c r="F20" s="391"/>
      <c r="G20" s="391" t="s">
        <v>171</v>
      </c>
      <c r="H20" s="11">
        <v>2015</v>
      </c>
      <c r="I20" s="46"/>
      <c r="J20" s="47">
        <f>IFERROR(INDEX('Labor Expenditures'!$E$7:$W$91,MATCH($C20,'Labor Expenditures'!$C$7:$C$91,0),MATCH($G20,'Labor Expenditures'!$E$5:$W$5,0)),"NA")</f>
        <v>59681.009160966263</v>
      </c>
      <c r="K20" s="47">
        <f t="shared" ca="1" si="28"/>
        <v>447.0487577600469</v>
      </c>
      <c r="M20" s="59">
        <f t="shared" ca="1" si="40"/>
        <v>-1.0322795808826279E-2</v>
      </c>
      <c r="N20" s="59"/>
      <c r="O20" s="59"/>
      <c r="P20" s="59">
        <f t="shared" ca="1" si="41"/>
        <v>-2.805831782094402E-4</v>
      </c>
      <c r="Q20" s="61"/>
      <c r="R20" s="387"/>
      <c r="S20" s="49">
        <f t="shared" ca="1" si="51"/>
        <v>95.33947078800233</v>
      </c>
      <c r="T20" s="61">
        <f t="shared" ca="1" si="42"/>
        <v>-2.0798424502026087E-2</v>
      </c>
      <c r="U20" s="61">
        <f ca="1">SUMIF($G$11:P$1352,$G20,$P$11:$P$1352)</f>
        <v>-2.0798424502026087E-2</v>
      </c>
      <c r="V20" s="47">
        <f>IFERROR(INDEX('Non-Labor Expenditures'!$E$7:$AA$91,MATCH($C20,'Non-Labor Expenditures'!$C$7:$C$91,0),MATCH($G20,'Non-Labor Expenditures'!$E$5:$AA$5,0)),"NA")</f>
        <v>86429.248139996111</v>
      </c>
      <c r="W20" s="47">
        <f t="shared" si="35"/>
        <v>825.97547893229216</v>
      </c>
      <c r="X20" s="59">
        <f t="shared" si="43"/>
        <v>1.1344863779235013E-2</v>
      </c>
      <c r="Y20" s="59">
        <f t="shared" si="44"/>
        <v>3.0836393497285053E-4</v>
      </c>
      <c r="Z20" s="49">
        <f t="shared" si="52"/>
        <v>107.0892010025993</v>
      </c>
      <c r="AA20" s="61">
        <f t="shared" si="36"/>
        <v>8.7006265857503306E-4</v>
      </c>
      <c r="AB20" s="61"/>
      <c r="AC20" s="47">
        <f t="shared" si="14"/>
        <v>124627.17773063199</v>
      </c>
      <c r="AD20" s="59">
        <f t="shared" si="53"/>
        <v>-1.5857704466727289E-2</v>
      </c>
      <c r="AE20" s="73">
        <v>9472.7151900669942</v>
      </c>
      <c r="AF20" s="61">
        <v>3.0563172070130352E-2</v>
      </c>
      <c r="AG20" s="59">
        <f t="shared" si="45"/>
        <v>8.3073540486646716E-4</v>
      </c>
      <c r="AH20" s="49">
        <f t="shared" si="54"/>
        <v>136.58677833394802</v>
      </c>
      <c r="AI20" s="61">
        <f t="shared" si="37"/>
        <v>4.2695234764268973E-2</v>
      </c>
      <c r="AJ20" s="46">
        <f t="shared" si="29"/>
        <v>270737.43503159436</v>
      </c>
      <c r="AK20" s="61">
        <f t="shared" si="46"/>
        <v>3.7957755687924514E-3</v>
      </c>
      <c r="AL20" s="129">
        <f t="shared" si="38"/>
        <v>9960565.980724534</v>
      </c>
      <c r="AM20" s="61">
        <f t="shared" si="47"/>
        <v>5.1685599699569209E-3</v>
      </c>
      <c r="AN20" s="46">
        <f>+AL20*1000/Outputs!B23</f>
        <v>273.40301037830824</v>
      </c>
      <c r="AO20" s="73">
        <f>+(Outputs!F23*1000)/Outputs!E23</f>
        <v>379.08839601185633</v>
      </c>
      <c r="AP20" s="73">
        <f t="shared" si="48"/>
        <v>174.63337224893351</v>
      </c>
      <c r="AQ20" s="61">
        <f>+BB20/Outputs!$B$23</f>
        <v>4.2553995673231482E-2</v>
      </c>
      <c r="AR20" s="62">
        <f t="shared" si="30"/>
        <v>0.22043870347667896</v>
      </c>
      <c r="AS20" s="62">
        <f t="shared" si="31"/>
        <v>0.31923641490475835</v>
      </c>
      <c r="AT20" s="62">
        <f t="shared" si="32"/>
        <v>0.46032488161856272</v>
      </c>
      <c r="AU20" s="62">
        <f t="shared" ca="1" si="49"/>
        <v>1.5578156821011473E-2</v>
      </c>
      <c r="AV20" s="49">
        <f t="shared" ca="1" si="56"/>
        <v>115.10322834520723</v>
      </c>
      <c r="AW20" s="61">
        <f t="shared" ca="1" si="57"/>
        <v>1.5578156821011463E-2</v>
      </c>
      <c r="AX20" s="56">
        <f>+AJ20/$AL$20</f>
        <v>2.7180928830301352E-2</v>
      </c>
      <c r="AY20" s="56">
        <f t="shared" ca="1" si="58"/>
        <v>4.2342877185918616E-4</v>
      </c>
      <c r="AZ20" s="49">
        <f t="shared" ca="1" si="55"/>
        <v>123.43537143396188</v>
      </c>
      <c r="BA20" s="61">
        <f t="shared" ca="1" si="50"/>
        <v>-6.3060881472460275E-3</v>
      </c>
      <c r="BB20" s="230">
        <f>IFERROR(INDEX('Total Customers'!$E$7:$AA$91,MATCH($C20,'Total Customers'!$C$7:$C$91,0),MATCH($G20,'Total Customers'!$E$5:$AA$5,0)),"NA")</f>
        <v>1550319</v>
      </c>
      <c r="BC20" s="392">
        <f t="shared" si="15"/>
        <v>1.1540099198895459E-2</v>
      </c>
      <c r="BE20" s="281" t="str">
        <f t="shared" si="0"/>
        <v>ATLANTA GAS LIGHT COMPANY</v>
      </c>
      <c r="BF20" s="290">
        <f t="shared" si="1"/>
        <v>4054707</v>
      </c>
      <c r="BG20" s="46" t="str">
        <f t="shared" si="2"/>
        <v>GA</v>
      </c>
      <c r="BH20" s="46"/>
      <c r="BI20" s="46" t="str">
        <f t="shared" si="3"/>
        <v>2015 Y</v>
      </c>
      <c r="BJ20" s="46"/>
      <c r="BK20" s="46"/>
      <c r="BL20" s="46">
        <f>INDEX('Dist. Plant Gas Additions'!$E$7:$AD$91,MATCH($C20,'Dist. Plant Gas Additions'!$C$7:$C$91,0),MATCH(Calculation!$G20,'Dist. Plant Gas Additions'!$E$5:$AD$5,0))</f>
        <v>225205</v>
      </c>
      <c r="BM20" s="46">
        <f>INDEX('Gen. Plant Additions'!$E$7:$AD$91,MATCH($C20,'Gen. Plant Additions'!$C$7:$C$91,0),MATCH(Calculation!$G20,'Gen. Plant Additions'!$E$5:$AD$5,0))</f>
        <v>18844</v>
      </c>
      <c r="BN20" s="393">
        <f t="shared" si="4"/>
        <v>0.94227781046049486</v>
      </c>
      <c r="BO20" s="46">
        <f t="shared" si="5"/>
        <v>17756.283060317564</v>
      </c>
      <c r="BP20" s="46">
        <f t="shared" si="6"/>
        <v>-1087.7169396824356</v>
      </c>
      <c r="BQ20" s="46">
        <f>INDEX('Dist Plant Depreciation'!$D$7:$AC$94,MATCH($C20,'Dist Plant Depreciation'!$C$7:$C$94,0),MATCH(Calculation!$G20,'Dist Plant Depreciation'!$D$5:$AC$5,0))</f>
        <v>1170404</v>
      </c>
      <c r="BR20" s="46">
        <f>INDEX('Gen. Plant Depreciation'!$D$7:$AC$94,MATCH($C20,'Gen. Plant Depreciation'!$C$7:$C$94,0),MATCH(Calculation!$G20,'Gen. Plant Depreciation'!$D$5:$AC$5,0))</f>
        <v>115692</v>
      </c>
      <c r="BS20" s="53">
        <v>1946</v>
      </c>
      <c r="BT20" s="53"/>
      <c r="BU20" s="51">
        <v>25.053649663958073</v>
      </c>
      <c r="BV20" s="62"/>
      <c r="BW20" s="46"/>
      <c r="BX20" s="46"/>
      <c r="BY20" s="46">
        <f>INDEX('Gross Dx Plant'!$D$7:$AC$91,MATCH($C20,'Gross Dx Plant'!$C$7:$C$91,0),MATCH(Calculation!$G20,'Gross Dx Plant'!$D$5:$AC$5,0))</f>
        <v>3411677</v>
      </c>
      <c r="BZ20" s="46">
        <f>INDEX('Gross Gen Plant'!$D$7:$AC$91,MATCH($C20,'Gross Gen Plant'!$C$7:$C$91,0),MATCH(Calculation!$G20,'Gross Gen Plant'!$D$5:$AC$5,0))</f>
        <v>208993</v>
      </c>
      <c r="CA20" s="46">
        <f t="shared" si="39"/>
        <v>2334574</v>
      </c>
      <c r="CB20" s="46"/>
      <c r="CC20" s="73">
        <v>2015</v>
      </c>
      <c r="CD20" s="46"/>
      <c r="CE20" s="46"/>
      <c r="CF20" s="46"/>
      <c r="CG20" s="53"/>
      <c r="CH20" s="46">
        <f t="shared" si="7"/>
        <v>244049</v>
      </c>
      <c r="CI20" s="46">
        <f t="shared" si="16"/>
        <v>242961.28306031757</v>
      </c>
      <c r="CJ20" s="46">
        <f t="shared" si="8"/>
        <v>359.61518765558486</v>
      </c>
      <c r="CK20" s="443">
        <v>0.8</v>
      </c>
      <c r="CL20" s="46">
        <f>+CL3*CK20+CJ4*CK19+CJ5*CK18+CJ6*CK17+CJ7*CK16+CJ8*CK15+CJ9*CK14+CJ10*CK13+CJ11*CK12+CJ12*CK11+CJ13*CK10+CJ14*CK9+CJ15*CK8+CJ16*CK7+CJ17*CK6+CJ18*CK5+CJ19*CK4+CJ20</f>
        <v>8752.682961818331</v>
      </c>
      <c r="CM20" s="61">
        <f t="shared" si="17"/>
        <v>2.6721009900864217E-2</v>
      </c>
      <c r="CN20" s="56">
        <f t="shared" si="18"/>
        <v>1.5117729734801622E-2</v>
      </c>
      <c r="CO20" s="56">
        <f t="shared" si="23"/>
        <v>1.4733724453445183E-2</v>
      </c>
      <c r="CP20" s="61">
        <f>VLOOKUP($H20,RoR!$E:$F,2,FALSE)</f>
        <v>3.8866666666666674E-2</v>
      </c>
      <c r="CQ20" s="56">
        <v>9.5709475431029478E-3</v>
      </c>
      <c r="CR20" s="56">
        <f t="shared" si="19"/>
        <v>2.9295719123563727E-2</v>
      </c>
      <c r="CS20" s="56">
        <f t="shared" si="24"/>
        <v>1.6168217155088441E-2</v>
      </c>
      <c r="CT20" s="56">
        <f t="shared" si="25"/>
        <v>3.5270373279175926E-3</v>
      </c>
      <c r="CU20" s="96">
        <f t="shared" si="9"/>
        <v>0.87050000000000005</v>
      </c>
      <c r="CV20" s="58">
        <f t="shared" si="10"/>
        <v>1.3194352816994324</v>
      </c>
      <c r="CW20" s="58">
        <f t="shared" si="11"/>
        <v>0.33177530017152673</v>
      </c>
      <c r="CX20" s="58">
        <f t="shared" si="12"/>
        <v>0.78242572977668579</v>
      </c>
      <c r="CY20" s="58">
        <f t="shared" si="13"/>
        <v>0.34251158643433932</v>
      </c>
      <c r="CZ20" s="303">
        <f>INDEX('State Tax Lookup'!$D$7:$Z$91,MATCH(Calculation!$C20,'State Tax Lookup'!$B$7:$B$91,0),MATCH($H20,'State Tax Lookup'!$D$6:$Z$6,0))</f>
        <v>0.35</v>
      </c>
      <c r="DA20" s="303">
        <v>0.37</v>
      </c>
      <c r="DB20" s="57">
        <f t="shared" si="21"/>
        <v>14.62434249821526</v>
      </c>
      <c r="DC20" s="56">
        <f t="shared" si="26"/>
        <v>-3.471588113951582E-2</v>
      </c>
      <c r="DD20" s="303">
        <f>VLOOKUP($H20,RoR!$E:$F,2,FALSE)</f>
        <v>3.8866666666666674E-2</v>
      </c>
      <c r="DE20" s="304">
        <f>HLOOKUP($H20,'GDP-PI'!$D$8:$CQ$11,3,FALSE)</f>
        <v>9.5709475431029478E-3</v>
      </c>
      <c r="DF20" s="303">
        <f>VLOOKUP(H20,'HW Dx Data'!$E:$F,2,FALSE)</f>
        <v>675.61463308665782</v>
      </c>
      <c r="DG20" s="89">
        <f ca="1">VLOOKUP(CC20,'ECI - Input Price'!M$13:N$33,2,FALSE)</f>
        <v>133.5</v>
      </c>
      <c r="DH20" s="89"/>
      <c r="DI20" s="89" t="b">
        <f t="shared" ca="1" si="33"/>
        <v>0</v>
      </c>
      <c r="DJ20" s="56">
        <f t="shared" ca="1" si="34"/>
        <v>3.1193095773504077E-2</v>
      </c>
      <c r="DK20" s="53">
        <f>HLOOKUP(H20,'GDP-PI'!$8:$9,2,FALSE)</f>
        <v>104.639</v>
      </c>
      <c r="DL20" s="355">
        <f t="shared" si="27"/>
        <v>9.5254361854427965E-3</v>
      </c>
      <c r="DO20" s="27">
        <v>1.2225736679067095E-2</v>
      </c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EC20" s="298">
        <f t="shared" si="20"/>
        <v>2015</v>
      </c>
    </row>
    <row r="21" spans="1:133" ht="21" customHeight="1" x14ac:dyDescent="0.4">
      <c r="A21" s="229" t="s">
        <v>148</v>
      </c>
      <c r="B21" s="391" t="s">
        <v>148</v>
      </c>
      <c r="C21" s="391">
        <v>4054707</v>
      </c>
      <c r="D21" s="391" t="s">
        <v>149</v>
      </c>
      <c r="E21" s="391"/>
      <c r="F21" s="391"/>
      <c r="G21" s="391" t="s">
        <v>172</v>
      </c>
      <c r="H21" s="11">
        <v>2016</v>
      </c>
      <c r="I21" s="46"/>
      <c r="J21" s="47">
        <f>IFERROR(INDEX('Labor Expenditures'!$E$7:$W$91,MATCH($C21,'Labor Expenditures'!$C$7:$C$91,0),MATCH($G21,'Labor Expenditures'!$E$5:$W$5,0)),"NA")</f>
        <v>65194.362989429668</v>
      </c>
      <c r="K21" s="47">
        <f t="shared" ca="1" si="28"/>
        <v>476.04500174829991</v>
      </c>
      <c r="M21" s="59">
        <f t="shared" ca="1" si="40"/>
        <v>6.2844724822689504E-2</v>
      </c>
      <c r="N21" s="59"/>
      <c r="O21" s="59"/>
      <c r="P21" s="59">
        <f t="shared" ca="1" si="41"/>
        <v>1.7350421041928167E-3</v>
      </c>
      <c r="Q21" s="61"/>
      <c r="R21" s="387"/>
      <c r="S21" s="49">
        <f t="shared" ca="1" si="51"/>
        <v>96.886937178424134</v>
      </c>
      <c r="T21" s="61">
        <f t="shared" ca="1" si="42"/>
        <v>1.6100803594562629E-2</v>
      </c>
      <c r="U21" s="61">
        <f ca="1">SUMIF($G$11:P$1352,$G21,$P$11:$P$1352)</f>
        <v>1.6100803594562629E-2</v>
      </c>
      <c r="V21" s="47">
        <f>IFERROR(INDEX('Non-Labor Expenditures'!$E$7:$AA$91,MATCH($C21,'Non-Labor Expenditures'!$C$7:$C$91,0),MATCH($G21,'Non-Labor Expenditures'!$E$5:$AA$5,0)),"NA")</f>
        <v>94413.614236062742</v>
      </c>
      <c r="W21" s="47">
        <f t="shared" si="35"/>
        <v>892.91834603221923</v>
      </c>
      <c r="X21" s="59">
        <f t="shared" si="43"/>
        <v>7.7930052324267265E-2</v>
      </c>
      <c r="Y21" s="59">
        <f t="shared" si="44"/>
        <v>2.1515238127948009E-3</v>
      </c>
      <c r="Z21" s="49">
        <f t="shared" si="52"/>
        <v>110.48192068427188</v>
      </c>
      <c r="AA21" s="61">
        <f t="shared" si="36"/>
        <v>3.1189752459504585E-2</v>
      </c>
      <c r="AB21" s="61"/>
      <c r="AC21" s="47">
        <f t="shared" si="14"/>
        <v>124276.6804425048</v>
      </c>
      <c r="AD21" s="59">
        <f t="shared" si="53"/>
        <v>-2.816328540423615E-3</v>
      </c>
      <c r="AE21" s="73">
        <v>9728.9656815648304</v>
      </c>
      <c r="AF21" s="61">
        <v>2.6692007550684141E-2</v>
      </c>
      <c r="AG21" s="59">
        <f t="shared" si="45"/>
        <v>7.3692353775967425E-4</v>
      </c>
      <c r="AH21" s="49">
        <f t="shared" si="54"/>
        <v>142.79698105260599</v>
      </c>
      <c r="AI21" s="61">
        <f t="shared" si="37"/>
        <v>4.4463757254805503E-2</v>
      </c>
      <c r="AJ21" s="46">
        <f t="shared" si="29"/>
        <v>283884.65766799723</v>
      </c>
      <c r="AK21" s="61">
        <f t="shared" si="46"/>
        <v>4.7418543898890865E-2</v>
      </c>
      <c r="AL21" s="129">
        <f t="shared" si="38"/>
        <v>10282547.696920933</v>
      </c>
      <c r="AM21" s="61">
        <f t="shared" si="47"/>
        <v>3.1814164405952403E-2</v>
      </c>
      <c r="AN21" s="46">
        <f>+AL21*1000/Outputs!B24</f>
        <v>279.80198239352137</v>
      </c>
      <c r="AO21" s="73">
        <f>+(Outputs!F24*1000)/Outputs!E24</f>
        <v>383.75984088049222</v>
      </c>
      <c r="AP21" s="73">
        <f t="shared" si="48"/>
        <v>181.31172143547198</v>
      </c>
      <c r="AQ21" s="61">
        <f>+BB21/Outputs!$B$24</f>
        <v>4.2605542069913897E-2</v>
      </c>
      <c r="AR21" s="62">
        <f t="shared" si="30"/>
        <v>0.22965088541584519</v>
      </c>
      <c r="AS21" s="62">
        <f t="shared" si="31"/>
        <v>0.33257737495091882</v>
      </c>
      <c r="AT21" s="62">
        <f t="shared" si="32"/>
        <v>0.43777173963323596</v>
      </c>
      <c r="AU21" s="62">
        <f t="shared" ca="1" si="49"/>
        <v>3.3754732492353529E-2</v>
      </c>
      <c r="AV21" s="49">
        <f t="shared" ca="1" si="56"/>
        <v>119.05482436938387</v>
      </c>
      <c r="AW21" s="61">
        <f t="shared" ca="1" si="57"/>
        <v>3.3754732492353487E-2</v>
      </c>
      <c r="AX21" s="56">
        <f>+AJ21/$AL$21</f>
        <v>2.7608396871624075E-2</v>
      </c>
      <c r="AY21" s="56">
        <f t="shared" ca="1" si="58"/>
        <v>9.3191405094439957E-4</v>
      </c>
      <c r="AZ21" s="49">
        <f t="shared" ca="1" si="55"/>
        <v>122.92750831331483</v>
      </c>
      <c r="BA21" s="61">
        <f t="shared" ca="1" si="50"/>
        <v>-4.1228925442518584E-3</v>
      </c>
      <c r="BB21" s="230">
        <f>IFERROR(INDEX('Total Customers'!$E$7:$AA$91,MATCH($C21,'Total Customers'!$C$7:$C$91,0),MATCH($G21,'Total Customers'!$E$5:$AA$5,0)),"NA")</f>
        <v>1565727</v>
      </c>
      <c r="BC21" s="392">
        <f t="shared" si="15"/>
        <v>9.8895366620161285E-3</v>
      </c>
      <c r="BE21" s="281" t="str">
        <f t="shared" si="0"/>
        <v>ATLANTA GAS LIGHT COMPANY</v>
      </c>
      <c r="BF21" s="290">
        <f t="shared" si="1"/>
        <v>4054707</v>
      </c>
      <c r="BG21" s="46" t="str">
        <f t="shared" si="2"/>
        <v>GA</v>
      </c>
      <c r="BH21" s="46"/>
      <c r="BI21" s="46" t="str">
        <f t="shared" si="3"/>
        <v>2016 Y</v>
      </c>
      <c r="BJ21" s="46"/>
      <c r="BK21" s="46"/>
      <c r="BL21" s="46">
        <f>INDEX('Dist. Plant Gas Additions'!$E$7:$AD$91,MATCH($C21,'Dist. Plant Gas Additions'!$C$7:$C$91,0),MATCH(Calculation!$G21,'Dist. Plant Gas Additions'!$E$5:$AD$5,0))</f>
        <v>197690</v>
      </c>
      <c r="BM21" s="46">
        <f>INDEX('Gen. Plant Additions'!$E$7:$AD$91,MATCH($C21,'Gen. Plant Additions'!$C$7:$C$91,0),MATCH(Calculation!$G21,'Gen. Plant Additions'!$E$5:$AD$5,0))</f>
        <v>28617</v>
      </c>
      <c r="BN21" s="393">
        <f t="shared" si="4"/>
        <v>0.93948949966925932</v>
      </c>
      <c r="BO21" s="46">
        <f t="shared" si="5"/>
        <v>26885.371012035193</v>
      </c>
      <c r="BP21" s="46">
        <f t="shared" si="6"/>
        <v>-1731.6289879648066</v>
      </c>
      <c r="BQ21" s="46">
        <f>INDEX('Dist Plant Depreciation'!$D$7:$AC$94,MATCH($C21,'Dist Plant Depreciation'!$C$7:$C$94,0),MATCH(Calculation!$G21,'Dist Plant Depreciation'!$D$5:$AC$5,0))</f>
        <v>1229893</v>
      </c>
      <c r="BR21" s="46">
        <f>INDEX('Gen. Plant Depreciation'!$D$7:$AC$94,MATCH($C21,'Gen. Plant Depreciation'!$C$7:$C$94,0),MATCH(Calculation!$G21,'Gen. Plant Depreciation'!$D$5:$AC$5,0))</f>
        <v>124397</v>
      </c>
      <c r="BS21" s="53">
        <v>1947</v>
      </c>
      <c r="BT21" s="53"/>
      <c r="BU21" s="51">
        <v>29.240928528382653</v>
      </c>
      <c r="BV21" s="62"/>
      <c r="BW21" s="46"/>
      <c r="BX21" s="46"/>
      <c r="BY21" s="46">
        <f>INDEX('Gross Dx Plant'!$D$7:$AC$91,MATCH($C21,'Gross Dx Plant'!$C$7:$C$91,0),MATCH(Calculation!$G21,'Gross Dx Plant'!$D$5:$AC$5,0))</f>
        <v>3589050</v>
      </c>
      <c r="BZ21" s="46">
        <f>INDEX('Gross Gen Plant'!$D$7:$AC$91,MATCH($C21,'Gross Gen Plant'!$C$7:$C$91,0),MATCH(Calculation!$G21,'Gross Gen Plant'!$D$5:$AC$5,0))</f>
        <v>231163</v>
      </c>
      <c r="CA21" s="46">
        <f t="shared" si="39"/>
        <v>2465923</v>
      </c>
      <c r="CB21" s="46"/>
      <c r="CC21" s="73">
        <v>2016</v>
      </c>
      <c r="CD21" s="46"/>
      <c r="CE21" s="46"/>
      <c r="CF21" s="46"/>
      <c r="CG21" s="53"/>
      <c r="CH21" s="46">
        <f t="shared" si="7"/>
        <v>226307</v>
      </c>
      <c r="CI21" s="46">
        <f t="shared" si="16"/>
        <v>224575.3710120352</v>
      </c>
      <c r="CJ21" s="46">
        <f t="shared" si="8"/>
        <v>334.46009758149074</v>
      </c>
      <c r="CK21" s="443">
        <v>0.7857142857142857</v>
      </c>
      <c r="CL21" s="46">
        <f>+CL3*CK21+CJ4*CK20+CJ5*CK19+CJ6*CK18+CJ7*CK17+CJ8*CK16+CJ9*CK15+CJ10*CK14+CJ11*CK13+CJ12*CK12+CJ13*CK11+CJ14*CK10+CJ15*CK9+CJ16*CK8+CJ17*CK7+CJ18*CK6+CJ19*CK5+CJ20*CK4+CJ21</f>
        <v>8951.7824716316918</v>
      </c>
      <c r="CM21" s="61">
        <f t="shared" si="17"/>
        <v>2.2492393721067365E-2</v>
      </c>
      <c r="CN21" s="56">
        <f t="shared" si="18"/>
        <v>1.5465039503728283E-2</v>
      </c>
      <c r="CO21" s="56">
        <f t="shared" si="23"/>
        <v>1.5105787037968067E-2</v>
      </c>
      <c r="CP21" s="61">
        <f>VLOOKUP($H21,RoR!$E:$F,2,FALSE)</f>
        <v>3.6658333333333334E-2</v>
      </c>
      <c r="CQ21" s="56">
        <v>1.0483662879041455E-2</v>
      </c>
      <c r="CR21" s="56">
        <f t="shared" si="19"/>
        <v>2.6174670454291879E-2</v>
      </c>
      <c r="CS21" s="56">
        <f t="shared" si="24"/>
        <v>1.579615457056556E-2</v>
      </c>
      <c r="CT21" s="56">
        <f t="shared" si="25"/>
        <v>4.301363574220729E-3</v>
      </c>
      <c r="CU21" s="96">
        <f t="shared" si="9"/>
        <v>0.87050000000000005</v>
      </c>
      <c r="CV21" s="58">
        <f t="shared" si="10"/>
        <v>1.3989193348138562</v>
      </c>
      <c r="CW21" s="58">
        <f t="shared" si="11"/>
        <v>0.29302682427824522</v>
      </c>
      <c r="CX21" s="58">
        <f t="shared" si="12"/>
        <v>0.76309497491941802</v>
      </c>
      <c r="CY21" s="58">
        <f t="shared" si="13"/>
        <v>0.31280857135128509</v>
      </c>
      <c r="CZ21" s="303">
        <f>INDEX('State Tax Lookup'!$D$7:$Z$91,MATCH(Calculation!$C21,'State Tax Lookup'!$B$7:$B$91,0),MATCH($H21,'State Tax Lookup'!$D$6:$Z$6,0))</f>
        <v>0.35</v>
      </c>
      <c r="DA21" s="303">
        <v>0.37</v>
      </c>
      <c r="DB21" s="57">
        <f t="shared" si="21"/>
        <v>14.198695529660414</v>
      </c>
      <c r="DC21" s="56">
        <f t="shared" si="26"/>
        <v>-2.9537338441287902E-2</v>
      </c>
      <c r="DD21" s="303">
        <f>VLOOKUP($H21,RoR!$E:$F,2,FALSE)</f>
        <v>3.6658333333333334E-2</v>
      </c>
      <c r="DE21" s="304">
        <f>HLOOKUP($H21,'GDP-PI'!$D$8:$CQ$11,3,FALSE)</f>
        <v>1.0483662879041455E-2</v>
      </c>
      <c r="DF21" s="303">
        <f>VLOOKUP(H21,'HW Dx Data'!$E:$F,2,FALSE)</f>
        <v>671.45639385971219</v>
      </c>
      <c r="DG21" s="89">
        <f ca="1">VLOOKUP(CC21,'ECI - Input Price'!M$13:N$33,2,FALSE)</f>
        <v>136.94999999999999</v>
      </c>
      <c r="DH21" s="89"/>
      <c r="DI21" s="89" t="b">
        <f t="shared" ca="1" si="33"/>
        <v>0</v>
      </c>
      <c r="DJ21" s="56">
        <f t="shared" ca="1" si="34"/>
        <v>2.5514417868782811E-2</v>
      </c>
      <c r="DK21" s="53">
        <f>HLOOKUP(H21,'GDP-PI'!$8:$9,2,FALSE)</f>
        <v>105.736</v>
      </c>
      <c r="DL21" s="355">
        <f t="shared" si="27"/>
        <v>1.0429090367205095E-2</v>
      </c>
      <c r="DO21" s="27">
        <v>8.1954649143381481E-3</v>
      </c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EC21" s="298">
        <f t="shared" si="20"/>
        <v>2016</v>
      </c>
    </row>
    <row r="22" spans="1:133" ht="21" customHeight="1" x14ac:dyDescent="0.4">
      <c r="A22" s="229" t="s">
        <v>148</v>
      </c>
      <c r="B22" s="391" t="s">
        <v>148</v>
      </c>
      <c r="C22" s="391">
        <v>4054707</v>
      </c>
      <c r="D22" s="391" t="s">
        <v>149</v>
      </c>
      <c r="E22" s="391"/>
      <c r="F22" s="391"/>
      <c r="G22" s="391" t="s">
        <v>173</v>
      </c>
      <c r="H22" s="11">
        <v>2017</v>
      </c>
      <c r="I22" s="46"/>
      <c r="J22" s="47">
        <f>IFERROR(INDEX('Labor Expenditures'!$E$7:$W$91,MATCH($C22,'Labor Expenditures'!$C$7:$C$91,0),MATCH($G22,'Labor Expenditures'!$E$5:$W$5,0)),"NA")</f>
        <v>66250.575188707677</v>
      </c>
      <c r="K22" s="47">
        <f t="shared" ca="1" si="28"/>
        <v>471.70220853476457</v>
      </c>
      <c r="M22" s="59">
        <f t="shared" ca="1" si="40"/>
        <v>-9.1645188964525146E-3</v>
      </c>
      <c r="N22" s="59"/>
      <c r="O22" s="59"/>
      <c r="P22" s="59">
        <f t="shared" ca="1" si="41"/>
        <v>-2.4688326301171065E-4</v>
      </c>
      <c r="Q22" s="61"/>
      <c r="R22" s="387"/>
      <c r="S22" s="49">
        <f t="shared" ca="1" si="51"/>
        <v>97.381409745907817</v>
      </c>
      <c r="T22" s="61">
        <f t="shared" ca="1" si="42"/>
        <v>5.0906248304912116E-3</v>
      </c>
      <c r="U22" s="61">
        <f ca="1">SUMIF($G$11:P$1352,$G22,$P$11:$P$1352)</f>
        <v>5.0906248304912116E-3</v>
      </c>
      <c r="V22" s="47">
        <f>IFERROR(INDEX('Non-Labor Expenditures'!$E$7:$AA$91,MATCH($C22,'Non-Labor Expenditures'!$C$7:$C$91,0),MATCH($G22,'Non-Labor Expenditures'!$E$5:$AA$5,0)),"NA")</f>
        <v>95943.206773844373</v>
      </c>
      <c r="W22" s="47">
        <f t="shared" si="35"/>
        <v>890.41592907578001</v>
      </c>
      <c r="X22" s="59">
        <f t="shared" si="43"/>
        <v>-2.8064492830319077E-3</v>
      </c>
      <c r="Y22" s="59">
        <f t="shared" si="44"/>
        <v>-7.5603025570714235E-5</v>
      </c>
      <c r="Z22" s="49">
        <f t="shared" si="52"/>
        <v>111.75406102053134</v>
      </c>
      <c r="AA22" s="61">
        <f t="shared" si="36"/>
        <v>1.144867920722991E-2</v>
      </c>
      <c r="AB22" s="61"/>
      <c r="AC22" s="47">
        <f t="shared" si="14"/>
        <v>114715.95030927377</v>
      </c>
      <c r="AD22" s="59">
        <f t="shared" si="53"/>
        <v>-8.005129827991668E-2</v>
      </c>
      <c r="AE22" s="73">
        <v>9943.7170554596378</v>
      </c>
      <c r="AF22" s="61">
        <v>2.1833311458295358E-2</v>
      </c>
      <c r="AG22" s="59">
        <f t="shared" si="45"/>
        <v>5.8816826459504013E-4</v>
      </c>
      <c r="AH22" s="49">
        <f t="shared" si="54"/>
        <v>149.03830628926374</v>
      </c>
      <c r="AI22" s="61">
        <f t="shared" si="37"/>
        <v>4.2779453499571331E-2</v>
      </c>
      <c r="AJ22" s="46">
        <f t="shared" si="29"/>
        <v>276909.73227182584</v>
      </c>
      <c r="AK22" s="61">
        <f t="shared" si="46"/>
        <v>-2.4876443891090852E-2</v>
      </c>
      <c r="AL22" s="129">
        <f t="shared" si="38"/>
        <v>10279127.240376677</v>
      </c>
      <c r="AM22" s="61">
        <f t="shared" si="47"/>
        <v>-3.3270213503890209E-4</v>
      </c>
      <c r="AN22" s="46">
        <f>+AL22*1000/Outputs!B25</f>
        <v>277.60740971096664</v>
      </c>
      <c r="AO22" s="73">
        <f>+(Outputs!F25*1000)/Outputs!E25</f>
        <v>393.42008620987889</v>
      </c>
      <c r="AP22" s="73">
        <f t="shared" si="48"/>
        <v>175.4994696995673</v>
      </c>
      <c r="AQ22" s="61">
        <f>+BB22/Outputs!$B$25</f>
        <v>4.2612520487437903E-2</v>
      </c>
      <c r="AR22" s="62">
        <f t="shared" si="30"/>
        <v>0.23924971739047951</v>
      </c>
      <c r="AS22" s="62">
        <f t="shared" si="31"/>
        <v>0.34647827646470231</v>
      </c>
      <c r="AT22" s="62">
        <f t="shared" si="32"/>
        <v>0.41427200614481813</v>
      </c>
      <c r="AU22" s="62">
        <f t="shared" ca="1" si="49"/>
        <v>2.3305626585352499E-2</v>
      </c>
      <c r="AV22" s="49">
        <f t="shared" ca="1" si="56"/>
        <v>121.86205674230541</v>
      </c>
      <c r="AW22" s="61">
        <f t="shared" ca="1" si="57"/>
        <v>2.3305626585352558E-2</v>
      </c>
      <c r="AX22" s="56">
        <f>+AJ22/$AL$22</f>
        <v>2.6939031475757713E-2</v>
      </c>
      <c r="AY22" s="56">
        <f t="shared" ca="1" si="58"/>
        <v>6.2783100814506831E-4</v>
      </c>
      <c r="AZ22" s="49">
        <f t="shared" ca="1" si="55"/>
        <v>119.13233531222889</v>
      </c>
      <c r="BA22" s="61">
        <f t="shared" ca="1" si="50"/>
        <v>-3.1359881646672812E-2</v>
      </c>
      <c r="BB22" s="230">
        <f>IFERROR(INDEX('Total Customers'!$E$7:$AA$91,MATCH($C22,'Total Customers'!$C$7:$C$91,0),MATCH($G22,'Total Customers'!$E$5:$AA$5,0)),"NA")</f>
        <v>1577838</v>
      </c>
      <c r="BC22" s="392">
        <f t="shared" si="15"/>
        <v>7.7053026871201817E-3</v>
      </c>
      <c r="BE22" s="281" t="str">
        <f t="shared" si="0"/>
        <v>ATLANTA GAS LIGHT COMPANY</v>
      </c>
      <c r="BF22" s="290">
        <f t="shared" si="1"/>
        <v>4054707</v>
      </c>
      <c r="BG22" s="46" t="str">
        <f t="shared" si="2"/>
        <v>GA</v>
      </c>
      <c r="BH22" s="46"/>
      <c r="BI22" s="46" t="str">
        <f t="shared" si="3"/>
        <v>2017 Y</v>
      </c>
      <c r="BJ22" s="395"/>
      <c r="BK22" s="46"/>
      <c r="BL22" s="46">
        <f>INDEX('Dist. Plant Gas Additions'!$E$7:$AD$91,MATCH($C22,'Dist. Plant Gas Additions'!$C$7:$C$91,0),MATCH(Calculation!$G22,'Dist. Plant Gas Additions'!$E$5:$AD$5,0))</f>
        <v>197431</v>
      </c>
      <c r="BM22" s="46">
        <f>INDEX('Gen. Plant Additions'!$E$7:$AD$91,MATCH($C22,'Gen. Plant Additions'!$C$7:$C$91,0),MATCH(Calculation!$G22,'Gen. Plant Additions'!$E$5:$AD$5,0))</f>
        <v>16543</v>
      </c>
      <c r="BN22" s="393">
        <f t="shared" si="4"/>
        <v>0.94403972497017463</v>
      </c>
      <c r="BO22" s="46">
        <f t="shared" si="5"/>
        <v>15617.2491701816</v>
      </c>
      <c r="BP22" s="46">
        <f t="shared" si="6"/>
        <v>-925.75082981840023</v>
      </c>
      <c r="BQ22" s="46">
        <f>INDEX('Dist Plant Depreciation'!$D$7:$AC$94,MATCH($C22,'Dist Plant Depreciation'!$C$7:$C$94,0),MATCH(Calculation!$G22,'Dist Plant Depreciation'!$D$5:$AC$5,0))</f>
        <v>1293537</v>
      </c>
      <c r="BR22" s="46">
        <f>INDEX('Gen. Plant Depreciation'!$D$7:$AC$94,MATCH($C22,'Gen. Plant Depreciation'!$C$7:$C$94,0),MATCH(Calculation!$G22,'Gen. Plant Depreciation'!$D$5:$AC$5,0))</f>
        <v>109772</v>
      </c>
      <c r="BS22" s="53">
        <v>1948</v>
      </c>
      <c r="BT22" s="53">
        <f t="shared" ref="BT22:BT72" si="59">+BT23-1</f>
        <v>1</v>
      </c>
      <c r="BU22" s="51">
        <v>32.0914639609503</v>
      </c>
      <c r="BV22" s="62">
        <f>+BT22/$BT$76</f>
        <v>7.5414781297134241E-4</v>
      </c>
      <c r="BW22" s="396">
        <f>+BV22*BU22</f>
        <v>2.4201707361199323E-2</v>
      </c>
      <c r="BX22" s="396"/>
      <c r="BY22" s="46">
        <f>INDEX('Gross Dx Plant'!$D$7:$AC$91,MATCH($C22,'Gross Dx Plant'!$C$7:$C$91,0),MATCH(Calculation!$G22,'Gross Dx Plant'!$D$5:$AC$5,0))</f>
        <v>3765040</v>
      </c>
      <c r="BZ22" s="46">
        <f>INDEX('Gross Gen Plant'!$D$7:$AC$91,MATCH($C22,'Gross Gen Plant'!$C$7:$C$91,0),MATCH(Calculation!$G22,'Gross Gen Plant'!$D$5:$AC$5,0))</f>
        <v>223182</v>
      </c>
      <c r="CA22" s="46">
        <f t="shared" si="39"/>
        <v>2584913</v>
      </c>
      <c r="CB22" s="46"/>
      <c r="CC22" s="73">
        <v>2017</v>
      </c>
      <c r="CD22" s="46"/>
      <c r="CE22" s="46"/>
      <c r="CF22" s="46"/>
      <c r="CG22" s="53"/>
      <c r="CH22" s="46">
        <f t="shared" si="7"/>
        <v>213974</v>
      </c>
      <c r="CI22" s="46">
        <f t="shared" si="16"/>
        <v>213048.2491701816</v>
      </c>
      <c r="CJ22" s="46">
        <f t="shared" si="8"/>
        <v>299.04506085792895</v>
      </c>
      <c r="CK22" s="443">
        <v>0.77108433734939763</v>
      </c>
      <c r="CL22" s="46">
        <f>+CL3*CK22+CJ4*CK21+CJ5*CK20+CJ6*CK19+CJ7*CK18+CJ8*CK17+CJ9*CK16+CJ10*CK15+CJ11*CK14+CJ12*CK13+CJ13*CK12+CJ14*CK11+CJ15*CK10+CJ16*CK9+CJ17*CK8+CJ18*CK7+CJ19*CK6+CJ20*CK5+CJ21*CK4+CJ22</f>
        <v>9109.0119228173462</v>
      </c>
      <c r="CM22" s="61">
        <f t="shared" si="17"/>
        <v>1.7411573368198485E-2</v>
      </c>
      <c r="CN22" s="56">
        <f t="shared" si="18"/>
        <v>1.5842164409344169E-2</v>
      </c>
      <c r="CO22" s="56">
        <f t="shared" si="23"/>
        <v>1.5474977882624691E-2</v>
      </c>
      <c r="CP22" s="61">
        <f>VLOOKUP($H22,RoR!$E:$F,2,FALSE)</f>
        <v>3.7433333333333339E-2</v>
      </c>
      <c r="CQ22" s="56">
        <v>1.9056896421275615E-2</v>
      </c>
      <c r="CR22" s="56">
        <f t="shared" si="19"/>
        <v>1.8376436912057724E-2</v>
      </c>
      <c r="CS22" s="56">
        <f t="shared" si="24"/>
        <v>1.5426963725908934E-2</v>
      </c>
      <c r="CT22" s="56">
        <f t="shared" si="25"/>
        <v>1.3976271617800498E-2</v>
      </c>
      <c r="CU22" s="96">
        <f t="shared" si="9"/>
        <v>0.92230000000000001</v>
      </c>
      <c r="CV22" s="58">
        <f t="shared" si="10"/>
        <v>1.3699568463593395</v>
      </c>
      <c r="CW22" s="58">
        <f t="shared" si="11"/>
        <v>0.30714603739982199</v>
      </c>
      <c r="CX22" s="58">
        <f t="shared" si="12"/>
        <v>0.77007188472689425</v>
      </c>
      <c r="CY22" s="58">
        <f t="shared" si="13"/>
        <v>0.32402839633793828</v>
      </c>
      <c r="CZ22" s="303">
        <f>INDEX('State Tax Lookup'!$D$7:$Z$91,MATCH(Calculation!$C22,'State Tax Lookup'!$B$7:$B$91,0),MATCH($H22,'State Tax Lookup'!$D$6:$Z$6,0))</f>
        <v>0.20999999999999996</v>
      </c>
      <c r="DA22" s="303">
        <v>0.37</v>
      </c>
      <c r="DB22" s="57">
        <f t="shared" si="21"/>
        <v>12.814872420415712</v>
      </c>
      <c r="DC22" s="56">
        <f t="shared" si="26"/>
        <v>-0.10254369200098415</v>
      </c>
      <c r="DD22" s="303">
        <f>VLOOKUP($H22,RoR!$E:$F,2,FALSE)</f>
        <v>3.7433333333333339E-2</v>
      </c>
      <c r="DE22" s="304">
        <f>HLOOKUP($H22,'GDP-PI'!$D$8:$CQ$11,3,FALSE)</f>
        <v>1.9056896421275615E-2</v>
      </c>
      <c r="DF22" s="303">
        <f>VLOOKUP(H22,'HW Dx Data'!$E:$F,2,FALSE)</f>
        <v>712.42858370229726</v>
      </c>
      <c r="DG22" s="89">
        <f ca="1">VLOOKUP(CC22,'ECI - Input Price'!M$13:N$33,2,FALSE)</f>
        <v>140.44999999999999</v>
      </c>
      <c r="DH22" s="89"/>
      <c r="DI22" s="89" t="b">
        <f t="shared" ca="1" si="33"/>
        <v>0</v>
      </c>
      <c r="DJ22" s="56">
        <f t="shared" ca="1" si="34"/>
        <v>2.5235657841165486E-2</v>
      </c>
      <c r="DK22" s="53">
        <f>HLOOKUP(H22,'GDP-PI'!$8:$9,2,FALSE)</f>
        <v>107.751</v>
      </c>
      <c r="DL22" s="355">
        <f t="shared" si="27"/>
        <v>1.8877588227745139E-2</v>
      </c>
      <c r="DO22" s="27">
        <v>6.6641116146713324E-3</v>
      </c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EC22" s="298">
        <f t="shared" si="20"/>
        <v>2017</v>
      </c>
    </row>
    <row r="23" spans="1:133" ht="21" customHeight="1" x14ac:dyDescent="0.4">
      <c r="A23" s="229" t="s">
        <v>148</v>
      </c>
      <c r="B23" s="391" t="s">
        <v>148</v>
      </c>
      <c r="C23" s="391">
        <v>4054707</v>
      </c>
      <c r="D23" s="391" t="s">
        <v>149</v>
      </c>
      <c r="E23" s="391"/>
      <c r="F23" s="391"/>
      <c r="G23" s="391" t="s">
        <v>174</v>
      </c>
      <c r="H23" s="11">
        <v>2018</v>
      </c>
      <c r="I23" s="46"/>
      <c r="J23" s="47">
        <f>IFERROR(INDEX('Labor Expenditures'!$E$7:$W$91,MATCH($C23,'Labor Expenditures'!$C$7:$C$91,0),MATCH($G23,'Labor Expenditures'!$E$5:$W$5,0)),"NA")</f>
        <v>68571.037389188976</v>
      </c>
      <c r="K23" s="47">
        <f t="shared" ca="1" si="28"/>
        <v>474.70430868251287</v>
      </c>
      <c r="M23" s="59">
        <f t="shared" ca="1" si="40"/>
        <v>6.3442298050224531E-3</v>
      </c>
      <c r="N23" s="59"/>
      <c r="O23" s="59"/>
      <c r="P23" s="59">
        <f t="shared" ca="1" si="41"/>
        <v>1.6436499873742727E-4</v>
      </c>
      <c r="Q23" s="61"/>
      <c r="R23" s="387"/>
      <c r="S23" s="49">
        <f t="shared" ca="1" si="51"/>
        <v>103.4651095862901</v>
      </c>
      <c r="T23" s="61">
        <f t="shared" ca="1" si="42"/>
        <v>6.0599123026443456E-2</v>
      </c>
      <c r="U23" s="61">
        <f ca="1">SUMIF($G$11:P$1352,$G23,$P$11:$P$1352)</f>
        <v>6.0599123026443456E-2</v>
      </c>
      <c r="V23" s="47">
        <f>IFERROR(INDEX('Non-Labor Expenditures'!$E$7:$AA$91,MATCH($C23,'Non-Labor Expenditures'!$C$7:$C$91,0),MATCH($G23,'Non-Labor Expenditures'!$E$5:$AA$5,0)),"NA")</f>
        <v>99303.669442696992</v>
      </c>
      <c r="W23" s="47">
        <f t="shared" si="35"/>
        <v>900.12571783231806</v>
      </c>
      <c r="X23" s="59">
        <f t="shared" si="43"/>
        <v>1.084575045050494E-2</v>
      </c>
      <c r="Y23" s="59">
        <f t="shared" si="44"/>
        <v>2.8098946820817231E-4</v>
      </c>
      <c r="Z23" s="49">
        <f t="shared" si="52"/>
        <v>119.27167634370899</v>
      </c>
      <c r="AA23" s="61">
        <f t="shared" si="36"/>
        <v>6.5103312462305191E-2</v>
      </c>
      <c r="AB23" s="61"/>
      <c r="AC23" s="47">
        <f t="shared" si="14"/>
        <v>120425.86158952654</v>
      </c>
      <c r="AD23" s="59">
        <f t="shared" si="53"/>
        <v>4.8575231487448564E-2</v>
      </c>
      <c r="AE23" s="73">
        <v>10165.957532128436</v>
      </c>
      <c r="AF23" s="61">
        <v>2.2103741566056496E-2</v>
      </c>
      <c r="AG23" s="59">
        <f t="shared" si="45"/>
        <v>5.7265918263571427E-4</v>
      </c>
      <c r="AH23" s="49">
        <f t="shared" si="54"/>
        <v>155.27494076361907</v>
      </c>
      <c r="AI23" s="61">
        <f t="shared" si="37"/>
        <v>4.0993994858551278E-2</v>
      </c>
      <c r="AJ23" s="46">
        <f t="shared" si="29"/>
        <v>288300.56842141249</v>
      </c>
      <c r="AK23" s="61">
        <f t="shared" si="46"/>
        <v>4.0311999470959897E-2</v>
      </c>
      <c r="AL23" s="129">
        <f t="shared" si="38"/>
        <v>11127947.391682433</v>
      </c>
      <c r="AM23" s="61">
        <f t="shared" si="47"/>
        <v>7.9344369420411842E-2</v>
      </c>
      <c r="AN23" s="46">
        <f>+AL23*1000/Outputs!B26</f>
        <v>297.89939754012403</v>
      </c>
      <c r="AO23" s="73">
        <f>+(Outputs!F26*1000)/Outputs!E26</f>
        <v>446.69674317602454</v>
      </c>
      <c r="AP23" s="73">
        <f t="shared" si="48"/>
        <v>180.744888416371</v>
      </c>
      <c r="AQ23" s="61">
        <f>+BB23/Outputs!$B$26</f>
        <v>4.2700605728069246E-2</v>
      </c>
      <c r="AR23" s="62">
        <f t="shared" si="30"/>
        <v>0.23784565450095765</v>
      </c>
      <c r="AS23" s="62">
        <f t="shared" si="31"/>
        <v>0.34444493115790042</v>
      </c>
      <c r="AT23" s="62">
        <f t="shared" si="32"/>
        <v>0.41770941434114195</v>
      </c>
      <c r="AU23" s="62">
        <f t="shared" ca="1" si="49"/>
        <v>5.3999596341860051E-2</v>
      </c>
      <c r="AV23" s="49">
        <f t="shared" ca="1" si="56"/>
        <v>128.62347255852984</v>
      </c>
      <c r="AW23" s="61">
        <f t="shared" ca="1" si="57"/>
        <v>5.3999596341859996E-2</v>
      </c>
      <c r="AX23" s="56">
        <f>+AJ23/$AL$23</f>
        <v>2.5907793977971383E-2</v>
      </c>
      <c r="AY23" s="56">
        <f t="shared" ca="1" si="58"/>
        <v>1.399010416918526E-3</v>
      </c>
      <c r="AZ23" s="49">
        <f t="shared" ca="1" si="55"/>
        <v>122.49175251703907</v>
      </c>
      <c r="BA23" s="61">
        <f t="shared" ca="1" si="50"/>
        <v>2.7808764650201379E-2</v>
      </c>
      <c r="BB23" s="230">
        <f>IFERROR(INDEX('Total Customers'!$E$7:$AA$91,MATCH($C23,'Total Customers'!$C$7:$C$91,0),MATCH($G23,'Total Customers'!$E$5:$AA$5,0)),"NA")</f>
        <v>1595069</v>
      </c>
      <c r="BC23" s="392">
        <f t="shared" si="15"/>
        <v>1.0861439932538904E-2</v>
      </c>
      <c r="BE23" s="281" t="str">
        <f t="shared" si="0"/>
        <v>ATLANTA GAS LIGHT COMPANY</v>
      </c>
      <c r="BF23" s="290">
        <f t="shared" si="1"/>
        <v>4054707</v>
      </c>
      <c r="BG23" s="46" t="str">
        <f t="shared" si="2"/>
        <v>GA</v>
      </c>
      <c r="BH23" s="46"/>
      <c r="BI23" s="46" t="str">
        <f t="shared" si="3"/>
        <v>2018 Y</v>
      </c>
      <c r="BJ23" s="46"/>
      <c r="BK23" s="46"/>
      <c r="BL23" s="46">
        <f>INDEX('Dist. Plant Gas Additions'!$E$7:$AD$91,MATCH($C23,'Dist. Plant Gas Additions'!$C$7:$C$91,0),MATCH(Calculation!$G23,'Dist. Plant Gas Additions'!$E$5:$AD$5,0))</f>
        <v>199177</v>
      </c>
      <c r="BM23" s="46">
        <f>INDEX('Gen. Plant Additions'!$E$7:$AD$91,MATCH($C23,'Gen. Plant Additions'!$C$7:$C$91,0),MATCH(Calculation!$G23,'Gen. Plant Additions'!$E$5:$AD$5,0))</f>
        <v>36949</v>
      </c>
      <c r="BN23" s="393">
        <f t="shared" si="4"/>
        <v>0.93866078013954612</v>
      </c>
      <c r="BO23" s="46">
        <f>+BN23*BM23</f>
        <v>34682.577165376089</v>
      </c>
      <c r="BP23" s="46">
        <f>+BO23-BM23</f>
        <v>-2266.4228346239106</v>
      </c>
      <c r="BQ23" s="46">
        <f>INDEX('Dist Plant Depreciation'!$D$7:$AC$94,MATCH($C23,'Dist Plant Depreciation'!$C$7:$C$94,0),MATCH(Calculation!$G23,'Dist Plant Depreciation'!$D$5:$AC$5,0))</f>
        <v>1350329</v>
      </c>
      <c r="BR23" s="46">
        <f>INDEX('Gen. Plant Depreciation'!$D$7:$AC$94,MATCH($C23,'Gen. Plant Depreciation'!$C$7:$C$94,0),MATCH(Calculation!$G23,'Gen. Plant Depreciation'!$D$5:$AC$5,0))</f>
        <v>129940</v>
      </c>
      <c r="BS23" s="53">
        <v>1949</v>
      </c>
      <c r="BT23" s="53">
        <f t="shared" si="59"/>
        <v>2</v>
      </c>
      <c r="BU23" s="51">
        <v>34.080917522592109</v>
      </c>
      <c r="BV23" s="62">
        <f>+BT23/$BT$76</f>
        <v>1.5082956259426848E-3</v>
      </c>
      <c r="BW23" s="396">
        <f t="shared" ref="BW23:BW74" si="60">+BV23*BU23</f>
        <v>5.1404098827439085E-2</v>
      </c>
      <c r="BX23" s="396"/>
      <c r="BY23" s="46">
        <f>INDEX('Gross Dx Plant'!$D$7:$AC$91,MATCH($C23,'Gross Dx Plant'!$C$7:$C$91,0),MATCH(Calculation!$G23,'Gross Dx Plant'!$D$5:$AC$5,0))</f>
        <v>3940130</v>
      </c>
      <c r="BZ23" s="46">
        <f>INDEX('Gross Gen Plant'!$D$7:$AC$91,MATCH($C23,'Gross Gen Plant'!$C$7:$C$91,0),MATCH(Calculation!$G23,'Gross Gen Plant'!$D$5:$AC$5,0))</f>
        <v>257478</v>
      </c>
      <c r="CA23" s="46">
        <f t="shared" si="39"/>
        <v>2717339</v>
      </c>
      <c r="CB23" s="46"/>
      <c r="CC23" s="73">
        <v>2018</v>
      </c>
      <c r="CD23" s="46"/>
      <c r="CE23" s="46"/>
      <c r="CF23" s="46"/>
      <c r="CG23" s="53"/>
      <c r="CH23" s="46">
        <f t="shared" si="7"/>
        <v>236126</v>
      </c>
      <c r="CI23" s="46">
        <f t="shared" si="16"/>
        <v>233859.5771653761</v>
      </c>
      <c r="CJ23" s="46">
        <f t="shared" si="8"/>
        <v>309.69170578499967</v>
      </c>
      <c r="CK23" s="443">
        <v>0.75609756097560976</v>
      </c>
      <c r="CL23" s="46">
        <f>+CL3*CK23++CJ4*CK22+CJ5*CK21+CJ6*CK20+CJ7*CK19+CJ8*CK18+CJ9*CK17+CJ10*CK16+CJ11*CK15+CJ12*CK14+CJ13*CK13+CJ14*CK12+CJ15*CK11+CJ16*CK10+CJ17*CK9+CJ18*CK8+CJ19*CK7+CJ20*CK6+CJ21*CK5+CJ22*CK4+CJ23</f>
        <v>9270.6062616657837</v>
      </c>
      <c r="CM23" s="61">
        <f t="shared" si="17"/>
        <v>1.7584533167694122E-2</v>
      </c>
      <c r="CN23" s="56">
        <f t="shared" si="18"/>
        <v>1.6258334953497003E-2</v>
      </c>
      <c r="CO23" s="56">
        <f t="shared" si="23"/>
        <v>1.5855179622189818E-2</v>
      </c>
      <c r="CP23" s="61">
        <f>VLOOKUP($H23,RoR!$E:$F,2,FALSE)</f>
        <v>3.9299999999999995E-2</v>
      </c>
      <c r="CQ23" s="56">
        <v>2.386056741932796E-2</v>
      </c>
      <c r="CR23" s="56">
        <f t="shared" si="19"/>
        <v>1.5439432580672034E-2</v>
      </c>
      <c r="CS23" s="56">
        <f t="shared" si="24"/>
        <v>1.5046761986343807E-2</v>
      </c>
      <c r="CT23" s="56">
        <f t="shared" si="25"/>
        <v>3.8270792163076606E-2</v>
      </c>
      <c r="CU23" s="96">
        <f t="shared" si="9"/>
        <v>0.92230000000000001</v>
      </c>
      <c r="CV23" s="58">
        <f t="shared" si="10"/>
        <v>1.3048868010700074</v>
      </c>
      <c r="CW23" s="58">
        <f t="shared" si="11"/>
        <v>0.33886768447837151</v>
      </c>
      <c r="CX23" s="58">
        <f t="shared" si="12"/>
        <v>0.78602506232557801</v>
      </c>
      <c r="CY23" s="58">
        <f t="shared" si="13"/>
        <v>0.34756768162358759</v>
      </c>
      <c r="CZ23" s="303">
        <f>INDEX('State Tax Lookup'!$D$7:$Z$91,MATCH(Calculation!$C23,'State Tax Lookup'!$B$7:$B$91,0),MATCH($H23,'State Tax Lookup'!$D$6:$Z$6,0))</f>
        <v>0.20999999999999996</v>
      </c>
      <c r="DA23" s="303">
        <v>0.37</v>
      </c>
      <c r="DB23" s="57">
        <f t="shared" si="21"/>
        <v>13.22051860398485</v>
      </c>
      <c r="DC23" s="56">
        <f t="shared" si="26"/>
        <v>3.1163658119250221E-2</v>
      </c>
      <c r="DD23" s="303">
        <f>VLOOKUP($H23,RoR!$E:$F,2,FALSE)</f>
        <v>3.9299999999999995E-2</v>
      </c>
      <c r="DE23" s="304">
        <f>HLOOKUP($H23,'GDP-PI'!$D$8:$CQ$11,3,FALSE)</f>
        <v>2.386056741932796E-2</v>
      </c>
      <c r="DF23" s="303">
        <f>VLOOKUP(H23,'HW Dx Data'!$E:$F,2,FALSE)</f>
        <v>755.13671434174842</v>
      </c>
      <c r="DG23" s="89">
        <f ca="1">VLOOKUP(CC23,'ECI - Input Price'!M$13:N$33,2,FALSE)</f>
        <v>144.44999999999999</v>
      </c>
      <c r="DH23" s="89"/>
      <c r="DI23" s="89" t="b">
        <f t="shared" ca="1" si="33"/>
        <v>0</v>
      </c>
      <c r="DJ23" s="56">
        <f t="shared" ca="1" si="34"/>
        <v>2.80818733619915E-2</v>
      </c>
      <c r="DK23" s="53">
        <f>HLOOKUP(H23,'GDP-PI'!$8:$9,2,FALSE)</f>
        <v>110.322</v>
      </c>
      <c r="DL23" s="355">
        <f t="shared" si="27"/>
        <v>2.3580352716508712E-2</v>
      </c>
      <c r="DO23" s="27">
        <v>1.7081629389229851E-2</v>
      </c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EC23" s="298">
        <f t="shared" si="20"/>
        <v>2018</v>
      </c>
    </row>
    <row r="24" spans="1:133" ht="21" customHeight="1" x14ac:dyDescent="0.4">
      <c r="A24" s="229" t="s">
        <v>148</v>
      </c>
      <c r="B24" s="391" t="s">
        <v>148</v>
      </c>
      <c r="C24" s="391">
        <v>4054707</v>
      </c>
      <c r="D24" s="391" t="s">
        <v>149</v>
      </c>
      <c r="E24" s="391"/>
      <c r="F24" s="391"/>
      <c r="G24" s="391" t="s">
        <v>175</v>
      </c>
      <c r="H24" s="11">
        <v>2019</v>
      </c>
      <c r="I24" s="46"/>
      <c r="J24" s="47">
        <f>IFERROR(INDEX('Labor Expenditures'!$E$7:$W$91,MATCH($C24,'Labor Expenditures'!$C$7:$C$91,0),MATCH($G24,'Labor Expenditures'!$E$5:$W$5,0)),"NA")</f>
        <v>71549.79422868455</v>
      </c>
      <c r="K24" s="47">
        <f t="shared" ca="1" si="28"/>
        <v>478.03436932476728</v>
      </c>
      <c r="M24" s="59">
        <f t="shared" ca="1" si="40"/>
        <v>6.9905301004253573E-3</v>
      </c>
      <c r="N24" s="59"/>
      <c r="O24" s="59"/>
      <c r="P24" s="59">
        <f t="shared" ca="1" si="41"/>
        <v>1.8236500276427802E-4</v>
      </c>
      <c r="Q24" s="61"/>
      <c r="R24" s="387"/>
      <c r="S24" s="49">
        <f t="shared" ca="1" si="51"/>
        <v>102.65509260315881</v>
      </c>
      <c r="T24" s="61">
        <f t="shared" ca="1" si="42"/>
        <v>-7.8596968604878557E-3</v>
      </c>
      <c r="U24" s="61">
        <f ca="1">SUMIF($G$11:P$1352,$G24,$P$11:$P$1352)</f>
        <v>-7.8596968604878557E-3</v>
      </c>
      <c r="V24" s="47">
        <f>IFERROR(INDEX('Non-Labor Expenditures'!$E$7:$AA$91,MATCH($C24,'Non-Labor Expenditures'!$C$7:$C$91,0),MATCH($G24,'Non-Labor Expenditures'!$E$5:$AA$5,0)),"NA")</f>
        <v>103617.46570132086</v>
      </c>
      <c r="W24" s="47">
        <f t="shared" si="35"/>
        <v>922.53659877598307</v>
      </c>
      <c r="X24" s="59">
        <f t="shared" si="43"/>
        <v>2.4592608548195137E-2</v>
      </c>
      <c r="Y24" s="59">
        <f t="shared" si="44"/>
        <v>6.4155808807682868E-4</v>
      </c>
      <c r="Z24" s="49">
        <f t="shared" si="52"/>
        <v>120.43970264601313</v>
      </c>
      <c r="AA24" s="61">
        <f t="shared" si="36"/>
        <v>9.7453491890565347E-3</v>
      </c>
      <c r="AB24" s="61"/>
      <c r="AC24" s="47">
        <f t="shared" si="14"/>
        <v>122049.83417184031</v>
      </c>
      <c r="AD24" s="59">
        <f t="shared" si="53"/>
        <v>1.3395131083378821E-2</v>
      </c>
      <c r="AE24" s="73">
        <v>10381.002715977118</v>
      </c>
      <c r="AF24" s="61">
        <v>2.0932832266337489E-2</v>
      </c>
      <c r="AG24" s="59">
        <f t="shared" si="45"/>
        <v>5.4608391055815974E-4</v>
      </c>
      <c r="AH24" s="49">
        <f t="shared" si="54"/>
        <v>162.06284134899931</v>
      </c>
      <c r="AI24" s="61">
        <f t="shared" si="37"/>
        <v>4.2786812624708029E-2</v>
      </c>
      <c r="AJ24" s="46">
        <f t="shared" si="29"/>
        <v>297217.09410184575</v>
      </c>
      <c r="AK24" s="61">
        <f t="shared" si="46"/>
        <v>3.0459252081837435E-2</v>
      </c>
      <c r="AL24" s="129">
        <f t="shared" si="38"/>
        <v>11393112.774853604</v>
      </c>
      <c r="AM24" s="61">
        <f t="shared" si="47"/>
        <v>2.3549303228817965E-2</v>
      </c>
      <c r="AN24" s="46">
        <f>+AL24*1000/Outputs!B27</f>
        <v>302.48260210873406</v>
      </c>
      <c r="AO24" s="73">
        <f>+(Outputs!F27*1000)/Outputs!E27</f>
        <v>413.22563684380361</v>
      </c>
      <c r="AP24" s="73">
        <f t="shared" si="48"/>
        <v>184.53777504564795</v>
      </c>
      <c r="AQ24" s="61">
        <f>+BB24/Outputs!$B$27</f>
        <v>4.2760867554950836E-2</v>
      </c>
      <c r="AR24" s="62">
        <f t="shared" si="30"/>
        <v>0.24073243312232565</v>
      </c>
      <c r="AS24" s="62">
        <f t="shared" si="31"/>
        <v>0.3486255257775141</v>
      </c>
      <c r="AT24" s="62">
        <f t="shared" si="32"/>
        <v>0.41064204110016017</v>
      </c>
      <c r="AU24" s="62">
        <f t="shared" ca="1" si="49"/>
        <v>1.9217626717017378E-2</v>
      </c>
      <c r="AV24" s="49">
        <f t="shared" ca="1" si="56"/>
        <v>131.11921475257412</v>
      </c>
      <c r="AW24" s="61">
        <f t="shared" ca="1" si="57"/>
        <v>1.9217626717017374E-2</v>
      </c>
      <c r="AX24" s="56">
        <f>+AJ24/$AL$24</f>
        <v>2.6087435451165791E-2</v>
      </c>
      <c r="AY24" s="56">
        <f t="shared" ca="1" si="58"/>
        <v>5.0133859650478994E-4</v>
      </c>
      <c r="AZ24" s="49">
        <f t="shared" ca="1" si="55"/>
        <v>124.09219759640382</v>
      </c>
      <c r="BA24" s="61">
        <f t="shared" ca="1" si="50"/>
        <v>1.2981117000803451E-2</v>
      </c>
      <c r="BB24" s="230">
        <f>IFERROR(INDEX('Total Customers'!$E$7:$AA$91,MATCH($C24,'Total Customers'!$C$7:$C$91,0),MATCH($G24,'Total Customers'!$E$5:$AA$5,0)),"NA")</f>
        <v>1610603</v>
      </c>
      <c r="BC24" s="392">
        <f t="shared" si="15"/>
        <v>9.6916475482504011E-3</v>
      </c>
      <c r="BE24" s="281" t="str">
        <f t="shared" si="0"/>
        <v>ATLANTA GAS LIGHT COMPANY</v>
      </c>
      <c r="BF24" s="290">
        <f t="shared" si="1"/>
        <v>4054707</v>
      </c>
      <c r="BG24" s="46" t="str">
        <f t="shared" si="2"/>
        <v>GA</v>
      </c>
      <c r="BH24" s="46"/>
      <c r="BI24" s="46" t="str">
        <f t="shared" si="3"/>
        <v>2019 Y</v>
      </c>
      <c r="BJ24" s="46"/>
      <c r="BK24" s="46"/>
      <c r="BL24" s="46">
        <f>INDEX('Dist. Plant Gas Additions'!$E$7:$AD$91,MATCH($C24,'Dist. Plant Gas Additions'!$C$7:$C$91,0),MATCH(Calculation!$G24,'Dist. Plant Gas Additions'!$E$5:$AD$5,0))</f>
        <v>210651</v>
      </c>
      <c r="BM24" s="46">
        <f>INDEX('Gen. Plant Additions'!$E$7:$AD$91,MATCH($C24,'Gen. Plant Additions'!$C$7:$C$91,0),MATCH(Calculation!$G24,'Gen. Plant Additions'!$E$5:$AD$5,0))</f>
        <v>29663</v>
      </c>
      <c r="BN24" s="393">
        <f t="shared" si="4"/>
        <v>0.93629327049770539</v>
      </c>
      <c r="BO24" s="46">
        <f t="shared" ref="BO24:BO42" si="61">+BN24*BM24</f>
        <v>27773.267282773435</v>
      </c>
      <c r="BP24" s="46">
        <f t="shared" ref="BP24:BP42" si="62">+BO24-BM24</f>
        <v>-1889.732717226565</v>
      </c>
      <c r="BQ24" s="46">
        <f>INDEX('Dist Plant Depreciation'!$D$7:$AC$94,MATCH($C24,'Dist Plant Depreciation'!$C$7:$C$94,0),MATCH(Calculation!$G24,'Dist Plant Depreciation'!$D$5:$AC$5,0))</f>
        <v>1423907</v>
      </c>
      <c r="BR24" s="46">
        <f>INDEX('Gen. Plant Depreciation'!$D$7:$AC$94,MATCH($C24,'Gen. Plant Depreciation'!$C$7:$C$94,0),MATCH(Calculation!$G24,'Gen. Plant Depreciation'!$D$5:$AC$5,0))</f>
        <v>152868</v>
      </c>
      <c r="BS24" s="53">
        <v>1950</v>
      </c>
      <c r="BT24" s="53">
        <f t="shared" si="59"/>
        <v>3</v>
      </c>
      <c r="BU24" s="51">
        <v>35.201593561861024</v>
      </c>
      <c r="BV24" s="62">
        <f>+BT24/$BT$76</f>
        <v>2.2624434389140274E-3</v>
      </c>
      <c r="BW24" s="396">
        <f t="shared" si="60"/>
        <v>7.964161439335074E-2</v>
      </c>
      <c r="BX24" s="396"/>
      <c r="BY24" s="46">
        <f>INDEX('Gross Dx Plant'!$D$7:$AC$91,MATCH($C24,'Gross Dx Plant'!$C$7:$C$91,0),MATCH(Calculation!$G24,'Gross Dx Plant'!$D$5:$AC$5,0))</f>
        <v>4142785</v>
      </c>
      <c r="BZ24" s="46">
        <f>INDEX('Gross Gen Plant'!$D$7:$AC$91,MATCH($C24,'Gross Gen Plant'!$C$7:$C$91,0),MATCH(Calculation!$G24,'Gross Gen Plant'!$D$5:$AC$5,0))</f>
        <v>281881</v>
      </c>
      <c r="CA24" s="46">
        <f t="shared" si="39"/>
        <v>2847891</v>
      </c>
      <c r="CB24" s="46"/>
      <c r="CC24" s="73">
        <v>2019</v>
      </c>
      <c r="CD24" s="46"/>
      <c r="CE24" s="46"/>
      <c r="CF24" s="46"/>
      <c r="CG24" s="53"/>
      <c r="CH24" s="46">
        <f t="shared" si="7"/>
        <v>240314</v>
      </c>
      <c r="CI24" s="46">
        <f t="shared" si="16"/>
        <v>238424.26728277345</v>
      </c>
      <c r="CJ24" s="46">
        <f t="shared" si="8"/>
        <v>308.22515147957722</v>
      </c>
      <c r="CK24" s="443">
        <v>0.7407407407407407</v>
      </c>
      <c r="CL24" s="46">
        <f>CL3*CK24+CJ4*CK23+CJ5*CK22+CJ6*CK21+CJ7*CK20+CJ8*CK19+CJ9*CK18+CJ10*CK17+CJ11*CK16+CJ12*CK15+CJ13*CK14+CJ14*CK13+CJ15*CK12+CJ16*CK11+CJ17*CK10+CJ18*CK9+CJ19*CK8+CJ20*CK7+CJ21*CK6+CJ22*CK5+CJ23*CK4+CJ24</f>
        <v>9424.1691845632267</v>
      </c>
      <c r="CM24" s="61">
        <f t="shared" si="17"/>
        <v>1.6428801434954007E-2</v>
      </c>
      <c r="CN24" s="56">
        <f t="shared" si="18"/>
        <v>1.6683075973322997E-2</v>
      </c>
      <c r="CO24" s="56">
        <f t="shared" si="23"/>
        <v>1.6261191778721391E-2</v>
      </c>
      <c r="CP24" s="61">
        <f>VLOOKUP($H24,RoR!$E:$F,2,FALSE)</f>
        <v>3.3875000000000009E-2</v>
      </c>
      <c r="CQ24" s="56">
        <v>1.8092492884465461E-2</v>
      </c>
      <c r="CR24" s="56">
        <f t="shared" si="19"/>
        <v>1.5782507115534548E-2</v>
      </c>
      <c r="CS24" s="56">
        <f t="shared" si="24"/>
        <v>1.4640749829812234E-2</v>
      </c>
      <c r="CT24" s="56">
        <f t="shared" si="25"/>
        <v>4.8445665544254078E-2</v>
      </c>
      <c r="CU24" s="96">
        <f t="shared" si="9"/>
        <v>0.92230000000000001</v>
      </c>
      <c r="CV24" s="58">
        <f t="shared" si="10"/>
        <v>1.513861292459078</v>
      </c>
      <c r="CW24" s="58">
        <f t="shared" si="11"/>
        <v>0.23699261992619944</v>
      </c>
      <c r="CX24" s="58">
        <f t="shared" si="12"/>
        <v>0.73619765810468829</v>
      </c>
      <c r="CY24" s="58">
        <f t="shared" si="13"/>
        <v>0.26412854465362851</v>
      </c>
      <c r="CZ24" s="303">
        <f>INDEX('State Tax Lookup'!$D$7:$Z$91,MATCH(Calculation!$C24,'State Tax Lookup'!$B$7:$B$91,0),MATCH($H24,'State Tax Lookup'!$D$6:$Z$6,0))</f>
        <v>0.20999999999999996</v>
      </c>
      <c r="DA24" s="303">
        <v>0.37</v>
      </c>
      <c r="DB24" s="57">
        <f t="shared" si="21"/>
        <v>13.16524839119959</v>
      </c>
      <c r="DC24" s="56">
        <f t="shared" si="26"/>
        <v>-4.1894020843152753E-3</v>
      </c>
      <c r="DD24" s="303">
        <f>VLOOKUP($H24,RoR!$E:$F,2,FALSE)</f>
        <v>3.3875000000000009E-2</v>
      </c>
      <c r="DE24" s="304">
        <f>HLOOKUP($H24,'GDP-PI'!$D$8:$CQ$11,3,FALSE)</f>
        <v>1.8092492884465461E-2</v>
      </c>
      <c r="DF24" s="303">
        <f>VLOOKUP(H24,'HW Dx Data'!$E:$F,2,FALSE)</f>
        <v>773.53929793938721</v>
      </c>
      <c r="DG24" s="89">
        <f ca="1">VLOOKUP(CC24,'ECI - Input Price'!M$13:N$33,2,FALSE)</f>
        <v>149.67500000000001</v>
      </c>
      <c r="DH24" s="89"/>
      <c r="DI24" s="89" t="b">
        <f t="shared" ca="1" si="33"/>
        <v>0</v>
      </c>
      <c r="DJ24" s="56">
        <f t="shared" ca="1" si="34"/>
        <v>3.5532849899171604E-2</v>
      </c>
      <c r="DK24" s="53">
        <f>HLOOKUP(H24,'GDP-PI'!$8:$9,2,FALSE)</f>
        <v>112.318</v>
      </c>
      <c r="DL24" s="355">
        <f t="shared" si="27"/>
        <v>1.7930771451401852E-2</v>
      </c>
      <c r="DO24" s="27">
        <v>1.0563420558705747E-2</v>
      </c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EC24" s="298">
        <f t="shared" si="20"/>
        <v>2019</v>
      </c>
    </row>
    <row r="25" spans="1:133" ht="21" customHeight="1" x14ac:dyDescent="0.4">
      <c r="A25" s="229" t="s">
        <v>148</v>
      </c>
      <c r="B25" t="s">
        <v>148</v>
      </c>
      <c r="C25">
        <v>4054707</v>
      </c>
      <c r="D25" t="s">
        <v>149</v>
      </c>
      <c r="E25"/>
      <c r="F25"/>
      <c r="G25" s="391" t="s">
        <v>176</v>
      </c>
      <c r="H25" s="11">
        <v>2020</v>
      </c>
      <c r="I25" s="46"/>
      <c r="J25" s="47">
        <f>IFERROR(INDEX('Labor Expenditures'!$E$7:$W$91,MATCH($C25,'Labor Expenditures'!$C$7:$C$91,0),MATCH($G25,'Labor Expenditures'!$E$5:$W$5,0)),"NA")</f>
        <v>77621.683353847358</v>
      </c>
      <c r="K25" s="47">
        <f t="shared" ca="1" si="28"/>
        <v>506.83436731209503</v>
      </c>
      <c r="M25" s="59">
        <f t="shared" ca="1" si="40"/>
        <v>5.850162626403161E-2</v>
      </c>
      <c r="N25" s="59"/>
      <c r="O25" s="59"/>
      <c r="P25" s="59">
        <f t="shared" ca="1" si="41"/>
        <v>1.5968098718765276E-3</v>
      </c>
      <c r="Q25" s="61"/>
      <c r="R25" s="387"/>
      <c r="S25" s="49">
        <f t="shared" ca="1" si="51"/>
        <v>99.979394589916168</v>
      </c>
      <c r="T25" s="61">
        <f t="shared" ca="1" si="42"/>
        <v>-2.6410642910459494E-2</v>
      </c>
      <c r="U25" s="61">
        <f ca="1">SUMIF($G$11:P$1352,$G25,$P$11:$P$1352)</f>
        <v>-2.6410642910459494E-2</v>
      </c>
      <c r="V25" s="47">
        <f>IFERROR(INDEX('Non-Labor Expenditures'!$E$7:$AA$91,MATCH($C25,'Non-Labor Expenditures'!$C$7:$C$91,0),MATCH($G25,'Non-Labor Expenditures'!$E$5:$AA$5,0)),"NA")</f>
        <v>112410.69522701181</v>
      </c>
      <c r="W25" s="47">
        <f t="shared" si="35"/>
        <v>989.33046326018325</v>
      </c>
      <c r="X25" s="59">
        <f t="shared" si="43"/>
        <v>6.9901366000007167E-2</v>
      </c>
      <c r="Y25" s="59">
        <f t="shared" si="44"/>
        <v>1.9079673235527167E-3</v>
      </c>
      <c r="Z25" s="49">
        <f t="shared" si="52"/>
        <v>118.64615023945896</v>
      </c>
      <c r="AA25" s="61">
        <f t="shared" si="36"/>
        <v>-1.5003698717225148E-2</v>
      </c>
      <c r="AB25" s="61"/>
      <c r="AC25" s="47">
        <f t="shared" si="14"/>
        <v>126648.40615817721</v>
      </c>
      <c r="AD25" s="59">
        <f t="shared" si="53"/>
        <v>3.6985353603191919E-2</v>
      </c>
      <c r="AE25" s="73">
        <v>10516.251718974165</v>
      </c>
      <c r="AF25" s="61">
        <v>1.294436950102886E-2</v>
      </c>
      <c r="AG25" s="59">
        <f t="shared" si="45"/>
        <v>3.5331833189000792E-4</v>
      </c>
      <c r="AH25" s="49">
        <f t="shared" si="54"/>
        <v>167.85824300936881</v>
      </c>
      <c r="AI25" s="61">
        <f t="shared" si="37"/>
        <v>3.5135662023190267E-2</v>
      </c>
      <c r="AJ25" s="46">
        <f t="shared" si="29"/>
        <v>316680.78473903635</v>
      </c>
      <c r="AK25" s="61">
        <f t="shared" si="46"/>
        <v>6.3431449963170461E-2</v>
      </c>
      <c r="AL25" s="129">
        <f t="shared" si="38"/>
        <v>11602095.678448992</v>
      </c>
      <c r="AM25" s="61">
        <f t="shared" si="47"/>
        <v>1.8176713454075764E-2</v>
      </c>
      <c r="AN25" s="397">
        <f>+AL25*1000/Outputs!B28</f>
        <v>305.85583285617435</v>
      </c>
      <c r="AO25" s="73">
        <f>+(Outputs!F28*1000)/Outputs!E28</f>
        <v>400.52738966875046</v>
      </c>
      <c r="AP25" s="73">
        <f t="shared" si="48"/>
        <v>187.48170491361898</v>
      </c>
      <c r="AQ25" s="61">
        <f>+BB25/Outputs!$B$28</f>
        <v>4.452902056791018E-2</v>
      </c>
      <c r="AR25" s="62">
        <f t="shared" si="30"/>
        <v>0.24511017748617808</v>
      </c>
      <c r="AS25" s="62">
        <f t="shared" si="31"/>
        <v>0.35496531726623343</v>
      </c>
      <c r="AT25" s="62">
        <f t="shared" si="32"/>
        <v>0.3999245052475886</v>
      </c>
      <c r="AU25" s="62">
        <f t="shared" ca="1" si="49"/>
        <v>2.545955745542821E-3</v>
      </c>
      <c r="AV25" s="49">
        <f t="shared" ca="1" si="56"/>
        <v>131.45346378179559</v>
      </c>
      <c r="AW25" s="61">
        <f t="shared" ca="1" si="57"/>
        <v>2.5459557455428765E-3</v>
      </c>
      <c r="AX25" s="56">
        <f>+AJ25/$AL$25</f>
        <v>2.7295136457741342E-2</v>
      </c>
      <c r="AY25" s="56">
        <f t="shared" ca="1" si="58"/>
        <v>6.9492209489963413E-5</v>
      </c>
      <c r="AZ25" s="49">
        <f t="shared" ca="1" si="55"/>
        <v>126.34235726070827</v>
      </c>
      <c r="BA25" s="61">
        <f t="shared" ca="1" si="50"/>
        <v>1.7970525040094089E-2</v>
      </c>
      <c r="BB25" s="230">
        <v>1689129</v>
      </c>
      <c r="BC25" s="392">
        <f t="shared" si="15"/>
        <v>4.7604368425845561E-2</v>
      </c>
      <c r="BE25" s="281" t="str">
        <f t="shared" si="0"/>
        <v>ATLANTA GAS LIGHT COMPANY</v>
      </c>
      <c r="BF25" s="290">
        <f t="shared" si="1"/>
        <v>4054707</v>
      </c>
      <c r="BG25" s="46" t="str">
        <f t="shared" si="2"/>
        <v>GA</v>
      </c>
      <c r="BH25" s="46"/>
      <c r="BI25" s="46" t="str">
        <f t="shared" si="3"/>
        <v>2020 Y</v>
      </c>
      <c r="BJ25" s="46"/>
      <c r="BK25" s="46"/>
      <c r="BL25" s="46">
        <f>INDEX('Dist. Plant Gas Additions'!$E$7:$AD$91,MATCH($C25,'Dist. Plant Gas Additions'!$C$7:$C$91,0),MATCH(Calculation!$G25,'Dist. Plant Gas Additions'!$E$5:$AD$5,0))</f>
        <v>163650</v>
      </c>
      <c r="BM25" s="46">
        <f>INDEX('Gen. Plant Additions'!$E$7:$AD$91,MATCH($C25,'Gen. Plant Additions'!$C$7:$C$91,0),MATCH(Calculation!$G25,'Gen. Plant Additions'!$E$5:$AD$5,0))</f>
        <v>28483</v>
      </c>
      <c r="BN25" s="393">
        <f t="shared" si="4"/>
        <v>0.94712995063849137</v>
      </c>
      <c r="BO25" s="46">
        <f t="shared" si="61"/>
        <v>26977.102384036149</v>
      </c>
      <c r="BP25" s="46">
        <f t="shared" si="62"/>
        <v>-1505.8976159638514</v>
      </c>
      <c r="BQ25" s="46">
        <f>INDEX('Dist Plant Depreciation'!$D$7:$AC$94,MATCH($C25,'Dist Plant Depreciation'!$C$7:$C$94,0),MATCH(Calculation!$G25,'Dist Plant Depreciation'!$D$5:$AC$5,0))</f>
        <v>1500077</v>
      </c>
      <c r="BR25" s="46">
        <f>INDEX('Gen. Plant Depreciation'!$D$7:$AC$94,MATCH($C25,'Gen. Plant Depreciation'!$C$7:$C$94,0),MATCH(Calculation!$G25,'Gen. Plant Depreciation'!$D$5:$AC$5,0))</f>
        <v>100168</v>
      </c>
      <c r="BS25" s="53">
        <v>1951</v>
      </c>
      <c r="BT25" s="53">
        <f t="shared" si="59"/>
        <v>4</v>
      </c>
      <c r="BU25" s="51">
        <v>37.797283225965671</v>
      </c>
      <c r="BV25" s="62">
        <f>+BT25/$BT$76</f>
        <v>3.0165912518853697E-3</v>
      </c>
      <c r="BW25" s="396">
        <f t="shared" si="60"/>
        <v>0.11401895392448166</v>
      </c>
      <c r="BX25" s="396"/>
      <c r="BY25" s="46">
        <f>INDEX('Gross Dx Plant'!$D$7:$AC$91,MATCH($C25,'Gross Dx Plant'!$C$7:$C$91,0),MATCH(Calculation!$G25,'Gross Dx Plant'!$D$5:$AC$5,0))</f>
        <v>4298411</v>
      </c>
      <c r="BZ25" s="46">
        <f>INDEX('Gross Gen Plant'!$D$7:$AC$91,MATCH($C25,'Gross Gen Plant'!$C$7:$C$91,0),MATCH(Calculation!$G25,'Gross Gen Plant'!$D$5:$AC$5,0))</f>
        <v>239943</v>
      </c>
      <c r="CA25" s="46">
        <f t="shared" si="39"/>
        <v>2938109</v>
      </c>
      <c r="CB25" s="46"/>
      <c r="CC25" s="73">
        <v>2020</v>
      </c>
      <c r="CD25" s="46"/>
      <c r="CE25" s="46"/>
      <c r="CF25" s="46"/>
      <c r="CG25" s="53"/>
      <c r="CH25" s="46">
        <f t="shared" si="7"/>
        <v>192133</v>
      </c>
      <c r="CI25" s="46">
        <f t="shared" si="16"/>
        <v>190627.10238403614</v>
      </c>
      <c r="CJ25" s="46">
        <f t="shared" si="8"/>
        <v>234.45056365360256</v>
      </c>
      <c r="CK25" s="443">
        <v>0.72499999999999998</v>
      </c>
      <c r="CL25" s="46">
        <f>CL3*CK25+CJ4*CK24+CJ5*CK23+CJ6*CK22+CJ7*CK21+CJ8*CK20+CJ9*CK19+CJ10*CK18+CJ11*CK17+CJ12*CK16+CJ13*CK15+CJ14*CK14+CJ15*CK13+CJ16*CK12+CJ17*CK11+CJ18*CK10+CJ19*CK9+CJ20*CK8+CJ21*CK7+CJ22*CK6+CJ23*CK5+CJ24*CK4+CJ25</f>
        <v>9497.219860070456</v>
      </c>
      <c r="CM25" s="61">
        <f t="shared" si="17"/>
        <v>7.721530199183888E-3</v>
      </c>
      <c r="CN25" s="56">
        <f t="shared" si="18"/>
        <v>1.7126166241873721E-2</v>
      </c>
      <c r="CO25" s="56">
        <f t="shared" si="23"/>
        <v>1.6689192389564574E-2</v>
      </c>
      <c r="CP25" s="61">
        <f>VLOOKUP($H25,RoR!$E:$F,2,FALSE)</f>
        <v>2.4766666666666666E-2</v>
      </c>
      <c r="CQ25" s="56">
        <v>1.1618796630994188E-2</v>
      </c>
      <c r="CR25" s="56">
        <f t="shared" si="19"/>
        <v>1.3147870035672478E-2</v>
      </c>
      <c r="CS25" s="56">
        <f t="shared" si="24"/>
        <v>1.4212749218969051E-2</v>
      </c>
      <c r="CT25" s="56">
        <f t="shared" ref="CT25:CT26" si="63">+((DF23/DF22-1)+(DF24/DF23-1)+(DF25/DF24-1))/3</f>
        <v>4.5144642961987357E-2</v>
      </c>
      <c r="CU25" s="96">
        <f t="shared" si="9"/>
        <v>0.92230000000000001</v>
      </c>
      <c r="CV25" s="58">
        <f t="shared" ref="CV25:CV26" si="64">2/(DD25*39)</f>
        <v>2.0706077233668081</v>
      </c>
      <c r="CW25" s="58">
        <f t="shared" si="11"/>
        <v>-3.4421265141318998E-2</v>
      </c>
      <c r="CX25" s="58">
        <f t="shared" ref="CX25:CX26" si="65">+(1-(1/(1+DD25)^40))</f>
        <v>0.62416226176410472</v>
      </c>
      <c r="CY25" s="58">
        <f t="shared" ref="CY25:CY26" si="66">+CX25*CW25*CV25</f>
        <v>-4.4485877841158712E-2</v>
      </c>
      <c r="CZ25" s="303">
        <f>INDEX('State Tax Lookup'!$D$7:$Z$91,MATCH(Calculation!$C25,'State Tax Lookup'!$B$7:$B$91,0),MATCH($H25,'State Tax Lookup'!$D$6:$Z$6,0))</f>
        <v>0.20999999999999996</v>
      </c>
      <c r="DA25" s="303">
        <v>0.37</v>
      </c>
      <c r="DB25" s="57">
        <f t="shared" si="21"/>
        <v>13.438681296769065</v>
      </c>
      <c r="DC25" s="56">
        <f t="shared" si="26"/>
        <v>2.0556552168237756E-2</v>
      </c>
      <c r="DD25" s="303">
        <f>VLOOKUP($H25,RoR!$E:$F,2,FALSE)</f>
        <v>2.4766666666666666E-2</v>
      </c>
      <c r="DE25" s="304">
        <f>HLOOKUP($H25,'GDP-PI'!$D$8:$CQ$11,3,FALSE)</f>
        <v>1.1618796630994188E-2</v>
      </c>
      <c r="DF25" s="303">
        <f>VLOOKUP(H25,'HW Dx Data'!$E:$F,2,FALSE)</f>
        <v>813.080162458833</v>
      </c>
      <c r="DG25" s="89">
        <f ca="1">VLOOKUP(CC25,'ECI - Input Price'!M$13:N$33,2,FALSE)</f>
        <v>153.15</v>
      </c>
      <c r="DH25" s="89"/>
      <c r="DI25" s="89" t="b">
        <f t="shared" ca="1" si="33"/>
        <v>0</v>
      </c>
      <c r="DJ25" s="56">
        <f t="shared" ca="1" si="34"/>
        <v>2.2951556467368479E-2</v>
      </c>
      <c r="DK25" s="53">
        <f>HLOOKUP(H25,'GDP-PI'!$8:$9,2,FALSE)</f>
        <v>113.623</v>
      </c>
      <c r="DL25" s="355">
        <f t="shared" si="27"/>
        <v>1.1551816731392881E-2</v>
      </c>
      <c r="DO25" s="27">
        <v>1.9340147467329368E-2</v>
      </c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EC25" s="298">
        <f t="shared" si="20"/>
        <v>2020</v>
      </c>
    </row>
    <row r="26" spans="1:133" s="126" customFormat="1" ht="21" customHeight="1" x14ac:dyDescent="0.4">
      <c r="A26" s="233" t="s">
        <v>148</v>
      </c>
      <c r="B26" s="126" t="s">
        <v>148</v>
      </c>
      <c r="C26" s="126">
        <v>4054707</v>
      </c>
      <c r="D26" s="126" t="s">
        <v>149</v>
      </c>
      <c r="G26" s="127" t="s">
        <v>177</v>
      </c>
      <c r="H26" s="128">
        <v>2021</v>
      </c>
      <c r="I26" s="129"/>
      <c r="J26" s="125">
        <v>82311.656882204843</v>
      </c>
      <c r="K26" s="125">
        <f t="shared" ca="1" si="28"/>
        <v>523.44455886934713</v>
      </c>
      <c r="L26" s="47"/>
      <c r="M26" s="130">
        <f t="shared" ca="1" si="40"/>
        <v>3.2246861439989921E-2</v>
      </c>
      <c r="N26" s="59"/>
      <c r="O26" s="59"/>
      <c r="P26" s="59">
        <f t="shared" ca="1" si="41"/>
        <v>8.2743431706859148E-4</v>
      </c>
      <c r="Q26" s="61"/>
      <c r="R26" s="387"/>
      <c r="S26" s="132">
        <f ca="1">+S25*EXP(T26)</f>
        <v>105.17515685873649</v>
      </c>
      <c r="T26" s="134">
        <f t="shared" ca="1" si="42"/>
        <v>5.0663010227332363E-2</v>
      </c>
      <c r="U26" s="61">
        <f ca="1">SUMIF($G$11:P$1352,$G26,$P$11:$P$1352)</f>
        <v>5.0663010227332363E-2</v>
      </c>
      <c r="V26" s="125">
        <v>116029.68500262612</v>
      </c>
      <c r="W26" s="125">
        <f t="shared" si="35"/>
        <v>979.23609589523278</v>
      </c>
      <c r="X26" s="131">
        <f t="shared" si="43"/>
        <v>-1.0255640880861821E-2</v>
      </c>
      <c r="Y26" s="59">
        <f t="shared" si="44"/>
        <v>-2.6315333739218252E-4</v>
      </c>
      <c r="Z26" s="132">
        <f t="shared" si="52"/>
        <v>119.0393580885909</v>
      </c>
      <c r="AA26" s="134">
        <f t="shared" si="36"/>
        <v>3.3086426732996462E-3</v>
      </c>
      <c r="AB26" s="134"/>
      <c r="AC26" s="125">
        <f t="shared" si="14"/>
        <v>131257.8257831439</v>
      </c>
      <c r="AD26" s="131">
        <f t="shared" si="53"/>
        <v>3.5748732957794647E-2</v>
      </c>
      <c r="AE26" s="133">
        <v>10694.591646855077</v>
      </c>
      <c r="AF26" s="134">
        <v>1.6816316776473918E-2</v>
      </c>
      <c r="AG26" s="59">
        <f t="shared" si="45"/>
        <v>4.3149618183601875E-4</v>
      </c>
      <c r="AH26" s="132">
        <f t="shared" si="54"/>
        <v>168.1005189488165</v>
      </c>
      <c r="AI26" s="134">
        <f t="shared" si="37"/>
        <v>1.4422959534345476E-3</v>
      </c>
      <c r="AJ26" s="129">
        <f t="shared" si="29"/>
        <v>329599.16766797483</v>
      </c>
      <c r="AK26" s="134">
        <f t="shared" si="46"/>
        <v>3.9982994433827856E-2</v>
      </c>
      <c r="AL26" s="129">
        <f t="shared" si="38"/>
        <v>12845175.104870737</v>
      </c>
      <c r="AM26" s="134">
        <f t="shared" si="47"/>
        <v>0.10178251888128052</v>
      </c>
      <c r="AN26" s="397">
        <f>+AL26*1000/Outputs!B29</f>
        <v>332.72246308192763</v>
      </c>
      <c r="AO26" s="73">
        <f>+(Outputs!F29*1000)/Outputs!E29</f>
        <v>433.15254658985845</v>
      </c>
      <c r="AP26" s="133">
        <f t="shared" si="48"/>
        <v>194.42786251979078</v>
      </c>
      <c r="AQ26" s="61">
        <f>+BB26/Outputs!$B$28</f>
        <v>4.4689750410570238E-2</v>
      </c>
      <c r="AR26" s="93">
        <f t="shared" si="30"/>
        <v>0.24973259934054914</v>
      </c>
      <c r="AS26" s="93">
        <f t="shared" si="31"/>
        <v>0.35203270027523198</v>
      </c>
      <c r="AT26" s="93">
        <f t="shared" si="32"/>
        <v>0.39823470038421893</v>
      </c>
      <c r="AU26" s="62">
        <f t="shared" ca="1" si="49"/>
        <v>1.4280305133274629E-2</v>
      </c>
      <c r="AV26" s="132">
        <f t="shared" ca="1" si="56"/>
        <v>133.34412684849437</v>
      </c>
      <c r="AW26" s="134">
        <f t="shared" ca="1" si="57"/>
        <v>1.4280305133274687E-2</v>
      </c>
      <c r="AX26" s="56">
        <f>+AJ26/$AL$26</f>
        <v>2.5659375211085661E-2</v>
      </c>
      <c r="AY26" s="135">
        <f t="shared" ca="1" si="58"/>
        <v>3.6642370754348783E-4</v>
      </c>
      <c r="AZ26" s="132">
        <f t="shared" ca="1" si="55"/>
        <v>130.52225431365838</v>
      </c>
      <c r="BA26" s="134">
        <f t="shared" ca="1" si="50"/>
        <v>3.2548399995472724E-2</v>
      </c>
      <c r="BB26" s="234">
        <v>1695226</v>
      </c>
      <c r="BC26" s="392">
        <f t="shared" si="15"/>
        <v>3.6030538143515213E-3</v>
      </c>
      <c r="BE26" s="281" t="str">
        <f t="shared" si="0"/>
        <v>ATLANTA GAS LIGHT COMPANY</v>
      </c>
      <c r="BF26" s="290">
        <f t="shared" si="1"/>
        <v>4054707</v>
      </c>
      <c r="BG26" s="46" t="str">
        <f t="shared" si="2"/>
        <v>GA</v>
      </c>
      <c r="BH26" s="46"/>
      <c r="BI26" s="46" t="str">
        <f t="shared" si="3"/>
        <v>2021 Y</v>
      </c>
      <c r="BJ26" s="129"/>
      <c r="BK26" s="129"/>
      <c r="BL26" s="129">
        <f>INDEX('Dist. Plant Gas Additions'!$D$7:$AD$91,MATCH($C26,'Dist. Plant Gas Additions'!$C$7:$C$91,0),MATCH(Calculation!$G26,'Dist. Plant Gas Additions'!$D$5:$AD$5,0))</f>
        <v>262371</v>
      </c>
      <c r="BM26" s="129">
        <f>INDEX('Gen. Plant Additions'!$D$7:$AD$91,MATCH($C26,'Gen. Plant Additions'!$C$7:$C$91,0),MATCH(Calculation!$G26,'Gen. Plant Additions'!$D$5:$AD$5,0))</f>
        <v>32191</v>
      </c>
      <c r="BN26" s="393">
        <v>0.94712995063849137</v>
      </c>
      <c r="BO26" s="46">
        <f t="shared" si="61"/>
        <v>30489.060241003677</v>
      </c>
      <c r="BP26" s="46">
        <f t="shared" si="62"/>
        <v>-1701.9397589963228</v>
      </c>
      <c r="BQ26" s="129"/>
      <c r="BR26" s="129"/>
      <c r="BS26" s="137">
        <v>1952</v>
      </c>
      <c r="BT26" s="137">
        <f>+BT28-1</f>
        <v>5</v>
      </c>
      <c r="BU26" s="333">
        <v>38.739556897224304</v>
      </c>
      <c r="BV26" s="93">
        <f>+BT26/$BT$76</f>
        <v>3.770739064856712E-3</v>
      </c>
      <c r="BW26" s="334">
        <f t="shared" si="60"/>
        <v>0.14607676054760296</v>
      </c>
      <c r="BX26" s="334"/>
      <c r="BY26" s="129"/>
      <c r="BZ26" s="129"/>
      <c r="CA26" s="129"/>
      <c r="CB26" s="129"/>
      <c r="CC26" s="133">
        <v>2021</v>
      </c>
      <c r="CD26" s="129"/>
      <c r="CE26" s="129"/>
      <c r="CF26" s="129"/>
      <c r="CG26" s="137"/>
      <c r="CH26" s="129">
        <f t="shared" si="7"/>
        <v>294562</v>
      </c>
      <c r="CI26" s="46">
        <f>+CH26+BP26</f>
        <v>292860.0602410037</v>
      </c>
      <c r="CJ26" s="46">
        <f t="shared" si="8"/>
        <v>313.88317054185904</v>
      </c>
      <c r="CK26" s="443">
        <v>0.70886075949367089</v>
      </c>
      <c r="CL26" s="129">
        <f>CL3*CK26+CJ4*CK25+CJ5*CK24+CJ6*CK23+CJ7*CK22+CJ8*CK21+CJ9*CK20+CJ10*CK19+CJ11*CK18+CJ12*CK17+CJ13*CK16+CJ14*CK15+CJ15*CK14+CJ16*CK13+CJ17*CK12+CJ8*CK11+CJ19*CK10+CJ20*CK9+CJ21*CK8+CJ22*CK7+CJ23*CK6+CJ24*CK5+CJ26+CJ25*CK4</f>
        <v>9615.5199472375698</v>
      </c>
      <c r="CM26" s="134">
        <f t="shared" si="17"/>
        <v>1.2379344785591497E-2</v>
      </c>
      <c r="CN26" s="135">
        <f t="shared" si="18"/>
        <v>2.0593719662850288E-2</v>
      </c>
      <c r="CO26" s="135">
        <f t="shared" si="23"/>
        <v>1.8134320626015669E-2</v>
      </c>
      <c r="CP26" s="134">
        <f>VLOOKUP($H26,RoR!$E:$F,2,FALSE)</f>
        <v>2.7033333333333336E-2</v>
      </c>
      <c r="CQ26" s="56">
        <v>1.1618796630994188E-2</v>
      </c>
      <c r="CR26" s="56">
        <f t="shared" ref="CR26" si="67">+CP26-CQ26</f>
        <v>1.5414536702339148E-2</v>
      </c>
      <c r="CS26" s="56">
        <f t="shared" ref="CS26" si="68">+$CR$2-CO26</f>
        <v>1.2767620982517956E-2</v>
      </c>
      <c r="CT26" s="135">
        <f t="shared" si="63"/>
        <v>7.433422950153494E-2</v>
      </c>
      <c r="CU26" s="139">
        <f t="shared" si="9"/>
        <v>0.92230000000000001</v>
      </c>
      <c r="CV26" s="335">
        <f t="shared" si="64"/>
        <v>1.8969932656739068</v>
      </c>
      <c r="CW26" s="335">
        <f t="shared" si="11"/>
        <v>5.0215782983970621E-2</v>
      </c>
      <c r="CX26" s="335">
        <f t="shared" si="65"/>
        <v>0.655952481704143</v>
      </c>
      <c r="CY26" s="335">
        <f t="shared" si="66"/>
        <v>6.2485378865697057E-2</v>
      </c>
      <c r="CZ26" s="336">
        <f>CZ25</f>
        <v>0.20999999999999996</v>
      </c>
      <c r="DA26" s="303">
        <v>0.37</v>
      </c>
      <c r="DB26" s="141">
        <f t="shared" si="21"/>
        <v>13.820657804816802</v>
      </c>
      <c r="DC26" s="135">
        <f t="shared" si="26"/>
        <v>2.802720275861063E-2</v>
      </c>
      <c r="DD26" s="336">
        <f>VLOOKUP($H26,RoR!$E:$F,2,FALSE)</f>
        <v>2.7033333333333336E-2</v>
      </c>
      <c r="DE26" s="342">
        <f>HLOOKUP($H26,'GDP-PI'!$D$8:$CR$11,3,FALSE)</f>
        <v>4.2834637353352578E-2</v>
      </c>
      <c r="DF26" s="336">
        <f>VLOOKUP(H26,'HW Dx Data'!$E:$F,2,FALSE)</f>
        <v>933.02249921662576</v>
      </c>
      <c r="DG26" s="89">
        <f ca="1">VLOOKUP(CC26,'ECI - Input Price'!M$13:N$33,2,FALSE)</f>
        <v>157.25</v>
      </c>
      <c r="DH26" s="89"/>
      <c r="DI26" s="89" t="b">
        <f t="shared" ca="1" si="33"/>
        <v>0</v>
      </c>
      <c r="DJ26" s="135">
        <f t="shared" ca="1" si="34"/>
        <v>2.6419062301765574E-2</v>
      </c>
      <c r="DK26" s="137">
        <f>HLOOKUP(H26,'GDP-PI'!$8:$9,2,FALSE)</f>
        <v>118.49</v>
      </c>
      <c r="DL26" s="356">
        <f t="shared" si="27"/>
        <v>4.194261824609434E-2</v>
      </c>
      <c r="DO26" s="398"/>
      <c r="DP26" s="398"/>
      <c r="DQ26" s="398"/>
      <c r="DR26" s="398"/>
      <c r="DS26" s="398"/>
      <c r="DT26" s="398"/>
      <c r="DU26" s="398"/>
      <c r="DV26" s="398"/>
      <c r="DW26" s="398"/>
      <c r="DX26" s="398"/>
      <c r="DY26" s="398"/>
      <c r="EC26" s="298">
        <f t="shared" si="20"/>
        <v>2021</v>
      </c>
    </row>
    <row r="27" spans="1:133" s="126" customFormat="1" ht="21" customHeight="1" thickBot="1" x14ac:dyDescent="0.45">
      <c r="A27" s="235"/>
      <c r="B27" s="236"/>
      <c r="C27" s="236"/>
      <c r="D27" s="236"/>
      <c r="E27" s="236"/>
      <c r="F27" s="236"/>
      <c r="G27" s="237" t="s">
        <v>178</v>
      </c>
      <c r="H27" s="238"/>
      <c r="I27" s="239"/>
      <c r="J27" s="240">
        <v>93823</v>
      </c>
      <c r="K27" s="240">
        <f t="shared" ca="1" si="28"/>
        <v>577.19470932020909</v>
      </c>
      <c r="L27" s="47"/>
      <c r="M27" s="241">
        <f t="shared" ref="M27" ca="1" si="69">LN(K27/K26)</f>
        <v>9.7748540782106125E-2</v>
      </c>
      <c r="N27" s="59"/>
      <c r="O27" s="59"/>
      <c r="P27" s="242">
        <f t="shared" ca="1" si="41"/>
        <v>2.797064113718062E-3</v>
      </c>
      <c r="Q27" s="382"/>
      <c r="R27" s="390"/>
      <c r="S27" s="206">
        <f ca="1">+S26*EXP(T27)</f>
        <v>105.17841412393265</v>
      </c>
      <c r="T27" s="243">
        <f t="shared" ca="1" si="42"/>
        <v>3.096943095597511E-5</v>
      </c>
      <c r="U27" s="61">
        <f ca="1">SUMIF($G$11:P$1352,$G27,$P$11:$P$1352)</f>
        <v>3.096943095597511E-5</v>
      </c>
      <c r="V27" s="239">
        <v>132757</v>
      </c>
      <c r="W27" s="240">
        <f t="shared" si="35"/>
        <v>1043.2770137524558</v>
      </c>
      <c r="X27" s="244">
        <f t="shared" ref="X27" si="70">LN(W27/W26)</f>
        <v>6.3349239263380736E-2</v>
      </c>
      <c r="Y27" s="242">
        <f t="shared" si="44"/>
        <v>1.8127317539187071E-3</v>
      </c>
      <c r="Z27" s="206">
        <f t="shared" ref="Z27" si="71">+Z26*EXP(AA27)</f>
        <v>113.60012050648972</v>
      </c>
      <c r="AA27" s="243">
        <f t="shared" ref="AA27" si="72">+Y27+Y52+Y77+Y102+Y127+Y152+Y177+Y202+Y227+Y252+Y277+Y302+Y327+Y352+Y377+Y402+Y427+Y452+Y477+Y502+Y527+Y552+Y577+Y602+Y627+Y652+Y677+Y702+Y727+Y752+Y777+Y802+Y827+Y852+Y877+Y902+Y927+Y952+Y977+Y1002+Y1027+Y1052+Y1077+Y1102+Y1127+Y1152+Y1177+Y1202+Y1227+Y1252+Y1277+Y1302+Y1327+Y1352</f>
        <v>-4.6769611586239858E-2</v>
      </c>
      <c r="AB27" s="243"/>
      <c r="AC27" s="240">
        <f t="shared" si="14"/>
        <v>152070.07392749714</v>
      </c>
      <c r="AD27" s="244">
        <f t="shared" ref="AD27" si="73">LN(AC27/AC26)</f>
        <v>0.14717790258481914</v>
      </c>
      <c r="AE27" s="245">
        <v>10898.855225571695</v>
      </c>
      <c r="AF27" s="243">
        <v>1.8919598424459384E-2</v>
      </c>
      <c r="AG27" s="242">
        <f t="shared" si="45"/>
        <v>5.4138229968031971E-4</v>
      </c>
      <c r="AH27" s="206">
        <f t="shared" si="54"/>
        <v>174.20758109924185</v>
      </c>
      <c r="AI27" s="243">
        <f t="shared" si="37"/>
        <v>3.5685455431629411E-2</v>
      </c>
      <c r="AJ27" s="239">
        <f t="shared" si="29"/>
        <v>378650.07392749714</v>
      </c>
      <c r="AK27" s="243">
        <f t="shared" si="46"/>
        <v>0.1387352180465467</v>
      </c>
      <c r="AL27" s="239">
        <f>+AJ27+AJ52+AJ77+AJ102+AJ127+AJ152+AJ177+AJ202+AJ227+AJ252+AJ277+AJ302+AJ327+AJ352+AJ377+AJ402+AJ427+AJ452+AJ477+AJ502+AJ527+AJ552+AJ577+AJ602+AJ627+AJ652+AJ677+AJ702+AJ727+AJ752+AJ777+AJ802+AJ827+AJ852+AJ877+AJ902+AJ927+AJ952+AJ977+AJ1002+AJ1027+AJ1052+AJ1077+AJ1102+AJ1127+AJ1152+AJ1177+AJ1202+AJ1227+AJ1252+AJ1277+AJ1302+AJ1327+AJ1352</f>
        <v>13232622.023901248</v>
      </c>
      <c r="AM27" s="243">
        <f t="shared" si="47"/>
        <v>2.9716883626449579E-2</v>
      </c>
      <c r="AN27" s="399">
        <f>+AL27*1000/Outputs!B30</f>
        <v>342.32834740495935</v>
      </c>
      <c r="AO27" s="246">
        <f>+(Outputs!F30*1000)/Outputs!E30</f>
        <v>460.09883366972343</v>
      </c>
      <c r="AP27" s="245">
        <f t="shared" si="48"/>
        <v>223.36259231954745</v>
      </c>
      <c r="AQ27" s="382">
        <f>+BB27/Outputs!$B$28</f>
        <v>4.4689750410570238E-2</v>
      </c>
      <c r="AR27" s="207">
        <f t="shared" si="30"/>
        <v>0.24778286460328267</v>
      </c>
      <c r="AS27" s="207">
        <f t="shared" si="31"/>
        <v>0.35060603216842351</v>
      </c>
      <c r="AT27" s="207">
        <f t="shared" si="32"/>
        <v>0.4016111032282938</v>
      </c>
      <c r="AU27" s="247">
        <f t="shared" ca="1" si="49"/>
        <v>-2.1519355270187019E-3</v>
      </c>
      <c r="AV27" s="206">
        <f t="shared" ref="AV27" ca="1" si="74">+AV26*EXP(AU27)</f>
        <v>133.05748741002014</v>
      </c>
      <c r="AW27" s="243">
        <f t="shared" ref="AW27" ca="1" si="75">LN(AV27/AV26)</f>
        <v>-2.1519355270186841E-3</v>
      </c>
      <c r="AX27" s="248">
        <f>+AJ27/$AL$27</f>
        <v>2.8614893801361927E-2</v>
      </c>
      <c r="AY27" s="249"/>
      <c r="AZ27" s="206">
        <f t="shared" ref="AZ27" ca="1" si="76">+AZ26*EXP(BA27)</f>
        <v>142.41661437258711</v>
      </c>
      <c r="BA27" s="243">
        <f t="shared" ca="1" si="50"/>
        <v>8.7212922773683837E-2</v>
      </c>
      <c r="BB27" s="250">
        <v>1695226</v>
      </c>
      <c r="BC27" s="400">
        <f t="shared" si="15"/>
        <v>0</v>
      </c>
      <c r="BE27" s="401">
        <f t="shared" si="0"/>
        <v>0</v>
      </c>
      <c r="BF27" s="402">
        <f t="shared" si="1"/>
        <v>0</v>
      </c>
      <c r="BG27" s="313">
        <f t="shared" si="2"/>
        <v>0</v>
      </c>
      <c r="BH27" s="313"/>
      <c r="BI27" s="313" t="str">
        <f t="shared" si="3"/>
        <v>2022Y</v>
      </c>
      <c r="BJ27" s="239"/>
      <c r="BK27" s="239"/>
      <c r="BL27" s="239"/>
      <c r="BM27" s="239"/>
      <c r="BN27" s="337">
        <f>+BN25</f>
        <v>0.94712995063849137</v>
      </c>
      <c r="BO27" s="313">
        <f t="shared" si="61"/>
        <v>0</v>
      </c>
      <c r="BP27" s="313">
        <f t="shared" si="62"/>
        <v>0</v>
      </c>
      <c r="BQ27" s="239"/>
      <c r="BR27" s="239"/>
      <c r="BS27" s="310"/>
      <c r="BT27" s="310"/>
      <c r="BU27" s="311"/>
      <c r="BV27" s="207"/>
      <c r="BW27" s="312"/>
      <c r="BX27" s="312"/>
      <c r="BY27" s="239"/>
      <c r="BZ27" s="239"/>
      <c r="CA27" s="239"/>
      <c r="CB27" s="239"/>
      <c r="CC27" s="245">
        <v>2022</v>
      </c>
      <c r="CD27" s="239"/>
      <c r="CE27" s="239"/>
      <c r="CF27" s="239"/>
      <c r="CG27" s="310"/>
      <c r="CH27" s="239">
        <v>274217</v>
      </c>
      <c r="CI27" s="313">
        <f t="shared" si="16"/>
        <v>274217</v>
      </c>
      <c r="CJ27" s="313">
        <f t="shared" si="8"/>
        <v>266.02089618843434</v>
      </c>
      <c r="CK27" s="443">
        <v>0.69230769230769229</v>
      </c>
      <c r="CL27" s="239">
        <f>+CL3*CK27+CJ4*CK26+CJ5*CK25+CJ6*CK24+CJ7*CK23+CJ8*CK22+CJ9*CK21+CJ10*CK20+CJ11*CK19+CJ12*CK18+CJ13*CK17+CJ14*CK16+CJ15*CK15+CJ16*CK14+CJ17*CK13+CJ18*CK12+CJ19*CK11+CJ20*CK10+CJ21*CK9+CJ22*CK8+CJ23*CK7+CJ24*CK6+CJ25*CK5+CJ26*CK4+CJ27*CK3</f>
        <v>9734.7420536554382</v>
      </c>
      <c r="CM27" s="243">
        <f t="shared" si="17"/>
        <v>1.2322687419043226E-2</v>
      </c>
      <c r="CN27" s="249">
        <f t="shared" si="18"/>
        <v>1.5266859262534165E-2</v>
      </c>
      <c r="CO27" s="249">
        <f t="shared" ref="CO27" si="77">+(CN27+CN26+CN25)/3</f>
        <v>1.7662248389086057E-2</v>
      </c>
      <c r="CP27" s="243"/>
      <c r="CQ27" s="248">
        <v>1.1618796630994188E-2</v>
      </c>
      <c r="CR27" s="248">
        <f t="shared" ref="CR27" si="78">+CP27-CQ27</f>
        <v>-1.1618796630994188E-2</v>
      </c>
      <c r="CS27" s="248">
        <f t="shared" ref="CS27" si="79">+$CR$2-CO27</f>
        <v>1.3239693219447568E-2</v>
      </c>
      <c r="CT27" s="249">
        <f t="shared" ref="CT27" si="80">+((DF25/DF24-1)+(DF26/DF25-1)+(DF27/DF26-1))/3</f>
        <v>0.10114668178709289</v>
      </c>
      <c r="CU27" s="314">
        <f t="shared" si="9"/>
        <v>0.92230000000000001</v>
      </c>
      <c r="CV27" s="315"/>
      <c r="CW27" s="315"/>
      <c r="CX27" s="315"/>
      <c r="CY27" s="315"/>
      <c r="CZ27" s="316">
        <f>CZ26</f>
        <v>0.20999999999999996</v>
      </c>
      <c r="DA27" s="360">
        <v>0.37</v>
      </c>
      <c r="DB27" s="318">
        <f t="shared" si="21"/>
        <v>15.815065099125</v>
      </c>
      <c r="DC27" s="249">
        <f t="shared" si="26"/>
        <v>0.13479855779922778</v>
      </c>
      <c r="DD27" s="316">
        <v>0.04</v>
      </c>
      <c r="DE27" s="319">
        <v>7.0000000000000001E-3</v>
      </c>
      <c r="DF27" s="316">
        <v>1030.81</v>
      </c>
      <c r="DG27" s="89">
        <f ca="1">VLOOKUP(CC27,'ECI - Input Price'!M$13:N$33,2,FALSE)</f>
        <v>162.55000000000001</v>
      </c>
      <c r="DH27" s="89"/>
      <c r="DI27" s="89" t="b">
        <f t="shared" ca="1" si="33"/>
        <v>0</v>
      </c>
      <c r="DJ27" s="249">
        <f t="shared" ca="1" si="34"/>
        <v>3.3148751169364422E-2</v>
      </c>
      <c r="DK27" s="310">
        <v>127.25</v>
      </c>
      <c r="DL27" s="357">
        <f t="shared" si="27"/>
        <v>7.1325086601983473E-2</v>
      </c>
      <c r="DM27" s="236"/>
      <c r="DN27" s="236"/>
      <c r="DO27" s="403"/>
      <c r="DP27" s="403"/>
      <c r="DQ27" s="403"/>
      <c r="DR27" s="403"/>
      <c r="DS27" s="403"/>
      <c r="DT27" s="403"/>
      <c r="DU27" s="403"/>
      <c r="DV27" s="403"/>
      <c r="DW27" s="403"/>
      <c r="DX27" s="403"/>
      <c r="DY27" s="403"/>
      <c r="DZ27" s="236"/>
      <c r="EA27" s="236"/>
      <c r="EB27" s="236"/>
      <c r="EC27" s="404">
        <f t="shared" si="20"/>
        <v>2022</v>
      </c>
    </row>
    <row r="28" spans="1:133" s="126" customFormat="1" ht="21" customHeight="1" x14ac:dyDescent="0.4">
      <c r="A28" s="251" t="s">
        <v>179</v>
      </c>
      <c r="B28" s="252" t="s">
        <v>179</v>
      </c>
      <c r="C28" s="252">
        <v>4057075</v>
      </c>
      <c r="D28" s="252" t="s">
        <v>180</v>
      </c>
      <c r="E28" s="252"/>
      <c r="F28" s="252"/>
      <c r="G28" s="252" t="s">
        <v>150</v>
      </c>
      <c r="H28" s="253">
        <v>1998</v>
      </c>
      <c r="I28" s="254"/>
      <c r="J28" s="255"/>
      <c r="K28" s="255">
        <f ca="1">SUM(K9:K27)</f>
        <v>9988.6842874411832</v>
      </c>
      <c r="L28" s="47"/>
      <c r="M28" s="256"/>
      <c r="N28" s="256"/>
      <c r="O28" s="256"/>
      <c r="P28" s="219"/>
      <c r="Q28" s="218"/>
      <c r="R28" s="385"/>
      <c r="S28" s="257"/>
      <c r="T28" s="258"/>
      <c r="U28" s="225">
        <f ca="1">SUMIF($G$11:P$1352,$G28,$P$11:$P$1352)</f>
        <v>0</v>
      </c>
      <c r="V28" s="256"/>
      <c r="W28" s="259"/>
      <c r="X28" s="256"/>
      <c r="Y28" s="255"/>
      <c r="Z28" s="256"/>
      <c r="AA28" s="256"/>
      <c r="AB28" s="256"/>
      <c r="AC28" s="255"/>
      <c r="AD28" s="254"/>
      <c r="AE28" s="260">
        <v>1230.9671374013406</v>
      </c>
      <c r="AF28" s="256"/>
      <c r="AG28" s="225"/>
      <c r="AH28" s="256"/>
      <c r="AI28" s="256"/>
      <c r="AJ28" s="254"/>
      <c r="AK28" s="254"/>
      <c r="AL28" s="254"/>
      <c r="AM28" s="256"/>
      <c r="AN28" s="226">
        <f t="shared" ref="AN28:AO28" si="81">+(AN25+AN26+AN27)/3</f>
        <v>326.96888111435379</v>
      </c>
      <c r="AO28" s="226">
        <f t="shared" si="81"/>
        <v>431.25958997611082</v>
      </c>
      <c r="AP28" s="226">
        <f>+(AP25+AP26+AP27)/3</f>
        <v>201.75738658431905</v>
      </c>
      <c r="AQ28" s="256"/>
      <c r="AR28" s="405"/>
      <c r="AS28" s="405"/>
      <c r="AT28" s="405"/>
      <c r="AU28" s="261"/>
      <c r="AV28" s="261"/>
      <c r="AW28" s="256"/>
      <c r="AX28" s="223"/>
      <c r="AY28" s="261"/>
      <c r="AZ28" s="261"/>
      <c r="BA28" s="261"/>
      <c r="BB28" s="262">
        <f>IFERROR(INDEX('Total Customers'!$E$7:$AA$91,MATCH($C28,'Total Customers'!$C$7:$C$91,0),MATCH($G28,'Total Customers'!$E$5:$AA$5,0)),"NA")</f>
        <v>236733</v>
      </c>
      <c r="BC28" s="406"/>
      <c r="BE28" s="407" t="str">
        <f t="shared" si="0"/>
        <v>AVISTA CORPORATION</v>
      </c>
      <c r="BF28" s="408">
        <f t="shared" si="1"/>
        <v>4057075</v>
      </c>
      <c r="BG28" s="218" t="str">
        <f t="shared" si="2"/>
        <v>WA</v>
      </c>
      <c r="BH28" s="218"/>
      <c r="BI28" s="218" t="str">
        <f t="shared" si="3"/>
        <v>1998 Y</v>
      </c>
      <c r="BJ28" s="254">
        <f>INDEX('Gross Dx Plant'!$D$7:$AC$91,MATCH($C28,'Gross Dx Plant'!$C$7:$C$91,0),MATCH(Calculation!$G28,'Gross Dx Plant'!$D$5:$AC$5,0))</f>
        <v>352332</v>
      </c>
      <c r="BK28" s="254">
        <f>INDEX('Gross Gen Plant'!$D$7:$AC$91,MATCH($C28,'Gross Gen Plant'!$C$7:$C$91,0),MATCH(Calculation!$G28,'Gross Gen Plant'!$D$5:$AC$5,0))</f>
        <v>11042</v>
      </c>
      <c r="BL28" s="254">
        <f>INDEX('Dist. Plant Gas Additions'!$E$7:$AD$91,MATCH($C28,'Dist. Plant Gas Additions'!$C$7:$C$91,0),MATCH(Calculation!$G28,'Dist. Plant Gas Additions'!$E$5:$AD$5,0))</f>
        <v>24460</v>
      </c>
      <c r="BM28" s="254">
        <f>INDEX('Gen. Plant Additions'!$E$7:$AD$91,MATCH($C28,'Gen. Plant Additions'!$C$7:$C$91,0),MATCH(Calculation!$G28,'Gen. Plant Additions'!$E$5:$AD$5,0))</f>
        <v>415</v>
      </c>
      <c r="BN28" s="409">
        <f>+(BY28/(BY28+BZ28))</f>
        <v>0.9696125754732039</v>
      </c>
      <c r="BO28" s="218">
        <f t="shared" si="61"/>
        <v>402.38921882137964</v>
      </c>
      <c r="BP28" s="218">
        <f t="shared" si="62"/>
        <v>-12.610781178620357</v>
      </c>
      <c r="BQ28" s="254">
        <f>INDEX('Dist Plant Depreciation'!$D$7:$AC$94,MATCH($C28,'Dist Plant Depreciation'!$C$7:$C$94,0),MATCH(Calculation!$G28,'Dist Plant Depreciation'!$D$5:$AC$5,0))</f>
        <v>110633</v>
      </c>
      <c r="BR28" s="254">
        <f>INDEX('Gen. Plant Depreciation'!$D$7:$AC$94,MATCH($C28,'Gen. Plant Depreciation'!$C$7:$C$94,0),MATCH(Calculation!$G28,'Gen. Plant Depreciation'!$D$5:$AC$5,0))</f>
        <v>4431</v>
      </c>
      <c r="BS28" s="323">
        <v>1953</v>
      </c>
      <c r="BT28" s="323">
        <f t="shared" si="59"/>
        <v>6</v>
      </c>
      <c r="BU28" s="410">
        <v>42.670990982456722</v>
      </c>
      <c r="BV28" s="261">
        <f t="shared" ref="BV28:BV51" si="82">+BT28/$BT$76</f>
        <v>4.5248868778280547E-3</v>
      </c>
      <c r="BW28" s="324">
        <f t="shared" si="60"/>
        <v>0.19308140716043767</v>
      </c>
      <c r="BX28" s="324"/>
      <c r="BY28" s="254">
        <f>INDEX('Gross Dx Plant'!$D$7:$AC$91,MATCH($C28,'Gross Dx Plant'!$C$7:$C$91,0),MATCH(Calculation!$G28,'Gross Dx Plant'!$D$5:$AC$5,0))</f>
        <v>352332</v>
      </c>
      <c r="BZ28" s="254">
        <f>INDEX('Gross Gen Plant'!$D$7:$AC$91,MATCH($C28,'Gross Gen Plant'!$C$7:$C$91,0),MATCH(Calculation!$G28,'Gross Gen Plant'!$D$5:$AC$5,0))</f>
        <v>11042</v>
      </c>
      <c r="CA28" s="254">
        <f t="shared" si="39"/>
        <v>248310</v>
      </c>
      <c r="CB28" s="254"/>
      <c r="CC28" s="260">
        <v>1998</v>
      </c>
      <c r="CD28" s="254">
        <f>BJ28+BK28</f>
        <v>363374</v>
      </c>
      <c r="CE28" s="254">
        <f>110633+4431</f>
        <v>115064</v>
      </c>
      <c r="CF28" s="254">
        <f>+CD28-CE28</f>
        <v>248310</v>
      </c>
      <c r="CG28" s="254">
        <f>CF28/$BX$3</f>
        <v>1230.9671374013406</v>
      </c>
      <c r="CH28" s="323"/>
      <c r="CI28" s="344"/>
      <c r="CJ28" s="344"/>
      <c r="CK28" s="443">
        <v>1</v>
      </c>
      <c r="CL28" s="254">
        <f>+CG28</f>
        <v>1230.9671374013406</v>
      </c>
      <c r="CM28" s="256"/>
      <c r="CN28" s="325"/>
      <c r="CO28" s="325"/>
      <c r="CP28" s="256" t="e">
        <f>VLOOKUP($H28,RoR!$E:$F,2,FALSE)</f>
        <v>#N/A</v>
      </c>
      <c r="CQ28" s="325">
        <v>1.1028127770464469E-2</v>
      </c>
      <c r="CR28" s="325"/>
      <c r="CS28" s="325"/>
      <c r="CT28" s="326"/>
      <c r="CU28" s="327"/>
      <c r="CV28" s="331" t="e">
        <f>2/(DD28*39)</f>
        <v>#N/A</v>
      </c>
      <c r="CW28" s="328" t="e">
        <f>+(DD28*40-(1+DD28))/(DD28*40)</f>
        <v>#N/A</v>
      </c>
      <c r="CX28" s="328" t="e">
        <f>+(1-(1/(1+DD28)^40))</f>
        <v>#N/A</v>
      </c>
      <c r="CY28" s="328" t="e">
        <f>+CX28*CW28*CV28</f>
        <v>#N/A</v>
      </c>
      <c r="CZ28" s="329">
        <f>INDEX('State Tax Lookup'!$D$7:$Z$91,MATCH(Calculation!$C28,'State Tax Lookup'!$B$7:$B$91,0),MATCH($H28,'State Tax Lookup'!$D$6:$Z$6,0))</f>
        <v>0.35</v>
      </c>
      <c r="DA28" s="351">
        <v>0.37</v>
      </c>
      <c r="DB28" s="344"/>
      <c r="DC28" s="326"/>
      <c r="DD28" s="351" t="e">
        <f>VLOOKUP($H28,RoR!$E:$F,2,FALSE)</f>
        <v>#N/A</v>
      </c>
      <c r="DE28" s="354">
        <f>HLOOKUP($H28,'GDP-PI'!$D$8:$CQ$11,3,FALSE)</f>
        <v>1.1028127770464469E-2</v>
      </c>
      <c r="DF28" s="351">
        <f>VLOOKUP(H28,'HW Dx Data'!$E:$F,2,FALSE)</f>
        <v>329.24564746449528</v>
      </c>
      <c r="DG28" s="351"/>
      <c r="DH28" s="351"/>
      <c r="DI28" s="351"/>
      <c r="DJ28" s="326"/>
      <c r="DK28" s="344">
        <f>HLOOKUP(H28,'GDP-PI'!$8:$9,2,FALSE)</f>
        <v>75.266999999999996</v>
      </c>
      <c r="DL28" s="292"/>
      <c r="DO28" s="398">
        <v>4.9522900380789929E-3</v>
      </c>
      <c r="DP28" s="398"/>
      <c r="DQ28" s="398"/>
      <c r="DR28" s="398"/>
      <c r="DS28" s="398"/>
      <c r="DT28" s="398"/>
      <c r="DU28" s="398"/>
      <c r="DV28" s="398"/>
      <c r="DW28" s="398"/>
      <c r="DX28" s="398"/>
      <c r="DY28" s="398"/>
      <c r="EC28">
        <v>1998</v>
      </c>
    </row>
    <row r="29" spans="1:133" s="126" customFormat="1" ht="21" customHeight="1" x14ac:dyDescent="0.4">
      <c r="A29" s="233" t="s">
        <v>179</v>
      </c>
      <c r="B29" s="127" t="s">
        <v>179</v>
      </c>
      <c r="C29" s="127">
        <v>4057075</v>
      </c>
      <c r="D29" s="127" t="s">
        <v>180</v>
      </c>
      <c r="E29" s="127"/>
      <c r="F29" s="127"/>
      <c r="G29" s="127" t="s">
        <v>155</v>
      </c>
      <c r="H29" s="128">
        <v>1999</v>
      </c>
      <c r="I29" s="129"/>
      <c r="J29" s="125"/>
      <c r="K29" s="125"/>
      <c r="L29" s="47"/>
      <c r="M29" s="134"/>
      <c r="N29" s="134"/>
      <c r="O29" s="134"/>
      <c r="P29" s="47"/>
      <c r="Q29" s="47"/>
      <c r="R29" s="386"/>
      <c r="S29" s="119"/>
      <c r="T29" s="47"/>
      <c r="U29" s="46"/>
      <c r="V29" s="134"/>
      <c r="W29" s="135"/>
      <c r="X29" s="134"/>
      <c r="Y29" s="143"/>
      <c r="Z29" s="134"/>
      <c r="AA29" s="134"/>
      <c r="AB29" s="134"/>
      <c r="AC29" s="125"/>
      <c r="AD29" s="129"/>
      <c r="AE29" s="133">
        <v>1288.1128863746494</v>
      </c>
      <c r="AF29" s="134">
        <v>4.5378117552366357E-2</v>
      </c>
      <c r="AG29" s="61"/>
      <c r="AH29" s="134"/>
      <c r="AI29" s="134"/>
      <c r="AJ29" s="129"/>
      <c r="AK29" s="134"/>
      <c r="AL29" s="129"/>
      <c r="AM29" s="263"/>
      <c r="AN29" s="263"/>
      <c r="AO29" s="263"/>
      <c r="AP29" s="133"/>
      <c r="AQ29" s="134"/>
      <c r="AR29" s="93"/>
      <c r="AS29" s="93"/>
      <c r="AT29" s="93"/>
      <c r="AU29" s="93"/>
      <c r="AV29" s="93"/>
      <c r="AW29" s="134"/>
      <c r="AX29" s="62"/>
      <c r="AY29" s="93"/>
      <c r="AZ29" s="93"/>
      <c r="BA29" s="93"/>
      <c r="BB29" s="234">
        <f>IFERROR(INDEX('Total Customers'!$E$7:$AA$91,MATCH($C29,'Total Customers'!$C$7:$C$91,0),MATCH($G29,'Total Customers'!$E$5:$AA$5,0)),"NA")</f>
        <v>246307</v>
      </c>
      <c r="BC29" s="392">
        <f t="shared" si="15"/>
        <v>3.9645801562070454E-2</v>
      </c>
      <c r="BE29" s="281" t="str">
        <f t="shared" si="0"/>
        <v>AVISTA CORPORATION</v>
      </c>
      <c r="BF29" s="290">
        <f t="shared" si="1"/>
        <v>4057075</v>
      </c>
      <c r="BG29" s="46" t="str">
        <f t="shared" si="2"/>
        <v>WA</v>
      </c>
      <c r="BH29" s="46"/>
      <c r="BI29" s="46" t="str">
        <f t="shared" si="3"/>
        <v>1999 Y</v>
      </c>
      <c r="BJ29" s="129"/>
      <c r="BK29" s="129"/>
      <c r="BL29" s="129">
        <f>INDEX('Dist. Plant Gas Additions'!$E$7:$AD$91,MATCH($C29,'Dist. Plant Gas Additions'!$C$7:$C$91,0),MATCH(Calculation!$G29,'Dist. Plant Gas Additions'!$E$5:$AD$5,0))</f>
        <v>20879</v>
      </c>
      <c r="BM29" s="129">
        <f>INDEX('Gen. Plant Additions'!$E$7:$AD$91,MATCH($C29,'Gen. Plant Additions'!$C$7:$C$91,0),MATCH(Calculation!$G29,'Gen. Plant Additions'!$E$5:$AD$5,0))</f>
        <v>337</v>
      </c>
      <c r="BN29" s="393">
        <f t="shared" ref="BN29:BN50" si="83">+(BY29/(BY29+BZ29))</f>
        <v>0.96968812769804325</v>
      </c>
      <c r="BO29" s="46">
        <f t="shared" si="61"/>
        <v>326.7848990342406</v>
      </c>
      <c r="BP29" s="46">
        <f t="shared" si="62"/>
        <v>-10.215100965759405</v>
      </c>
      <c r="BQ29" s="129">
        <f>INDEX('Dist Plant Depreciation'!$D$7:$AC$94,MATCH($C29,'Dist Plant Depreciation'!$C$7:$C$94,0),MATCH(Calculation!$G29,'Dist Plant Depreciation'!$D$5:$AC$5,0))</f>
        <v>120148</v>
      </c>
      <c r="BR29" s="129">
        <f>INDEX('Gen. Plant Depreciation'!$D$7:$AC$94,MATCH($C29,'Gen. Plant Depreciation'!$C$7:$C$94,0),MATCH(Calculation!$G29,'Gen. Plant Depreciation'!$D$5:$AC$5,0))</f>
        <v>4943</v>
      </c>
      <c r="BS29" s="137">
        <v>1954</v>
      </c>
      <c r="BT29" s="137">
        <f t="shared" si="59"/>
        <v>7</v>
      </c>
      <c r="BU29" s="333">
        <v>44.407666030181829</v>
      </c>
      <c r="BV29" s="93">
        <f t="shared" si="82"/>
        <v>5.279034690799397E-3</v>
      </c>
      <c r="BW29" s="334">
        <f t="shared" si="60"/>
        <v>0.23442960951076383</v>
      </c>
      <c r="BX29" s="334"/>
      <c r="BY29" s="129">
        <f>INDEX('Gross Dx Plant'!$D$7:$AC$91,MATCH($C29,'Gross Dx Plant'!$C$7:$C$91,0),MATCH(Calculation!$G29,'Gross Dx Plant'!$D$5:$AC$5,0))</f>
        <v>372208</v>
      </c>
      <c r="BZ29" s="129">
        <f>INDEX('Gross Gen Plant'!$D$7:$AC$91,MATCH($C29,'Gross Gen Plant'!$C$7:$C$91,0),MATCH(Calculation!$G29,'Gross Gen Plant'!$D$5:$AC$5,0))</f>
        <v>11635</v>
      </c>
      <c r="CA29" s="129">
        <f t="shared" si="39"/>
        <v>258752</v>
      </c>
      <c r="CB29" s="129"/>
      <c r="CC29" s="133">
        <v>1999</v>
      </c>
      <c r="CD29" s="129"/>
      <c r="CE29" s="129"/>
      <c r="CF29" s="129"/>
      <c r="CG29" s="137"/>
      <c r="CH29" s="129">
        <f t="shared" ref="CH29:CH51" si="84">+BM29+BL29</f>
        <v>21216</v>
      </c>
      <c r="CI29" s="46">
        <f>+CH29+BP29</f>
        <v>21205.784899034239</v>
      </c>
      <c r="CJ29" s="46">
        <f t="shared" ref="CJ29:CJ52" si="85">+CI29/$DF29</f>
        <v>63.239500301699827</v>
      </c>
      <c r="CK29" s="443">
        <v>0.99009900990099009</v>
      </c>
      <c r="CL29" s="46">
        <f>+CL28*CK29+CJ29</f>
        <v>1282.018844263423</v>
      </c>
      <c r="CM29" s="134">
        <f t="shared" ref="CM29:CM52" si="86">LN(CL29/CL28)</f>
        <v>4.0635906513843925E-2</v>
      </c>
      <c r="CN29" s="135">
        <f t="shared" ref="CN29:CN52" si="87">+(CL28-CL29+CJ29)/CL28</f>
        <v>9.9009900990099913E-3</v>
      </c>
      <c r="CO29" s="135"/>
      <c r="CP29" s="134">
        <f>VLOOKUP($H29,RoR!$E:$F,2,FALSE)</f>
        <v>7.0416666666666669E-2</v>
      </c>
      <c r="CQ29" s="135">
        <v>1.4335631817396832E-2</v>
      </c>
      <c r="CR29" s="135">
        <f>+CP29-CQ29</f>
        <v>5.6081034849269837E-2</v>
      </c>
      <c r="CS29" s="135"/>
      <c r="CT29" s="56"/>
      <c r="CU29" s="139">
        <f t="shared" ref="CU29:CU52" si="88">1-CZ29*DA29</f>
        <v>0.87050000000000005</v>
      </c>
      <c r="CV29" s="335">
        <f t="shared" ref="CV29:CV51" si="89">2/(DD29*39)</f>
        <v>0.72826581702321336</v>
      </c>
      <c r="CW29" s="335">
        <f t="shared" ref="CW29:CW51" si="90">+(DD29*40-(1+DD29))/(DD29*40)</f>
        <v>0.61997041420118348</v>
      </c>
      <c r="CX29" s="335">
        <f t="shared" ref="CX29:CX51" si="91">+(1-(1/(1+DD29)^40))</f>
        <v>0.93425155319585029</v>
      </c>
      <c r="CY29" s="335">
        <f t="shared" ref="CY29:CY51" si="92">+CX29*CW29*CV29</f>
        <v>0.42181762214141483</v>
      </c>
      <c r="CZ29" s="336">
        <f>INDEX('State Tax Lookup'!$D$7:$Z$91,MATCH(Calculation!$C29,'State Tax Lookup'!$B$7:$B$91,0),MATCH($H29,'State Tax Lookup'!$D$6:$Z$6,0))</f>
        <v>0.35</v>
      </c>
      <c r="DA29" s="303">
        <v>0.37</v>
      </c>
      <c r="DB29" s="57"/>
      <c r="DC29" s="56"/>
      <c r="DD29" s="303">
        <f>VLOOKUP($H29,RoR!$E:$F,2,FALSE)</f>
        <v>7.0416666666666669E-2</v>
      </c>
      <c r="DE29" s="304">
        <f>HLOOKUP($H29,'GDP-PI'!$D$8:$CQ$11,3,FALSE)</f>
        <v>1.4335631817396832E-2</v>
      </c>
      <c r="DF29" s="303">
        <f>VLOOKUP(H29,'HW Dx Data'!$E:$F,2,FALSE)</f>
        <v>335.32499146683239</v>
      </c>
      <c r="DG29" s="89"/>
      <c r="DH29" s="89"/>
      <c r="DI29" s="89"/>
      <c r="DJ29" s="56"/>
      <c r="DK29" s="53">
        <f>HLOOKUP(H29,'GDP-PI'!$8:$9,2,FALSE)</f>
        <v>76.346000000000004</v>
      </c>
      <c r="DL29" s="298"/>
      <c r="DO29" s="398">
        <v>3.5669720481991657E-2</v>
      </c>
      <c r="DP29" s="398"/>
      <c r="DQ29" s="398"/>
      <c r="DR29" s="398"/>
      <c r="DS29" s="398"/>
      <c r="DT29" s="398"/>
      <c r="DU29" s="398"/>
      <c r="DV29" s="398"/>
      <c r="DW29" s="398"/>
      <c r="DX29" s="398"/>
      <c r="DY29" s="398"/>
      <c r="EC29">
        <f>+EC28+1</f>
        <v>1999</v>
      </c>
    </row>
    <row r="30" spans="1:133" s="126" customFormat="1" ht="21" customHeight="1" x14ac:dyDescent="0.4">
      <c r="A30" s="233" t="s">
        <v>179</v>
      </c>
      <c r="B30" s="127" t="s">
        <v>179</v>
      </c>
      <c r="C30" s="127">
        <v>4057075</v>
      </c>
      <c r="D30" s="127" t="s">
        <v>180</v>
      </c>
      <c r="E30" s="127"/>
      <c r="F30" s="127"/>
      <c r="G30" s="127" t="s">
        <v>156</v>
      </c>
      <c r="H30" s="128">
        <v>2000</v>
      </c>
      <c r="I30" s="129"/>
      <c r="J30" s="125"/>
      <c r="K30" s="125"/>
      <c r="L30" s="47"/>
      <c r="M30" s="125"/>
      <c r="N30" s="125"/>
      <c r="O30" s="125"/>
      <c r="P30" s="47"/>
      <c r="Q30" s="47"/>
      <c r="R30" s="386"/>
      <c r="S30" s="119"/>
      <c r="T30" s="47"/>
      <c r="U30" s="47"/>
      <c r="V30" s="125"/>
      <c r="W30" s="125"/>
      <c r="X30" s="125"/>
      <c r="Y30" s="125"/>
      <c r="Z30" s="125"/>
      <c r="AA30" s="125"/>
      <c r="AB30" s="125"/>
      <c r="AC30" s="125">
        <f t="shared" ref="AC30:AC52" si="93">+CL29*DB30</f>
        <v>0</v>
      </c>
      <c r="AD30" s="129"/>
      <c r="AE30" s="133">
        <v>1356.5863448976127</v>
      </c>
      <c r="AF30" s="134">
        <v>5.1793235256115705E-2</v>
      </c>
      <c r="AG30" s="61"/>
      <c r="AH30" s="134"/>
      <c r="AI30" s="134"/>
      <c r="AJ30" s="129">
        <f t="shared" ref="AJ30:AJ93" si="94">+J30+V30+AC30</f>
        <v>0</v>
      </c>
      <c r="AK30" s="134"/>
      <c r="AL30" s="129"/>
      <c r="AM30" s="129"/>
      <c r="AN30" s="129"/>
      <c r="AO30" s="129"/>
      <c r="AP30" s="133"/>
      <c r="AQ30" s="134"/>
      <c r="AR30" s="93"/>
      <c r="AS30" s="93"/>
      <c r="AT30" s="93"/>
      <c r="AU30" s="93"/>
      <c r="AV30" s="93"/>
      <c r="AW30" s="134"/>
      <c r="AX30" s="62"/>
      <c r="AY30" s="93"/>
      <c r="AZ30" s="93"/>
      <c r="BA30" s="93"/>
      <c r="BB30" s="234">
        <f>IFERROR(INDEX('Total Customers'!$E$7:$AA$91,MATCH($C30,'Total Customers'!$C$7:$C$91,0),MATCH($G30,'Total Customers'!$E$5:$AA$5,0)),"NA")</f>
        <v>255245</v>
      </c>
      <c r="BC30" s="392">
        <f t="shared" si="15"/>
        <v>3.5645142866437773E-2</v>
      </c>
      <c r="BE30" s="281" t="str">
        <f t="shared" si="0"/>
        <v>AVISTA CORPORATION</v>
      </c>
      <c r="BF30" s="290">
        <f t="shared" si="1"/>
        <v>4057075</v>
      </c>
      <c r="BG30" s="46" t="str">
        <f t="shared" si="2"/>
        <v>WA</v>
      </c>
      <c r="BH30" s="46"/>
      <c r="BI30" s="46" t="str">
        <f t="shared" si="3"/>
        <v>2000 Y</v>
      </c>
      <c r="BJ30" s="129"/>
      <c r="BK30" s="129"/>
      <c r="BL30" s="129">
        <f>INDEX('Dist. Plant Gas Additions'!$E$7:$AD$91,MATCH($C30,'Dist. Plant Gas Additions'!$C$7:$C$91,0),MATCH(Calculation!$G30,'Dist. Plant Gas Additions'!$E$5:$AD$5,0))</f>
        <v>24644</v>
      </c>
      <c r="BM30" s="129">
        <f>INDEX('Gen. Plant Additions'!$E$7:$AD$91,MATCH($C30,'Gen. Plant Additions'!$C$7:$C$91,0),MATCH(Calculation!$G30,'Gen. Plant Additions'!$E$5:$AD$5,0))</f>
        <v>1380</v>
      </c>
      <c r="BN30" s="393">
        <f t="shared" si="83"/>
        <v>0.96885762366938011</v>
      </c>
      <c r="BO30" s="46">
        <f t="shared" si="61"/>
        <v>1337.0235206637446</v>
      </c>
      <c r="BP30" s="46">
        <f t="shared" si="62"/>
        <v>-42.976479336255352</v>
      </c>
      <c r="BQ30" s="129">
        <f>INDEX('Dist Plant Depreciation'!$D$7:$AC$94,MATCH($C30,'Dist Plant Depreciation'!$C$7:$C$94,0),MATCH(Calculation!$G30,'Dist Plant Depreciation'!$D$5:$AC$5,0))</f>
        <v>129924</v>
      </c>
      <c r="BR30" s="129">
        <f>INDEX('Gen. Plant Depreciation'!$D$7:$AC$94,MATCH($C30,'Gen. Plant Depreciation'!$C$7:$C$94,0),MATCH(Calculation!$G30,'Gen. Plant Depreciation'!$D$5:$AC$5,0))</f>
        <v>5240</v>
      </c>
      <c r="BS30" s="137">
        <v>1955</v>
      </c>
      <c r="BT30" s="137">
        <f t="shared" si="59"/>
        <v>8</v>
      </c>
      <c r="BU30" s="333">
        <v>45.915778290770781</v>
      </c>
      <c r="BV30" s="93">
        <f t="shared" si="82"/>
        <v>6.0331825037707393E-3</v>
      </c>
      <c r="BW30" s="334">
        <f t="shared" si="60"/>
        <v>0.27701827023089459</v>
      </c>
      <c r="BX30" s="334"/>
      <c r="BY30" s="129">
        <f>INDEX('Gross Dx Plant'!$D$7:$AC$91,MATCH($C30,'Gross Dx Plant'!$C$7:$C$91,0),MATCH(Calculation!$G30,'Gross Dx Plant'!$D$5:$AC$5,0))</f>
        <v>396100</v>
      </c>
      <c r="BZ30" s="129">
        <f>INDEX('Gross Gen Plant'!$D$7:$AC$91,MATCH($C30,'Gross Gen Plant'!$C$7:$C$91,0),MATCH(Calculation!$G30,'Gross Gen Plant'!$D$5:$AC$5,0))</f>
        <v>12732</v>
      </c>
      <c r="CA30" s="129">
        <f t="shared" si="39"/>
        <v>273668</v>
      </c>
      <c r="CB30" s="129"/>
      <c r="CC30" s="133">
        <v>2000</v>
      </c>
      <c r="CD30" s="129"/>
      <c r="CE30" s="129"/>
      <c r="CF30" s="129"/>
      <c r="CG30" s="137"/>
      <c r="CH30" s="129">
        <f t="shared" si="84"/>
        <v>26024</v>
      </c>
      <c r="CI30" s="46">
        <f t="shared" si="16"/>
        <v>25981.023520663744</v>
      </c>
      <c r="CJ30" s="46">
        <f t="shared" si="85"/>
        <v>74.974013160954087</v>
      </c>
      <c r="CK30" s="443">
        <v>0.98</v>
      </c>
      <c r="CL30" s="46">
        <f>+CL28*CK30+CJ29*CK29+CJ30</f>
        <v>1343.9351744496144</v>
      </c>
      <c r="CM30" s="134">
        <f t="shared" si="86"/>
        <v>4.7165950137395142E-2</v>
      </c>
      <c r="CN30" s="135">
        <f t="shared" si="87"/>
        <v>1.0185250422169098E-2</v>
      </c>
      <c r="CO30" s="135"/>
      <c r="CP30" s="134">
        <f>VLOOKUP($H30,RoR!$E:$F,2,FALSE)</f>
        <v>7.6225000000000001E-2</v>
      </c>
      <c r="CQ30" s="135">
        <v>2.2568307442433211E-2</v>
      </c>
      <c r="CR30" s="135">
        <f t="shared" ref="CR30:CR50" si="95">+CP30-CQ30</f>
        <v>5.365669255756679E-2</v>
      </c>
      <c r="CS30" s="135"/>
      <c r="CT30" s="56"/>
      <c r="CU30" s="139">
        <f t="shared" si="88"/>
        <v>0.87050000000000005</v>
      </c>
      <c r="CV30" s="335">
        <f t="shared" si="89"/>
        <v>0.67277207323124022</v>
      </c>
      <c r="CW30" s="335">
        <f t="shared" si="90"/>
        <v>0.6470236142997704</v>
      </c>
      <c r="CX30" s="335">
        <f t="shared" si="91"/>
        <v>0.94704866037543145</v>
      </c>
      <c r="CY30" s="335">
        <f t="shared" si="92"/>
        <v>0.41224973107878493</v>
      </c>
      <c r="CZ30" s="336">
        <f>INDEX('State Tax Lookup'!$D$7:$Z$91,MATCH(Calculation!$C30,'State Tax Lookup'!$B$7:$B$91,0),MATCH($H30,'State Tax Lookup'!$D$6:$Z$6,0))</f>
        <v>0.35</v>
      </c>
      <c r="DA30" s="303">
        <v>0.37</v>
      </c>
      <c r="DB30" s="57"/>
      <c r="DC30" s="56"/>
      <c r="DD30" s="303">
        <f>VLOOKUP($H30,RoR!$E:$F,2,FALSE)</f>
        <v>7.6225000000000001E-2</v>
      </c>
      <c r="DE30" s="304">
        <f>HLOOKUP($H30,'GDP-PI'!$D$8:$CQ$11,3,FALSE)</f>
        <v>2.2568307442433211E-2</v>
      </c>
      <c r="DF30" s="303">
        <f>VLOOKUP(H30,'HW Dx Data'!$E:$F,2,FALSE)</f>
        <v>346.53371782150339</v>
      </c>
      <c r="DG30" s="89"/>
      <c r="DH30" s="89"/>
      <c r="DI30" s="89"/>
      <c r="DJ30" s="56"/>
      <c r="DK30" s="53">
        <f>HLOOKUP(H30,'GDP-PI'!$8:$9,2,FALSE)</f>
        <v>78.069000000000003</v>
      </c>
      <c r="DL30" s="298"/>
      <c r="DO30" s="398">
        <v>1.9446497596593303E-2</v>
      </c>
      <c r="DP30" s="398"/>
      <c r="DQ30" s="398"/>
      <c r="DR30" s="398"/>
      <c r="DS30" s="398"/>
      <c r="DT30" s="398"/>
      <c r="DU30" s="398"/>
      <c r="DV30" s="398"/>
      <c r="DW30" s="398"/>
      <c r="DX30" s="398"/>
      <c r="DY30" s="398"/>
      <c r="EC30">
        <f t="shared" si="20"/>
        <v>2000</v>
      </c>
    </row>
    <row r="31" spans="1:133" s="126" customFormat="1" ht="21" customHeight="1" x14ac:dyDescent="0.4">
      <c r="A31" s="233" t="s">
        <v>179</v>
      </c>
      <c r="B31" s="127" t="s">
        <v>179</v>
      </c>
      <c r="C31" s="127">
        <v>4057075</v>
      </c>
      <c r="D31" s="127" t="s">
        <v>180</v>
      </c>
      <c r="E31" s="127"/>
      <c r="F31" s="127"/>
      <c r="G31" s="127" t="s">
        <v>157</v>
      </c>
      <c r="H31" s="128">
        <v>2001</v>
      </c>
      <c r="I31" s="129"/>
      <c r="J31" s="125"/>
      <c r="K31" s="125"/>
      <c r="L31" s="47"/>
      <c r="M31" s="125"/>
      <c r="N31" s="125"/>
      <c r="O31" s="125"/>
      <c r="P31" s="47"/>
      <c r="Q31" s="47"/>
      <c r="R31" s="386"/>
      <c r="S31" s="119"/>
      <c r="T31" s="47"/>
      <c r="U31" s="47"/>
      <c r="V31" s="125"/>
      <c r="W31" s="125"/>
      <c r="X31" s="125"/>
      <c r="Y31" s="125"/>
      <c r="Z31" s="125"/>
      <c r="AA31" s="125"/>
      <c r="AB31" s="125"/>
      <c r="AC31" s="125">
        <f t="shared" si="93"/>
        <v>13253.969183643945</v>
      </c>
      <c r="AD31" s="129"/>
      <c r="AE31" s="133">
        <v>1397.2389866344852</v>
      </c>
      <c r="AF31" s="134">
        <v>2.9526633165593747E-2</v>
      </c>
      <c r="AG31" s="61"/>
      <c r="AH31" s="134"/>
      <c r="AI31" s="134"/>
      <c r="AJ31" s="129">
        <f t="shared" si="94"/>
        <v>13253.969183643945</v>
      </c>
      <c r="AK31" s="134"/>
      <c r="AL31" s="129"/>
      <c r="AM31" s="129"/>
      <c r="AN31" s="129"/>
      <c r="AO31" s="129"/>
      <c r="AP31" s="133"/>
      <c r="AQ31" s="134"/>
      <c r="AR31" s="93"/>
      <c r="AS31" s="93"/>
      <c r="AT31" s="93"/>
      <c r="AU31" s="93"/>
      <c r="AV31" s="93"/>
      <c r="AW31" s="134"/>
      <c r="AX31" s="62"/>
      <c r="AY31" s="93"/>
      <c r="AZ31" s="93"/>
      <c r="BA31" s="93"/>
      <c r="BB31" s="234">
        <f>IFERROR(INDEX('Total Customers'!$E$7:$AA$91,MATCH($C31,'Total Customers'!$C$7:$C$91,0),MATCH($G31,'Total Customers'!$E$5:$AA$5,0)),"NA")</f>
        <v>262290</v>
      </c>
      <c r="BC31" s="392">
        <f t="shared" si="15"/>
        <v>2.7226893646583806E-2</v>
      </c>
      <c r="BE31" s="281" t="str">
        <f t="shared" si="0"/>
        <v>AVISTA CORPORATION</v>
      </c>
      <c r="BF31" s="290">
        <f t="shared" si="1"/>
        <v>4057075</v>
      </c>
      <c r="BG31" s="46" t="str">
        <f t="shared" si="2"/>
        <v>WA</v>
      </c>
      <c r="BH31" s="46"/>
      <c r="BI31" s="46" t="str">
        <f t="shared" si="3"/>
        <v>2001 Y</v>
      </c>
      <c r="BJ31" s="129"/>
      <c r="BK31" s="129"/>
      <c r="BL31" s="129">
        <f>INDEX('Dist. Plant Gas Additions'!$E$7:$AD$91,MATCH($C31,'Dist. Plant Gas Additions'!$C$7:$C$91,0),MATCH(Calculation!$G31,'Dist. Plant Gas Additions'!$E$5:$AD$5,0))</f>
        <v>16438</v>
      </c>
      <c r="BM31" s="129">
        <f>INDEX('Gen. Plant Additions'!$E$7:$AD$91,MATCH($C31,'Gen. Plant Additions'!$C$7:$C$91,0),MATCH(Calculation!$G31,'Gen. Plant Additions'!$E$5:$AD$5,0))</f>
        <v>344</v>
      </c>
      <c r="BN31" s="393">
        <f t="shared" si="83"/>
        <v>0.96948982838320885</v>
      </c>
      <c r="BO31" s="46">
        <f t="shared" si="61"/>
        <v>333.50450096382383</v>
      </c>
      <c r="BP31" s="46">
        <f t="shared" si="62"/>
        <v>-10.49549903617617</v>
      </c>
      <c r="BQ31" s="129">
        <f>INDEX('Dist Plant Depreciation'!$D$7:$AC$94,MATCH($C31,'Dist Plant Depreciation'!$C$7:$C$94,0),MATCH(Calculation!$G31,'Dist Plant Depreciation'!$D$5:$AC$5,0))</f>
        <v>140639</v>
      </c>
      <c r="BR31" s="129">
        <f>INDEX('Gen. Plant Depreciation'!$D$7:$AC$94,MATCH($C31,'Gen. Plant Depreciation'!$C$7:$C$94,0),MATCH(Calculation!$G31,'Gen. Plant Depreciation'!$D$5:$AC$5,0))</f>
        <v>5808</v>
      </c>
      <c r="BS31" s="137">
        <v>1956</v>
      </c>
      <c r="BT31" s="137">
        <f t="shared" si="59"/>
        <v>9</v>
      </c>
      <c r="BU31" s="333">
        <v>49.597454529334797</v>
      </c>
      <c r="BV31" s="93">
        <f t="shared" si="82"/>
        <v>6.7873303167420816E-3</v>
      </c>
      <c r="BW31" s="334">
        <f t="shared" si="60"/>
        <v>0.33663430676019096</v>
      </c>
      <c r="BX31" s="334"/>
      <c r="BY31" s="129">
        <f>INDEX('Gross Dx Plant'!$D$7:$AC$91,MATCH($C31,'Gross Dx Plant'!$C$7:$C$91,0),MATCH(Calculation!$G31,'Gross Dx Plant'!$D$5:$AC$5,0))</f>
        <v>414422</v>
      </c>
      <c r="BZ31" s="129">
        <f>INDEX('Gross Gen Plant'!$D$7:$AC$91,MATCH($C31,'Gross Gen Plant'!$C$7:$C$91,0),MATCH(Calculation!$G31,'Gross Gen Plant'!$D$5:$AC$5,0))</f>
        <v>13042</v>
      </c>
      <c r="CA31" s="129">
        <f t="shared" si="39"/>
        <v>281017</v>
      </c>
      <c r="CB31" s="129"/>
      <c r="CC31" s="133">
        <v>2001</v>
      </c>
      <c r="CD31" s="129"/>
      <c r="CE31" s="129"/>
      <c r="CF31" s="129"/>
      <c r="CG31" s="137"/>
      <c r="CH31" s="129">
        <f t="shared" si="84"/>
        <v>16782</v>
      </c>
      <c r="CI31" s="46">
        <f t="shared" si="16"/>
        <v>16771.504500963823</v>
      </c>
      <c r="CJ31" s="46">
        <f t="shared" si="85"/>
        <v>47.451206153141847</v>
      </c>
      <c r="CK31" s="443">
        <v>0.96969696969696972</v>
      </c>
      <c r="CL31" s="46">
        <f>+CL28*CK31+CJ29*CK30+CJ30*CK28+CJ31</f>
        <v>1378.0650325443949</v>
      </c>
      <c r="CM31" s="134">
        <f t="shared" si="86"/>
        <v>2.5078357265058186E-2</v>
      </c>
      <c r="CN31" s="135">
        <f t="shared" si="87"/>
        <v>9.9121954031874161E-3</v>
      </c>
      <c r="CO31" s="135">
        <f>+(CN31+CN30+CN29)/3</f>
        <v>9.9994786414555007E-3</v>
      </c>
      <c r="CP31" s="134">
        <f>VLOOKUP($H31,RoR!$E:$F,2,FALSE)</f>
        <v>7.0824999999999999E-2</v>
      </c>
      <c r="CQ31" s="135">
        <v>2.2454495382290052E-2</v>
      </c>
      <c r="CR31" s="135">
        <f t="shared" si="95"/>
        <v>4.8370504617709947E-2</v>
      </c>
      <c r="CS31" s="135">
        <f>+$CR$2-CO31</f>
        <v>2.0902462967078123E-2</v>
      </c>
      <c r="CT31" s="56">
        <f>+((DF29/DF28-1)+(DF30/DF29-1)+(DF31/DF30-1))/3</f>
        <v>2.3947275901631187E-2</v>
      </c>
      <c r="CU31" s="139">
        <f t="shared" si="88"/>
        <v>0.87050000000000005</v>
      </c>
      <c r="CV31" s="335">
        <f t="shared" si="89"/>
        <v>0.72406708481540816</v>
      </c>
      <c r="CW31" s="335">
        <f t="shared" si="90"/>
        <v>0.62201729615248857</v>
      </c>
      <c r="CX31" s="335">
        <f t="shared" si="91"/>
        <v>0.9352469954311422</v>
      </c>
      <c r="CY31" s="335">
        <f t="shared" si="92"/>
        <v>0.42121864641655071</v>
      </c>
      <c r="CZ31" s="336">
        <f>INDEX('State Tax Lookup'!$D$7:$Z$91,MATCH(Calculation!$C31,'State Tax Lookup'!$B$7:$B$91,0),MATCH($H31,'State Tax Lookup'!$D$6:$Z$6,0))</f>
        <v>0.35</v>
      </c>
      <c r="DA31" s="303">
        <v>0.37</v>
      </c>
      <c r="DB31" s="57">
        <f t="shared" ref="DB31:DB52" si="96">+(DF31*CS31-CT31)*CU31/(1-CZ31)</f>
        <v>9.8620598936789357</v>
      </c>
      <c r="DC31" s="56"/>
      <c r="DD31" s="303">
        <f>VLOOKUP($H31,RoR!$E:$F,2,FALSE)</f>
        <v>7.0824999999999999E-2</v>
      </c>
      <c r="DE31" s="304">
        <f>HLOOKUP($H31,'GDP-PI'!$D$8:$CQ$11,3,FALSE)</f>
        <v>2.2454495382290052E-2</v>
      </c>
      <c r="DF31" s="303">
        <f>VLOOKUP(H31,'HW Dx Data'!$E:$F,2,FALSE)</f>
        <v>353.44738017483138</v>
      </c>
      <c r="DG31" s="89"/>
      <c r="DH31" s="89"/>
      <c r="DI31" s="89"/>
      <c r="DJ31" s="56"/>
      <c r="DK31" s="53">
        <f>HLOOKUP(H31,'GDP-PI'!$8:$9,2,FALSE)</f>
        <v>79.822000000000003</v>
      </c>
      <c r="DL31" s="298"/>
      <c r="DO31" s="398">
        <v>1.9153869584023625E-2</v>
      </c>
      <c r="DP31" s="398"/>
      <c r="DQ31" s="398"/>
      <c r="DR31" s="398"/>
      <c r="DS31" s="398"/>
      <c r="DT31" s="398"/>
      <c r="DU31" s="398"/>
      <c r="DV31" s="398"/>
      <c r="DW31" s="398"/>
      <c r="DX31" s="398"/>
      <c r="DY31" s="398"/>
      <c r="EC31">
        <f t="shared" si="20"/>
        <v>2001</v>
      </c>
    </row>
    <row r="32" spans="1:133" s="126" customFormat="1" ht="21" customHeight="1" x14ac:dyDescent="0.4">
      <c r="A32" s="233" t="s">
        <v>179</v>
      </c>
      <c r="B32" s="127" t="s">
        <v>179</v>
      </c>
      <c r="C32" s="127">
        <v>4057075</v>
      </c>
      <c r="D32" s="127" t="s">
        <v>180</v>
      </c>
      <c r="E32" s="127"/>
      <c r="F32" s="127"/>
      <c r="G32" s="127" t="s">
        <v>158</v>
      </c>
      <c r="H32" s="128">
        <v>2002</v>
      </c>
      <c r="I32" s="129"/>
      <c r="J32" s="125"/>
      <c r="K32" s="125"/>
      <c r="L32" s="47"/>
      <c r="M32" s="125"/>
      <c r="N32" s="125"/>
      <c r="O32" s="125"/>
      <c r="P32" s="47"/>
      <c r="Q32" s="47"/>
      <c r="R32" s="386"/>
      <c r="S32" s="119"/>
      <c r="T32" s="47"/>
      <c r="U32" s="47"/>
      <c r="V32" s="125"/>
      <c r="W32" s="125"/>
      <c r="X32" s="125"/>
      <c r="Y32" s="125"/>
      <c r="Z32" s="125"/>
      <c r="AA32" s="125"/>
      <c r="AB32" s="125"/>
      <c r="AC32" s="125">
        <f t="shared" si="93"/>
        <v>13583.533370031628</v>
      </c>
      <c r="AD32" s="129"/>
      <c r="AE32" s="133">
        <v>1436.6057467233536</v>
      </c>
      <c r="AF32" s="134">
        <v>2.7785073911532197E-2</v>
      </c>
      <c r="AG32" s="61"/>
      <c r="AH32" s="134"/>
      <c r="AI32" s="134"/>
      <c r="AJ32" s="129">
        <f t="shared" si="94"/>
        <v>13583.533370031628</v>
      </c>
      <c r="AK32" s="134"/>
      <c r="AL32" s="129"/>
      <c r="AM32" s="129"/>
      <c r="AN32" s="129"/>
      <c r="AO32" s="129"/>
      <c r="AP32" s="133"/>
      <c r="AQ32" s="134"/>
      <c r="AR32" s="93"/>
      <c r="AS32" s="93"/>
      <c r="AT32" s="93"/>
      <c r="AU32" s="93"/>
      <c r="AV32" s="93"/>
      <c r="AW32" s="134"/>
      <c r="AX32" s="62"/>
      <c r="AY32" s="93"/>
      <c r="AZ32" s="93"/>
      <c r="BA32" s="93"/>
      <c r="BB32" s="234">
        <f>IFERROR(INDEX('Total Customers'!$E$7:$AA$91,MATCH($C32,'Total Customers'!$C$7:$C$91,0),MATCH($G32,'Total Customers'!$E$5:$AA$5,0)),"NA")</f>
        <v>267704</v>
      </c>
      <c r="BC32" s="392">
        <f t="shared" si="15"/>
        <v>2.0431130653130344E-2</v>
      </c>
      <c r="BE32" s="281" t="str">
        <f t="shared" si="0"/>
        <v>AVISTA CORPORATION</v>
      </c>
      <c r="BF32" s="290">
        <f t="shared" si="1"/>
        <v>4057075</v>
      </c>
      <c r="BG32" s="46" t="str">
        <f t="shared" si="2"/>
        <v>WA</v>
      </c>
      <c r="BH32" s="46"/>
      <c r="BI32" s="46" t="str">
        <f t="shared" si="3"/>
        <v>2002 Y</v>
      </c>
      <c r="BJ32" s="129"/>
      <c r="BK32" s="129"/>
      <c r="BL32" s="129">
        <f>INDEX('Dist. Plant Gas Additions'!$E$7:$AD$91,MATCH($C32,'Dist. Plant Gas Additions'!$C$7:$C$91,0),MATCH(Calculation!$G32,'Dist. Plant Gas Additions'!$E$5:$AD$5,0))</f>
        <v>16713</v>
      </c>
      <c r="BM32" s="129">
        <f>INDEX('Gen. Plant Additions'!$E$7:$AD$91,MATCH($C32,'Gen. Plant Additions'!$C$7:$C$91,0),MATCH(Calculation!$G32,'Gen. Plant Additions'!$E$5:$AD$5,0))</f>
        <v>416</v>
      </c>
      <c r="BN32" s="393">
        <f t="shared" si="83"/>
        <v>0.97065956203655035</v>
      </c>
      <c r="BO32" s="46">
        <f t="shared" si="61"/>
        <v>403.79437780720497</v>
      </c>
      <c r="BP32" s="46">
        <f t="shared" si="62"/>
        <v>-12.205622192795033</v>
      </c>
      <c r="BQ32" s="129">
        <f>INDEX('Dist Plant Depreciation'!$D$7:$AC$94,MATCH($C32,'Dist Plant Depreciation'!$C$7:$C$94,0),MATCH(Calculation!$G32,'Dist Plant Depreciation'!$D$5:$AC$5,0))</f>
        <v>154105</v>
      </c>
      <c r="BR32" s="129">
        <f>INDEX('Gen. Plant Depreciation'!$D$7:$AC$94,MATCH($C32,'Gen. Plant Depreciation'!$C$7:$C$94,0),MATCH(Calculation!$G32,'Gen. Plant Depreciation'!$D$5:$AC$5,0))</f>
        <v>6036</v>
      </c>
      <c r="BS32" s="137">
        <v>1957</v>
      </c>
      <c r="BT32" s="137">
        <f t="shared" si="59"/>
        <v>10</v>
      </c>
      <c r="BU32" s="333">
        <v>52.787352730475412</v>
      </c>
      <c r="BV32" s="93">
        <f t="shared" si="82"/>
        <v>7.5414781297134239E-3</v>
      </c>
      <c r="BW32" s="334">
        <f t="shared" si="60"/>
        <v>0.39809466614234851</v>
      </c>
      <c r="BX32" s="334"/>
      <c r="BY32" s="129">
        <f>INDEX('Gross Dx Plant'!$D$7:$AC$91,MATCH($C32,'Gross Dx Plant'!$C$7:$C$91,0),MATCH(Calculation!$G32,'Gross Dx Plant'!$D$5:$AC$5,0))</f>
        <v>430273</v>
      </c>
      <c r="BZ32" s="129">
        <f>INDEX('Gross Gen Plant'!$D$7:$AC$91,MATCH($C32,'Gross Gen Plant'!$C$7:$C$91,0),MATCH(Calculation!$G32,'Gross Gen Plant'!$D$5:$AC$5,0))</f>
        <v>13006</v>
      </c>
      <c r="CA32" s="129">
        <f t="shared" si="39"/>
        <v>283138</v>
      </c>
      <c r="CB32" s="129"/>
      <c r="CC32" s="133">
        <v>2002</v>
      </c>
      <c r="CD32" s="129"/>
      <c r="CE32" s="129"/>
      <c r="CF32" s="129"/>
      <c r="CG32" s="137"/>
      <c r="CH32" s="129">
        <f t="shared" si="84"/>
        <v>17129</v>
      </c>
      <c r="CI32" s="46">
        <f t="shared" si="16"/>
        <v>17116.794377807204</v>
      </c>
      <c r="CJ32" s="46">
        <f t="shared" si="85"/>
        <v>47.369257688168219</v>
      </c>
      <c r="CK32" s="443">
        <v>0.95918367346938771</v>
      </c>
      <c r="CL32" s="46">
        <f>+CL28*CK32+CJ29*CK31+CJ30*CK30+CJ31*CK29+CJ32</f>
        <v>1409.8719153971599</v>
      </c>
      <c r="CM32" s="134">
        <f t="shared" si="86"/>
        <v>2.2818495213667696E-2</v>
      </c>
      <c r="CN32" s="135">
        <f t="shared" si="87"/>
        <v>1.1292917582176452E-2</v>
      </c>
      <c r="CO32" s="135">
        <f t="shared" ref="CO32:CO51" si="97">+(CN32+CN31+CN30)/3</f>
        <v>1.0463454469177657E-2</v>
      </c>
      <c r="CP32" s="134">
        <f>VLOOKUP($H32,RoR!$E:$F,2,FALSE)</f>
        <v>6.4916666666666664E-2</v>
      </c>
      <c r="CQ32" s="135">
        <v>1.5246423291824351E-2</v>
      </c>
      <c r="CR32" s="135">
        <f t="shared" si="95"/>
        <v>4.9670243374842313E-2</v>
      </c>
      <c r="CS32" s="135">
        <f t="shared" ref="CS32:CS52" si="98">+$CR$2-CO32</f>
        <v>2.0438487139355969E-2</v>
      </c>
      <c r="CT32" s="56">
        <f t="shared" ref="CT32:CT52" si="99">+((DF30/DF29-1)+(DF31/DF30-1)+(DF32/DF31-1))/3</f>
        <v>2.5243621214759093E-2</v>
      </c>
      <c r="CU32" s="139">
        <f t="shared" si="88"/>
        <v>0.87050000000000005</v>
      </c>
      <c r="CV32" s="335">
        <f t="shared" si="89"/>
        <v>0.78996741384417901</v>
      </c>
      <c r="CW32" s="335">
        <f t="shared" si="90"/>
        <v>0.58989088575096271</v>
      </c>
      <c r="CX32" s="335">
        <f t="shared" si="91"/>
        <v>0.91920675783645744</v>
      </c>
      <c r="CY32" s="335">
        <f t="shared" si="92"/>
        <v>0.42834536472275586</v>
      </c>
      <c r="CZ32" s="336">
        <f>INDEX('State Tax Lookup'!$D$7:$Z$91,MATCH(Calculation!$C32,'State Tax Lookup'!$B$7:$B$91,0),MATCH($H32,'State Tax Lookup'!$D$6:$Z$6,0))</f>
        <v>0.35</v>
      </c>
      <c r="DA32" s="303">
        <v>0.37</v>
      </c>
      <c r="DB32" s="57">
        <f t="shared" si="96"/>
        <v>9.856961064422066</v>
      </c>
      <c r="DC32" s="56">
        <f t="shared" ref="DC32:DC52" si="100">LN(DB32/DB31)</f>
        <v>-5.1714832915287514E-4</v>
      </c>
      <c r="DD32" s="303">
        <f>VLOOKUP($H32,RoR!$E:$F,2,FALSE)</f>
        <v>6.4916666666666664E-2</v>
      </c>
      <c r="DE32" s="304">
        <f>HLOOKUP($H32,'GDP-PI'!$D$8:$CQ$11,3,FALSE)</f>
        <v>1.5246423291824351E-2</v>
      </c>
      <c r="DF32" s="303">
        <f>VLOOKUP(H32,'HW Dx Data'!$E:$F,2,FALSE)</f>
        <v>361.34816573413599</v>
      </c>
      <c r="DG32" s="89"/>
      <c r="DH32" s="89"/>
      <c r="DI32" s="89"/>
      <c r="DJ32" s="56"/>
      <c r="DK32" s="53">
        <f>HLOOKUP(H32,'GDP-PI'!$8:$9,2,FALSE)</f>
        <v>81.039000000000001</v>
      </c>
      <c r="DL32" s="355">
        <f>LN(DK32/DK31)</f>
        <v>1.513136459537477E-2</v>
      </c>
      <c r="DO32" s="398">
        <v>8.6027422684860073E-4</v>
      </c>
      <c r="DP32" s="398"/>
      <c r="DQ32" s="398"/>
      <c r="DR32" s="398"/>
      <c r="DS32" s="398"/>
      <c r="DT32" s="398"/>
      <c r="DU32" s="398"/>
      <c r="DV32" s="398"/>
      <c r="DW32" s="398"/>
      <c r="DX32" s="398"/>
      <c r="DY32" s="398"/>
      <c r="EC32">
        <f t="shared" si="20"/>
        <v>2002</v>
      </c>
    </row>
    <row r="33" spans="1:133" s="126" customFormat="1" ht="21" customHeight="1" x14ac:dyDescent="0.4">
      <c r="A33" s="233" t="s">
        <v>179</v>
      </c>
      <c r="B33" s="127" t="s">
        <v>179</v>
      </c>
      <c r="C33" s="127">
        <v>4057075</v>
      </c>
      <c r="D33" s="127" t="s">
        <v>180</v>
      </c>
      <c r="E33" s="127"/>
      <c r="F33" s="127"/>
      <c r="G33" s="127" t="s">
        <v>159</v>
      </c>
      <c r="H33" s="128">
        <v>2003</v>
      </c>
      <c r="I33" s="129"/>
      <c r="J33" s="125"/>
      <c r="K33" s="125"/>
      <c r="L33" s="47"/>
      <c r="M33" s="131"/>
      <c r="N33" s="131"/>
      <c r="O33" s="131"/>
      <c r="P33" s="59"/>
      <c r="Q33" s="59"/>
      <c r="R33" s="386"/>
      <c r="S33" s="119"/>
      <c r="T33" s="59"/>
      <c r="U33" s="59"/>
      <c r="V33" s="125"/>
      <c r="W33" s="125"/>
      <c r="X33" s="125"/>
      <c r="Y33" s="125"/>
      <c r="Z33" s="125"/>
      <c r="AA33" s="125"/>
      <c r="AB33" s="125"/>
      <c r="AC33" s="125">
        <f t="shared" si="93"/>
        <v>14005.242234237769</v>
      </c>
      <c r="AD33" s="129"/>
      <c r="AE33" s="133">
        <v>1483.9826689552858</v>
      </c>
      <c r="AF33" s="134">
        <v>3.2446255199788054E-2</v>
      </c>
      <c r="AG33" s="61"/>
      <c r="AH33" s="134"/>
      <c r="AI33" s="134"/>
      <c r="AJ33" s="129">
        <f t="shared" si="94"/>
        <v>14005.242234237769</v>
      </c>
      <c r="AK33" s="134"/>
      <c r="AL33" s="129">
        <f>+AJ33+AJ58+AJ83+AJ108+AJ133+AJ158+AJ183+AJ208+AJ233+AJ258+AJ283+AJ308+AJ333+AJ358+AJ383+AJ408+AJ433+AJ458+AJ483+AJ508+AJ533+AJ558+AJ583+AJ608+AJ633+AJ658+AJ683+AJ708+AJ733+AJ758+AJ783+AJ808+AJ833+AJ858+AJ883+AJ908+AJ933+AJ958+AJ983+AJ1008+AJ1033+AJ1058+AJ1083+AJ1108+AJ1133+AJ1158+AJ1183+AJ1208+AJ1233+AJ1258+AJ1283+AJ1308+AJ1333+'WP-BoGas-Colonial'!AC6</f>
        <v>1511120.7901971152</v>
      </c>
      <c r="AM33" s="129"/>
      <c r="AN33" s="129"/>
      <c r="AO33" s="129"/>
      <c r="AP33" s="133"/>
      <c r="AQ33" s="134"/>
      <c r="AR33" s="93"/>
      <c r="AS33" s="93"/>
      <c r="AT33" s="93"/>
      <c r="AU33" s="93"/>
      <c r="AV33" s="93"/>
      <c r="AW33" s="134"/>
      <c r="AX33" s="62"/>
      <c r="AY33" s="93"/>
      <c r="AZ33" s="93"/>
      <c r="BA33" s="93"/>
      <c r="BB33" s="234">
        <f>IFERROR(INDEX('Total Customers'!$E$7:$AA$91,MATCH($C33,'Total Customers'!$C$7:$C$91,0),MATCH($G33,'Total Customers'!$E$5:$AA$5,0)),"NA")</f>
        <v>274404</v>
      </c>
      <c r="BC33" s="392">
        <f t="shared" si="15"/>
        <v>2.4719580490918502E-2</v>
      </c>
      <c r="BE33" s="281" t="str">
        <f t="shared" si="0"/>
        <v>AVISTA CORPORATION</v>
      </c>
      <c r="BF33" s="290">
        <f t="shared" si="1"/>
        <v>4057075</v>
      </c>
      <c r="BG33" s="46" t="str">
        <f t="shared" si="2"/>
        <v>WA</v>
      </c>
      <c r="BH33" s="46"/>
      <c r="BI33" s="46" t="str">
        <f t="shared" si="3"/>
        <v>2003 Y</v>
      </c>
      <c r="BJ33" s="129"/>
      <c r="BK33" s="129"/>
      <c r="BL33" s="129">
        <f>INDEX('Dist. Plant Gas Additions'!$E$7:$AD$91,MATCH($C33,'Dist. Plant Gas Additions'!$C$7:$C$91,0),MATCH(Calculation!$G33,'Dist. Plant Gas Additions'!$E$5:$AD$5,0))</f>
        <v>20064</v>
      </c>
      <c r="BM33" s="129">
        <f>INDEX('Gen. Plant Additions'!$E$7:$AD$91,MATCH($C33,'Gen. Plant Additions'!$C$7:$C$91,0),MATCH(Calculation!$G33,'Gen. Plant Additions'!$E$5:$AD$5,0))</f>
        <v>435</v>
      </c>
      <c r="BN33" s="393">
        <f t="shared" si="83"/>
        <v>0.97154744793749259</v>
      </c>
      <c r="BO33" s="46">
        <f t="shared" si="61"/>
        <v>422.62313985280929</v>
      </c>
      <c r="BP33" s="46">
        <f t="shared" si="62"/>
        <v>-12.376860147190712</v>
      </c>
      <c r="BQ33" s="129">
        <f>INDEX('Dist Plant Depreciation'!$D$7:$AC$94,MATCH($C33,'Dist Plant Depreciation'!$C$7:$C$94,0),MATCH(Calculation!$G33,'Dist Plant Depreciation'!$D$5:$AC$5,0))</f>
        <v>165837</v>
      </c>
      <c r="BR33" s="129">
        <f>INDEX('Gen. Plant Depreciation'!$D$7:$AC$94,MATCH($C33,'Gen. Plant Depreciation'!$C$7:$C$94,0),MATCH(Calculation!$G33,'Gen. Plant Depreciation'!$D$5:$AC$5,0))</f>
        <v>6405</v>
      </c>
      <c r="BS33" s="137">
        <v>1958</v>
      </c>
      <c r="BT33" s="137">
        <f t="shared" si="59"/>
        <v>11</v>
      </c>
      <c r="BU33" s="333">
        <v>55.25442919470045</v>
      </c>
      <c r="BV33" s="93">
        <f t="shared" si="82"/>
        <v>8.2956259426847662E-3</v>
      </c>
      <c r="BW33" s="334">
        <f t="shared" si="60"/>
        <v>0.45837007627579557</v>
      </c>
      <c r="BX33" s="334"/>
      <c r="BY33" s="129">
        <f>INDEX('Gross Dx Plant'!$D$7:$AC$91,MATCH($C33,'Gross Dx Plant'!$C$7:$C$91,0),MATCH(Calculation!$G33,'Gross Dx Plant'!$D$5:$AC$5,0))</f>
        <v>449501</v>
      </c>
      <c r="BZ33" s="129">
        <f>INDEX('Gross Gen Plant'!$D$7:$AC$91,MATCH($C33,'Gross Gen Plant'!$C$7:$C$91,0),MATCH(Calculation!$G33,'Gross Gen Plant'!$D$5:$AC$5,0))</f>
        <v>13164</v>
      </c>
      <c r="CA33" s="129">
        <f t="shared" si="39"/>
        <v>290423</v>
      </c>
      <c r="CB33" s="129"/>
      <c r="CC33" s="133">
        <v>2003</v>
      </c>
      <c r="CD33" s="129"/>
      <c r="CE33" s="129"/>
      <c r="CF33" s="129"/>
      <c r="CG33" s="137"/>
      <c r="CH33" s="129">
        <f t="shared" si="84"/>
        <v>20499</v>
      </c>
      <c r="CI33" s="46">
        <f t="shared" si="16"/>
        <v>20486.623139852811</v>
      </c>
      <c r="CJ33" s="46">
        <f t="shared" si="85"/>
        <v>55.48426747335494</v>
      </c>
      <c r="CK33" s="443">
        <v>0.94845360824742264</v>
      </c>
      <c r="CL33" s="46">
        <f>+CL28*CK33+CJ29*CK32+CJ30*CK31+CJ31*CK30+CJ32*CK29+CJ33</f>
        <v>1449.7622973184875</v>
      </c>
      <c r="CM33" s="134">
        <f t="shared" si="86"/>
        <v>2.7900749990214517E-2</v>
      </c>
      <c r="CN33" s="135">
        <f t="shared" si="87"/>
        <v>1.1060498036542942E-2</v>
      </c>
      <c r="CO33" s="135">
        <f t="shared" si="97"/>
        <v>1.0755203673968936E-2</v>
      </c>
      <c r="CP33" s="134">
        <f>VLOOKUP($H33,RoR!$E:$F,2,FALSE)</f>
        <v>5.6666666666666671E-2</v>
      </c>
      <c r="CQ33" s="135">
        <v>1.8855119140166909E-2</v>
      </c>
      <c r="CR33" s="135">
        <f t="shared" si="95"/>
        <v>3.7811547526499761E-2</v>
      </c>
      <c r="CS33" s="135">
        <f t="shared" si="98"/>
        <v>2.0146737934564687E-2</v>
      </c>
      <c r="CT33" s="56">
        <f t="shared" si="99"/>
        <v>2.1375012817671957E-2</v>
      </c>
      <c r="CU33" s="139">
        <f t="shared" si="88"/>
        <v>0.87050000000000005</v>
      </c>
      <c r="CV33" s="335">
        <f t="shared" si="89"/>
        <v>0.90497737556561086</v>
      </c>
      <c r="CW33" s="335">
        <f t="shared" si="90"/>
        <v>0.5338235294117647</v>
      </c>
      <c r="CX33" s="335">
        <f t="shared" si="91"/>
        <v>0.88972433127405692</v>
      </c>
      <c r="CY33" s="335">
        <f t="shared" si="92"/>
        <v>0.42982423775949252</v>
      </c>
      <c r="CZ33" s="336">
        <f>INDEX('State Tax Lookup'!$D$7:$Z$91,MATCH(Calculation!$C33,'State Tax Lookup'!$B$7:$B$91,0),MATCH($H33,'State Tax Lookup'!$D$6:$Z$6,0))</f>
        <v>0.35</v>
      </c>
      <c r="DA33" s="303">
        <v>0.37</v>
      </c>
      <c r="DB33" s="57">
        <f t="shared" si="96"/>
        <v>9.9336982893885803</v>
      </c>
      <c r="DC33" s="56">
        <f t="shared" si="100"/>
        <v>7.7549320787201649E-3</v>
      </c>
      <c r="DD33" s="303">
        <f>VLOOKUP($H33,RoR!$E:$F,2,FALSE)</f>
        <v>5.6666666666666671E-2</v>
      </c>
      <c r="DE33" s="304">
        <f>HLOOKUP($H33,'GDP-PI'!$D$8:$CQ$11,3,FALSE)</f>
        <v>1.8855119140166909E-2</v>
      </c>
      <c r="DF33" s="303">
        <f>VLOOKUP(H33,'HW Dx Data'!$E:$F,2,FALSE)</f>
        <v>369.23301095560191</v>
      </c>
      <c r="DG33" s="89">
        <f ca="1">VLOOKUP(CC33,'ECI - Input Price'!M$13:N$33,2,FALSE)</f>
        <v>89.25</v>
      </c>
      <c r="DH33" s="89"/>
      <c r="DI33" s="89"/>
      <c r="DJ33" s="56"/>
      <c r="DK33" s="53">
        <f>HLOOKUP(H33,'GDP-PI'!$8:$9,2,FALSE)</f>
        <v>82.566999999999993</v>
      </c>
      <c r="DL33" s="355">
        <f t="shared" ref="DL33:DL52" si="101">LN(DK33/DK32)</f>
        <v>1.8679564681853753E-2</v>
      </c>
      <c r="DO33" s="398">
        <v>1.758657341238868E-2</v>
      </c>
      <c r="DP33" s="398"/>
      <c r="DQ33" s="398"/>
      <c r="DR33" s="398"/>
      <c r="DS33" s="398"/>
      <c r="DT33" s="398"/>
      <c r="DU33" s="398"/>
      <c r="DV33" s="398"/>
      <c r="DW33" s="398"/>
      <c r="DX33" s="398"/>
      <c r="DY33" s="398"/>
      <c r="EC33">
        <f t="shared" si="20"/>
        <v>2003</v>
      </c>
    </row>
    <row r="34" spans="1:133" s="126" customFormat="1" ht="21" customHeight="1" x14ac:dyDescent="0.4">
      <c r="A34" s="233" t="s">
        <v>179</v>
      </c>
      <c r="B34" s="127" t="s">
        <v>179</v>
      </c>
      <c r="C34" s="127">
        <v>4057075</v>
      </c>
      <c r="D34" s="127" t="s">
        <v>180</v>
      </c>
      <c r="E34" s="127"/>
      <c r="F34" s="127"/>
      <c r="G34" s="127" t="s">
        <v>160</v>
      </c>
      <c r="H34" s="128">
        <v>2004</v>
      </c>
      <c r="I34" s="129"/>
      <c r="J34" s="125">
        <f>IFERROR(INDEX('Labor Expenditures'!$E$7:$W$91,MATCH($C34,'Labor Expenditures'!$C$7:$C$91,0),MATCH($G34,'Labor Expenditures'!$E$5:$W$5,0)),"NA")</f>
        <v>16894.96793159896</v>
      </c>
      <c r="K34" s="125">
        <f t="shared" ref="K34:K52" ca="1" si="102">+J34/DG34</f>
        <v>179.06696270905098</v>
      </c>
      <c r="L34" s="47"/>
      <c r="M34" s="131"/>
      <c r="N34" s="131"/>
      <c r="O34" s="131"/>
      <c r="P34" s="59"/>
      <c r="Q34" s="59"/>
      <c r="R34" s="386"/>
      <c r="S34" s="119"/>
      <c r="T34" s="59"/>
      <c r="U34" s="59"/>
      <c r="V34" s="125">
        <f>IFERROR(INDEX('Non-Labor Expenditures'!$E$7:$AA$91,MATCH($C34,'Non-Labor Expenditures'!$C$7:$C$91,0),MATCH($G34,'Non-Labor Expenditures'!$E$5:$AA$5,0)),"NA")</f>
        <v>24467.06910969067</v>
      </c>
      <c r="W34" s="125">
        <f t="shared" ref="W34:W52" si="103">+V34/DK34</f>
        <v>288.60163143375252</v>
      </c>
      <c r="X34" s="125"/>
      <c r="Y34" s="125"/>
      <c r="Z34" s="125"/>
      <c r="AA34" s="125"/>
      <c r="AB34" s="125"/>
      <c r="AC34" s="125">
        <f t="shared" si="93"/>
        <v>15731.896287873857</v>
      </c>
      <c r="AD34" s="129"/>
      <c r="AE34" s="133">
        <v>1531.1533029548407</v>
      </c>
      <c r="AF34" s="134">
        <v>3.1291778150762138E-2</v>
      </c>
      <c r="AG34" s="59">
        <f t="shared" ref="AG34:AG52" si="104">+AF34*$AX34</f>
        <v>0</v>
      </c>
      <c r="AH34" s="134"/>
      <c r="AI34" s="134"/>
      <c r="AJ34" s="129">
        <f t="shared" si="94"/>
        <v>57093.933329163483</v>
      </c>
      <c r="AK34" s="134"/>
      <c r="AL34" s="129"/>
      <c r="AM34" s="129"/>
      <c r="AN34" s="129"/>
      <c r="AO34" s="129"/>
      <c r="AP34" s="133"/>
      <c r="AQ34" s="134"/>
      <c r="AR34" s="93">
        <f t="shared" ref="AR34:AR52" si="105">+J34/AJ34</f>
        <v>0.29591529163342895</v>
      </c>
      <c r="AS34" s="93">
        <f t="shared" ref="AS34:AS52" si="106">+V34/AJ34</f>
        <v>0.42854061163785562</v>
      </c>
      <c r="AT34" s="93">
        <f t="shared" ref="AT34:AT52" si="107">+AC34/AJ34</f>
        <v>0.27554409672871549</v>
      </c>
      <c r="AU34" s="93"/>
      <c r="AV34" s="132"/>
      <c r="AW34" s="134"/>
      <c r="AX34" s="62"/>
      <c r="AY34" s="93"/>
      <c r="AZ34" s="93"/>
      <c r="BA34" s="93"/>
      <c r="BB34" s="234">
        <f>IFERROR(INDEX('Total Customers'!$E$7:$AA$91,MATCH($C34,'Total Customers'!$C$7:$C$91,0),MATCH($G34,'Total Customers'!$E$5:$AA$5,0)),"NA")</f>
        <v>282317</v>
      </c>
      <c r="BC34" s="392">
        <f t="shared" si="15"/>
        <v>2.8429080065869552E-2</v>
      </c>
      <c r="BE34" s="281" t="str">
        <f t="shared" si="0"/>
        <v>AVISTA CORPORATION</v>
      </c>
      <c r="BF34" s="290">
        <f t="shared" si="1"/>
        <v>4057075</v>
      </c>
      <c r="BG34" s="46" t="str">
        <f t="shared" si="2"/>
        <v>WA</v>
      </c>
      <c r="BH34" s="46"/>
      <c r="BI34" s="46" t="str">
        <f t="shared" si="3"/>
        <v>2004 Y</v>
      </c>
      <c r="BJ34" s="129"/>
      <c r="BK34" s="129"/>
      <c r="BL34" s="129">
        <f>INDEX('Dist. Plant Gas Additions'!$E$7:$AD$91,MATCH($C34,'Dist. Plant Gas Additions'!$C$7:$C$91,0),MATCH(Calculation!$G34,'Dist. Plant Gas Additions'!$E$5:$AD$5,0))</f>
        <v>20977</v>
      </c>
      <c r="BM34" s="129">
        <f>INDEX('Gen. Plant Additions'!$E$7:$AD$91,MATCH($C34,'Gen. Plant Additions'!$C$7:$C$91,0),MATCH(Calculation!$G34,'Gen. Plant Additions'!$E$5:$AD$5,0))</f>
        <v>2194</v>
      </c>
      <c r="BN34" s="393">
        <f t="shared" si="83"/>
        <v>0.96910483504686407</v>
      </c>
      <c r="BO34" s="46">
        <f t="shared" si="61"/>
        <v>2126.2160080928197</v>
      </c>
      <c r="BP34" s="46">
        <f t="shared" si="62"/>
        <v>-67.78399190718028</v>
      </c>
      <c r="BQ34" s="129">
        <f>INDEX('Dist Plant Depreciation'!$D$7:$AC$94,MATCH($C34,'Dist Plant Depreciation'!$C$7:$C$94,0),MATCH(Calculation!$G34,'Dist Plant Depreciation'!$D$5:$AC$5,0))</f>
        <v>177996</v>
      </c>
      <c r="BR34" s="129">
        <f>INDEX('Gen. Plant Depreciation'!$D$7:$AC$94,MATCH($C34,'Gen. Plant Depreciation'!$C$7:$C$94,0),MATCH(Calculation!$G34,'Gen. Plant Depreciation'!$D$5:$AC$5,0))</f>
        <v>6696</v>
      </c>
      <c r="BS34" s="137">
        <v>1959</v>
      </c>
      <c r="BT34" s="137">
        <f t="shared" si="59"/>
        <v>12</v>
      </c>
      <c r="BU34" s="333">
        <v>57.07399624103509</v>
      </c>
      <c r="BV34" s="93">
        <f t="shared" si="82"/>
        <v>9.0497737556561094E-3</v>
      </c>
      <c r="BW34" s="334">
        <f t="shared" si="60"/>
        <v>0.51650675331253482</v>
      </c>
      <c r="BX34" s="334"/>
      <c r="BY34" s="129">
        <f>INDEX('Gross Dx Plant'!$D$7:$AC$91,MATCH($C34,'Gross Dx Plant'!$C$7:$C$91,0),MATCH(Calculation!$G34,'Gross Dx Plant'!$D$5:$AC$5,0))</f>
        <v>469415</v>
      </c>
      <c r="BZ34" s="129">
        <f>INDEX('Gross Gen Plant'!$D$7:$AC$91,MATCH($C34,'Gross Gen Plant'!$C$7:$C$91,0),MATCH(Calculation!$G34,'Gross Gen Plant'!$D$5:$AC$5,0))</f>
        <v>14965</v>
      </c>
      <c r="CA34" s="129">
        <f t="shared" si="39"/>
        <v>299688</v>
      </c>
      <c r="CB34" s="129"/>
      <c r="CC34" s="133">
        <v>2004</v>
      </c>
      <c r="CD34" s="129"/>
      <c r="CE34" s="129"/>
      <c r="CF34" s="129"/>
      <c r="CG34" s="137"/>
      <c r="CH34" s="129">
        <f t="shared" si="84"/>
        <v>23171</v>
      </c>
      <c r="CI34" s="46">
        <f t="shared" si="16"/>
        <v>23103.216008092819</v>
      </c>
      <c r="CJ34" s="46">
        <f t="shared" si="85"/>
        <v>55.685536911347342</v>
      </c>
      <c r="CK34" s="443">
        <v>0.9375</v>
      </c>
      <c r="CL34" s="46">
        <f>+CL28*CK34+CJ29*CK33+CJ30*CK32+CJ31*CK31+CJ32*CK30+CJ33*CK29+CJ34</f>
        <v>1488.9808914685048</v>
      </c>
      <c r="CM34" s="134">
        <f t="shared" si="86"/>
        <v>2.6692310378687842E-2</v>
      </c>
      <c r="CN34" s="135">
        <f t="shared" si="87"/>
        <v>1.1358374260240965E-2</v>
      </c>
      <c r="CO34" s="135">
        <f t="shared" si="97"/>
        <v>1.1237263292986787E-2</v>
      </c>
      <c r="CP34" s="134">
        <f>VLOOKUP($H34,RoR!$E:$F,2,FALSE)</f>
        <v>5.6283333333333331E-2</v>
      </c>
      <c r="CQ34" s="135">
        <v>2.6778252812867276E-2</v>
      </c>
      <c r="CR34" s="135">
        <f t="shared" si="95"/>
        <v>2.9505080520466055E-2</v>
      </c>
      <c r="CS34" s="135">
        <f t="shared" si="98"/>
        <v>1.9664678315546837E-2</v>
      </c>
      <c r="CT34" s="56">
        <f t="shared" si="99"/>
        <v>5.5940039414565046E-2</v>
      </c>
      <c r="CU34" s="139">
        <f t="shared" si="88"/>
        <v>0.87050000000000005</v>
      </c>
      <c r="CV34" s="335">
        <f t="shared" si="89"/>
        <v>0.91114097628755619</v>
      </c>
      <c r="CW34" s="335">
        <f t="shared" si="90"/>
        <v>0.53081877405981637</v>
      </c>
      <c r="CX34" s="335">
        <f t="shared" si="91"/>
        <v>0.88811215519385678</v>
      </c>
      <c r="CY34" s="335">
        <f t="shared" si="92"/>
        <v>0.42953609753547711</v>
      </c>
      <c r="CZ34" s="336">
        <f>INDEX('State Tax Lookup'!$D$7:$Z$91,MATCH(Calculation!$C34,'State Tax Lookup'!$B$7:$B$91,0),MATCH($H34,'State Tax Lookup'!$D$6:$Z$6,0))</f>
        <v>0.35</v>
      </c>
      <c r="DA34" s="303">
        <v>0.37</v>
      </c>
      <c r="DB34" s="57">
        <f t="shared" si="96"/>
        <v>10.851362541964239</v>
      </c>
      <c r="DC34" s="56">
        <f t="shared" si="100"/>
        <v>8.8357807295704235E-2</v>
      </c>
      <c r="DD34" s="303">
        <f>VLOOKUP($H34,RoR!$E:$F,2,FALSE)</f>
        <v>5.6283333333333331E-2</v>
      </c>
      <c r="DE34" s="304">
        <f>HLOOKUP($H34,'GDP-PI'!$D$8:$CQ$11,3,FALSE)</f>
        <v>2.6778252812867276E-2</v>
      </c>
      <c r="DF34" s="303">
        <f>VLOOKUP(H34,'HW Dx Data'!$E:$F,2,FALSE)</f>
        <v>414.88719135228365</v>
      </c>
      <c r="DG34" s="89">
        <f ca="1">VLOOKUP(CC34,'ECI - Input Price'!M$13:N$33,2,FALSE)</f>
        <v>94.35</v>
      </c>
      <c r="DH34" s="89"/>
      <c r="DI34" s="89"/>
      <c r="DJ34" s="56">
        <f t="shared" ref="DJ34:DJ52" ca="1" si="108">LN(DG34/DG33)</f>
        <v>5.5569851154810786E-2</v>
      </c>
      <c r="DK34" s="53">
        <f>HLOOKUP(H34,'GDP-PI'!$8:$9,2,FALSE)</f>
        <v>84.778000000000006</v>
      </c>
      <c r="DL34" s="355">
        <f t="shared" si="101"/>
        <v>2.6425990216022755E-2</v>
      </c>
      <c r="DO34" s="398">
        <v>7.6836044830447241E-3</v>
      </c>
      <c r="DP34" s="398"/>
      <c r="DQ34" s="398"/>
      <c r="DR34" s="398"/>
      <c r="DS34" s="398"/>
      <c r="DT34" s="398"/>
      <c r="DU34" s="398"/>
      <c r="DV34" s="398"/>
      <c r="DW34" s="398"/>
      <c r="DX34" s="398"/>
      <c r="DY34" s="398"/>
      <c r="EC34">
        <f t="shared" si="20"/>
        <v>2004</v>
      </c>
    </row>
    <row r="35" spans="1:133" s="126" customFormat="1" ht="21" customHeight="1" x14ac:dyDescent="0.4">
      <c r="A35" s="233" t="s">
        <v>179</v>
      </c>
      <c r="B35" s="127" t="s">
        <v>179</v>
      </c>
      <c r="C35" s="127">
        <v>4057075</v>
      </c>
      <c r="D35" s="127" t="s">
        <v>180</v>
      </c>
      <c r="E35" s="127"/>
      <c r="F35" s="127"/>
      <c r="G35" s="127" t="s">
        <v>161</v>
      </c>
      <c r="H35" s="128">
        <v>2005</v>
      </c>
      <c r="I35" s="129"/>
      <c r="J35" s="125">
        <f>IFERROR(INDEX('Labor Expenditures'!$E$7:$W$91,MATCH($C35,'Labor Expenditures'!$C$7:$C$91,0),MATCH($G35,'Labor Expenditures'!$E$5:$W$5,0)),"NA")</f>
        <v>16200.970301581736</v>
      </c>
      <c r="K35" s="125">
        <f t="shared" ca="1" si="102"/>
        <v>163.2750849239782</v>
      </c>
      <c r="L35" s="47"/>
      <c r="M35" s="131">
        <f t="shared" ref="M35:M51" ca="1" si="109">LN(K35/K34)</f>
        <v>-9.2323413314869179E-2</v>
      </c>
      <c r="N35" s="59"/>
      <c r="O35" s="59"/>
      <c r="P35" s="59"/>
      <c r="Q35" s="61"/>
      <c r="R35" s="387"/>
      <c r="S35" s="49">
        <v>100</v>
      </c>
      <c r="T35" s="46"/>
      <c r="U35" s="46"/>
      <c r="V35" s="125">
        <f>IFERROR(INDEX('Non-Labor Expenditures'!$E$7:$AA$91,MATCH($C35,'Non-Labor Expenditures'!$C$7:$C$91,0),MATCH($G35,'Non-Labor Expenditures'!$E$5:$AA$5,0)),"NA")</f>
        <v>23462.030920548277</v>
      </c>
      <c r="W35" s="125">
        <f t="shared" si="103"/>
        <v>268.42279131589322</v>
      </c>
      <c r="X35" s="131">
        <f>LN(W35/W34)</f>
        <v>-7.2483982271033143E-2</v>
      </c>
      <c r="Y35" s="131"/>
      <c r="Z35" s="131"/>
      <c r="AA35" s="131"/>
      <c r="AB35" s="131"/>
      <c r="AC35" s="125">
        <f t="shared" si="93"/>
        <v>18100.451826873483</v>
      </c>
      <c r="AD35" s="129"/>
      <c r="AE35" s="133">
        <v>1577.0932310574558</v>
      </c>
      <c r="AF35" s="134">
        <v>2.9562181257361778E-2</v>
      </c>
      <c r="AG35" s="59">
        <f t="shared" si="104"/>
        <v>0</v>
      </c>
      <c r="AH35" s="134"/>
      <c r="AI35" s="134"/>
      <c r="AJ35" s="129">
        <f t="shared" si="94"/>
        <v>57763.453049003496</v>
      </c>
      <c r="AK35" s="134">
        <f>LN(AJ35/AJ34)</f>
        <v>1.1658410909054296E-2</v>
      </c>
      <c r="AL35" s="129"/>
      <c r="AM35" s="129"/>
      <c r="AN35" s="129"/>
      <c r="AO35" s="129"/>
      <c r="AP35" s="133"/>
      <c r="AQ35" s="134"/>
      <c r="AR35" s="93">
        <f t="shared" si="105"/>
        <v>0.28047094566589847</v>
      </c>
      <c r="AS35" s="93">
        <f t="shared" si="106"/>
        <v>0.40617431407094579</v>
      </c>
      <c r="AT35" s="93">
        <f t="shared" si="107"/>
        <v>0.31335474026315574</v>
      </c>
      <c r="AU35" s="93">
        <f t="shared" ref="AU35:AU51" ca="1" si="110">+(((AR35+AR34)/2)*M35+((AS34+AS35)/2)*X35+((AT34+AT35)/2)*AF35)</f>
        <v>-4.8154136265114167E-2</v>
      </c>
      <c r="AV35" s="132">
        <v>100</v>
      </c>
      <c r="AW35" s="134"/>
      <c r="AX35" s="15"/>
      <c r="AY35" s="93"/>
      <c r="AZ35" s="93"/>
      <c r="BA35" s="93"/>
      <c r="BB35" s="234">
        <f>IFERROR(INDEX('Total Customers'!$E$7:$AA$91,MATCH($C35,'Total Customers'!$C$7:$C$91,0),MATCH($G35,'Total Customers'!$E$5:$AA$5,0)),"NA")</f>
        <v>291118</v>
      </c>
      <c r="BC35" s="392">
        <f t="shared" si="15"/>
        <v>3.0698130190241792E-2</v>
      </c>
      <c r="BE35" s="281" t="str">
        <f t="shared" si="0"/>
        <v>AVISTA CORPORATION</v>
      </c>
      <c r="BF35" s="290">
        <f t="shared" si="1"/>
        <v>4057075</v>
      </c>
      <c r="BG35" s="46" t="str">
        <f t="shared" si="2"/>
        <v>WA</v>
      </c>
      <c r="BH35" s="46"/>
      <c r="BI35" s="46" t="str">
        <f t="shared" si="3"/>
        <v>2005 Y</v>
      </c>
      <c r="BJ35" s="129"/>
      <c r="BK35" s="129"/>
      <c r="BL35" s="129">
        <f>INDEX('Dist. Plant Gas Additions'!$E$7:$AD$91,MATCH($C35,'Dist. Plant Gas Additions'!$C$7:$C$91,0),MATCH(Calculation!$G35,'Dist. Plant Gas Additions'!$E$5:$AD$5,0))</f>
        <v>24415</v>
      </c>
      <c r="BM35" s="129">
        <f>INDEX('Gen. Plant Additions'!$E$7:$AD$91,MATCH($C35,'Gen. Plant Additions'!$C$7:$C$91,0),MATCH(Calculation!$G35,'Gen. Plant Additions'!$E$5:$AD$5,0))</f>
        <v>1475</v>
      </c>
      <c r="BN35" s="393">
        <f t="shared" si="83"/>
        <v>0.96790116868562892</v>
      </c>
      <c r="BO35" s="46">
        <f t="shared" si="61"/>
        <v>1427.6542238113027</v>
      </c>
      <c r="BP35" s="46">
        <f t="shared" si="62"/>
        <v>-47.3457761886973</v>
      </c>
      <c r="BQ35" s="129">
        <f>INDEX('Dist Plant Depreciation'!$D$7:$AC$94,MATCH($C35,'Dist Plant Depreciation'!$C$7:$C$94,0),MATCH(Calculation!$G35,'Dist Plant Depreciation'!$D$5:$AC$5,0))</f>
        <v>176412</v>
      </c>
      <c r="BR35" s="129">
        <f>INDEX('Gen. Plant Depreciation'!$D$7:$AC$94,MATCH($C35,'Gen. Plant Depreciation'!$C$7:$C$94,0),MATCH(Calculation!$G35,'Gen. Plant Depreciation'!$D$5:$AC$5,0))</f>
        <v>6112</v>
      </c>
      <c r="BS35" s="137">
        <v>1960</v>
      </c>
      <c r="BT35" s="137">
        <f t="shared" si="59"/>
        <v>13</v>
      </c>
      <c r="BU35" s="333">
        <v>58.511065950747266</v>
      </c>
      <c r="BV35" s="93">
        <f t="shared" si="82"/>
        <v>9.8039215686274508E-3</v>
      </c>
      <c r="BW35" s="334">
        <f t="shared" si="60"/>
        <v>0.57363790147791438</v>
      </c>
      <c r="BX35" s="334"/>
      <c r="BY35" s="129">
        <f>INDEX('Gross Dx Plant'!$D$7:$AC$91,MATCH($C35,'Gross Dx Plant'!$C$7:$C$91,0),MATCH(Calculation!$G35,'Gross Dx Plant'!$D$5:$AC$5,0))</f>
        <v>471575</v>
      </c>
      <c r="BZ35" s="129">
        <f>INDEX('Gross Gen Plant'!$D$7:$AC$91,MATCH($C35,'Gross Gen Plant'!$C$7:$C$91,0),MATCH(Calculation!$G35,'Gross Gen Plant'!$D$5:$AC$5,0))</f>
        <v>15639</v>
      </c>
      <c r="CA35" s="129">
        <f t="shared" si="39"/>
        <v>304690</v>
      </c>
      <c r="CB35" s="129"/>
      <c r="CC35" s="133">
        <v>2005</v>
      </c>
      <c r="CD35" s="129"/>
      <c r="CE35" s="129"/>
      <c r="CF35" s="129"/>
      <c r="CG35" s="137"/>
      <c r="CH35" s="129">
        <f t="shared" si="84"/>
        <v>25890</v>
      </c>
      <c r="CI35" s="46">
        <f t="shared" si="16"/>
        <v>25842.654223811303</v>
      </c>
      <c r="CJ35" s="46">
        <f t="shared" si="85"/>
        <v>55.07751727649292</v>
      </c>
      <c r="CK35" s="443">
        <v>0.9263157894736842</v>
      </c>
      <c r="CL35" s="46">
        <f>+CL28*CK35+CJ29*CK34+CJ30*CK33+CJ31*CK32+CJ32*CK31+CJ33*CK30+CJ34*CK29+CJ35</f>
        <v>1526.6952427658707</v>
      </c>
      <c r="CM35" s="134">
        <f t="shared" si="86"/>
        <v>2.501350676281067E-2</v>
      </c>
      <c r="CN35" s="135">
        <f t="shared" si="87"/>
        <v>1.1661107324219966E-2</v>
      </c>
      <c r="CO35" s="135">
        <f t="shared" si="97"/>
        <v>1.1359993207001292E-2</v>
      </c>
      <c r="CP35" s="134">
        <f>VLOOKUP($H35,RoR!$E:$F,2,FALSE)</f>
        <v>5.2350000000000001E-2</v>
      </c>
      <c r="CQ35" s="135">
        <v>3.1010403642454332E-2</v>
      </c>
      <c r="CR35" s="135">
        <f t="shared" si="95"/>
        <v>2.1339596357545669E-2</v>
      </c>
      <c r="CS35" s="135">
        <f t="shared" si="98"/>
        <v>1.9541948401532332E-2</v>
      </c>
      <c r="CT35" s="56">
        <f t="shared" si="99"/>
        <v>9.2129610649277341E-2</v>
      </c>
      <c r="CU35" s="139">
        <f t="shared" si="88"/>
        <v>0.87050000000000005</v>
      </c>
      <c r="CV35" s="335">
        <f t="shared" si="89"/>
        <v>0.97959983346802826</v>
      </c>
      <c r="CW35" s="335">
        <f t="shared" si="90"/>
        <v>0.49744508118433622</v>
      </c>
      <c r="CX35" s="335">
        <f t="shared" si="91"/>
        <v>0.87010519444335932</v>
      </c>
      <c r="CY35" s="335">
        <f t="shared" si="92"/>
        <v>0.42399975420741998</v>
      </c>
      <c r="CZ35" s="336">
        <f>INDEX('State Tax Lookup'!$D$7:$Z$91,MATCH(Calculation!$C35,'State Tax Lookup'!$B$7:$B$91,0),MATCH($H35,'State Tax Lookup'!$D$6:$Z$6,0))</f>
        <v>0.35</v>
      </c>
      <c r="DA35" s="303">
        <v>0.37</v>
      </c>
      <c r="DB35" s="57">
        <f t="shared" si="96"/>
        <v>12.156268714114889</v>
      </c>
      <c r="DC35" s="56">
        <f t="shared" si="100"/>
        <v>0.11355432827548816</v>
      </c>
      <c r="DD35" s="303">
        <f>VLOOKUP($H35,RoR!$E:$F,2,FALSE)</f>
        <v>5.2350000000000001E-2</v>
      </c>
      <c r="DE35" s="304">
        <f>HLOOKUP($H35,'GDP-PI'!$D$8:$CQ$11,3,FALSE)</f>
        <v>3.1010403642454332E-2</v>
      </c>
      <c r="DF35" s="303">
        <f>VLOOKUP(H35,'HW Dx Data'!$E:$F,2,FALSE)</f>
        <v>469.20514034936258</v>
      </c>
      <c r="DG35" s="89">
        <f ca="1">VLOOKUP(CC35,'ECI - Input Price'!M$13:N$33,2,FALSE)</f>
        <v>99.224999999999994</v>
      </c>
      <c r="DH35" s="89"/>
      <c r="DI35" s="89"/>
      <c r="DJ35" s="56">
        <f t="shared" ca="1" si="108"/>
        <v>5.0378726854569796E-2</v>
      </c>
      <c r="DK35" s="53">
        <f>HLOOKUP(H35,'GDP-PI'!$8:$9,2,FALSE)</f>
        <v>87.406999999999996</v>
      </c>
      <c r="DL35" s="355">
        <f t="shared" si="101"/>
        <v>3.0539295810733648E-2</v>
      </c>
      <c r="DO35" s="398">
        <v>0.11665754067445543</v>
      </c>
      <c r="DP35" s="398"/>
      <c r="DQ35" s="398"/>
      <c r="DR35" s="398"/>
      <c r="DS35" s="398"/>
      <c r="DT35" s="398"/>
      <c r="DU35" s="398"/>
      <c r="DV35" s="398"/>
      <c r="DW35" s="398"/>
      <c r="DX35" s="398"/>
      <c r="DY35" s="398"/>
      <c r="EC35">
        <f t="shared" si="20"/>
        <v>2005</v>
      </c>
    </row>
    <row r="36" spans="1:133" s="126" customFormat="1" ht="21" customHeight="1" x14ac:dyDescent="0.4">
      <c r="A36" s="233" t="s">
        <v>179</v>
      </c>
      <c r="B36" s="127" t="s">
        <v>179</v>
      </c>
      <c r="C36" s="127">
        <v>4057075</v>
      </c>
      <c r="D36" s="127" t="s">
        <v>180</v>
      </c>
      <c r="E36" s="127"/>
      <c r="F36" s="127"/>
      <c r="G36" s="127" t="s">
        <v>162</v>
      </c>
      <c r="H36" s="128">
        <v>2006</v>
      </c>
      <c r="I36" s="129"/>
      <c r="J36" s="125">
        <f>IFERROR(INDEX('Labor Expenditures'!$E$7:$W$91,MATCH($C36,'Labor Expenditures'!$C$7:$C$91,0),MATCH($G36,'Labor Expenditures'!$E$5:$W$5,0)),"NA")</f>
        <v>15636.189322591681</v>
      </c>
      <c r="K36" s="125">
        <f t="shared" ca="1" si="102"/>
        <v>142.9267762576936</v>
      </c>
      <c r="L36" s="47"/>
      <c r="M36" s="131">
        <f t="shared" ca="1" si="109"/>
        <v>-0.13310397094365775</v>
      </c>
      <c r="N36" s="59"/>
      <c r="O36" s="59"/>
      <c r="P36" s="59">
        <f t="shared" ref="P36:P52" ca="1" si="111">+M36*$AX36</f>
        <v>-1.0238587409383195E-3</v>
      </c>
      <c r="Q36" s="61"/>
      <c r="R36" s="387"/>
      <c r="S36" s="49">
        <f ca="1">+S35*EXP(T36)</f>
        <v>90.049631655929659</v>
      </c>
      <c r="T36" s="61">
        <f ca="1">+P36+P61+P86+P111+P136+P161+P186+P211+P236+P261+P286+P311+P336+P361+P386+P411+P436+P461+P486+P511+P536+P561+P586+P611+P636+P661+P686+P711+P736+P761+P786+P811+P836+P861+P886+P911+P936+P961+P986+P1011+P1036+P1061+P1086+P1111+P1136+P1161+P1186+P1211+P1236+P1261+P1286+P1311+P1336</f>
        <v>-0.10480920481391844</v>
      </c>
      <c r="U36" s="61">
        <f ca="1">SUMIF(G$36:P$1352,G36,P$36:P$1352)</f>
        <v>-0.10480920481391844</v>
      </c>
      <c r="V36" s="125">
        <f>IFERROR(INDEX('Non-Labor Expenditures'!$E$7:$AA$91,MATCH($C36,'Non-Labor Expenditures'!$C$7:$C$91,0),MATCH($G36,'Non-Labor Expenditures'!$E$5:$AA$5,0)),"NA")</f>
        <v>22644.122576434565</v>
      </c>
      <c r="W36" s="125">
        <f t="shared" si="103"/>
        <v>251.39465968464336</v>
      </c>
      <c r="X36" s="131">
        <f t="shared" ref="X36:X51" si="112">LN(W36/W35)</f>
        <v>-6.553926335036013E-2</v>
      </c>
      <c r="Y36" s="131">
        <f t="shared" ref="Y36:Y52" si="113">+X36*AX36</f>
        <v>-5.0413933694231413E-4</v>
      </c>
      <c r="Z36" s="131"/>
      <c r="AA36" s="131"/>
      <c r="AB36" s="131"/>
      <c r="AC36" s="125">
        <f t="shared" si="93"/>
        <v>17975.194113473568</v>
      </c>
      <c r="AD36" s="129"/>
      <c r="AE36" s="133">
        <v>1646.53835182732</v>
      </c>
      <c r="AF36" s="134">
        <v>4.309169002042549E-2</v>
      </c>
      <c r="AG36" s="59">
        <f t="shared" si="104"/>
        <v>3.3146872460997333E-4</v>
      </c>
      <c r="AH36" s="134"/>
      <c r="AI36" s="134"/>
      <c r="AJ36" s="129">
        <f t="shared" si="94"/>
        <v>56255.506012499813</v>
      </c>
      <c r="AK36" s="134">
        <f t="shared" ref="AK36:AK52" si="114">LN(AJ36/AJ35)</f>
        <v>-2.6452354541208787E-2</v>
      </c>
      <c r="AL36" s="129"/>
      <c r="AM36" s="129"/>
      <c r="AN36" s="129"/>
      <c r="AO36" s="129"/>
      <c r="AP36" s="133">
        <f t="shared" ref="AP36:AP52" si="115">+(AJ36*1000)/BB36</f>
        <v>188.00465875898928</v>
      </c>
      <c r="AQ36" s="134">
        <f>+BB36/Outputs!$B$14</f>
        <v>8.6277825358450268E-3</v>
      </c>
      <c r="AR36" s="93">
        <f t="shared" si="105"/>
        <v>0.27794949207491554</v>
      </c>
      <c r="AS36" s="93">
        <f t="shared" si="106"/>
        <v>0.40252277832863342</v>
      </c>
      <c r="AT36" s="93">
        <f t="shared" si="107"/>
        <v>0.31952772959645109</v>
      </c>
      <c r="AU36" s="93">
        <f t="shared" ca="1" si="110"/>
        <v>-5.002870710914651E-2</v>
      </c>
      <c r="AV36" s="132">
        <f ca="1">+AV35*EXP(AU36)</f>
        <v>95.120211784575091</v>
      </c>
      <c r="AW36" s="134">
        <f ca="1">LN(AV36/AV35)</f>
        <v>-5.0028707109146517E-2</v>
      </c>
      <c r="AX36" s="56">
        <f>+AJ36/$AL$11</f>
        <v>7.6921727705006916E-3</v>
      </c>
      <c r="AY36" s="135">
        <f ca="1">+AX36*AW36</f>
        <v>-3.848294585683312E-4</v>
      </c>
      <c r="AZ36" s="93"/>
      <c r="BA36" s="93"/>
      <c r="BB36" s="234">
        <f>IFERROR(INDEX('Total Customers'!$E$7:$AA$91,MATCH($C36,'Total Customers'!$C$7:$C$91,0),MATCH($G36,'Total Customers'!$E$5:$AA$5,0)),"NA")</f>
        <v>299224</v>
      </c>
      <c r="BC36" s="392">
        <f t="shared" si="15"/>
        <v>2.7463773526032798E-2</v>
      </c>
      <c r="BE36" s="281" t="str">
        <f t="shared" si="0"/>
        <v>AVISTA CORPORATION</v>
      </c>
      <c r="BF36" s="290">
        <f t="shared" si="1"/>
        <v>4057075</v>
      </c>
      <c r="BG36" s="46" t="str">
        <f t="shared" si="2"/>
        <v>WA</v>
      </c>
      <c r="BH36" s="46"/>
      <c r="BI36" s="46" t="str">
        <f t="shared" si="3"/>
        <v>2006 Y</v>
      </c>
      <c r="BJ36" s="129"/>
      <c r="BK36" s="129"/>
      <c r="BL36" s="129">
        <f>INDEX('Dist. Plant Gas Additions'!$E$7:$AD$91,MATCH($C36,'Dist. Plant Gas Additions'!$C$7:$C$91,0),MATCH(Calculation!$G36,'Dist. Plant Gas Additions'!$E$5:$AD$5,0))</f>
        <v>33443</v>
      </c>
      <c r="BM36" s="129">
        <f>INDEX('Gen. Plant Additions'!$E$7:$AD$91,MATCH($C36,'Gen. Plant Additions'!$C$7:$C$91,0),MATCH(Calculation!$G36,'Gen. Plant Additions'!$E$5:$AD$5,0))</f>
        <v>3104</v>
      </c>
      <c r="BN36" s="393">
        <f t="shared" si="83"/>
        <v>0.96440490500677833</v>
      </c>
      <c r="BO36" s="46">
        <f t="shared" si="61"/>
        <v>2993.5128251410401</v>
      </c>
      <c r="BP36" s="46">
        <f t="shared" si="62"/>
        <v>-110.48717485895986</v>
      </c>
      <c r="BQ36" s="129">
        <f>INDEX('Dist Plant Depreciation'!$D$7:$AC$94,MATCH($C36,'Dist Plant Depreciation'!$C$7:$C$94,0),MATCH(Calculation!$G36,'Dist Plant Depreciation'!$D$5:$AC$5,0))</f>
        <v>187384</v>
      </c>
      <c r="BR36" s="129">
        <f>INDEX('Gen. Plant Depreciation'!$D$7:$AC$94,MATCH($C36,'Gen. Plant Depreciation'!$C$7:$C$94,0),MATCH(Calculation!$G36,'Gen. Plant Depreciation'!$D$5:$AC$5,0))</f>
        <v>7898</v>
      </c>
      <c r="BS36" s="137">
        <v>1961</v>
      </c>
      <c r="BT36" s="137">
        <f t="shared" si="59"/>
        <v>14</v>
      </c>
      <c r="BU36" s="333">
        <v>59.629647802968329</v>
      </c>
      <c r="BV36" s="93">
        <f t="shared" si="82"/>
        <v>1.0558069381598794E-2</v>
      </c>
      <c r="BW36" s="334">
        <f t="shared" si="60"/>
        <v>0.62957395870403976</v>
      </c>
      <c r="BX36" s="334"/>
      <c r="BY36" s="129">
        <f>INDEX('Gross Dx Plant'!$D$7:$AC$91,MATCH($C36,'Gross Dx Plant'!$C$7:$C$91,0),MATCH(Calculation!$G36,'Gross Dx Plant'!$D$5:$AC$5,0))</f>
        <v>502237</v>
      </c>
      <c r="BZ36" s="129">
        <f>INDEX('Gross Gen Plant'!$D$7:$AC$91,MATCH($C36,'Gross Gen Plant'!$C$7:$C$91,0),MATCH(Calculation!$G36,'Gross Gen Plant'!$D$5:$AC$5,0))</f>
        <v>18537</v>
      </c>
      <c r="CA36" s="129">
        <f t="shared" si="39"/>
        <v>325492</v>
      </c>
      <c r="CB36" s="134"/>
      <c r="CC36" s="133">
        <v>2006</v>
      </c>
      <c r="CD36" s="129"/>
      <c r="CE36" s="129"/>
      <c r="CF36" s="129"/>
      <c r="CG36" s="137"/>
      <c r="CH36" s="129">
        <f t="shared" si="84"/>
        <v>36547</v>
      </c>
      <c r="CI36" s="46">
        <f t="shared" si="16"/>
        <v>36436.512825141042</v>
      </c>
      <c r="CJ36" s="46">
        <f t="shared" si="85"/>
        <v>79.02330300013378</v>
      </c>
      <c r="CK36" s="443">
        <v>0.91489361702127658</v>
      </c>
      <c r="CL36" s="46">
        <f>+CL28*CK36+CJ29*CK35+CJ30*CK34+CJ31*CK33+CJ32*CK32+CJ33*CK31+CJ34*CK30+CJ35*CK29+CJ36</f>
        <v>1587.443198579502</v>
      </c>
      <c r="CM36" s="134">
        <f t="shared" si="86"/>
        <v>3.901924347049824E-2</v>
      </c>
      <c r="CN36" s="135">
        <f t="shared" si="87"/>
        <v>1.1970527368247752E-2</v>
      </c>
      <c r="CO36" s="135">
        <f t="shared" si="97"/>
        <v>1.1663336317569559E-2</v>
      </c>
      <c r="CP36" s="134">
        <f>VLOOKUP($H36,RoR!$E:$F,2,FALSE)</f>
        <v>5.5874999999999994E-2</v>
      </c>
      <c r="CQ36" s="135">
        <v>3.0512430354548314E-2</v>
      </c>
      <c r="CR36" s="135">
        <f t="shared" si="95"/>
        <v>2.536256964545168E-2</v>
      </c>
      <c r="CS36" s="135">
        <f t="shared" si="98"/>
        <v>1.9238605290964064E-2</v>
      </c>
      <c r="CT36" s="56">
        <f t="shared" si="99"/>
        <v>7.9087823893859641E-2</v>
      </c>
      <c r="CU36" s="139">
        <f t="shared" si="88"/>
        <v>0.87050000000000005</v>
      </c>
      <c r="CV36" s="335">
        <f t="shared" si="89"/>
        <v>0.91779957551769631</v>
      </c>
      <c r="CW36" s="335">
        <f t="shared" si="90"/>
        <v>0.52757270693512304</v>
      </c>
      <c r="CX36" s="335">
        <f t="shared" si="91"/>
        <v>0.88636824549024895</v>
      </c>
      <c r="CY36" s="335">
        <f t="shared" si="92"/>
        <v>0.42918482841932087</v>
      </c>
      <c r="CZ36" s="336">
        <f>INDEX('State Tax Lookup'!$D$7:$Z$91,MATCH(Calculation!$C36,'State Tax Lookup'!$B$7:$B$91,0),MATCH($H36,'State Tax Lookup'!$D$6:$Z$6,0))</f>
        <v>0.35</v>
      </c>
      <c r="DA36" s="303">
        <v>0.37</v>
      </c>
      <c r="DB36" s="57">
        <f t="shared" si="96"/>
        <v>11.773924231864649</v>
      </c>
      <c r="DC36" s="56">
        <f t="shared" si="100"/>
        <v>-3.1957704904325798E-2</v>
      </c>
      <c r="DD36" s="303">
        <f>VLOOKUP($H36,RoR!$E:$F,2,FALSE)</f>
        <v>5.5874999999999994E-2</v>
      </c>
      <c r="DE36" s="304">
        <f>HLOOKUP($H36,'GDP-PI'!$D$8:$CQ$11,3,FALSE)</f>
        <v>3.0512430354548314E-2</v>
      </c>
      <c r="DF36" s="303">
        <f>VLOOKUP(H36,'HW Dx Data'!$E:$F,2,FALSE)</f>
        <v>461.08567272971823</v>
      </c>
      <c r="DG36" s="89">
        <f ca="1">VLOOKUP(CC36,'ECI - Input Price'!M$13:N$33,2,FALSE)</f>
        <v>109.4</v>
      </c>
      <c r="DH36" s="89"/>
      <c r="DI36" s="89"/>
      <c r="DJ36" s="56">
        <f t="shared" ca="1" si="108"/>
        <v>9.7620891318751846E-2</v>
      </c>
      <c r="DK36" s="53">
        <f>HLOOKUP(H36,'GDP-PI'!$8:$9,2,FALSE)</f>
        <v>90.073999999999998</v>
      </c>
      <c r="DL36" s="355">
        <f t="shared" si="101"/>
        <v>3.005618372545445E-2</v>
      </c>
      <c r="DO36" s="398">
        <v>3.7564126000317624E-2</v>
      </c>
      <c r="DP36" s="398"/>
      <c r="DQ36" s="398"/>
      <c r="DR36" s="398"/>
      <c r="DS36" s="398"/>
      <c r="DT36" s="398"/>
      <c r="DU36" s="398"/>
      <c r="DV36" s="398"/>
      <c r="DW36" s="398"/>
      <c r="DX36" s="398"/>
      <c r="DY36" s="398"/>
      <c r="EC36">
        <f t="shared" si="20"/>
        <v>2006</v>
      </c>
    </row>
    <row r="37" spans="1:133" s="126" customFormat="1" ht="21" customHeight="1" x14ac:dyDescent="0.4">
      <c r="A37" s="233" t="s">
        <v>179</v>
      </c>
      <c r="B37" s="127" t="s">
        <v>179</v>
      </c>
      <c r="C37" s="127">
        <v>4057075</v>
      </c>
      <c r="D37" s="127" t="s">
        <v>180</v>
      </c>
      <c r="E37" s="127"/>
      <c r="F37" s="127"/>
      <c r="G37" s="127" t="s">
        <v>163</v>
      </c>
      <c r="H37" s="128">
        <v>2007</v>
      </c>
      <c r="I37" s="129"/>
      <c r="J37" s="125">
        <f>IFERROR(INDEX('Labor Expenditures'!$E$7:$W$91,MATCH($C37,'Labor Expenditures'!$C$7:$C$91,0),MATCH($G37,'Labor Expenditures'!$E$5:$W$5,0)),"NA")</f>
        <v>16673.67666870388</v>
      </c>
      <c r="K37" s="125">
        <f t="shared" ca="1" si="102"/>
        <v>159.5185521999893</v>
      </c>
      <c r="L37" s="47"/>
      <c r="M37" s="131">
        <f t="shared" ca="1" si="109"/>
        <v>0.10982778522092868</v>
      </c>
      <c r="N37" s="59"/>
      <c r="O37" s="59"/>
      <c r="P37" s="59">
        <f t="shared" ca="1" si="111"/>
        <v>8.7023253045412005E-4</v>
      </c>
      <c r="Q37" s="61"/>
      <c r="R37" s="387"/>
      <c r="S37" s="49">
        <f t="shared" ref="S37:S50" ca="1" si="116">+S36*EXP(T37)</f>
        <v>97.377609579017516</v>
      </c>
      <c r="T37" s="61">
        <f ca="1">+P37+P62+P87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</f>
        <v>7.8235321928685431E-2</v>
      </c>
      <c r="U37" s="61">
        <f t="shared" ref="U37:U52" ca="1" si="117">SUMIF(G$36:P$1352,G37,P$36:P$1352)</f>
        <v>7.8235321928685431E-2</v>
      </c>
      <c r="V37" s="125">
        <f>IFERROR(INDEX('Non-Labor Expenditures'!$E$7:$AA$91,MATCH($C37,'Non-Labor Expenditures'!$C$7:$C$91,0),MATCH($G37,'Non-Labor Expenditures'!$E$5:$AA$5,0)),"NA")</f>
        <v>24146.598029511933</v>
      </c>
      <c r="W37" s="125">
        <f t="shared" si="103"/>
        <v>261.04994734493647</v>
      </c>
      <c r="X37" s="131">
        <f t="shared" si="112"/>
        <v>3.7687704525638528E-2</v>
      </c>
      <c r="Y37" s="131">
        <f t="shared" si="113"/>
        <v>2.9862267012285913E-4</v>
      </c>
      <c r="Z37" s="131"/>
      <c r="AA37" s="131"/>
      <c r="AB37" s="131"/>
      <c r="AC37" s="125">
        <f t="shared" si="93"/>
        <v>19917.091508031823</v>
      </c>
      <c r="AD37" s="129"/>
      <c r="AE37" s="133">
        <v>1731.6641435234997</v>
      </c>
      <c r="AF37" s="134">
        <v>5.0407763317496933E-2</v>
      </c>
      <c r="AG37" s="59">
        <f t="shared" si="104"/>
        <v>3.9941145437901967E-4</v>
      </c>
      <c r="AH37" s="134"/>
      <c r="AI37" s="134"/>
      <c r="AJ37" s="129">
        <f t="shared" si="94"/>
        <v>60737.366206247636</v>
      </c>
      <c r="AK37" s="134">
        <f t="shared" si="114"/>
        <v>7.6655175949244495E-2</v>
      </c>
      <c r="AL37" s="129"/>
      <c r="AM37" s="129"/>
      <c r="AN37" s="129"/>
      <c r="AO37" s="129"/>
      <c r="AP37" s="133">
        <f t="shared" si="115"/>
        <v>198.37143577714951</v>
      </c>
      <c r="AQ37" s="134">
        <f>+BB37/Outputs!$B$15</f>
        <v>8.7618815741476591E-3</v>
      </c>
      <c r="AR37" s="93">
        <f t="shared" si="105"/>
        <v>0.27452090385487893</v>
      </c>
      <c r="AS37" s="93">
        <f t="shared" si="106"/>
        <v>0.39755754221407347</v>
      </c>
      <c r="AT37" s="93">
        <f t="shared" si="107"/>
        <v>0.3279215539310476</v>
      </c>
      <c r="AU37" s="93">
        <f t="shared" ca="1" si="110"/>
        <v>6.1733130473313858E-2</v>
      </c>
      <c r="AV37" s="132">
        <f ca="1">+AV36*EXP(AU37)</f>
        <v>101.17731881494846</v>
      </c>
      <c r="AW37" s="134">
        <f ca="1">LN(AV37/AV36)</f>
        <v>6.173313047331392E-2</v>
      </c>
      <c r="AX37" s="56">
        <f>+AJ37/$AL$12</f>
        <v>7.9236099380823113E-3</v>
      </c>
      <c r="AY37" s="135">
        <f ca="1">+AX37*AW37</f>
        <v>4.891492461272821E-4</v>
      </c>
      <c r="AZ37" s="93"/>
      <c r="BA37" s="93"/>
      <c r="BB37" s="234">
        <f>IFERROR(INDEX('Total Customers'!$E$7:$AA$91,MATCH($C37,'Total Customers'!$C$7:$C$91,0),MATCH($G37,'Total Customers'!$E$5:$AA$5,0)),"NA")</f>
        <v>306180</v>
      </c>
      <c r="BC37" s="411">
        <f t="shared" si="15"/>
        <v>2.2980707516832777E-2</v>
      </c>
      <c r="BD37" s="92"/>
      <c r="BE37" s="281" t="str">
        <f t="shared" si="0"/>
        <v>AVISTA CORPORATION</v>
      </c>
      <c r="BF37" s="290">
        <f t="shared" si="1"/>
        <v>4057075</v>
      </c>
      <c r="BG37" s="46" t="str">
        <f t="shared" si="2"/>
        <v>WA</v>
      </c>
      <c r="BH37" s="46"/>
      <c r="BI37" s="46" t="str">
        <f t="shared" si="3"/>
        <v>2007 Y</v>
      </c>
      <c r="BJ37" s="129"/>
      <c r="BK37" s="129"/>
      <c r="BL37" s="129">
        <f>INDEX('Dist. Plant Gas Additions'!$E$7:$AD$91,MATCH($C37,'Dist. Plant Gas Additions'!$C$7:$C$91,0),MATCH(Calculation!$G37,'Dist. Plant Gas Additions'!$E$5:$AD$5,0))</f>
        <v>46636</v>
      </c>
      <c r="BM37" s="129">
        <f>INDEX('Gen. Plant Additions'!$E$7:$AD$91,MATCH($C37,'Gen. Plant Additions'!$C$7:$C$91,0),MATCH(Calculation!$G37,'Gen. Plant Additions'!$E$5:$AD$5,0))</f>
        <v>1008</v>
      </c>
      <c r="BN37" s="393">
        <f t="shared" si="83"/>
        <v>0.96704256221719453</v>
      </c>
      <c r="BO37" s="46">
        <f t="shared" si="61"/>
        <v>974.77890271493209</v>
      </c>
      <c r="BP37" s="46">
        <f t="shared" si="62"/>
        <v>-33.221097285067913</v>
      </c>
      <c r="BQ37" s="129">
        <f>INDEX('Dist Plant Depreciation'!$D$7:$AC$94,MATCH($C37,'Dist Plant Depreciation'!$C$7:$C$94,0),MATCH(Calculation!$G37,'Dist Plant Depreciation'!$D$5:$AC$5,0))</f>
        <v>200085</v>
      </c>
      <c r="BR37" s="129">
        <f>INDEX('Gen. Plant Depreciation'!$D$7:$AC$94,MATCH($C37,'Gen. Plant Depreciation'!$C$7:$C$94,0),MATCH(Calculation!$G37,'Gen. Plant Depreciation'!$D$5:$AC$5,0))</f>
        <v>7904</v>
      </c>
      <c r="BS37" s="137">
        <v>1962</v>
      </c>
      <c r="BT37" s="137">
        <f t="shared" si="59"/>
        <v>15</v>
      </c>
      <c r="BU37" s="333">
        <v>64.986775237393061</v>
      </c>
      <c r="BV37" s="93">
        <f t="shared" si="82"/>
        <v>1.1312217194570135E-2</v>
      </c>
      <c r="BW37" s="334">
        <f t="shared" si="60"/>
        <v>0.73514451626010247</v>
      </c>
      <c r="BX37" s="334"/>
      <c r="BY37" s="129">
        <f>INDEX('Gross Dx Plant'!$D$7:$AC$91,MATCH($C37,'Gross Dx Plant'!$C$7:$C$91,0),MATCH(Calculation!$G37,'Gross Dx Plant'!$D$5:$AC$5,0))</f>
        <v>547114</v>
      </c>
      <c r="BZ37" s="129">
        <f>INDEX('Gross Gen Plant'!$D$7:$AC$91,MATCH($C37,'Gross Gen Plant'!$C$7:$C$91,0),MATCH(Calculation!$G37,'Gross Gen Plant'!$D$5:$AC$5,0))</f>
        <v>18646</v>
      </c>
      <c r="CA37" s="129">
        <f t="shared" si="39"/>
        <v>357771</v>
      </c>
      <c r="CB37" s="129"/>
      <c r="CC37" s="133">
        <v>2007</v>
      </c>
      <c r="CD37" s="129"/>
      <c r="CE37" s="129"/>
      <c r="CF37" s="129"/>
      <c r="CG37" s="137"/>
      <c r="CH37" s="129">
        <f t="shared" si="84"/>
        <v>47644</v>
      </c>
      <c r="CI37" s="46">
        <f t="shared" si="16"/>
        <v>47610.778902714934</v>
      </c>
      <c r="CJ37" s="46">
        <f t="shared" si="85"/>
        <v>95.599689859456745</v>
      </c>
      <c r="CK37" s="443">
        <v>0.90322580645161288</v>
      </c>
      <c r="CL37" s="46">
        <f>+CL28*CK37+CJ29*CK36+CJ30*CK35+CJ31*CK34+CJ32*CK33+CJ33*CK32+CJ34*CK31+CJ35*CK30+CJ36*CK29+CJ37</f>
        <v>1663.5956126422057</v>
      </c>
      <c r="CM37" s="134">
        <f t="shared" si="86"/>
        <v>4.6856620893679396E-2</v>
      </c>
      <c r="CN37" s="135">
        <f t="shared" si="87"/>
        <v>1.2250690805286873E-2</v>
      </c>
      <c r="CO37" s="135">
        <f t="shared" si="97"/>
        <v>1.1960775165918197E-2</v>
      </c>
      <c r="CP37" s="134">
        <f>VLOOKUP($H37,RoR!$E:$F,2,FALSE)</f>
        <v>5.5558333333333321E-2</v>
      </c>
      <c r="CQ37" s="135">
        <v>2.691120634145272E-2</v>
      </c>
      <c r="CR37" s="135">
        <f t="shared" si="95"/>
        <v>2.86471269918806E-2</v>
      </c>
      <c r="CS37" s="135">
        <f t="shared" si="98"/>
        <v>1.8941166442615426E-2</v>
      </c>
      <c r="CT37" s="56">
        <f t="shared" si="99"/>
        <v>6.4575155250632399E-2</v>
      </c>
      <c r="CU37" s="139">
        <f t="shared" si="88"/>
        <v>0.87050000000000005</v>
      </c>
      <c r="CV37" s="335">
        <f t="shared" si="89"/>
        <v>0.92303077153834634</v>
      </c>
      <c r="CW37" s="335">
        <f t="shared" si="90"/>
        <v>0.52502249887505614</v>
      </c>
      <c r="CX37" s="335">
        <f t="shared" si="91"/>
        <v>0.88499666072084604</v>
      </c>
      <c r="CY37" s="335">
        <f t="shared" si="92"/>
        <v>0.42887993290280618</v>
      </c>
      <c r="CZ37" s="336">
        <f>INDEX('State Tax Lookup'!$D$7:$Z$91,MATCH(Calculation!$C37,'State Tax Lookup'!$B$7:$B$91,0),MATCH($H37,'State Tax Lookup'!$D$6:$Z$6,0))</f>
        <v>0.35</v>
      </c>
      <c r="DA37" s="303">
        <v>0.37</v>
      </c>
      <c r="DB37" s="57">
        <f t="shared" si="96"/>
        <v>12.546648299513528</v>
      </c>
      <c r="DC37" s="56">
        <f t="shared" si="100"/>
        <v>6.3566286763326554E-2</v>
      </c>
      <c r="DD37" s="303">
        <f>VLOOKUP($H37,RoR!$E:$F,2,FALSE)</f>
        <v>5.5558333333333321E-2</v>
      </c>
      <c r="DE37" s="304">
        <f>HLOOKUP($H37,'GDP-PI'!$D$8:$CQ$11,3,FALSE)</f>
        <v>2.691120634145272E-2</v>
      </c>
      <c r="DF37" s="303">
        <f>VLOOKUP(H37,'HW Dx Data'!$E:$F,2,FALSE)</f>
        <v>498.0223154772637</v>
      </c>
      <c r="DG37" s="89">
        <f ca="1">VLOOKUP(CC37,'ECI - Input Price'!M$13:N$33,2,FALSE)</f>
        <v>104.52499999999999</v>
      </c>
      <c r="DH37" s="89"/>
      <c r="DI37" s="89"/>
      <c r="DJ37" s="56">
        <f t="shared" ca="1" si="108"/>
        <v>-4.5584612745252218E-2</v>
      </c>
      <c r="DK37" s="53">
        <f>HLOOKUP(H37,'GDP-PI'!$8:$9,2,FALSE)</f>
        <v>92.498000000000005</v>
      </c>
      <c r="DL37" s="355">
        <f t="shared" si="101"/>
        <v>2.6555467950038037E-2</v>
      </c>
      <c r="DO37" s="398">
        <v>1.1105433028856712E-2</v>
      </c>
      <c r="DP37" s="398"/>
      <c r="DQ37" s="398"/>
      <c r="DR37" s="398"/>
      <c r="DS37" s="398"/>
      <c r="DT37" s="398"/>
      <c r="DU37" s="398"/>
      <c r="DV37" s="398"/>
      <c r="DW37" s="398"/>
      <c r="DX37" s="398"/>
      <c r="DY37" s="398"/>
      <c r="EC37">
        <f t="shared" si="20"/>
        <v>2007</v>
      </c>
    </row>
    <row r="38" spans="1:133" s="126" customFormat="1" ht="21" customHeight="1" x14ac:dyDescent="0.4">
      <c r="A38" s="233" t="s">
        <v>179</v>
      </c>
      <c r="B38" s="127" t="s">
        <v>179</v>
      </c>
      <c r="C38" s="127">
        <v>4057075</v>
      </c>
      <c r="D38" s="127" t="s">
        <v>180</v>
      </c>
      <c r="E38" s="127"/>
      <c r="F38" s="127"/>
      <c r="G38" s="127" t="s">
        <v>164</v>
      </c>
      <c r="H38" s="128">
        <v>2008</v>
      </c>
      <c r="I38" s="129"/>
      <c r="J38" s="125">
        <f>IFERROR(INDEX('Labor Expenditures'!$E$7:$W$91,MATCH($C38,'Labor Expenditures'!$C$7:$C$91,0),MATCH($G38,'Labor Expenditures'!$E$5:$W$5,0)),"NA")</f>
        <v>17331.203797770282</v>
      </c>
      <c r="K38" s="125">
        <f t="shared" ca="1" si="102"/>
        <v>160.62283408498871</v>
      </c>
      <c r="L38" s="47"/>
      <c r="M38" s="131">
        <f t="shared" ca="1" si="109"/>
        <v>6.8987410684397945E-3</v>
      </c>
      <c r="N38" s="59"/>
      <c r="O38" s="59"/>
      <c r="P38" s="59">
        <f t="shared" ca="1" si="111"/>
        <v>5.6254410581088334E-5</v>
      </c>
      <c r="Q38" s="61"/>
      <c r="R38" s="387"/>
      <c r="S38" s="49">
        <f t="shared" ca="1" si="116"/>
        <v>96.217231414200498</v>
      </c>
      <c r="T38" s="61">
        <f ca="1">+P38+P63+P88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</f>
        <v>-1.1987840741664988E-2</v>
      </c>
      <c r="U38" s="61">
        <f t="shared" ca="1" si="117"/>
        <v>-1.1987840741664988E-2</v>
      </c>
      <c r="V38" s="125">
        <f>IFERROR(INDEX('Non-Labor Expenditures'!$E$7:$AA$91,MATCH($C38,'Non-Labor Expenditures'!$C$7:$C$91,0),MATCH($G38,'Non-Labor Expenditures'!$E$5:$AA$5,0)),"NA")</f>
        <v>25098.820121527559</v>
      </c>
      <c r="W38" s="125">
        <f t="shared" si="103"/>
        <v>266.26092804811549</v>
      </c>
      <c r="X38" s="131">
        <f t="shared" si="112"/>
        <v>1.9765002341867587E-2</v>
      </c>
      <c r="Y38" s="131">
        <f t="shared" si="113"/>
        <v>1.6116977660781369E-4</v>
      </c>
      <c r="Z38" s="131"/>
      <c r="AA38" s="131"/>
      <c r="AB38" s="131"/>
      <c r="AC38" s="125">
        <f t="shared" si="93"/>
        <v>23535.785015624693</v>
      </c>
      <c r="AD38" s="129"/>
      <c r="AE38" s="133">
        <v>1819.9655646107155</v>
      </c>
      <c r="AF38" s="134">
        <v>4.9734701544665014E-2</v>
      </c>
      <c r="AG38" s="59">
        <f t="shared" si="104"/>
        <v>4.0555172212808067E-4</v>
      </c>
      <c r="AH38" s="134"/>
      <c r="AI38" s="134"/>
      <c r="AJ38" s="129">
        <f t="shared" si="94"/>
        <v>65965.808934922534</v>
      </c>
      <c r="AK38" s="134">
        <f t="shared" si="114"/>
        <v>8.2577464443393409E-2</v>
      </c>
      <c r="AL38" s="129"/>
      <c r="AM38" s="129"/>
      <c r="AN38" s="129"/>
      <c r="AO38" s="129"/>
      <c r="AP38" s="133">
        <f t="shared" si="115"/>
        <v>211.95059934364889</v>
      </c>
      <c r="AQ38" s="134">
        <f>+BB38/Outputs!$B$16</f>
        <v>8.8588344424191841E-3</v>
      </c>
      <c r="AR38" s="93">
        <f t="shared" si="105"/>
        <v>0.26273010333077385</v>
      </c>
      <c r="AS38" s="93">
        <f t="shared" si="106"/>
        <v>0.38048226083740411</v>
      </c>
      <c r="AT38" s="93">
        <f t="shared" si="107"/>
        <v>0.35678763583182205</v>
      </c>
      <c r="AU38" s="93">
        <f t="shared" ca="1" si="110"/>
        <v>2.656906065722834E-2</v>
      </c>
      <c r="AV38" s="132">
        <f ca="1">+AV37*EXP(AU38)</f>
        <v>103.90153481219333</v>
      </c>
      <c r="AW38" s="134">
        <f ca="1">LN(AV38/AV37)</f>
        <v>2.656906065722827E-2</v>
      </c>
      <c r="AX38" s="56">
        <f>+AJ38/$AL$13</f>
        <v>8.1543009112836178E-3</v>
      </c>
      <c r="AY38" s="135">
        <f t="shared" ref="AY38:AY51" ca="1" si="118">+AX38*AW38</f>
        <v>2.1665211552918619E-4</v>
      </c>
      <c r="AZ38" s="93"/>
      <c r="BA38" s="93"/>
      <c r="BB38" s="234">
        <f>IFERROR(INDEX('Total Customers'!$E$7:$AA$91,MATCH($C38,'Total Customers'!$C$7:$C$91,0),MATCH($G38,'Total Customers'!$E$5:$AA$5,0)),"NA")</f>
        <v>311232</v>
      </c>
      <c r="BC38" s="411">
        <f t="shared" si="15"/>
        <v>1.6365450477385524E-2</v>
      </c>
      <c r="BD38" s="92"/>
      <c r="BE38" s="281" t="str">
        <f t="shared" si="0"/>
        <v>AVISTA CORPORATION</v>
      </c>
      <c r="BF38" s="290">
        <f t="shared" si="1"/>
        <v>4057075</v>
      </c>
      <c r="BG38" s="46" t="str">
        <f t="shared" si="2"/>
        <v>WA</v>
      </c>
      <c r="BH38" s="46"/>
      <c r="BI38" s="46" t="str">
        <f t="shared" si="3"/>
        <v>2008 Y</v>
      </c>
      <c r="BJ38" s="129"/>
      <c r="BK38" s="129"/>
      <c r="BL38" s="129">
        <f>INDEX('Dist. Plant Gas Additions'!$E$7:$AD$91,MATCH($C38,'Dist. Plant Gas Additions'!$C$7:$C$91,0),MATCH(Calculation!$G38,'Dist. Plant Gas Additions'!$E$5:$AD$5,0))</f>
        <v>54381</v>
      </c>
      <c r="BM38" s="129">
        <f>INDEX('Gen. Plant Additions'!$E$7:$AD$91,MATCH($C38,'Gen. Plant Additions'!$C$7:$C$91,0),MATCH(Calculation!$G38,'Gen. Plant Additions'!$E$5:$AD$5,0))</f>
        <v>2422</v>
      </c>
      <c r="BN38" s="393">
        <f t="shared" si="83"/>
        <v>0.96714349791702292</v>
      </c>
      <c r="BO38" s="46">
        <f t="shared" si="61"/>
        <v>2342.4215519550294</v>
      </c>
      <c r="BP38" s="46">
        <f t="shared" si="62"/>
        <v>-79.578448044970628</v>
      </c>
      <c r="BQ38" s="129">
        <f>INDEX('Dist Plant Depreciation'!$D$7:$AC$94,MATCH($C38,'Dist Plant Depreciation'!$C$7:$C$94,0),MATCH(Calculation!$G38,'Dist Plant Depreciation'!$D$5:$AC$5,0))</f>
        <v>168874</v>
      </c>
      <c r="BR38" s="129">
        <f>INDEX('Gen. Plant Depreciation'!$D$7:$AC$94,MATCH($C38,'Gen. Plant Depreciation'!$C$7:$C$94,0),MATCH(Calculation!$G38,'Gen. Plant Depreciation'!$D$5:$AC$5,0))</f>
        <v>48618</v>
      </c>
      <c r="BS38" s="137">
        <v>1963</v>
      </c>
      <c r="BT38" s="137">
        <f t="shared" si="59"/>
        <v>16</v>
      </c>
      <c r="BU38" s="333">
        <v>66.067760209098495</v>
      </c>
      <c r="BV38" s="93">
        <f t="shared" si="82"/>
        <v>1.2066365007541479E-2</v>
      </c>
      <c r="BW38" s="334">
        <f t="shared" si="60"/>
        <v>0.79719770991370731</v>
      </c>
      <c r="BX38" s="334"/>
      <c r="BY38" s="129">
        <f>INDEX('Gross Dx Plant'!$D$7:$AC$91,MATCH($C38,'Gross Dx Plant'!$C$7:$C$91,0),MATCH(Calculation!$G38,'Gross Dx Plant'!$D$5:$AC$5,0))</f>
        <v>599422</v>
      </c>
      <c r="BZ38" s="129">
        <f>INDEX('Gross Gen Plant'!$D$7:$AC$91,MATCH($C38,'Gross Gen Plant'!$C$7:$C$91,0),MATCH(Calculation!$G38,'Gross Gen Plant'!$D$5:$AC$5,0))</f>
        <v>20364</v>
      </c>
      <c r="CA38" s="129">
        <f t="shared" si="39"/>
        <v>402294</v>
      </c>
      <c r="CB38" s="129"/>
      <c r="CC38" s="133">
        <v>2008</v>
      </c>
      <c r="CD38" s="129"/>
      <c r="CE38" s="129"/>
      <c r="CF38" s="129"/>
      <c r="CG38" s="137"/>
      <c r="CH38" s="129">
        <f t="shared" si="84"/>
        <v>56803</v>
      </c>
      <c r="CI38" s="46">
        <f t="shared" si="16"/>
        <v>56723.421551955027</v>
      </c>
      <c r="CJ38" s="46">
        <f t="shared" si="85"/>
        <v>99.535519367877143</v>
      </c>
      <c r="CK38" s="443">
        <v>0.89130434782608692</v>
      </c>
      <c r="CL38" s="46">
        <f>+CL28*CK38+CJ29*CK37+CJ30*CK36+CJ31*CK35+CJ32*CK34+CJ33*CK33+CJ34*CK32+CJ35*CK31+CJ36*CK30+CJ37*CK29+CJ38</f>
        <v>1742.3195646377123</v>
      </c>
      <c r="CM38" s="134">
        <f t="shared" si="86"/>
        <v>4.6236016969246965E-2</v>
      </c>
      <c r="CN38" s="135">
        <f t="shared" si="87"/>
        <v>1.2509991739709193E-2</v>
      </c>
      <c r="CO38" s="135">
        <f t="shared" si="97"/>
        <v>1.2243736637747941E-2</v>
      </c>
      <c r="CP38" s="134">
        <f>VLOOKUP($H38,RoR!$E:$F,2,FALSE)</f>
        <v>5.6316666666666668E-2</v>
      </c>
      <c r="CQ38" s="135">
        <v>1.9092304698479889E-2</v>
      </c>
      <c r="CR38" s="135">
        <f t="shared" si="95"/>
        <v>3.7224361968186778E-2</v>
      </c>
      <c r="CS38" s="135">
        <f t="shared" si="98"/>
        <v>1.8658204970785686E-2</v>
      </c>
      <c r="CT38" s="56">
        <f t="shared" si="99"/>
        <v>6.9030581091053131E-2</v>
      </c>
      <c r="CU38" s="139">
        <f t="shared" si="88"/>
        <v>0.87050000000000005</v>
      </c>
      <c r="CV38" s="335">
        <f t="shared" si="89"/>
        <v>0.91060168006009956</v>
      </c>
      <c r="CW38" s="335">
        <f t="shared" si="90"/>
        <v>0.53108168097070152</v>
      </c>
      <c r="CX38" s="335">
        <f t="shared" si="91"/>
        <v>0.88825329850328805</v>
      </c>
      <c r="CY38" s="335">
        <f t="shared" si="92"/>
        <v>0.4295627335323573</v>
      </c>
      <c r="CZ38" s="336">
        <f>INDEX('State Tax Lookup'!$D$7:$Z$91,MATCH(Calculation!$C38,'State Tax Lookup'!$B$7:$B$91,0),MATCH($H38,'State Tax Lookup'!$D$6:$Z$6,0))</f>
        <v>0.35</v>
      </c>
      <c r="DA38" s="303">
        <v>0.37</v>
      </c>
      <c r="DB38" s="57">
        <f t="shared" si="96"/>
        <v>14.147539724659397</v>
      </c>
      <c r="DC38" s="56">
        <f t="shared" si="100"/>
        <v>0.12008717578211832</v>
      </c>
      <c r="DD38" s="303">
        <f>VLOOKUP($H38,RoR!$E:$F,2,FALSE)</f>
        <v>5.6316666666666668E-2</v>
      </c>
      <c r="DE38" s="304">
        <f>HLOOKUP($H38,'GDP-PI'!$D$8:$CQ$11,3,FALSE)</f>
        <v>1.9092304698479889E-2</v>
      </c>
      <c r="DF38" s="303">
        <f>VLOOKUP(H38,'HW Dx Data'!$E:$F,2,FALSE)</f>
        <v>569.88120333515076</v>
      </c>
      <c r="DG38" s="89">
        <f ca="1">VLOOKUP(CC38,'ECI - Input Price'!M$13:N$33,2,FALSE)</f>
        <v>107.9</v>
      </c>
      <c r="DH38" s="89"/>
      <c r="DI38" s="89"/>
      <c r="DJ38" s="56">
        <f t="shared" ca="1" si="108"/>
        <v>3.1778595021460486E-2</v>
      </c>
      <c r="DK38" s="53">
        <f>HLOOKUP(H38,'GDP-PI'!$8:$9,2,FALSE)</f>
        <v>94.263999999999996</v>
      </c>
      <c r="DL38" s="355">
        <f t="shared" si="101"/>
        <v>1.8912333748032254E-2</v>
      </c>
      <c r="DO38" s="398">
        <v>1.1207959651333104E-2</v>
      </c>
      <c r="DP38" s="398"/>
      <c r="DQ38" s="398"/>
      <c r="DR38" s="398"/>
      <c r="DS38" s="398"/>
      <c r="DT38" s="398"/>
      <c r="DU38" s="398"/>
      <c r="DV38" s="398"/>
      <c r="DW38" s="398"/>
      <c r="DX38" s="398"/>
      <c r="DY38" s="398"/>
      <c r="EC38">
        <f t="shared" si="20"/>
        <v>2008</v>
      </c>
    </row>
    <row r="39" spans="1:133" s="126" customFormat="1" ht="21" customHeight="1" x14ac:dyDescent="0.4">
      <c r="A39" s="233" t="s">
        <v>179</v>
      </c>
      <c r="B39" s="127" t="s">
        <v>179</v>
      </c>
      <c r="C39" s="127">
        <v>4057075</v>
      </c>
      <c r="D39" s="127" t="s">
        <v>180</v>
      </c>
      <c r="E39" s="127"/>
      <c r="F39" s="127"/>
      <c r="G39" s="127" t="s">
        <v>165</v>
      </c>
      <c r="H39" s="128">
        <v>2009</v>
      </c>
      <c r="I39" s="129"/>
      <c r="J39" s="125">
        <f>IFERROR(INDEX('Labor Expenditures'!$E$7:$W$91,MATCH($C39,'Labor Expenditures'!$C$7:$C$91,0),MATCH($G39,'Labor Expenditures'!$E$5:$W$5,0)),"NA")</f>
        <v>18782.995856106085</v>
      </c>
      <c r="K39" s="125">
        <f t="shared" ca="1" si="102"/>
        <v>169.3305914456262</v>
      </c>
      <c r="L39" s="47"/>
      <c r="M39" s="131">
        <f t="shared" ca="1" si="109"/>
        <v>5.2793995266257131E-2</v>
      </c>
      <c r="N39" s="59"/>
      <c r="O39" s="59"/>
      <c r="P39" s="59">
        <f t="shared" ca="1" si="111"/>
        <v>4.3374456436399213E-4</v>
      </c>
      <c r="Q39" s="61"/>
      <c r="R39" s="387"/>
      <c r="S39" s="49">
        <f t="shared" ca="1" si="116"/>
        <v>101.11652627951567</v>
      </c>
      <c r="T39" s="61">
        <f ca="1">+P39+P64+P89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</f>
        <v>4.9665114989973676E-2</v>
      </c>
      <c r="U39" s="61">
        <f t="shared" ca="1" si="117"/>
        <v>4.9665114989973676E-2</v>
      </c>
      <c r="V39" s="125">
        <f>IFERROR(INDEX('Non-Labor Expenditures'!$E$7:$AA$91,MATCH($C39,'Non-Labor Expenditures'!$C$7:$C$91,0),MATCH($G39,'Non-Labor Expenditures'!$E$5:$AA$5,0)),"NA")</f>
        <v>27201.286179350995</v>
      </c>
      <c r="W39" s="125">
        <f t="shared" si="103"/>
        <v>286.33234222834972</v>
      </c>
      <c r="X39" s="131">
        <f t="shared" si="112"/>
        <v>7.2676411448831732E-2</v>
      </c>
      <c r="Y39" s="131">
        <f t="shared" si="113"/>
        <v>5.9709439045920148E-4</v>
      </c>
      <c r="Z39" s="131"/>
      <c r="AA39" s="131"/>
      <c r="AB39" s="131"/>
      <c r="AC39" s="125">
        <f t="shared" si="93"/>
        <v>23495.238192027929</v>
      </c>
      <c r="AD39" s="129"/>
      <c r="AE39" s="133">
        <v>1877.2813861648665</v>
      </c>
      <c r="AF39" s="134">
        <v>3.1007078716805098E-2</v>
      </c>
      <c r="AG39" s="59">
        <f t="shared" si="104"/>
        <v>2.5474775648996127E-4</v>
      </c>
      <c r="AH39" s="134"/>
      <c r="AI39" s="134"/>
      <c r="AJ39" s="129">
        <f t="shared" si="94"/>
        <v>69479.520227485016</v>
      </c>
      <c r="AK39" s="134">
        <f t="shared" si="114"/>
        <v>5.1895474806864586E-2</v>
      </c>
      <c r="AL39" s="129"/>
      <c r="AM39" s="129"/>
      <c r="AN39" s="129"/>
      <c r="AO39" s="129"/>
      <c r="AP39" s="133">
        <f t="shared" si="115"/>
        <v>221.04357027753127</v>
      </c>
      <c r="AQ39" s="134">
        <f>+BB39/Outputs!$B$17</f>
        <v>8.9354676306235593E-3</v>
      </c>
      <c r="AR39" s="93">
        <f t="shared" si="105"/>
        <v>0.27033859466225596</v>
      </c>
      <c r="AS39" s="93">
        <f t="shared" si="106"/>
        <v>0.39150077735554928</v>
      </c>
      <c r="AT39" s="93">
        <f t="shared" si="107"/>
        <v>0.33816062798219465</v>
      </c>
      <c r="AU39" s="93">
        <f t="shared" ca="1" si="110"/>
        <v>5.2898049376926187E-2</v>
      </c>
      <c r="AV39" s="132">
        <f t="shared" ref="AV39:AV51" ca="1" si="119">+AV38*EXP(AU39)</f>
        <v>109.54568965873723</v>
      </c>
      <c r="AW39" s="134">
        <f t="shared" ref="AW39:AW51" ca="1" si="120">LN(AV39/AV38)</f>
        <v>5.2898049376926243E-2</v>
      </c>
      <c r="AX39" s="56">
        <f>+AJ39/$AL$14</f>
        <v>8.2157935230413714E-3</v>
      </c>
      <c r="AY39" s="135">
        <f t="shared" ca="1" si="118"/>
        <v>4.3459945145247325E-4</v>
      </c>
      <c r="AZ39" s="93"/>
      <c r="BA39" s="93"/>
      <c r="BB39" s="234">
        <f>IFERROR(INDEX('Total Customers'!$E$7:$AA$91,MATCH($C39,'Total Customers'!$C$7:$C$91,0),MATCH($G39,'Total Customers'!$E$5:$AA$5,0)),"NA")</f>
        <v>314325</v>
      </c>
      <c r="BC39" s="411">
        <f t="shared" si="15"/>
        <v>9.8888676979242713E-3</v>
      </c>
      <c r="BD39" s="92"/>
      <c r="BE39" s="281" t="str">
        <f t="shared" si="0"/>
        <v>AVISTA CORPORATION</v>
      </c>
      <c r="BF39" s="290">
        <f t="shared" si="1"/>
        <v>4057075</v>
      </c>
      <c r="BG39" s="46" t="str">
        <f t="shared" si="2"/>
        <v>WA</v>
      </c>
      <c r="BH39" s="46"/>
      <c r="BI39" s="46" t="str">
        <f t="shared" si="3"/>
        <v>2009 Y</v>
      </c>
      <c r="BJ39" s="129"/>
      <c r="BK39" s="129"/>
      <c r="BL39" s="129">
        <f>INDEX('Dist. Plant Gas Additions'!$E$7:$AD$91,MATCH($C39,'Dist. Plant Gas Additions'!$C$7:$C$91,0),MATCH(Calculation!$G39,'Dist. Plant Gas Additions'!$E$5:$AD$5,0))</f>
        <v>35762</v>
      </c>
      <c r="BM39" s="129">
        <f>INDEX('Gen. Plant Additions'!$E$7:$AD$91,MATCH($C39,'Gen. Plant Additions'!$C$7:$C$91,0),MATCH(Calculation!$G39,'Gen. Plant Additions'!$E$5:$AD$5,0))</f>
        <v>2570</v>
      </c>
      <c r="BN39" s="393">
        <f t="shared" si="83"/>
        <v>0.96529183212954939</v>
      </c>
      <c r="BO39" s="46">
        <f t="shared" si="61"/>
        <v>2480.8000085729418</v>
      </c>
      <c r="BP39" s="46">
        <f t="shared" si="62"/>
        <v>-89.199991427058194</v>
      </c>
      <c r="BQ39" s="129">
        <f>INDEX('Dist Plant Depreciation'!$D$7:$AC$94,MATCH($C39,'Dist Plant Depreciation'!$C$7:$C$94,0),MATCH(Calculation!$G39,'Dist Plant Depreciation'!$D$5:$AC$5,0))</f>
        <v>217067</v>
      </c>
      <c r="BR39" s="129">
        <f>INDEX('Gen. Plant Depreciation'!$D$7:$AC$94,MATCH($C39,'Gen. Plant Depreciation'!$C$7:$C$94,0),MATCH(Calculation!$G39,'Gen. Plant Depreciation'!$D$5:$AC$5,0))</f>
        <v>8906</v>
      </c>
      <c r="BS39" s="137">
        <v>1964</v>
      </c>
      <c r="BT39" s="137">
        <f t="shared" si="59"/>
        <v>17</v>
      </c>
      <c r="BU39" s="333">
        <v>67.328840099292009</v>
      </c>
      <c r="BV39" s="93">
        <f t="shared" si="82"/>
        <v>1.282051282051282E-2</v>
      </c>
      <c r="BW39" s="334">
        <f t="shared" si="60"/>
        <v>0.86319025768323088</v>
      </c>
      <c r="BX39" s="334"/>
      <c r="BY39" s="129">
        <f>INDEX('Gross Dx Plant'!$D$7:$AC$91,MATCH($C39,'Gross Dx Plant'!$C$7:$C$91,0),MATCH(Calculation!$G39,'Gross Dx Plant'!$D$5:$AC$5,0))</f>
        <v>630546</v>
      </c>
      <c r="BZ39" s="129">
        <f>INDEX('Gross Gen Plant'!$D$7:$AC$91,MATCH($C39,'Gross Gen Plant'!$C$7:$C$91,0),MATCH(Calculation!$G39,'Gross Gen Plant'!$D$5:$AC$5,0))</f>
        <v>22672</v>
      </c>
      <c r="CA39" s="129">
        <f t="shared" si="39"/>
        <v>427245</v>
      </c>
      <c r="CB39" s="129"/>
      <c r="CC39" s="133">
        <v>2009</v>
      </c>
      <c r="CD39" s="129"/>
      <c r="CE39" s="129"/>
      <c r="CF39" s="129"/>
      <c r="CG39" s="137"/>
      <c r="CH39" s="129">
        <f t="shared" si="84"/>
        <v>38332</v>
      </c>
      <c r="CI39" s="46">
        <f t="shared" si="16"/>
        <v>38242.800008572944</v>
      </c>
      <c r="CJ39" s="46">
        <f t="shared" si="85"/>
        <v>69.413649047399829</v>
      </c>
      <c r="CK39" s="443">
        <v>0.87912087912087911</v>
      </c>
      <c r="CL39" s="46">
        <f>+CL28*CK39+CJ29*CK38+CJ30*CK37+CJ31*CK36+CJ32*CK35+CJ33*CK34+CJ34*CK33+CJ35*CK32+CJ36*CK31+CJ37*CK30+CJ38*CK29+CJ39</f>
        <v>1789.4858402906489</v>
      </c>
      <c r="CM39" s="134">
        <f t="shared" si="86"/>
        <v>2.6711029945105345E-2</v>
      </c>
      <c r="CN39" s="135">
        <f t="shared" si="87"/>
        <v>1.2768824873460741E-2</v>
      </c>
      <c r="CO39" s="135">
        <f t="shared" si="97"/>
        <v>1.2509835806152269E-2</v>
      </c>
      <c r="CP39" s="134">
        <f>VLOOKUP($H39,RoR!$E:$F,2,FALSE)</f>
        <v>5.3133333333333324E-2</v>
      </c>
      <c r="CQ39" s="135">
        <v>7.7972502758210105E-3</v>
      </c>
      <c r="CR39" s="135">
        <f t="shared" si="95"/>
        <v>4.5336083057512314E-2</v>
      </c>
      <c r="CS39" s="135">
        <f t="shared" si="98"/>
        <v>1.8392105802381355E-2</v>
      </c>
      <c r="CT39" s="56">
        <f t="shared" si="99"/>
        <v>6.3720160300892073E-2</v>
      </c>
      <c r="CU39" s="139">
        <f t="shared" si="88"/>
        <v>0.87050000000000005</v>
      </c>
      <c r="CV39" s="335">
        <f t="shared" si="89"/>
        <v>0.96515780330083989</v>
      </c>
      <c r="CW39" s="335">
        <f t="shared" si="90"/>
        <v>0.50448557089084056</v>
      </c>
      <c r="CX39" s="335">
        <f t="shared" si="91"/>
        <v>0.87391435735465484</v>
      </c>
      <c r="CY39" s="335">
        <f t="shared" si="92"/>
        <v>0.42551605393279146</v>
      </c>
      <c r="CZ39" s="336">
        <f>INDEX('State Tax Lookup'!$D$7:$Z$91,MATCH(Calculation!$C39,'State Tax Lookup'!$B$7:$B$91,0),MATCH($H39,'State Tax Lookup'!$D$6:$Z$6,0))</f>
        <v>0.35</v>
      </c>
      <c r="DA39" s="303">
        <v>0.37</v>
      </c>
      <c r="DB39" s="57">
        <f t="shared" si="96"/>
        <v>13.485033784209035</v>
      </c>
      <c r="DC39" s="56">
        <f t="shared" si="100"/>
        <v>-4.7960276016873769E-2</v>
      </c>
      <c r="DD39" s="303">
        <f>VLOOKUP($H39,RoR!$E:$F,2,FALSE)</f>
        <v>5.3133333333333324E-2</v>
      </c>
      <c r="DE39" s="304">
        <f>HLOOKUP($H39,'GDP-PI'!$D$8:$CQ$11,3,FALSE)</f>
        <v>7.7972502758210105E-3</v>
      </c>
      <c r="DF39" s="303">
        <f>VLOOKUP(H39,'HW Dx Data'!$E:$F,2,FALSE)</f>
        <v>550.94063679692806</v>
      </c>
      <c r="DG39" s="89">
        <f ca="1">VLOOKUP(CC39,'ECI - Input Price'!M$13:N$33,2,FALSE)</f>
        <v>110.925</v>
      </c>
      <c r="DH39" s="89"/>
      <c r="DI39" s="89"/>
      <c r="DJ39" s="56">
        <f t="shared" ca="1" si="108"/>
        <v>2.7649425000884052E-2</v>
      </c>
      <c r="DK39" s="53">
        <f>HLOOKUP(H39,'GDP-PI'!$8:$9,2,FALSE)</f>
        <v>94.998999999999995</v>
      </c>
      <c r="DL39" s="355">
        <f t="shared" si="101"/>
        <v>7.7670088183096342E-3</v>
      </c>
      <c r="DO39" s="398">
        <v>5.8022112046579803E-2</v>
      </c>
      <c r="DP39" s="398"/>
      <c r="DQ39" s="398"/>
      <c r="DR39" s="398"/>
      <c r="DS39" s="398"/>
      <c r="DT39" s="398"/>
      <c r="DU39" s="398"/>
      <c r="DV39" s="398"/>
      <c r="DW39" s="398"/>
      <c r="DX39" s="398"/>
      <c r="DY39" s="398"/>
      <c r="EC39">
        <f t="shared" si="20"/>
        <v>2009</v>
      </c>
    </row>
    <row r="40" spans="1:133" s="126" customFormat="1" ht="21" customHeight="1" x14ac:dyDescent="0.4">
      <c r="A40" s="233" t="s">
        <v>179</v>
      </c>
      <c r="B40" s="127" t="s">
        <v>179</v>
      </c>
      <c r="C40" s="127">
        <v>4057075</v>
      </c>
      <c r="D40" s="127" t="s">
        <v>180</v>
      </c>
      <c r="E40" s="127"/>
      <c r="F40" s="127"/>
      <c r="G40" s="127" t="s">
        <v>166</v>
      </c>
      <c r="H40" s="128">
        <v>2010</v>
      </c>
      <c r="I40" s="129"/>
      <c r="J40" s="125">
        <f>IFERROR(INDEX('Labor Expenditures'!$E$7:$W$91,MATCH($C40,'Labor Expenditures'!$C$7:$C$91,0),MATCH($G40,'Labor Expenditures'!$E$5:$W$5,0)),"NA")</f>
        <v>20202.713299159044</v>
      </c>
      <c r="K40" s="125">
        <f t="shared" ca="1" si="102"/>
        <v>172.78352190856569</v>
      </c>
      <c r="L40" s="47"/>
      <c r="M40" s="131">
        <f t="shared" ca="1" si="109"/>
        <v>2.0186525968498313E-2</v>
      </c>
      <c r="N40" s="59"/>
      <c r="O40" s="59"/>
      <c r="P40" s="59">
        <f t="shared" ca="1" si="111"/>
        <v>1.7145871701717533E-4</v>
      </c>
      <c r="Q40" s="61"/>
      <c r="R40" s="387"/>
      <c r="S40" s="49">
        <f t="shared" ca="1" si="116"/>
        <v>98.963303612872238</v>
      </c>
      <c r="T40" s="61">
        <f ca="1">+P40+P65+P90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</f>
        <v>-2.1524466508944438E-2</v>
      </c>
      <c r="U40" s="61">
        <f t="shared" ca="1" si="117"/>
        <v>-2.1524466508944438E-2</v>
      </c>
      <c r="V40" s="125">
        <f>IFERROR(INDEX('Non-Labor Expenditures'!$E$7:$AA$91,MATCH($C40,'Non-Labor Expenditures'!$C$7:$C$91,0),MATCH($G40,'Non-Labor Expenditures'!$E$5:$AA$5,0)),"NA")</f>
        <v>29257.302203533083</v>
      </c>
      <c r="W40" s="125">
        <f t="shared" si="103"/>
        <v>304.41792343623473</v>
      </c>
      <c r="X40" s="131">
        <f t="shared" si="112"/>
        <v>6.1248333508324586E-2</v>
      </c>
      <c r="Y40" s="131">
        <f t="shared" si="113"/>
        <v>5.2022624889321749E-4</v>
      </c>
      <c r="Z40" s="131"/>
      <c r="AA40" s="131"/>
      <c r="AB40" s="131"/>
      <c r="AC40" s="125">
        <f t="shared" si="93"/>
        <v>24584.403394905468</v>
      </c>
      <c r="AD40" s="129"/>
      <c r="AE40" s="133">
        <v>1917.1735713646735</v>
      </c>
      <c r="AF40" s="134">
        <v>2.1027344107991612E-2</v>
      </c>
      <c r="AG40" s="59">
        <f t="shared" si="104"/>
        <v>1.7860039160086863E-4</v>
      </c>
      <c r="AH40" s="134"/>
      <c r="AI40" s="134"/>
      <c r="AJ40" s="129">
        <f t="shared" si="94"/>
        <v>74044.418897597599</v>
      </c>
      <c r="AK40" s="134">
        <f t="shared" si="114"/>
        <v>6.3633132335609369E-2</v>
      </c>
      <c r="AL40" s="129"/>
      <c r="AM40" s="129"/>
      <c r="AN40" s="129"/>
      <c r="AO40" s="129"/>
      <c r="AP40" s="133">
        <f t="shared" si="115"/>
        <v>233.89440284547464</v>
      </c>
      <c r="AQ40" s="134">
        <f>+BB40/Outputs!$B$18</f>
        <v>8.9501050557073154E-3</v>
      </c>
      <c r="AR40" s="93">
        <f t="shared" si="105"/>
        <v>0.27284586198318495</v>
      </c>
      <c r="AS40" s="93">
        <f t="shared" si="106"/>
        <v>0.39513176872919381</v>
      </c>
      <c r="AT40" s="93">
        <f t="shared" si="107"/>
        <v>0.33202236928762119</v>
      </c>
      <c r="AU40" s="93">
        <f t="shared" ca="1" si="110"/>
        <v>3.6618554084888157E-2</v>
      </c>
      <c r="AV40" s="132">
        <f t="shared" ca="1" si="119"/>
        <v>113.63144510341648</v>
      </c>
      <c r="AW40" s="134">
        <f t="shared" ca="1" si="120"/>
        <v>3.6618554084888122E-2</v>
      </c>
      <c r="AX40" s="56">
        <f>+AJ40/$AL$15</f>
        <v>8.4937208752383572E-3</v>
      </c>
      <c r="AY40" s="135">
        <f t="shared" ca="1" si="118"/>
        <v>3.1102777725185908E-4</v>
      </c>
      <c r="AZ40" s="93"/>
      <c r="BA40" s="93"/>
      <c r="BB40" s="234">
        <f>IFERROR(INDEX('Total Customers'!$E$7:$AA$91,MATCH($C40,'Total Customers'!$C$7:$C$91,0),MATCH($G40,'Total Customers'!$E$5:$AA$5,0)),"NA")</f>
        <v>316572</v>
      </c>
      <c r="BC40" s="411">
        <f t="shared" si="15"/>
        <v>7.1232213851386613E-3</v>
      </c>
      <c r="BD40" s="92"/>
      <c r="BE40" s="281" t="str">
        <f t="shared" si="0"/>
        <v>AVISTA CORPORATION</v>
      </c>
      <c r="BF40" s="290">
        <f t="shared" si="1"/>
        <v>4057075</v>
      </c>
      <c r="BG40" s="46" t="str">
        <f t="shared" si="2"/>
        <v>WA</v>
      </c>
      <c r="BH40" s="46"/>
      <c r="BI40" s="46" t="str">
        <f t="shared" si="3"/>
        <v>2010 Y</v>
      </c>
      <c r="BJ40" s="129"/>
      <c r="BK40" s="129"/>
      <c r="BL40" s="129">
        <f>INDEX('Dist. Plant Gas Additions'!$E$7:$AD$91,MATCH($C40,'Dist. Plant Gas Additions'!$C$7:$C$91,0),MATCH(Calculation!$G40,'Dist. Plant Gas Additions'!$E$5:$AD$5,0))</f>
        <v>26396</v>
      </c>
      <c r="BM40" s="129">
        <f>INDEX('Gen. Plant Additions'!$E$7:$AD$91,MATCH($C40,'Gen. Plant Additions'!$C$7:$C$91,0),MATCH(Calculation!$G40,'Gen. Plant Additions'!$E$5:$AD$5,0))</f>
        <v>3717</v>
      </c>
      <c r="BN40" s="393">
        <f t="shared" si="83"/>
        <v>0.96302425813988479</v>
      </c>
      <c r="BO40" s="46">
        <f t="shared" si="61"/>
        <v>3579.5611675059517</v>
      </c>
      <c r="BP40" s="46">
        <f t="shared" si="62"/>
        <v>-137.43883249404826</v>
      </c>
      <c r="BQ40" s="129">
        <f>INDEX('Dist Plant Depreciation'!$D$7:$AC$94,MATCH($C40,'Dist Plant Depreciation'!$C$7:$C$94,0),MATCH(Calculation!$G40,'Dist Plant Depreciation'!$D$5:$AC$5,0))</f>
        <v>225949</v>
      </c>
      <c r="BR40" s="129">
        <f>INDEX('Gen. Plant Depreciation'!$D$7:$AC$94,MATCH($C40,'Gen. Plant Depreciation'!$C$7:$C$94,0),MATCH(Calculation!$G40,'Gen. Plant Depreciation'!$D$5:$AC$5,0))</f>
        <v>8955</v>
      </c>
      <c r="BS40" s="137">
        <v>1965</v>
      </c>
      <c r="BT40" s="137">
        <f t="shared" si="59"/>
        <v>18</v>
      </c>
      <c r="BU40" s="333">
        <v>68.510515991155202</v>
      </c>
      <c r="BV40" s="93">
        <f t="shared" si="82"/>
        <v>1.3574660633484163E-2</v>
      </c>
      <c r="BW40" s="334">
        <f t="shared" si="60"/>
        <v>0.93000700440482176</v>
      </c>
      <c r="BX40" s="334"/>
      <c r="BY40" s="129">
        <f>INDEX('Gross Dx Plant'!$D$7:$AC$91,MATCH($C40,'Gross Dx Plant'!$C$7:$C$91,0),MATCH(Calculation!$G40,'Gross Dx Plant'!$D$5:$AC$5,0))</f>
        <v>652890</v>
      </c>
      <c r="BZ40" s="129">
        <f>INDEX('Gross Gen Plant'!$D$7:$AC$91,MATCH($C40,'Gross Gen Plant'!$C$7:$C$91,0),MATCH(Calculation!$G40,'Gross Gen Plant'!$D$5:$AC$5,0))</f>
        <v>25068</v>
      </c>
      <c r="CA40" s="129">
        <f t="shared" si="39"/>
        <v>443054</v>
      </c>
      <c r="CB40" s="129"/>
      <c r="CC40" s="133">
        <v>2010</v>
      </c>
      <c r="CD40" s="129"/>
      <c r="CE40" s="129"/>
      <c r="CF40" s="129"/>
      <c r="CG40" s="137"/>
      <c r="CH40" s="129">
        <f t="shared" si="84"/>
        <v>30113</v>
      </c>
      <c r="CI40" s="46">
        <f t="shared" si="16"/>
        <v>29975.561167505952</v>
      </c>
      <c r="CJ40" s="46">
        <f t="shared" si="85"/>
        <v>52.682098753961043</v>
      </c>
      <c r="CK40" s="443">
        <v>0.8666666666666667</v>
      </c>
      <c r="CL40" s="46">
        <f>+CL28*CK40+CJ29*CK39+CJ30*CK38+CJ31*CK37+CJ32*CK36+CJ33*CK35+CJ34*CK34+CJ35*CK33+CJ36*CK32+CJ37*CK31+CJ38*CK30+CJ39*CK29+CJ40</f>
        <v>1818.7484986277684</v>
      </c>
      <c r="CM40" s="134">
        <f t="shared" si="86"/>
        <v>1.6220287910319445E-2</v>
      </c>
      <c r="CN40" s="135">
        <f t="shared" si="87"/>
        <v>1.3087245447573758E-2</v>
      </c>
      <c r="CO40" s="135">
        <f t="shared" si="97"/>
        <v>1.2788687353581232E-2</v>
      </c>
      <c r="CP40" s="134">
        <f>VLOOKUP($H40,RoR!$E:$F,2,FALSE)</f>
        <v>4.9433333333333322E-2</v>
      </c>
      <c r="CQ40" s="135">
        <v>1.1684333519300205E-2</v>
      </c>
      <c r="CR40" s="135">
        <f t="shared" si="95"/>
        <v>3.7748999814033117E-2</v>
      </c>
      <c r="CS40" s="135">
        <f t="shared" si="98"/>
        <v>1.8113254254952395E-2</v>
      </c>
      <c r="CT40" s="56">
        <f t="shared" si="99"/>
        <v>4.7937530248493419E-2</v>
      </c>
      <c r="CU40" s="139">
        <f t="shared" si="88"/>
        <v>0.87050000000000005</v>
      </c>
      <c r="CV40" s="335">
        <f t="shared" si="89"/>
        <v>1.037398205301105</v>
      </c>
      <c r="CW40" s="335">
        <f t="shared" si="90"/>
        <v>0.46926837491571133</v>
      </c>
      <c r="CX40" s="335">
        <f t="shared" si="91"/>
        <v>0.8548537519972772</v>
      </c>
      <c r="CY40" s="335">
        <f t="shared" si="92"/>
        <v>0.41615833911547367</v>
      </c>
      <c r="CZ40" s="336">
        <f>INDEX('State Tax Lookup'!$D$7:$Z$91,MATCH(Calculation!$C40,'State Tax Lookup'!$B$7:$B$91,0),MATCH($H40,'State Tax Lookup'!$D$6:$Z$6,0))</f>
        <v>0.35</v>
      </c>
      <c r="DA40" s="303">
        <v>0.37</v>
      </c>
      <c r="DB40" s="57">
        <f t="shared" si="96"/>
        <v>13.738249748269849</v>
      </c>
      <c r="DC40" s="56">
        <f t="shared" si="100"/>
        <v>1.8603433096374907E-2</v>
      </c>
      <c r="DD40" s="303">
        <f>VLOOKUP($H40,RoR!$E:$F,2,FALSE)</f>
        <v>4.9433333333333322E-2</v>
      </c>
      <c r="DE40" s="304">
        <f>HLOOKUP($H40,'GDP-PI'!$D$8:$CQ$11,3,FALSE)</f>
        <v>1.1684333519300205E-2</v>
      </c>
      <c r="DF40" s="303">
        <f>VLOOKUP(H40,'HW Dx Data'!$E:$F,2,FALSE)</f>
        <v>568.98950262971744</v>
      </c>
      <c r="DG40" s="89">
        <f ca="1">VLOOKUP(CC40,'ECI - Input Price'!M$13:N$33,2,FALSE)</f>
        <v>116.925</v>
      </c>
      <c r="DH40" s="89"/>
      <c r="DI40" s="89"/>
      <c r="DJ40" s="56">
        <f t="shared" ca="1" si="108"/>
        <v>5.2678406346976722E-2</v>
      </c>
      <c r="DK40" s="53">
        <f>HLOOKUP(H40,'GDP-PI'!$8:$9,2,FALSE)</f>
        <v>96.108999999999995</v>
      </c>
      <c r="DL40" s="355">
        <f t="shared" si="101"/>
        <v>1.1616598807150427E-2</v>
      </c>
      <c r="DO40" s="398">
        <v>2.3553106210898688E-2</v>
      </c>
      <c r="DP40" s="398"/>
      <c r="DQ40" s="398"/>
      <c r="DR40" s="398"/>
      <c r="DS40" s="398"/>
      <c r="DT40" s="398"/>
      <c r="DU40" s="398"/>
      <c r="DV40" s="398"/>
      <c r="DW40" s="398"/>
      <c r="DX40" s="398"/>
      <c r="DY40" s="398"/>
      <c r="EC40">
        <f t="shared" si="20"/>
        <v>2010</v>
      </c>
    </row>
    <row r="41" spans="1:133" s="126" customFormat="1" ht="21" customHeight="1" x14ac:dyDescent="0.4">
      <c r="A41" s="233" t="s">
        <v>179</v>
      </c>
      <c r="B41" s="127" t="s">
        <v>179</v>
      </c>
      <c r="C41" s="127">
        <v>4057075</v>
      </c>
      <c r="D41" s="127" t="s">
        <v>180</v>
      </c>
      <c r="E41" s="127"/>
      <c r="F41" s="127"/>
      <c r="G41" s="127" t="s">
        <v>167</v>
      </c>
      <c r="H41" s="128">
        <v>2011</v>
      </c>
      <c r="I41" s="129"/>
      <c r="J41" s="125">
        <f>IFERROR(INDEX('Labor Expenditures'!$E$7:$W$91,MATCH($C41,'Labor Expenditures'!$C$7:$C$91,0),MATCH($G41,'Labor Expenditures'!$E$5:$W$5,0)),"NA")</f>
        <v>20699.183593636113</v>
      </c>
      <c r="K41" s="125">
        <f t="shared" ca="1" si="102"/>
        <v>171.24453852025741</v>
      </c>
      <c r="L41" s="47"/>
      <c r="M41" s="131">
        <f t="shared" ca="1" si="109"/>
        <v>-8.9469077162684131E-3</v>
      </c>
      <c r="N41" s="59"/>
      <c r="O41" s="59"/>
      <c r="P41" s="59">
        <f t="shared" ca="1" si="111"/>
        <v>-7.6064340139218002E-5</v>
      </c>
      <c r="Q41" s="61"/>
      <c r="R41" s="387"/>
      <c r="S41" s="49">
        <f t="shared" ca="1" si="116"/>
        <v>98.086120065894988</v>
      </c>
      <c r="T41" s="61">
        <f ca="1">+P41+P66+P91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</f>
        <v>-8.9032418867761413E-3</v>
      </c>
      <c r="U41" s="61">
        <f t="shared" ca="1" si="117"/>
        <v>-8.9032418867761413E-3</v>
      </c>
      <c r="V41" s="125">
        <f>IFERROR(INDEX('Non-Labor Expenditures'!$E$7:$AA$91,MATCH($C41,'Non-Labor Expenditures'!$C$7:$C$91,0),MATCH($G41,'Non-Labor Expenditures'!$E$5:$AA$5,0)),"NA")</f>
        <v>29976.28391779606</v>
      </c>
      <c r="W41" s="125">
        <f t="shared" si="103"/>
        <v>305.53126954700815</v>
      </c>
      <c r="X41" s="131">
        <f t="shared" si="112"/>
        <v>3.6506232323910161E-3</v>
      </c>
      <c r="Y41" s="131">
        <f t="shared" si="113"/>
        <v>3.1036672789616945E-5</v>
      </c>
      <c r="Z41" s="131"/>
      <c r="AA41" s="131"/>
      <c r="AB41" s="131"/>
      <c r="AC41" s="125">
        <f t="shared" si="93"/>
        <v>26458.171527266193</v>
      </c>
      <c r="AD41" s="129"/>
      <c r="AE41" s="133">
        <v>1965.3500009658164</v>
      </c>
      <c r="AF41" s="134">
        <v>2.4818343809092522E-2</v>
      </c>
      <c r="AG41" s="59">
        <f t="shared" si="104"/>
        <v>2.1099926422111695E-4</v>
      </c>
      <c r="AH41" s="134"/>
      <c r="AI41" s="134"/>
      <c r="AJ41" s="129">
        <f t="shared" si="94"/>
        <v>77133.639038698369</v>
      </c>
      <c r="AK41" s="134">
        <f t="shared" si="114"/>
        <v>4.0874320924324428E-2</v>
      </c>
      <c r="AL41" s="129"/>
      <c r="AM41" s="129"/>
      <c r="AN41" s="129"/>
      <c r="AO41" s="129"/>
      <c r="AP41" s="133">
        <f t="shared" si="115"/>
        <v>242.18771578965035</v>
      </c>
      <c r="AQ41" s="134">
        <f>+BB41/Outputs!$B$19</f>
        <v>8.9608004265571382E-3</v>
      </c>
      <c r="AR41" s="93">
        <f t="shared" si="105"/>
        <v>0.26835481706303549</v>
      </c>
      <c r="AS41" s="93">
        <f t="shared" si="106"/>
        <v>0.38862789687333166</v>
      </c>
      <c r="AT41" s="93">
        <f t="shared" si="107"/>
        <v>0.3430172860636328</v>
      </c>
      <c r="AU41" s="93">
        <f t="shared" ca="1" si="110"/>
        <v>7.3862524818650004E-3</v>
      </c>
      <c r="AV41" s="132">
        <f t="shared" ca="1" si="119"/>
        <v>114.4738629724074</v>
      </c>
      <c r="AW41" s="134">
        <f t="shared" ca="1" si="120"/>
        <v>7.386252481865082E-3</v>
      </c>
      <c r="AX41" s="56">
        <f>+AJ41/$AL$16</f>
        <v>8.5017463632611392E-3</v>
      </c>
      <c r="AY41" s="135">
        <f t="shared" ca="1" si="118"/>
        <v>6.2796045175825022E-5</v>
      </c>
      <c r="AZ41" s="93"/>
      <c r="BA41" s="93"/>
      <c r="BB41" s="234">
        <f>IFERROR(INDEX('Total Customers'!$E$7:$AA$91,MATCH($C41,'Total Customers'!$C$7:$C$91,0),MATCH($G41,'Total Customers'!$E$5:$AA$5,0)),"NA")</f>
        <v>318487</v>
      </c>
      <c r="BC41" s="411">
        <f t="shared" si="15"/>
        <v>6.0309539882948491E-3</v>
      </c>
      <c r="BD41" s="92"/>
      <c r="BE41" s="281" t="str">
        <f t="shared" si="0"/>
        <v>AVISTA CORPORATION</v>
      </c>
      <c r="BF41" s="290">
        <f t="shared" si="1"/>
        <v>4057075</v>
      </c>
      <c r="BG41" s="46" t="str">
        <f t="shared" si="2"/>
        <v>WA</v>
      </c>
      <c r="BH41" s="46"/>
      <c r="BI41" s="46" t="str">
        <f t="shared" si="3"/>
        <v>2011 Y</v>
      </c>
      <c r="BJ41" s="129"/>
      <c r="BK41" s="129"/>
      <c r="BL41" s="129">
        <f>INDEX('Dist. Plant Gas Additions'!$E$7:$AD$91,MATCH($C41,'Dist. Plant Gas Additions'!$C$7:$C$91,0),MATCH(Calculation!$G41,'Dist. Plant Gas Additions'!$E$5:$AD$5,0))</f>
        <v>34464</v>
      </c>
      <c r="BM41" s="129">
        <f>INDEX('Gen. Plant Additions'!$E$7:$AD$91,MATCH($C41,'Gen. Plant Additions'!$C$7:$C$91,0),MATCH(Calculation!$G41,'Gen. Plant Additions'!$E$5:$AD$5,0))</f>
        <v>3413</v>
      </c>
      <c r="BN41" s="393">
        <f t="shared" si="83"/>
        <v>0.96186483596871308</v>
      </c>
      <c r="BO41" s="46">
        <f t="shared" si="61"/>
        <v>3282.844685161218</v>
      </c>
      <c r="BP41" s="46">
        <f t="shared" si="62"/>
        <v>-130.15531483878203</v>
      </c>
      <c r="BQ41" s="129">
        <f>INDEX('Dist Plant Depreciation'!$D$7:$AC$94,MATCH($C41,'Dist Plant Depreciation'!$C$7:$C$94,0),MATCH(Calculation!$G41,'Dist Plant Depreciation'!$D$5:$AC$5,0))</f>
        <v>235771</v>
      </c>
      <c r="BR41" s="129">
        <f>INDEX('Gen. Plant Depreciation'!$D$7:$AC$94,MATCH($C41,'Gen. Plant Depreciation'!$C$7:$C$94,0),MATCH(Calculation!$G41,'Gen. Plant Depreciation'!$D$5:$AC$5,0))</f>
        <v>8831</v>
      </c>
      <c r="BS41" s="137">
        <v>1966</v>
      </c>
      <c r="BT41" s="137">
        <f t="shared" si="59"/>
        <v>19</v>
      </c>
      <c r="BU41" s="333">
        <v>70.459352645112588</v>
      </c>
      <c r="BV41" s="93">
        <f t="shared" si="82"/>
        <v>1.4328808446455505E-2</v>
      </c>
      <c r="BW41" s="334">
        <f t="shared" si="60"/>
        <v>1.0095985673130763</v>
      </c>
      <c r="BX41" s="334"/>
      <c r="BY41" s="129">
        <f>INDEX('Gross Dx Plant'!$D$7:$AC$91,MATCH($C41,'Gross Dx Plant'!$C$7:$C$91,0),MATCH(Calculation!$G41,'Gross Dx Plant'!$D$5:$AC$5,0))</f>
        <v>683732</v>
      </c>
      <c r="BZ41" s="129">
        <f>INDEX('Gross Gen Plant'!$D$7:$AC$91,MATCH($C41,'Gross Gen Plant'!$C$7:$C$91,0),MATCH(Calculation!$G41,'Gross Gen Plant'!$D$5:$AC$5,0))</f>
        <v>27108</v>
      </c>
      <c r="CA41" s="129">
        <f t="shared" si="39"/>
        <v>466238</v>
      </c>
      <c r="CB41" s="129"/>
      <c r="CC41" s="133">
        <v>2011</v>
      </c>
      <c r="CD41" s="129"/>
      <c r="CE41" s="129"/>
      <c r="CF41" s="129"/>
      <c r="CG41" s="137"/>
      <c r="CH41" s="129">
        <f t="shared" si="84"/>
        <v>37877</v>
      </c>
      <c r="CI41" s="46">
        <f t="shared" si="16"/>
        <v>37746.844685161217</v>
      </c>
      <c r="CJ41" s="46">
        <f t="shared" si="85"/>
        <v>61.717069759604861</v>
      </c>
      <c r="CK41" s="443">
        <v>0.8539325842696629</v>
      </c>
      <c r="CL41" s="46">
        <f>+CL28*CK41+CJ29*CK40+CJ30*CK39+CJ31*CK38+CJ32*CK37+CJ33*CK36+CJ34*CK35+CJ35*CK34+CJ36*CK33+CJ37*CK32+CJ38*CK31+CJ39*CK30+CJ40*CK29+CJ41</f>
        <v>1856.009934819496</v>
      </c>
      <c r="CM41" s="134">
        <f t="shared" si="86"/>
        <v>2.0280360721345727E-2</v>
      </c>
      <c r="CN41" s="135">
        <f t="shared" si="87"/>
        <v>1.3446407563403527E-2</v>
      </c>
      <c r="CO41" s="135">
        <f t="shared" si="97"/>
        <v>1.3100825961479342E-2</v>
      </c>
      <c r="CP41" s="134">
        <f>VLOOKUP($H41,RoR!$E:$F,2,FALSE)</f>
        <v>4.6391666666666664E-2</v>
      </c>
      <c r="CQ41" s="135">
        <v>2.0840920205183799E-2</v>
      </c>
      <c r="CR41" s="135">
        <f t="shared" si="95"/>
        <v>2.5550746461482865E-2</v>
      </c>
      <c r="CS41" s="135">
        <f t="shared" si="98"/>
        <v>1.7801115647054284E-2</v>
      </c>
      <c r="CT41" s="56">
        <f t="shared" si="99"/>
        <v>2.4810540821321614E-2</v>
      </c>
      <c r="CU41" s="139">
        <f t="shared" si="88"/>
        <v>0.87050000000000005</v>
      </c>
      <c r="CV41" s="335">
        <f t="shared" si="89"/>
        <v>1.1054151524782025</v>
      </c>
      <c r="CW41" s="335">
        <f t="shared" si="90"/>
        <v>0.43611011316687626</v>
      </c>
      <c r="CX41" s="335">
        <f t="shared" si="91"/>
        <v>0.83698442246886229</v>
      </c>
      <c r="CY41" s="335">
        <f t="shared" si="92"/>
        <v>0.40349573304423936</v>
      </c>
      <c r="CZ41" s="336">
        <f>INDEX('State Tax Lookup'!$D$7:$Z$91,MATCH(Calculation!$C41,'State Tax Lookup'!$B$7:$B$91,0),MATCH($H41,'State Tax Lookup'!$D$6:$Z$6,0))</f>
        <v>0.35</v>
      </c>
      <c r="DA41" s="303">
        <v>0.37</v>
      </c>
      <c r="DB41" s="57">
        <f t="shared" si="96"/>
        <v>14.547460271295716</v>
      </c>
      <c r="DC41" s="56">
        <f t="shared" si="100"/>
        <v>5.7232531577962223E-2</v>
      </c>
      <c r="DD41" s="303">
        <f>VLOOKUP($H41,RoR!$E:$F,2,FALSE)</f>
        <v>4.6391666666666664E-2</v>
      </c>
      <c r="DE41" s="304">
        <f>HLOOKUP($H41,'GDP-PI'!$D$8:$CQ$11,3,FALSE)</f>
        <v>2.0840920205183799E-2</v>
      </c>
      <c r="DF41" s="303">
        <f>VLOOKUP(H41,'HW Dx Data'!$E:$F,2,FALSE)</f>
        <v>611.61109612283201</v>
      </c>
      <c r="DG41" s="89">
        <f ca="1">VLOOKUP(CC41,'ECI - Input Price'!M$13:N$33,2,FALSE)</f>
        <v>120.875</v>
      </c>
      <c r="DH41" s="89"/>
      <c r="DI41" s="89"/>
      <c r="DJ41" s="56">
        <f t="shared" ca="1" si="108"/>
        <v>3.3224250161508609E-2</v>
      </c>
      <c r="DK41" s="53">
        <f>HLOOKUP(H41,'GDP-PI'!$8:$9,2,FALSE)</f>
        <v>98.111999999999995</v>
      </c>
      <c r="DL41" s="355">
        <f t="shared" si="101"/>
        <v>2.0626719212849295E-2</v>
      </c>
      <c r="DO41" s="398">
        <v>1.5287085228645044E-2</v>
      </c>
      <c r="DP41" s="398"/>
      <c r="DQ41" s="398"/>
      <c r="DR41" s="398"/>
      <c r="DS41" s="398"/>
      <c r="DT41" s="398"/>
      <c r="DU41" s="398"/>
      <c r="DV41" s="398"/>
      <c r="DW41" s="398"/>
      <c r="DX41" s="398"/>
      <c r="DY41" s="398"/>
      <c r="EC41">
        <f t="shared" si="20"/>
        <v>2011</v>
      </c>
    </row>
    <row r="42" spans="1:133" s="126" customFormat="1" ht="21" customHeight="1" x14ac:dyDescent="0.4">
      <c r="A42" s="233" t="s">
        <v>179</v>
      </c>
      <c r="B42" s="127" t="s">
        <v>179</v>
      </c>
      <c r="C42" s="127">
        <v>4057075</v>
      </c>
      <c r="D42" s="127" t="s">
        <v>180</v>
      </c>
      <c r="E42" s="127"/>
      <c r="F42" s="127"/>
      <c r="G42" s="127" t="s">
        <v>168</v>
      </c>
      <c r="H42" s="128">
        <v>2012</v>
      </c>
      <c r="I42" s="129"/>
      <c r="J42" s="125">
        <f>IFERROR(INDEX('Labor Expenditures'!$E$7:$W$91,MATCH($C42,'Labor Expenditures'!$C$7:$C$91,0),MATCH($G42,'Labor Expenditures'!$E$5:$W$5,0)),"NA")</f>
        <v>22717.156668028249</v>
      </c>
      <c r="K42" s="125">
        <f t="shared" ca="1" si="102"/>
        <v>182.02849894253401</v>
      </c>
      <c r="L42" s="47"/>
      <c r="M42" s="131">
        <f t="shared" ca="1" si="109"/>
        <v>6.1070677633310914E-2</v>
      </c>
      <c r="N42" s="59"/>
      <c r="O42" s="59"/>
      <c r="P42" s="59">
        <f t="shared" ca="1" si="111"/>
        <v>5.4951298684870556E-4</v>
      </c>
      <c r="Q42" s="61"/>
      <c r="R42" s="387"/>
      <c r="S42" s="49">
        <f t="shared" ca="1" si="116"/>
        <v>95.897571385249222</v>
      </c>
      <c r="T42" s="61">
        <f ca="1">+P42+P67+P92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</f>
        <v>-2.2565211836678967E-2</v>
      </c>
      <c r="U42" s="61">
        <f t="shared" ca="1" si="117"/>
        <v>-2.2565211836678967E-2</v>
      </c>
      <c r="V42" s="125">
        <f>IFERROR(INDEX('Non-Labor Expenditures'!$E$7:$AA$91,MATCH($C42,'Non-Labor Expenditures'!$C$7:$C$91,0),MATCH($G42,'Non-Labor Expenditures'!$E$5:$AA$5,0)),"NA")</f>
        <v>32898.68583489603</v>
      </c>
      <c r="W42" s="125">
        <f t="shared" si="103"/>
        <v>328.98685834896031</v>
      </c>
      <c r="X42" s="131">
        <f t="shared" si="112"/>
        <v>7.3965677056437376E-2</v>
      </c>
      <c r="Y42" s="131">
        <f t="shared" si="113"/>
        <v>6.6554198673898237E-4</v>
      </c>
      <c r="Z42" s="131"/>
      <c r="AA42" s="131"/>
      <c r="AB42" s="131"/>
      <c r="AC42" s="125">
        <f t="shared" si="93"/>
        <v>28860.474275139768</v>
      </c>
      <c r="AD42" s="129"/>
      <c r="AE42" s="133">
        <v>1990.6583623405161</v>
      </c>
      <c r="AF42" s="134">
        <v>1.2795072369413156E-2</v>
      </c>
      <c r="AG42" s="59">
        <f t="shared" si="104"/>
        <v>1.151298578489407E-4</v>
      </c>
      <c r="AH42" s="134"/>
      <c r="AI42" s="134"/>
      <c r="AJ42" s="129">
        <f t="shared" si="94"/>
        <v>84476.316778064051</v>
      </c>
      <c r="AK42" s="134">
        <f t="shared" si="114"/>
        <v>9.0931730842753564E-2</v>
      </c>
      <c r="AL42" s="129"/>
      <c r="AM42" s="129"/>
      <c r="AN42" s="129"/>
      <c r="AO42" s="129"/>
      <c r="AP42" s="133">
        <f t="shared" si="115"/>
        <v>263.37860385190561</v>
      </c>
      <c r="AQ42" s="134">
        <f>+BB42/Outputs!$B$20</f>
        <v>8.9809709795474809E-3</v>
      </c>
      <c r="AR42" s="93">
        <f t="shared" si="105"/>
        <v>0.26891746153789708</v>
      </c>
      <c r="AS42" s="93">
        <f t="shared" si="106"/>
        <v>0.38944271116042345</v>
      </c>
      <c r="AT42" s="93">
        <f t="shared" si="107"/>
        <v>0.34163982730167947</v>
      </c>
      <c r="AU42" s="93">
        <f t="shared" ca="1" si="110"/>
        <v>4.9561169381212619E-2</v>
      </c>
      <c r="AV42" s="132">
        <f t="shared" ca="1" si="119"/>
        <v>120.29026479808444</v>
      </c>
      <c r="AW42" s="134">
        <f t="shared" ca="1" si="120"/>
        <v>4.9561169381212668E-2</v>
      </c>
      <c r="AX42" s="56">
        <f>+AJ42/$AL$17</f>
        <v>8.9979841086448749E-3</v>
      </c>
      <c r="AY42" s="135">
        <f t="shared" ca="1" si="118"/>
        <v>4.4595061449800855E-4</v>
      </c>
      <c r="AZ42" s="93"/>
      <c r="BA42" s="93"/>
      <c r="BB42" s="234">
        <f>IFERROR(INDEX('Total Customers'!$E$7:$AA$91,MATCH($C42,'Total Customers'!$C$7:$C$91,0),MATCH($G42,'Total Customers'!$E$5:$AA$5,0)),"NA")</f>
        <v>320741</v>
      </c>
      <c r="BC42" s="411">
        <f t="shared" si="15"/>
        <v>7.0522860132343906E-3</v>
      </c>
      <c r="BD42" s="92"/>
      <c r="BE42" s="281" t="str">
        <f t="shared" si="0"/>
        <v>AVISTA CORPORATION</v>
      </c>
      <c r="BF42" s="290">
        <f t="shared" si="1"/>
        <v>4057075</v>
      </c>
      <c r="BG42" s="46" t="str">
        <f t="shared" si="2"/>
        <v>WA</v>
      </c>
      <c r="BH42" s="46"/>
      <c r="BI42" s="46" t="str">
        <f t="shared" si="3"/>
        <v>2012 Y</v>
      </c>
      <c r="BJ42" s="129"/>
      <c r="BK42" s="129"/>
      <c r="BL42" s="129">
        <f>INDEX('Dist. Plant Gas Additions'!$E$7:$AD$91,MATCH($C42,'Dist. Plant Gas Additions'!$C$7:$C$91,0),MATCH(Calculation!$G42,'Dist. Plant Gas Additions'!$E$5:$AD$5,0))</f>
        <v>24260</v>
      </c>
      <c r="BM42" s="129">
        <f>INDEX('Gen. Plant Additions'!$E$7:$AD$91,MATCH($C42,'Gen. Plant Additions'!$C$7:$C$91,0),MATCH(Calculation!$G42,'Gen. Plant Additions'!$E$5:$AD$5,0))</f>
        <v>2404</v>
      </c>
      <c r="BN42" s="393">
        <f t="shared" si="83"/>
        <v>0.96085784377228711</v>
      </c>
      <c r="BO42" s="46">
        <f t="shared" si="61"/>
        <v>2309.9022564285783</v>
      </c>
      <c r="BP42" s="46">
        <f t="shared" si="62"/>
        <v>-94.097743571421688</v>
      </c>
      <c r="BQ42" s="129">
        <f>INDEX('Dist Plant Depreciation'!$D$7:$AC$94,MATCH($C42,'Dist Plant Depreciation'!$C$7:$C$94,0),MATCH(Calculation!$G42,'Dist Plant Depreciation'!$D$5:$AC$5,0))</f>
        <v>246430</v>
      </c>
      <c r="BR42" s="129">
        <f>INDEX('Gen. Plant Depreciation'!$D$7:$AC$94,MATCH($C42,'Gen. Plant Depreciation'!$C$7:$C$94,0),MATCH(Calculation!$G42,'Gen. Plant Depreciation'!$D$5:$AC$5,0))</f>
        <v>9199</v>
      </c>
      <c r="BS42" s="137">
        <v>1967</v>
      </c>
      <c r="BT42" s="137">
        <f t="shared" si="59"/>
        <v>20</v>
      </c>
      <c r="BU42" s="333">
        <v>72.562460243025129</v>
      </c>
      <c r="BV42" s="93">
        <f t="shared" si="82"/>
        <v>1.5082956259426848E-2</v>
      </c>
      <c r="BW42" s="334">
        <f t="shared" si="60"/>
        <v>1.0944564139219477</v>
      </c>
      <c r="BX42" s="334"/>
      <c r="BY42" s="129">
        <f>INDEX('Gross Dx Plant'!$D$7:$AC$91,MATCH($C42,'Gross Dx Plant'!$C$7:$C$91,0),MATCH(Calculation!$G42,'Gross Dx Plant'!$D$5:$AC$5,0))</f>
        <v>704623</v>
      </c>
      <c r="BZ42" s="129">
        <f>INDEX('Gross Gen Plant'!$D$7:$AC$91,MATCH($C42,'Gross Gen Plant'!$C$7:$C$91,0),MATCH(Calculation!$G42,'Gross Gen Plant'!$D$5:$AC$5,0))</f>
        <v>28704</v>
      </c>
      <c r="CA42" s="129">
        <f t="shared" si="39"/>
        <v>477698</v>
      </c>
      <c r="CB42" s="129"/>
      <c r="CC42" s="133">
        <v>2012</v>
      </c>
      <c r="CD42" s="129"/>
      <c r="CE42" s="129"/>
      <c r="CF42" s="129"/>
      <c r="CG42" s="137"/>
      <c r="CH42" s="129">
        <f t="shared" si="84"/>
        <v>26664</v>
      </c>
      <c r="CI42" s="46">
        <f t="shared" si="16"/>
        <v>26569.902256428577</v>
      </c>
      <c r="CJ42" s="46">
        <f t="shared" si="85"/>
        <v>39.720638017323068</v>
      </c>
      <c r="CK42" s="443">
        <v>0.84090909090909094</v>
      </c>
      <c r="CL42" s="46">
        <f>+CL28*CK42+CJ29*CK41+CJ30*CK40+CJ31*CK39+CJ32*CK38+CJ33*CK37+CJ34*CK36+CJ35*CK35+CJ36*CK34+CJ37*CK33+CJ38*CK32+CJ39*CK31+CJ40*CK30+CJ41*CK29+CJ42</f>
        <v>1870.1216863179573</v>
      </c>
      <c r="CM42" s="134">
        <f t="shared" si="86"/>
        <v>7.5745144847385142E-3</v>
      </c>
      <c r="CN42" s="135">
        <f t="shared" si="87"/>
        <v>1.3797817586225589E-2</v>
      </c>
      <c r="CO42" s="135">
        <f t="shared" si="97"/>
        <v>1.3443823532400959E-2</v>
      </c>
      <c r="CP42" s="134">
        <f>VLOOKUP($H42,RoR!$E:$F,2,FALSE)</f>
        <v>3.6733333333333333E-2</v>
      </c>
      <c r="CQ42" s="135">
        <v>1.924331376386168E-2</v>
      </c>
      <c r="CR42" s="135">
        <f t="shared" si="95"/>
        <v>1.7490019569471653E-2</v>
      </c>
      <c r="CS42" s="135">
        <f t="shared" si="98"/>
        <v>1.7458118076132664E-2</v>
      </c>
      <c r="CT42" s="56">
        <f t="shared" si="99"/>
        <v>6.7122682943869583E-2</v>
      </c>
      <c r="CU42" s="139">
        <f t="shared" si="88"/>
        <v>0.87050000000000005</v>
      </c>
      <c r="CV42" s="335">
        <f t="shared" si="89"/>
        <v>1.3960631020522127</v>
      </c>
      <c r="CW42" s="335">
        <f t="shared" si="90"/>
        <v>0.29441923774954631</v>
      </c>
      <c r="CX42" s="335">
        <f t="shared" si="91"/>
        <v>0.76377954189366437</v>
      </c>
      <c r="CY42" s="335">
        <f t="shared" si="92"/>
        <v>0.31393465103033691</v>
      </c>
      <c r="CZ42" s="336">
        <f>INDEX('State Tax Lookup'!$D$7:$Z$91,MATCH(Calculation!$C42,'State Tax Lookup'!$B$7:$B$91,0),MATCH($H42,'State Tax Lookup'!$D$6:$Z$6,0))</f>
        <v>0.35</v>
      </c>
      <c r="DA42" s="303">
        <v>0.37</v>
      </c>
      <c r="DB42" s="57">
        <f t="shared" si="96"/>
        <v>15.549741266846484</v>
      </c>
      <c r="DC42" s="56">
        <f t="shared" si="100"/>
        <v>6.6627573118228395E-2</v>
      </c>
      <c r="DD42" s="303">
        <f>VLOOKUP($H42,RoR!$E:$F,2,FALSE)</f>
        <v>3.6733333333333333E-2</v>
      </c>
      <c r="DE42" s="304">
        <f>HLOOKUP($H42,'GDP-PI'!$D$8:$CQ$11,3,FALSE)</f>
        <v>1.924331376386168E-2</v>
      </c>
      <c r="DF42" s="303">
        <f>VLOOKUP(H42,'HW Dx Data'!$E:$F,2,FALSE)</f>
        <v>668.91932211262167</v>
      </c>
      <c r="DG42" s="89">
        <f ca="1">VLOOKUP(CC42,'ECI - Input Price'!M$13:N$33,2,FALSE)</f>
        <v>124.80000000000001</v>
      </c>
      <c r="DH42" s="89"/>
      <c r="DI42" s="89"/>
      <c r="DJ42" s="56">
        <f t="shared" ca="1" si="108"/>
        <v>3.1955502161869064E-2</v>
      </c>
      <c r="DK42" s="53">
        <f>HLOOKUP(H42,'GDP-PI'!$8:$9,2,FALSE)</f>
        <v>100</v>
      </c>
      <c r="DL42" s="355">
        <f t="shared" si="101"/>
        <v>1.9060502738742411E-2</v>
      </c>
      <c r="DO42" s="398">
        <v>9.1881865913332732E-3</v>
      </c>
      <c r="DP42" s="398"/>
      <c r="DQ42" s="398"/>
      <c r="DR42" s="398"/>
      <c r="DS42" s="398"/>
      <c r="DT42" s="398"/>
      <c r="DU42" s="398"/>
      <c r="DV42" s="398"/>
      <c r="DW42" s="398"/>
      <c r="DX42" s="398"/>
      <c r="DY42" s="398"/>
      <c r="EC42">
        <f t="shared" si="20"/>
        <v>2012</v>
      </c>
    </row>
    <row r="43" spans="1:133" s="126" customFormat="1" ht="21" customHeight="1" x14ac:dyDescent="0.4">
      <c r="A43" s="233" t="s">
        <v>179</v>
      </c>
      <c r="B43" s="127" t="s">
        <v>179</v>
      </c>
      <c r="C43" s="127">
        <v>4057075</v>
      </c>
      <c r="D43" s="127" t="s">
        <v>180</v>
      </c>
      <c r="E43" s="127"/>
      <c r="F43" s="127"/>
      <c r="G43" s="127" t="s">
        <v>169</v>
      </c>
      <c r="H43" s="128">
        <v>2013</v>
      </c>
      <c r="I43" s="129"/>
      <c r="J43" s="125">
        <f>IFERROR(INDEX('Labor Expenditures'!$E$7:$W$91,MATCH($C43,'Labor Expenditures'!$C$7:$C$91,0),MATCH($G43,'Labor Expenditures'!$E$5:$W$5,0)),"NA")</f>
        <v>22783.294618705757</v>
      </c>
      <c r="K43" s="125">
        <f t="shared" ca="1" si="102"/>
        <v>179.6789796427899</v>
      </c>
      <c r="L43" s="47"/>
      <c r="M43" s="131">
        <f t="shared" ca="1" si="109"/>
        <v>-1.2991450187286129E-2</v>
      </c>
      <c r="N43" s="59"/>
      <c r="O43" s="59"/>
      <c r="P43" s="59">
        <f t="shared" ca="1" si="111"/>
        <v>-1.1217956369007801E-4</v>
      </c>
      <c r="Q43" s="61"/>
      <c r="R43" s="387"/>
      <c r="S43" s="49">
        <f t="shared" ca="1" si="116"/>
        <v>99.602806437649321</v>
      </c>
      <c r="T43" s="61">
        <f ca="1">+P43+P68+P93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</f>
        <v>3.7909684159651125E-2</v>
      </c>
      <c r="U43" s="61">
        <f t="shared" ca="1" si="117"/>
        <v>3.7909684159651125E-2</v>
      </c>
      <c r="V43" s="125">
        <f>IFERROR(INDEX('Non-Labor Expenditures'!$E$7:$AA$91,MATCH($C43,'Non-Labor Expenditures'!$C$7:$C$91,0),MATCH($G43,'Non-Labor Expenditures'!$E$5:$AA$5,0)),"NA")</f>
        <v>32994.465940342299</v>
      </c>
      <c r="W43" s="125">
        <f t="shared" si="103"/>
        <v>324.19665275016263</v>
      </c>
      <c r="X43" s="131">
        <f t="shared" si="112"/>
        <v>-1.4667521135998703E-2</v>
      </c>
      <c r="Y43" s="131">
        <f t="shared" si="113"/>
        <v>-1.2665222879133017E-4</v>
      </c>
      <c r="Z43" s="131"/>
      <c r="AA43" s="131"/>
      <c r="AB43" s="131"/>
      <c r="AC43" s="125">
        <f t="shared" si="93"/>
        <v>28244.580606965585</v>
      </c>
      <c r="AD43" s="129"/>
      <c r="AE43" s="133">
        <v>2074.7524821106999</v>
      </c>
      <c r="AF43" s="134">
        <v>4.1376441468322075E-2</v>
      </c>
      <c r="AG43" s="59">
        <f t="shared" si="104"/>
        <v>3.5728044860664122E-4</v>
      </c>
      <c r="AH43" s="134"/>
      <c r="AI43" s="134"/>
      <c r="AJ43" s="129">
        <f t="shared" si="94"/>
        <v>84022.341166013633</v>
      </c>
      <c r="AK43" s="134">
        <f t="shared" si="114"/>
        <v>-5.3884905203670065E-3</v>
      </c>
      <c r="AL43" s="129"/>
      <c r="AM43" s="129"/>
      <c r="AN43" s="129"/>
      <c r="AO43" s="129"/>
      <c r="AP43" s="133">
        <f t="shared" si="115"/>
        <v>260.05299079228104</v>
      </c>
      <c r="AQ43" s="134">
        <f>+BB43/Outputs!$B$21</f>
        <v>8.9892815385652948E-3</v>
      </c>
      <c r="AR43" s="93">
        <f t="shared" si="105"/>
        <v>0.27115757907399773</v>
      </c>
      <c r="AS43" s="93">
        <f t="shared" si="106"/>
        <v>0.39268681974893954</v>
      </c>
      <c r="AT43" s="93">
        <f t="shared" si="107"/>
        <v>0.33615560117706278</v>
      </c>
      <c r="AU43" s="93">
        <f t="shared" ca="1" si="110"/>
        <v>4.7782517303695798E-3</v>
      </c>
      <c r="AV43" s="132">
        <f t="shared" ca="1" si="119"/>
        <v>120.86641736880051</v>
      </c>
      <c r="AW43" s="134">
        <f t="shared" ca="1" si="120"/>
        <v>4.7782517303695347E-3</v>
      </c>
      <c r="AX43" s="56">
        <f>+AJ43/$AL$18</f>
        <v>8.6348761741672775E-3</v>
      </c>
      <c r="AY43" s="135">
        <f t="shared" ca="1" si="118"/>
        <v>4.1259612020741458E-5</v>
      </c>
      <c r="AZ43" s="93"/>
      <c r="BA43" s="93"/>
      <c r="BB43" s="234">
        <f>IFERROR(INDEX('Total Customers'!$E$7:$AA$91,MATCH($C43,'Total Customers'!$C$7:$C$91,0),MATCH($G43,'Total Customers'!$E$5:$AA$5,0)),"NA")</f>
        <v>323097</v>
      </c>
      <c r="BC43" s="411">
        <f t="shared" si="15"/>
        <v>7.3186438703655892E-3</v>
      </c>
      <c r="BD43" s="92"/>
      <c r="BE43" s="281" t="str">
        <f t="shared" si="0"/>
        <v>AVISTA CORPORATION</v>
      </c>
      <c r="BF43" s="290">
        <f t="shared" si="1"/>
        <v>4057075</v>
      </c>
      <c r="BG43" s="46" t="str">
        <f t="shared" si="2"/>
        <v>WA</v>
      </c>
      <c r="BH43" s="46"/>
      <c r="BI43" s="46" t="str">
        <f t="shared" si="3"/>
        <v>2013 Y</v>
      </c>
      <c r="BJ43" s="129"/>
      <c r="BK43" s="129"/>
      <c r="BL43" s="129">
        <f>INDEX('Dist. Plant Gas Additions'!$E$7:$AD$91,MATCH($C43,'Dist. Plant Gas Additions'!$C$7:$C$91,0),MATCH(Calculation!$G43,'Dist. Plant Gas Additions'!$E$5:$AD$5,0))</f>
        <v>62293</v>
      </c>
      <c r="BM43" s="129">
        <f>INDEX('Gen. Plant Additions'!$E$7:$AD$91,MATCH($C43,'Gen. Plant Additions'!$C$7:$C$91,0),MATCH(Calculation!$G43,'Gen. Plant Additions'!$E$5:$AD$5,0))</f>
        <v>3616</v>
      </c>
      <c r="BN43" s="393">
        <f t="shared" si="83"/>
        <v>0.95977610981352568</v>
      </c>
      <c r="BO43" s="46">
        <f>+BN43*BM43</f>
        <v>3470.5504130857089</v>
      </c>
      <c r="BP43" s="46">
        <f>+BO43-BM43</f>
        <v>-145.4495869142911</v>
      </c>
      <c r="BQ43" s="129">
        <f>INDEX('Dist Plant Depreciation'!$D$7:$AC$94,MATCH($C43,'Dist Plant Depreciation'!$C$7:$C$94,0),MATCH(Calculation!$G43,'Dist Plant Depreciation'!$D$5:$AC$5,0))</f>
        <v>256829</v>
      </c>
      <c r="BR43" s="129">
        <f>INDEX('Gen. Plant Depreciation'!$D$7:$AC$94,MATCH($C43,'Gen. Plant Depreciation'!$C$7:$C$94,0),MATCH(Calculation!$G43,'Gen. Plant Depreciation'!$D$5:$AC$5,0))</f>
        <v>11186</v>
      </c>
      <c r="BS43" s="137">
        <v>1968</v>
      </c>
      <c r="BT43" s="137">
        <f t="shared" si="59"/>
        <v>21</v>
      </c>
      <c r="BU43" s="333">
        <v>74.841934472906132</v>
      </c>
      <c r="BV43" s="93">
        <f t="shared" si="82"/>
        <v>1.5837104072398189E-2</v>
      </c>
      <c r="BW43" s="334">
        <f t="shared" si="60"/>
        <v>1.1852795052270202</v>
      </c>
      <c r="BX43" s="334"/>
      <c r="BY43" s="129">
        <f>INDEX('Gross Dx Plant'!$D$7:$AC$91,MATCH($C43,'Gross Dx Plant'!$C$7:$C$91,0),MATCH(Calculation!$G43,'Gross Dx Plant'!$D$5:$AC$5,0))</f>
        <v>761853</v>
      </c>
      <c r="BZ43" s="129">
        <f>INDEX('Gross Gen Plant'!$D$7:$AC$91,MATCH($C43,'Gross Gen Plant'!$C$7:$C$91,0),MATCH(Calculation!$G43,'Gross Gen Plant'!$D$5:$AC$5,0))</f>
        <v>31929</v>
      </c>
      <c r="CA43" s="129">
        <f t="shared" si="39"/>
        <v>525767</v>
      </c>
      <c r="CB43" s="129"/>
      <c r="CC43" s="133">
        <v>2013</v>
      </c>
      <c r="CD43" s="129"/>
      <c r="CE43" s="129"/>
      <c r="CF43" s="129"/>
      <c r="CG43" s="137"/>
      <c r="CH43" s="129">
        <f t="shared" si="84"/>
        <v>65909</v>
      </c>
      <c r="CI43" s="46">
        <f t="shared" si="16"/>
        <v>65763.550413085715</v>
      </c>
      <c r="CJ43" s="46">
        <f t="shared" si="85"/>
        <v>99.1537256160872</v>
      </c>
      <c r="CK43" s="443">
        <v>0.82758620689655171</v>
      </c>
      <c r="CL43" s="46">
        <f>+CL28*CK43+CJ29*CK42+CJ30*CK41+CJ31*CK40+CJ32*CK39+CJ33*CK38+CJ34*CK37+CJ35*CK36+CJ36*CK35+CJ37*CK34+CJ38*CK33+CJ39*CK32+CJ40*CK31+CJ41*CK30+CJ42*CK29+CJ43</f>
        <v>1942.7005753184965</v>
      </c>
      <c r="CM43" s="134">
        <f t="shared" si="86"/>
        <v>3.8075552559671759E-2</v>
      </c>
      <c r="CN43" s="135">
        <f t="shared" si="87"/>
        <v>1.4210217875110903E-2</v>
      </c>
      <c r="CO43" s="135">
        <f t="shared" si="97"/>
        <v>1.3818147674913338E-2</v>
      </c>
      <c r="CP43" s="134">
        <f>VLOOKUP($H43,RoR!$E:$F,2,FALSE)</f>
        <v>4.2350000000000006E-2</v>
      </c>
      <c r="CQ43" s="135">
        <v>1.7730000000000024E-2</v>
      </c>
      <c r="CR43" s="135">
        <f t="shared" si="95"/>
        <v>2.4619999999999982E-2</v>
      </c>
      <c r="CS43" s="135">
        <f t="shared" si="98"/>
        <v>1.7083793933620285E-2</v>
      </c>
      <c r="CT43" s="56">
        <f t="shared" si="99"/>
        <v>5.3376742735721204E-2</v>
      </c>
      <c r="CU43" s="139">
        <f t="shared" si="88"/>
        <v>0.87050000000000005</v>
      </c>
      <c r="CV43" s="335">
        <f t="shared" si="89"/>
        <v>1.2109103018193925</v>
      </c>
      <c r="CW43" s="335">
        <f t="shared" si="90"/>
        <v>0.38468122786304604</v>
      </c>
      <c r="CX43" s="335">
        <f t="shared" si="91"/>
        <v>0.80969194503422559</v>
      </c>
      <c r="CY43" s="335">
        <f t="shared" si="92"/>
        <v>0.37716621754800816</v>
      </c>
      <c r="CZ43" s="336">
        <f>INDEX('State Tax Lookup'!$D$7:$Z$91,MATCH(Calculation!$C43,'State Tax Lookup'!$B$7:$B$91,0),MATCH($H43,'State Tax Lookup'!$D$6:$Z$6,0))</f>
        <v>0.35</v>
      </c>
      <c r="DA43" s="303">
        <v>0.37</v>
      </c>
      <c r="DB43" s="57">
        <f t="shared" si="96"/>
        <v>15.103070999928212</v>
      </c>
      <c r="DC43" s="56">
        <f t="shared" si="100"/>
        <v>-2.9145899077637077E-2</v>
      </c>
      <c r="DD43" s="303">
        <f>VLOOKUP($H43,RoR!$E:$F,2,FALSE)</f>
        <v>4.2350000000000006E-2</v>
      </c>
      <c r="DE43" s="304">
        <f>HLOOKUP($H43,'GDP-PI'!$D$8:$CQ$11,3,FALSE)</f>
        <v>1.7730000000000024E-2</v>
      </c>
      <c r="DF43" s="303">
        <f>VLOOKUP(H43,'HW Dx Data'!$E:$F,2,FALSE)</f>
        <v>663.24840548821396</v>
      </c>
      <c r="DG43" s="89">
        <f ca="1">VLOOKUP(CC43,'ECI - Input Price'!M$13:N$33,2,FALSE)</f>
        <v>126.8</v>
      </c>
      <c r="DH43" s="89"/>
      <c r="DI43" s="89"/>
      <c r="DJ43" s="56">
        <f t="shared" ca="1" si="108"/>
        <v>1.5898586067798204E-2</v>
      </c>
      <c r="DK43" s="53">
        <f>HLOOKUP(H43,'GDP-PI'!$8:$9,2,FALSE)</f>
        <v>101.773</v>
      </c>
      <c r="DL43" s="355">
        <f t="shared" si="101"/>
        <v>1.7574657016510519E-2</v>
      </c>
      <c r="DO43" s="398">
        <v>1.9939254211924117E-2</v>
      </c>
      <c r="DP43" s="398"/>
      <c r="DQ43" s="398"/>
      <c r="DR43" s="398"/>
      <c r="DS43" s="398"/>
      <c r="DT43" s="398"/>
      <c r="DU43" s="398"/>
      <c r="DV43" s="398"/>
      <c r="DW43" s="398"/>
      <c r="DX43" s="398"/>
      <c r="DY43" s="398"/>
      <c r="EC43">
        <f t="shared" si="20"/>
        <v>2013</v>
      </c>
    </row>
    <row r="44" spans="1:133" s="126" customFormat="1" ht="21" customHeight="1" x14ac:dyDescent="0.4">
      <c r="A44" s="233" t="s">
        <v>179</v>
      </c>
      <c r="B44" s="127" t="s">
        <v>179</v>
      </c>
      <c r="C44" s="127">
        <v>4057075</v>
      </c>
      <c r="D44" s="127" t="s">
        <v>180</v>
      </c>
      <c r="E44" s="127"/>
      <c r="F44" s="127"/>
      <c r="G44" s="127" t="s">
        <v>170</v>
      </c>
      <c r="H44" s="128">
        <v>2014</v>
      </c>
      <c r="I44" s="129"/>
      <c r="J44" s="125">
        <f>IFERROR(INDEX('Labor Expenditures'!$E$7:$W$91,MATCH($C44,'Labor Expenditures'!$C$7:$C$91,0),MATCH($G44,'Labor Expenditures'!$E$5:$W$5,0)),"NA")</f>
        <v>23318.097564163283</v>
      </c>
      <c r="K44" s="125">
        <f t="shared" ca="1" si="102"/>
        <v>180.20168133047358</v>
      </c>
      <c r="L44" s="47"/>
      <c r="M44" s="131">
        <f t="shared" ca="1" si="109"/>
        <v>2.9048632612071377E-3</v>
      </c>
      <c r="N44" s="59"/>
      <c r="O44" s="59"/>
      <c r="P44" s="59">
        <f t="shared" ca="1" si="111"/>
        <v>2.5441301603607919E-5</v>
      </c>
      <c r="Q44" s="61"/>
      <c r="R44" s="387"/>
      <c r="S44" s="49">
        <f t="shared" ca="1" si="116"/>
        <v>98.655389465944239</v>
      </c>
      <c r="T44" s="61">
        <f ca="1">+P44+P69+P94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</f>
        <v>-9.5574781080158509E-3</v>
      </c>
      <c r="U44" s="61">
        <f t="shared" ca="1" si="117"/>
        <v>-9.5574781080158509E-3</v>
      </c>
      <c r="V44" s="125">
        <f>IFERROR(INDEX('Non-Labor Expenditures'!$E$7:$AA$91,MATCH($C44,'Non-Labor Expenditures'!$C$7:$C$91,0),MATCH($G44,'Non-Labor Expenditures'!$E$5:$AA$5,0)),"NA")</f>
        <v>33768.96049277659</v>
      </c>
      <c r="W44" s="125">
        <f t="shared" si="103"/>
        <v>325.80740873133414</v>
      </c>
      <c r="X44" s="131">
        <f t="shared" si="112"/>
        <v>4.9561514266258993E-3</v>
      </c>
      <c r="Y44" s="131">
        <f t="shared" si="113"/>
        <v>4.3406842904386186E-5</v>
      </c>
      <c r="Z44" s="131"/>
      <c r="AA44" s="131"/>
      <c r="AB44" s="131"/>
      <c r="AC44" s="125">
        <f t="shared" si="93"/>
        <v>29699.601417999747</v>
      </c>
      <c r="AD44" s="129"/>
      <c r="AE44" s="133">
        <v>2140.1861185553371</v>
      </c>
      <c r="AF44" s="134">
        <v>3.1050935701747676E-2</v>
      </c>
      <c r="AG44" s="59">
        <f t="shared" si="104"/>
        <v>2.7194953745744265E-4</v>
      </c>
      <c r="AH44" s="134"/>
      <c r="AI44" s="134"/>
      <c r="AJ44" s="129">
        <f t="shared" si="94"/>
        <v>86786.659474939617</v>
      </c>
      <c r="AK44" s="134">
        <f t="shared" si="114"/>
        <v>3.2370187426721556E-2</v>
      </c>
      <c r="AL44" s="129"/>
      <c r="AM44" s="129"/>
      <c r="AN44" s="129"/>
      <c r="AO44" s="129"/>
      <c r="AP44" s="133">
        <f t="shared" si="115"/>
        <v>265.86117791830441</v>
      </c>
      <c r="AQ44" s="134">
        <f>+BB44/Outputs!$B$22</f>
        <v>9.0336474559554476E-3</v>
      </c>
      <c r="AR44" s="93">
        <f t="shared" si="105"/>
        <v>0.26868297161381793</v>
      </c>
      <c r="AS44" s="93">
        <f t="shared" si="106"/>
        <v>0.3891031259536803</v>
      </c>
      <c r="AT44" s="93">
        <f t="shared" si="107"/>
        <v>0.34221390243250183</v>
      </c>
      <c r="AU44" s="93">
        <f t="shared" ca="1" si="110"/>
        <v>1.3253420087962884E-2</v>
      </c>
      <c r="AV44" s="132">
        <f t="shared" ca="1" si="119"/>
        <v>122.47897310789097</v>
      </c>
      <c r="AW44" s="134">
        <f t="shared" ca="1" si="120"/>
        <v>1.3253420087962813E-2</v>
      </c>
      <c r="AX44" s="56">
        <f>+AJ44/$AL$19</f>
        <v>8.7581752791474239E-3</v>
      </c>
      <c r="AY44" s="135">
        <f t="shared" ca="1" si="118"/>
        <v>1.1607577617855179E-4</v>
      </c>
      <c r="AZ44" s="93"/>
      <c r="BA44" s="93"/>
      <c r="BB44" s="234">
        <f>IFERROR(INDEX('Total Customers'!$E$7:$AA$91,MATCH($C44,'Total Customers'!$C$7:$C$91,0),MATCH($G44,'Total Customers'!$E$5:$AA$5,0)),"NA")</f>
        <v>326436</v>
      </c>
      <c r="BC44" s="411">
        <f t="shared" si="15"/>
        <v>1.0281323389371613E-2</v>
      </c>
      <c r="BD44" s="92"/>
      <c r="BE44" s="281" t="str">
        <f t="shared" si="0"/>
        <v>AVISTA CORPORATION</v>
      </c>
      <c r="BF44" s="290">
        <f t="shared" si="1"/>
        <v>4057075</v>
      </c>
      <c r="BG44" s="46" t="str">
        <f t="shared" si="2"/>
        <v>WA</v>
      </c>
      <c r="BH44" s="46"/>
      <c r="BI44" s="46" t="str">
        <f t="shared" si="3"/>
        <v>2014 Y</v>
      </c>
      <c r="BJ44" s="129"/>
      <c r="BK44" s="129"/>
      <c r="BL44" s="129">
        <f>INDEX('Dist. Plant Gas Additions'!$E$7:$AD$91,MATCH($C44,'Dist. Plant Gas Additions'!$C$7:$C$91,0),MATCH(Calculation!$G44,'Dist. Plant Gas Additions'!$E$5:$AD$5,0))</f>
        <v>52761</v>
      </c>
      <c r="BM44" s="129">
        <f>INDEX('Gen. Plant Additions'!$E$7:$AD$91,MATCH($C44,'Gen. Plant Additions'!$C$7:$C$91,0),MATCH(Calculation!$G44,'Gen. Plant Additions'!$E$5:$AD$5,0))</f>
        <v>3208</v>
      </c>
      <c r="BN44" s="393">
        <f t="shared" si="83"/>
        <v>0.95928551049086819</v>
      </c>
      <c r="BO44" s="46">
        <f t="shared" ref="BO44:BO62" si="121">+BN44*BM44</f>
        <v>3077.3879176547052</v>
      </c>
      <c r="BP44" s="46">
        <f t="shared" ref="BP44:BP62" si="122">+BO44-BM44</f>
        <v>-130.61208234529477</v>
      </c>
      <c r="BQ44" s="129">
        <f>INDEX('Dist Plant Depreciation'!$D$7:$AC$94,MATCH($C44,'Dist Plant Depreciation'!$C$7:$C$94,0),MATCH(Calculation!$G44,'Dist Plant Depreciation'!$D$5:$AC$5,0))</f>
        <v>269811</v>
      </c>
      <c r="BR44" s="129">
        <f>INDEX('Gen. Plant Depreciation'!$D$7:$AC$94,MATCH($C44,'Gen. Plant Depreciation'!$C$7:$C$94,0),MATCH(Calculation!$G44,'Gen. Plant Depreciation'!$D$5:$AC$5,0))</f>
        <v>12936</v>
      </c>
      <c r="BS44" s="137">
        <v>1969</v>
      </c>
      <c r="BT44" s="137">
        <f t="shared" si="59"/>
        <v>22</v>
      </c>
      <c r="BU44" s="333">
        <v>78.646629139392843</v>
      </c>
      <c r="BV44" s="93">
        <f t="shared" si="82"/>
        <v>1.6591251885369532E-2</v>
      </c>
      <c r="BW44" s="334">
        <f t="shared" si="60"/>
        <v>1.3048460339869099</v>
      </c>
      <c r="BX44" s="334"/>
      <c r="BY44" s="129">
        <f>INDEX('Gross Dx Plant'!$D$7:$AC$91,MATCH($C44,'Gross Dx Plant'!$C$7:$C$91,0),MATCH(Calculation!$G44,'Gross Dx Plant'!$D$5:$AC$5,0))</f>
        <v>810296</v>
      </c>
      <c r="BZ44" s="129">
        <f>INDEX('Gross Gen Plant'!$D$7:$AC$91,MATCH($C44,'Gross Gen Plant'!$C$7:$C$91,0),MATCH(Calculation!$G44,'Gross Gen Plant'!$D$5:$AC$5,0))</f>
        <v>34391</v>
      </c>
      <c r="CA44" s="129">
        <f t="shared" si="39"/>
        <v>561940</v>
      </c>
      <c r="CB44" s="129"/>
      <c r="CC44" s="133">
        <v>2014</v>
      </c>
      <c r="CD44" s="129"/>
      <c r="CE44" s="129"/>
      <c r="CF44" s="129"/>
      <c r="CG44" s="137"/>
      <c r="CH44" s="129">
        <f t="shared" si="84"/>
        <v>55969</v>
      </c>
      <c r="CI44" s="46">
        <f t="shared" si="16"/>
        <v>55838.387917654705</v>
      </c>
      <c r="CJ44" s="46">
        <f t="shared" si="85"/>
        <v>81.579116459683249</v>
      </c>
      <c r="CK44" s="443">
        <v>0.81395348837209303</v>
      </c>
      <c r="CL44" s="46">
        <f>+CL28*CK44+CJ29*CK43+CJ30*CK42+CJ31*CK41+CJ32*CK40+CJ33*CK39+CJ34*CK38+CJ35*CK37+CJ36*CK36+CJ37*CK35+CJ38*CK34+CJ39*CK33+CJ40*CK32+CJ41*CK31+CJ42*CK30+CJ43*CK29+CJ44</f>
        <v>1996.1231296820399</v>
      </c>
      <c r="CM44" s="134">
        <f t="shared" si="86"/>
        <v>2.7127809997766032E-2</v>
      </c>
      <c r="CN44" s="135">
        <f t="shared" si="87"/>
        <v>1.4493516115587537E-2</v>
      </c>
      <c r="CO44" s="135">
        <f t="shared" si="97"/>
        <v>1.4167183858974678E-2</v>
      </c>
      <c r="CP44" s="134">
        <f>VLOOKUP($H44,RoR!$E:$F,2,FALSE)</f>
        <v>4.1625000000000002E-2</v>
      </c>
      <c r="CQ44" s="135">
        <v>1.841352814597208E-2</v>
      </c>
      <c r="CR44" s="135">
        <f t="shared" si="95"/>
        <v>2.3211471854027922E-2</v>
      </c>
      <c r="CS44" s="135">
        <f t="shared" si="98"/>
        <v>1.6734757749558946E-2</v>
      </c>
      <c r="CT44" s="56">
        <f t="shared" si="99"/>
        <v>3.9072621432650924E-2</v>
      </c>
      <c r="CU44" s="139">
        <f t="shared" si="88"/>
        <v>0.87050000000000005</v>
      </c>
      <c r="CV44" s="335">
        <f t="shared" si="89"/>
        <v>1.2320012320012319</v>
      </c>
      <c r="CW44" s="335">
        <f t="shared" si="90"/>
        <v>0.37439939939939942</v>
      </c>
      <c r="CX44" s="335">
        <f t="shared" si="91"/>
        <v>0.80432100613819935</v>
      </c>
      <c r="CY44" s="335">
        <f t="shared" si="92"/>
        <v>0.37100152660040037</v>
      </c>
      <c r="CZ44" s="336">
        <f>INDEX('State Tax Lookup'!$D$7:$Z$91,MATCH(Calculation!$C44,'State Tax Lookup'!$B$7:$B$91,0),MATCH($H44,'State Tax Lookup'!$D$6:$Z$6,0))</f>
        <v>0.35</v>
      </c>
      <c r="DA44" s="303">
        <v>0.37</v>
      </c>
      <c r="DB44" s="57">
        <f t="shared" si="96"/>
        <v>15.287791538915172</v>
      </c>
      <c r="DC44" s="56">
        <f t="shared" si="100"/>
        <v>1.2156470621738873E-2</v>
      </c>
      <c r="DD44" s="303">
        <f>VLOOKUP($H44,RoR!$E:$F,2,FALSE)</f>
        <v>4.1625000000000002E-2</v>
      </c>
      <c r="DE44" s="304">
        <f>HLOOKUP($H44,'GDP-PI'!$D$8:$CQ$11,3,FALSE)</f>
        <v>1.841352814597208E-2</v>
      </c>
      <c r="DF44" s="303">
        <f>VLOOKUP(H44,'HW Dx Data'!$E:$F,2,FALSE)</f>
        <v>684.46914285042885</v>
      </c>
      <c r="DG44" s="89">
        <f ca="1">VLOOKUP(CC44,'ECI - Input Price'!M$13:N$33,2,FALSE)</f>
        <v>129.4</v>
      </c>
      <c r="DH44" s="89"/>
      <c r="DI44" s="89"/>
      <c r="DJ44" s="56">
        <f t="shared" ca="1" si="108"/>
        <v>2.0297340063674733E-2</v>
      </c>
      <c r="DK44" s="53">
        <f>HLOOKUP(H44,'GDP-PI'!$8:$9,2,FALSE)</f>
        <v>103.64700000000001</v>
      </c>
      <c r="DL44" s="355">
        <f t="shared" si="101"/>
        <v>1.8246051898256087E-2</v>
      </c>
      <c r="DO44" s="398">
        <v>2.8874531128939519E-3</v>
      </c>
      <c r="DP44" s="398"/>
      <c r="DQ44" s="398"/>
      <c r="DR44" s="398"/>
      <c r="DS44" s="398"/>
      <c r="DT44" s="398"/>
      <c r="DU44" s="398"/>
      <c r="DV44" s="398"/>
      <c r="DW44" s="398"/>
      <c r="DX44" s="398"/>
      <c r="DY44" s="398"/>
      <c r="EC44">
        <f t="shared" si="20"/>
        <v>2014</v>
      </c>
    </row>
    <row r="45" spans="1:133" s="126" customFormat="1" ht="21" customHeight="1" x14ac:dyDescent="0.4">
      <c r="A45" s="233" t="s">
        <v>179</v>
      </c>
      <c r="B45" s="127" t="s">
        <v>179</v>
      </c>
      <c r="C45" s="127">
        <v>4057075</v>
      </c>
      <c r="D45" s="127" t="s">
        <v>180</v>
      </c>
      <c r="E45" s="127"/>
      <c r="F45" s="127"/>
      <c r="G45" s="127" t="s">
        <v>171</v>
      </c>
      <c r="H45" s="128">
        <v>2015</v>
      </c>
      <c r="I45" s="129"/>
      <c r="J45" s="125">
        <f>IFERROR(INDEX('Labor Expenditures'!$E$7:$W$91,MATCH($C45,'Labor Expenditures'!$C$7:$C$91,0),MATCH($G45,'Labor Expenditures'!$E$5:$W$5,0)),"NA")</f>
        <v>24501.992278303231</v>
      </c>
      <c r="K45" s="125">
        <f t="shared" ca="1" si="102"/>
        <v>183.53552268391934</v>
      </c>
      <c r="L45" s="47"/>
      <c r="M45" s="131">
        <f t="shared" ca="1" si="109"/>
        <v>1.8331557379692543E-2</v>
      </c>
      <c r="N45" s="59"/>
      <c r="O45" s="59"/>
      <c r="P45" s="59">
        <f t="shared" ca="1" si="111"/>
        <v>1.6486174637844931E-4</v>
      </c>
      <c r="Q45" s="61"/>
      <c r="R45" s="387"/>
      <c r="S45" s="49">
        <f t="shared" ca="1" si="116"/>
        <v>96.651818602090117</v>
      </c>
      <c r="T45" s="61">
        <f ca="1">+P45+P70+P95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</f>
        <v>-2.0517841323816646E-2</v>
      </c>
      <c r="U45" s="61">
        <f t="shared" ca="1" si="117"/>
        <v>-2.0517841323816646E-2</v>
      </c>
      <c r="V45" s="125">
        <f>IFERROR(INDEX('Non-Labor Expenditures'!$E$7:$AA$91,MATCH($C45,'Non-Labor Expenditures'!$C$7:$C$91,0),MATCH($G45,'Non-Labor Expenditures'!$E$5:$AA$5,0)),"NA")</f>
        <v>35483.461159882507</v>
      </c>
      <c r="W45" s="125">
        <f t="shared" si="103"/>
        <v>339.10359579012135</v>
      </c>
      <c r="X45" s="131">
        <f t="shared" si="112"/>
        <v>3.9999216967753416E-2</v>
      </c>
      <c r="Y45" s="131">
        <f t="shared" si="113"/>
        <v>3.5972616109417158E-4</v>
      </c>
      <c r="Z45" s="131"/>
      <c r="AA45" s="131"/>
      <c r="AB45" s="131"/>
      <c r="AC45" s="125">
        <f t="shared" si="93"/>
        <v>29593.204200533655</v>
      </c>
      <c r="AD45" s="129"/>
      <c r="AE45" s="133">
        <v>2232.5362268898111</v>
      </c>
      <c r="AF45" s="134">
        <v>4.2245464147649667E-2</v>
      </c>
      <c r="AG45" s="59">
        <f t="shared" si="104"/>
        <v>3.7992740342209289E-4</v>
      </c>
      <c r="AH45" s="134"/>
      <c r="AI45" s="134"/>
      <c r="AJ45" s="129">
        <f t="shared" si="94"/>
        <v>89578.657638719393</v>
      </c>
      <c r="AK45" s="134">
        <f t="shared" si="114"/>
        <v>3.166417844193134E-2</v>
      </c>
      <c r="AL45" s="129"/>
      <c r="AM45" s="129"/>
      <c r="AN45" s="129"/>
      <c r="AO45" s="129"/>
      <c r="AP45" s="133">
        <f t="shared" si="115"/>
        <v>269.03729468620674</v>
      </c>
      <c r="AQ45" s="134">
        <f>+BB45/Outputs!$B$23</f>
        <v>9.1392664344300458E-3</v>
      </c>
      <c r="AR45" s="93">
        <f t="shared" si="105"/>
        <v>0.27352488778211509</v>
      </c>
      <c r="AS45" s="93">
        <f t="shared" si="106"/>
        <v>0.39611512491056988</v>
      </c>
      <c r="AT45" s="93">
        <f t="shared" si="107"/>
        <v>0.33035998730731503</v>
      </c>
      <c r="AU45" s="93">
        <f t="shared" ca="1" si="110"/>
        <v>3.4880412907622248E-2</v>
      </c>
      <c r="AV45" s="132">
        <f t="shared" ca="1" si="119"/>
        <v>126.82647074828418</v>
      </c>
      <c r="AW45" s="134">
        <f t="shared" ca="1" si="120"/>
        <v>3.4880412907622262E-2</v>
      </c>
      <c r="AX45" s="56">
        <f>+AJ45/$AL$20</f>
        <v>8.9933300790406914E-3</v>
      </c>
      <c r="AY45" s="135">
        <f t="shared" ca="1" si="118"/>
        <v>3.1369106657147848E-4</v>
      </c>
      <c r="AZ45" s="93"/>
      <c r="BA45" s="93"/>
      <c r="BB45" s="234">
        <f>IFERROR(INDEX('Total Customers'!$E$7:$AA$91,MATCH($C45,'Total Customers'!$C$7:$C$91,0),MATCH($G45,'Total Customers'!$E$5:$AA$5,0)),"NA")</f>
        <v>332960</v>
      </c>
      <c r="BC45" s="411">
        <f t="shared" si="15"/>
        <v>1.9788451519674358E-2</v>
      </c>
      <c r="BD45" s="92"/>
      <c r="BE45" s="281" t="str">
        <f t="shared" si="0"/>
        <v>AVISTA CORPORATION</v>
      </c>
      <c r="BF45" s="290">
        <f t="shared" si="1"/>
        <v>4057075</v>
      </c>
      <c r="BG45" s="46" t="str">
        <f t="shared" si="2"/>
        <v>WA</v>
      </c>
      <c r="BH45" s="46"/>
      <c r="BI45" s="46" t="str">
        <f t="shared" si="3"/>
        <v>2015 Y</v>
      </c>
      <c r="BJ45" s="129"/>
      <c r="BK45" s="129"/>
      <c r="BL45" s="129">
        <f>INDEX('Dist. Plant Gas Additions'!$E$7:$AD$91,MATCH($C45,'Dist. Plant Gas Additions'!$C$7:$C$91,0),MATCH(Calculation!$G45,'Dist. Plant Gas Additions'!$E$5:$AD$5,0))</f>
        <v>70596</v>
      </c>
      <c r="BM45" s="129">
        <f>INDEX('Gen. Plant Additions'!$E$7:$AD$91,MATCH($C45,'Gen. Plant Additions'!$C$7:$C$91,0),MATCH(Calculation!$G45,'Gen. Plant Additions'!$E$5:$AD$5,0))</f>
        <v>3521</v>
      </c>
      <c r="BN45" s="393">
        <f t="shared" si="83"/>
        <v>0.95956009206968995</v>
      </c>
      <c r="BO45" s="46">
        <f t="shared" si="121"/>
        <v>3378.6110841773784</v>
      </c>
      <c r="BP45" s="46">
        <f t="shared" si="122"/>
        <v>-142.38891582262158</v>
      </c>
      <c r="BQ45" s="129">
        <f>INDEX('Dist Plant Depreciation'!$D$7:$AC$94,MATCH($C45,'Dist Plant Depreciation'!$C$7:$C$94,0),MATCH(Calculation!$G45,'Dist Plant Depreciation'!$D$5:$AC$5,0))</f>
        <v>286927</v>
      </c>
      <c r="BR45" s="129">
        <f>INDEX('Gen. Plant Depreciation'!$D$7:$AC$94,MATCH($C45,'Gen. Plant Depreciation'!$C$7:$C$94,0),MATCH(Calculation!$G45,'Gen. Plant Depreciation'!$D$5:$AC$5,0))</f>
        <v>14289</v>
      </c>
      <c r="BS45" s="137">
        <v>1970</v>
      </c>
      <c r="BT45" s="137">
        <f t="shared" si="59"/>
        <v>23</v>
      </c>
      <c r="BU45" s="333">
        <v>84.678235168060581</v>
      </c>
      <c r="BV45" s="93">
        <f t="shared" si="82"/>
        <v>1.7345399698340876E-2</v>
      </c>
      <c r="BW45" s="334">
        <f t="shared" si="60"/>
        <v>1.4687778347401157</v>
      </c>
      <c r="BX45" s="334"/>
      <c r="BY45" s="129">
        <f>INDEX('Gross Dx Plant'!$D$7:$AC$91,MATCH($C45,'Gross Dx Plant'!$C$7:$C$91,0),MATCH(Calculation!$G45,'Gross Dx Plant'!$D$5:$AC$5,0))</f>
        <v>878792</v>
      </c>
      <c r="BZ45" s="129">
        <f>INDEX('Gross Gen Plant'!$D$7:$AC$91,MATCH($C45,'Gross Gen Plant'!$C$7:$C$91,0),MATCH(Calculation!$G45,'Gross Gen Plant'!$D$5:$AC$5,0))</f>
        <v>37036</v>
      </c>
      <c r="CA45" s="129">
        <f t="shared" si="39"/>
        <v>614612</v>
      </c>
      <c r="CB45" s="129"/>
      <c r="CC45" s="133">
        <v>2015</v>
      </c>
      <c r="CD45" s="129"/>
      <c r="CE45" s="129"/>
      <c r="CF45" s="129"/>
      <c r="CG45" s="137"/>
      <c r="CH45" s="129">
        <f t="shared" si="84"/>
        <v>74117</v>
      </c>
      <c r="CI45" s="46">
        <f t="shared" si="16"/>
        <v>73974.611084177377</v>
      </c>
      <c r="CJ45" s="46">
        <f t="shared" si="85"/>
        <v>109.4923162723875</v>
      </c>
      <c r="CK45" s="443">
        <v>0.8</v>
      </c>
      <c r="CL45" s="46">
        <f>+CL28*CK45+CJ29*CK44+CJ30*CK43+CJ31*CK42+CJ32*CK41+CJ33*CK40+CJ34*CK39+CJ35*CK38+CJ36*CK37+CJ37*CK36+CJ38*CK35+CJ39*CK34+CJ40*CK33+CJ41*CK32+CJ42*CK31+CJ43*CK30+CJ44*CK29+CJ45</f>
        <v>2076.0109344276066</v>
      </c>
      <c r="CM45" s="134">
        <f t="shared" si="86"/>
        <v>3.9241368151005027E-2</v>
      </c>
      <c r="CN45" s="135">
        <f t="shared" si="87"/>
        <v>1.4831004704372375E-2</v>
      </c>
      <c r="CO45" s="135">
        <f t="shared" si="97"/>
        <v>1.4511579565023606E-2</v>
      </c>
      <c r="CP45" s="134">
        <f>VLOOKUP($H45,RoR!$E:$F,2,FALSE)</f>
        <v>3.8866666666666674E-2</v>
      </c>
      <c r="CQ45" s="135">
        <v>9.5709475431029478E-3</v>
      </c>
      <c r="CR45" s="135">
        <f t="shared" si="95"/>
        <v>2.9295719123563727E-2</v>
      </c>
      <c r="CS45" s="135">
        <f t="shared" si="98"/>
        <v>1.6390362043510021E-2</v>
      </c>
      <c r="CT45" s="56">
        <f t="shared" si="99"/>
        <v>3.5270373279175926E-3</v>
      </c>
      <c r="CU45" s="139">
        <f t="shared" si="88"/>
        <v>0.87050000000000005</v>
      </c>
      <c r="CV45" s="335">
        <f t="shared" si="89"/>
        <v>1.3194352816994324</v>
      </c>
      <c r="CW45" s="335">
        <f t="shared" si="90"/>
        <v>0.33177530017152673</v>
      </c>
      <c r="CX45" s="335">
        <f t="shared" si="91"/>
        <v>0.78242572977668579</v>
      </c>
      <c r="CY45" s="335">
        <f t="shared" si="92"/>
        <v>0.34251158643433932</v>
      </c>
      <c r="CZ45" s="336">
        <f>INDEX('State Tax Lookup'!$D$7:$Z$91,MATCH(Calculation!$C45,'State Tax Lookup'!$B$7:$B$91,0),MATCH($H45,'State Tax Lookup'!$D$6:$Z$6,0))</f>
        <v>0.35</v>
      </c>
      <c r="DA45" s="303">
        <v>0.37</v>
      </c>
      <c r="DB45" s="57">
        <f t="shared" si="96"/>
        <v>14.825340060684294</v>
      </c>
      <c r="DC45" s="56">
        <f t="shared" si="100"/>
        <v>-3.0716688296110923E-2</v>
      </c>
      <c r="DD45" s="303">
        <f>VLOOKUP($H45,RoR!$E:$F,2,FALSE)</f>
        <v>3.8866666666666674E-2</v>
      </c>
      <c r="DE45" s="304">
        <f>HLOOKUP($H45,'GDP-PI'!$D$8:$CQ$11,3,FALSE)</f>
        <v>9.5709475431029478E-3</v>
      </c>
      <c r="DF45" s="303">
        <f>VLOOKUP(H45,'HW Dx Data'!$E:$F,2,FALSE)</f>
        <v>675.61463308665782</v>
      </c>
      <c r="DG45" s="89">
        <f ca="1">VLOOKUP(CC45,'ECI - Input Price'!M$13:N$33,2,FALSE)</f>
        <v>133.5</v>
      </c>
      <c r="DH45" s="89"/>
      <c r="DI45" s="89"/>
      <c r="DJ45" s="56">
        <f t="shared" ca="1" si="108"/>
        <v>3.1193095773504077E-2</v>
      </c>
      <c r="DK45" s="53">
        <f>HLOOKUP(H45,'GDP-PI'!$8:$9,2,FALSE)</f>
        <v>104.639</v>
      </c>
      <c r="DL45" s="355">
        <f t="shared" si="101"/>
        <v>9.5254361854427965E-3</v>
      </c>
      <c r="DO45" s="398">
        <v>1.2659506868757461E-2</v>
      </c>
      <c r="DP45" s="398"/>
      <c r="DQ45" s="398"/>
      <c r="DR45" s="398"/>
      <c r="DS45" s="398"/>
      <c r="DT45" s="398"/>
      <c r="DU45" s="398"/>
      <c r="DV45" s="398"/>
      <c r="DW45" s="398"/>
      <c r="DX45" s="398"/>
      <c r="DY45" s="398"/>
      <c r="EC45">
        <f t="shared" si="20"/>
        <v>2015</v>
      </c>
    </row>
    <row r="46" spans="1:133" s="126" customFormat="1" ht="21" customHeight="1" x14ac:dyDescent="0.4">
      <c r="A46" s="233" t="s">
        <v>179</v>
      </c>
      <c r="B46" s="127" t="s">
        <v>179</v>
      </c>
      <c r="C46" s="127">
        <v>4057075</v>
      </c>
      <c r="D46" s="127" t="s">
        <v>180</v>
      </c>
      <c r="E46" s="127"/>
      <c r="F46" s="127"/>
      <c r="G46" s="127" t="s">
        <v>172</v>
      </c>
      <c r="H46" s="128">
        <v>2016</v>
      </c>
      <c r="I46" s="129"/>
      <c r="J46" s="125">
        <f>IFERROR(INDEX('Labor Expenditures'!$E$7:$W$91,MATCH($C46,'Labor Expenditures'!$C$7:$C$91,0),MATCH($G46,'Labor Expenditures'!$E$5:$W$5,0)),"NA")</f>
        <v>25904.354962581656</v>
      </c>
      <c r="K46" s="125">
        <f t="shared" ca="1" si="102"/>
        <v>189.15191648471455</v>
      </c>
      <c r="L46" s="47"/>
      <c r="M46" s="131">
        <f t="shared" ca="1" si="109"/>
        <v>3.0142250248941484E-2</v>
      </c>
      <c r="N46" s="59"/>
      <c r="O46" s="59"/>
      <c r="P46" s="59">
        <f t="shared" ca="1" si="111"/>
        <v>2.739249720651926E-4</v>
      </c>
      <c r="Q46" s="61"/>
      <c r="R46" s="387"/>
      <c r="S46" s="49">
        <f t="shared" ca="1" si="116"/>
        <v>98.050316770117263</v>
      </c>
      <c r="T46" s="61">
        <f ca="1">+P46+P71+P96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</f>
        <v>1.4365761490369807E-2</v>
      </c>
      <c r="U46" s="61">
        <f t="shared" ca="1" si="117"/>
        <v>1.4365761490369807E-2</v>
      </c>
      <c r="V46" s="125">
        <f>IFERROR(INDEX('Non-Labor Expenditures'!$E$7:$AA$91,MATCH($C46,'Non-Labor Expenditures'!$C$7:$C$91,0),MATCH($G46,'Non-Labor Expenditures'!$E$5:$AA$5,0)),"NA")</f>
        <v>37514.344251937262</v>
      </c>
      <c r="W46" s="125">
        <f t="shared" si="103"/>
        <v>354.79254229342195</v>
      </c>
      <c r="X46" s="131">
        <f t="shared" si="112"/>
        <v>4.5227577750519575E-2</v>
      </c>
      <c r="Y46" s="131">
        <f t="shared" si="113"/>
        <v>4.1101652562659845E-4</v>
      </c>
      <c r="Z46" s="131"/>
      <c r="AA46" s="131"/>
      <c r="AB46" s="131"/>
      <c r="AC46" s="125">
        <f t="shared" si="93"/>
        <v>30026.434024562684</v>
      </c>
      <c r="AD46" s="129"/>
      <c r="AE46" s="133">
        <v>2336.6911675467604</v>
      </c>
      <c r="AF46" s="134">
        <v>4.5597637034293287E-2</v>
      </c>
      <c r="AG46" s="59">
        <f t="shared" si="104"/>
        <v>4.1437952865832267E-4</v>
      </c>
      <c r="AH46" s="134"/>
      <c r="AI46" s="134"/>
      <c r="AJ46" s="129">
        <f t="shared" si="94"/>
        <v>93445.133239081595</v>
      </c>
      <c r="AK46" s="134">
        <f t="shared" si="114"/>
        <v>4.225735816562598E-2</v>
      </c>
      <c r="AL46" s="129"/>
      <c r="AM46" s="129"/>
      <c r="AN46" s="129"/>
      <c r="AO46" s="129"/>
      <c r="AP46" s="133">
        <f t="shared" si="115"/>
        <v>277.93928514005239</v>
      </c>
      <c r="AQ46" s="134">
        <f>+BB46/Outputs!$B$24</f>
        <v>9.1486456340725691E-3</v>
      </c>
      <c r="AR46" s="93">
        <f t="shared" si="105"/>
        <v>0.27721459710806712</v>
      </c>
      <c r="AS46" s="93">
        <f t="shared" si="106"/>
        <v>0.40145851315719056</v>
      </c>
      <c r="AT46" s="93">
        <f t="shared" si="107"/>
        <v>0.32132688973474238</v>
      </c>
      <c r="AU46" s="93">
        <f t="shared" ca="1" si="110"/>
        <v>4.1194116391191624E-2</v>
      </c>
      <c r="AV46" s="132">
        <f t="shared" ca="1" si="119"/>
        <v>132.16007753550056</v>
      </c>
      <c r="AW46" s="134">
        <f t="shared" ca="1" si="120"/>
        <v>4.1194116391191617E-2</v>
      </c>
      <c r="AX46" s="56">
        <f>+AJ46/$AL$21</f>
        <v>9.0877412868275199E-3</v>
      </c>
      <c r="AY46" s="135">
        <f t="shared" ca="1" si="118"/>
        <v>3.7436147230261035E-4</v>
      </c>
      <c r="AZ46" s="93"/>
      <c r="BA46" s="93"/>
      <c r="BB46" s="234">
        <f>IFERROR(INDEX('Total Customers'!$E$7:$AA$91,MATCH($C46,'Total Customers'!$C$7:$C$91,0),MATCH($G46,'Total Customers'!$E$5:$AA$5,0)),"NA")</f>
        <v>336207</v>
      </c>
      <c r="BC46" s="411">
        <f t="shared" si="15"/>
        <v>9.7046790523548122E-3</v>
      </c>
      <c r="BD46" s="92"/>
      <c r="BE46" s="281" t="str">
        <f t="shared" si="0"/>
        <v>AVISTA CORPORATION</v>
      </c>
      <c r="BF46" s="290">
        <f t="shared" si="1"/>
        <v>4057075</v>
      </c>
      <c r="BG46" s="46" t="str">
        <f t="shared" si="2"/>
        <v>WA</v>
      </c>
      <c r="BH46" s="46"/>
      <c r="BI46" s="46" t="str">
        <f t="shared" si="3"/>
        <v>2016 Y</v>
      </c>
      <c r="BJ46" s="129"/>
      <c r="BK46" s="129"/>
      <c r="BL46" s="129">
        <f>INDEX('Dist. Plant Gas Additions'!$E$7:$AD$91,MATCH($C46,'Dist. Plant Gas Additions'!$C$7:$C$91,0),MATCH(Calculation!$G46,'Dist. Plant Gas Additions'!$E$5:$AD$5,0))</f>
        <v>78774</v>
      </c>
      <c r="BM46" s="129">
        <f>INDEX('Gen. Plant Additions'!$E$7:$AD$91,MATCH($C46,'Gen. Plant Additions'!$C$7:$C$91,0),MATCH(Calculation!$G46,'Gen. Plant Additions'!$E$5:$AD$5,0))</f>
        <v>3621</v>
      </c>
      <c r="BN46" s="393">
        <f t="shared" si="83"/>
        <v>0.96059272504311632</v>
      </c>
      <c r="BO46" s="46">
        <f t="shared" si="121"/>
        <v>3478.3062573811244</v>
      </c>
      <c r="BP46" s="46">
        <f t="shared" si="122"/>
        <v>-142.6937426188756</v>
      </c>
      <c r="BQ46" s="129">
        <f>INDEX('Dist Plant Depreciation'!$D$7:$AC$94,MATCH($C46,'Dist Plant Depreciation'!$C$7:$C$94,0),MATCH(Calculation!$G46,'Dist Plant Depreciation'!$D$5:$AC$5,0))</f>
        <v>304046</v>
      </c>
      <c r="BR46" s="129">
        <f>INDEX('Gen. Plant Depreciation'!$D$7:$AC$94,MATCH($C46,'Gen. Plant Depreciation'!$C$7:$C$94,0),MATCH(Calculation!$G46,'Gen. Plant Depreciation'!$D$5:$AC$5,0))</f>
        <v>16127</v>
      </c>
      <c r="BS46" s="137">
        <v>1971</v>
      </c>
      <c r="BT46" s="137">
        <f t="shared" si="59"/>
        <v>24</v>
      </c>
      <c r="BU46" s="333">
        <v>91.039941415400349</v>
      </c>
      <c r="BV46" s="93">
        <f t="shared" si="82"/>
        <v>1.8099547511312219E-2</v>
      </c>
      <c r="BW46" s="334">
        <f t="shared" si="60"/>
        <v>1.6477817450751195</v>
      </c>
      <c r="BX46" s="334"/>
      <c r="BY46" s="129">
        <f>INDEX('Gross Dx Plant'!$D$7:$AC$91,MATCH($C46,'Gross Dx Plant'!$C$7:$C$91,0),MATCH(Calculation!$G46,'Gross Dx Plant'!$D$5:$AC$5,0))</f>
        <v>954102</v>
      </c>
      <c r="BZ46" s="129">
        <f>INDEX('Gross Gen Plant'!$D$7:$AC$91,MATCH($C46,'Gross Gen Plant'!$C$7:$C$91,0),MATCH(Calculation!$G46,'Gross Gen Plant'!$D$5:$AC$5,0))</f>
        <v>39141</v>
      </c>
      <c r="CA46" s="129">
        <f t="shared" si="39"/>
        <v>673070</v>
      </c>
      <c r="CB46" s="129"/>
      <c r="CC46" s="133">
        <v>2016</v>
      </c>
      <c r="CD46" s="129"/>
      <c r="CE46" s="129"/>
      <c r="CF46" s="129"/>
      <c r="CG46" s="137"/>
      <c r="CH46" s="129">
        <f t="shared" si="84"/>
        <v>82395</v>
      </c>
      <c r="CI46" s="46">
        <f t="shared" si="16"/>
        <v>82252.306257381118</v>
      </c>
      <c r="CJ46" s="46">
        <f t="shared" si="85"/>
        <v>122.49835880565931</v>
      </c>
      <c r="CK46" s="443">
        <v>0.7857142857142857</v>
      </c>
      <c r="CL46" s="46">
        <f>+CL28*CK46+CJ29*CK45+CJ30*CK44+CJ31*CK43+CJ32*CK42+CJ33*CK41+CJ34*CK40+CJ35*CK39+CJ36*CK38+CJ37*CK37+CJ38*CK36+CJ39*CK35+CJ40*CK34+CJ41*CK33+CJ42*CK32+CJ43*CK31+CJ44*CK30+CJ45*CK29+CJ46</f>
        <v>2167.1421636714831</v>
      </c>
      <c r="CM46" s="134">
        <f t="shared" si="86"/>
        <v>4.2961091956601055E-2</v>
      </c>
      <c r="CN46" s="135">
        <f t="shared" si="87"/>
        <v>1.5109327721547505E-2</v>
      </c>
      <c r="CO46" s="135">
        <f t="shared" si="97"/>
        <v>1.4811282847169141E-2</v>
      </c>
      <c r="CP46" s="134">
        <f>VLOOKUP($H46,RoR!$E:$F,2,FALSE)</f>
        <v>3.6658333333333334E-2</v>
      </c>
      <c r="CQ46" s="135">
        <v>1.0483662879041455E-2</v>
      </c>
      <c r="CR46" s="135">
        <f t="shared" si="95"/>
        <v>2.6174670454291879E-2</v>
      </c>
      <c r="CS46" s="135">
        <f t="shared" si="98"/>
        <v>1.6090658761364486E-2</v>
      </c>
      <c r="CT46" s="56">
        <f t="shared" si="99"/>
        <v>4.301363574220729E-3</v>
      </c>
      <c r="CU46" s="139">
        <f t="shared" si="88"/>
        <v>0.87050000000000005</v>
      </c>
      <c r="CV46" s="335">
        <f t="shared" si="89"/>
        <v>1.3989193348138562</v>
      </c>
      <c r="CW46" s="335">
        <f t="shared" si="90"/>
        <v>0.29302682427824522</v>
      </c>
      <c r="CX46" s="335">
        <f t="shared" si="91"/>
        <v>0.76309497491941802</v>
      </c>
      <c r="CY46" s="335">
        <f t="shared" si="92"/>
        <v>0.31280857135128509</v>
      </c>
      <c r="CZ46" s="336">
        <f>INDEX('State Tax Lookup'!$D$7:$Z$91,MATCH(Calculation!$C46,'State Tax Lookup'!$B$7:$B$91,0),MATCH($H46,'State Tax Lookup'!$D$6:$Z$6,0))</f>
        <v>0.35</v>
      </c>
      <c r="DA46" s="303">
        <v>0.37</v>
      </c>
      <c r="DB46" s="57">
        <f t="shared" si="96"/>
        <v>14.463524024184155</v>
      </c>
      <c r="DC46" s="56">
        <f t="shared" si="100"/>
        <v>-2.4707987458458796E-2</v>
      </c>
      <c r="DD46" s="303">
        <f>VLOOKUP($H46,RoR!$E:$F,2,FALSE)</f>
        <v>3.6658333333333334E-2</v>
      </c>
      <c r="DE46" s="304">
        <f>HLOOKUP($H46,'GDP-PI'!$D$8:$CQ$11,3,FALSE)</f>
        <v>1.0483662879041455E-2</v>
      </c>
      <c r="DF46" s="303">
        <f>VLOOKUP(H46,'HW Dx Data'!$E:$F,2,FALSE)</f>
        <v>671.45639385971219</v>
      </c>
      <c r="DG46" s="89">
        <f ca="1">VLOOKUP(CC46,'ECI - Input Price'!M$13:N$33,2,FALSE)</f>
        <v>136.94999999999999</v>
      </c>
      <c r="DH46" s="89"/>
      <c r="DI46" s="89"/>
      <c r="DJ46" s="56">
        <f t="shared" ca="1" si="108"/>
        <v>2.5514417868782811E-2</v>
      </c>
      <c r="DK46" s="53">
        <f>HLOOKUP(H46,'GDP-PI'!$8:$9,2,FALSE)</f>
        <v>105.736</v>
      </c>
      <c r="DL46" s="355">
        <f t="shared" si="101"/>
        <v>1.0429090367205095E-2</v>
      </c>
      <c r="DO46" s="398">
        <v>0.10771265695923289</v>
      </c>
      <c r="DP46" s="398"/>
      <c r="DQ46" s="398"/>
      <c r="DR46" s="398"/>
      <c r="DS46" s="398"/>
      <c r="DT46" s="398"/>
      <c r="DU46" s="398"/>
      <c r="DV46" s="398"/>
      <c r="DW46" s="398"/>
      <c r="DX46" s="398"/>
      <c r="DY46" s="398"/>
      <c r="EC46">
        <f t="shared" si="20"/>
        <v>2016</v>
      </c>
    </row>
    <row r="47" spans="1:133" s="126" customFormat="1" ht="21" customHeight="1" x14ac:dyDescent="0.4">
      <c r="A47" s="233" t="s">
        <v>179</v>
      </c>
      <c r="B47" s="127" t="s">
        <v>179</v>
      </c>
      <c r="C47" s="127">
        <v>4057075</v>
      </c>
      <c r="D47" s="127" t="s">
        <v>180</v>
      </c>
      <c r="E47" s="127"/>
      <c r="F47" s="127"/>
      <c r="G47" s="127" t="s">
        <v>173</v>
      </c>
      <c r="H47" s="128">
        <v>2017</v>
      </c>
      <c r="I47" s="129"/>
      <c r="J47" s="125">
        <f>IFERROR(INDEX('Labor Expenditures'!$E$7:$W$91,MATCH($C47,'Labor Expenditures'!$C$7:$C$91,0),MATCH($G47,'Labor Expenditures'!$E$5:$W$5,0)),"NA")</f>
        <v>25770.019486053014</v>
      </c>
      <c r="K47" s="125">
        <f t="shared" ca="1" si="102"/>
        <v>183.48180481347822</v>
      </c>
      <c r="L47" s="47"/>
      <c r="M47" s="131">
        <f t="shared" ca="1" si="109"/>
        <v>-3.0434976868640856E-2</v>
      </c>
      <c r="N47" s="59"/>
      <c r="O47" s="59"/>
      <c r="P47" s="59">
        <f t="shared" ca="1" si="111"/>
        <v>-2.71014423458214E-4</v>
      </c>
      <c r="Q47" s="61"/>
      <c r="R47" s="387"/>
      <c r="S47" s="49">
        <f t="shared" ca="1" si="116"/>
        <v>98.575060295070074</v>
      </c>
      <c r="T47" s="61">
        <f ca="1">+P47+P72+P97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</f>
        <v>5.3375080935029245E-3</v>
      </c>
      <c r="U47" s="61">
        <f t="shared" ca="1" si="117"/>
        <v>5.3375080935029245E-3</v>
      </c>
      <c r="V47" s="125">
        <f>IFERROR(INDEX('Non-Labor Expenditures'!$E$7:$AA$91,MATCH($C47,'Non-Labor Expenditures'!$C$7:$C$91,0),MATCH($G47,'Non-Labor Expenditures'!$E$5:$AA$5,0)),"NA")</f>
        <v>37319.801391517729</v>
      </c>
      <c r="W47" s="125">
        <f t="shared" si="103"/>
        <v>346.35225094447128</v>
      </c>
      <c r="X47" s="131">
        <f t="shared" si="112"/>
        <v>-2.4076907255220711E-2</v>
      </c>
      <c r="Y47" s="131">
        <f t="shared" si="113"/>
        <v>-2.1439770322788908E-4</v>
      </c>
      <c r="Z47" s="131"/>
      <c r="AA47" s="131"/>
      <c r="AB47" s="131"/>
      <c r="AC47" s="125">
        <f t="shared" si="93"/>
        <v>28442.752146156141</v>
      </c>
      <c r="AD47" s="129"/>
      <c r="AE47" s="133">
        <v>2440.5317520065187</v>
      </c>
      <c r="AF47" s="134">
        <v>4.348004899031882E-2</v>
      </c>
      <c r="AG47" s="59">
        <f t="shared" si="104"/>
        <v>3.8717691358549023E-4</v>
      </c>
      <c r="AH47" s="134"/>
      <c r="AI47" s="134"/>
      <c r="AJ47" s="129">
        <f t="shared" si="94"/>
        <v>91532.573023726887</v>
      </c>
      <c r="AK47" s="134">
        <f t="shared" si="114"/>
        <v>-2.0679555514247012E-2</v>
      </c>
      <c r="AL47" s="129"/>
      <c r="AM47" s="129"/>
      <c r="AN47" s="129"/>
      <c r="AO47" s="129"/>
      <c r="AP47" s="133">
        <f t="shared" si="115"/>
        <v>266.84480996252933</v>
      </c>
      <c r="AQ47" s="134">
        <f>+BB47/Outputs!$B$25</f>
        <v>9.2638544340800343E-3</v>
      </c>
      <c r="AR47" s="93">
        <f t="shared" si="105"/>
        <v>0.28153933222627708</v>
      </c>
      <c r="AS47" s="93">
        <f t="shared" si="106"/>
        <v>0.40772153735745814</v>
      </c>
      <c r="AT47" s="93">
        <f t="shared" si="107"/>
        <v>0.31073913041626472</v>
      </c>
      <c r="AU47" s="93">
        <f t="shared" ca="1" si="110"/>
        <v>-4.5029772111436668E-3</v>
      </c>
      <c r="AV47" s="132">
        <f t="shared" ca="1" si="119"/>
        <v>131.56630160120838</v>
      </c>
      <c r="AW47" s="134">
        <f t="shared" ca="1" si="120"/>
        <v>-4.5029772111436434E-3</v>
      </c>
      <c r="AX47" s="56">
        <f>+AJ47/$AL$22</f>
        <v>8.9047027907373857E-3</v>
      </c>
      <c r="AY47" s="135">
        <f t="shared" ca="1" si="118"/>
        <v>-4.009767373869765E-5</v>
      </c>
      <c r="AZ47" s="93"/>
      <c r="BA47" s="93"/>
      <c r="BB47" s="234">
        <f>IFERROR(INDEX('Total Customers'!$E$7:$AA$91,MATCH($C47,'Total Customers'!$C$7:$C$91,0),MATCH($G47,'Total Customers'!$E$5:$AA$5,0)),"NA")</f>
        <v>343018</v>
      </c>
      <c r="BC47" s="411">
        <f t="shared" si="15"/>
        <v>2.0055882225442353E-2</v>
      </c>
      <c r="BD47" s="92"/>
      <c r="BE47" s="281" t="str">
        <f t="shared" si="0"/>
        <v>AVISTA CORPORATION</v>
      </c>
      <c r="BF47" s="290">
        <f t="shared" si="1"/>
        <v>4057075</v>
      </c>
      <c r="BG47" s="46" t="str">
        <f t="shared" si="2"/>
        <v>WA</v>
      </c>
      <c r="BH47" s="46"/>
      <c r="BI47" s="46" t="str">
        <f t="shared" si="3"/>
        <v>2017 Y</v>
      </c>
      <c r="BJ47" s="129"/>
      <c r="BK47" s="129"/>
      <c r="BL47" s="129">
        <f>INDEX('Dist. Plant Gas Additions'!$E$7:$AD$91,MATCH($C47,'Dist. Plant Gas Additions'!$C$7:$C$91,0),MATCH(Calculation!$G47,'Dist. Plant Gas Additions'!$E$5:$AD$5,0))</f>
        <v>82850</v>
      </c>
      <c r="BM47" s="129">
        <f>INDEX('Gen. Plant Additions'!$E$7:$AD$91,MATCH($C47,'Gen. Plant Additions'!$C$7:$C$91,0),MATCH(Calculation!$G47,'Gen. Plant Additions'!$E$5:$AD$5,0))</f>
        <v>5291</v>
      </c>
      <c r="BN47" s="393">
        <f t="shared" si="83"/>
        <v>0.95917883976099338</v>
      </c>
      <c r="BO47" s="46">
        <f t="shared" si="121"/>
        <v>5075.0152411754161</v>
      </c>
      <c r="BP47" s="46">
        <f t="shared" si="122"/>
        <v>-215.98475882458388</v>
      </c>
      <c r="BQ47" s="129">
        <f>INDEX('Dist Plant Depreciation'!$D$7:$AC$94,MATCH($C47,'Dist Plant Depreciation'!$C$7:$C$94,0),MATCH(Calculation!$G47,'Dist Plant Depreciation'!$D$5:$AC$5,0))</f>
        <v>321664</v>
      </c>
      <c r="BR47" s="129">
        <f>INDEX('Gen. Plant Depreciation'!$D$7:$AC$94,MATCH($C47,'Gen. Plant Depreciation'!$C$7:$C$94,0),MATCH(Calculation!$G47,'Gen. Plant Depreciation'!$D$5:$AC$5,0))</f>
        <v>18547</v>
      </c>
      <c r="BS47" s="137">
        <v>1972</v>
      </c>
      <c r="BT47" s="137">
        <f t="shared" si="59"/>
        <v>25</v>
      </c>
      <c r="BU47" s="333">
        <v>96.33912828828781</v>
      </c>
      <c r="BV47" s="93">
        <f t="shared" si="82"/>
        <v>1.8853695324283559E-2</v>
      </c>
      <c r="BW47" s="334">
        <f t="shared" si="60"/>
        <v>1.8163485725544457</v>
      </c>
      <c r="BX47" s="334"/>
      <c r="BY47" s="129">
        <f>INDEX('Gross Dx Plant'!$D$7:$AC$91,MATCH($C47,'Gross Dx Plant'!$C$7:$C$91,0),MATCH(Calculation!$G47,'Gross Dx Plant'!$D$5:$AC$5,0))</f>
        <v>1032674</v>
      </c>
      <c r="BZ47" s="129">
        <f>INDEX('Gross Gen Plant'!$D$7:$AC$91,MATCH($C47,'Gross Gen Plant'!$C$7:$C$91,0),MATCH(Calculation!$G47,'Gross Gen Plant'!$D$5:$AC$5,0))</f>
        <v>43949</v>
      </c>
      <c r="CA47" s="129">
        <f t="shared" si="39"/>
        <v>736412</v>
      </c>
      <c r="CB47" s="129"/>
      <c r="CC47" s="133">
        <v>2017</v>
      </c>
      <c r="CD47" s="129"/>
      <c r="CE47" s="129"/>
      <c r="CF47" s="129"/>
      <c r="CG47" s="137"/>
      <c r="CH47" s="129">
        <f t="shared" si="84"/>
        <v>88141</v>
      </c>
      <c r="CI47" s="46">
        <f t="shared" si="16"/>
        <v>87925.01524117541</v>
      </c>
      <c r="CJ47" s="46">
        <f t="shared" si="85"/>
        <v>123.41590055841536</v>
      </c>
      <c r="CK47" s="443">
        <v>0.77108433734939763</v>
      </c>
      <c r="CL47" s="46">
        <f>+CL28*CK47+CJ29*CK46+CJ30*CK45+CJ31*CK44+CJ32*CK43+CJ33*CK42+CJ34*CK41+CJ35*CK40+CJ36*CK39+CJ37*CK38+CJ38*CK37+CJ39*CK36+CJ40*CK35+CJ41*CK34+CJ42*CK33+CJ43*CK32+CJ44*CK31+CJ45*CK30+CJ46*CK29+CJ47</f>
        <v>2257.2541908601688</v>
      </c>
      <c r="CM47" s="134">
        <f t="shared" si="86"/>
        <v>4.073979051410502E-2</v>
      </c>
      <c r="CN47" s="135">
        <f t="shared" si="87"/>
        <v>1.5367645892370803E-2</v>
      </c>
      <c r="CO47" s="135">
        <f t="shared" si="97"/>
        <v>1.5102659439430227E-2</v>
      </c>
      <c r="CP47" s="134">
        <f>VLOOKUP($H47,RoR!$E:$F,2,FALSE)</f>
        <v>3.7433333333333339E-2</v>
      </c>
      <c r="CQ47" s="135">
        <v>1.9056896421275615E-2</v>
      </c>
      <c r="CR47" s="135">
        <f t="shared" si="95"/>
        <v>1.8376436912057724E-2</v>
      </c>
      <c r="CS47" s="135">
        <f t="shared" si="98"/>
        <v>1.5799282169103396E-2</v>
      </c>
      <c r="CT47" s="56">
        <f t="shared" si="99"/>
        <v>1.3976271617800498E-2</v>
      </c>
      <c r="CU47" s="139">
        <f t="shared" si="88"/>
        <v>0.92230000000000001</v>
      </c>
      <c r="CV47" s="335">
        <f t="shared" si="89"/>
        <v>1.3699568463593395</v>
      </c>
      <c r="CW47" s="335">
        <f t="shared" si="90"/>
        <v>0.30714603739982199</v>
      </c>
      <c r="CX47" s="335">
        <f t="shared" si="91"/>
        <v>0.77007188472689425</v>
      </c>
      <c r="CY47" s="335">
        <f t="shared" si="92"/>
        <v>0.32402839633793828</v>
      </c>
      <c r="CZ47" s="336">
        <f>INDEX('State Tax Lookup'!$D$7:$Z$91,MATCH(Calculation!$C47,'State Tax Lookup'!$B$7:$B$91,0),MATCH($H47,'State Tax Lookup'!$D$6:$Z$6,0))</f>
        <v>0.20999999999999996</v>
      </c>
      <c r="DA47" s="303">
        <v>0.37</v>
      </c>
      <c r="DB47" s="57">
        <f t="shared" si="96"/>
        <v>13.124543753036303</v>
      </c>
      <c r="DC47" s="56">
        <f t="shared" si="100"/>
        <v>-9.714584928827967E-2</v>
      </c>
      <c r="DD47" s="303">
        <f>VLOOKUP($H47,RoR!$E:$F,2,FALSE)</f>
        <v>3.7433333333333339E-2</v>
      </c>
      <c r="DE47" s="304">
        <f>HLOOKUP($H47,'GDP-PI'!$D$8:$CQ$11,3,FALSE)</f>
        <v>1.9056896421275615E-2</v>
      </c>
      <c r="DF47" s="303">
        <f>VLOOKUP(H47,'HW Dx Data'!$E:$F,2,FALSE)</f>
        <v>712.42858370229726</v>
      </c>
      <c r="DG47" s="89">
        <f ca="1">VLOOKUP(CC47,'ECI - Input Price'!M$13:N$33,2,FALSE)</f>
        <v>140.44999999999999</v>
      </c>
      <c r="DH47" s="89"/>
      <c r="DI47" s="89"/>
      <c r="DJ47" s="56">
        <f t="shared" ca="1" si="108"/>
        <v>2.5235657841165486E-2</v>
      </c>
      <c r="DK47" s="53">
        <f>HLOOKUP(H47,'GDP-PI'!$8:$9,2,FALSE)</f>
        <v>107.751</v>
      </c>
      <c r="DL47" s="355">
        <f t="shared" si="101"/>
        <v>1.8877588227745139E-2</v>
      </c>
      <c r="DO47" s="398">
        <v>7.0758479803815387E-3</v>
      </c>
      <c r="DP47" s="398"/>
      <c r="DQ47" s="398"/>
      <c r="DR47" s="398"/>
      <c r="DS47" s="398"/>
      <c r="DT47" s="398"/>
      <c r="DU47" s="398"/>
      <c r="DV47" s="398"/>
      <c r="DW47" s="398"/>
      <c r="DX47" s="398"/>
      <c r="DY47" s="398"/>
      <c r="EC47">
        <f t="shared" si="20"/>
        <v>2017</v>
      </c>
    </row>
    <row r="48" spans="1:133" s="126" customFormat="1" ht="21" customHeight="1" x14ac:dyDescent="0.4">
      <c r="A48" s="233" t="s">
        <v>179</v>
      </c>
      <c r="B48" s="127" t="s">
        <v>179</v>
      </c>
      <c r="C48" s="127">
        <v>4057075</v>
      </c>
      <c r="D48" s="127" t="s">
        <v>180</v>
      </c>
      <c r="E48" s="127"/>
      <c r="F48" s="127"/>
      <c r="G48" s="127" t="s">
        <v>174</v>
      </c>
      <c r="H48" s="128">
        <v>2018</v>
      </c>
      <c r="I48" s="129"/>
      <c r="J48" s="125">
        <f>IFERROR(INDEX('Labor Expenditures'!$E$7:$W$91,MATCH($C48,'Labor Expenditures'!$C$7:$C$91,0),MATCH($G48,'Labor Expenditures'!$E$5:$W$5,0)),"NA")</f>
        <v>26872.00507433536</v>
      </c>
      <c r="K48" s="125">
        <f t="shared" ca="1" si="102"/>
        <v>186.02980321450579</v>
      </c>
      <c r="L48" s="47"/>
      <c r="M48" s="131">
        <f t="shared" ca="1" si="109"/>
        <v>1.3791386964932172E-2</v>
      </c>
      <c r="N48" s="59"/>
      <c r="O48" s="59"/>
      <c r="P48" s="59">
        <f t="shared" ca="1" si="111"/>
        <v>1.1971077926571409E-4</v>
      </c>
      <c r="Q48" s="61"/>
      <c r="R48" s="387"/>
      <c r="S48" s="49">
        <f t="shared" ca="1" si="116"/>
        <v>104.71611787709456</v>
      </c>
      <c r="T48" s="61">
        <f ca="1">+P48+P73+P98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</f>
        <v>6.043475802770603E-2</v>
      </c>
      <c r="U48" s="61">
        <f t="shared" ca="1" si="117"/>
        <v>6.043475802770603E-2</v>
      </c>
      <c r="V48" s="125">
        <f>IFERROR(INDEX('Non-Labor Expenditures'!$E$7:$AA$91,MATCH($C48,'Non-Labor Expenditures'!$C$7:$C$91,0),MATCH($G48,'Non-Labor Expenditures'!$E$5:$AA$5,0)),"NA")</f>
        <v>38915.682345867404</v>
      </c>
      <c r="W48" s="125">
        <f t="shared" si="103"/>
        <v>352.74634565968171</v>
      </c>
      <c r="X48" s="131">
        <f t="shared" si="112"/>
        <v>1.8292907610415153E-2</v>
      </c>
      <c r="Y48" s="131">
        <f t="shared" si="113"/>
        <v>1.5878448125969757E-4</v>
      </c>
      <c r="Z48" s="131"/>
      <c r="AA48" s="131"/>
      <c r="AB48" s="131"/>
      <c r="AC48" s="125">
        <f t="shared" si="93"/>
        <v>30804.13886046359</v>
      </c>
      <c r="AD48" s="129"/>
      <c r="AE48" s="133">
        <v>2574.0105407440492</v>
      </c>
      <c r="AF48" s="134">
        <v>5.324925753692876E-2</v>
      </c>
      <c r="AG48" s="59">
        <f t="shared" si="104"/>
        <v>4.6220950302352658E-4</v>
      </c>
      <c r="AH48" s="134"/>
      <c r="AI48" s="134"/>
      <c r="AJ48" s="129">
        <f t="shared" si="94"/>
        <v>96591.826280666355</v>
      </c>
      <c r="AK48" s="134">
        <f t="shared" si="114"/>
        <v>5.379922530406657E-2</v>
      </c>
      <c r="AL48" s="129"/>
      <c r="AM48" s="129"/>
      <c r="AN48" s="129"/>
      <c r="AO48" s="129"/>
      <c r="AP48" s="133">
        <f t="shared" si="115"/>
        <v>275.39909527067908</v>
      </c>
      <c r="AQ48" s="134">
        <f>+BB48/Outputs!$B$26</f>
        <v>9.3892830024460625E-3</v>
      </c>
      <c r="AR48" s="93">
        <f t="shared" si="105"/>
        <v>0.27820164613363368</v>
      </c>
      <c r="AS48" s="93">
        <f t="shared" si="106"/>
        <v>0.40288794450153903</v>
      </c>
      <c r="AT48" s="93">
        <f t="shared" si="107"/>
        <v>0.31891040936482729</v>
      </c>
      <c r="AU48" s="93">
        <f t="shared" ca="1" si="110"/>
        <v>2.8038189647138213E-2</v>
      </c>
      <c r="AV48" s="132">
        <f t="shared" ca="1" si="119"/>
        <v>135.30738402455319</v>
      </c>
      <c r="AW48" s="134">
        <f t="shared" ca="1" si="120"/>
        <v>2.8038189647138133E-2</v>
      </c>
      <c r="AX48" s="56">
        <f>+AJ48/$AL$23</f>
        <v>8.680111693632175E-3</v>
      </c>
      <c r="AY48" s="135">
        <f t="shared" ca="1" si="118"/>
        <v>2.4337461782440029E-4</v>
      </c>
      <c r="AZ48" s="93"/>
      <c r="BA48" s="93"/>
      <c r="BB48" s="234">
        <f>IFERROR(INDEX('Total Customers'!$E$7:$AA$91,MATCH($C48,'Total Customers'!$C$7:$C$91,0),MATCH($G48,'Total Customers'!$E$5:$AA$5,0)),"NA")</f>
        <v>350734</v>
      </c>
      <c r="BC48" s="411">
        <f t="shared" si="15"/>
        <v>2.2245177482988501E-2</v>
      </c>
      <c r="BD48" s="92"/>
      <c r="BE48" s="281" t="str">
        <f t="shared" si="0"/>
        <v>AVISTA CORPORATION</v>
      </c>
      <c r="BF48" s="290">
        <f t="shared" si="1"/>
        <v>4057075</v>
      </c>
      <c r="BG48" s="46" t="str">
        <f t="shared" si="2"/>
        <v>WA</v>
      </c>
      <c r="BH48" s="46"/>
      <c r="BI48" s="46" t="str">
        <f t="shared" si="3"/>
        <v>2018 Y</v>
      </c>
      <c r="BJ48" s="129"/>
      <c r="BK48" s="129"/>
      <c r="BL48" s="129">
        <f>INDEX('Dist. Plant Gas Additions'!$E$7:$AD$91,MATCH($C48,'Dist. Plant Gas Additions'!$C$7:$C$91,0),MATCH(Calculation!$G48,'Dist. Plant Gas Additions'!$E$5:$AD$5,0))</f>
        <v>96973</v>
      </c>
      <c r="BM48" s="129">
        <f>INDEX('Gen. Plant Additions'!$E$7:$AD$91,MATCH($C48,'Gen. Plant Additions'!$C$7:$C$91,0),MATCH(Calculation!$G48,'Gen. Plant Additions'!$E$5:$AD$5,0))</f>
        <v>19881</v>
      </c>
      <c r="BN48" s="393">
        <f t="shared" si="83"/>
        <v>0.9477859060368754</v>
      </c>
      <c r="BO48" s="46">
        <f t="shared" si="121"/>
        <v>18842.93159791912</v>
      </c>
      <c r="BP48" s="46">
        <f t="shared" si="122"/>
        <v>-1038.0684020808803</v>
      </c>
      <c r="BQ48" s="129">
        <f>INDEX('Dist Plant Depreciation'!$D$7:$AC$94,MATCH($C48,'Dist Plant Depreciation'!$C$7:$C$94,0),MATCH(Calculation!$G48,'Dist Plant Depreciation'!$D$5:$AC$5,0))</f>
        <v>340260</v>
      </c>
      <c r="BR48" s="129">
        <f>INDEX('Gen. Plant Depreciation'!$D$7:$AC$94,MATCH($C48,'Gen. Plant Depreciation'!$C$7:$C$94,0),MATCH(Calculation!$G48,'Gen. Plant Depreciation'!$D$5:$AC$5,0))</f>
        <v>19909</v>
      </c>
      <c r="BS48" s="137">
        <v>1973</v>
      </c>
      <c r="BT48" s="137">
        <f t="shared" si="59"/>
        <v>26</v>
      </c>
      <c r="BU48" s="333">
        <v>100</v>
      </c>
      <c r="BV48" s="93">
        <f t="shared" si="82"/>
        <v>1.9607843137254902E-2</v>
      </c>
      <c r="BW48" s="334">
        <f t="shared" si="60"/>
        <v>1.9607843137254901</v>
      </c>
      <c r="BX48" s="334"/>
      <c r="BY48" s="129">
        <f>INDEX('Gross Dx Plant'!$D$7:$AC$91,MATCH($C48,'Gross Dx Plant'!$C$7:$C$91,0),MATCH(Calculation!$G48,'Gross Dx Plant'!$D$5:$AC$5,0))</f>
        <v>1124838</v>
      </c>
      <c r="BZ48" s="129">
        <f>INDEX('Gross Gen Plant'!$D$7:$AC$91,MATCH($C48,'Gross Gen Plant'!$C$7:$C$91,0),MATCH(Calculation!$G48,'Gross Gen Plant'!$D$5:$AC$5,0))</f>
        <v>61968</v>
      </c>
      <c r="CA48" s="129">
        <f t="shared" si="39"/>
        <v>826637</v>
      </c>
      <c r="CB48" s="129"/>
      <c r="CC48" s="133">
        <v>2018</v>
      </c>
      <c r="CD48" s="129"/>
      <c r="CE48" s="129"/>
      <c r="CF48" s="129"/>
      <c r="CG48" s="137"/>
      <c r="CH48" s="129">
        <f t="shared" si="84"/>
        <v>116854</v>
      </c>
      <c r="CI48" s="46">
        <f t="shared" si="16"/>
        <v>115815.93159791912</v>
      </c>
      <c r="CJ48" s="46">
        <f t="shared" si="85"/>
        <v>153.37081272611104</v>
      </c>
      <c r="CK48" s="443">
        <v>0.75609756097560976</v>
      </c>
      <c r="CL48" s="46">
        <f>+CL28*CK48++CJ29*CK47+CJ30*CK46+CJ31*CK45+CJ32*CK44+CJ33*CK43+CJ34*CK42+CJ35*CK41+CJ36*CK40+CJ37*CK39+CJ38*CK38+CJ39*CK37+CJ40*CK36+CJ41*CK35+CJ42*CK34+CJ43*CK33+CJ44*CK32+CJ45*CK31+CJ46*CK30+CJ47*CK29+CJ48</f>
        <v>2375.3255989808999</v>
      </c>
      <c r="CM48" s="134">
        <f t="shared" si="86"/>
        <v>5.0985407571987496E-2</v>
      </c>
      <c r="CN48" s="135">
        <f t="shared" si="87"/>
        <v>1.5638205368411973E-2</v>
      </c>
      <c r="CO48" s="135">
        <f t="shared" si="97"/>
        <v>1.5371726327443427E-2</v>
      </c>
      <c r="CP48" s="134">
        <f>VLOOKUP($H48,RoR!$E:$F,2,FALSE)</f>
        <v>3.9299999999999995E-2</v>
      </c>
      <c r="CQ48" s="135">
        <v>2.386056741932796E-2</v>
      </c>
      <c r="CR48" s="135">
        <f t="shared" si="95"/>
        <v>1.5439432580672034E-2</v>
      </c>
      <c r="CS48" s="135">
        <f t="shared" si="98"/>
        <v>1.5530215281090198E-2</v>
      </c>
      <c r="CT48" s="56">
        <f t="shared" si="99"/>
        <v>3.8270792163076606E-2</v>
      </c>
      <c r="CU48" s="139">
        <f t="shared" si="88"/>
        <v>0.92230000000000001</v>
      </c>
      <c r="CV48" s="335">
        <f t="shared" si="89"/>
        <v>1.3048868010700074</v>
      </c>
      <c r="CW48" s="335">
        <f t="shared" si="90"/>
        <v>0.33886768447837151</v>
      </c>
      <c r="CX48" s="335">
        <f t="shared" si="91"/>
        <v>0.78602506232557801</v>
      </c>
      <c r="CY48" s="335">
        <f t="shared" si="92"/>
        <v>0.34756768162358759</v>
      </c>
      <c r="CZ48" s="336">
        <f>INDEX('State Tax Lookup'!$D$7:$Z$91,MATCH(Calculation!$C48,'State Tax Lookup'!$B$7:$B$91,0),MATCH($H48,'State Tax Lookup'!$D$6:$Z$6,0))</f>
        <v>0.20999999999999996</v>
      </c>
      <c r="DA48" s="303">
        <v>0.37</v>
      </c>
      <c r="DB48" s="57">
        <f t="shared" si="96"/>
        <v>13.646730166762964</v>
      </c>
      <c r="DC48" s="56">
        <f t="shared" si="100"/>
        <v>3.9015898512154971E-2</v>
      </c>
      <c r="DD48" s="303">
        <f>VLOOKUP($H48,RoR!$E:$F,2,FALSE)</f>
        <v>3.9299999999999995E-2</v>
      </c>
      <c r="DE48" s="304">
        <f>HLOOKUP($H48,'GDP-PI'!$D$8:$CQ$11,3,FALSE)</f>
        <v>2.386056741932796E-2</v>
      </c>
      <c r="DF48" s="303">
        <f>VLOOKUP(H48,'HW Dx Data'!$E:$F,2,FALSE)</f>
        <v>755.13671434174842</v>
      </c>
      <c r="DG48" s="89">
        <f ca="1">VLOOKUP(CC48,'ECI - Input Price'!M$13:N$33,2,FALSE)</f>
        <v>144.44999999999999</v>
      </c>
      <c r="DH48" s="89"/>
      <c r="DI48" s="89"/>
      <c r="DJ48" s="56">
        <f t="shared" ca="1" si="108"/>
        <v>2.80818733619915E-2</v>
      </c>
      <c r="DK48" s="53">
        <f>HLOOKUP(H48,'GDP-PI'!$8:$9,2,FALSE)</f>
        <v>110.322</v>
      </c>
      <c r="DL48" s="355">
        <f t="shared" si="101"/>
        <v>2.3580352716508712E-2</v>
      </c>
      <c r="DO48" s="398">
        <v>3.0316600823757176E-3</v>
      </c>
      <c r="DP48" s="398"/>
      <c r="DQ48" s="398"/>
      <c r="DR48" s="398"/>
      <c r="DS48" s="398"/>
      <c r="DT48" s="398"/>
      <c r="DU48" s="398"/>
      <c r="DV48" s="398"/>
      <c r="DW48" s="398"/>
      <c r="DX48" s="398"/>
      <c r="DY48" s="398"/>
      <c r="EC48">
        <f t="shared" si="20"/>
        <v>2018</v>
      </c>
    </row>
    <row r="49" spans="1:133" s="126" customFormat="1" ht="21" customHeight="1" x14ac:dyDescent="0.4">
      <c r="A49" s="233" t="s">
        <v>179</v>
      </c>
      <c r="B49" s="127" t="s">
        <v>179</v>
      </c>
      <c r="C49" s="127">
        <v>4057075</v>
      </c>
      <c r="D49" s="127" t="s">
        <v>180</v>
      </c>
      <c r="E49" s="127"/>
      <c r="F49" s="127"/>
      <c r="G49" s="127" t="s">
        <v>175</v>
      </c>
      <c r="H49" s="128">
        <v>2019</v>
      </c>
      <c r="I49" s="129"/>
      <c r="J49" s="125">
        <f>IFERROR(INDEX('Labor Expenditures'!$E$7:$W$91,MATCH($C49,'Labor Expenditures'!$C$7:$C$91,0),MATCH($G49,'Labor Expenditures'!$E$5:$W$5,0)),"NA")</f>
        <v>28425.392228873563</v>
      </c>
      <c r="K49" s="125">
        <f t="shared" ca="1" si="102"/>
        <v>189.91409539918865</v>
      </c>
      <c r="L49" s="47"/>
      <c r="M49" s="131">
        <f t="shared" ca="1" si="109"/>
        <v>2.0664947227756417E-2</v>
      </c>
      <c r="N49" s="59"/>
      <c r="O49" s="59"/>
      <c r="P49" s="59">
        <f t="shared" ca="1" si="111"/>
        <v>1.8544850177827101E-4</v>
      </c>
      <c r="Q49" s="61"/>
      <c r="R49" s="387"/>
      <c r="S49" s="49">
        <f t="shared" ca="1" si="116"/>
        <v>103.87736156464912</v>
      </c>
      <c r="T49" s="61">
        <f ca="1">+P49+P74+P99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</f>
        <v>-8.0420618632521344E-3</v>
      </c>
      <c r="U49" s="61">
        <f t="shared" ca="1" si="117"/>
        <v>-8.0420618632521344E-3</v>
      </c>
      <c r="V49" s="125">
        <f>IFERROR(INDEX('Non-Labor Expenditures'!$E$7:$AA$91,MATCH($C49,'Non-Labor Expenditures'!$C$7:$C$91,0),MATCH($G49,'Non-Labor Expenditures'!$E$5:$AA$5,0)),"NA")</f>
        <v>41165.277078338433</v>
      </c>
      <c r="W49" s="125">
        <f t="shared" si="103"/>
        <v>366.50650010094938</v>
      </c>
      <c r="X49" s="131">
        <f t="shared" si="112"/>
        <v>3.8267025675526124E-2</v>
      </c>
      <c r="Y49" s="131">
        <f t="shared" si="113"/>
        <v>3.4341063157931033E-4</v>
      </c>
      <c r="Z49" s="131"/>
      <c r="AA49" s="131"/>
      <c r="AB49" s="131"/>
      <c r="AC49" s="125">
        <f t="shared" si="93"/>
        <v>32651.822357591078</v>
      </c>
      <c r="AD49" s="129"/>
      <c r="AE49" s="133">
        <v>2687.9204460692845</v>
      </c>
      <c r="AF49" s="134">
        <v>4.3302622017858568E-2</v>
      </c>
      <c r="AG49" s="59">
        <f t="shared" si="104"/>
        <v>3.8860038149511882E-4</v>
      </c>
      <c r="AH49" s="134"/>
      <c r="AI49" s="134"/>
      <c r="AJ49" s="129">
        <f t="shared" si="94"/>
        <v>102242.49166480308</v>
      </c>
      <c r="AK49" s="134">
        <f t="shared" si="114"/>
        <v>5.6853237508919165E-2</v>
      </c>
      <c r="AL49" s="129"/>
      <c r="AM49" s="129"/>
      <c r="AN49" s="129"/>
      <c r="AO49" s="129"/>
      <c r="AP49" s="133">
        <f t="shared" si="115"/>
        <v>285.91940441845196</v>
      </c>
      <c r="AQ49" s="134">
        <f>+BB49/Outputs!$B$27</f>
        <v>9.4939250396963003E-3</v>
      </c>
      <c r="AR49" s="93">
        <f t="shared" si="105"/>
        <v>0.27801936128537241</v>
      </c>
      <c r="AS49" s="93">
        <f t="shared" si="106"/>
        <v>0.40262396199514333</v>
      </c>
      <c r="AT49" s="93">
        <f t="shared" si="107"/>
        <v>0.31935667671948426</v>
      </c>
      <c r="AU49" s="93">
        <f t="shared" ca="1" si="110"/>
        <v>3.4978730474141378E-2</v>
      </c>
      <c r="AV49" s="132">
        <f t="shared" ca="1" si="119"/>
        <v>140.1240132389278</v>
      </c>
      <c r="AW49" s="134">
        <f t="shared" ca="1" si="120"/>
        <v>3.4978730474141316E-2</v>
      </c>
      <c r="AX49" s="56">
        <f>+AJ49/$AL$24</f>
        <v>8.9740612320162727E-3</v>
      </c>
      <c r="AY49" s="135">
        <f t="shared" ca="1" si="118"/>
        <v>3.1390126909313775E-4</v>
      </c>
      <c r="AZ49" s="93"/>
      <c r="BA49" s="93"/>
      <c r="BB49" s="234">
        <f>IFERROR(INDEX('Total Customers'!$E$7:$AA$91,MATCH($C49,'Total Customers'!$C$7:$C$91,0),MATCH($G49,'Total Customers'!$E$5:$AA$5,0)),"NA")</f>
        <v>357592</v>
      </c>
      <c r="BC49" s="411">
        <f t="shared" si="15"/>
        <v>1.9364570278353026E-2</v>
      </c>
      <c r="BD49" s="92"/>
      <c r="BE49" s="281" t="str">
        <f t="shared" si="0"/>
        <v>AVISTA CORPORATION</v>
      </c>
      <c r="BF49" s="290">
        <f t="shared" si="1"/>
        <v>4057075</v>
      </c>
      <c r="BG49" s="46" t="str">
        <f t="shared" si="2"/>
        <v>WA</v>
      </c>
      <c r="BH49" s="46"/>
      <c r="BI49" s="46" t="str">
        <f t="shared" si="3"/>
        <v>2019 Y</v>
      </c>
      <c r="BJ49" s="129"/>
      <c r="BK49" s="129"/>
      <c r="BL49" s="129">
        <f>INDEX('Dist. Plant Gas Additions'!$E$7:$AD$91,MATCH($C49,'Dist. Plant Gas Additions'!$C$7:$C$91,0),MATCH(Calculation!$G49,'Dist. Plant Gas Additions'!$E$5:$AD$5,0))</f>
        <v>96658</v>
      </c>
      <c r="BM49" s="129">
        <f>INDEX('Gen. Plant Additions'!$E$7:$AD$91,MATCH($C49,'Gen. Plant Additions'!$C$7:$C$91,0),MATCH(Calculation!$G49,'Gen. Plant Additions'!$E$5:$AD$5,0))</f>
        <v>9150</v>
      </c>
      <c r="BN49" s="393">
        <f t="shared" si="83"/>
        <v>0.94579984223509161</v>
      </c>
      <c r="BO49" s="46">
        <f t="shared" si="121"/>
        <v>8654.0685564510877</v>
      </c>
      <c r="BP49" s="46">
        <f t="shared" si="122"/>
        <v>-495.93144354891228</v>
      </c>
      <c r="BQ49" s="129">
        <f>INDEX('Dist Plant Depreciation'!$D$7:$AC$94,MATCH($C49,'Dist Plant Depreciation'!$C$7:$C$94,0),MATCH(Calculation!$G49,'Dist Plant Depreciation'!$D$5:$AC$5,0))</f>
        <v>354876</v>
      </c>
      <c r="BR49" s="129">
        <f>INDEX('Gen. Plant Depreciation'!$D$7:$AC$94,MATCH($C49,'Gen. Plant Depreciation'!$C$7:$C$94,0),MATCH(Calculation!$G49,'Gen. Plant Depreciation'!$D$5:$AC$5,0))</f>
        <v>21435</v>
      </c>
      <c r="BS49" s="137">
        <v>1974</v>
      </c>
      <c r="BT49" s="137">
        <f t="shared" si="59"/>
        <v>27</v>
      </c>
      <c r="BU49" s="333">
        <v>117.05484384788345</v>
      </c>
      <c r="BV49" s="93">
        <f t="shared" si="82"/>
        <v>2.0361990950226245E-2</v>
      </c>
      <c r="BW49" s="334">
        <f t="shared" si="60"/>
        <v>2.383469671110749</v>
      </c>
      <c r="BX49" s="334"/>
      <c r="BY49" s="129">
        <f>INDEX('Gross Dx Plant'!$D$7:$AC$91,MATCH($C49,'Gross Dx Plant'!$C$7:$C$91,0),MATCH(Calculation!$G49,'Gross Dx Plant'!$D$5:$AC$5,0))</f>
        <v>1207392</v>
      </c>
      <c r="BZ49" s="129">
        <f>INDEX('Gross Gen Plant'!$D$7:$AC$91,MATCH($C49,'Gross Gen Plant'!$C$7:$C$91,0),MATCH(Calculation!$G49,'Gross Gen Plant'!$D$5:$AC$5,0))</f>
        <v>69191</v>
      </c>
      <c r="CA49" s="129">
        <f t="shared" si="39"/>
        <v>900272</v>
      </c>
      <c r="CB49" s="129"/>
      <c r="CC49" s="133">
        <v>2019</v>
      </c>
      <c r="CD49" s="129"/>
      <c r="CE49" s="129"/>
      <c r="CF49" s="129"/>
      <c r="CG49" s="137"/>
      <c r="CH49" s="129">
        <f t="shared" si="84"/>
        <v>105808</v>
      </c>
      <c r="CI49" s="46">
        <f t="shared" si="16"/>
        <v>105312.06855645109</v>
      </c>
      <c r="CJ49" s="46">
        <f t="shared" si="85"/>
        <v>136.14313951080365</v>
      </c>
      <c r="CK49" s="443">
        <v>0.7407407407407407</v>
      </c>
      <c r="CL49" s="46">
        <f>CL28*CK49+CJ29*CK48+CJ30*CK47+CJ31*CK46+CJ32*CK45+CJ33*CK44+CJ34*CK43+CJ35*CK42+CJ36*CK41+CJ37*CK40+CJ38*CK39+CJ39*CK38+CJ40*CK37+CJ41*CK36+CJ42*CK35+CJ43*CK34+CJ44*CK33+CJ45*CK32+CJ46*CK31+CJ47*CK30+CJ48*CK29+CJ49</f>
        <v>2473.8253887301612</v>
      </c>
      <c r="CM49" s="134">
        <f t="shared" si="86"/>
        <v>4.0631170557137511E-2</v>
      </c>
      <c r="CN49" s="135">
        <f t="shared" si="87"/>
        <v>1.5847658854724063E-2</v>
      </c>
      <c r="CO49" s="135">
        <f t="shared" si="97"/>
        <v>1.5617836705168947E-2</v>
      </c>
      <c r="CP49" s="134">
        <f>VLOOKUP($H49,RoR!$E:$F,2,FALSE)</f>
        <v>3.3875000000000009E-2</v>
      </c>
      <c r="CQ49" s="135">
        <v>1.8092492884465461E-2</v>
      </c>
      <c r="CR49" s="135">
        <f t="shared" si="95"/>
        <v>1.5782507115534548E-2</v>
      </c>
      <c r="CS49" s="135">
        <f t="shared" si="98"/>
        <v>1.5284104903364678E-2</v>
      </c>
      <c r="CT49" s="56">
        <f t="shared" si="99"/>
        <v>4.8445665544254078E-2</v>
      </c>
      <c r="CU49" s="139">
        <f t="shared" si="88"/>
        <v>0.92230000000000001</v>
      </c>
      <c r="CV49" s="335">
        <f t="shared" si="89"/>
        <v>1.513861292459078</v>
      </c>
      <c r="CW49" s="335">
        <f t="shared" si="90"/>
        <v>0.23699261992619944</v>
      </c>
      <c r="CX49" s="335">
        <f t="shared" si="91"/>
        <v>0.73619765810468829</v>
      </c>
      <c r="CY49" s="335">
        <f t="shared" si="92"/>
        <v>0.26412854465362851</v>
      </c>
      <c r="CZ49" s="336">
        <f>INDEX('State Tax Lookup'!$D$7:$Z$91,MATCH(Calculation!$C49,'State Tax Lookup'!$B$7:$B$91,0),MATCH($H49,'State Tax Lookup'!$D$6:$Z$6,0))</f>
        <v>0.20999999999999996</v>
      </c>
      <c r="DA49" s="303">
        <v>0.37</v>
      </c>
      <c r="DB49" s="57">
        <f t="shared" si="96"/>
        <v>13.746251196720097</v>
      </c>
      <c r="DC49" s="56">
        <f t="shared" si="100"/>
        <v>7.2662019887182825E-3</v>
      </c>
      <c r="DD49" s="303">
        <f>VLOOKUP($H49,RoR!$E:$F,2,FALSE)</f>
        <v>3.3875000000000009E-2</v>
      </c>
      <c r="DE49" s="304">
        <f>HLOOKUP($H49,'GDP-PI'!$D$8:$CQ$11,3,FALSE)</f>
        <v>1.8092492884465461E-2</v>
      </c>
      <c r="DF49" s="303">
        <f>VLOOKUP(H49,'HW Dx Data'!$E:$F,2,FALSE)</f>
        <v>773.53929793938721</v>
      </c>
      <c r="DG49" s="89">
        <f ca="1">VLOOKUP(CC49,'ECI - Input Price'!M$13:N$33,2,FALSE)</f>
        <v>149.67500000000001</v>
      </c>
      <c r="DH49" s="89"/>
      <c r="DI49" s="89"/>
      <c r="DJ49" s="56">
        <f t="shared" ca="1" si="108"/>
        <v>3.5532849899171604E-2</v>
      </c>
      <c r="DK49" s="53">
        <f>HLOOKUP(H49,'GDP-PI'!$8:$9,2,FALSE)</f>
        <v>112.318</v>
      </c>
      <c r="DL49" s="355">
        <f t="shared" si="101"/>
        <v>1.7930771451401852E-2</v>
      </c>
      <c r="DO49" s="398">
        <v>1.8092988214810892E-2</v>
      </c>
      <c r="DP49" s="398"/>
      <c r="DQ49" s="398"/>
      <c r="DR49" s="398"/>
      <c r="DS49" s="398"/>
      <c r="DT49" s="398"/>
      <c r="DU49" s="398"/>
      <c r="DV49" s="398"/>
      <c r="DW49" s="398"/>
      <c r="DX49" s="398"/>
      <c r="DY49" s="398"/>
      <c r="EC49">
        <f t="shared" si="20"/>
        <v>2019</v>
      </c>
    </row>
    <row r="50" spans="1:133" s="126" customFormat="1" ht="21" customHeight="1" x14ac:dyDescent="0.4">
      <c r="A50" s="233" t="s">
        <v>179</v>
      </c>
      <c r="B50" s="126" t="s">
        <v>179</v>
      </c>
      <c r="C50" s="126">
        <v>4057075</v>
      </c>
      <c r="D50" s="126" t="s">
        <v>180</v>
      </c>
      <c r="G50" s="127" t="s">
        <v>176</v>
      </c>
      <c r="H50" s="128">
        <v>2020</v>
      </c>
      <c r="I50" s="129"/>
      <c r="J50" s="125">
        <v>28665.853369891134</v>
      </c>
      <c r="K50" s="125">
        <f t="shared" ca="1" si="102"/>
        <v>187.1750138419271</v>
      </c>
      <c r="L50" s="47"/>
      <c r="M50" s="131">
        <f t="shared" ca="1" si="109"/>
        <v>-1.4527758372640072E-2</v>
      </c>
      <c r="N50" s="59"/>
      <c r="O50" s="59"/>
      <c r="P50" s="59">
        <f t="shared" ca="1" si="111"/>
        <v>-1.3191791569763854E-4</v>
      </c>
      <c r="Q50" s="61"/>
      <c r="R50" s="387"/>
      <c r="S50" s="49">
        <f t="shared" ca="1" si="116"/>
        <v>101.00838516315783</v>
      </c>
      <c r="T50" s="61">
        <f ca="1">+P50+P75+P100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</f>
        <v>-2.8007452782336028E-2</v>
      </c>
      <c r="U50" s="61">
        <f t="shared" ca="1" si="117"/>
        <v>-2.8007452782336028E-2</v>
      </c>
      <c r="V50" s="125">
        <v>41513.509722477887</v>
      </c>
      <c r="W50" s="125">
        <f t="shared" si="103"/>
        <v>365.3618521116137</v>
      </c>
      <c r="X50" s="131">
        <f t="shared" si="112"/>
        <v>-3.128018636664529E-3</v>
      </c>
      <c r="Y50" s="131">
        <f t="shared" si="113"/>
        <v>-2.8403673039419219E-5</v>
      </c>
      <c r="Z50" s="131"/>
      <c r="AA50" s="131"/>
      <c r="AB50" s="131"/>
      <c r="AC50" s="125">
        <f t="shared" si="93"/>
        <v>35172.353281712902</v>
      </c>
      <c r="AD50" s="129"/>
      <c r="AE50" s="133">
        <v>2768.9411054935708</v>
      </c>
      <c r="AF50" s="134">
        <v>2.9697148462973656E-2</v>
      </c>
      <c r="AG50" s="59">
        <f t="shared" si="104"/>
        <v>2.6966210663145052E-4</v>
      </c>
      <c r="AH50" s="134"/>
      <c r="AI50" s="134"/>
      <c r="AJ50" s="129">
        <f t="shared" si="94"/>
        <v>105351.71637408192</v>
      </c>
      <c r="AK50" s="134">
        <f t="shared" si="114"/>
        <v>2.9957071154626255E-2</v>
      </c>
      <c r="AL50" s="129"/>
      <c r="AM50" s="129"/>
      <c r="AN50" s="129"/>
      <c r="AO50" s="129"/>
      <c r="AP50" s="133">
        <f t="shared" si="115"/>
        <v>294.36734091313002</v>
      </c>
      <c r="AQ50" s="134">
        <f>+BB50/Outputs!$B$28</f>
        <v>9.4347916761185844E-3</v>
      </c>
      <c r="AR50" s="93">
        <f t="shared" si="105"/>
        <v>0.27209669055703545</v>
      </c>
      <c r="AS50" s="93">
        <f t="shared" si="106"/>
        <v>0.39404682857820839</v>
      </c>
      <c r="AT50" s="93">
        <f t="shared" si="107"/>
        <v>0.33385648086475617</v>
      </c>
      <c r="AU50" s="93">
        <f t="shared" ca="1" si="110"/>
        <v>4.4573069802350219E-3</v>
      </c>
      <c r="AV50" s="132">
        <f t="shared" ca="1" si="119"/>
        <v>140.74998301458612</v>
      </c>
      <c r="AW50" s="134">
        <f t="shared" ca="1" si="120"/>
        <v>4.4573069802350228E-3</v>
      </c>
      <c r="AX50" s="56">
        <f>+AJ50/$AL$25</f>
        <v>9.0804040316417815E-3</v>
      </c>
      <c r="AY50" s="135">
        <f t="shared" ca="1" si="118"/>
        <v>4.0474148273591158E-5</v>
      </c>
      <c r="AZ50" s="93"/>
      <c r="BA50" s="93"/>
      <c r="BB50" s="234">
        <v>357892</v>
      </c>
      <c r="BC50" s="411">
        <f t="shared" si="15"/>
        <v>8.3859322523203723E-4</v>
      </c>
      <c r="BD50" s="92"/>
      <c r="BE50" s="281" t="str">
        <f t="shared" si="0"/>
        <v>AVISTA CORPORATION</v>
      </c>
      <c r="BF50" s="290">
        <f t="shared" si="1"/>
        <v>4057075</v>
      </c>
      <c r="BG50" s="46" t="str">
        <f t="shared" si="2"/>
        <v>WA</v>
      </c>
      <c r="BH50" s="46"/>
      <c r="BI50" s="46" t="str">
        <f t="shared" si="3"/>
        <v>2020 Y</v>
      </c>
      <c r="BJ50" s="129"/>
      <c r="BK50" s="129"/>
      <c r="BL50" s="129">
        <f>INDEX('Dist. Plant Gas Additions'!$E$7:$AD$91,MATCH($C50,'Dist. Plant Gas Additions'!$C$7:$C$91,0),MATCH(Calculation!$G50,'Dist. Plant Gas Additions'!$E$5:$AD$5,0))</f>
        <v>83187</v>
      </c>
      <c r="BM50" s="129">
        <f>INDEX('Gen. Plant Additions'!$E$7:$AD$91,MATCH($C50,'Gen. Plant Additions'!$C$7:$C$91,0),MATCH(Calculation!$G50,'Gen. Plant Additions'!$E$5:$AD$5,0))</f>
        <v>2583</v>
      </c>
      <c r="BN50" s="393">
        <f t="shared" si="83"/>
        <v>0.94812503552397209</v>
      </c>
      <c r="BO50" s="46">
        <f t="shared" si="121"/>
        <v>2449.0069667584198</v>
      </c>
      <c r="BP50" s="46">
        <f t="shared" si="122"/>
        <v>-133.99303324158018</v>
      </c>
      <c r="BQ50" s="129">
        <f>INDEX('Dist Plant Depreciation'!$D$7:$AC$94,MATCH($C50,'Dist Plant Depreciation'!$C$7:$C$94,0),MATCH(Calculation!$G50,'Dist Plant Depreciation'!$D$5:$AC$5,0))</f>
        <v>377906</v>
      </c>
      <c r="BR50" s="129">
        <f>INDEX('Gen. Plant Depreciation'!$D$7:$AC$94,MATCH($C50,'Gen. Plant Depreciation'!$C$7:$C$94,0),MATCH(Calculation!$G50,'Gen. Plant Depreciation'!$D$5:$AC$5,0))</f>
        <v>24000</v>
      </c>
      <c r="BS50" s="137">
        <v>1975</v>
      </c>
      <c r="BT50" s="137">
        <f t="shared" si="59"/>
        <v>28</v>
      </c>
      <c r="BU50" s="333">
        <v>133.29362804071727</v>
      </c>
      <c r="BV50" s="93">
        <f t="shared" si="82"/>
        <v>2.1116138763197588E-2</v>
      </c>
      <c r="BW50" s="334">
        <f t="shared" si="60"/>
        <v>2.8146467459578308</v>
      </c>
      <c r="BX50" s="334"/>
      <c r="BY50" s="129">
        <f>INDEX('Gross Dx Plant'!$D$7:$AC$91,MATCH($C50,'Gross Dx Plant'!$C$7:$C$91,0),MATCH(Calculation!$G50,'Gross Dx Plant'!$D$5:$AC$5,0))</f>
        <v>1284443</v>
      </c>
      <c r="BZ50" s="129">
        <f>INDEX('Gross Gen Plant'!$D$7:$AC$91,MATCH($C50,'Gross Gen Plant'!$C$7:$C$91,0),MATCH(Calculation!$G50,'Gross Gen Plant'!$D$5:$AC$5,0))</f>
        <v>70276</v>
      </c>
      <c r="CA50" s="129">
        <f t="shared" si="39"/>
        <v>952813</v>
      </c>
      <c r="CB50" s="129"/>
      <c r="CC50" s="133">
        <v>2020</v>
      </c>
      <c r="CD50" s="129"/>
      <c r="CE50" s="129"/>
      <c r="CF50" s="129"/>
      <c r="CG50" s="137"/>
      <c r="CH50" s="129">
        <f t="shared" si="84"/>
        <v>85770</v>
      </c>
      <c r="CI50" s="46">
        <f t="shared" si="16"/>
        <v>85636.006966758418</v>
      </c>
      <c r="CJ50" s="46">
        <f t="shared" si="85"/>
        <v>105.32295697362343</v>
      </c>
      <c r="CK50" s="443">
        <v>0.72499999999999998</v>
      </c>
      <c r="CL50" s="46">
        <f>CL28*CK50+CJ29*CK49+CJ30*CK48+CJ31*CK47+CJ32*CK46+CJ33*CK45+CJ34*CK44+CJ35*CK43+CJ36*CK42+CJ37*CK41+CJ38*CK40+CJ39*CK39+CJ40*CK38+CJ41*CK37+CJ42*CK36+CJ43*CK35+CJ44*CK34+CJ45*CK33+CJ46*CK32+CJ47*CK31+CJ48*CK30+CJ49*CK29+CJ50</f>
        <v>2539.2718047621124</v>
      </c>
      <c r="CM50" s="134">
        <f t="shared" si="86"/>
        <v>2.6111655933251258E-2</v>
      </c>
      <c r="CN50" s="135">
        <f t="shared" si="87"/>
        <v>1.6119383818815614E-2</v>
      </c>
      <c r="CO50" s="135">
        <f t="shared" si="97"/>
        <v>1.5868416013983883E-2</v>
      </c>
      <c r="CP50" s="134">
        <f>VLOOKUP($H50,RoR!$E:$F,2,FALSE)</f>
        <v>2.4766666666666666E-2</v>
      </c>
      <c r="CQ50" s="135">
        <v>1.1618796630994188E-2</v>
      </c>
      <c r="CR50" s="135">
        <f t="shared" si="95"/>
        <v>1.3147870035672478E-2</v>
      </c>
      <c r="CS50" s="135">
        <f t="shared" si="98"/>
        <v>1.5033525594549742E-2</v>
      </c>
      <c r="CT50" s="56">
        <f t="shared" si="99"/>
        <v>4.5144642961987357E-2</v>
      </c>
      <c r="CU50" s="139">
        <f t="shared" si="88"/>
        <v>0.92230000000000001</v>
      </c>
      <c r="CV50" s="335">
        <f t="shared" si="89"/>
        <v>2.0706077233668081</v>
      </c>
      <c r="CW50" s="335">
        <f t="shared" si="90"/>
        <v>-3.4421265141318998E-2</v>
      </c>
      <c r="CX50" s="335">
        <f t="shared" si="91"/>
        <v>0.62416226176410472</v>
      </c>
      <c r="CY50" s="335">
        <f t="shared" si="92"/>
        <v>-4.4485877841158712E-2</v>
      </c>
      <c r="CZ50" s="336">
        <f>INDEX('State Tax Lookup'!$D$7:$Z$91,MATCH(Calculation!$C50,'State Tax Lookup'!$B$7:$B$91,0),MATCH($H50,'State Tax Lookup'!$D$6:$Z$6,0))</f>
        <v>0.20999999999999996</v>
      </c>
      <c r="DA50" s="303">
        <v>0.37</v>
      </c>
      <c r="DB50" s="57">
        <f t="shared" si="96"/>
        <v>14.217799462300455</v>
      </c>
      <c r="DC50" s="56">
        <f t="shared" si="100"/>
        <v>3.3728516212615828E-2</v>
      </c>
      <c r="DD50" s="303">
        <f>VLOOKUP($H50,RoR!$E:$F,2,FALSE)</f>
        <v>2.4766666666666666E-2</v>
      </c>
      <c r="DE50" s="304">
        <f>HLOOKUP($H50,'GDP-PI'!$D$8:$CQ$11,3,FALSE)</f>
        <v>1.1618796630994188E-2</v>
      </c>
      <c r="DF50" s="303">
        <f>VLOOKUP(H50,'HW Dx Data'!$E:$F,2,FALSE)</f>
        <v>813.080162458833</v>
      </c>
      <c r="DG50" s="89">
        <f ca="1">VLOOKUP(CC50,'ECI - Input Price'!M$13:N$33,2,FALSE)</f>
        <v>153.15</v>
      </c>
      <c r="DH50" s="89"/>
      <c r="DI50" s="89"/>
      <c r="DJ50" s="56">
        <f t="shared" ca="1" si="108"/>
        <v>2.2951556467368479E-2</v>
      </c>
      <c r="DK50" s="53">
        <f>HLOOKUP(H50,'GDP-PI'!$8:$9,2,FALSE)</f>
        <v>113.623</v>
      </c>
      <c r="DL50" s="355">
        <f t="shared" si="101"/>
        <v>1.1551816731392881E-2</v>
      </c>
      <c r="DO50" s="398">
        <v>1.1123327319345001E-4</v>
      </c>
      <c r="DP50" s="398"/>
      <c r="DQ50" s="398"/>
      <c r="DR50" s="398"/>
      <c r="DS50" s="398"/>
      <c r="DT50" s="398"/>
      <c r="DU50" s="398"/>
      <c r="DV50" s="398"/>
      <c r="DW50" s="398"/>
      <c r="DX50" s="398"/>
      <c r="DY50" s="398"/>
      <c r="EC50">
        <f t="shared" si="20"/>
        <v>2020</v>
      </c>
    </row>
    <row r="51" spans="1:133" s="126" customFormat="1" ht="21" customHeight="1" x14ac:dyDescent="0.4">
      <c r="A51" s="233" t="s">
        <v>179</v>
      </c>
      <c r="B51" s="126" t="s">
        <v>179</v>
      </c>
      <c r="C51" s="126">
        <v>4057075</v>
      </c>
      <c r="D51" s="126" t="s">
        <v>180</v>
      </c>
      <c r="G51" s="127" t="s">
        <v>177</v>
      </c>
      <c r="H51" s="128">
        <v>2021</v>
      </c>
      <c r="I51" s="129"/>
      <c r="J51" s="125">
        <v>28880.07546370105</v>
      </c>
      <c r="K51" s="125">
        <f t="shared" ca="1" si="102"/>
        <v>183.6570776705949</v>
      </c>
      <c r="L51" s="47"/>
      <c r="M51" s="130">
        <f t="shared" ca="1" si="109"/>
        <v>-1.8973771636702712E-2</v>
      </c>
      <c r="N51" s="59"/>
      <c r="O51" s="59"/>
      <c r="P51" s="59">
        <f t="shared" ca="1" si="111"/>
        <v>-1.4130624462311729E-4</v>
      </c>
      <c r="Q51" s="61"/>
      <c r="R51" s="387"/>
      <c r="S51" s="132">
        <f ca="1">+S50*EXP(T51)</f>
        <v>106.16973751595305</v>
      </c>
      <c r="T51" s="134">
        <f ca="1">+P51+P76+P101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</f>
        <v>4.9835575910263767E-2</v>
      </c>
      <c r="U51" s="61">
        <f t="shared" ca="1" si="117"/>
        <v>4.9835575910263767E-2</v>
      </c>
      <c r="V51" s="125">
        <v>40710.467822325576</v>
      </c>
      <c r="W51" s="125">
        <f t="shared" si="103"/>
        <v>343.57724552557664</v>
      </c>
      <c r="X51" s="131">
        <f t="shared" si="112"/>
        <v>-6.1476273957554721E-2</v>
      </c>
      <c r="Y51" s="131">
        <f t="shared" si="113"/>
        <v>-4.5784157060054284E-4</v>
      </c>
      <c r="Z51" s="131"/>
      <c r="AA51" s="131"/>
      <c r="AB51" s="131"/>
      <c r="AC51" s="125">
        <f t="shared" si="93"/>
        <v>26073.275713698175</v>
      </c>
      <c r="AD51" s="129"/>
      <c r="AE51" s="133">
        <v>2717.591404720928</v>
      </c>
      <c r="AF51" s="134">
        <v>-1.871899969009895E-2</v>
      </c>
      <c r="AG51" s="59">
        <f t="shared" si="104"/>
        <v>-1.3940884289934723E-4</v>
      </c>
      <c r="AH51" s="134"/>
      <c r="AI51" s="134"/>
      <c r="AJ51" s="129">
        <f t="shared" si="94"/>
        <v>95663.818999724812</v>
      </c>
      <c r="AK51" s="134">
        <f t="shared" si="114"/>
        <v>-9.6464272135188683E-2</v>
      </c>
      <c r="AL51" s="129"/>
      <c r="AM51" s="134"/>
      <c r="AN51" s="134"/>
      <c r="AO51" s="134"/>
      <c r="AP51" s="133">
        <f t="shared" si="115"/>
        <v>259.60964853883758</v>
      </c>
      <c r="AQ51" s="134">
        <f>+BB51/Outputs!$B$29</f>
        <v>9.544847161875758E-3</v>
      </c>
      <c r="AR51" s="93">
        <f t="shared" si="105"/>
        <v>0.30189130818396587</v>
      </c>
      <c r="AS51" s="93">
        <f t="shared" si="106"/>
        <v>0.42555762719908435</v>
      </c>
      <c r="AT51" s="93">
        <f t="shared" si="107"/>
        <v>0.27255106461694967</v>
      </c>
      <c r="AU51" s="93">
        <f t="shared" ca="1" si="110"/>
        <v>-3.6314143963231439E-2</v>
      </c>
      <c r="AV51" s="132">
        <f t="shared" ca="1" si="119"/>
        <v>135.73045932043422</v>
      </c>
      <c r="AW51" s="134">
        <f t="shared" ca="1" si="120"/>
        <v>-3.6314143963231398E-2</v>
      </c>
      <c r="AX51" s="56">
        <f>+AJ51/$AL$26</f>
        <v>7.4474515309215393E-3</v>
      </c>
      <c r="AY51" s="135">
        <f t="shared" ca="1" si="118"/>
        <v>-2.7044782705307283E-4</v>
      </c>
      <c r="AZ51" s="93"/>
      <c r="BA51" s="93"/>
      <c r="BB51" s="234">
        <f>INDEX('Total Customers'!$D$7:$D$91,MATCH(Calculation!$C51,'Total Customers'!$C$7:$C$91,0))</f>
        <v>368491</v>
      </c>
      <c r="BC51" s="411">
        <f t="shared" si="15"/>
        <v>2.9185023083585351E-2</v>
      </c>
      <c r="BD51" s="91"/>
      <c r="BE51" s="281" t="str">
        <f t="shared" si="0"/>
        <v>AVISTA CORPORATION</v>
      </c>
      <c r="BF51" s="290">
        <f t="shared" si="1"/>
        <v>4057075</v>
      </c>
      <c r="BG51" s="46" t="str">
        <f t="shared" si="2"/>
        <v>WA</v>
      </c>
      <c r="BH51" s="46"/>
      <c r="BI51" s="46" t="str">
        <f t="shared" si="3"/>
        <v>2021 Y</v>
      </c>
      <c r="BJ51" s="129"/>
      <c r="BK51" s="129"/>
      <c r="BL51" s="129">
        <f>INDEX('Dist. Plant Gas Additions'!$D$7:$AD$91,MATCH($C51,'Dist. Plant Gas Additions'!$C$7:$C$91,0),MATCH(Calculation!$G51,'Dist. Plant Gas Additions'!$D$5:$AD$5,0))</f>
        <v>15077</v>
      </c>
      <c r="BM51" s="129">
        <f>INDEX('Gen. Plant Additions'!$D$7:$AD$91,MATCH($C51,'Gen. Plant Additions'!$C$7:$C$91,0),MATCH(Calculation!$G51,'Gen. Plant Additions'!$D$5:$AD$5,0))</f>
        <v>353</v>
      </c>
      <c r="BN51" s="343">
        <f>+BN50</f>
        <v>0.94812503552397209</v>
      </c>
      <c r="BO51" s="46">
        <f t="shared" si="121"/>
        <v>334.68813753996216</v>
      </c>
      <c r="BP51" s="46">
        <f t="shared" si="122"/>
        <v>-18.311862460037844</v>
      </c>
      <c r="BQ51" s="129"/>
      <c r="BR51" s="129"/>
      <c r="BS51" s="137">
        <v>1976</v>
      </c>
      <c r="BT51" s="137">
        <f>+BT53-1</f>
        <v>29</v>
      </c>
      <c r="BU51" s="333">
        <v>142.20704143362721</v>
      </c>
      <c r="BV51" s="93">
        <f t="shared" si="82"/>
        <v>2.1870286576168928E-2</v>
      </c>
      <c r="BW51" s="334">
        <f t="shared" si="60"/>
        <v>3.1101087493025559</v>
      </c>
      <c r="BX51" s="334"/>
      <c r="BY51" s="129"/>
      <c r="BZ51" s="129"/>
      <c r="CA51" s="129"/>
      <c r="CB51" s="129"/>
      <c r="CC51" s="133">
        <v>2021</v>
      </c>
      <c r="CD51" s="129"/>
      <c r="CE51" s="129"/>
      <c r="CF51" s="129"/>
      <c r="CG51" s="137"/>
      <c r="CH51" s="129">
        <f t="shared" si="84"/>
        <v>15430</v>
      </c>
      <c r="CI51" s="46">
        <f t="shared" si="16"/>
        <v>15411.688137539963</v>
      </c>
      <c r="CJ51" s="46">
        <f t="shared" si="85"/>
        <v>16.518024110329339</v>
      </c>
      <c r="CK51" s="443">
        <v>0.70886075949367089</v>
      </c>
      <c r="CL51" s="129">
        <f>CL28*CK51+CJ29*CK50+CJ30*CK49+CJ31*CK48+CJ32*CK47+CJ33*CK46+CJ34*CK45+CJ35*CK44+CJ36*CK43+CJ37*CK42+CJ38*CK41+CJ39*CK40+CJ40*CK39+CJ41*CK38+CJ42*CK37+CJ33*CK36+CJ44*CK35+CJ45*CK34+CJ46*CK33+CJ47*CK32+CJ48*CK31+CJ49*CK30+CJ51+CJ50*CK29</f>
        <v>2473.9735881236493</v>
      </c>
      <c r="CM51" s="134">
        <f t="shared" si="86"/>
        <v>-2.6051750753503276E-2</v>
      </c>
      <c r="CN51" s="135">
        <f t="shared" si="87"/>
        <v>3.2220355692271906E-2</v>
      </c>
      <c r="CO51" s="135">
        <f t="shared" si="97"/>
        <v>2.1395799455270526E-2</v>
      </c>
      <c r="CP51" s="134">
        <f>VLOOKUP($H51,RoR!$E:$F,2,FALSE)</f>
        <v>2.7033333333333336E-2</v>
      </c>
      <c r="CQ51" s="135"/>
      <c r="CR51" s="135"/>
      <c r="CS51" s="135">
        <f t="shared" si="98"/>
        <v>9.5061421532630988E-3</v>
      </c>
      <c r="CT51" s="135">
        <f t="shared" si="99"/>
        <v>7.433422950153494E-2</v>
      </c>
      <c r="CU51" s="139">
        <f t="shared" si="88"/>
        <v>0.92230000000000001</v>
      </c>
      <c r="CV51" s="335">
        <f t="shared" si="89"/>
        <v>1.8969932656739068</v>
      </c>
      <c r="CW51" s="335">
        <f t="shared" si="90"/>
        <v>5.0215782983970621E-2</v>
      </c>
      <c r="CX51" s="335">
        <f t="shared" si="91"/>
        <v>0.655952481704143</v>
      </c>
      <c r="CY51" s="335">
        <f t="shared" si="92"/>
        <v>6.2485378865697057E-2</v>
      </c>
      <c r="CZ51" s="336">
        <f>CZ50</f>
        <v>0.20999999999999996</v>
      </c>
      <c r="DA51" s="303">
        <v>0.37</v>
      </c>
      <c r="DB51" s="141">
        <f t="shared" si="96"/>
        <v>10.268012925910783</v>
      </c>
      <c r="DC51" s="135">
        <f t="shared" si="100"/>
        <v>-0.32546114105165291</v>
      </c>
      <c r="DD51" s="336">
        <f>VLOOKUP($H51,RoR!$E:$F,2,FALSE)</f>
        <v>2.7033333333333336E-2</v>
      </c>
      <c r="DE51" s="342">
        <f>HLOOKUP($H51,'GDP-PI'!$D$8:$CR$11,3,FALSE)</f>
        <v>4.2834637353352578E-2</v>
      </c>
      <c r="DF51" s="336">
        <f>VLOOKUP(H51,'HW Dx Data'!$E:$F,2,FALSE)</f>
        <v>933.02249921662576</v>
      </c>
      <c r="DG51" s="89">
        <f ca="1">VLOOKUP(CC51,'ECI - Input Price'!M$13:N$33,2,FALSE)</f>
        <v>157.25</v>
      </c>
      <c r="DH51" s="89"/>
      <c r="DI51" s="89"/>
      <c r="DJ51" s="135">
        <f t="shared" ca="1" si="108"/>
        <v>2.6419062301765574E-2</v>
      </c>
      <c r="DK51" s="137">
        <f>HLOOKUP(H51,'GDP-PI'!$8:$9,2,FALSE)</f>
        <v>118.49</v>
      </c>
      <c r="DL51" s="356">
        <f t="shared" si="101"/>
        <v>4.194261824609434E-2</v>
      </c>
      <c r="DO51" s="398"/>
      <c r="DP51" s="398"/>
      <c r="DQ51" s="398"/>
      <c r="DR51" s="398"/>
      <c r="DS51" s="398"/>
      <c r="DT51" s="398"/>
      <c r="DU51" s="398"/>
      <c r="DV51" s="398"/>
      <c r="DW51" s="398"/>
      <c r="DX51" s="398"/>
      <c r="DY51" s="398"/>
      <c r="EC51">
        <f t="shared" si="20"/>
        <v>2021</v>
      </c>
    </row>
    <row r="52" spans="1:133" s="126" customFormat="1" ht="21" customHeight="1" thickBot="1" x14ac:dyDescent="0.45">
      <c r="A52" s="235"/>
      <c r="B52" s="236"/>
      <c r="C52" s="236"/>
      <c r="D52" s="236"/>
      <c r="E52" s="236"/>
      <c r="F52" s="236"/>
      <c r="G52" s="237" t="s">
        <v>178</v>
      </c>
      <c r="H52" s="238"/>
      <c r="I52" s="239"/>
      <c r="J52" s="240">
        <v>31092</v>
      </c>
      <c r="K52" s="240">
        <f t="shared" ca="1" si="102"/>
        <v>191.27653029836972</v>
      </c>
      <c r="L52" s="47"/>
      <c r="M52" s="241">
        <f t="shared" ref="M52" ca="1" si="123">LN(K52/K51)</f>
        <v>4.0649873168358129E-2</v>
      </c>
      <c r="N52" s="59"/>
      <c r="O52" s="59"/>
      <c r="P52" s="242">
        <f t="shared" ca="1" si="111"/>
        <v>3.6072346601846023E-4</v>
      </c>
      <c r="Q52" s="61"/>
      <c r="R52" s="387"/>
      <c r="S52" s="206">
        <f ca="1">+S51*EXP(T52)</f>
        <v>105.87646776248349</v>
      </c>
      <c r="T52" s="243">
        <f ca="1">+P52+P77+P102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</f>
        <v>-2.7660946827620875E-3</v>
      </c>
      <c r="U52" s="61">
        <f t="shared" ca="1" si="117"/>
        <v>-2.7660946827620875E-3</v>
      </c>
      <c r="V52" s="239">
        <v>43828</v>
      </c>
      <c r="W52" s="240">
        <f t="shared" si="103"/>
        <v>344.4243614931238</v>
      </c>
      <c r="X52" s="244">
        <f t="shared" ref="X52" si="124">LN(W52/W51)</f>
        <v>2.4625419097544939E-3</v>
      </c>
      <c r="Y52" s="244">
        <f t="shared" si="113"/>
        <v>2.1852384365956882E-5</v>
      </c>
      <c r="Z52" s="206"/>
      <c r="AA52" s="243"/>
      <c r="AB52" s="243"/>
      <c r="AC52" s="240">
        <f t="shared" si="93"/>
        <v>42505.145736725739</v>
      </c>
      <c r="AD52" s="244">
        <f t="shared" ref="AD52" si="125">LN(AC52/AC51)</f>
        <v>0.4887142740094243</v>
      </c>
      <c r="AE52" s="245">
        <v>2747.3353278107152</v>
      </c>
      <c r="AF52" s="243">
        <v>1.0885495177282836E-2</v>
      </c>
      <c r="AG52" s="242">
        <f t="shared" si="104"/>
        <v>9.6596944679601263E-5</v>
      </c>
      <c r="AH52" s="206"/>
      <c r="AI52" s="243"/>
      <c r="AJ52" s="239">
        <f t="shared" si="94"/>
        <v>117425.14573672574</v>
      </c>
      <c r="AK52" s="243">
        <f t="shared" si="114"/>
        <v>0.20496091292196308</v>
      </c>
      <c r="AL52" s="239"/>
      <c r="AM52" s="243"/>
      <c r="AN52" s="243"/>
      <c r="AO52" s="243"/>
      <c r="AP52" s="245">
        <f t="shared" si="115"/>
        <v>313.78639767175923</v>
      </c>
      <c r="AQ52" s="243"/>
      <c r="AR52" s="207">
        <f t="shared" si="105"/>
        <v>0.26478144697993511</v>
      </c>
      <c r="AS52" s="207">
        <f t="shared" si="106"/>
        <v>0.37324203197724803</v>
      </c>
      <c r="AT52" s="207">
        <f t="shared" si="107"/>
        <v>0.36197652104281686</v>
      </c>
      <c r="AU52" s="207"/>
      <c r="AV52" s="206"/>
      <c r="AW52" s="243"/>
      <c r="AX52" s="248">
        <f>+AJ52/$AL$27</f>
        <v>8.873913690319887E-3</v>
      </c>
      <c r="AY52" s="249"/>
      <c r="AZ52" s="206"/>
      <c r="BA52" s="243"/>
      <c r="BB52" s="250">
        <v>374220</v>
      </c>
      <c r="BC52" s="412">
        <f t="shared" si="15"/>
        <v>1.5427571772805775E-2</v>
      </c>
      <c r="BD52" s="91"/>
      <c r="BE52" s="401">
        <f t="shared" si="0"/>
        <v>0</v>
      </c>
      <c r="BF52" s="402">
        <f t="shared" si="1"/>
        <v>0</v>
      </c>
      <c r="BG52" s="313">
        <f t="shared" si="2"/>
        <v>0</v>
      </c>
      <c r="BH52" s="313"/>
      <c r="BI52" s="313" t="str">
        <f t="shared" si="3"/>
        <v>2022Y</v>
      </c>
      <c r="BJ52" s="239"/>
      <c r="BK52" s="239"/>
      <c r="BL52" s="239"/>
      <c r="BM52" s="239"/>
      <c r="BN52" s="337">
        <f>+BN51</f>
        <v>0.94812503552397209</v>
      </c>
      <c r="BO52" s="313">
        <f t="shared" si="121"/>
        <v>0</v>
      </c>
      <c r="BP52" s="313">
        <f t="shared" si="122"/>
        <v>0</v>
      </c>
      <c r="BQ52" s="239"/>
      <c r="BR52" s="239"/>
      <c r="BS52" s="310"/>
      <c r="BT52" s="310"/>
      <c r="BU52" s="311"/>
      <c r="BV52" s="207"/>
      <c r="BW52" s="312"/>
      <c r="BX52" s="312"/>
      <c r="BY52" s="239"/>
      <c r="BZ52" s="239"/>
      <c r="CA52" s="239"/>
      <c r="CB52" s="239"/>
      <c r="CC52" s="245">
        <v>2022</v>
      </c>
      <c r="CD52" s="239"/>
      <c r="CE52" s="239"/>
      <c r="CF52" s="239"/>
      <c r="CG52" s="310"/>
      <c r="CH52" s="239">
        <v>99517</v>
      </c>
      <c r="CI52" s="313">
        <f t="shared" si="16"/>
        <v>99517</v>
      </c>
      <c r="CJ52" s="313">
        <f t="shared" si="85"/>
        <v>96.54252481058586</v>
      </c>
      <c r="CK52" s="443">
        <v>0.69230769230769229</v>
      </c>
      <c r="CL52" s="239">
        <f>+CL28*CK52+CJ29*CK51+CJ30*CK50+CJ31*CK49+CJ32*CK48+CJ33*CK47+CJ34*CK46+CJ35*CK45+CJ36*CK44+CJ37*CK43+CJ38*CK42+CJ39*CK41+CJ40*CK40+CJ41*CK39+CJ42*CK38+CJ43*CK37+CJ44*CK36+CJ45*CK35+CJ46*CK34+CJ47*CK33+CJ48*CK32+CJ49*CK31+CJ50*CK30+CJ51*CK29+CJ52*CK28</f>
        <v>2567.4431406571625</v>
      </c>
      <c r="CM52" s="243">
        <f t="shared" si="86"/>
        <v>3.708491864016196E-2</v>
      </c>
      <c r="CN52" s="249">
        <f t="shared" si="87"/>
        <v>1.2421200823745501E-3</v>
      </c>
      <c r="CO52" s="249">
        <f t="shared" ref="CO52" si="126">+(CN52+CN51+CN50)/3</f>
        <v>1.6527286531154022E-2</v>
      </c>
      <c r="CP52" s="243"/>
      <c r="CQ52" s="249"/>
      <c r="CR52" s="249"/>
      <c r="CS52" s="248">
        <f t="shared" si="98"/>
        <v>1.4374655077379603E-2</v>
      </c>
      <c r="CT52" s="249">
        <f t="shared" si="99"/>
        <v>0.10114668178709289</v>
      </c>
      <c r="CU52" s="314">
        <f t="shared" si="88"/>
        <v>0.92230000000000001</v>
      </c>
      <c r="CV52" s="315"/>
      <c r="CW52" s="315"/>
      <c r="CX52" s="315"/>
      <c r="CY52" s="315"/>
      <c r="CZ52" s="316">
        <f>CZ51</f>
        <v>0.20999999999999996</v>
      </c>
      <c r="DA52" s="360">
        <v>0.37</v>
      </c>
      <c r="DB52" s="318">
        <f t="shared" si="96"/>
        <v>17.180921389287416</v>
      </c>
      <c r="DC52" s="249">
        <f t="shared" si="100"/>
        <v>0.51476602476292777</v>
      </c>
      <c r="DD52" s="316">
        <v>0.04</v>
      </c>
      <c r="DE52" s="319">
        <v>7.0000000000000001E-3</v>
      </c>
      <c r="DF52" s="316">
        <v>1030.81</v>
      </c>
      <c r="DG52" s="89">
        <f ca="1">VLOOKUP(CC52,'ECI - Input Price'!M$13:N$33,2,FALSE)</f>
        <v>162.55000000000001</v>
      </c>
      <c r="DH52" s="89"/>
      <c r="DI52" s="89"/>
      <c r="DJ52" s="249">
        <f t="shared" ca="1" si="108"/>
        <v>3.3148751169364422E-2</v>
      </c>
      <c r="DK52" s="310">
        <v>127.25</v>
      </c>
      <c r="DL52" s="357">
        <f t="shared" si="101"/>
        <v>7.1325086601983473E-2</v>
      </c>
      <c r="DO52" s="398"/>
      <c r="DP52" s="398"/>
      <c r="DQ52" s="398"/>
      <c r="DR52" s="398"/>
      <c r="DS52" s="398"/>
      <c r="DT52" s="398"/>
      <c r="DU52" s="398"/>
      <c r="DV52" s="398"/>
      <c r="DW52" s="398"/>
      <c r="DX52" s="398"/>
      <c r="DY52" s="398"/>
      <c r="EC52">
        <f t="shared" si="20"/>
        <v>2022</v>
      </c>
    </row>
    <row r="53" spans="1:133" s="126" customFormat="1" ht="21" customHeight="1" x14ac:dyDescent="0.4">
      <c r="A53" s="251" t="s">
        <v>181</v>
      </c>
      <c r="B53" s="252" t="s">
        <v>181</v>
      </c>
      <c r="C53" s="252">
        <v>4007784</v>
      </c>
      <c r="D53" s="252" t="s">
        <v>182</v>
      </c>
      <c r="E53" s="252"/>
      <c r="F53" s="252"/>
      <c r="G53" s="252" t="s">
        <v>150</v>
      </c>
      <c r="H53" s="253">
        <v>1998</v>
      </c>
      <c r="I53" s="254"/>
      <c r="J53" s="255"/>
      <c r="K53" s="255"/>
      <c r="L53" s="47"/>
      <c r="M53" s="255"/>
      <c r="N53" s="255"/>
      <c r="O53" s="255"/>
      <c r="P53" s="219"/>
      <c r="Q53" s="218"/>
      <c r="R53" s="385"/>
      <c r="S53" s="257"/>
      <c r="T53" s="258"/>
      <c r="U53" s="258"/>
      <c r="V53" s="259"/>
      <c r="W53" s="259"/>
      <c r="X53" s="259"/>
      <c r="Y53" s="255"/>
      <c r="Z53" s="259"/>
      <c r="AA53" s="259"/>
      <c r="AB53" s="259"/>
      <c r="AC53" s="255"/>
      <c r="AD53" s="254"/>
      <c r="AE53" s="260">
        <v>3100.1474328271206</v>
      </c>
      <c r="AF53" s="256"/>
      <c r="AG53" s="225"/>
      <c r="AH53" s="256"/>
      <c r="AI53" s="256"/>
      <c r="AJ53" s="254">
        <f t="shared" si="94"/>
        <v>0</v>
      </c>
      <c r="AK53" s="254"/>
      <c r="AL53" s="254"/>
      <c r="AM53" s="256"/>
      <c r="AN53" s="256"/>
      <c r="AO53" s="256"/>
      <c r="AP53" s="226">
        <f>+(AP50+AP51+AP52)/3</f>
        <v>289.25446237457561</v>
      </c>
      <c r="AQ53" s="256"/>
      <c r="AR53" s="261"/>
      <c r="AS53" s="261"/>
      <c r="AT53" s="261"/>
      <c r="AU53" s="261"/>
      <c r="AV53" s="261"/>
      <c r="AW53" s="256">
        <f ca="1">AVERAGE(AW62:AW76)</f>
        <v>2.7198866808595561E-2</v>
      </c>
      <c r="AX53" s="223"/>
      <c r="AY53" s="261"/>
      <c r="AZ53" s="261"/>
      <c r="BA53" s="261"/>
      <c r="BB53" s="262">
        <f>IFERROR(INDEX('Total Customers'!$E$7:$AA$91,MATCH($C53,'Total Customers'!$C$7:$C$91,0),MATCH($G53,'Total Customers'!$E$5:$AA$5,0)),"NA")</f>
        <v>573428</v>
      </c>
      <c r="BC53" s="413"/>
      <c r="BD53" s="92"/>
      <c r="BE53" s="407" t="str">
        <f t="shared" si="0"/>
        <v>BALTIMORE GAS AND ELECTRIC COMPANY</v>
      </c>
      <c r="BF53" s="408">
        <f t="shared" si="1"/>
        <v>4007784</v>
      </c>
      <c r="BG53" s="218" t="str">
        <f t="shared" si="2"/>
        <v>MD</v>
      </c>
      <c r="BH53" s="218"/>
      <c r="BI53" s="218" t="str">
        <f t="shared" si="3"/>
        <v>1998 Y</v>
      </c>
      <c r="BJ53" s="254">
        <f>INDEX('Gross Dx Plant'!$D$7:$AC$91,MATCH($C53,'Gross Dx Plant'!$C$7:$C$91,0),MATCH(Calculation!$G53,'Gross Dx Plant'!$D$5:$AC$5,0))</f>
        <v>868360</v>
      </c>
      <c r="BK53" s="254">
        <f>INDEX('Gross Gen Plant'!$D$7:$AC$91,MATCH($C53,'Gross Gen Plant'!$C$7:$C$91,0),MATCH(Calculation!$G53,'Gross Gen Plant'!$D$5:$AC$5,0))</f>
        <v>6009</v>
      </c>
      <c r="BL53" s="254">
        <f>INDEX('Dist. Plant Gas Additions'!$E$7:$AD$91,MATCH($C53,'Dist. Plant Gas Additions'!$C$7:$C$91,0),MATCH(Calculation!$G53,'Dist. Plant Gas Additions'!$E$5:$AD$5,0))</f>
        <v>73204</v>
      </c>
      <c r="BM53" s="254">
        <f>INDEX('Gen. Plant Additions'!$E$7:$AD$91,MATCH($C53,'Gen. Plant Additions'!$C$7:$C$91,0),MATCH(Calculation!$G53,'Gen. Plant Additions'!$E$5:$AD$5,0))</f>
        <v>597</v>
      </c>
      <c r="BN53" s="409">
        <f>+(BY53/(BY53+BZ53))</f>
        <v>0.99312761545754713</v>
      </c>
      <c r="BO53" s="218">
        <f t="shared" si="121"/>
        <v>592.89718642815569</v>
      </c>
      <c r="BP53" s="218">
        <f t="shared" si="122"/>
        <v>-4.1028135718443082</v>
      </c>
      <c r="BQ53" s="254">
        <f>INDEX('Dist Plant Depreciation'!$D$7:$AC$94,MATCH($C53,'Dist Plant Depreciation'!$C$7:$C$94,0),MATCH(Calculation!$G53,'Dist Plant Depreciation'!$D$5:$AC$5,0))</f>
        <v>248262</v>
      </c>
      <c r="BR53" s="254">
        <f>INDEX('Gen. Plant Depreciation'!$D$7:$AC$94,MATCH($C53,'Gen. Plant Depreciation'!$C$7:$C$94,0),MATCH(Calculation!$G53,'Gen. Plant Depreciation'!$D$5:$AC$5,0))</f>
        <v>747</v>
      </c>
      <c r="BS53" s="323">
        <v>1977</v>
      </c>
      <c r="BT53" s="323">
        <f t="shared" si="59"/>
        <v>30</v>
      </c>
      <c r="BU53" s="410">
        <v>151.26806819931093</v>
      </c>
      <c r="BV53" s="261">
        <f t="shared" ref="BV53:BV74" si="127">+BT53/$BT$76</f>
        <v>2.2624434389140271E-2</v>
      </c>
      <c r="BW53" s="324">
        <f t="shared" si="60"/>
        <v>3.4223544841473061</v>
      </c>
      <c r="BX53" s="324"/>
      <c r="BY53" s="254">
        <f>INDEX('Gross Dx Plant'!$D$7:$AC$91,MATCH($C53,'Gross Dx Plant'!$C$7:$C$91,0),MATCH(Calculation!$G53,'Gross Dx Plant'!$D$5:$AC$5,0))</f>
        <v>868360</v>
      </c>
      <c r="BZ53" s="254">
        <f>INDEX('Gross Gen Plant'!$D$7:$AC$91,MATCH($C53,'Gross Gen Plant'!$C$7:$C$91,0),MATCH(Calculation!$G53,'Gross Gen Plant'!$D$5:$AC$5,0))</f>
        <v>6009</v>
      </c>
      <c r="CA53" s="254">
        <f t="shared" si="39"/>
        <v>625360</v>
      </c>
      <c r="CB53" s="254"/>
      <c r="CC53" s="260">
        <v>1998</v>
      </c>
      <c r="CD53" s="254">
        <f>BJ53+BK53</f>
        <v>874369</v>
      </c>
      <c r="CE53" s="254">
        <f>248262+747</f>
        <v>249009</v>
      </c>
      <c r="CF53" s="254">
        <f>+CD53-CE53</f>
        <v>625360</v>
      </c>
      <c r="CG53" s="254">
        <f>CF53/$BX$3</f>
        <v>3100.1474328271206</v>
      </c>
      <c r="CH53" s="323"/>
      <c r="CI53" s="344"/>
      <c r="CJ53" s="344"/>
      <c r="CK53" s="443">
        <v>1</v>
      </c>
      <c r="CL53" s="254">
        <f>+CG53</f>
        <v>3100.1474328271206</v>
      </c>
      <c r="CM53" s="256"/>
      <c r="CN53" s="325"/>
      <c r="CO53" s="325"/>
      <c r="CP53" s="256" t="e">
        <f>VLOOKUP($H53,RoR!$E:$F,2,FALSE)</f>
        <v>#N/A</v>
      </c>
      <c r="CQ53" s="325">
        <v>1.1028127770464469E-2</v>
      </c>
      <c r="CR53" s="325"/>
      <c r="CS53" s="325"/>
      <c r="CT53" s="326"/>
      <c r="CU53" s="327"/>
      <c r="CV53" s="331" t="e">
        <f>2/(DD53*39)</f>
        <v>#N/A</v>
      </c>
      <c r="CW53" s="328" t="e">
        <f>+(DD53*40-(1+DD53))/(DD53*40)</f>
        <v>#N/A</v>
      </c>
      <c r="CX53" s="328" t="e">
        <f>+(1-(1/(1+DD53)^40))</f>
        <v>#N/A</v>
      </c>
      <c r="CY53" s="328" t="e">
        <f>+CX53*CW53*CV53</f>
        <v>#N/A</v>
      </c>
      <c r="CZ53" s="329">
        <f>INDEX('State Tax Lookup'!$D$7:$Z$91,MATCH(Calculation!$C53,'State Tax Lookup'!$B$7:$B$91,0),MATCH($H53,'State Tax Lookup'!$D$6:$Z$6,0))</f>
        <v>0.40091666999999998</v>
      </c>
      <c r="DA53" s="351">
        <v>0.37</v>
      </c>
      <c r="DB53" s="344"/>
      <c r="DC53" s="326"/>
      <c r="DD53" s="351" t="e">
        <f>VLOOKUP($H53,RoR!$E:$F,2,FALSE)</f>
        <v>#N/A</v>
      </c>
      <c r="DE53" s="354">
        <f>HLOOKUP($H53,'GDP-PI'!$D$8:$CQ$11,3,FALSE)</f>
        <v>1.1028127770464469E-2</v>
      </c>
      <c r="DF53" s="351">
        <f>VLOOKUP(H53,'HW Dx Data'!$E:$F,2,FALSE)</f>
        <v>329.24564746449528</v>
      </c>
      <c r="DG53" s="351"/>
      <c r="DH53" s="351"/>
      <c r="DI53" s="351"/>
      <c r="DJ53" s="326"/>
      <c r="DK53" s="344">
        <f>HLOOKUP(H53,'GDP-PI'!$8:$9,2,FALSE)</f>
        <v>75.266999999999996</v>
      </c>
      <c r="DL53" s="292"/>
      <c r="DO53" s="398">
        <v>9.3262927145344623E-4</v>
      </c>
      <c r="DP53" s="398"/>
      <c r="DQ53" s="398"/>
      <c r="DR53" s="398"/>
      <c r="DS53" s="398"/>
      <c r="DT53" s="398"/>
      <c r="DU53" s="398"/>
      <c r="DV53" s="398"/>
      <c r="DW53" s="398"/>
      <c r="DX53" s="398"/>
      <c r="DY53" s="398"/>
      <c r="EC53">
        <v>1998</v>
      </c>
    </row>
    <row r="54" spans="1:133" s="126" customFormat="1" ht="21" customHeight="1" x14ac:dyDescent="0.4">
      <c r="A54" s="233" t="s">
        <v>181</v>
      </c>
      <c r="B54" s="127" t="s">
        <v>181</v>
      </c>
      <c r="C54" s="127">
        <v>4007784</v>
      </c>
      <c r="D54" s="127" t="s">
        <v>182</v>
      </c>
      <c r="E54" s="127"/>
      <c r="F54" s="127"/>
      <c r="G54" s="127" t="s">
        <v>155</v>
      </c>
      <c r="H54" s="128">
        <v>1999</v>
      </c>
      <c r="I54" s="129"/>
      <c r="J54" s="125"/>
      <c r="K54" s="125"/>
      <c r="L54" s="47"/>
      <c r="M54" s="125"/>
      <c r="N54" s="125"/>
      <c r="O54" s="125"/>
      <c r="P54" s="47"/>
      <c r="Q54" s="47"/>
      <c r="R54" s="386"/>
      <c r="S54" s="119"/>
      <c r="T54" s="47"/>
      <c r="U54" s="46"/>
      <c r="V54" s="135"/>
      <c r="W54" s="135"/>
      <c r="X54" s="135"/>
      <c r="Y54" s="143"/>
      <c r="Z54" s="135"/>
      <c r="AA54" s="135"/>
      <c r="AB54" s="135"/>
      <c r="AC54" s="125">
        <f t="shared" ref="AC54:AC77" si="128">+CL53*DB54</f>
        <v>0</v>
      </c>
      <c r="AD54" s="129"/>
      <c r="AE54" s="133">
        <v>3246.5250554810668</v>
      </c>
      <c r="AF54" s="134">
        <v>4.6135541290072725E-2</v>
      </c>
      <c r="AG54" s="61"/>
      <c r="AH54" s="134"/>
      <c r="AI54" s="134"/>
      <c r="AJ54" s="129">
        <f t="shared" si="94"/>
        <v>0</v>
      </c>
      <c r="AK54" s="134"/>
      <c r="AL54" s="129"/>
      <c r="AM54" s="134"/>
      <c r="AN54" s="134"/>
      <c r="AO54" s="134"/>
      <c r="AP54" s="133"/>
      <c r="AQ54" s="134"/>
      <c r="AR54" s="93"/>
      <c r="AS54" s="93"/>
      <c r="AT54" s="93"/>
      <c r="AU54" s="93"/>
      <c r="AV54" s="93"/>
      <c r="AW54" s="134"/>
      <c r="AX54" s="62"/>
      <c r="AY54" s="93"/>
      <c r="AZ54" s="93"/>
      <c r="BA54" s="93"/>
      <c r="BB54" s="234">
        <f>IFERROR(INDEX('Total Customers'!$E$7:$AA$91,MATCH($C54,'Total Customers'!$C$7:$C$91,0),MATCH($G54,'Total Customers'!$E$5:$AA$5,0)),"NA")</f>
        <v>583866</v>
      </c>
      <c r="BC54" s="411">
        <f t="shared" si="15"/>
        <v>1.8039120657015975E-2</v>
      </c>
      <c r="BD54" s="92"/>
      <c r="BE54" s="281" t="str">
        <f t="shared" si="0"/>
        <v>BALTIMORE GAS AND ELECTRIC COMPANY</v>
      </c>
      <c r="BF54" s="290">
        <f t="shared" si="1"/>
        <v>4007784</v>
      </c>
      <c r="BG54" s="46" t="str">
        <f t="shared" si="2"/>
        <v>MD</v>
      </c>
      <c r="BH54" s="46"/>
      <c r="BI54" s="46" t="str">
        <f t="shared" si="3"/>
        <v>1999 Y</v>
      </c>
      <c r="BJ54" s="129"/>
      <c r="BK54" s="129"/>
      <c r="BL54" s="129">
        <f>INDEX('Dist. Plant Gas Additions'!$E$7:$AD$91,MATCH($C54,'Dist. Plant Gas Additions'!$C$7:$C$91,0),MATCH(Calculation!$G54,'Dist. Plant Gas Additions'!$E$5:$AD$5,0))</f>
        <v>54256</v>
      </c>
      <c r="BM54" s="129">
        <f>INDEX('Gen. Plant Additions'!$E$7:$AD$91,MATCH($C54,'Gen. Plant Additions'!$C$7:$C$91,0),MATCH(Calculation!$G54,'Gen. Plant Additions'!$E$5:$AD$5,0))</f>
        <v>0</v>
      </c>
      <c r="BN54" s="393">
        <f t="shared" ref="BN54:BN75" si="129">+(BY54/(BY54+BZ54))</f>
        <v>0.99347246143731904</v>
      </c>
      <c r="BO54" s="46">
        <f t="shared" si="121"/>
        <v>0</v>
      </c>
      <c r="BP54" s="46">
        <f t="shared" si="122"/>
        <v>0</v>
      </c>
      <c r="BQ54" s="129">
        <f>INDEX('Dist Plant Depreciation'!$D$7:$AC$94,MATCH($C54,'Dist Plant Depreciation'!$C$7:$C$94,0),MATCH(Calculation!$G54,'Dist Plant Depreciation'!$D$5:$AC$5,0))</f>
        <v>265147</v>
      </c>
      <c r="BR54" s="129">
        <f>INDEX('Gen. Plant Depreciation'!$D$7:$AC$94,MATCH($C54,'Gen. Plant Depreciation'!$C$7:$C$94,0),MATCH(Calculation!$G54,'Gen. Plant Depreciation'!$D$5:$AC$5,0))</f>
        <v>-661</v>
      </c>
      <c r="BS54" s="137">
        <v>1978</v>
      </c>
      <c r="BT54" s="137">
        <f t="shared" si="59"/>
        <v>31</v>
      </c>
      <c r="BU54" s="333">
        <v>164.6318376126998</v>
      </c>
      <c r="BV54" s="93">
        <f t="shared" si="127"/>
        <v>2.3378582202111614E-2</v>
      </c>
      <c r="BW54" s="334">
        <f t="shared" si="60"/>
        <v>3.8488589487131928</v>
      </c>
      <c r="BX54" s="334"/>
      <c r="BY54" s="129">
        <f>INDEX('Gross Dx Plant'!$D$7:$AC$91,MATCH($C54,'Gross Dx Plant'!$C$7:$C$91,0),MATCH(Calculation!$G54,'Gross Dx Plant'!$D$5:$AC$5,0))</f>
        <v>914248</v>
      </c>
      <c r="BZ54" s="129">
        <f>INDEX('Gross Gen Plant'!$D$7:$AC$91,MATCH($C54,'Gross Gen Plant'!$C$7:$C$91,0),MATCH(Calculation!$G54,'Gross Gen Plant'!$D$5:$AC$5,0))</f>
        <v>6007</v>
      </c>
      <c r="CA54" s="129">
        <f t="shared" si="39"/>
        <v>655769</v>
      </c>
      <c r="CB54" s="129"/>
      <c r="CC54" s="133">
        <v>1999</v>
      </c>
      <c r="CD54" s="129"/>
      <c r="CE54" s="129"/>
      <c r="CF54" s="129"/>
      <c r="CG54" s="137"/>
      <c r="CH54" s="129">
        <f t="shared" ref="CH54:CH76" si="130">+BM54+BL54</f>
        <v>54256</v>
      </c>
      <c r="CI54" s="46">
        <f>+CH54+BP54</f>
        <v>54256</v>
      </c>
      <c r="CJ54" s="46">
        <f t="shared" ref="CJ54:CJ77" si="131">+CI54/$DF54</f>
        <v>161.80124172273798</v>
      </c>
      <c r="CK54" s="443">
        <v>0.99009900990099009</v>
      </c>
      <c r="CL54" s="46">
        <f>+CL53*CK54+CJ54</f>
        <v>3231.2541455119663</v>
      </c>
      <c r="CM54" s="134">
        <f t="shared" ref="CM54:CM75" si="132">LN(CL54/CL53)</f>
        <v>4.14206728808224E-2</v>
      </c>
      <c r="CN54" s="135">
        <f t="shared" ref="CN54:CN77" si="133">+(CL53-CL54+CJ54)/CL53</f>
        <v>9.9009900990099133E-3</v>
      </c>
      <c r="CO54" s="135"/>
      <c r="CP54" s="134">
        <f>VLOOKUP($H54,RoR!$E:$F,2,FALSE)</f>
        <v>7.0416666666666669E-2</v>
      </c>
      <c r="CQ54" s="135">
        <v>1.4335631817396832E-2</v>
      </c>
      <c r="CR54" s="135">
        <f>+CP54-CQ54</f>
        <v>5.6081034849269837E-2</v>
      </c>
      <c r="CS54" s="135"/>
      <c r="CT54" s="56"/>
      <c r="CU54" s="139">
        <f t="shared" ref="CU54:CU77" si="134">1-CZ54*DA54</f>
        <v>0.85166083209999999</v>
      </c>
      <c r="CV54" s="335">
        <f t="shared" ref="CV54:CV76" si="135">2/(DD54*39)</f>
        <v>0.72826581702321336</v>
      </c>
      <c r="CW54" s="335">
        <f t="shared" ref="CW54:CW76" si="136">+(DD54*40-(1+DD54))/(DD54*40)</f>
        <v>0.61997041420118348</v>
      </c>
      <c r="CX54" s="335">
        <f t="shared" ref="CX54:CX76" si="137">+(1-(1/(1+DD54)^40))</f>
        <v>0.93425155319585029</v>
      </c>
      <c r="CY54" s="335">
        <f t="shared" ref="CY54:CY76" si="138">+CX54*CW54*CV54</f>
        <v>0.42181762214141483</v>
      </c>
      <c r="CZ54" s="336">
        <f>INDEX('State Tax Lookup'!$D$7:$Z$91,MATCH(Calculation!$C54,'State Tax Lookup'!$B$7:$B$91,0),MATCH($H54,'State Tax Lookup'!$D$6:$Z$6,0))</f>
        <v>0.40091666999999998</v>
      </c>
      <c r="DA54" s="303">
        <v>0.37</v>
      </c>
      <c r="DB54" s="57"/>
      <c r="DC54" s="56"/>
      <c r="DD54" s="303">
        <f>VLOOKUP($H54,RoR!$E:$F,2,FALSE)</f>
        <v>7.0416666666666669E-2</v>
      </c>
      <c r="DE54" s="304">
        <f>HLOOKUP($H54,'GDP-PI'!$D$8:$CQ$11,3,FALSE)</f>
        <v>1.4335631817396832E-2</v>
      </c>
      <c r="DF54" s="303">
        <f>VLOOKUP(H54,'HW Dx Data'!$E:$F,2,FALSE)</f>
        <v>335.32499146683239</v>
      </c>
      <c r="DG54" s="89"/>
      <c r="DH54" s="89"/>
      <c r="DI54" s="89"/>
      <c r="DJ54" s="56"/>
      <c r="DK54" s="53">
        <f>HLOOKUP(H54,'GDP-PI'!$8:$9,2,FALSE)</f>
        <v>76.346000000000004</v>
      </c>
      <c r="DL54" s="298"/>
      <c r="DO54" s="398">
        <v>2.2420051132432027E-2</v>
      </c>
      <c r="DP54" s="398"/>
      <c r="DQ54" s="398"/>
      <c r="DR54" s="398"/>
      <c r="DS54" s="398"/>
      <c r="DT54" s="398"/>
      <c r="DU54" s="398"/>
      <c r="DV54" s="398"/>
      <c r="DW54" s="398"/>
      <c r="DX54" s="398"/>
      <c r="DY54" s="398"/>
      <c r="EC54">
        <f>+EC53+1</f>
        <v>1999</v>
      </c>
    </row>
    <row r="55" spans="1:133" s="126" customFormat="1" ht="21" customHeight="1" x14ac:dyDescent="0.4">
      <c r="A55" s="233" t="s">
        <v>181</v>
      </c>
      <c r="B55" s="127" t="s">
        <v>181</v>
      </c>
      <c r="C55" s="127">
        <v>4007784</v>
      </c>
      <c r="D55" s="127" t="s">
        <v>182</v>
      </c>
      <c r="E55" s="127"/>
      <c r="F55" s="127"/>
      <c r="G55" s="127" t="s">
        <v>156</v>
      </c>
      <c r="H55" s="128">
        <v>2000</v>
      </c>
      <c r="I55" s="129"/>
      <c r="J55" s="125"/>
      <c r="K55" s="125"/>
      <c r="L55" s="47"/>
      <c r="M55" s="125"/>
      <c r="N55" s="125"/>
      <c r="O55" s="125"/>
      <c r="P55" s="47"/>
      <c r="Q55" s="47"/>
      <c r="R55" s="386"/>
      <c r="S55" s="119"/>
      <c r="T55" s="47"/>
      <c r="U55" s="47"/>
      <c r="V55" s="125"/>
      <c r="W55" s="125"/>
      <c r="X55" s="125"/>
      <c r="Y55" s="125"/>
      <c r="Z55" s="125"/>
      <c r="AA55" s="125"/>
      <c r="AB55" s="125"/>
      <c r="AC55" s="125">
        <f t="shared" si="128"/>
        <v>0</v>
      </c>
      <c r="AD55" s="129"/>
      <c r="AE55" s="133">
        <v>3369.3652780334437</v>
      </c>
      <c r="AF55" s="134">
        <v>3.7139171201192346E-2</v>
      </c>
      <c r="AG55" s="61"/>
      <c r="AH55" s="134"/>
      <c r="AI55" s="134"/>
      <c r="AJ55" s="129">
        <f t="shared" si="94"/>
        <v>0</v>
      </c>
      <c r="AK55" s="134"/>
      <c r="AL55" s="129"/>
      <c r="AM55" s="129"/>
      <c r="AN55" s="129"/>
      <c r="AO55" s="129"/>
      <c r="AP55" s="133"/>
      <c r="AQ55" s="134"/>
      <c r="AR55" s="93"/>
      <c r="AS55" s="93"/>
      <c r="AT55" s="93"/>
      <c r="AU55" s="93"/>
      <c r="AV55" s="93"/>
      <c r="AW55" s="134"/>
      <c r="AX55" s="62"/>
      <c r="AY55" s="93"/>
      <c r="AZ55" s="93"/>
      <c r="BA55" s="93"/>
      <c r="BB55" s="234">
        <f>IFERROR(INDEX('Total Customers'!$E$7:$AA$91,MATCH($C55,'Total Customers'!$C$7:$C$91,0),MATCH($G55,'Total Customers'!$E$5:$AA$5,0)),"NA")</f>
        <v>595260</v>
      </c>
      <c r="BC55" s="411">
        <f t="shared" si="15"/>
        <v>1.9326780444583688E-2</v>
      </c>
      <c r="BD55" s="92"/>
      <c r="BE55" s="281" t="str">
        <f t="shared" si="0"/>
        <v>BALTIMORE GAS AND ELECTRIC COMPANY</v>
      </c>
      <c r="BF55" s="290">
        <f t="shared" si="1"/>
        <v>4007784</v>
      </c>
      <c r="BG55" s="46" t="str">
        <f t="shared" si="2"/>
        <v>MD</v>
      </c>
      <c r="BH55" s="46"/>
      <c r="BI55" s="46" t="str">
        <f t="shared" si="3"/>
        <v>2000 Y</v>
      </c>
      <c r="BJ55" s="129"/>
      <c r="BK55" s="129"/>
      <c r="BL55" s="129">
        <f>INDEX('Dist. Plant Gas Additions'!$E$7:$AD$91,MATCH($C55,'Dist. Plant Gas Additions'!$C$7:$C$91,0),MATCH(Calculation!$G55,'Dist. Plant Gas Additions'!$E$5:$AD$5,0))</f>
        <v>48342</v>
      </c>
      <c r="BM55" s="129">
        <f>INDEX('Gen. Plant Additions'!$E$7:$AD$91,MATCH($C55,'Gen. Plant Additions'!$C$7:$C$91,0),MATCH(Calculation!$G55,'Gen. Plant Additions'!$E$5:$AD$5,0))</f>
        <v>12</v>
      </c>
      <c r="BN55" s="393">
        <f t="shared" si="129"/>
        <v>0.99400712203226604</v>
      </c>
      <c r="BO55" s="46">
        <f t="shared" si="121"/>
        <v>11.928085464387193</v>
      </c>
      <c r="BP55" s="46">
        <f t="shared" si="122"/>
        <v>-7.1914535612807029E-2</v>
      </c>
      <c r="BQ55" s="129">
        <f>INDEX('Dist Plant Depreciation'!$D$7:$AC$94,MATCH($C55,'Dist Plant Depreciation'!$C$7:$C$94,0),MATCH(Calculation!$G55,'Dist Plant Depreciation'!$D$5:$AC$5,0))</f>
        <v>269509</v>
      </c>
      <c r="BR55" s="129">
        <f>INDEX('Gen. Plant Depreciation'!$D$7:$AC$94,MATCH($C55,'Gen. Plant Depreciation'!$C$7:$C$94,0),MATCH(Calculation!$G55,'Gen. Plant Depreciation'!$D$5:$AC$5,0))</f>
        <v>-807</v>
      </c>
      <c r="BS55" s="137">
        <v>1979</v>
      </c>
      <c r="BT55" s="137">
        <f t="shared" si="59"/>
        <v>32</v>
      </c>
      <c r="BU55" s="333">
        <v>178.3682330743728</v>
      </c>
      <c r="BV55" s="93">
        <f t="shared" si="127"/>
        <v>2.4132730015082957E-2</v>
      </c>
      <c r="BW55" s="334">
        <f t="shared" si="60"/>
        <v>4.3045124120512295</v>
      </c>
      <c r="BX55" s="334"/>
      <c r="BY55" s="129">
        <f>INDEX('Gross Dx Plant'!$D$7:$AC$91,MATCH($C55,'Gross Dx Plant'!$C$7:$C$91,0),MATCH(Calculation!$G55,'Gross Dx Plant'!$D$5:$AC$5,0))</f>
        <v>939292</v>
      </c>
      <c r="BZ55" s="129">
        <f>INDEX('Gross Gen Plant'!$D$7:$AC$91,MATCH($C55,'Gross Gen Plant'!$C$7:$C$91,0),MATCH(Calculation!$G55,'Gross Gen Plant'!$D$5:$AC$5,0))</f>
        <v>5663</v>
      </c>
      <c r="CA55" s="129">
        <f t="shared" si="39"/>
        <v>676253</v>
      </c>
      <c r="CB55" s="129"/>
      <c r="CC55" s="133">
        <v>2000</v>
      </c>
      <c r="CD55" s="129"/>
      <c r="CE55" s="129"/>
      <c r="CF55" s="129"/>
      <c r="CG55" s="137"/>
      <c r="CH55" s="129">
        <f t="shared" si="130"/>
        <v>48354</v>
      </c>
      <c r="CI55" s="46">
        <f t="shared" ref="CI55:CI77" si="139">+CH55+BP55</f>
        <v>48353.928085464388</v>
      </c>
      <c r="CJ55" s="46">
        <f t="shared" si="131"/>
        <v>139.5359977939321</v>
      </c>
      <c r="CK55" s="443">
        <v>0.98</v>
      </c>
      <c r="CL55" s="46">
        <f>+CL53*CK55+CJ54*CK54+CJ55</f>
        <v>3337.8797311949434</v>
      </c>
      <c r="CM55" s="134">
        <f t="shared" si="132"/>
        <v>3.2465452173780739E-2</v>
      </c>
      <c r="CN55" s="135">
        <f t="shared" si="133"/>
        <v>1.0185027431737536E-2</v>
      </c>
      <c r="CO55" s="135"/>
      <c r="CP55" s="134">
        <f>VLOOKUP($H55,RoR!$E:$F,2,FALSE)</f>
        <v>7.6225000000000001E-2</v>
      </c>
      <c r="CQ55" s="135">
        <v>2.2568307442433211E-2</v>
      </c>
      <c r="CR55" s="135">
        <f t="shared" ref="CR55:CR75" si="140">+CP55-CQ55</f>
        <v>5.365669255756679E-2</v>
      </c>
      <c r="CS55" s="135"/>
      <c r="CT55" s="56"/>
      <c r="CU55" s="139">
        <f t="shared" si="134"/>
        <v>0.85166083209999999</v>
      </c>
      <c r="CV55" s="335">
        <f t="shared" si="135"/>
        <v>0.67277207323124022</v>
      </c>
      <c r="CW55" s="335">
        <f t="shared" si="136"/>
        <v>0.6470236142997704</v>
      </c>
      <c r="CX55" s="335">
        <f t="shared" si="137"/>
        <v>0.94704866037543145</v>
      </c>
      <c r="CY55" s="335">
        <f t="shared" si="138"/>
        <v>0.41224973107878493</v>
      </c>
      <c r="CZ55" s="336">
        <f>INDEX('State Tax Lookup'!$D$7:$Z$91,MATCH(Calculation!$C55,'State Tax Lookup'!$B$7:$B$91,0),MATCH($H55,'State Tax Lookup'!$D$6:$Z$6,0))</f>
        <v>0.40091666999999998</v>
      </c>
      <c r="DA55" s="303">
        <v>0.37</v>
      </c>
      <c r="DB55" s="57"/>
      <c r="DC55" s="56"/>
      <c r="DD55" s="303">
        <f>VLOOKUP($H55,RoR!$E:$F,2,FALSE)</f>
        <v>7.6225000000000001E-2</v>
      </c>
      <c r="DE55" s="304">
        <f>HLOOKUP($H55,'GDP-PI'!$D$8:$CQ$11,3,FALSE)</f>
        <v>2.2568307442433211E-2</v>
      </c>
      <c r="DF55" s="303">
        <f>VLOOKUP(H55,'HW Dx Data'!$E:$F,2,FALSE)</f>
        <v>346.53371782150339</v>
      </c>
      <c r="DG55" s="89"/>
      <c r="DH55" s="89"/>
      <c r="DI55" s="89"/>
      <c r="DJ55" s="56"/>
      <c r="DK55" s="53">
        <f>HLOOKUP(H55,'GDP-PI'!$8:$9,2,FALSE)</f>
        <v>78.069000000000003</v>
      </c>
      <c r="DL55" s="298"/>
      <c r="DO55" s="398">
        <v>7.3593382416691673E-3</v>
      </c>
      <c r="DP55" s="398"/>
      <c r="DQ55" s="398"/>
      <c r="DR55" s="398"/>
      <c r="DS55" s="398"/>
      <c r="DT55" s="398"/>
      <c r="DU55" s="398"/>
      <c r="DV55" s="398"/>
      <c r="DW55" s="398"/>
      <c r="DX55" s="398"/>
      <c r="DY55" s="398"/>
      <c r="EC55">
        <f t="shared" ref="EC55:EC77" si="141">+EC54+1</f>
        <v>2000</v>
      </c>
    </row>
    <row r="56" spans="1:133" s="126" customFormat="1" ht="21" customHeight="1" x14ac:dyDescent="0.4">
      <c r="A56" s="233" t="s">
        <v>181</v>
      </c>
      <c r="B56" s="127" t="s">
        <v>181</v>
      </c>
      <c r="C56" s="127">
        <v>4007784</v>
      </c>
      <c r="D56" s="127" t="s">
        <v>182</v>
      </c>
      <c r="E56" s="127"/>
      <c r="F56" s="127"/>
      <c r="G56" s="127" t="s">
        <v>157</v>
      </c>
      <c r="H56" s="128">
        <v>2001</v>
      </c>
      <c r="I56" s="129"/>
      <c r="J56" s="125"/>
      <c r="K56" s="125"/>
      <c r="L56" s="47"/>
      <c r="M56" s="125"/>
      <c r="N56" s="125"/>
      <c r="O56" s="125"/>
      <c r="P56" s="47"/>
      <c r="Q56" s="47"/>
      <c r="R56" s="386"/>
      <c r="S56" s="119"/>
      <c r="T56" s="47"/>
      <c r="U56" s="47"/>
      <c r="V56" s="125"/>
      <c r="W56" s="125"/>
      <c r="X56" s="125"/>
      <c r="Y56" s="125"/>
      <c r="Z56" s="125"/>
      <c r="AA56" s="125"/>
      <c r="AB56" s="125"/>
      <c r="AC56" s="125">
        <f t="shared" si="128"/>
        <v>34861.357971959995</v>
      </c>
      <c r="AD56" s="129"/>
      <c r="AE56" s="133">
        <v>3477.7022173737814</v>
      </c>
      <c r="AF56" s="134">
        <v>3.1647411512160571E-2</v>
      </c>
      <c r="AG56" s="61"/>
      <c r="AH56" s="134"/>
      <c r="AI56" s="134"/>
      <c r="AJ56" s="129">
        <f t="shared" si="94"/>
        <v>34861.357971959995</v>
      </c>
      <c r="AK56" s="134"/>
      <c r="AL56" s="129"/>
      <c r="AM56" s="129"/>
      <c r="AN56" s="129"/>
      <c r="AO56" s="129"/>
      <c r="AP56" s="133"/>
      <c r="AQ56" s="134"/>
      <c r="AR56" s="93"/>
      <c r="AS56" s="93"/>
      <c r="AT56" s="93"/>
      <c r="AU56" s="93"/>
      <c r="AV56" s="93"/>
      <c r="AW56" s="134"/>
      <c r="AX56" s="62"/>
      <c r="AY56" s="93"/>
      <c r="AZ56" s="93"/>
      <c r="BA56" s="93"/>
      <c r="BB56" s="234">
        <f>IFERROR(INDEX('Total Customers'!$E$7:$AA$91,MATCH($C56,'Total Customers'!$C$7:$C$91,0),MATCH($G56,'Total Customers'!$E$5:$AA$5,0)),"NA")</f>
        <v>598535</v>
      </c>
      <c r="BC56" s="411">
        <f t="shared" si="15"/>
        <v>5.4867179304642563E-3</v>
      </c>
      <c r="BD56" s="92"/>
      <c r="BE56" s="281" t="str">
        <f t="shared" si="0"/>
        <v>BALTIMORE GAS AND ELECTRIC COMPANY</v>
      </c>
      <c r="BF56" s="290">
        <f t="shared" si="1"/>
        <v>4007784</v>
      </c>
      <c r="BG56" s="46" t="str">
        <f t="shared" si="2"/>
        <v>MD</v>
      </c>
      <c r="BH56" s="46"/>
      <c r="BI56" s="46" t="str">
        <f t="shared" si="3"/>
        <v>2001 Y</v>
      </c>
      <c r="BJ56" s="129"/>
      <c r="BK56" s="129"/>
      <c r="BL56" s="129">
        <f>INDEX('Dist. Plant Gas Additions'!$E$7:$AD$91,MATCH($C56,'Dist. Plant Gas Additions'!$C$7:$C$91,0),MATCH(Calculation!$G56,'Dist. Plant Gas Additions'!$E$5:$AD$5,0))</f>
        <v>44374</v>
      </c>
      <c r="BM56" s="129">
        <f>INDEX('Gen. Plant Additions'!$E$7:$AD$91,MATCH($C56,'Gen. Plant Additions'!$C$7:$C$91,0),MATCH(Calculation!$G56,'Gen. Plant Additions'!$E$5:$AD$5,0))</f>
        <v>0</v>
      </c>
      <c r="BN56" s="393">
        <f t="shared" si="129"/>
        <v>0.99549754086915143</v>
      </c>
      <c r="BO56" s="46">
        <f t="shared" si="121"/>
        <v>0</v>
      </c>
      <c r="BP56" s="46">
        <f t="shared" si="122"/>
        <v>0</v>
      </c>
      <c r="BQ56" s="129">
        <f>INDEX('Dist Plant Depreciation'!$D$7:$AC$94,MATCH($C56,'Dist Plant Depreciation'!$C$7:$C$94,0),MATCH(Calculation!$G56,'Dist Plant Depreciation'!$D$5:$AC$5,0))</f>
        <v>276593</v>
      </c>
      <c r="BR56" s="129">
        <f>INDEX('Gen. Plant Depreciation'!$D$7:$AC$94,MATCH($C56,'Gen. Plant Depreciation'!$C$7:$C$94,0),MATCH(Calculation!$G56,'Gen. Plant Depreciation'!$D$5:$AC$5,0))</f>
        <v>-1496</v>
      </c>
      <c r="BS56" s="137">
        <v>1980</v>
      </c>
      <c r="BT56" s="137">
        <f t="shared" si="59"/>
        <v>33</v>
      </c>
      <c r="BU56" s="333">
        <v>194.39507432314332</v>
      </c>
      <c r="BV56" s="93">
        <f t="shared" si="127"/>
        <v>2.4886877828054297E-2</v>
      </c>
      <c r="BW56" s="334">
        <f t="shared" si="60"/>
        <v>4.837886465055603</v>
      </c>
      <c r="BX56" s="334"/>
      <c r="BY56" s="129">
        <f>INDEX('Gross Dx Plant'!$D$7:$AC$91,MATCH($C56,'Gross Dx Plant'!$C$7:$C$91,0),MATCH(Calculation!$G56,'Gross Dx Plant'!$D$5:$AC$5,0))</f>
        <v>962452</v>
      </c>
      <c r="BZ56" s="129">
        <f>INDEX('Gross Gen Plant'!$D$7:$AC$91,MATCH($C56,'Gross Gen Plant'!$C$7:$C$91,0),MATCH(Calculation!$G56,'Gross Gen Plant'!$D$5:$AC$5,0))</f>
        <v>4353</v>
      </c>
      <c r="CA56" s="129">
        <f t="shared" si="39"/>
        <v>691708</v>
      </c>
      <c r="CB56" s="129"/>
      <c r="CC56" s="133">
        <v>2001</v>
      </c>
      <c r="CD56" s="129"/>
      <c r="CE56" s="129"/>
      <c r="CF56" s="129"/>
      <c r="CG56" s="137"/>
      <c r="CH56" s="129">
        <f t="shared" si="130"/>
        <v>44374</v>
      </c>
      <c r="CI56" s="46">
        <f t="shared" si="139"/>
        <v>44374</v>
      </c>
      <c r="CJ56" s="46">
        <f t="shared" si="131"/>
        <v>125.54626937127267</v>
      </c>
      <c r="CK56" s="443">
        <v>0.96969696969696972</v>
      </c>
      <c r="CL56" s="46">
        <f>+CL53*CK56+CJ54*CK55+CJ55*CK53+CJ56</f>
        <v>3429.8510552797866</v>
      </c>
      <c r="CM56" s="134">
        <f t="shared" si="132"/>
        <v>2.7181041727011964E-2</v>
      </c>
      <c r="CN56" s="135">
        <f t="shared" si="133"/>
        <v>1.0058764242655862E-2</v>
      </c>
      <c r="CO56" s="135">
        <f>+(CN56+CN55+CN54)/3</f>
        <v>1.0048260591134438E-2</v>
      </c>
      <c r="CP56" s="134">
        <f>VLOOKUP($H56,RoR!$E:$F,2,FALSE)</f>
        <v>7.0824999999999999E-2</v>
      </c>
      <c r="CQ56" s="135">
        <v>2.2454495382290052E-2</v>
      </c>
      <c r="CR56" s="135">
        <f t="shared" si="140"/>
        <v>4.8370504617709947E-2</v>
      </c>
      <c r="CS56" s="135">
        <f>+$CR$2-CO56</f>
        <v>2.0853681017399185E-2</v>
      </c>
      <c r="CT56" s="56">
        <v>2.3947275901631187E-2</v>
      </c>
      <c r="CU56" s="139">
        <f t="shared" si="134"/>
        <v>0.85166083209999999</v>
      </c>
      <c r="CV56" s="335">
        <f t="shared" si="135"/>
        <v>0.72406708481540816</v>
      </c>
      <c r="CW56" s="335">
        <f t="shared" si="136"/>
        <v>0.62201729615248857</v>
      </c>
      <c r="CX56" s="335">
        <f t="shared" si="137"/>
        <v>0.9352469954311422</v>
      </c>
      <c r="CY56" s="335">
        <f t="shared" si="138"/>
        <v>0.42121864641655071</v>
      </c>
      <c r="CZ56" s="336">
        <f>INDEX('State Tax Lookup'!$D$7:$Z$91,MATCH(Calculation!$C56,'State Tax Lookup'!$B$7:$B$91,0),MATCH($H56,'State Tax Lookup'!$D$6:$Z$6,0))</f>
        <v>0.40091666999999998</v>
      </c>
      <c r="DA56" s="303">
        <v>0.37</v>
      </c>
      <c r="DB56" s="57">
        <f t="shared" ref="DB56:DB77" si="142">+(DF56*CS56-CT56)*CU56/(1-CZ56)</f>
        <v>10.444162396312528</v>
      </c>
      <c r="DC56" s="56"/>
      <c r="DD56" s="303">
        <f>VLOOKUP($H56,RoR!$E:$F,2,FALSE)</f>
        <v>7.0824999999999999E-2</v>
      </c>
      <c r="DE56" s="304">
        <f>HLOOKUP($H56,'GDP-PI'!$D$8:$CQ$11,3,FALSE)</f>
        <v>2.2454495382290052E-2</v>
      </c>
      <c r="DF56" s="303">
        <f>VLOOKUP(H56,'HW Dx Data'!$E:$F,2,FALSE)</f>
        <v>353.44738017483138</v>
      </c>
      <c r="DG56" s="89"/>
      <c r="DH56" s="89"/>
      <c r="DI56" s="89"/>
      <c r="DJ56" s="56"/>
      <c r="DK56" s="53">
        <f>HLOOKUP(H56,'GDP-PI'!$8:$9,2,FALSE)</f>
        <v>79.822000000000003</v>
      </c>
      <c r="DL56" s="298"/>
      <c r="DO56" s="398">
        <v>3.740588547769981E-2</v>
      </c>
      <c r="DP56" s="398"/>
      <c r="DQ56" s="398"/>
      <c r="DR56" s="398"/>
      <c r="DS56" s="398"/>
      <c r="DT56" s="398"/>
      <c r="DU56" s="398"/>
      <c r="DV56" s="398"/>
      <c r="DW56" s="398"/>
      <c r="DX56" s="398"/>
      <c r="DY56" s="398"/>
      <c r="EC56">
        <f t="shared" si="141"/>
        <v>2001</v>
      </c>
    </row>
    <row r="57" spans="1:133" s="126" customFormat="1" ht="21" customHeight="1" x14ac:dyDescent="0.4">
      <c r="A57" s="233" t="s">
        <v>181</v>
      </c>
      <c r="B57" s="127" t="s">
        <v>181</v>
      </c>
      <c r="C57" s="127">
        <v>4007784</v>
      </c>
      <c r="D57" s="127" t="s">
        <v>182</v>
      </c>
      <c r="E57" s="127"/>
      <c r="F57" s="127"/>
      <c r="G57" s="127" t="s">
        <v>158</v>
      </c>
      <c r="H57" s="128">
        <v>2002</v>
      </c>
      <c r="I57" s="129"/>
      <c r="J57" s="125"/>
      <c r="K57" s="125"/>
      <c r="L57" s="47"/>
      <c r="M57" s="125"/>
      <c r="N57" s="125"/>
      <c r="O57" s="125"/>
      <c r="P57" s="47"/>
      <c r="Q57" s="47"/>
      <c r="R57" s="386"/>
      <c r="S57" s="119"/>
      <c r="T57" s="47"/>
      <c r="U57" s="47"/>
      <c r="V57" s="125"/>
      <c r="W57" s="125"/>
      <c r="X57" s="125"/>
      <c r="Y57" s="125"/>
      <c r="Z57" s="125"/>
      <c r="AA57" s="125"/>
      <c r="AB57" s="125"/>
      <c r="AC57" s="125">
        <f t="shared" si="128"/>
        <v>35876.727972199245</v>
      </c>
      <c r="AD57" s="129"/>
      <c r="AE57" s="133">
        <v>3565.2196081268339</v>
      </c>
      <c r="AF57" s="134">
        <v>2.4853859786458567E-2</v>
      </c>
      <c r="AG57" s="61"/>
      <c r="AH57" s="134"/>
      <c r="AI57" s="134"/>
      <c r="AJ57" s="129">
        <f t="shared" si="94"/>
        <v>35876.727972199245</v>
      </c>
      <c r="AK57" s="134"/>
      <c r="AL57" s="129"/>
      <c r="AM57" s="129"/>
      <c r="AN57" s="129"/>
      <c r="AO57" s="129"/>
      <c r="AP57" s="133"/>
      <c r="AQ57" s="134"/>
      <c r="AR57" s="93"/>
      <c r="AS57" s="93"/>
      <c r="AT57" s="93"/>
      <c r="AU57" s="93"/>
      <c r="AV57" s="93"/>
      <c r="AW57" s="134"/>
      <c r="AX57" s="62"/>
      <c r="AY57" s="93"/>
      <c r="AZ57" s="93"/>
      <c r="BA57" s="93"/>
      <c r="BB57" s="234">
        <f>IFERROR(INDEX('Total Customers'!$E$7:$AA$91,MATCH($C57,'Total Customers'!$C$7:$C$91,0),MATCH($G57,'Total Customers'!$E$5:$AA$5,0)),"NA")</f>
        <v>609349</v>
      </c>
      <c r="BC57" s="411">
        <f t="shared" si="15"/>
        <v>1.7906171354866506E-2</v>
      </c>
      <c r="BD57" s="92"/>
      <c r="BE57" s="281" t="str">
        <f t="shared" si="0"/>
        <v>BALTIMORE GAS AND ELECTRIC COMPANY</v>
      </c>
      <c r="BF57" s="290">
        <f t="shared" si="1"/>
        <v>4007784</v>
      </c>
      <c r="BG57" s="46" t="str">
        <f t="shared" si="2"/>
        <v>MD</v>
      </c>
      <c r="BH57" s="46"/>
      <c r="BI57" s="46" t="str">
        <f t="shared" si="3"/>
        <v>2002 Y</v>
      </c>
      <c r="BJ57" s="129"/>
      <c r="BK57" s="129"/>
      <c r="BL57" s="129">
        <f>INDEX('Dist. Plant Gas Additions'!$E$7:$AD$91,MATCH($C57,'Dist. Plant Gas Additions'!$C$7:$C$91,0),MATCH(Calculation!$G57,'Dist. Plant Gas Additions'!$E$5:$AD$5,0))</f>
        <v>38181</v>
      </c>
      <c r="BM57" s="129">
        <f>INDEX('Gen. Plant Additions'!$E$7:$AD$91,MATCH($C57,'Gen. Plant Additions'!$C$7:$C$91,0),MATCH(Calculation!$G57,'Gen. Plant Additions'!$E$5:$AD$5,0))</f>
        <v>591</v>
      </c>
      <c r="BN57" s="393">
        <f t="shared" si="129"/>
        <v>0.99509091991760334</v>
      </c>
      <c r="BO57" s="46">
        <f t="shared" si="121"/>
        <v>588.09873367130353</v>
      </c>
      <c r="BP57" s="46">
        <f t="shared" si="122"/>
        <v>-2.9012663286964653</v>
      </c>
      <c r="BQ57" s="129">
        <f>INDEX('Dist Plant Depreciation'!$D$7:$AC$94,MATCH($C57,'Dist Plant Depreciation'!$C$7:$C$94,0),MATCH(Calculation!$G57,'Dist Plant Depreciation'!$D$5:$AC$5,0))</f>
        <v>290340</v>
      </c>
      <c r="BR57" s="129">
        <f>INDEX('Gen. Plant Depreciation'!$D$7:$AC$94,MATCH($C57,'Gen. Plant Depreciation'!$C$7:$C$94,0),MATCH(Calculation!$G57,'Gen. Plant Depreciation'!$D$5:$AC$5,0))</f>
        <v>-1497</v>
      </c>
      <c r="BS57" s="137">
        <v>1981</v>
      </c>
      <c r="BT57" s="137">
        <f t="shared" si="59"/>
        <v>34</v>
      </c>
      <c r="BU57" s="333">
        <v>214.1277774902656</v>
      </c>
      <c r="BV57" s="93">
        <f t="shared" si="127"/>
        <v>2.564102564102564E-2</v>
      </c>
      <c r="BW57" s="334">
        <f t="shared" si="60"/>
        <v>5.4904558330837334</v>
      </c>
      <c r="BX57" s="334"/>
      <c r="BY57" s="129">
        <f>INDEX('Gross Dx Plant'!$D$7:$AC$91,MATCH($C57,'Gross Dx Plant'!$C$7:$C$91,0),MATCH(Calculation!$G57,'Gross Dx Plant'!$D$5:$AC$5,0))</f>
        <v>985953</v>
      </c>
      <c r="BZ57" s="129">
        <f>INDEX('Gross Gen Plant'!$D$7:$AC$91,MATCH($C57,'Gross Gen Plant'!$C$7:$C$91,0),MATCH(Calculation!$G57,'Gross Gen Plant'!$D$5:$AC$5,0))</f>
        <v>4864</v>
      </c>
      <c r="CA57" s="129">
        <f t="shared" si="39"/>
        <v>701974</v>
      </c>
      <c r="CB57" s="129"/>
      <c r="CC57" s="133">
        <v>2002</v>
      </c>
      <c r="CD57" s="129"/>
      <c r="CE57" s="129"/>
      <c r="CF57" s="129"/>
      <c r="CG57" s="137"/>
      <c r="CH57" s="129">
        <f t="shared" si="130"/>
        <v>38772</v>
      </c>
      <c r="CI57" s="46">
        <f t="shared" si="139"/>
        <v>38769.098733671301</v>
      </c>
      <c r="CJ57" s="46">
        <f t="shared" si="131"/>
        <v>107.29014952907188</v>
      </c>
      <c r="CK57" s="443">
        <v>0.95918367346938771</v>
      </c>
      <c r="CL57" s="46">
        <f>+CL53*CK57+CJ54*CK56+CJ55*CK55+CJ56*CK54+CJ57</f>
        <v>3498.8476410759413</v>
      </c>
      <c r="CM57" s="134">
        <f t="shared" si="132"/>
        <v>1.9916832757011154E-2</v>
      </c>
      <c r="CN57" s="135">
        <f t="shared" si="133"/>
        <v>1.1164789116416433E-2</v>
      </c>
      <c r="CO57" s="135">
        <f t="shared" ref="CO57:CO77" si="143">+(CN57+CN56+CN55)/3</f>
        <v>1.0469526930269944E-2</v>
      </c>
      <c r="CP57" s="134">
        <f>VLOOKUP($H57,RoR!$E:$F,2,FALSE)</f>
        <v>6.4916666666666664E-2</v>
      </c>
      <c r="CQ57" s="135">
        <v>1.5246423291824351E-2</v>
      </c>
      <c r="CR57" s="135">
        <f t="shared" si="140"/>
        <v>4.9670243374842313E-2</v>
      </c>
      <c r="CS57" s="135">
        <f t="shared" ref="CS57:CS77" si="144">+$CR$2-CO57</f>
        <v>2.0432414678263681E-2</v>
      </c>
      <c r="CT57" s="56">
        <v>2.5243621214759093E-2</v>
      </c>
      <c r="CU57" s="139">
        <f t="shared" si="134"/>
        <v>0.85166083209999999</v>
      </c>
      <c r="CV57" s="335">
        <f t="shared" si="135"/>
        <v>0.78996741384417901</v>
      </c>
      <c r="CW57" s="335">
        <f t="shared" si="136"/>
        <v>0.58989088575096271</v>
      </c>
      <c r="CX57" s="335">
        <f t="shared" si="137"/>
        <v>0.91920675783645744</v>
      </c>
      <c r="CY57" s="335">
        <f t="shared" si="138"/>
        <v>0.42834536472275586</v>
      </c>
      <c r="CZ57" s="336">
        <f>INDEX('State Tax Lookup'!$D$7:$Z$91,MATCH(Calculation!$C57,'State Tax Lookup'!$B$7:$B$91,0),MATCH($H57,'State Tax Lookup'!$D$6:$Z$6,0))</f>
        <v>0.40091666999999998</v>
      </c>
      <c r="DA57" s="303">
        <v>0.37</v>
      </c>
      <c r="DB57" s="57">
        <f t="shared" si="142"/>
        <v>10.460141677864387</v>
      </c>
      <c r="DC57" s="56">
        <f t="shared" ref="DC57:DC77" si="145">LN(DB57/DB56)</f>
        <v>1.5288033131781948E-3</v>
      </c>
      <c r="DD57" s="303">
        <f>VLOOKUP($H57,RoR!$E:$F,2,FALSE)</f>
        <v>6.4916666666666664E-2</v>
      </c>
      <c r="DE57" s="304">
        <f>HLOOKUP($H57,'GDP-PI'!$D$8:$CQ$11,3,FALSE)</f>
        <v>1.5246423291824351E-2</v>
      </c>
      <c r="DF57" s="303">
        <f>VLOOKUP(H57,'HW Dx Data'!$E:$F,2,FALSE)</f>
        <v>361.34816573413599</v>
      </c>
      <c r="DG57" s="89"/>
      <c r="DH57" s="89"/>
      <c r="DI57" s="89"/>
      <c r="DJ57" s="56"/>
      <c r="DK57" s="53">
        <f>HLOOKUP(H57,'GDP-PI'!$8:$9,2,FALSE)</f>
        <v>81.039000000000001</v>
      </c>
      <c r="DL57" s="355">
        <f>LN(DK57/DK56)</f>
        <v>1.513136459537477E-2</v>
      </c>
      <c r="DO57" s="398">
        <v>1.1866993807196297E-2</v>
      </c>
      <c r="DP57" s="398"/>
      <c r="DQ57" s="398"/>
      <c r="DR57" s="398"/>
      <c r="DS57" s="398"/>
      <c r="DT57" s="398"/>
      <c r="DU57" s="398"/>
      <c r="DV57" s="398"/>
      <c r="DW57" s="398"/>
      <c r="DX57" s="398"/>
      <c r="DY57" s="398"/>
      <c r="EC57">
        <f t="shared" si="141"/>
        <v>2002</v>
      </c>
    </row>
    <row r="58" spans="1:133" s="126" customFormat="1" ht="21" customHeight="1" x14ac:dyDescent="0.4">
      <c r="A58" s="233" t="s">
        <v>181</v>
      </c>
      <c r="B58" s="127" t="s">
        <v>181</v>
      </c>
      <c r="C58" s="127">
        <v>4007784</v>
      </c>
      <c r="D58" s="127" t="s">
        <v>182</v>
      </c>
      <c r="E58" s="127"/>
      <c r="F58" s="127"/>
      <c r="G58" s="127" t="s">
        <v>159</v>
      </c>
      <c r="H58" s="128">
        <v>2003</v>
      </c>
      <c r="I58" s="129"/>
      <c r="J58" s="125"/>
      <c r="K58" s="125"/>
      <c r="L58" s="47"/>
      <c r="M58" s="131"/>
      <c r="N58" s="131"/>
      <c r="O58" s="131"/>
      <c r="P58" s="59"/>
      <c r="Q58" s="59"/>
      <c r="R58" s="386"/>
      <c r="S58" s="119"/>
      <c r="T58" s="59"/>
      <c r="U58" s="59"/>
      <c r="V58" s="125"/>
      <c r="W58" s="125"/>
      <c r="X58" s="125"/>
      <c r="Y58" s="125"/>
      <c r="Z58" s="125"/>
      <c r="AA58" s="125"/>
      <c r="AB58" s="125"/>
      <c r="AC58" s="125">
        <f t="shared" si="128"/>
        <v>36877.008600306057</v>
      </c>
      <c r="AD58" s="129"/>
      <c r="AE58" s="133">
        <v>3645.9776130213704</v>
      </c>
      <c r="AF58" s="134">
        <v>2.2398882963305895E-2</v>
      </c>
      <c r="AG58" s="61"/>
      <c r="AH58" s="134"/>
      <c r="AI58" s="134"/>
      <c r="AJ58" s="129">
        <f t="shared" si="94"/>
        <v>36877.008600306057</v>
      </c>
      <c r="AK58" s="134"/>
      <c r="AL58" s="129"/>
      <c r="AM58" s="129"/>
      <c r="AN58" s="129"/>
      <c r="AO58" s="129"/>
      <c r="AP58" s="133"/>
      <c r="AQ58" s="134"/>
      <c r="AR58" s="93"/>
      <c r="AS58" s="93"/>
      <c r="AT58" s="93"/>
      <c r="AU58" s="93"/>
      <c r="AV58" s="93"/>
      <c r="AW58" s="134"/>
      <c r="AX58" s="62"/>
      <c r="AY58" s="93"/>
      <c r="AZ58" s="93"/>
      <c r="BA58" s="93"/>
      <c r="BB58" s="234">
        <f>IFERROR(INDEX('Total Customers'!$E$7:$AA$91,MATCH($C58,'Total Customers'!$C$7:$C$91,0),MATCH($G58,'Total Customers'!$E$5:$AA$5,0)),"NA")</f>
        <v>617586</v>
      </c>
      <c r="BC58" s="411">
        <f t="shared" si="15"/>
        <v>1.3427155884655357E-2</v>
      </c>
      <c r="BD58" s="92"/>
      <c r="BE58" s="281" t="str">
        <f t="shared" si="0"/>
        <v>BALTIMORE GAS AND ELECTRIC COMPANY</v>
      </c>
      <c r="BF58" s="290">
        <f t="shared" si="1"/>
        <v>4007784</v>
      </c>
      <c r="BG58" s="46" t="str">
        <f t="shared" si="2"/>
        <v>MD</v>
      </c>
      <c r="BH58" s="46"/>
      <c r="BI58" s="46" t="str">
        <f t="shared" si="3"/>
        <v>2003 Y</v>
      </c>
      <c r="BJ58" s="129"/>
      <c r="BK58" s="129"/>
      <c r="BL58" s="129">
        <f>INDEX('Dist. Plant Gas Additions'!$E$7:$AD$91,MATCH($C58,'Dist. Plant Gas Additions'!$C$7:$C$91,0),MATCH(Calculation!$G58,'Dist. Plant Gas Additions'!$E$5:$AD$5,0))</f>
        <v>36538</v>
      </c>
      <c r="BM58" s="129">
        <f>INDEX('Gen. Plant Additions'!$E$7:$AD$91,MATCH($C58,'Gen. Plant Additions'!$C$7:$C$91,0),MATCH(Calculation!$G58,'Gen. Plant Additions'!$E$5:$AD$5,0))</f>
        <v>748</v>
      </c>
      <c r="BN58" s="393">
        <f t="shared" si="129"/>
        <v>0.99538865433088064</v>
      </c>
      <c r="BO58" s="46">
        <f t="shared" si="121"/>
        <v>744.55071343949874</v>
      </c>
      <c r="BP58" s="46">
        <f t="shared" si="122"/>
        <v>-3.4492865605012639</v>
      </c>
      <c r="BQ58" s="129">
        <f>INDEX('Dist Plant Depreciation'!$D$7:$AC$94,MATCH($C58,'Dist Plant Depreciation'!$C$7:$C$94,0),MATCH(Calculation!$G58,'Dist Plant Depreciation'!$D$5:$AC$5,0))</f>
        <v>304106</v>
      </c>
      <c r="BR58" s="129">
        <f>INDEX('Gen. Plant Depreciation'!$D$7:$AC$94,MATCH($C58,'Gen. Plant Depreciation'!$C$7:$C$94,0),MATCH(Calculation!$G58,'Gen. Plant Depreciation'!$D$5:$AC$5,0))</f>
        <v>-2265</v>
      </c>
      <c r="BS58" s="137">
        <v>1982</v>
      </c>
      <c r="BT58" s="137">
        <f t="shared" si="59"/>
        <v>35</v>
      </c>
      <c r="BU58" s="333">
        <v>228.2610207034636</v>
      </c>
      <c r="BV58" s="93">
        <f t="shared" si="127"/>
        <v>2.6395173453996983E-2</v>
      </c>
      <c r="BW58" s="334">
        <f t="shared" si="60"/>
        <v>6.0249892342543179</v>
      </c>
      <c r="BX58" s="334"/>
      <c r="BY58" s="129">
        <f>INDEX('Gross Dx Plant'!$D$7:$AC$91,MATCH($C58,'Gross Dx Plant'!$C$7:$C$91,0),MATCH(Calculation!$G58,'Gross Dx Plant'!$D$5:$AC$5,0))</f>
        <v>1007402</v>
      </c>
      <c r="BZ58" s="129">
        <f>INDEX('Gross Gen Plant'!$D$7:$AC$91,MATCH($C58,'Gross Gen Plant'!$C$7:$C$91,0),MATCH(Calculation!$G58,'Gross Gen Plant'!$D$5:$AC$5,0))</f>
        <v>4667</v>
      </c>
      <c r="CA58" s="129">
        <f t="shared" si="39"/>
        <v>710228</v>
      </c>
      <c r="CB58" s="129"/>
      <c r="CC58" s="133">
        <v>2003</v>
      </c>
      <c r="CD58" s="129"/>
      <c r="CE58" s="129"/>
      <c r="CF58" s="129"/>
      <c r="CG58" s="137"/>
      <c r="CH58" s="129">
        <f t="shared" si="130"/>
        <v>37286</v>
      </c>
      <c r="CI58" s="46">
        <f t="shared" si="139"/>
        <v>37282.550713439501</v>
      </c>
      <c r="CJ58" s="46">
        <f t="shared" si="131"/>
        <v>100.97296180790971</v>
      </c>
      <c r="CK58" s="443">
        <v>0.94845360824742264</v>
      </c>
      <c r="CL58" s="46">
        <f>+CL53*CK58+CJ54*CK57+CJ55*CK56+CJ56*CK55+CJ57*CK54+CJ58</f>
        <v>3561.0869390084304</v>
      </c>
      <c r="CM58" s="134">
        <f t="shared" si="132"/>
        <v>1.7632149334152539E-2</v>
      </c>
      <c r="CN58" s="135">
        <f t="shared" si="133"/>
        <v>1.1070405987586679E-2</v>
      </c>
      <c r="CO58" s="135">
        <f t="shared" si="143"/>
        <v>1.0764653115552992E-2</v>
      </c>
      <c r="CP58" s="134">
        <f>VLOOKUP($H58,RoR!$E:$F,2,FALSE)</f>
        <v>5.6666666666666671E-2</v>
      </c>
      <c r="CQ58" s="135">
        <v>1.8855119140166909E-2</v>
      </c>
      <c r="CR58" s="135">
        <f t="shared" si="140"/>
        <v>3.7811547526499761E-2</v>
      </c>
      <c r="CS58" s="135">
        <f t="shared" si="144"/>
        <v>2.0137288492980632E-2</v>
      </c>
      <c r="CT58" s="56">
        <v>2.1375012817671957E-2</v>
      </c>
      <c r="CU58" s="139">
        <f t="shared" si="134"/>
        <v>0.85166083209999999</v>
      </c>
      <c r="CV58" s="335">
        <f t="shared" si="135"/>
        <v>0.90497737556561086</v>
      </c>
      <c r="CW58" s="335">
        <f t="shared" si="136"/>
        <v>0.5338235294117647</v>
      </c>
      <c r="CX58" s="335">
        <f t="shared" si="137"/>
        <v>0.88972433127405692</v>
      </c>
      <c r="CY58" s="335">
        <f t="shared" si="138"/>
        <v>0.42982423775949252</v>
      </c>
      <c r="CZ58" s="336">
        <f>INDEX('State Tax Lookup'!$D$7:$Z$91,MATCH(Calculation!$C58,'State Tax Lookup'!$B$7:$B$91,0),MATCH($H58,'State Tax Lookup'!$D$6:$Z$6,0))</f>
        <v>0.40091666999999998</v>
      </c>
      <c r="DA58" s="303">
        <v>0.37</v>
      </c>
      <c r="DB58" s="57">
        <f t="shared" si="142"/>
        <v>10.53975833853854</v>
      </c>
      <c r="DC58" s="56">
        <f t="shared" si="145"/>
        <v>7.5826115440116009E-3</v>
      </c>
      <c r="DD58" s="303">
        <f>VLOOKUP($H58,RoR!$E:$F,2,FALSE)</f>
        <v>5.6666666666666671E-2</v>
      </c>
      <c r="DE58" s="304">
        <f>HLOOKUP($H58,'GDP-PI'!$D$8:$CQ$11,3,FALSE)</f>
        <v>1.8855119140166909E-2</v>
      </c>
      <c r="DF58" s="303">
        <f>VLOOKUP(H58,'HW Dx Data'!$E:$F,2,FALSE)</f>
        <v>369.23301095560191</v>
      </c>
      <c r="DG58" s="89">
        <f ca="1">VLOOKUP(CC58,'ECI - Input Price'!M$13:N$33,2,FALSE)</f>
        <v>89.25</v>
      </c>
      <c r="DH58" s="89"/>
      <c r="DI58" s="89"/>
      <c r="DJ58" s="56"/>
      <c r="DK58" s="53">
        <f>HLOOKUP(H58,'GDP-PI'!$8:$9,2,FALSE)</f>
        <v>82.566999999999993</v>
      </c>
      <c r="DL58" s="355">
        <f t="shared" ref="DL58:DL77" si="146">LN(DK58/DK57)</f>
        <v>1.8679564681853753E-2</v>
      </c>
      <c r="DM58" s="126">
        <v>91.349981146304657</v>
      </c>
      <c r="DP58" s="398"/>
      <c r="DQ58" s="398"/>
      <c r="DR58" s="398"/>
      <c r="DS58" s="398"/>
      <c r="DT58" s="398"/>
      <c r="DU58" s="398"/>
      <c r="DV58" s="398"/>
      <c r="DW58" s="398"/>
      <c r="DX58" s="398"/>
      <c r="DY58" s="398"/>
      <c r="EC58">
        <f t="shared" si="141"/>
        <v>2003</v>
      </c>
    </row>
    <row r="59" spans="1:133" s="126" customFormat="1" ht="21" customHeight="1" x14ac:dyDescent="0.4">
      <c r="A59" s="233" t="s">
        <v>181</v>
      </c>
      <c r="B59" s="127" t="s">
        <v>181</v>
      </c>
      <c r="C59" s="127">
        <v>4007784</v>
      </c>
      <c r="D59" s="127" t="s">
        <v>182</v>
      </c>
      <c r="E59" s="127"/>
      <c r="F59" s="127"/>
      <c r="G59" s="127" t="s">
        <v>160</v>
      </c>
      <c r="H59" s="128">
        <v>2004</v>
      </c>
      <c r="I59" s="129"/>
      <c r="J59" s="125">
        <f>IFERROR(INDEX('Labor Expenditures'!$E$7:$W$91,MATCH($C59,'Labor Expenditures'!$C$7:$C$91,0),MATCH($G59,'Labor Expenditures'!$E$5:$W$5,0)),"NA")</f>
        <v>43201.859225662985</v>
      </c>
      <c r="K59" s="125">
        <f t="shared" ref="K59:K77" ca="1" si="147">+J59/DG59</f>
        <v>457.88933996463157</v>
      </c>
      <c r="L59" s="47"/>
      <c r="M59" s="131"/>
      <c r="N59" s="131"/>
      <c r="O59" s="131"/>
      <c r="P59" s="59"/>
      <c r="Q59" s="59"/>
      <c r="R59" s="386"/>
      <c r="S59" s="119"/>
      <c r="T59" s="59"/>
      <c r="U59" s="59"/>
      <c r="V59" s="125">
        <f>IFERROR(INDEX('Non-Labor Expenditures'!$E$7:$AA$91,MATCH($C59,'Non-Labor Expenditures'!$C$7:$C$91,0),MATCH($G59,'Non-Labor Expenditures'!$E$5:$AA$5,0)),"NA")</f>
        <v>62564.361153030353</v>
      </c>
      <c r="W59" s="125">
        <f t="shared" ref="W59:W77" si="148">+V59/DK59</f>
        <v>737.97873449515612</v>
      </c>
      <c r="X59" s="125"/>
      <c r="Y59" s="125"/>
      <c r="Z59" s="125"/>
      <c r="AA59" s="125"/>
      <c r="AB59" s="125"/>
      <c r="AC59" s="125">
        <f t="shared" si="128"/>
        <v>41084.71501748162</v>
      </c>
      <c r="AD59" s="129"/>
      <c r="AE59" s="133">
        <v>3712.4448698092101</v>
      </c>
      <c r="AF59" s="134">
        <v>1.8066118045627487E-2</v>
      </c>
      <c r="AG59" s="59">
        <f t="shared" ref="AG59:AG77" si="149">+AF59*$AX59</f>
        <v>0</v>
      </c>
      <c r="AH59" s="134"/>
      <c r="AI59" s="134"/>
      <c r="AJ59" s="129">
        <f t="shared" si="94"/>
        <v>146850.93539617496</v>
      </c>
      <c r="AK59" s="134"/>
      <c r="AL59" s="129"/>
      <c r="AM59" s="129"/>
      <c r="AN59" s="129"/>
      <c r="AO59" s="129"/>
      <c r="AP59" s="133"/>
      <c r="AQ59" s="134"/>
      <c r="AR59" s="93">
        <f t="shared" ref="AR59:AR77" si="150">+J59/AJ59</f>
        <v>0.29418851918861028</v>
      </c>
      <c r="AS59" s="93">
        <f t="shared" ref="AS59:AS77" si="151">+V59/AJ59</f>
        <v>0.42603992262115326</v>
      </c>
      <c r="AT59" s="93">
        <f t="shared" ref="AT59:AT77" si="152">+AC59/AJ59</f>
        <v>0.27977155819023647</v>
      </c>
      <c r="AU59" s="93"/>
      <c r="AV59" s="93"/>
      <c r="AW59" s="134"/>
      <c r="AX59" s="62"/>
      <c r="AY59" s="93"/>
      <c r="AZ59" s="93"/>
      <c r="BA59" s="93"/>
      <c r="BB59" s="234">
        <f>IFERROR(INDEX('Total Customers'!$E$7:$AA$91,MATCH($C59,'Total Customers'!$C$7:$C$91,0),MATCH($G59,'Total Customers'!$E$5:$AA$5,0)),"NA")</f>
        <v>624862</v>
      </c>
      <c r="BC59" s="411">
        <f t="shared" si="15"/>
        <v>1.1712495296640663E-2</v>
      </c>
      <c r="BD59" s="92"/>
      <c r="BE59" s="281" t="str">
        <f t="shared" si="0"/>
        <v>BALTIMORE GAS AND ELECTRIC COMPANY</v>
      </c>
      <c r="BF59" s="290">
        <f t="shared" si="1"/>
        <v>4007784</v>
      </c>
      <c r="BG59" s="46" t="str">
        <f t="shared" si="2"/>
        <v>MD</v>
      </c>
      <c r="BH59" s="46"/>
      <c r="BI59" s="46" t="str">
        <f t="shared" si="3"/>
        <v>2004 Y</v>
      </c>
      <c r="BJ59" s="129"/>
      <c r="BK59" s="129"/>
      <c r="BL59" s="129">
        <f>INDEX('Dist. Plant Gas Additions'!$E$7:$AD$91,MATCH($C59,'Dist. Plant Gas Additions'!$C$7:$C$91,0),MATCH(Calculation!$G59,'Dist. Plant Gas Additions'!$E$5:$AD$5,0))</f>
        <v>36090</v>
      </c>
      <c r="BM59" s="129">
        <f>INDEX('Gen. Plant Additions'!$E$7:$AD$91,MATCH($C59,'Gen. Plant Additions'!$C$7:$C$91,0),MATCH(Calculation!$G59,'Gen. Plant Additions'!$E$5:$AD$5,0))</f>
        <v>355</v>
      </c>
      <c r="BN59" s="393">
        <f t="shared" si="129"/>
        <v>0.99534649448858026</v>
      </c>
      <c r="BO59" s="46">
        <f t="shared" si="121"/>
        <v>353.34800554344599</v>
      </c>
      <c r="BP59" s="46">
        <f t="shared" si="122"/>
        <v>-1.6519944565540072</v>
      </c>
      <c r="BQ59" s="129">
        <f>INDEX('Dist Plant Depreciation'!$D$7:$AC$94,MATCH($C59,'Dist Plant Depreciation'!$C$7:$C$94,0),MATCH(Calculation!$G59,'Dist Plant Depreciation'!$D$5:$AC$5,0))</f>
        <v>314052</v>
      </c>
      <c r="BR59" s="129">
        <f>INDEX('Gen. Plant Depreciation'!$D$7:$AC$94,MATCH($C59,'Gen. Plant Depreciation'!$C$7:$C$94,0),MATCH(Calculation!$G59,'Gen. Plant Depreciation'!$D$5:$AC$5,0))</f>
        <v>-1571</v>
      </c>
      <c r="BS59" s="137">
        <v>1983</v>
      </c>
      <c r="BT59" s="137">
        <f t="shared" si="59"/>
        <v>36</v>
      </c>
      <c r="BU59" s="333">
        <v>234.20278490735927</v>
      </c>
      <c r="BV59" s="93">
        <f t="shared" si="127"/>
        <v>2.7149321266968326E-2</v>
      </c>
      <c r="BW59" s="334">
        <f t="shared" si="60"/>
        <v>6.3584466490685774</v>
      </c>
      <c r="BX59" s="334"/>
      <c r="BY59" s="129">
        <f>INDEX('Gross Dx Plant'!$D$7:$AC$91,MATCH($C59,'Gross Dx Plant'!$C$7:$C$91,0),MATCH(Calculation!$G59,'Gross Dx Plant'!$D$5:$AC$5,0))</f>
        <v>1025611</v>
      </c>
      <c r="BZ59" s="129">
        <f>INDEX('Gross Gen Plant'!$D$7:$AC$91,MATCH($C59,'Gross Gen Plant'!$C$7:$C$91,0),MATCH(Calculation!$G59,'Gross Gen Plant'!$D$5:$AC$5,0))</f>
        <v>4795</v>
      </c>
      <c r="CA59" s="129">
        <f t="shared" si="39"/>
        <v>717925</v>
      </c>
      <c r="CB59" s="129"/>
      <c r="CC59" s="133">
        <v>2004</v>
      </c>
      <c r="CD59" s="129"/>
      <c r="CE59" s="129"/>
      <c r="CF59" s="129"/>
      <c r="CG59" s="137"/>
      <c r="CH59" s="129">
        <f t="shared" si="130"/>
        <v>36445</v>
      </c>
      <c r="CI59" s="46">
        <f t="shared" si="139"/>
        <v>36443.348005543448</v>
      </c>
      <c r="CJ59" s="46">
        <f t="shared" si="131"/>
        <v>87.839173551634531</v>
      </c>
      <c r="CK59" s="443">
        <v>0.9375</v>
      </c>
      <c r="CL59" s="46">
        <f>+CL53*CK59+CJ54*CK58+CJ55*CK57+CJ56*CK56+CJ57*CK55+CJ58*CK54+CJ59</f>
        <v>3608.3884273204594</v>
      </c>
      <c r="CM59" s="134">
        <f t="shared" si="132"/>
        <v>1.3195435435869922E-2</v>
      </c>
      <c r="CN59" s="135">
        <f t="shared" si="133"/>
        <v>1.1383514621772483E-2</v>
      </c>
      <c r="CO59" s="135">
        <f t="shared" si="143"/>
        <v>1.1206236575258531E-2</v>
      </c>
      <c r="CP59" s="134">
        <f>VLOOKUP($H59,RoR!$E:$F,2,FALSE)</f>
        <v>5.6283333333333331E-2</v>
      </c>
      <c r="CQ59" s="135">
        <v>2.6778252812867276E-2</v>
      </c>
      <c r="CR59" s="135">
        <f t="shared" si="140"/>
        <v>2.9505080520466055E-2</v>
      </c>
      <c r="CS59" s="135">
        <f t="shared" si="144"/>
        <v>1.9695705033275092E-2</v>
      </c>
      <c r="CT59" s="56">
        <v>5.5940039414565046E-2</v>
      </c>
      <c r="CU59" s="139">
        <f t="shared" si="134"/>
        <v>0.85166083209999999</v>
      </c>
      <c r="CV59" s="335">
        <f t="shared" si="135"/>
        <v>0.91114097628755619</v>
      </c>
      <c r="CW59" s="335">
        <f t="shared" si="136"/>
        <v>0.53081877405981637</v>
      </c>
      <c r="CX59" s="335">
        <f t="shared" si="137"/>
        <v>0.88811215519385678</v>
      </c>
      <c r="CY59" s="335">
        <f t="shared" si="138"/>
        <v>0.42953609753547711</v>
      </c>
      <c r="CZ59" s="336">
        <f>INDEX('State Tax Lookup'!$D$7:$Z$91,MATCH(Calculation!$C59,'State Tax Lookup'!$B$7:$B$91,0),MATCH($H59,'State Tax Lookup'!$D$6:$Z$6,0))</f>
        <v>0.40091666999999998</v>
      </c>
      <c r="DA59" s="303">
        <v>0.37</v>
      </c>
      <c r="DB59" s="57">
        <f t="shared" si="142"/>
        <v>11.537127770579364</v>
      </c>
      <c r="DC59" s="56">
        <f t="shared" si="145"/>
        <v>9.0415721918884709E-2</v>
      </c>
      <c r="DD59" s="303">
        <f>VLOOKUP($H59,RoR!$E:$F,2,FALSE)</f>
        <v>5.6283333333333331E-2</v>
      </c>
      <c r="DE59" s="304">
        <f>HLOOKUP($H59,'GDP-PI'!$D$8:$CQ$11,3,FALSE)</f>
        <v>2.6778252812867276E-2</v>
      </c>
      <c r="DF59" s="303">
        <f>VLOOKUP(H59,'HW Dx Data'!$E:$F,2,FALSE)</f>
        <v>414.88719135228365</v>
      </c>
      <c r="DG59" s="89">
        <f ca="1">VLOOKUP(CC59,'ECI - Input Price'!M$13:N$33,2,FALSE)</f>
        <v>94.35</v>
      </c>
      <c r="DH59" s="89"/>
      <c r="DI59" s="89"/>
      <c r="DJ59" s="56">
        <f t="shared" ref="DJ59:DJ77" ca="1" si="153">LN(DG59/DG58)</f>
        <v>5.5569851154810786E-2</v>
      </c>
      <c r="DK59" s="53">
        <f>HLOOKUP(H59,'GDP-PI'!$8:$9,2,FALSE)</f>
        <v>84.778000000000006</v>
      </c>
      <c r="DL59" s="355">
        <f t="shared" si="146"/>
        <v>2.6425990216022755E-2</v>
      </c>
      <c r="DR59" s="398"/>
      <c r="DS59" s="398"/>
      <c r="DT59" s="398"/>
      <c r="DU59" s="398"/>
      <c r="DV59" s="398"/>
      <c r="DW59" s="398"/>
      <c r="DX59" s="398"/>
      <c r="DY59" s="398"/>
      <c r="EC59">
        <f t="shared" si="141"/>
        <v>2004</v>
      </c>
    </row>
    <row r="60" spans="1:133" s="126" customFormat="1" ht="21" customHeight="1" x14ac:dyDescent="0.4">
      <c r="A60" s="233" t="s">
        <v>181</v>
      </c>
      <c r="B60" s="127" t="s">
        <v>181</v>
      </c>
      <c r="C60" s="127">
        <v>4007784</v>
      </c>
      <c r="D60" s="127" t="s">
        <v>182</v>
      </c>
      <c r="E60" s="127"/>
      <c r="F60" s="127"/>
      <c r="G60" s="127" t="s">
        <v>161</v>
      </c>
      <c r="H60" s="128">
        <v>2005</v>
      </c>
      <c r="I60" s="129"/>
      <c r="J60" s="125">
        <f>IFERROR(INDEX('Labor Expenditures'!$E$7:$W$91,MATCH($C60,'Labor Expenditures'!$C$7:$C$91,0),MATCH($G60,'Labor Expenditures'!$E$5:$W$5,0)),"NA")</f>
        <v>46839.927463550332</v>
      </c>
      <c r="K60" s="125">
        <f t="shared" ca="1" si="147"/>
        <v>472.05772198085498</v>
      </c>
      <c r="L60" s="47"/>
      <c r="M60" s="131">
        <f t="shared" ref="M60:M76" ca="1" si="154">LN(K60/K59)</f>
        <v>3.047373131813972E-2</v>
      </c>
      <c r="N60" s="59"/>
      <c r="O60" s="59"/>
      <c r="P60" s="59"/>
      <c r="Q60" s="61"/>
      <c r="R60" s="387"/>
      <c r="S60" s="49">
        <v>100</v>
      </c>
      <c r="T60" s="46"/>
      <c r="U60" s="46"/>
      <c r="V60" s="125">
        <f>IFERROR(INDEX('Non-Labor Expenditures'!$E$7:$AA$91,MATCH($C60,'Non-Labor Expenditures'!$C$7:$C$91,0),MATCH($G60,'Non-Labor Expenditures'!$E$5:$AA$5,0)),"NA")</f>
        <v>67832.963458908547</v>
      </c>
      <c r="W60" s="125">
        <f t="shared" si="148"/>
        <v>776.05870764250631</v>
      </c>
      <c r="X60" s="131">
        <f>LN(W60/W59)</f>
        <v>5.0313162361976096E-2</v>
      </c>
      <c r="Y60" s="131"/>
      <c r="Z60" s="131"/>
      <c r="AA60" s="131"/>
      <c r="AB60" s="131"/>
      <c r="AC60" s="125">
        <f t="shared" si="128"/>
        <v>46494.68253790235</v>
      </c>
      <c r="AD60" s="129"/>
      <c r="AE60" s="133">
        <v>3781.7143603384834</v>
      </c>
      <c r="AF60" s="134">
        <v>1.8486787161383224E-2</v>
      </c>
      <c r="AG60" s="59">
        <f t="shared" si="149"/>
        <v>0</v>
      </c>
      <c r="AH60" s="134"/>
      <c r="AI60" s="134"/>
      <c r="AJ60" s="129">
        <f t="shared" si="94"/>
        <v>161167.57346036122</v>
      </c>
      <c r="AK60" s="134">
        <f>LN(AJ60/AJ59)</f>
        <v>9.3026625280555525E-2</v>
      </c>
      <c r="AL60" s="129"/>
      <c r="AM60" s="129"/>
      <c r="AN60" s="129"/>
      <c r="AO60" s="129"/>
      <c r="AP60" s="133"/>
      <c r="AQ60" s="134"/>
      <c r="AR60" s="93">
        <f t="shared" si="150"/>
        <v>0.29062873168510228</v>
      </c>
      <c r="AS60" s="93">
        <f t="shared" si="151"/>
        <v>0.42088468543948082</v>
      </c>
      <c r="AT60" s="93">
        <f t="shared" si="152"/>
        <v>0.28848658287541695</v>
      </c>
      <c r="AU60" s="93">
        <f t="shared" ref="AU60:AU76" ca="1" si="155">+(((AR60+AR59)/2)*M60+((AS59+AS60)/2)*X60+((AT59+AT60)/2)*AF60)</f>
        <v>3.5469143196825148E-2</v>
      </c>
      <c r="AV60" s="132">
        <v>100</v>
      </c>
      <c r="AW60" s="134"/>
      <c r="AX60" s="15"/>
      <c r="AY60" s="93"/>
      <c r="AZ60" s="93"/>
      <c r="BA60" s="93"/>
      <c r="BB60" s="234">
        <f>IFERROR(INDEX('Total Customers'!$E$7:$AA$91,MATCH($C60,'Total Customers'!$C$7:$C$91,0),MATCH($G60,'Total Customers'!$E$5:$AA$5,0)),"NA")</f>
        <v>634057</v>
      </c>
      <c r="BC60" s="411">
        <f t="shared" si="15"/>
        <v>1.4608030402264365E-2</v>
      </c>
      <c r="BD60" s="92"/>
      <c r="BE60" s="281" t="str">
        <f t="shared" si="0"/>
        <v>BALTIMORE GAS AND ELECTRIC COMPANY</v>
      </c>
      <c r="BF60" s="290">
        <f t="shared" si="1"/>
        <v>4007784</v>
      </c>
      <c r="BG60" s="46" t="str">
        <f t="shared" si="2"/>
        <v>MD</v>
      </c>
      <c r="BH60" s="46"/>
      <c r="BI60" s="46" t="str">
        <f t="shared" si="3"/>
        <v>2005 Y</v>
      </c>
      <c r="BJ60" s="129"/>
      <c r="BK60" s="129"/>
      <c r="BL60" s="129">
        <f>INDEX('Dist. Plant Gas Additions'!$E$7:$AD$91,MATCH($C60,'Dist. Plant Gas Additions'!$C$7:$C$91,0),MATCH(Calculation!$G60,'Dist. Plant Gas Additions'!$E$5:$AD$5,0))</f>
        <v>41985</v>
      </c>
      <c r="BM60" s="129">
        <f>INDEX('Gen. Plant Additions'!$E$7:$AD$91,MATCH($C60,'Gen. Plant Additions'!$C$7:$C$91,0),MATCH(Calculation!$G60,'Gen. Plant Additions'!$E$5:$AD$5,0))</f>
        <v>1078</v>
      </c>
      <c r="BN60" s="393">
        <f t="shared" si="129"/>
        <v>0.99446760358142916</v>
      </c>
      <c r="BO60" s="46">
        <f t="shared" si="121"/>
        <v>1072.0360766607807</v>
      </c>
      <c r="BP60" s="46">
        <f t="shared" si="122"/>
        <v>-5.9639233392192637</v>
      </c>
      <c r="BQ60" s="129">
        <f>INDEX('Dist Plant Depreciation'!$D$7:$AC$94,MATCH($C60,'Dist Plant Depreciation'!$C$7:$C$94,0),MATCH(Calculation!$G60,'Dist Plant Depreciation'!$D$5:$AC$5,0))</f>
        <v>325566</v>
      </c>
      <c r="BR60" s="129">
        <f>INDEX('Gen. Plant Depreciation'!$D$7:$AC$94,MATCH($C60,'Gen. Plant Depreciation'!$C$7:$C$94,0),MATCH(Calculation!$G60,'Gen. Plant Depreciation'!$D$5:$AC$5,0))</f>
        <v>853</v>
      </c>
      <c r="BS60" s="137">
        <v>1984</v>
      </c>
      <c r="BT60" s="137">
        <f t="shared" si="59"/>
        <v>37</v>
      </c>
      <c r="BU60" s="333">
        <v>239.28187782322669</v>
      </c>
      <c r="BV60" s="93">
        <f t="shared" si="127"/>
        <v>2.790346907993967E-2</v>
      </c>
      <c r="BW60" s="334">
        <f t="shared" si="60"/>
        <v>6.676794479230308</v>
      </c>
      <c r="BX60" s="334"/>
      <c r="BY60" s="129">
        <f>INDEX('Gross Dx Plant'!$D$7:$AC$91,MATCH($C60,'Gross Dx Plant'!$C$7:$C$91,0),MATCH(Calculation!$G60,'Gross Dx Plant'!$D$5:$AC$5,0))</f>
        <v>1053715</v>
      </c>
      <c r="BZ60" s="129">
        <f>INDEX('Gross Gen Plant'!$D$7:$AC$91,MATCH($C60,'Gross Gen Plant'!$C$7:$C$91,0),MATCH(Calculation!$G60,'Gross Gen Plant'!$D$5:$AC$5,0))</f>
        <v>5862</v>
      </c>
      <c r="CA60" s="129">
        <f t="shared" si="39"/>
        <v>733158</v>
      </c>
      <c r="CB60" s="129"/>
      <c r="CC60" s="133">
        <v>2005</v>
      </c>
      <c r="CD60" s="129"/>
      <c r="CE60" s="129"/>
      <c r="CF60" s="129"/>
      <c r="CG60" s="137"/>
      <c r="CH60" s="129">
        <f t="shared" si="130"/>
        <v>43063</v>
      </c>
      <c r="CI60" s="46">
        <f t="shared" si="139"/>
        <v>43057.036076660777</v>
      </c>
      <c r="CJ60" s="46">
        <f t="shared" si="131"/>
        <v>91.765908712341044</v>
      </c>
      <c r="CK60" s="443">
        <v>0.9263157894736842</v>
      </c>
      <c r="CL60" s="46">
        <f>+CL53*CK60+CJ54*CK59+CJ55*CK58+CJ56*CK57+CJ57*CK56+CJ58*CK55+CJ59*CK54+CJ60</f>
        <v>3657.8973561978733</v>
      </c>
      <c r="CM60" s="134">
        <f t="shared" si="132"/>
        <v>1.3627235841573746E-2</v>
      </c>
      <c r="CN60" s="135">
        <f t="shared" si="133"/>
        <v>1.1710762487481612E-2</v>
      </c>
      <c r="CO60" s="135">
        <f t="shared" si="143"/>
        <v>1.1388227698946924E-2</v>
      </c>
      <c r="CP60" s="134">
        <f>VLOOKUP($H60,RoR!$E:$F,2,FALSE)</f>
        <v>5.2350000000000001E-2</v>
      </c>
      <c r="CQ60" s="135">
        <v>3.1010403642454332E-2</v>
      </c>
      <c r="CR60" s="135">
        <f t="shared" si="140"/>
        <v>2.1339596357545669E-2</v>
      </c>
      <c r="CS60" s="135">
        <f t="shared" si="144"/>
        <v>1.95137139095867E-2</v>
      </c>
      <c r="CT60" s="56">
        <v>9.2129610649277341E-2</v>
      </c>
      <c r="CU60" s="139">
        <f t="shared" si="134"/>
        <v>0.85166083209999999</v>
      </c>
      <c r="CV60" s="335">
        <f t="shared" si="135"/>
        <v>0.97959983346802826</v>
      </c>
      <c r="CW60" s="335">
        <f t="shared" si="136"/>
        <v>0.49744508118433622</v>
      </c>
      <c r="CX60" s="335">
        <f t="shared" si="137"/>
        <v>0.87010519444335932</v>
      </c>
      <c r="CY60" s="335">
        <f t="shared" si="138"/>
        <v>0.42399975420741998</v>
      </c>
      <c r="CZ60" s="336">
        <f>INDEX('State Tax Lookup'!$D$7:$Z$91,MATCH(Calculation!$C60,'State Tax Lookup'!$B$7:$B$91,0),MATCH($H60,'State Tax Lookup'!$D$6:$Z$6,0))</f>
        <v>0.40091666999999998</v>
      </c>
      <c r="DA60" s="303">
        <v>0.37</v>
      </c>
      <c r="DB60" s="57">
        <f t="shared" si="142"/>
        <v>12.885165628476608</v>
      </c>
      <c r="DC60" s="56">
        <f t="shared" si="145"/>
        <v>0.11050636164858453</v>
      </c>
      <c r="DD60" s="303">
        <f>VLOOKUP($H60,RoR!$E:$F,2,FALSE)</f>
        <v>5.2350000000000001E-2</v>
      </c>
      <c r="DE60" s="304">
        <f>HLOOKUP($H60,'GDP-PI'!$D$8:$CQ$11,3,FALSE)</f>
        <v>3.1010403642454332E-2</v>
      </c>
      <c r="DF60" s="303">
        <f>VLOOKUP(H60,'HW Dx Data'!$E:$F,2,FALSE)</f>
        <v>469.20514034936258</v>
      </c>
      <c r="DG60" s="89">
        <f ca="1">VLOOKUP(CC60,'ECI - Input Price'!M$13:N$33,2,FALSE)</f>
        <v>99.224999999999994</v>
      </c>
      <c r="DH60" s="89"/>
      <c r="DI60" s="89"/>
      <c r="DJ60" s="56">
        <f t="shared" ca="1" si="153"/>
        <v>5.0378726854569796E-2</v>
      </c>
      <c r="DK60" s="53">
        <f>HLOOKUP(H60,'GDP-PI'!$8:$9,2,FALSE)</f>
        <v>87.406999999999996</v>
      </c>
      <c r="DL60" s="355">
        <f t="shared" si="146"/>
        <v>3.0539295810733648E-2</v>
      </c>
      <c r="DR60" s="398"/>
      <c r="DS60" s="398"/>
      <c r="DT60" s="398"/>
      <c r="DU60" s="398"/>
      <c r="DV60" s="398"/>
      <c r="DW60" s="398"/>
      <c r="DX60" s="398"/>
      <c r="DY60" s="398"/>
      <c r="EC60">
        <f t="shared" si="141"/>
        <v>2005</v>
      </c>
    </row>
    <row r="61" spans="1:133" s="126" customFormat="1" ht="21" customHeight="1" x14ac:dyDescent="0.4">
      <c r="A61" s="233" t="s">
        <v>181</v>
      </c>
      <c r="B61" s="127" t="s">
        <v>181</v>
      </c>
      <c r="C61" s="127">
        <v>4007784</v>
      </c>
      <c r="D61" s="127" t="s">
        <v>182</v>
      </c>
      <c r="E61" s="127"/>
      <c r="F61" s="127"/>
      <c r="G61" s="127" t="s">
        <v>162</v>
      </c>
      <c r="H61" s="128">
        <v>2006</v>
      </c>
      <c r="I61" s="129"/>
      <c r="J61" s="125">
        <f>IFERROR(INDEX('Labor Expenditures'!$E$7:$W$91,MATCH($C61,'Labor Expenditures'!$C$7:$C$91,0),MATCH($G61,'Labor Expenditures'!$E$5:$W$5,0)),"NA")</f>
        <v>49841.86531905859</v>
      </c>
      <c r="K61" s="125">
        <f t="shared" ca="1" si="147"/>
        <v>455.59291882137649</v>
      </c>
      <c r="L61" s="47"/>
      <c r="M61" s="131">
        <f t="shared" ca="1" si="154"/>
        <v>-3.5501581522829097E-2</v>
      </c>
      <c r="N61" s="59"/>
      <c r="O61" s="59"/>
      <c r="P61" s="59">
        <f t="shared" ref="P61:P77" ca="1" si="156">+M61*$AX61</f>
        <v>-8.136861179110919E-4</v>
      </c>
      <c r="Q61" s="61"/>
      <c r="R61" s="387"/>
      <c r="S61" s="49">
        <f ca="1">+S60*EXP(T61)</f>
        <v>90.141876973447893</v>
      </c>
      <c r="T61" s="61">
        <f ca="1">+P61+P86+P111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</f>
        <v>-0.10378534607298012</v>
      </c>
      <c r="U61" s="61"/>
      <c r="V61" s="125">
        <f>IFERROR(INDEX('Non-Labor Expenditures'!$E$7:$AA$91,MATCH($C61,'Non-Labor Expenditures'!$C$7:$C$91,0),MATCH($G61,'Non-Labor Expenditures'!$E$5:$AA$5,0)),"NA")</f>
        <v>72180.330158335346</v>
      </c>
      <c r="W61" s="125">
        <f t="shared" si="148"/>
        <v>801.34478493611198</v>
      </c>
      <c r="X61" s="131">
        <f t="shared" ref="X61:X76" si="157">LN(W61/W60)</f>
        <v>3.2063126070468254E-2</v>
      </c>
      <c r="Y61" s="131">
        <f t="shared" ref="Y61:Y77" si="158">+X61*AX61</f>
        <v>7.3487770012715188E-4</v>
      </c>
      <c r="Z61" s="131"/>
      <c r="AA61" s="131"/>
      <c r="AB61" s="131"/>
      <c r="AC61" s="125">
        <f t="shared" si="128"/>
        <v>45597.563389758223</v>
      </c>
      <c r="AD61" s="129"/>
      <c r="AE61" s="133">
        <v>3847.2287915439306</v>
      </c>
      <c r="AF61" s="134">
        <v>1.717565342225064E-2</v>
      </c>
      <c r="AG61" s="59">
        <f t="shared" si="149"/>
        <v>3.9366107526084596E-4</v>
      </c>
      <c r="AH61" s="134"/>
      <c r="AI61" s="134"/>
      <c r="AJ61" s="129">
        <f t="shared" si="94"/>
        <v>167619.75886715215</v>
      </c>
      <c r="AK61" s="134">
        <f t="shared" ref="AK61:AK77" si="159">LN(AJ61/AJ60)</f>
        <v>3.9253421457333001E-2</v>
      </c>
      <c r="AL61" s="129"/>
      <c r="AM61" s="129"/>
      <c r="AN61" s="129"/>
      <c r="AO61" s="129"/>
      <c r="AP61" s="133">
        <f t="shared" ref="AP61:AP77" si="160">+(AJ61*1000)/BB61</f>
        <v>261.66914442582748</v>
      </c>
      <c r="AQ61" s="134">
        <f>+BB61/Outputs!$B$14</f>
        <v>1.8470364372607385E-2</v>
      </c>
      <c r="AR61" s="93">
        <f t="shared" si="150"/>
        <v>0.29735077568367702</v>
      </c>
      <c r="AS61" s="93">
        <f t="shared" si="151"/>
        <v>0.43061946065405221</v>
      </c>
      <c r="AT61" s="93">
        <f t="shared" si="152"/>
        <v>0.27202976366227083</v>
      </c>
      <c r="AU61" s="93">
        <f t="shared" ca="1" si="155"/>
        <v>8.0274584383776132E-3</v>
      </c>
      <c r="AV61" s="132">
        <f ca="1">+AV60*EXP(AU61)</f>
        <v>100.80597648711903</v>
      </c>
      <c r="AW61" s="134">
        <f ca="1">LN(AV61/AV60)</f>
        <v>8.0274584383775507E-3</v>
      </c>
      <c r="AX61" s="56">
        <f>+AJ61/$AL$11</f>
        <v>2.2919714643919609E-2</v>
      </c>
      <c r="AY61" s="135">
        <f ca="1">+AX61*AW61</f>
        <v>1.8398705672353799E-4</v>
      </c>
      <c r="AZ61" s="93"/>
      <c r="BA61" s="93"/>
      <c r="BB61" s="234">
        <f>IFERROR(INDEX('Total Customers'!$E$7:$AA$91,MATCH($C61,'Total Customers'!$C$7:$C$91,0),MATCH($G61,'Total Customers'!$E$5:$AA$5,0)),"NA")</f>
        <v>640579</v>
      </c>
      <c r="BC61" s="411">
        <f t="shared" si="15"/>
        <v>1.0233599111873617E-2</v>
      </c>
      <c r="BD61" s="92"/>
      <c r="BE61" s="281" t="str">
        <f t="shared" si="0"/>
        <v>BALTIMORE GAS AND ELECTRIC COMPANY</v>
      </c>
      <c r="BF61" s="290">
        <f t="shared" si="1"/>
        <v>4007784</v>
      </c>
      <c r="BG61" s="46" t="str">
        <f t="shared" si="2"/>
        <v>MD</v>
      </c>
      <c r="BH61" s="46"/>
      <c r="BI61" s="46" t="str">
        <f t="shared" si="3"/>
        <v>2006 Y</v>
      </c>
      <c r="BJ61" s="129"/>
      <c r="BK61" s="129"/>
      <c r="BL61" s="129">
        <f>INDEX('Dist. Plant Gas Additions'!$E$7:$AD$91,MATCH($C61,'Dist. Plant Gas Additions'!$C$7:$C$91,0),MATCH(Calculation!$G61,'Dist. Plant Gas Additions'!$E$5:$AD$5,0))</f>
        <v>40545</v>
      </c>
      <c r="BM61" s="129">
        <f>INDEX('Gen. Plant Additions'!$E$7:$AD$91,MATCH($C61,'Gen. Plant Additions'!$C$7:$C$91,0),MATCH(Calculation!$G61,'Gen. Plant Additions'!$E$5:$AD$5,0))</f>
        <v>595</v>
      </c>
      <c r="BN61" s="393">
        <f t="shared" si="129"/>
        <v>0.99406203710170071</v>
      </c>
      <c r="BO61" s="46">
        <f t="shared" si="121"/>
        <v>591.46691207551191</v>
      </c>
      <c r="BP61" s="46">
        <f t="shared" si="122"/>
        <v>-3.5330879244880862</v>
      </c>
      <c r="BQ61" s="129">
        <f>INDEX('Dist Plant Depreciation'!$D$7:$AC$94,MATCH($C61,'Dist Plant Depreciation'!$C$7:$C$94,0),MATCH(Calculation!$G61,'Dist Plant Depreciation'!$D$5:$AC$5,0))</f>
        <v>342124</v>
      </c>
      <c r="BR61" s="129">
        <f>INDEX('Gen. Plant Depreciation'!$D$7:$AC$94,MATCH($C61,'Gen. Plant Depreciation'!$C$7:$C$94,0),MATCH(Calculation!$G61,'Gen. Plant Depreciation'!$D$5:$AC$5,0))</f>
        <v>1127</v>
      </c>
      <c r="BS61" s="137">
        <v>1985</v>
      </c>
      <c r="BT61" s="137">
        <f t="shared" si="59"/>
        <v>38</v>
      </c>
      <c r="BU61" s="333">
        <v>240.48972643171925</v>
      </c>
      <c r="BV61" s="93">
        <f t="shared" si="127"/>
        <v>2.8657616892911009E-2</v>
      </c>
      <c r="BW61" s="334">
        <f t="shared" si="60"/>
        <v>6.8918624467611851</v>
      </c>
      <c r="BX61" s="334"/>
      <c r="BY61" s="129">
        <f>INDEX('Gross Dx Plant'!$D$7:$AC$91,MATCH($C61,'Gross Dx Plant'!$C$7:$C$91,0),MATCH(Calculation!$G61,'Gross Dx Plant'!$D$5:$AC$5,0))</f>
        <v>1081790</v>
      </c>
      <c r="BZ61" s="129">
        <f>INDEX('Gross Gen Plant'!$D$7:$AC$91,MATCH($C61,'Gross Gen Plant'!$C$7:$C$91,0),MATCH(Calculation!$G61,'Gross Gen Plant'!$D$5:$AC$5,0))</f>
        <v>6462</v>
      </c>
      <c r="CA61" s="129">
        <f t="shared" si="39"/>
        <v>745001</v>
      </c>
      <c r="CB61" s="134"/>
      <c r="CC61" s="133">
        <v>2006</v>
      </c>
      <c r="CD61" s="129"/>
      <c r="CE61" s="129"/>
      <c r="CF61" s="129"/>
      <c r="CG61" s="137"/>
      <c r="CH61" s="129">
        <f t="shared" si="130"/>
        <v>41140</v>
      </c>
      <c r="CI61" s="46">
        <f t="shared" si="139"/>
        <v>41136.466912075513</v>
      </c>
      <c r="CJ61" s="46">
        <f t="shared" si="131"/>
        <v>89.216536849951353</v>
      </c>
      <c r="CK61" s="443">
        <v>0.91489361702127658</v>
      </c>
      <c r="CL61" s="46">
        <f>+CL53*CK61+CJ54*CK60+CJ55*CK59+CJ56*CK58+CJ57*CK57+CJ58*CK56+CJ59*CK55+CJ60*CK54+CJ61</f>
        <v>3703.0543503297881</v>
      </c>
      <c r="CM61" s="134">
        <f t="shared" si="132"/>
        <v>1.2269489714587044E-2</v>
      </c>
      <c r="CN61" s="135">
        <f t="shared" si="133"/>
        <v>1.204504621852847E-2</v>
      </c>
      <c r="CO61" s="135">
        <f t="shared" si="143"/>
        <v>1.1713107775927522E-2</v>
      </c>
      <c r="CP61" s="134">
        <f>VLOOKUP($H61,RoR!$E:$F,2,FALSE)</f>
        <v>5.5874999999999994E-2</v>
      </c>
      <c r="CQ61" s="135">
        <v>3.0512430354548314E-2</v>
      </c>
      <c r="CR61" s="135">
        <f t="shared" si="140"/>
        <v>2.536256964545168E-2</v>
      </c>
      <c r="CS61" s="135">
        <f t="shared" si="144"/>
        <v>1.9188833832606104E-2</v>
      </c>
      <c r="CT61" s="56">
        <v>7.9087823893859641E-2</v>
      </c>
      <c r="CU61" s="139">
        <f t="shared" si="134"/>
        <v>0.85166083209999999</v>
      </c>
      <c r="CV61" s="335">
        <f t="shared" si="135"/>
        <v>0.91779957551769631</v>
      </c>
      <c r="CW61" s="335">
        <f t="shared" si="136"/>
        <v>0.52757270693512304</v>
      </c>
      <c r="CX61" s="335">
        <f t="shared" si="137"/>
        <v>0.88636824549024895</v>
      </c>
      <c r="CY61" s="335">
        <f t="shared" si="138"/>
        <v>0.42918482841932087</v>
      </c>
      <c r="CZ61" s="336">
        <f>INDEX('State Tax Lookup'!$D$7:$Z$91,MATCH(Calculation!$C61,'State Tax Lookup'!$B$7:$B$91,0),MATCH($H61,'State Tax Lookup'!$D$6:$Z$6,0))</f>
        <v>0.40091666999999998</v>
      </c>
      <c r="DA61" s="303">
        <v>0.37</v>
      </c>
      <c r="DB61" s="57">
        <f t="shared" si="142"/>
        <v>12.465512000356862</v>
      </c>
      <c r="DC61" s="56">
        <f t="shared" si="145"/>
        <v>-3.3110907214815535E-2</v>
      </c>
      <c r="DD61" s="303">
        <f>VLOOKUP($H61,RoR!$E:$F,2,FALSE)</f>
        <v>5.5874999999999994E-2</v>
      </c>
      <c r="DE61" s="304">
        <f>HLOOKUP($H61,'GDP-PI'!$D$8:$CQ$11,3,FALSE)</f>
        <v>3.0512430354548314E-2</v>
      </c>
      <c r="DF61" s="303">
        <f>VLOOKUP(H61,'HW Dx Data'!$E:$F,2,FALSE)</f>
        <v>461.08567272971823</v>
      </c>
      <c r="DG61" s="89">
        <f ca="1">VLOOKUP(CC61,'ECI - Input Price'!M$13:N$33,2,FALSE)</f>
        <v>109.4</v>
      </c>
      <c r="DH61" s="89"/>
      <c r="DI61" s="89"/>
      <c r="DJ61" s="56">
        <f t="shared" ca="1" si="153"/>
        <v>9.7620891318751846E-2</v>
      </c>
      <c r="DK61" s="53">
        <f>HLOOKUP(H61,'GDP-PI'!$8:$9,2,FALSE)</f>
        <v>90.073999999999998</v>
      </c>
      <c r="DL61" s="355">
        <f t="shared" si="146"/>
        <v>3.005618372545445E-2</v>
      </c>
      <c r="DN61" s="398">
        <v>4.4168460319272433E-3</v>
      </c>
      <c r="DO61" s="398">
        <v>1.0061157705322845E-2</v>
      </c>
      <c r="DP61" s="398"/>
      <c r="DQ61" s="398"/>
      <c r="DR61" s="398"/>
      <c r="DS61" s="398"/>
      <c r="DT61" s="398"/>
      <c r="DU61" s="398"/>
      <c r="DV61" s="398"/>
      <c r="DW61" s="398"/>
      <c r="DX61" s="398"/>
      <c r="DY61" s="398"/>
      <c r="EC61">
        <f t="shared" si="141"/>
        <v>2006</v>
      </c>
    </row>
    <row r="62" spans="1:133" s="126" customFormat="1" ht="21" customHeight="1" x14ac:dyDescent="0.4">
      <c r="A62" s="233" t="s">
        <v>181</v>
      </c>
      <c r="B62" s="127" t="s">
        <v>181</v>
      </c>
      <c r="C62" s="127">
        <v>4007784</v>
      </c>
      <c r="D62" s="127" t="s">
        <v>182</v>
      </c>
      <c r="E62" s="127"/>
      <c r="F62" s="127"/>
      <c r="G62" s="127" t="s">
        <v>163</v>
      </c>
      <c r="H62" s="128">
        <v>2007</v>
      </c>
      <c r="I62" s="129"/>
      <c r="J62" s="125">
        <f>IFERROR(INDEX('Labor Expenditures'!$E$7:$W$91,MATCH($C62,'Labor Expenditures'!$C$7:$C$91,0),MATCH($G62,'Labor Expenditures'!$E$5:$W$5,0)),"NA")</f>
        <v>54499.533796756485</v>
      </c>
      <c r="K62" s="125">
        <f t="shared" ca="1" si="147"/>
        <v>521.4019019063046</v>
      </c>
      <c r="L62" s="47"/>
      <c r="M62" s="131">
        <f t="shared" ca="1" si="154"/>
        <v>0.13492146026621671</v>
      </c>
      <c r="N62" s="59"/>
      <c r="O62" s="59"/>
      <c r="P62" s="59">
        <f t="shared" ca="1" si="156"/>
        <v>3.2124882577002278E-3</v>
      </c>
      <c r="Q62" s="61"/>
      <c r="R62" s="387"/>
      <c r="S62" s="49">
        <f t="shared" ref="S62:S75" ca="1" si="161">+S61*EXP(T62)</f>
        <v>97.392570481327084</v>
      </c>
      <c r="T62" s="61">
        <f ca="1">+P62+P87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</f>
        <v>7.7365089398231307E-2</v>
      </c>
      <c r="U62" s="61"/>
      <c r="V62" s="125">
        <f>IFERROR(INDEX('Non-Labor Expenditures'!$E$7:$AA$91,MATCH($C62,'Non-Labor Expenditures'!$C$7:$C$91,0),MATCH($G62,'Non-Labor Expenditures'!$E$5:$AA$5,0)),"NA")</f>
        <v>78925.504046515489</v>
      </c>
      <c r="W62" s="125">
        <f t="shared" si="148"/>
        <v>853.26714141403579</v>
      </c>
      <c r="X62" s="131">
        <f t="shared" si="157"/>
        <v>6.2781379570926457E-2</v>
      </c>
      <c r="Y62" s="131">
        <f t="shared" si="158"/>
        <v>1.4948285044934578E-3</v>
      </c>
      <c r="Z62" s="131"/>
      <c r="AA62" s="131"/>
      <c r="AB62" s="131"/>
      <c r="AC62" s="125">
        <f t="shared" si="128"/>
        <v>49087.785479602506</v>
      </c>
      <c r="AD62" s="129"/>
      <c r="AE62" s="133">
        <v>3904.2780619420892</v>
      </c>
      <c r="AF62" s="134">
        <v>1.4719796178031588E-2</v>
      </c>
      <c r="AG62" s="59">
        <f t="shared" si="149"/>
        <v>3.5047925129452154E-4</v>
      </c>
      <c r="AH62" s="134"/>
      <c r="AI62" s="134"/>
      <c r="AJ62" s="129">
        <f t="shared" si="94"/>
        <v>182512.82332287449</v>
      </c>
      <c r="AK62" s="134">
        <f t="shared" si="159"/>
        <v>8.512236123571594E-2</v>
      </c>
      <c r="AL62" s="129"/>
      <c r="AM62" s="129"/>
      <c r="AN62" s="129"/>
      <c r="AO62" s="129"/>
      <c r="AP62" s="133">
        <f t="shared" si="160"/>
        <v>282.44626674498437</v>
      </c>
      <c r="AQ62" s="134">
        <f>+BB62/Outputs!$B$15</f>
        <v>1.8491753892717289E-2</v>
      </c>
      <c r="AR62" s="93">
        <f t="shared" si="150"/>
        <v>0.29860660092000235</v>
      </c>
      <c r="AS62" s="93">
        <f t="shared" si="151"/>
        <v>0.43243813015205101</v>
      </c>
      <c r="AT62" s="93">
        <f t="shared" si="152"/>
        <v>0.26895526892794658</v>
      </c>
      <c r="AU62" s="93">
        <f t="shared" ca="1" si="155"/>
        <v>7.1277287561426581E-2</v>
      </c>
      <c r="AV62" s="132">
        <f ca="1">+AV61*EXP(AU62)</f>
        <v>108.25341697657667</v>
      </c>
      <c r="AW62" s="134">
        <f ca="1">LN(AV62/AV61)</f>
        <v>7.1277287561426678E-2</v>
      </c>
      <c r="AX62" s="56">
        <f>+AJ62/$AL$12</f>
        <v>2.3810061433974933E-2</v>
      </c>
      <c r="AY62" s="135">
        <f ca="1">+AX62*AW62</f>
        <v>1.6971165956846666E-3</v>
      </c>
      <c r="AZ62" s="93"/>
      <c r="BA62" s="93"/>
      <c r="BB62" s="234">
        <f>IFERROR(INDEX('Total Customers'!$E$7:$AA$91,MATCH($C62,'Total Customers'!$C$7:$C$91,0),MATCH($G62,'Total Customers'!$E$5:$AA$5,0)),"NA")</f>
        <v>646186</v>
      </c>
      <c r="BC62" s="411">
        <f t="shared" si="15"/>
        <v>8.7149331659171752E-3</v>
      </c>
      <c r="BD62" s="92"/>
      <c r="BE62" s="281" t="str">
        <f t="shared" si="0"/>
        <v>BALTIMORE GAS AND ELECTRIC COMPANY</v>
      </c>
      <c r="BF62" s="290">
        <f t="shared" si="1"/>
        <v>4007784</v>
      </c>
      <c r="BG62" s="46" t="str">
        <f t="shared" si="2"/>
        <v>MD</v>
      </c>
      <c r="BH62" s="46"/>
      <c r="BI62" s="46" t="str">
        <f t="shared" si="3"/>
        <v>2007 Y</v>
      </c>
      <c r="BJ62" s="129"/>
      <c r="BK62" s="129"/>
      <c r="BL62" s="129">
        <f>INDEX('Dist. Plant Gas Additions'!$E$7:$AD$91,MATCH($C62,'Dist. Plant Gas Additions'!$C$7:$C$91,0),MATCH(Calculation!$G62,'Dist. Plant Gas Additions'!$E$5:$AD$5,0))</f>
        <v>40267</v>
      </c>
      <c r="BM62" s="129">
        <f>INDEX('Gen. Plant Additions'!$E$7:$AD$91,MATCH($C62,'Gen. Plant Additions'!$C$7:$C$91,0),MATCH(Calculation!$G62,'Gen. Plant Additions'!$E$5:$AD$5,0))</f>
        <v>570</v>
      </c>
      <c r="BN62" s="393">
        <f t="shared" si="129"/>
        <v>0.99372053709600749</v>
      </c>
      <c r="BO62" s="46">
        <f t="shared" si="121"/>
        <v>566.42070614472425</v>
      </c>
      <c r="BP62" s="46">
        <f t="shared" si="122"/>
        <v>-3.5792938552757505</v>
      </c>
      <c r="BQ62" s="129">
        <f>INDEX('Dist Plant Depreciation'!$D$7:$AC$94,MATCH($C62,'Dist Plant Depreciation'!$C$7:$C$94,0),MATCH(Calculation!$G62,'Dist Plant Depreciation'!$D$5:$AC$5,0))</f>
        <v>362463</v>
      </c>
      <c r="BR62" s="129">
        <f>INDEX('Gen. Plant Depreciation'!$D$7:$AC$94,MATCH($C62,'Gen. Plant Depreciation'!$C$7:$C$94,0),MATCH(Calculation!$G62,'Gen. Plant Depreciation'!$D$5:$AC$5,0))</f>
        <v>1488</v>
      </c>
      <c r="BS62" s="137">
        <v>1986</v>
      </c>
      <c r="BT62" s="137">
        <f t="shared" si="59"/>
        <v>39</v>
      </c>
      <c r="BU62" s="333">
        <v>236.30996622718544</v>
      </c>
      <c r="BV62" s="93">
        <f t="shared" si="127"/>
        <v>2.9411764705882353E-2</v>
      </c>
      <c r="BW62" s="334">
        <f t="shared" si="60"/>
        <v>6.9502931243289838</v>
      </c>
      <c r="BX62" s="334"/>
      <c r="BY62" s="129">
        <f>INDEX('Gross Dx Plant'!$D$7:$AC$91,MATCH($C62,'Gross Dx Plant'!$C$7:$C$91,0),MATCH(Calculation!$G62,'Gross Dx Plant'!$D$5:$AC$5,0))</f>
        <v>1112176</v>
      </c>
      <c r="BZ62" s="129">
        <f>INDEX('Gross Gen Plant'!$D$7:$AC$91,MATCH($C62,'Gross Gen Plant'!$C$7:$C$91,0),MATCH(Calculation!$G62,'Gross Gen Plant'!$D$5:$AC$5,0))</f>
        <v>7028</v>
      </c>
      <c r="CA62" s="129">
        <f t="shared" si="39"/>
        <v>755253</v>
      </c>
      <c r="CB62" s="129"/>
      <c r="CC62" s="133">
        <v>2007</v>
      </c>
      <c r="CD62" s="129"/>
      <c r="CE62" s="129"/>
      <c r="CF62" s="129"/>
      <c r="CG62" s="137"/>
      <c r="CH62" s="129">
        <f t="shared" si="130"/>
        <v>40837</v>
      </c>
      <c r="CI62" s="46">
        <f t="shared" si="139"/>
        <v>40833.420706144723</v>
      </c>
      <c r="CJ62" s="46">
        <f t="shared" si="131"/>
        <v>81.9911466557745</v>
      </c>
      <c r="CK62" s="443">
        <v>0.90322580645161288</v>
      </c>
      <c r="CL62" s="46">
        <f>+CL53*CK62+CJ54*CK61+CJ55*CK60+CJ56*CK59+CJ57*CK58+CJ58*CK57+CJ59*CK56+CJ60*CK55+CJ61*CK54+CJ62</f>
        <v>3739.1617821922314</v>
      </c>
      <c r="CM62" s="134">
        <f t="shared" si="132"/>
        <v>9.7034846972575452E-3</v>
      </c>
      <c r="CN62" s="135">
        <f t="shared" si="133"/>
        <v>1.239077541199062E-2</v>
      </c>
      <c r="CO62" s="135">
        <f t="shared" si="143"/>
        <v>1.20488613726669E-2</v>
      </c>
      <c r="CP62" s="134">
        <f>VLOOKUP($H62,RoR!$E:$F,2,FALSE)</f>
        <v>5.5558333333333321E-2</v>
      </c>
      <c r="CQ62" s="135">
        <v>2.691120634145272E-2</v>
      </c>
      <c r="CR62" s="135">
        <f t="shared" si="140"/>
        <v>2.86471269918806E-2</v>
      </c>
      <c r="CS62" s="135">
        <f t="shared" si="144"/>
        <v>1.8853080235866723E-2</v>
      </c>
      <c r="CT62" s="56">
        <v>6.4575155250632399E-2</v>
      </c>
      <c r="CU62" s="139">
        <f t="shared" si="134"/>
        <v>0.85166083209999999</v>
      </c>
      <c r="CV62" s="335">
        <f t="shared" si="135"/>
        <v>0.92303077153834634</v>
      </c>
      <c r="CW62" s="335">
        <f t="shared" si="136"/>
        <v>0.52502249887505614</v>
      </c>
      <c r="CX62" s="335">
        <f t="shared" si="137"/>
        <v>0.88499666072084604</v>
      </c>
      <c r="CY62" s="335">
        <f t="shared" si="138"/>
        <v>0.42887993290280618</v>
      </c>
      <c r="CZ62" s="336">
        <f>INDEX('State Tax Lookup'!$D$7:$Z$91,MATCH(Calculation!$C62,'State Tax Lookup'!$B$7:$B$91,0),MATCH($H62,'State Tax Lookup'!$D$6:$Z$6,0))</f>
        <v>0.40091666999999998</v>
      </c>
      <c r="DA62" s="303">
        <v>0.37</v>
      </c>
      <c r="DB62" s="57">
        <f t="shared" si="142"/>
        <v>13.256026197733453</v>
      </c>
      <c r="DC62" s="56">
        <f t="shared" si="145"/>
        <v>6.1486465244192337E-2</v>
      </c>
      <c r="DD62" s="303">
        <f>VLOOKUP($H62,RoR!$E:$F,2,FALSE)</f>
        <v>5.5558333333333321E-2</v>
      </c>
      <c r="DE62" s="304">
        <f>HLOOKUP($H62,'GDP-PI'!$D$8:$CQ$11,3,FALSE)</f>
        <v>2.691120634145272E-2</v>
      </c>
      <c r="DF62" s="303">
        <f>VLOOKUP(H62,'HW Dx Data'!$E:$F,2,FALSE)</f>
        <v>498.0223154772637</v>
      </c>
      <c r="DG62" s="89">
        <f ca="1">VLOOKUP(CC62,'ECI - Input Price'!M$13:N$33,2,FALSE)</f>
        <v>104.52499999999999</v>
      </c>
      <c r="DH62" s="89"/>
      <c r="DI62" s="89"/>
      <c r="DJ62" s="56">
        <f t="shared" ca="1" si="153"/>
        <v>-4.5584612745252218E-2</v>
      </c>
      <c r="DK62" s="53">
        <f>HLOOKUP(H62,'GDP-PI'!$8:$9,2,FALSE)</f>
        <v>92.498000000000005</v>
      </c>
      <c r="DL62" s="355">
        <f t="shared" si="146"/>
        <v>2.6555467950038037E-2</v>
      </c>
      <c r="DN62" s="398">
        <v>9.164955516249029E-4</v>
      </c>
      <c r="DO62" s="398">
        <v>2.9428886288069317E-3</v>
      </c>
      <c r="DP62" s="398"/>
      <c r="DQ62" s="398"/>
      <c r="DR62" s="398"/>
      <c r="DS62" s="398"/>
      <c r="DT62" s="398"/>
      <c r="DU62" s="398"/>
      <c r="DV62" s="398"/>
      <c r="DW62" s="398"/>
      <c r="DX62" s="398"/>
      <c r="DY62" s="398"/>
      <c r="EC62">
        <f t="shared" si="141"/>
        <v>2007</v>
      </c>
    </row>
    <row r="63" spans="1:133" s="126" customFormat="1" ht="21" customHeight="1" x14ac:dyDescent="0.4">
      <c r="A63" s="233" t="s">
        <v>181</v>
      </c>
      <c r="B63" s="127" t="s">
        <v>181</v>
      </c>
      <c r="C63" s="127">
        <v>4007784</v>
      </c>
      <c r="D63" s="127" t="s">
        <v>182</v>
      </c>
      <c r="E63" s="127"/>
      <c r="F63" s="127"/>
      <c r="G63" s="127" t="s">
        <v>164</v>
      </c>
      <c r="H63" s="128">
        <v>2008</v>
      </c>
      <c r="I63" s="129"/>
      <c r="J63" s="125">
        <f>IFERROR(INDEX('Labor Expenditures'!$E$7:$W$91,MATCH($C63,'Labor Expenditures'!$C$7:$C$91,0),MATCH($G63,'Labor Expenditures'!$E$5:$W$5,0)),"NA")</f>
        <v>53553.805704717786</v>
      </c>
      <c r="K63" s="125">
        <f t="shared" ca="1" si="147"/>
        <v>496.32813442741224</v>
      </c>
      <c r="L63" s="47"/>
      <c r="M63" s="131">
        <f t="shared" ca="1" si="154"/>
        <v>-4.9283879848889545E-2</v>
      </c>
      <c r="N63" s="59"/>
      <c r="O63" s="59"/>
      <c r="P63" s="59">
        <f t="shared" ca="1" si="156"/>
        <v>-1.1380297810012084E-3</v>
      </c>
      <c r="Q63" s="61"/>
      <c r="R63" s="387"/>
      <c r="S63" s="49">
        <f t="shared" ca="1" si="161"/>
        <v>96.226600715350457</v>
      </c>
      <c r="T63" s="61">
        <f ca="1">+P63+P88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</f>
        <v>-1.2044095152246076E-2</v>
      </c>
      <c r="U63" s="61"/>
      <c r="V63" s="125">
        <f>IFERROR(INDEX('Non-Labor Expenditures'!$E$7:$AA$91,MATCH($C63,'Non-Labor Expenditures'!$C$7:$C$91,0),MATCH($G63,'Non-Labor Expenditures'!$E$5:$AA$5,0)),"NA")</f>
        <v>77555.913131601177</v>
      </c>
      <c r="W63" s="125">
        <f t="shared" si="148"/>
        <v>822.75219735637336</v>
      </c>
      <c r="X63" s="131">
        <f t="shared" si="157"/>
        <v>-3.6417618575461254E-2</v>
      </c>
      <c r="Y63" s="131">
        <f t="shared" si="158"/>
        <v>-8.4093084024819376E-4</v>
      </c>
      <c r="Z63" s="131"/>
      <c r="AA63" s="131"/>
      <c r="AB63" s="131"/>
      <c r="AC63" s="125">
        <f t="shared" si="128"/>
        <v>55692.011955795184</v>
      </c>
      <c r="AD63" s="129"/>
      <c r="AE63" s="133">
        <v>3963.6349139779877</v>
      </c>
      <c r="AF63" s="134">
        <v>1.5088620919870968E-2</v>
      </c>
      <c r="AG63" s="59">
        <f t="shared" si="149"/>
        <v>3.4841615582418292E-4</v>
      </c>
      <c r="AH63" s="134"/>
      <c r="AI63" s="134"/>
      <c r="AJ63" s="129">
        <f t="shared" si="94"/>
        <v>186801.73079211416</v>
      </c>
      <c r="AK63" s="134">
        <f t="shared" si="159"/>
        <v>2.3227355897261798E-2</v>
      </c>
      <c r="AL63" s="129"/>
      <c r="AM63" s="129"/>
      <c r="AN63" s="129"/>
      <c r="AO63" s="129"/>
      <c r="AP63" s="133">
        <f t="shared" si="160"/>
        <v>287.85936750442136</v>
      </c>
      <c r="AQ63" s="134">
        <f>+BB63/Outputs!$B$16</f>
        <v>1.8471104738769957E-2</v>
      </c>
      <c r="AR63" s="93">
        <f t="shared" si="150"/>
        <v>0.28668795239545264</v>
      </c>
      <c r="AS63" s="93">
        <f t="shared" si="151"/>
        <v>0.41517770099202528</v>
      </c>
      <c r="AT63" s="93">
        <f t="shared" si="152"/>
        <v>0.29813434661252197</v>
      </c>
      <c r="AU63" s="93">
        <f t="shared" ca="1" si="155"/>
        <v>-2.5578568121225199E-2</v>
      </c>
      <c r="AV63" s="132">
        <f t="shared" ref="AV63:AV76" ca="1" si="162">+AV62*EXP(AU63)</f>
        <v>105.51956266879341</v>
      </c>
      <c r="AW63" s="134">
        <f t="shared" ref="AW63:AW76" ca="1" si="163">LN(AV63/AV62)</f>
        <v>-2.5578568121225217E-2</v>
      </c>
      <c r="AX63" s="56">
        <f>+AJ63/$AL$13</f>
        <v>2.3091318794107689E-2</v>
      </c>
      <c r="AY63" s="135">
        <f t="shared" ref="AY63:AY76" ca="1" si="164">+AX63*AW63</f>
        <v>-5.9064287078401168E-4</v>
      </c>
      <c r="AZ63" s="93"/>
      <c r="BA63" s="93"/>
      <c r="BB63" s="234">
        <f>IFERROR(INDEX('Total Customers'!$E$7:$AA$91,MATCH($C63,'Total Customers'!$C$7:$C$91,0),MATCH($G63,'Total Customers'!$E$5:$AA$5,0)),"NA")</f>
        <v>648934</v>
      </c>
      <c r="BC63" s="411">
        <f t="shared" si="15"/>
        <v>4.2436285810095384E-3</v>
      </c>
      <c r="BD63" s="92"/>
      <c r="BE63" s="281" t="str">
        <f t="shared" si="0"/>
        <v>BALTIMORE GAS AND ELECTRIC COMPANY</v>
      </c>
      <c r="BF63" s="290">
        <f t="shared" si="1"/>
        <v>4007784</v>
      </c>
      <c r="BG63" s="46" t="str">
        <f t="shared" si="2"/>
        <v>MD</v>
      </c>
      <c r="BH63" s="46"/>
      <c r="BI63" s="46" t="str">
        <f t="shared" si="3"/>
        <v>2008 Y</v>
      </c>
      <c r="BJ63" s="129"/>
      <c r="BK63" s="129"/>
      <c r="BL63" s="129">
        <f>INDEX('Dist. Plant Gas Additions'!$E$7:$AD$91,MATCH($C63,'Dist. Plant Gas Additions'!$C$7:$C$91,0),MATCH(Calculation!$G63,'Dist. Plant Gas Additions'!$E$5:$AD$5,0))</f>
        <v>48406</v>
      </c>
      <c r="BM63" s="129">
        <f>INDEX('Gen. Plant Additions'!$E$7:$AD$91,MATCH($C63,'Gen. Plant Additions'!$C$7:$C$91,0),MATCH(Calculation!$G63,'Gen. Plant Additions'!$E$5:$AD$5,0))</f>
        <v>355</v>
      </c>
      <c r="BN63" s="393">
        <f t="shared" si="129"/>
        <v>0.99366931940008607</v>
      </c>
      <c r="BO63" s="46">
        <f>+BN63*BM63</f>
        <v>352.75260838703053</v>
      </c>
      <c r="BP63" s="46">
        <f>+BO63-BM63</f>
        <v>-2.2473916129694658</v>
      </c>
      <c r="BQ63" s="129"/>
      <c r="BR63" s="129"/>
      <c r="BS63" s="137">
        <v>1987</v>
      </c>
      <c r="BT63" s="137">
        <f t="shared" si="59"/>
        <v>40</v>
      </c>
      <c r="BU63" s="333">
        <v>242.68992766627693</v>
      </c>
      <c r="BV63" s="93">
        <f t="shared" si="127"/>
        <v>3.0165912518853696E-2</v>
      </c>
      <c r="BW63" s="334">
        <f t="shared" si="60"/>
        <v>7.3209631271878415</v>
      </c>
      <c r="BX63" s="334"/>
      <c r="BY63" s="129">
        <f>INDEX('Gross Dx Plant'!$D$7:$AC$91,MATCH($C63,'Gross Dx Plant'!$C$7:$C$91,0),MATCH(Calculation!$G63,'Gross Dx Plant'!$D$5:$AC$5,0))</f>
        <v>1152093</v>
      </c>
      <c r="BZ63" s="129">
        <f>INDEX('Gross Gen Plant'!$D$7:$AC$91,MATCH($C63,'Gross Gen Plant'!$C$7:$C$91,0),MATCH(Calculation!$G63,'Gross Gen Plant'!$D$5:$AC$5,0))</f>
        <v>7340</v>
      </c>
      <c r="CA63" s="129">
        <f t="shared" si="39"/>
        <v>1159433</v>
      </c>
      <c r="CB63" s="129"/>
      <c r="CC63" s="133">
        <v>2008</v>
      </c>
      <c r="CD63" s="129"/>
      <c r="CE63" s="129"/>
      <c r="CF63" s="129"/>
      <c r="CG63" s="137"/>
      <c r="CH63" s="129">
        <f t="shared" si="130"/>
        <v>48761</v>
      </c>
      <c r="CI63" s="46">
        <f t="shared" si="139"/>
        <v>48758.752608387033</v>
      </c>
      <c r="CJ63" s="46">
        <f t="shared" si="131"/>
        <v>85.559503143871368</v>
      </c>
      <c r="CK63" s="443">
        <v>0.89130434782608692</v>
      </c>
      <c r="CL63" s="46">
        <f>+CL53*CK63+CJ54*CK62+CJ55*CK61+CJ56*CK60+CJ57*CK59+CJ58*CK58+CJ59*CK57+CJ60*CK56+CJ61*CK55+CJ62*CK54+CJ63</f>
        <v>3777.0368004636935</v>
      </c>
      <c r="CM63" s="134">
        <f t="shared" si="132"/>
        <v>1.0078323089275611E-2</v>
      </c>
      <c r="CN63" s="135">
        <f t="shared" si="133"/>
        <v>1.2752720435768999E-2</v>
      </c>
      <c r="CO63" s="135">
        <f t="shared" si="143"/>
        <v>1.2396180688762698E-2</v>
      </c>
      <c r="CP63" s="134">
        <f>VLOOKUP($H63,RoR!$E:$F,2,FALSE)</f>
        <v>5.6316666666666668E-2</v>
      </c>
      <c r="CQ63" s="135">
        <v>1.9092304698479889E-2</v>
      </c>
      <c r="CR63" s="135">
        <f t="shared" si="140"/>
        <v>3.7224361968186778E-2</v>
      </c>
      <c r="CS63" s="135">
        <f t="shared" si="144"/>
        <v>1.8505760919770929E-2</v>
      </c>
      <c r="CT63" s="56">
        <v>6.9030581091053131E-2</v>
      </c>
      <c r="CU63" s="139">
        <f t="shared" si="134"/>
        <v>0.85166083209999999</v>
      </c>
      <c r="CV63" s="335">
        <f t="shared" si="135"/>
        <v>0.91060168006009956</v>
      </c>
      <c r="CW63" s="335">
        <f t="shared" si="136"/>
        <v>0.53108168097070152</v>
      </c>
      <c r="CX63" s="335">
        <f t="shared" si="137"/>
        <v>0.88825329850328805</v>
      </c>
      <c r="CY63" s="335">
        <f t="shared" si="138"/>
        <v>0.4295627335323573</v>
      </c>
      <c r="CZ63" s="336">
        <f>INDEX('State Tax Lookup'!$D$7:$Z$91,MATCH(Calculation!$C63,'State Tax Lookup'!$B$7:$B$91,0),MATCH($H63,'State Tax Lookup'!$D$6:$Z$6,0))</f>
        <v>0.40091666999999998</v>
      </c>
      <c r="DA63" s="303">
        <v>0.37</v>
      </c>
      <c r="DB63" s="57">
        <f t="shared" si="142"/>
        <v>14.894250422923273</v>
      </c>
      <c r="DC63" s="56">
        <f t="shared" si="145"/>
        <v>0.1165230044105019</v>
      </c>
      <c r="DD63" s="303">
        <f>VLOOKUP($H63,RoR!$E:$F,2,FALSE)</f>
        <v>5.6316666666666668E-2</v>
      </c>
      <c r="DE63" s="304">
        <f>HLOOKUP($H63,'GDP-PI'!$D$8:$CQ$11,3,FALSE)</f>
        <v>1.9092304698479889E-2</v>
      </c>
      <c r="DF63" s="303">
        <f>VLOOKUP(H63,'HW Dx Data'!$E:$F,2,FALSE)</f>
        <v>569.88120333515076</v>
      </c>
      <c r="DG63" s="89">
        <f ca="1">VLOOKUP(CC63,'ECI - Input Price'!M$13:N$33,2,FALSE)</f>
        <v>107.9</v>
      </c>
      <c r="DH63" s="89"/>
      <c r="DI63" s="89"/>
      <c r="DJ63" s="56">
        <f t="shared" ca="1" si="153"/>
        <v>3.1778595021460486E-2</v>
      </c>
      <c r="DK63" s="53">
        <f>HLOOKUP(H63,'GDP-PI'!$8:$9,2,FALSE)</f>
        <v>94.263999999999996</v>
      </c>
      <c r="DL63" s="355">
        <f t="shared" si="146"/>
        <v>1.8912333748032254E-2</v>
      </c>
      <c r="DN63" s="126">
        <f>+DN62/DN61</f>
        <v>0.20749999999999999</v>
      </c>
      <c r="DO63" s="126">
        <f>+DO62/DO61</f>
        <v>0.29249999999999998</v>
      </c>
      <c r="DP63" s="398"/>
      <c r="DQ63" s="398"/>
      <c r="DR63" s="398"/>
      <c r="DS63" s="398"/>
      <c r="DT63" s="398"/>
      <c r="DU63" s="398"/>
      <c r="DV63" s="398"/>
      <c r="DW63" s="398"/>
      <c r="DX63" s="398"/>
      <c r="DY63" s="398"/>
      <c r="EC63">
        <f t="shared" si="141"/>
        <v>2008</v>
      </c>
    </row>
    <row r="64" spans="1:133" s="126" customFormat="1" ht="21" customHeight="1" x14ac:dyDescent="0.4">
      <c r="A64" s="233" t="s">
        <v>181</v>
      </c>
      <c r="B64" s="127" t="s">
        <v>181</v>
      </c>
      <c r="C64" s="127">
        <v>4007784</v>
      </c>
      <c r="D64" s="127" t="s">
        <v>182</v>
      </c>
      <c r="E64" s="127"/>
      <c r="F64" s="127"/>
      <c r="G64" s="127" t="s">
        <v>165</v>
      </c>
      <c r="H64" s="128">
        <v>2009</v>
      </c>
      <c r="I64" s="129"/>
      <c r="J64" s="125">
        <f>IFERROR(INDEX('Labor Expenditures'!$E$7:$W$91,MATCH($C64,'Labor Expenditures'!$C$7:$C$91,0),MATCH($G64,'Labor Expenditures'!$E$5:$W$5,0)),"NA")</f>
        <v>52919.823410469005</v>
      </c>
      <c r="K64" s="125">
        <f t="shared" ca="1" si="147"/>
        <v>477.0775155327384</v>
      </c>
      <c r="L64" s="47"/>
      <c r="M64" s="131">
        <f t="shared" ca="1" si="154"/>
        <v>-3.9558285291720077E-2</v>
      </c>
      <c r="N64" s="59"/>
      <c r="O64" s="59"/>
      <c r="P64" s="59">
        <f t="shared" ca="1" si="156"/>
        <v>-8.5553037096768514E-4</v>
      </c>
      <c r="Q64" s="61"/>
      <c r="R64" s="387"/>
      <c r="S64" s="49">
        <f t="shared" ca="1" si="161"/>
        <v>101.08251915389444</v>
      </c>
      <c r="T64" s="61">
        <f ca="1">+P64+P89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</f>
        <v>4.923137042560969E-2</v>
      </c>
      <c r="U64" s="61"/>
      <c r="V64" s="125">
        <f>IFERROR(INDEX('Non-Labor Expenditures'!$E$7:$AA$91,MATCH($C64,'Non-Labor Expenditures'!$C$7:$C$91,0),MATCH($G64,'Non-Labor Expenditures'!$E$5:$AA$5,0)),"NA")</f>
        <v>76637.788357969999</v>
      </c>
      <c r="W64" s="125">
        <f t="shared" si="148"/>
        <v>806.72205347393128</v>
      </c>
      <c r="X64" s="131">
        <f t="shared" si="157"/>
        <v>-1.9675869109145813E-2</v>
      </c>
      <c r="Y64" s="131">
        <f t="shared" si="158"/>
        <v>-4.2553167999884222E-4</v>
      </c>
      <c r="Z64" s="131"/>
      <c r="AA64" s="131"/>
      <c r="AB64" s="131"/>
      <c r="AC64" s="125">
        <f t="shared" si="128"/>
        <v>53338.834840257492</v>
      </c>
      <c r="AD64" s="129"/>
      <c r="AE64" s="133">
        <v>4015.9236140589887</v>
      </c>
      <c r="AF64" s="134">
        <v>1.3105849987846951E-2</v>
      </c>
      <c r="AG64" s="59">
        <f t="shared" si="149"/>
        <v>2.8344132257664888E-4</v>
      </c>
      <c r="AH64" s="134"/>
      <c r="AI64" s="134"/>
      <c r="AJ64" s="129">
        <f t="shared" si="94"/>
        <v>182896.44660869648</v>
      </c>
      <c r="AK64" s="134">
        <f t="shared" si="159"/>
        <v>-2.1127664081375609E-2</v>
      </c>
      <c r="AL64" s="129"/>
      <c r="AM64" s="129"/>
      <c r="AN64" s="129"/>
      <c r="AO64" s="129"/>
      <c r="AP64" s="133">
        <f t="shared" si="160"/>
        <v>281.00692253598925</v>
      </c>
      <c r="AQ64" s="134">
        <f>+BB64/Outputs!$B$17</f>
        <v>1.8502338018087268E-2</v>
      </c>
      <c r="AR64" s="93">
        <f t="shared" si="150"/>
        <v>0.28934309217986054</v>
      </c>
      <c r="AS64" s="93">
        <f t="shared" si="151"/>
        <v>0.41902283931155376</v>
      </c>
      <c r="AT64" s="93">
        <f t="shared" si="152"/>
        <v>0.29163406850858581</v>
      </c>
      <c r="AU64" s="93">
        <f t="shared" ca="1" si="155"/>
        <v>-1.5735502331921107E-2</v>
      </c>
      <c r="AV64" s="132">
        <f t="shared" ca="1" si="162"/>
        <v>103.87215473227381</v>
      </c>
      <c r="AW64" s="134">
        <f t="shared" ca="1" si="163"/>
        <v>-1.5735502331921093E-2</v>
      </c>
      <c r="AX64" s="56">
        <f>+AJ64/$AL$14</f>
        <v>2.1627084305061012E-2</v>
      </c>
      <c r="AY64" s="135">
        <f t="shared" ca="1" si="164"/>
        <v>-3.4031303551494165E-4</v>
      </c>
      <c r="AZ64" s="93"/>
      <c r="BA64" s="93"/>
      <c r="BB64" s="234">
        <f>IFERROR(INDEX('Total Customers'!$E$7:$AA$91,MATCH($C64,'Total Customers'!$C$7:$C$91,0),MATCH($G64,'Total Customers'!$E$5:$AA$5,0)),"NA")</f>
        <v>650861</v>
      </c>
      <c r="BC64" s="411">
        <f t="shared" si="15"/>
        <v>2.9650851277395118E-3</v>
      </c>
      <c r="BD64" s="92"/>
      <c r="BE64" s="281" t="str">
        <f t="shared" si="0"/>
        <v>BALTIMORE GAS AND ELECTRIC COMPANY</v>
      </c>
      <c r="BF64" s="290">
        <f t="shared" si="1"/>
        <v>4007784</v>
      </c>
      <c r="BG64" s="46" t="str">
        <f t="shared" si="2"/>
        <v>MD</v>
      </c>
      <c r="BH64" s="46"/>
      <c r="BI64" s="46" t="str">
        <f t="shared" si="3"/>
        <v>2009 Y</v>
      </c>
      <c r="BJ64" s="129"/>
      <c r="BK64" s="129"/>
      <c r="BL64" s="129">
        <f>INDEX('Dist. Plant Gas Additions'!$E$7:$AD$91,MATCH($C64,'Dist. Plant Gas Additions'!$C$7:$C$91,0),MATCH(Calculation!$G64,'Dist. Plant Gas Additions'!$E$5:$AD$5,0))</f>
        <v>43244</v>
      </c>
      <c r="BM64" s="129">
        <f>INDEX('Gen. Plant Additions'!$E$7:$AD$91,MATCH($C64,'Gen. Plant Additions'!$C$7:$C$91,0),MATCH(Calculation!$G64,'Gen. Plant Additions'!$E$5:$AD$5,0))</f>
        <v>736</v>
      </c>
      <c r="BN64" s="393">
        <f t="shared" si="129"/>
        <v>0.99342689449638411</v>
      </c>
      <c r="BO64" s="46">
        <f t="shared" ref="BO64:BO82" si="165">+BN64*BM64</f>
        <v>731.16219434933873</v>
      </c>
      <c r="BP64" s="46">
        <f t="shared" ref="BP64:BP82" si="166">+BO64-BM64</f>
        <v>-4.8378056506612666</v>
      </c>
      <c r="BQ64" s="129">
        <f>INDEX('Dist Plant Depreciation'!$D$7:$AC$94,MATCH($C64,'Dist Plant Depreciation'!$C$7:$C$94,0),MATCH(Calculation!$G64,'Dist Plant Depreciation'!$D$5:$AC$5,0))</f>
        <v>388386</v>
      </c>
      <c r="BR64" s="129">
        <f>INDEX('Gen. Plant Depreciation'!$D$7:$AC$94,MATCH($C64,'Gen. Plant Depreciation'!$C$7:$C$94,0),MATCH(Calculation!$G64,'Gen. Plant Depreciation'!$D$5:$AC$5,0))</f>
        <v>3420</v>
      </c>
      <c r="BS64" s="137">
        <v>1988</v>
      </c>
      <c r="BT64" s="137">
        <f t="shared" si="59"/>
        <v>41</v>
      </c>
      <c r="BU64" s="333">
        <v>256.77937804125054</v>
      </c>
      <c r="BV64" s="93">
        <f t="shared" si="127"/>
        <v>3.0920060331825039E-2</v>
      </c>
      <c r="BW64" s="334">
        <f t="shared" si="60"/>
        <v>7.9396338610039763</v>
      </c>
      <c r="BX64" s="334"/>
      <c r="BY64" s="129">
        <f>INDEX('Gross Dx Plant'!$D$7:$AC$91,MATCH($C64,'Gross Dx Plant'!$C$7:$C$91,0),MATCH(Calculation!$G64,'Gross Dx Plant'!$D$5:$AC$5,0))</f>
        <v>1187015</v>
      </c>
      <c r="BZ64" s="129">
        <f>INDEX('Gross Gen Plant'!$D$7:$AC$91,MATCH($C64,'Gross Gen Plant'!$C$7:$C$91,0),MATCH(Calculation!$G64,'Gross Gen Plant'!$D$5:$AC$5,0))</f>
        <v>7854</v>
      </c>
      <c r="CA64" s="129">
        <f t="shared" si="39"/>
        <v>803063</v>
      </c>
      <c r="CB64" s="129"/>
      <c r="CC64" s="133">
        <v>2009</v>
      </c>
      <c r="CD64" s="129"/>
      <c r="CE64" s="129"/>
      <c r="CF64" s="129"/>
      <c r="CG64" s="137"/>
      <c r="CH64" s="129">
        <f t="shared" si="130"/>
        <v>43980</v>
      </c>
      <c r="CI64" s="46">
        <f t="shared" si="139"/>
        <v>43975.162194349337</v>
      </c>
      <c r="CJ64" s="46">
        <f t="shared" si="131"/>
        <v>79.818331154538157</v>
      </c>
      <c r="CK64" s="443">
        <v>0.87912087912087911</v>
      </c>
      <c r="CL64" s="46">
        <f>+CL53*CK64+CJ54*CK63+CJ55*CK62+CJ56*CK61+CJ57*CK60+CJ58*CK59+CJ59*CK58+CJ60*CK57+CJ61*CK56+CJ62*CK55+CJ63*CK54+CJ64</f>
        <v>3807.2859748425035</v>
      </c>
      <c r="CM64" s="134">
        <f t="shared" si="132"/>
        <v>7.9768057530302146E-3</v>
      </c>
      <c r="CN64" s="135">
        <f t="shared" si="133"/>
        <v>1.3123821501988726E-2</v>
      </c>
      <c r="CO64" s="135">
        <f t="shared" si="143"/>
        <v>1.2755772449916115E-2</v>
      </c>
      <c r="CP64" s="134">
        <f>VLOOKUP($H64,RoR!$E:$F,2,FALSE)</f>
        <v>5.3133333333333324E-2</v>
      </c>
      <c r="CQ64" s="135">
        <v>7.7972502758210105E-3</v>
      </c>
      <c r="CR64" s="135">
        <f t="shared" si="140"/>
        <v>4.5336083057512314E-2</v>
      </c>
      <c r="CS64" s="135">
        <f t="shared" si="144"/>
        <v>1.8146169158617512E-2</v>
      </c>
      <c r="CT64" s="56">
        <v>6.3720160300892073E-2</v>
      </c>
      <c r="CU64" s="139">
        <f t="shared" si="134"/>
        <v>0.85166083209999999</v>
      </c>
      <c r="CV64" s="335">
        <f t="shared" si="135"/>
        <v>0.96515780330083989</v>
      </c>
      <c r="CW64" s="335">
        <f t="shared" si="136"/>
        <v>0.50448557089084056</v>
      </c>
      <c r="CX64" s="335">
        <f t="shared" si="137"/>
        <v>0.87391435735465484</v>
      </c>
      <c r="CY64" s="335">
        <f t="shared" si="138"/>
        <v>0.42551605393279146</v>
      </c>
      <c r="CZ64" s="336">
        <f>INDEX('State Tax Lookup'!$D$7:$Z$91,MATCH(Calculation!$C64,'State Tax Lookup'!$B$7:$B$91,0),MATCH($H64,'State Tax Lookup'!$D$6:$Z$6,0))</f>
        <v>0.40091666999999998</v>
      </c>
      <c r="DA64" s="303">
        <v>0.37</v>
      </c>
      <c r="DB64" s="57">
        <f t="shared" si="142"/>
        <v>14.121873219161982</v>
      </c>
      <c r="DC64" s="56">
        <f t="shared" si="145"/>
        <v>-5.3250373312743987E-2</v>
      </c>
      <c r="DD64" s="303">
        <f>VLOOKUP($H64,RoR!$E:$F,2,FALSE)</f>
        <v>5.3133333333333324E-2</v>
      </c>
      <c r="DE64" s="304">
        <f>HLOOKUP($H64,'GDP-PI'!$D$8:$CQ$11,3,FALSE)</f>
        <v>7.7972502758210105E-3</v>
      </c>
      <c r="DF64" s="303">
        <f>VLOOKUP(H64,'HW Dx Data'!$E:$F,2,FALSE)</f>
        <v>550.94063679692806</v>
      </c>
      <c r="DG64" s="89">
        <f ca="1">VLOOKUP(CC64,'ECI - Input Price'!M$13:N$33,2,FALSE)</f>
        <v>110.925</v>
      </c>
      <c r="DH64" s="89"/>
      <c r="DI64" s="89"/>
      <c r="DJ64" s="56">
        <f t="shared" ca="1" si="153"/>
        <v>2.7649425000884052E-2</v>
      </c>
      <c r="DK64" s="53">
        <f>HLOOKUP(H64,'GDP-PI'!$8:$9,2,FALSE)</f>
        <v>94.998999999999995</v>
      </c>
      <c r="DL64" s="355">
        <f t="shared" si="146"/>
        <v>7.7670088183096342E-3</v>
      </c>
      <c r="DM64" s="144" t="s">
        <v>183</v>
      </c>
      <c r="DN64" s="144" t="s">
        <v>184</v>
      </c>
      <c r="DO64" s="144"/>
      <c r="DP64" s="414"/>
      <c r="DQ64" s="398"/>
      <c r="DR64" s="398"/>
      <c r="DS64" s="398"/>
      <c r="DT64" s="398"/>
      <c r="DU64" s="398"/>
      <c r="DV64" s="398"/>
      <c r="DW64" s="398"/>
      <c r="DX64" s="398"/>
      <c r="DY64" s="398"/>
      <c r="EC64">
        <f t="shared" si="141"/>
        <v>2009</v>
      </c>
    </row>
    <row r="65" spans="1:133" s="126" customFormat="1" ht="21" customHeight="1" x14ac:dyDescent="0.4">
      <c r="A65" s="233" t="s">
        <v>181</v>
      </c>
      <c r="B65" s="127" t="s">
        <v>181</v>
      </c>
      <c r="C65" s="127">
        <v>4007784</v>
      </c>
      <c r="D65" s="127" t="s">
        <v>182</v>
      </c>
      <c r="E65" s="127"/>
      <c r="F65" s="127"/>
      <c r="G65" s="127" t="s">
        <v>166</v>
      </c>
      <c r="H65" s="128">
        <v>2010</v>
      </c>
      <c r="I65" s="129"/>
      <c r="J65" s="125">
        <f>IFERROR(INDEX('Labor Expenditures'!$E$7:$W$91,MATCH($C65,'Labor Expenditures'!$C$7:$C$91,0),MATCH($G65,'Labor Expenditures'!$E$5:$W$5,0)),"NA")</f>
        <v>55068.902293098516</v>
      </c>
      <c r="K65" s="125">
        <f t="shared" ca="1" si="147"/>
        <v>470.97628644942074</v>
      </c>
      <c r="L65" s="47"/>
      <c r="M65" s="131">
        <f t="shared" ca="1" si="154"/>
        <v>-1.2871238535747545E-2</v>
      </c>
      <c r="N65" s="59"/>
      <c r="O65" s="59"/>
      <c r="P65" s="59">
        <f t="shared" ca="1" si="156"/>
        <v>-2.7948331424095034E-4</v>
      </c>
      <c r="Q65" s="61"/>
      <c r="R65" s="387"/>
      <c r="S65" s="49">
        <f t="shared" ca="1" si="161"/>
        <v>98.913059690589094</v>
      </c>
      <c r="T65" s="61">
        <f ca="1">+P65+P90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</f>
        <v>-2.1695925225961612E-2</v>
      </c>
      <c r="U65" s="61"/>
      <c r="V65" s="125">
        <f>IFERROR(INDEX('Non-Labor Expenditures'!$E$7:$AA$91,MATCH($C65,'Non-Labor Expenditures'!$C$7:$C$91,0),MATCH($G65,'Non-Labor Expenditures'!$E$5:$AA$5,0)),"NA")</f>
        <v>79750.055972584931</v>
      </c>
      <c r="W65" s="125">
        <f t="shared" si="148"/>
        <v>829.78759504921425</v>
      </c>
      <c r="X65" s="131">
        <f t="shared" si="157"/>
        <v>2.8190569004078986E-2</v>
      </c>
      <c r="Y65" s="131">
        <f t="shared" si="158"/>
        <v>6.1212397188633195E-4</v>
      </c>
      <c r="Z65" s="131"/>
      <c r="AA65" s="131"/>
      <c r="AB65" s="131"/>
      <c r="AC65" s="125">
        <f t="shared" si="128"/>
        <v>54472.008789192318</v>
      </c>
      <c r="AD65" s="129"/>
      <c r="AE65" s="133">
        <v>4097.935318378356</v>
      </c>
      <c r="AF65" s="134">
        <v>2.0215904182597173E-2</v>
      </c>
      <c r="AG65" s="59">
        <f t="shared" si="149"/>
        <v>4.3896380955398115E-4</v>
      </c>
      <c r="AH65" s="134"/>
      <c r="AI65" s="134"/>
      <c r="AJ65" s="129">
        <f t="shared" si="94"/>
        <v>189290.96705487574</v>
      </c>
      <c r="AK65" s="134">
        <f t="shared" si="159"/>
        <v>3.4365212305708541E-2</v>
      </c>
      <c r="AL65" s="129"/>
      <c r="AM65" s="129"/>
      <c r="AN65" s="129"/>
      <c r="AO65" s="129"/>
      <c r="AP65" s="133">
        <f t="shared" si="160"/>
        <v>290.05931261224549</v>
      </c>
      <c r="AQ65" s="134">
        <f>+BB65/Outputs!$B$18</f>
        <v>1.845009937304708E-2</v>
      </c>
      <c r="AR65" s="93">
        <f t="shared" si="150"/>
        <v>0.29092197662624841</v>
      </c>
      <c r="AS65" s="93">
        <f t="shared" si="151"/>
        <v>0.42130935888486037</v>
      </c>
      <c r="AT65" s="93">
        <f t="shared" si="152"/>
        <v>0.28776866448889132</v>
      </c>
      <c r="AU65" s="93">
        <f t="shared" ca="1" si="155"/>
        <v>1.3966931419225965E-2</v>
      </c>
      <c r="AV65" s="132">
        <f t="shared" ca="1" si="162"/>
        <v>105.33310876661093</v>
      </c>
      <c r="AW65" s="134">
        <f t="shared" ca="1" si="163"/>
        <v>1.3966931419226059E-2</v>
      </c>
      <c r="AX65" s="56">
        <f>+AJ65/$AL$15</f>
        <v>2.1713785620920304E-2</v>
      </c>
      <c r="AY65" s="135">
        <f t="shared" ca="1" si="164"/>
        <v>3.0327495461917079E-4</v>
      </c>
      <c r="AZ65" s="93"/>
      <c r="BA65" s="93"/>
      <c r="BB65" s="234">
        <f>IFERROR(INDEX('Total Customers'!$E$7:$AA$91,MATCH($C65,'Total Customers'!$C$7:$C$91,0),MATCH($G65,'Total Customers'!$E$5:$AA$5,0)),"NA")</f>
        <v>652594</v>
      </c>
      <c r="BC65" s="411">
        <f t="shared" si="15"/>
        <v>2.6590883784007534E-3</v>
      </c>
      <c r="BD65" s="92"/>
      <c r="BE65" s="281" t="str">
        <f t="shared" si="0"/>
        <v>BALTIMORE GAS AND ELECTRIC COMPANY</v>
      </c>
      <c r="BF65" s="290">
        <f t="shared" si="1"/>
        <v>4007784</v>
      </c>
      <c r="BG65" s="46" t="str">
        <f t="shared" si="2"/>
        <v>MD</v>
      </c>
      <c r="BH65" s="46"/>
      <c r="BI65" s="46" t="str">
        <f t="shared" si="3"/>
        <v>2010 Y</v>
      </c>
      <c r="BJ65" s="129"/>
      <c r="BK65" s="129"/>
      <c r="BL65" s="129">
        <f>INDEX('Dist. Plant Gas Additions'!$E$7:$AD$91,MATCH($C65,'Dist. Plant Gas Additions'!$C$7:$C$91,0),MATCH(Calculation!$G65,'Dist. Plant Gas Additions'!$E$5:$AD$5,0))</f>
        <v>61438</v>
      </c>
      <c r="BM65" s="129">
        <f>INDEX('Gen. Plant Additions'!$E$7:$AD$91,MATCH($C65,'Gen. Plant Additions'!$C$7:$C$91,0),MATCH(Calculation!$G65,'Gen. Plant Additions'!$E$5:$AD$5,0))</f>
        <v>1671</v>
      </c>
      <c r="BN65" s="393">
        <f t="shared" si="129"/>
        <v>0.99243385629130854</v>
      </c>
      <c r="BO65" s="46">
        <f t="shared" si="165"/>
        <v>1658.3569738627766</v>
      </c>
      <c r="BP65" s="46">
        <f t="shared" si="166"/>
        <v>-12.643026137223387</v>
      </c>
      <c r="BQ65" s="129">
        <f>INDEX('Dist Plant Depreciation'!$D$7:$AC$94,MATCH($C65,'Dist Plant Depreciation'!$C$7:$C$94,0),MATCH(Calculation!$G65,'Dist Plant Depreciation'!$D$5:$AC$5,0))</f>
        <v>398163</v>
      </c>
      <c r="BR65" s="129">
        <f>INDEX('Gen. Plant Depreciation'!$D$7:$AC$94,MATCH($C65,'Gen. Plant Depreciation'!$C$7:$C$94,0),MATCH(Calculation!$G65,'Gen. Plant Depreciation'!$D$5:$AC$5,0))</f>
        <v>4038</v>
      </c>
      <c r="BS65" s="137">
        <v>1989</v>
      </c>
      <c r="BT65" s="137">
        <f t="shared" si="59"/>
        <v>42</v>
      </c>
      <c r="BU65" s="333">
        <v>268.73664562501432</v>
      </c>
      <c r="BV65" s="93">
        <f t="shared" si="127"/>
        <v>3.1674208144796379E-2</v>
      </c>
      <c r="BW65" s="334">
        <f t="shared" si="60"/>
        <v>8.5120204496610867</v>
      </c>
      <c r="BX65" s="334"/>
      <c r="BY65" s="129">
        <f>INDEX('Gross Dx Plant'!$D$7:$AC$91,MATCH($C65,'Gross Dx Plant'!$C$7:$C$91,0),MATCH(Calculation!$G65,'Gross Dx Plant'!$D$5:$AC$5,0))</f>
        <v>1239535</v>
      </c>
      <c r="BZ65" s="129">
        <f>INDEX('Gross Gen Plant'!$D$7:$AC$91,MATCH($C65,'Gross Gen Plant'!$C$7:$C$91,0),MATCH(Calculation!$G65,'Gross Gen Plant'!$D$5:$AC$5,0))</f>
        <v>9450</v>
      </c>
      <c r="CA65" s="129">
        <f t="shared" si="39"/>
        <v>846784</v>
      </c>
      <c r="CB65" s="129"/>
      <c r="CC65" s="133">
        <v>2010</v>
      </c>
      <c r="CD65" s="129"/>
      <c r="CE65" s="129"/>
      <c r="CF65" s="129"/>
      <c r="CG65" s="137"/>
      <c r="CH65" s="129">
        <f t="shared" si="130"/>
        <v>63109</v>
      </c>
      <c r="CI65" s="46">
        <f t="shared" si="139"/>
        <v>63096.356973862778</v>
      </c>
      <c r="CJ65" s="46">
        <f t="shared" si="131"/>
        <v>110.89195263225116</v>
      </c>
      <c r="CK65" s="443">
        <v>0.8666666666666667</v>
      </c>
      <c r="CL65" s="46">
        <f>+CL53*CK65+CJ54*CK64+CJ55*CK63+CJ56*CK62+CJ57*CK61+CJ58*CK60+CJ59*CK59+CJ60*CK58+CJ61*CK57+CJ62*CK56+CJ63*CK55+CJ64*CK54+CJ65</f>
        <v>3866.7297461698076</v>
      </c>
      <c r="CM65" s="134">
        <f t="shared" si="132"/>
        <v>1.5492530234676309E-2</v>
      </c>
      <c r="CN65" s="135">
        <f t="shared" si="133"/>
        <v>1.3513085606099047E-2</v>
      </c>
      <c r="CO65" s="135">
        <f t="shared" si="143"/>
        <v>1.3129875847952258E-2</v>
      </c>
      <c r="CP65" s="134">
        <f>VLOOKUP($H65,RoR!$E:$F,2,FALSE)</f>
        <v>4.9433333333333322E-2</v>
      </c>
      <c r="CQ65" s="135">
        <v>1.1684333519300205E-2</v>
      </c>
      <c r="CR65" s="135">
        <f t="shared" si="140"/>
        <v>3.7748999814033117E-2</v>
      </c>
      <c r="CS65" s="135">
        <f t="shared" si="144"/>
        <v>1.7772065760581365E-2</v>
      </c>
      <c r="CT65" s="56">
        <v>4.7937530248493419E-2</v>
      </c>
      <c r="CU65" s="139">
        <f t="shared" si="134"/>
        <v>0.85166083209999999</v>
      </c>
      <c r="CV65" s="335">
        <f t="shared" si="135"/>
        <v>1.037398205301105</v>
      </c>
      <c r="CW65" s="335">
        <f t="shared" si="136"/>
        <v>0.46926837491571133</v>
      </c>
      <c r="CX65" s="335">
        <f t="shared" si="137"/>
        <v>0.8548537519972772</v>
      </c>
      <c r="CY65" s="335">
        <f t="shared" si="138"/>
        <v>0.41615833911547367</v>
      </c>
      <c r="CZ65" s="336">
        <f>INDEX('State Tax Lookup'!$D$7:$Z$91,MATCH(Calculation!$C65,'State Tax Lookup'!$B$7:$B$91,0),MATCH($H65,'State Tax Lookup'!$D$6:$Z$6,0))</f>
        <v>0.40091666999999998</v>
      </c>
      <c r="DA65" s="303">
        <v>0.37</v>
      </c>
      <c r="DB65" s="57">
        <f t="shared" si="142"/>
        <v>14.307306871385112</v>
      </c>
      <c r="DC65" s="56">
        <f t="shared" si="145"/>
        <v>1.3045489279488785E-2</v>
      </c>
      <c r="DD65" s="303">
        <f>VLOOKUP($H65,RoR!$E:$F,2,FALSE)</f>
        <v>4.9433333333333322E-2</v>
      </c>
      <c r="DE65" s="304">
        <f>HLOOKUP($H65,'GDP-PI'!$D$8:$CQ$11,3,FALSE)</f>
        <v>1.1684333519300205E-2</v>
      </c>
      <c r="DF65" s="303">
        <f>VLOOKUP(H65,'HW Dx Data'!$E:$F,2,FALSE)</f>
        <v>568.98950262971744</v>
      </c>
      <c r="DG65" s="89">
        <f ca="1">VLOOKUP(CC65,'ECI - Input Price'!M$13:N$33,2,FALSE)</f>
        <v>116.925</v>
      </c>
      <c r="DH65" s="89"/>
      <c r="DI65" s="89"/>
      <c r="DJ65" s="56">
        <f t="shared" ca="1" si="153"/>
        <v>5.2678406346976722E-2</v>
      </c>
      <c r="DK65" s="53">
        <f>HLOOKUP(H65,'GDP-PI'!$8:$9,2,FALSE)</f>
        <v>96.108999999999995</v>
      </c>
      <c r="DL65" s="355">
        <f t="shared" si="146"/>
        <v>1.1616598807150427E-2</v>
      </c>
      <c r="DM65" s="398">
        <v>1.3516542083719366E-2</v>
      </c>
      <c r="DN65" s="398">
        <f>+DN62+Calculation!DO62+Calculation!DQ62</f>
        <v>3.8593841804318348E-3</v>
      </c>
      <c r="DO65" s="398"/>
      <c r="DP65" s="398"/>
      <c r="DQ65" s="398"/>
      <c r="DR65" s="398"/>
      <c r="DS65" s="398"/>
      <c r="DT65" s="398"/>
      <c r="DU65" s="398"/>
      <c r="DV65" s="398"/>
      <c r="DW65" s="398"/>
      <c r="DX65" s="398"/>
      <c r="DY65" s="398"/>
      <c r="EC65">
        <f t="shared" si="141"/>
        <v>2010</v>
      </c>
    </row>
    <row r="66" spans="1:133" s="126" customFormat="1" ht="21" customHeight="1" x14ac:dyDescent="0.4">
      <c r="A66" s="233" t="s">
        <v>181</v>
      </c>
      <c r="B66" s="127" t="s">
        <v>181</v>
      </c>
      <c r="C66" s="127">
        <v>4007784</v>
      </c>
      <c r="D66" s="127" t="s">
        <v>182</v>
      </c>
      <c r="E66" s="127"/>
      <c r="F66" s="127"/>
      <c r="G66" s="127" t="s">
        <v>167</v>
      </c>
      <c r="H66" s="128">
        <v>2011</v>
      </c>
      <c r="I66" s="129"/>
      <c r="J66" s="125">
        <f>IFERROR(INDEX('Labor Expenditures'!$E$7:$W$91,MATCH($C66,'Labor Expenditures'!$C$7:$C$91,0),MATCH($G66,'Labor Expenditures'!$E$5:$W$5,0)),"NA")</f>
        <v>55770.300548758933</v>
      </c>
      <c r="K66" s="125">
        <f t="shared" ca="1" si="147"/>
        <v>461.3882155016251</v>
      </c>
      <c r="L66" s="47"/>
      <c r="M66" s="131">
        <f t="shared" ca="1" si="154"/>
        <v>-2.0567940836359856E-2</v>
      </c>
      <c r="N66" s="59"/>
      <c r="O66" s="59"/>
      <c r="P66" s="59">
        <f t="shared" ca="1" si="156"/>
        <v>-4.4179975941077324E-4</v>
      </c>
      <c r="Q66" s="61"/>
      <c r="R66" s="387"/>
      <c r="S66" s="49">
        <f t="shared" ca="1" si="161"/>
        <v>98.043778843661144</v>
      </c>
      <c r="T66" s="61">
        <f ca="1">+P66+P91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</f>
        <v>-8.8271775466369235E-3</v>
      </c>
      <c r="U66" s="61"/>
      <c r="V66" s="125">
        <f>IFERROR(INDEX('Non-Labor Expenditures'!$E$7:$AA$91,MATCH($C66,'Non-Labor Expenditures'!$C$7:$C$91,0),MATCH($G66,'Non-Labor Expenditures'!$E$5:$AA$5,0)),"NA")</f>
        <v>80765.811649904848</v>
      </c>
      <c r="W66" s="125">
        <f t="shared" si="148"/>
        <v>823.20013504876931</v>
      </c>
      <c r="X66" s="131">
        <f t="shared" si="157"/>
        <v>-7.9704098877006954E-3</v>
      </c>
      <c r="Y66" s="131">
        <f t="shared" si="158"/>
        <v>-1.7120455561435893E-4</v>
      </c>
      <c r="Z66" s="131"/>
      <c r="AA66" s="131"/>
      <c r="AB66" s="131"/>
      <c r="AC66" s="125">
        <f t="shared" si="128"/>
        <v>58345.263844948713</v>
      </c>
      <c r="AD66" s="129"/>
      <c r="AE66" s="133">
        <v>4189.9528682488681</v>
      </c>
      <c r="AF66" s="134">
        <v>2.2206219255328091E-2</v>
      </c>
      <c r="AG66" s="59">
        <f t="shared" si="149"/>
        <v>4.7699001093408155E-4</v>
      </c>
      <c r="AH66" s="134"/>
      <c r="AI66" s="134"/>
      <c r="AJ66" s="129">
        <f t="shared" si="94"/>
        <v>194881.37604361249</v>
      </c>
      <c r="AK66" s="134">
        <f t="shared" si="159"/>
        <v>2.91057060171711E-2</v>
      </c>
      <c r="AL66" s="129"/>
      <c r="AM66" s="129"/>
      <c r="AN66" s="129"/>
      <c r="AO66" s="129"/>
      <c r="AP66" s="133">
        <f t="shared" si="160"/>
        <v>298.3697199184457</v>
      </c>
      <c r="AQ66" s="134">
        <f>+BB66/Outputs!$B$19</f>
        <v>1.8376833722593074E-2</v>
      </c>
      <c r="AR66" s="93">
        <f t="shared" si="150"/>
        <v>0.2861756299189826</v>
      </c>
      <c r="AS66" s="93">
        <f t="shared" si="151"/>
        <v>0.41443576235745727</v>
      </c>
      <c r="AT66" s="93">
        <f t="shared" si="152"/>
        <v>0.29938860772356019</v>
      </c>
      <c r="AU66" s="93">
        <f t="shared" ca="1" si="155"/>
        <v>-2.7461987410322582E-3</v>
      </c>
      <c r="AV66" s="132">
        <f t="shared" ca="1" si="162"/>
        <v>105.0442399430714</v>
      </c>
      <c r="AW66" s="134">
        <f t="shared" ca="1" si="163"/>
        <v>-2.7461987410322456E-3</v>
      </c>
      <c r="AX66" s="56">
        <f>+AJ66/$AL$16</f>
        <v>2.1480018973496988E-2</v>
      </c>
      <c r="AY66" s="135">
        <f t="shared" ca="1" si="164"/>
        <v>-5.8988401062366177E-5</v>
      </c>
      <c r="AZ66" s="93"/>
      <c r="BA66" s="93"/>
      <c r="BB66" s="234">
        <f>IFERROR(INDEX('Total Customers'!$E$7:$AA$91,MATCH($C66,'Total Customers'!$C$7:$C$91,0),MATCH($G66,'Total Customers'!$E$5:$AA$5,0)),"NA")</f>
        <v>653154</v>
      </c>
      <c r="BC66" s="411">
        <f t="shared" si="15"/>
        <v>8.5774595761818563E-4</v>
      </c>
      <c r="BD66" s="92"/>
      <c r="BE66" s="281" t="str">
        <f t="shared" si="0"/>
        <v>BALTIMORE GAS AND ELECTRIC COMPANY</v>
      </c>
      <c r="BF66" s="290">
        <f t="shared" si="1"/>
        <v>4007784</v>
      </c>
      <c r="BG66" s="46" t="str">
        <f t="shared" si="2"/>
        <v>MD</v>
      </c>
      <c r="BH66" s="46"/>
      <c r="BI66" s="46" t="str">
        <f t="shared" si="3"/>
        <v>2011 Y</v>
      </c>
      <c r="BJ66" s="129"/>
      <c r="BK66" s="129"/>
      <c r="BL66" s="129">
        <f>INDEX('Dist. Plant Gas Additions'!$E$7:$AD$91,MATCH($C66,'Dist. Plant Gas Additions'!$C$7:$C$91,0),MATCH(Calculation!$G66,'Dist. Plant Gas Additions'!$E$5:$AD$5,0))</f>
        <v>74924</v>
      </c>
      <c r="BM66" s="129">
        <f>INDEX('Gen. Plant Additions'!$E$7:$AD$91,MATCH($C66,'Gen. Plant Additions'!$C$7:$C$91,0),MATCH(Calculation!$G66,'Gen. Plant Additions'!$E$5:$AD$5,0))</f>
        <v>0</v>
      </c>
      <c r="BN66" s="393">
        <f t="shared" si="129"/>
        <v>0.99307510364177998</v>
      </c>
      <c r="BO66" s="46">
        <f t="shared" si="165"/>
        <v>0</v>
      </c>
      <c r="BP66" s="46">
        <f t="shared" si="166"/>
        <v>0</v>
      </c>
      <c r="BQ66" s="129">
        <f>INDEX('Dist Plant Depreciation'!$D$7:$AC$94,MATCH($C66,'Dist Plant Depreciation'!$C$7:$C$94,0),MATCH(Calculation!$G66,'Dist Plant Depreciation'!$D$5:$AC$5,0))</f>
        <v>416416</v>
      </c>
      <c r="BR66" s="129">
        <f>INDEX('Gen. Plant Depreciation'!$D$7:$AC$94,MATCH($C66,'Gen. Plant Depreciation'!$C$7:$C$94,0),MATCH(Calculation!$G66,'Gen. Plant Depreciation'!$D$5:$AC$5,0))</f>
        <v>4468</v>
      </c>
      <c r="BS66" s="137">
        <v>1990</v>
      </c>
      <c r="BT66" s="137">
        <f t="shared" si="59"/>
        <v>43</v>
      </c>
      <c r="BU66" s="333">
        <v>273.07131432050255</v>
      </c>
      <c r="BV66" s="93">
        <f t="shared" si="127"/>
        <v>3.2428355957767725E-2</v>
      </c>
      <c r="BW66" s="334">
        <f t="shared" si="60"/>
        <v>8.855253782640732</v>
      </c>
      <c r="BX66" s="334"/>
      <c r="BY66" s="129">
        <f>INDEX('Gross Dx Plant'!$D$7:$AC$91,MATCH($C66,'Gross Dx Plant'!$C$7:$C$91,0),MATCH(Calculation!$G66,'Gross Dx Plant'!$D$5:$AC$5,0))</f>
        <v>1307437</v>
      </c>
      <c r="BZ66" s="129">
        <f>INDEX('Gross Gen Plant'!$D$7:$AC$91,MATCH($C66,'Gross Gen Plant'!$C$7:$C$91,0),MATCH(Calculation!$G66,'Gross Gen Plant'!$D$5:$AC$5,0))</f>
        <v>9117</v>
      </c>
      <c r="CA66" s="129">
        <f t="shared" si="39"/>
        <v>895670</v>
      </c>
      <c r="CB66" s="129"/>
      <c r="CC66" s="133">
        <v>2011</v>
      </c>
      <c r="CD66" s="129"/>
      <c r="CE66" s="129"/>
      <c r="CF66" s="129"/>
      <c r="CG66" s="137"/>
      <c r="CH66" s="129">
        <f t="shared" si="130"/>
        <v>74924</v>
      </c>
      <c r="CI66" s="46">
        <f t="shared" si="139"/>
        <v>74924</v>
      </c>
      <c r="CJ66" s="46">
        <f t="shared" si="131"/>
        <v>122.50268262783896</v>
      </c>
      <c r="CK66" s="443">
        <v>0.8539325842696629</v>
      </c>
      <c r="CL66" s="46">
        <f>+CL53*CK66+CJ54*CK65+CJ55*CK64+CJ56*CK63+CJ57*CK62+CJ58*CK61+CJ59*CK60+CJ60*CK59+CJ61*CK58+CJ62*CK57+CJ63*CK56+CJ64*CK55+CJ65*CK54+CJ66</f>
        <v>3935.545465572271</v>
      </c>
      <c r="CM66" s="134">
        <f t="shared" si="132"/>
        <v>1.7640368237920975E-2</v>
      </c>
      <c r="CN66" s="135">
        <f t="shared" si="133"/>
        <v>1.3884332950487483E-2</v>
      </c>
      <c r="CO66" s="135">
        <f t="shared" si="143"/>
        <v>1.3507080019525086E-2</v>
      </c>
      <c r="CP66" s="134">
        <f>VLOOKUP($H66,RoR!$E:$F,2,FALSE)</f>
        <v>4.6391666666666664E-2</v>
      </c>
      <c r="CQ66" s="135">
        <v>2.0840920205183799E-2</v>
      </c>
      <c r="CR66" s="135">
        <f t="shared" si="140"/>
        <v>2.5550746461482865E-2</v>
      </c>
      <c r="CS66" s="135">
        <f t="shared" si="144"/>
        <v>1.7394861589008541E-2</v>
      </c>
      <c r="CT66" s="56">
        <v>2.4810540821321614E-2</v>
      </c>
      <c r="CU66" s="139">
        <f t="shared" si="134"/>
        <v>0.85166083209999999</v>
      </c>
      <c r="CV66" s="335">
        <f t="shared" si="135"/>
        <v>1.1054151524782025</v>
      </c>
      <c r="CW66" s="335">
        <f t="shared" si="136"/>
        <v>0.43611011316687626</v>
      </c>
      <c r="CX66" s="335">
        <f t="shared" si="137"/>
        <v>0.83698442246886229</v>
      </c>
      <c r="CY66" s="335">
        <f t="shared" si="138"/>
        <v>0.40349573304423936</v>
      </c>
      <c r="CZ66" s="336">
        <f>INDEX('State Tax Lookup'!$D$7:$Z$91,MATCH(Calculation!$C66,'State Tax Lookup'!$B$7:$B$91,0),MATCH($H66,'State Tax Lookup'!$D$6:$Z$6,0))</f>
        <v>0.40091666999999998</v>
      </c>
      <c r="DA66" s="303">
        <v>0.37</v>
      </c>
      <c r="DB66" s="57">
        <f t="shared" si="142"/>
        <v>15.089046216054449</v>
      </c>
      <c r="DC66" s="56">
        <f t="shared" si="145"/>
        <v>5.3198687631869628E-2</v>
      </c>
      <c r="DD66" s="303">
        <f>VLOOKUP($H66,RoR!$E:$F,2,FALSE)</f>
        <v>4.6391666666666664E-2</v>
      </c>
      <c r="DE66" s="304">
        <f>HLOOKUP($H66,'GDP-PI'!$D$8:$CQ$11,3,FALSE)</f>
        <v>2.0840920205183799E-2</v>
      </c>
      <c r="DF66" s="303">
        <f>VLOOKUP(H66,'HW Dx Data'!$E:$F,2,FALSE)</f>
        <v>611.61109612283201</v>
      </c>
      <c r="DG66" s="89">
        <f ca="1">VLOOKUP(CC66,'ECI - Input Price'!M$13:N$33,2,FALSE)</f>
        <v>120.875</v>
      </c>
      <c r="DH66" s="89"/>
      <c r="DI66" s="89"/>
      <c r="DJ66" s="56">
        <f t="shared" ca="1" si="153"/>
        <v>3.3224250161508609E-2</v>
      </c>
      <c r="DK66" s="53">
        <f>HLOOKUP(H66,'GDP-PI'!$8:$9,2,FALSE)</f>
        <v>98.111999999999995</v>
      </c>
      <c r="DL66" s="355">
        <f t="shared" si="146"/>
        <v>2.0626719212849295E-2</v>
      </c>
      <c r="DM66" s="398">
        <v>1.3516542083719366E-2</v>
      </c>
      <c r="DN66" s="398">
        <f>+Calculation!DS63+DN62+Calculation!DO62</f>
        <v>3.8593841804318348E-3</v>
      </c>
      <c r="DO66" s="398"/>
      <c r="DP66" s="398"/>
      <c r="DQ66" s="398"/>
      <c r="DR66" s="398"/>
      <c r="DS66" s="398"/>
      <c r="DT66" s="398"/>
      <c r="DU66" s="398"/>
      <c r="DV66" s="398"/>
      <c r="DW66" s="398"/>
      <c r="DX66" s="398"/>
      <c r="DY66" s="398"/>
      <c r="EC66">
        <f t="shared" si="141"/>
        <v>2011</v>
      </c>
    </row>
    <row r="67" spans="1:133" s="126" customFormat="1" ht="21" customHeight="1" x14ac:dyDescent="0.4">
      <c r="A67" s="233" t="s">
        <v>181</v>
      </c>
      <c r="B67" s="127" t="s">
        <v>181</v>
      </c>
      <c r="C67" s="127">
        <v>4007784</v>
      </c>
      <c r="D67" s="127" t="s">
        <v>182</v>
      </c>
      <c r="E67" s="127"/>
      <c r="F67" s="127"/>
      <c r="G67" s="127" t="s">
        <v>168</v>
      </c>
      <c r="H67" s="128">
        <v>2012</v>
      </c>
      <c r="I67" s="129"/>
      <c r="J67" s="125">
        <f>IFERROR(INDEX('Labor Expenditures'!$E$7:$W$91,MATCH($C67,'Labor Expenditures'!$C$7:$C$91,0),MATCH($G67,'Labor Expenditures'!$E$5:$W$5,0)),"NA")</f>
        <v>62189.538251120946</v>
      </c>
      <c r="K67" s="125">
        <f t="shared" ca="1" si="147"/>
        <v>498.31360778141777</v>
      </c>
      <c r="L67" s="47"/>
      <c r="M67" s="131">
        <f t="shared" ca="1" si="154"/>
        <v>7.6989808654477271E-2</v>
      </c>
      <c r="N67" s="59"/>
      <c r="O67" s="59"/>
      <c r="P67" s="59">
        <f t="shared" ca="1" si="156"/>
        <v>1.7677511211506211E-3</v>
      </c>
      <c r="Q67" s="61"/>
      <c r="R67" s="387"/>
      <c r="S67" s="49">
        <f t="shared" ca="1" si="161"/>
        <v>95.803515159407411</v>
      </c>
      <c r="T67" s="61">
        <f ca="1">+P67+P92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</f>
        <v>-2.3114724823527669E-2</v>
      </c>
      <c r="U67" s="61"/>
      <c r="V67" s="125">
        <f>IFERROR(INDEX('Non-Labor Expenditures'!$E$7:$AA$91,MATCH($C67,'Non-Labor Expenditures'!$C$7:$C$91,0),MATCH($G67,'Non-Labor Expenditures'!$E$5:$AA$5,0)),"NA")</f>
        <v>90062.066791145538</v>
      </c>
      <c r="W67" s="125">
        <f t="shared" si="148"/>
        <v>900.62066791145537</v>
      </c>
      <c r="X67" s="131">
        <f t="shared" si="157"/>
        <v>8.9884808077604003E-2</v>
      </c>
      <c r="Y67" s="131">
        <f t="shared" si="158"/>
        <v>2.063831213903823E-3</v>
      </c>
      <c r="Z67" s="131"/>
      <c r="AA67" s="131"/>
      <c r="AB67" s="131"/>
      <c r="AC67" s="125">
        <f t="shared" si="128"/>
        <v>63313.087670331231</v>
      </c>
      <c r="AD67" s="129"/>
      <c r="AE67" s="133">
        <v>4406.011583088095</v>
      </c>
      <c r="AF67" s="134">
        <v>5.02803920689808E-2</v>
      </c>
      <c r="AG67" s="59">
        <f t="shared" si="149"/>
        <v>1.1544803267499052E-3</v>
      </c>
      <c r="AH67" s="134"/>
      <c r="AI67" s="134"/>
      <c r="AJ67" s="129">
        <f t="shared" si="94"/>
        <v>215564.69271259772</v>
      </c>
      <c r="AK67" s="134">
        <f t="shared" si="159"/>
        <v>0.10087001721991591</v>
      </c>
      <c r="AL67" s="129"/>
      <c r="AM67" s="129"/>
      <c r="AN67" s="129"/>
      <c r="AO67" s="129"/>
      <c r="AP67" s="133">
        <f t="shared" si="160"/>
        <v>329.0787685195865</v>
      </c>
      <c r="AQ67" s="134">
        <f>+BB67/Outputs!$B$20</f>
        <v>1.8341995395061667E-2</v>
      </c>
      <c r="AR67" s="93">
        <f t="shared" si="150"/>
        <v>0.28849593812672902</v>
      </c>
      <c r="AS67" s="93">
        <f t="shared" si="151"/>
        <v>0.41779600201606792</v>
      </c>
      <c r="AT67" s="93">
        <f t="shared" si="152"/>
        <v>0.29370805985720305</v>
      </c>
      <c r="AU67" s="93">
        <f t="shared" ca="1" si="155"/>
        <v>7.4434989730287282E-2</v>
      </c>
      <c r="AV67" s="132">
        <f t="shared" ca="1" si="162"/>
        <v>113.16156586345001</v>
      </c>
      <c r="AW67" s="134">
        <f t="shared" ca="1" si="163"/>
        <v>7.443498973028731E-2</v>
      </c>
      <c r="AX67" s="56">
        <f>+AJ67/$AL$17</f>
        <v>2.2960845754067465E-2</v>
      </c>
      <c r="AY67" s="135">
        <f t="shared" ca="1" si="164"/>
        <v>1.7090903179027227E-3</v>
      </c>
      <c r="AZ67" s="93"/>
      <c r="BA67" s="93"/>
      <c r="BB67" s="234">
        <f>IFERROR(INDEX('Total Customers'!$E$7:$AA$91,MATCH($C67,'Total Customers'!$C$7:$C$91,0),MATCH($G67,'Total Customers'!$E$5:$AA$5,0)),"NA")</f>
        <v>655055</v>
      </c>
      <c r="BC67" s="411">
        <f t="shared" si="15"/>
        <v>2.9062654943468121E-3</v>
      </c>
      <c r="BD67" s="92"/>
      <c r="BE67" s="281" t="str">
        <f t="shared" ref="BE67:BE130" si="167">A67</f>
        <v>BALTIMORE GAS AND ELECTRIC COMPANY</v>
      </c>
      <c r="BF67" s="290">
        <f t="shared" ref="BF67:BF130" si="168">C67</f>
        <v>4007784</v>
      </c>
      <c r="BG67" s="46" t="str">
        <f t="shared" ref="BG67:BG130" si="169">D67</f>
        <v>MD</v>
      </c>
      <c r="BH67" s="46"/>
      <c r="BI67" s="46" t="str">
        <f t="shared" ref="BI67:BI130" si="170">G67</f>
        <v>2012 Y</v>
      </c>
      <c r="BJ67" s="129"/>
      <c r="BK67" s="129"/>
      <c r="BL67" s="129">
        <f>INDEX('Dist. Plant Gas Additions'!$E$7:$AD$91,MATCH($C67,'Dist. Plant Gas Additions'!$C$7:$C$91,0),MATCH(Calculation!$G67,'Dist. Plant Gas Additions'!$E$5:$AD$5,0))</f>
        <v>164182</v>
      </c>
      <c r="BM67" s="129">
        <f>INDEX('Gen. Plant Additions'!$E$7:$AD$91,MATCH($C67,'Gen. Plant Additions'!$C$7:$C$91,0),MATCH(Calculation!$G67,'Gen. Plant Additions'!$E$5:$AD$5,0))</f>
        <v>1882</v>
      </c>
      <c r="BN67" s="393">
        <f t="shared" si="129"/>
        <v>0.99268580891091385</v>
      </c>
      <c r="BO67" s="46">
        <f t="shared" si="165"/>
        <v>1868.2346923703399</v>
      </c>
      <c r="BP67" s="46">
        <f t="shared" si="166"/>
        <v>-13.765307629660128</v>
      </c>
      <c r="BQ67" s="129">
        <f>INDEX('Dist Plant Depreciation'!$D$7:$AC$94,MATCH($C67,'Dist Plant Depreciation'!$C$7:$C$94,0),MATCH(Calculation!$G67,'Dist Plant Depreciation'!$D$5:$AC$5,0))</f>
        <v>438695</v>
      </c>
      <c r="BR67" s="129">
        <f>INDEX('Gen. Plant Depreciation'!$D$7:$AC$94,MATCH($C67,'Gen. Plant Depreciation'!$C$7:$C$94,0),MATCH(Calculation!$G67,'Gen. Plant Depreciation'!$D$5:$AC$5,0))</f>
        <v>5442</v>
      </c>
      <c r="BS67" s="137">
        <v>1991</v>
      </c>
      <c r="BT67" s="137">
        <f t="shared" si="59"/>
        <v>44</v>
      </c>
      <c r="BU67" s="333">
        <v>278.97127510573875</v>
      </c>
      <c r="BV67" s="93">
        <f t="shared" si="127"/>
        <v>3.3182503770739065E-2</v>
      </c>
      <c r="BW67" s="334">
        <f t="shared" si="60"/>
        <v>9.2569653881240619</v>
      </c>
      <c r="BX67" s="334"/>
      <c r="BY67" s="129">
        <f>INDEX('Gross Dx Plant'!$D$7:$AC$91,MATCH($C67,'Gross Dx Plant'!$C$7:$C$91,0),MATCH(Calculation!$G67,'Gross Dx Plant'!$D$5:$AC$5,0))</f>
        <v>1465103</v>
      </c>
      <c r="BZ67" s="129">
        <f>INDEX('Gross Gen Plant'!$D$7:$AC$91,MATCH($C67,'Gross Gen Plant'!$C$7:$C$91,0),MATCH(Calculation!$G67,'Gross Gen Plant'!$D$5:$AC$5,0))</f>
        <v>10795</v>
      </c>
      <c r="CA67" s="129">
        <f t="shared" si="39"/>
        <v>1031761</v>
      </c>
      <c r="CB67" s="129"/>
      <c r="CC67" s="133">
        <v>2012</v>
      </c>
      <c r="CD67" s="129"/>
      <c r="CE67" s="129"/>
      <c r="CF67" s="129"/>
      <c r="CG67" s="137"/>
      <c r="CH67" s="129">
        <f t="shared" si="130"/>
        <v>166064</v>
      </c>
      <c r="CI67" s="46">
        <f t="shared" si="139"/>
        <v>166050.23469237034</v>
      </c>
      <c r="CJ67" s="46">
        <f t="shared" si="131"/>
        <v>248.23656486396655</v>
      </c>
      <c r="CK67" s="443">
        <v>0.84090909090909094</v>
      </c>
      <c r="CL67" s="46">
        <f>+CL53*CK67+CJ54*CK66+CJ55*CK65+CJ56*CK64+CJ57*CK63+CJ58*CK62+CJ59*CK61+CJ60*CK60+CJ61*CK59+CJ62*CK58+CJ63*CK57+CJ64*CK56+CJ65*CK55+CJ66*CK54+CJ67</f>
        <v>4127.6809654716581</v>
      </c>
      <c r="CM67" s="134">
        <f t="shared" si="132"/>
        <v>4.7666248482707466E-2</v>
      </c>
      <c r="CN67" s="135">
        <f t="shared" si="133"/>
        <v>1.4254965532820196E-2</v>
      </c>
      <c r="CO67" s="135">
        <f t="shared" si="143"/>
        <v>1.3884128029802241E-2</v>
      </c>
      <c r="CP67" s="134">
        <f>VLOOKUP($H67,RoR!$E:$F,2,FALSE)</f>
        <v>3.6733333333333333E-2</v>
      </c>
      <c r="CQ67" s="135">
        <v>1.924331376386168E-2</v>
      </c>
      <c r="CR67" s="135">
        <f t="shared" si="140"/>
        <v>1.7490019569471653E-2</v>
      </c>
      <c r="CS67" s="135">
        <f t="shared" si="144"/>
        <v>1.7017813578731382E-2</v>
      </c>
      <c r="CT67" s="56">
        <v>6.7122682943869583E-2</v>
      </c>
      <c r="CU67" s="139">
        <f t="shared" si="134"/>
        <v>0.85166083209999999</v>
      </c>
      <c r="CV67" s="335">
        <f t="shared" si="135"/>
        <v>1.3960631020522127</v>
      </c>
      <c r="CW67" s="335">
        <f t="shared" si="136"/>
        <v>0.29441923774954631</v>
      </c>
      <c r="CX67" s="335">
        <f t="shared" si="137"/>
        <v>0.76377954189366437</v>
      </c>
      <c r="CY67" s="335">
        <f t="shared" si="138"/>
        <v>0.31393465103033691</v>
      </c>
      <c r="CZ67" s="336">
        <f>INDEX('State Tax Lookup'!$D$7:$Z$91,MATCH(Calculation!$C67,'State Tax Lookup'!$B$7:$B$91,0),MATCH($H67,'State Tax Lookup'!$D$6:$Z$6,0))</f>
        <v>0.40091666999999998</v>
      </c>
      <c r="DA67" s="303">
        <v>0.37</v>
      </c>
      <c r="DB67" s="57">
        <f t="shared" si="142"/>
        <v>16.087499998205413</v>
      </c>
      <c r="DC67" s="56">
        <f t="shared" si="145"/>
        <v>6.4073508386762637E-2</v>
      </c>
      <c r="DD67" s="303">
        <f>VLOOKUP($H67,RoR!$E:$F,2,FALSE)</f>
        <v>3.6733333333333333E-2</v>
      </c>
      <c r="DE67" s="304">
        <f>HLOOKUP($H67,'GDP-PI'!$D$8:$CQ$11,3,FALSE)</f>
        <v>1.924331376386168E-2</v>
      </c>
      <c r="DF67" s="303">
        <f>VLOOKUP(H67,'HW Dx Data'!$E:$F,2,FALSE)</f>
        <v>668.91932211262167</v>
      </c>
      <c r="DG67" s="89">
        <f ca="1">VLOOKUP(CC67,'ECI - Input Price'!M$13:N$33,2,FALSE)</f>
        <v>124.80000000000001</v>
      </c>
      <c r="DH67" s="89"/>
      <c r="DI67" s="89"/>
      <c r="DJ67" s="56">
        <f t="shared" ca="1" si="153"/>
        <v>3.1955502161869064E-2</v>
      </c>
      <c r="DK67" s="53">
        <f>HLOOKUP(H67,'GDP-PI'!$8:$9,2,FALSE)</f>
        <v>100</v>
      </c>
      <c r="DL67" s="355">
        <f t="shared" si="146"/>
        <v>1.9060502738742411E-2</v>
      </c>
      <c r="DM67" s="398">
        <v>1.3516542083719366E-2</v>
      </c>
      <c r="DN67" s="398">
        <f>+DN62+Calculation!DO62+Calculation!DU63</f>
        <v>3.8593841804318348E-3</v>
      </c>
      <c r="DO67" s="398"/>
      <c r="DP67" s="398"/>
      <c r="DQ67" s="398"/>
      <c r="DR67" s="398"/>
      <c r="DS67" s="398"/>
      <c r="DT67" s="398"/>
      <c r="DU67" s="398"/>
      <c r="DV67" s="398"/>
      <c r="DW67" s="398"/>
      <c r="DX67" s="398"/>
      <c r="DY67" s="398"/>
      <c r="EC67">
        <f t="shared" si="141"/>
        <v>2012</v>
      </c>
    </row>
    <row r="68" spans="1:133" s="126" customFormat="1" ht="21" customHeight="1" x14ac:dyDescent="0.4">
      <c r="A68" s="233" t="s">
        <v>181</v>
      </c>
      <c r="B68" s="127" t="s">
        <v>181</v>
      </c>
      <c r="C68" s="127">
        <v>4007784</v>
      </c>
      <c r="D68" s="127" t="s">
        <v>182</v>
      </c>
      <c r="E68" s="127"/>
      <c r="F68" s="127"/>
      <c r="G68" s="127" t="s">
        <v>169</v>
      </c>
      <c r="H68" s="128">
        <v>2013</v>
      </c>
      <c r="I68" s="129"/>
      <c r="J68" s="125">
        <f>IFERROR(INDEX('Labor Expenditures'!$E$7:$W$91,MATCH($C68,'Labor Expenditures'!$C$7:$C$91,0),MATCH($G68,'Labor Expenditures'!$E$5:$W$5,0)),"NA")</f>
        <v>63893.299510141856</v>
      </c>
      <c r="K68" s="125">
        <f t="shared" ca="1" si="147"/>
        <v>503.89037468566136</v>
      </c>
      <c r="L68" s="47"/>
      <c r="M68" s="131">
        <f t="shared" ca="1" si="154"/>
        <v>1.1129120542271319E-2</v>
      </c>
      <c r="N68" s="59"/>
      <c r="O68" s="59"/>
      <c r="P68" s="59">
        <f t="shared" ca="1" si="156"/>
        <v>2.5284257384640651E-4</v>
      </c>
      <c r="Q68" s="61"/>
      <c r="R68" s="387"/>
      <c r="S68" s="49">
        <f t="shared" ca="1" si="161"/>
        <v>99.516279188235885</v>
      </c>
      <c r="T68" s="61">
        <f ca="1">+P68+P93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</f>
        <v>3.8021863723341202E-2</v>
      </c>
      <c r="U68" s="61"/>
      <c r="V68" s="125">
        <f>IFERROR(INDEX('Non-Labor Expenditures'!$E$7:$AA$91,MATCH($C68,'Non-Labor Expenditures'!$C$7:$C$91,0),MATCH($G68,'Non-Labor Expenditures'!$E$5:$AA$5,0)),"NA")</f>
        <v>92529.431312916073</v>
      </c>
      <c r="W68" s="125">
        <f t="shared" si="148"/>
        <v>909.17464664415979</v>
      </c>
      <c r="X68" s="131">
        <f t="shared" si="157"/>
        <v>9.453049593558957E-3</v>
      </c>
      <c r="Y68" s="131">
        <f t="shared" si="158"/>
        <v>2.1476390527488853E-4</v>
      </c>
      <c r="Z68" s="131"/>
      <c r="AA68" s="131"/>
      <c r="AB68" s="131"/>
      <c r="AC68" s="125">
        <f t="shared" si="128"/>
        <v>64646.357660668378</v>
      </c>
      <c r="AD68" s="129"/>
      <c r="AE68" s="133">
        <v>4544.2679321667638</v>
      </c>
      <c r="AF68" s="134">
        <v>3.0896766313889913E-2</v>
      </c>
      <c r="AG68" s="59">
        <f t="shared" si="149"/>
        <v>7.0194386777129266E-4</v>
      </c>
      <c r="AH68" s="134"/>
      <c r="AI68" s="134"/>
      <c r="AJ68" s="129">
        <f t="shared" si="94"/>
        <v>221069.08848372631</v>
      </c>
      <c r="AK68" s="134">
        <f t="shared" si="159"/>
        <v>2.5214207540835438E-2</v>
      </c>
      <c r="AL68" s="129"/>
      <c r="AM68" s="129"/>
      <c r="AN68" s="129"/>
      <c r="AO68" s="129"/>
      <c r="AP68" s="133">
        <f t="shared" si="160"/>
        <v>337.15334536700306</v>
      </c>
      <c r="AQ68" s="134">
        <f>+BB68/Outputs!$B$21</f>
        <v>1.8242846513172494E-2</v>
      </c>
      <c r="AR68" s="93">
        <f t="shared" si="150"/>
        <v>0.2890195999285774</v>
      </c>
      <c r="AS68" s="93">
        <f t="shared" si="151"/>
        <v>0.41855436211167757</v>
      </c>
      <c r="AT68" s="93">
        <f t="shared" si="152"/>
        <v>0.29242603795974498</v>
      </c>
      <c r="AU68" s="93">
        <f t="shared" ca="1" si="155"/>
        <v>1.6221474878297892E-2</v>
      </c>
      <c r="AV68" s="132">
        <f t="shared" ca="1" si="162"/>
        <v>115.01218264794734</v>
      </c>
      <c r="AW68" s="134">
        <f t="shared" ca="1" si="163"/>
        <v>1.6221474878297917E-2</v>
      </c>
      <c r="AX68" s="56">
        <f>+AJ68/$AL$18</f>
        <v>2.2719007569919302E-2</v>
      </c>
      <c r="AY68" s="135">
        <f t="shared" ca="1" si="164"/>
        <v>3.6853581055530616E-4</v>
      </c>
      <c r="AZ68" s="93"/>
      <c r="BA68" s="93"/>
      <c r="BB68" s="234">
        <f>IFERROR(INDEX('Total Customers'!$E$7:$AA$91,MATCH($C68,'Total Customers'!$C$7:$C$91,0),MATCH($G68,'Total Customers'!$E$5:$AA$5,0)),"NA")</f>
        <v>655693</v>
      </c>
      <c r="BC68" s="411">
        <f t="shared" ref="BC68:BC131" si="171">LN(BB68/BB67)</f>
        <v>9.7349002307873449E-4</v>
      </c>
      <c r="BD68" s="92"/>
      <c r="BE68" s="281" t="str">
        <f t="shared" si="167"/>
        <v>BALTIMORE GAS AND ELECTRIC COMPANY</v>
      </c>
      <c r="BF68" s="290">
        <f t="shared" si="168"/>
        <v>4007784</v>
      </c>
      <c r="BG68" s="46" t="str">
        <f t="shared" si="169"/>
        <v>MD</v>
      </c>
      <c r="BH68" s="46"/>
      <c r="BI68" s="46" t="str">
        <f t="shared" si="170"/>
        <v>2013 Y</v>
      </c>
      <c r="BJ68" s="129"/>
      <c r="BK68" s="129"/>
      <c r="BL68" s="129">
        <f>INDEX('Dist. Plant Gas Additions'!$E$7:$AD$91,MATCH($C68,'Dist. Plant Gas Additions'!$C$7:$C$91,0),MATCH(Calculation!$G68,'Dist. Plant Gas Additions'!$E$5:$AD$5,0))</f>
        <v>111865</v>
      </c>
      <c r="BM68" s="129">
        <f>INDEX('Gen. Plant Additions'!$E$7:$AD$91,MATCH($C68,'Gen. Plant Additions'!$C$7:$C$91,0),MATCH(Calculation!$G68,'Gen. Plant Additions'!$E$5:$AD$5,0))</f>
        <v>2793</v>
      </c>
      <c r="BN68" s="393">
        <f t="shared" si="129"/>
        <v>0.99306313751655395</v>
      </c>
      <c r="BO68" s="46">
        <f t="shared" si="165"/>
        <v>2773.6253430837351</v>
      </c>
      <c r="BP68" s="46">
        <f t="shared" si="166"/>
        <v>-19.374656916264939</v>
      </c>
      <c r="BQ68" s="129">
        <f>INDEX('Dist Plant Depreciation'!$D$7:$AC$94,MATCH($C68,'Dist Plant Depreciation'!$C$7:$C$94,0),MATCH(Calculation!$G68,'Dist Plant Depreciation'!$D$5:$AC$5,0))</f>
        <v>466405</v>
      </c>
      <c r="BR68" s="129">
        <f>INDEX('Gen. Plant Depreciation'!$D$7:$AC$94,MATCH($C68,'Gen. Plant Depreciation'!$C$7:$C$94,0),MATCH(Calculation!$G68,'Gen. Plant Depreciation'!$D$5:$AC$5,0))</f>
        <v>1829</v>
      </c>
      <c r="BS68" s="137">
        <v>1992</v>
      </c>
      <c r="BT68" s="137">
        <f t="shared" si="59"/>
        <v>45</v>
      </c>
      <c r="BU68" s="333">
        <v>283.70602338479029</v>
      </c>
      <c r="BV68" s="93">
        <f t="shared" si="127"/>
        <v>3.3936651583710405E-2</v>
      </c>
      <c r="BW68" s="334">
        <f t="shared" si="60"/>
        <v>9.628032467809625</v>
      </c>
      <c r="BX68" s="334"/>
      <c r="BY68" s="129">
        <f>INDEX('Gross Dx Plant'!$D$7:$AC$91,MATCH($C68,'Gross Dx Plant'!$C$7:$C$91,0),MATCH(Calculation!$G68,'Gross Dx Plant'!$D$5:$AC$5,0))</f>
        <v>1571725</v>
      </c>
      <c r="BZ68" s="129">
        <f>INDEX('Gross Gen Plant'!$D$7:$AC$91,MATCH($C68,'Gross Gen Plant'!$C$7:$C$91,0),MATCH(Calculation!$G68,'Gross Gen Plant'!$D$5:$AC$5,0))</f>
        <v>10979</v>
      </c>
      <c r="CA68" s="129">
        <f t="shared" si="39"/>
        <v>1114470</v>
      </c>
      <c r="CB68" s="129"/>
      <c r="CC68" s="133">
        <v>2013</v>
      </c>
      <c r="CD68" s="129"/>
      <c r="CE68" s="129"/>
      <c r="CF68" s="129"/>
      <c r="CG68" s="137"/>
      <c r="CH68" s="129">
        <f t="shared" si="130"/>
        <v>114658</v>
      </c>
      <c r="CI68" s="46">
        <f t="shared" si="139"/>
        <v>114638.62534308374</v>
      </c>
      <c r="CJ68" s="46">
        <f t="shared" si="131"/>
        <v>172.84417782911788</v>
      </c>
      <c r="CK68" s="443">
        <v>0.82758620689655171</v>
      </c>
      <c r="CL68" s="46">
        <f>+CL53*CK68+CJ54*CK67+CJ55*CK66+CJ56*CK65+CJ57*CK64+CJ58*CK63+CJ59*CK62+CJ60*CK61+CJ61*CK60+CJ62*CK59+CJ63*CK58+CJ64*CK57+CJ65*CK56+CJ66*CK55+CJ67*CK54+CJ68</f>
        <v>4240.700015427773</v>
      </c>
      <c r="CM68" s="134">
        <f t="shared" si="132"/>
        <v>2.7012613898566466E-2</v>
      </c>
      <c r="CN68" s="135">
        <f t="shared" si="133"/>
        <v>1.4493641435334841E-2</v>
      </c>
      <c r="CO68" s="135">
        <f t="shared" si="143"/>
        <v>1.4210979972880839E-2</v>
      </c>
      <c r="CP68" s="134">
        <f>VLOOKUP($H68,RoR!$E:$F,2,FALSE)</f>
        <v>4.2350000000000006E-2</v>
      </c>
      <c r="CQ68" s="135">
        <v>1.7730000000000024E-2</v>
      </c>
      <c r="CR68" s="135">
        <f t="shared" si="140"/>
        <v>2.4619999999999982E-2</v>
      </c>
      <c r="CS68" s="135">
        <f t="shared" si="144"/>
        <v>1.6690961635652785E-2</v>
      </c>
      <c r="CT68" s="56">
        <v>5.3376742735721204E-2</v>
      </c>
      <c r="CU68" s="139">
        <f t="shared" si="134"/>
        <v>0.85166083209999999</v>
      </c>
      <c r="CV68" s="335">
        <f t="shared" si="135"/>
        <v>1.2109103018193925</v>
      </c>
      <c r="CW68" s="335">
        <f t="shared" si="136"/>
        <v>0.38468122786304604</v>
      </c>
      <c r="CX68" s="335">
        <f t="shared" si="137"/>
        <v>0.80969194503422559</v>
      </c>
      <c r="CY68" s="335">
        <f t="shared" si="138"/>
        <v>0.37716621754800816</v>
      </c>
      <c r="CZ68" s="336">
        <f>INDEX('State Tax Lookup'!$D$7:$Z$91,MATCH(Calculation!$C68,'State Tax Lookup'!$B$7:$B$91,0),MATCH($H68,'State Tax Lookup'!$D$6:$Z$6,0))</f>
        <v>0.40091666999999998</v>
      </c>
      <c r="DA68" s="303">
        <v>0.37</v>
      </c>
      <c r="DB68" s="57">
        <f t="shared" si="142"/>
        <v>15.661665279230569</v>
      </c>
      <c r="DC68" s="56">
        <f t="shared" si="145"/>
        <v>-2.6826548231802475E-2</v>
      </c>
      <c r="DD68" s="303">
        <f>VLOOKUP($H68,RoR!$E:$F,2,FALSE)</f>
        <v>4.2350000000000006E-2</v>
      </c>
      <c r="DE68" s="304">
        <f>HLOOKUP($H68,'GDP-PI'!$D$8:$CQ$11,3,FALSE)</f>
        <v>1.7730000000000024E-2</v>
      </c>
      <c r="DF68" s="303">
        <f>VLOOKUP(H68,'HW Dx Data'!$E:$F,2,FALSE)</f>
        <v>663.24840548821396</v>
      </c>
      <c r="DG68" s="89">
        <f ca="1">VLOOKUP(CC68,'ECI - Input Price'!M$13:N$33,2,FALSE)</f>
        <v>126.8</v>
      </c>
      <c r="DH68" s="89"/>
      <c r="DI68" s="89"/>
      <c r="DJ68" s="56">
        <f t="shared" ca="1" si="153"/>
        <v>1.5898586067798204E-2</v>
      </c>
      <c r="DK68" s="53">
        <f>HLOOKUP(H68,'GDP-PI'!$8:$9,2,FALSE)</f>
        <v>101.773</v>
      </c>
      <c r="DL68" s="355">
        <f t="shared" si="146"/>
        <v>1.7574657016510519E-2</v>
      </c>
      <c r="DM68" s="398">
        <v>1.3516542083719366E-2</v>
      </c>
      <c r="DN68" s="398">
        <f>+DN62+Calculation!DO62+Calculation!DW63</f>
        <v>3.8593841804318348E-3</v>
      </c>
      <c r="DO68" s="398"/>
      <c r="DP68" s="398"/>
      <c r="DQ68" s="398"/>
      <c r="DR68" s="398"/>
      <c r="DS68" s="398"/>
      <c r="DT68" s="398"/>
      <c r="DU68" s="398"/>
      <c r="DV68" s="398"/>
      <c r="DW68" s="398"/>
      <c r="DX68" s="398"/>
      <c r="DY68" s="398"/>
      <c r="EC68">
        <f t="shared" si="141"/>
        <v>2013</v>
      </c>
    </row>
    <row r="69" spans="1:133" s="126" customFormat="1" ht="21" customHeight="1" x14ac:dyDescent="0.4">
      <c r="A69" s="233" t="s">
        <v>181</v>
      </c>
      <c r="B69" s="127" t="s">
        <v>181</v>
      </c>
      <c r="C69" s="127">
        <v>4007784</v>
      </c>
      <c r="D69" s="127" t="s">
        <v>182</v>
      </c>
      <c r="E69" s="127"/>
      <c r="F69" s="127"/>
      <c r="G69" s="127" t="s">
        <v>170</v>
      </c>
      <c r="H69" s="128">
        <v>2014</v>
      </c>
      <c r="I69" s="129"/>
      <c r="J69" s="125">
        <f>IFERROR(INDEX('Labor Expenditures'!$E$7:$W$91,MATCH($C69,'Labor Expenditures'!$C$7:$C$91,0),MATCH($G69,'Labor Expenditures'!$E$5:$W$5,0)),"NA")</f>
        <v>70741.963792666967</v>
      </c>
      <c r="K69" s="125">
        <f t="shared" ca="1" si="147"/>
        <v>546.69214677486059</v>
      </c>
      <c r="L69" s="47"/>
      <c r="M69" s="131">
        <f t="shared" ca="1" si="154"/>
        <v>8.1527107149740777E-2</v>
      </c>
      <c r="N69" s="59"/>
      <c r="O69" s="59"/>
      <c r="P69" s="59">
        <f t="shared" ca="1" si="156"/>
        <v>1.9788949977751604E-3</v>
      </c>
      <c r="Q69" s="61"/>
      <c r="R69" s="387"/>
      <c r="S69" s="49">
        <f t="shared" ca="1" si="161"/>
        <v>98.567177550258563</v>
      </c>
      <c r="T69" s="61">
        <f ca="1">+P69+P94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</f>
        <v>-9.5829194096194621E-3</v>
      </c>
      <c r="U69" s="61"/>
      <c r="V69" s="125">
        <f>IFERROR(INDEX('Non-Labor Expenditures'!$E$7:$AA$91,MATCH($C69,'Non-Labor Expenditures'!$C$7:$C$91,0),MATCH($G69,'Non-Labor Expenditures'!$E$5:$AA$5,0)),"NA")</f>
        <v>102447.57634805454</v>
      </c>
      <c r="W69" s="125">
        <f t="shared" si="148"/>
        <v>988.42780155773482</v>
      </c>
      <c r="X69" s="131">
        <f t="shared" si="157"/>
        <v>8.3578395315159537E-2</v>
      </c>
      <c r="Y69" s="131">
        <f t="shared" si="158"/>
        <v>2.0286856015566354E-3</v>
      </c>
      <c r="Z69" s="131"/>
      <c r="AA69" s="131"/>
      <c r="AB69" s="131"/>
      <c r="AC69" s="125">
        <f t="shared" si="128"/>
        <v>67335.368243045872</v>
      </c>
      <c r="AD69" s="129"/>
      <c r="AE69" s="133">
        <v>4668.8866816186182</v>
      </c>
      <c r="AF69" s="134">
        <v>2.705400169346556E-2</v>
      </c>
      <c r="AG69" s="59">
        <f t="shared" si="149"/>
        <v>6.5667764370282752E-4</v>
      </c>
      <c r="AH69" s="134"/>
      <c r="AI69" s="134"/>
      <c r="AJ69" s="129">
        <f t="shared" si="94"/>
        <v>240524.90838376738</v>
      </c>
      <c r="AK69" s="134">
        <f t="shared" si="159"/>
        <v>8.4348383109691297E-2</v>
      </c>
      <c r="AL69" s="129"/>
      <c r="AM69" s="129"/>
      <c r="AN69" s="129"/>
      <c r="AO69" s="129"/>
      <c r="AP69" s="133">
        <f t="shared" si="160"/>
        <v>367.87296373005569</v>
      </c>
      <c r="AQ69" s="134">
        <f>+BB69/Outputs!$B$22</f>
        <v>1.8093695491727402E-2</v>
      </c>
      <c r="AR69" s="93">
        <f t="shared" si="150"/>
        <v>0.29411491835928799</v>
      </c>
      <c r="AS69" s="93">
        <f t="shared" si="151"/>
        <v>0.42593333487355589</v>
      </c>
      <c r="AT69" s="93">
        <f t="shared" si="152"/>
        <v>0.27995174676715612</v>
      </c>
      <c r="AU69" s="93">
        <f t="shared" ca="1" si="155"/>
        <v>6.6803653244945707E-2</v>
      </c>
      <c r="AV69" s="132">
        <f t="shared" ca="1" si="162"/>
        <v>122.95786209291711</v>
      </c>
      <c r="AW69" s="134">
        <f t="shared" ca="1" si="163"/>
        <v>6.6803653244945763E-2</v>
      </c>
      <c r="AX69" s="56">
        <f>+AJ69/$AL$19</f>
        <v>2.4272846994810273E-2</v>
      </c>
      <c r="AY69" s="135">
        <f t="shared" ca="1" si="164"/>
        <v>1.6215148539089294E-3</v>
      </c>
      <c r="AZ69" s="93"/>
      <c r="BA69" s="93"/>
      <c r="BB69" s="234">
        <f>IFERROR(INDEX('Total Customers'!$E$7:$AA$91,MATCH($C69,'Total Customers'!$C$7:$C$91,0),MATCH($G69,'Total Customers'!$E$5:$AA$5,0)),"NA")</f>
        <v>653826</v>
      </c>
      <c r="BC69" s="411">
        <f t="shared" si="171"/>
        <v>-2.8514305863366388E-3</v>
      </c>
      <c r="BD69" s="92"/>
      <c r="BE69" s="281" t="str">
        <f t="shared" si="167"/>
        <v>BALTIMORE GAS AND ELECTRIC COMPANY</v>
      </c>
      <c r="BF69" s="290">
        <f t="shared" si="168"/>
        <v>4007784</v>
      </c>
      <c r="BG69" s="46" t="str">
        <f t="shared" si="169"/>
        <v>MD</v>
      </c>
      <c r="BH69" s="46"/>
      <c r="BI69" s="46" t="str">
        <f t="shared" si="170"/>
        <v>2014 Y</v>
      </c>
      <c r="BJ69" s="129"/>
      <c r="BK69" s="129"/>
      <c r="BL69" s="129">
        <f>INDEX('Dist. Plant Gas Additions'!$E$7:$AD$91,MATCH($C69,'Dist. Plant Gas Additions'!$C$7:$C$91,0),MATCH(Calculation!$G69,'Dist. Plant Gas Additions'!$E$5:$AD$5,0))</f>
        <v>108610</v>
      </c>
      <c r="BM69" s="129">
        <f>INDEX('Gen. Plant Additions'!$E$7:$AD$91,MATCH($C69,'Gen. Plant Additions'!$C$7:$C$91,0),MATCH(Calculation!$G69,'Gen. Plant Additions'!$E$5:$AD$5,0))</f>
        <v>1852</v>
      </c>
      <c r="BN69" s="393">
        <f t="shared" si="129"/>
        <v>0.99311078719808277</v>
      </c>
      <c r="BO69" s="46">
        <f t="shared" si="165"/>
        <v>1839.2411778908493</v>
      </c>
      <c r="BP69" s="46">
        <f t="shared" si="166"/>
        <v>-12.758822109150742</v>
      </c>
      <c r="BQ69" s="129">
        <f>INDEX('Dist Plant Depreciation'!$D$7:$AC$94,MATCH($C69,'Dist Plant Depreciation'!$C$7:$C$94,0),MATCH(Calculation!$G69,'Dist Plant Depreciation'!$D$5:$AC$5,0))</f>
        <v>491489</v>
      </c>
      <c r="BR69" s="129">
        <f>INDEX('Gen. Plant Depreciation'!$D$7:$AC$94,MATCH($C69,'Gen. Plant Depreciation'!$C$7:$C$94,0),MATCH(Calculation!$G69,'Gen. Plant Depreciation'!$D$5:$AC$5,0))</f>
        <v>74</v>
      </c>
      <c r="BS69" s="137">
        <v>1993</v>
      </c>
      <c r="BT69" s="137">
        <f t="shared" si="59"/>
        <v>46</v>
      </c>
      <c r="BU69" s="333">
        <v>290.39560884623262</v>
      </c>
      <c r="BV69" s="93">
        <f t="shared" si="127"/>
        <v>3.4690799396681751E-2</v>
      </c>
      <c r="BW69" s="334">
        <f t="shared" si="60"/>
        <v>10.074055812161916</v>
      </c>
      <c r="BX69" s="334"/>
      <c r="BY69" s="129">
        <f>INDEX('Gross Dx Plant'!$D$7:$AC$91,MATCH($C69,'Gross Dx Plant'!$C$7:$C$91,0),MATCH(Calculation!$G69,'Gross Dx Plant'!$D$5:$AC$5,0))</f>
        <v>1665849</v>
      </c>
      <c r="BZ69" s="129">
        <f>INDEX('Gross Gen Plant'!$D$7:$AC$91,MATCH($C69,'Gross Gen Plant'!$C$7:$C$91,0),MATCH(Calculation!$G69,'Gross Gen Plant'!$D$5:$AC$5,0))</f>
        <v>11556</v>
      </c>
      <c r="CA69" s="129">
        <f t="shared" si="39"/>
        <v>1185842</v>
      </c>
      <c r="CB69" s="129"/>
      <c r="CC69" s="133">
        <v>2014</v>
      </c>
      <c r="CD69" s="129"/>
      <c r="CE69" s="129"/>
      <c r="CF69" s="129"/>
      <c r="CG69" s="137"/>
      <c r="CH69" s="129">
        <f t="shared" si="130"/>
        <v>110462</v>
      </c>
      <c r="CI69" s="46">
        <f t="shared" si="139"/>
        <v>110449.24117789084</v>
      </c>
      <c r="CJ69" s="46">
        <f t="shared" si="131"/>
        <v>161.36482167469507</v>
      </c>
      <c r="CK69" s="443">
        <v>0.81395348837209303</v>
      </c>
      <c r="CL69" s="46">
        <f>+CL53*CK69+CJ54*CK68+CJ55*CK67+CJ56*CK66+CJ57*CK65+CJ58*CK64+CJ59*CK63+CJ60*CK62+CJ61*CK61+CJ62*CK60+CJ63*CK59+CJ64*CK58+CJ65*CK57+CJ66*CK56+CJ67*CK55+CJ68*CK54+CJ69</f>
        <v>4339.1695294488927</v>
      </c>
      <c r="CM69" s="134">
        <f t="shared" si="132"/>
        <v>2.2954623545568219E-2</v>
      </c>
      <c r="CN69" s="135">
        <f t="shared" si="133"/>
        <v>1.4831350348942542E-2</v>
      </c>
      <c r="CO69" s="135">
        <f t="shared" si="143"/>
        <v>1.4526652439032525E-2</v>
      </c>
      <c r="CP69" s="134">
        <f>VLOOKUP($H69,RoR!$E:$F,2,FALSE)</f>
        <v>4.1625000000000002E-2</v>
      </c>
      <c r="CQ69" s="135">
        <v>1.841352814597208E-2</v>
      </c>
      <c r="CR69" s="135">
        <f t="shared" si="140"/>
        <v>2.3211471854027922E-2</v>
      </c>
      <c r="CS69" s="135">
        <f t="shared" si="144"/>
        <v>1.6375289169501102E-2</v>
      </c>
      <c r="CT69" s="56">
        <v>3.9072621432650924E-2</v>
      </c>
      <c r="CU69" s="139">
        <f t="shared" si="134"/>
        <v>0.85166083209999999</v>
      </c>
      <c r="CV69" s="335">
        <f t="shared" si="135"/>
        <v>1.2320012320012319</v>
      </c>
      <c r="CW69" s="335">
        <f t="shared" si="136"/>
        <v>0.37439939939939942</v>
      </c>
      <c r="CX69" s="335">
        <f t="shared" si="137"/>
        <v>0.80432100613819935</v>
      </c>
      <c r="CY69" s="335">
        <f t="shared" si="138"/>
        <v>0.37100152660040037</v>
      </c>
      <c r="CZ69" s="336">
        <f>INDEX('State Tax Lookup'!$D$7:$Z$91,MATCH(Calculation!$C69,'State Tax Lookup'!$B$7:$B$91,0),MATCH($H69,'State Tax Lookup'!$D$6:$Z$6,0))</f>
        <v>0.40091666999999998</v>
      </c>
      <c r="DA69" s="303">
        <v>0.37</v>
      </c>
      <c r="DB69" s="57">
        <f t="shared" si="142"/>
        <v>15.87836159079353</v>
      </c>
      <c r="DC69" s="56">
        <f t="shared" si="145"/>
        <v>1.3741251533976843E-2</v>
      </c>
      <c r="DD69" s="303">
        <f>VLOOKUP($H69,RoR!$E:$F,2,FALSE)</f>
        <v>4.1625000000000002E-2</v>
      </c>
      <c r="DE69" s="304">
        <f>HLOOKUP($H69,'GDP-PI'!$D$8:$CQ$11,3,FALSE)</f>
        <v>1.841352814597208E-2</v>
      </c>
      <c r="DF69" s="303">
        <f>VLOOKUP(H69,'HW Dx Data'!$E:$F,2,FALSE)</f>
        <v>684.46914285042885</v>
      </c>
      <c r="DG69" s="89">
        <f ca="1">VLOOKUP(CC69,'ECI - Input Price'!M$13:N$33,2,FALSE)</f>
        <v>129.4</v>
      </c>
      <c r="DH69" s="89"/>
      <c r="DI69" s="89"/>
      <c r="DJ69" s="56">
        <f t="shared" ca="1" si="153"/>
        <v>2.0297340063674733E-2</v>
      </c>
      <c r="DK69" s="53">
        <f>HLOOKUP(H69,'GDP-PI'!$8:$9,2,FALSE)</f>
        <v>103.64700000000001</v>
      </c>
      <c r="DL69" s="355">
        <f t="shared" si="146"/>
        <v>1.8246051898256087E-2</v>
      </c>
      <c r="DM69" s="398">
        <v>1.3516542083719366E-2</v>
      </c>
      <c r="DN69" s="398">
        <f>+Calculation!DO62+DN62+Calculation!DY63</f>
        <v>3.8593841804318348E-3</v>
      </c>
      <c r="DO69" s="398"/>
      <c r="DP69" s="398"/>
      <c r="DQ69" s="398"/>
      <c r="DR69" s="398"/>
      <c r="DS69" s="398"/>
      <c r="DT69" s="398"/>
      <c r="DU69" s="398"/>
      <c r="DV69" s="398"/>
      <c r="DW69" s="398"/>
      <c r="DX69" s="398"/>
      <c r="DY69" s="398"/>
      <c r="EC69">
        <f t="shared" si="141"/>
        <v>2014</v>
      </c>
    </row>
    <row r="70" spans="1:133" s="126" customFormat="1" ht="21" customHeight="1" x14ac:dyDescent="0.4">
      <c r="A70" s="233" t="s">
        <v>181</v>
      </c>
      <c r="B70" s="127" t="s">
        <v>181</v>
      </c>
      <c r="C70" s="127">
        <v>4007784</v>
      </c>
      <c r="D70" s="127" t="s">
        <v>182</v>
      </c>
      <c r="E70" s="127"/>
      <c r="F70" s="127"/>
      <c r="G70" s="127" t="s">
        <v>171</v>
      </c>
      <c r="H70" s="128">
        <v>2015</v>
      </c>
      <c r="I70" s="129"/>
      <c r="J70" s="125">
        <f>IFERROR(INDEX('Labor Expenditures'!$E$7:$W$91,MATCH($C70,'Labor Expenditures'!$C$7:$C$91,0),MATCH($G70,'Labor Expenditures'!$E$5:$W$5,0)),"NA")</f>
        <v>74971.414300718054</v>
      </c>
      <c r="K70" s="125">
        <f t="shared" ca="1" si="147"/>
        <v>561.58362772073451</v>
      </c>
      <c r="L70" s="47"/>
      <c r="M70" s="131">
        <f t="shared" ca="1" si="154"/>
        <v>2.6874858349789275E-2</v>
      </c>
      <c r="N70" s="59"/>
      <c r="O70" s="59"/>
      <c r="P70" s="59">
        <f t="shared" ca="1" si="156"/>
        <v>6.7577823807473813E-4</v>
      </c>
      <c r="Q70" s="61"/>
      <c r="R70" s="387"/>
      <c r="S70" s="49">
        <f t="shared" ca="1" si="161"/>
        <v>96.549479535070546</v>
      </c>
      <c r="T70" s="61">
        <f ca="1">+P70+P95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</f>
        <v>-2.0682703070195093E-2</v>
      </c>
      <c r="U70" s="61"/>
      <c r="V70" s="125">
        <f>IFERROR(INDEX('Non-Labor Expenditures'!$E$7:$AA$91,MATCH($C70,'Non-Labor Expenditures'!$C$7:$C$91,0),MATCH($G70,'Non-Labor Expenditures'!$E$5:$AA$5,0)),"NA")</f>
        <v>108572.61063610177</v>
      </c>
      <c r="W70" s="125">
        <f t="shared" si="148"/>
        <v>1037.5922040166838</v>
      </c>
      <c r="X70" s="131">
        <f t="shared" si="157"/>
        <v>4.8542517937850096E-2</v>
      </c>
      <c r="Y70" s="131">
        <f t="shared" si="158"/>
        <v>1.2206195402703925E-3</v>
      </c>
      <c r="Z70" s="131"/>
      <c r="AA70" s="131"/>
      <c r="AB70" s="131"/>
      <c r="AC70" s="125">
        <f t="shared" si="128"/>
        <v>66918.085079621596</v>
      </c>
      <c r="AD70" s="129"/>
      <c r="AE70" s="133">
        <v>4920.5946152455845</v>
      </c>
      <c r="AF70" s="134">
        <v>5.2508734639698726E-2</v>
      </c>
      <c r="AG70" s="59">
        <f t="shared" si="149"/>
        <v>1.3203515239598575E-3</v>
      </c>
      <c r="AH70" s="134"/>
      <c r="AI70" s="134"/>
      <c r="AJ70" s="129">
        <f t="shared" si="94"/>
        <v>250462.11001644144</v>
      </c>
      <c r="AK70" s="134">
        <f t="shared" si="159"/>
        <v>4.0483998318792631E-2</v>
      </c>
      <c r="AL70" s="129"/>
      <c r="AM70" s="129"/>
      <c r="AN70" s="129"/>
      <c r="AO70" s="129"/>
      <c r="AP70" s="133">
        <f t="shared" si="160"/>
        <v>378.60005625660034</v>
      </c>
      <c r="AQ70" s="134">
        <f>+BB70/Outputs!$B$23</f>
        <v>1.8158527844679022E-2</v>
      </c>
      <c r="AR70" s="93">
        <f t="shared" si="150"/>
        <v>0.29933235927700441</v>
      </c>
      <c r="AS70" s="93">
        <f t="shared" si="151"/>
        <v>0.43348916380595287</v>
      </c>
      <c r="AT70" s="93">
        <f t="shared" si="152"/>
        <v>0.26717847691704266</v>
      </c>
      <c r="AU70" s="93">
        <f t="shared" ca="1" si="155"/>
        <v>4.3198229655839013E-2</v>
      </c>
      <c r="AV70" s="132">
        <f t="shared" ca="1" si="162"/>
        <v>128.3858190630458</v>
      </c>
      <c r="AW70" s="134">
        <f t="shared" ca="1" si="163"/>
        <v>4.3198229655838916E-2</v>
      </c>
      <c r="AX70" s="56">
        <f>+AJ70/$AL$20</f>
        <v>2.5145369299408301E-2</v>
      </c>
      <c r="AY70" s="135">
        <f t="shared" ca="1" si="164"/>
        <v>1.0862354377767212E-3</v>
      </c>
      <c r="AZ70" s="93"/>
      <c r="BA70" s="93"/>
      <c r="BB70" s="234">
        <f>IFERROR(INDEX('Total Customers'!$E$7:$AA$91,MATCH($C70,'Total Customers'!$C$7:$C$91,0),MATCH($G70,'Total Customers'!$E$5:$AA$5,0)),"NA")</f>
        <v>661548</v>
      </c>
      <c r="BC70" s="411">
        <f t="shared" si="171"/>
        <v>1.1741282268361797E-2</v>
      </c>
      <c r="BD70" s="92"/>
      <c r="BE70" s="281" t="str">
        <f t="shared" si="167"/>
        <v>BALTIMORE GAS AND ELECTRIC COMPANY</v>
      </c>
      <c r="BF70" s="290">
        <f t="shared" si="168"/>
        <v>4007784</v>
      </c>
      <c r="BG70" s="46" t="str">
        <f t="shared" si="169"/>
        <v>MD</v>
      </c>
      <c r="BH70" s="46"/>
      <c r="BI70" s="46" t="str">
        <f t="shared" si="170"/>
        <v>2015 Y</v>
      </c>
      <c r="BJ70" s="129"/>
      <c r="BK70" s="129"/>
      <c r="BL70" s="129">
        <f>INDEX('Dist. Plant Gas Additions'!$E$7:$AD$91,MATCH($C70,'Dist. Plant Gas Additions'!$C$7:$C$91,0),MATCH(Calculation!$G70,'Dist. Plant Gas Additions'!$E$5:$AD$5,0))</f>
        <v>195451</v>
      </c>
      <c r="BM70" s="129">
        <f>INDEX('Gen. Plant Additions'!$E$7:$AD$91,MATCH($C70,'Gen. Plant Additions'!$C$7:$C$91,0),MATCH(Calculation!$G70,'Gen. Plant Additions'!$E$5:$AD$5,0))</f>
        <v>925</v>
      </c>
      <c r="BN70" s="393">
        <f t="shared" si="129"/>
        <v>0.99337002007964337</v>
      </c>
      <c r="BO70" s="46">
        <f t="shared" si="165"/>
        <v>918.86726857367012</v>
      </c>
      <c r="BP70" s="46">
        <f t="shared" si="166"/>
        <v>-6.1327314263298831</v>
      </c>
      <c r="BQ70" s="129">
        <f>INDEX('Dist Plant Depreciation'!$D$7:$AC$94,MATCH($C70,'Dist Plant Depreciation'!$C$7:$C$94,0),MATCH(Calculation!$G70,'Dist Plant Depreciation'!$D$5:$AC$5,0))</f>
        <v>517475</v>
      </c>
      <c r="BR70" s="129">
        <f>INDEX('Gen. Plant Depreciation'!$D$7:$AC$94,MATCH($C70,'Gen. Plant Depreciation'!$C$7:$C$94,0),MATCH(Calculation!$G70,'Gen. Plant Depreciation'!$D$5:$AC$5,0))</f>
        <v>2406</v>
      </c>
      <c r="BS70" s="137">
        <v>1994</v>
      </c>
      <c r="BT70" s="137">
        <f t="shared" si="59"/>
        <v>47</v>
      </c>
      <c r="BU70" s="333">
        <v>303.55946043601477</v>
      </c>
      <c r="BV70" s="93">
        <f t="shared" si="127"/>
        <v>3.5444947209653091E-2</v>
      </c>
      <c r="BW70" s="334">
        <f t="shared" si="60"/>
        <v>10.75964905014532</v>
      </c>
      <c r="BX70" s="334"/>
      <c r="BY70" s="129">
        <f>INDEX('Gross Dx Plant'!$D$7:$AC$91,MATCH($C70,'Gross Dx Plant'!$C$7:$C$91,0),MATCH(Calculation!$G70,'Gross Dx Plant'!$D$5:$AC$5,0))</f>
        <v>1853697</v>
      </c>
      <c r="BZ70" s="129">
        <f>INDEX('Gross Gen Plant'!$D$7:$AC$91,MATCH($C70,'Gross Gen Plant'!$C$7:$C$91,0),MATCH(Calculation!$G70,'Gross Gen Plant'!$D$5:$AC$5,0))</f>
        <v>12372</v>
      </c>
      <c r="CA70" s="129">
        <f t="shared" si="39"/>
        <v>1346188</v>
      </c>
      <c r="CB70" s="129"/>
      <c r="CC70" s="133">
        <v>2015</v>
      </c>
      <c r="CD70" s="129"/>
      <c r="CE70" s="129"/>
      <c r="CF70" s="129"/>
      <c r="CG70" s="137"/>
      <c r="CH70" s="129">
        <f t="shared" si="130"/>
        <v>196376</v>
      </c>
      <c r="CI70" s="46">
        <f t="shared" si="139"/>
        <v>196369.86726857367</v>
      </c>
      <c r="CJ70" s="46">
        <f t="shared" si="131"/>
        <v>290.65366209051047</v>
      </c>
      <c r="CK70" s="443">
        <v>0.8</v>
      </c>
      <c r="CL70" s="46">
        <f>+CL53*CK70+CJ54*CK69+CJ55*CK68+CJ56*CK67+CJ57*CK66+CJ58*CK65+CJ59*CK64+CJ60*CK63+CJ61*CK62+CJ62*CK61+CJ63*CK60+CJ64*CK59+CJ65*CK58+CJ66*CK57+CJ67*CK56+CJ68*CK55+CJ69*CK54+CJ70</f>
        <v>4563.8902138646154</v>
      </c>
      <c r="CM70" s="134">
        <f t="shared" si="132"/>
        <v>5.0492399763820681E-2</v>
      </c>
      <c r="CN70" s="135">
        <f t="shared" si="133"/>
        <v>1.5194837912489169E-2</v>
      </c>
      <c r="CO70" s="135">
        <f t="shared" si="143"/>
        <v>1.4839943232255516E-2</v>
      </c>
      <c r="CP70" s="134">
        <f>VLOOKUP($H70,RoR!$E:$F,2,FALSE)</f>
        <v>3.8866666666666674E-2</v>
      </c>
      <c r="CQ70" s="135">
        <v>9.5709475431029478E-3</v>
      </c>
      <c r="CR70" s="135">
        <f t="shared" si="140"/>
        <v>2.9295719123563727E-2</v>
      </c>
      <c r="CS70" s="135">
        <f t="shared" si="144"/>
        <v>1.6061998376278107E-2</v>
      </c>
      <c r="CT70" s="56">
        <v>3.5270373279175926E-3</v>
      </c>
      <c r="CU70" s="139">
        <f t="shared" si="134"/>
        <v>0.85166083209999999</v>
      </c>
      <c r="CV70" s="335">
        <f t="shared" si="135"/>
        <v>1.3194352816994324</v>
      </c>
      <c r="CW70" s="335">
        <f t="shared" si="136"/>
        <v>0.33177530017152673</v>
      </c>
      <c r="CX70" s="335">
        <f t="shared" si="137"/>
        <v>0.78242572977668579</v>
      </c>
      <c r="CY70" s="335">
        <f t="shared" si="138"/>
        <v>0.34251158643433932</v>
      </c>
      <c r="CZ70" s="336">
        <f>INDEX('State Tax Lookup'!$D$7:$Z$91,MATCH(Calculation!$C70,'State Tax Lookup'!$B$7:$B$91,0),MATCH($H70,'State Tax Lookup'!$D$6:$Z$6,0))</f>
        <v>0.40091666999999998</v>
      </c>
      <c r="DA70" s="303">
        <v>0.37</v>
      </c>
      <c r="DB70" s="57">
        <f t="shared" si="142"/>
        <v>15.421864627658531</v>
      </c>
      <c r="DC70" s="56">
        <f t="shared" si="145"/>
        <v>-2.917099261259129E-2</v>
      </c>
      <c r="DD70" s="303">
        <f>VLOOKUP($H70,RoR!$E:$F,2,FALSE)</f>
        <v>3.8866666666666674E-2</v>
      </c>
      <c r="DE70" s="304">
        <f>HLOOKUP($H70,'GDP-PI'!$D$8:$CQ$11,3,FALSE)</f>
        <v>9.5709475431029478E-3</v>
      </c>
      <c r="DF70" s="303">
        <f>VLOOKUP(H70,'HW Dx Data'!$E:$F,2,FALSE)</f>
        <v>675.61463308665782</v>
      </c>
      <c r="DG70" s="89">
        <f ca="1">VLOOKUP(CC70,'ECI - Input Price'!M$13:N$33,2,FALSE)</f>
        <v>133.5</v>
      </c>
      <c r="DH70" s="89"/>
      <c r="DI70" s="89"/>
      <c r="DJ70" s="56">
        <f t="shared" ca="1" si="153"/>
        <v>3.1193095773504077E-2</v>
      </c>
      <c r="DK70" s="53">
        <f>HLOOKUP(H70,'GDP-PI'!$8:$9,2,FALSE)</f>
        <v>104.639</v>
      </c>
      <c r="DL70" s="355">
        <f t="shared" si="146"/>
        <v>9.5254361854427965E-3</v>
      </c>
      <c r="DP70" s="398"/>
      <c r="DQ70" s="398"/>
      <c r="DR70" s="398"/>
      <c r="DS70" s="398"/>
      <c r="DT70" s="398"/>
      <c r="DU70" s="398"/>
      <c r="DV70" s="398"/>
      <c r="DW70" s="398"/>
      <c r="DX70" s="398"/>
      <c r="DY70" s="398"/>
      <c r="EC70">
        <f t="shared" si="141"/>
        <v>2015</v>
      </c>
    </row>
    <row r="71" spans="1:133" s="126" customFormat="1" ht="21" customHeight="1" x14ac:dyDescent="0.4">
      <c r="A71" s="233" t="s">
        <v>181</v>
      </c>
      <c r="B71" s="127" t="s">
        <v>181</v>
      </c>
      <c r="C71" s="127">
        <v>4007784</v>
      </c>
      <c r="D71" s="127" t="s">
        <v>182</v>
      </c>
      <c r="E71" s="127"/>
      <c r="F71" s="127"/>
      <c r="G71" s="127" t="s">
        <v>172</v>
      </c>
      <c r="H71" s="128">
        <v>2016</v>
      </c>
      <c r="I71" s="129"/>
      <c r="J71" s="125">
        <f>IFERROR(INDEX('Labor Expenditures'!$E$7:$W$91,MATCH($C71,'Labor Expenditures'!$C$7:$C$91,0),MATCH($G71,'Labor Expenditures'!$E$5:$W$5,0)),"NA")</f>
        <v>82583.869731804851</v>
      </c>
      <c r="K71" s="125">
        <f t="shared" ca="1" si="147"/>
        <v>603.02204988539506</v>
      </c>
      <c r="L71" s="47"/>
      <c r="M71" s="131">
        <f t="shared" ca="1" si="154"/>
        <v>7.1193063665024356E-2</v>
      </c>
      <c r="N71" s="59"/>
      <c r="O71" s="59"/>
      <c r="P71" s="59">
        <f t="shared" ca="1" si="156"/>
        <v>1.8748931978125796E-3</v>
      </c>
      <c r="Q71" s="61"/>
      <c r="R71" s="387"/>
      <c r="S71" s="49">
        <f t="shared" ca="1" si="161"/>
        <v>97.919670596537699</v>
      </c>
      <c r="T71" s="61">
        <f ca="1">+P71+P96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</f>
        <v>1.4091836518304611E-2</v>
      </c>
      <c r="U71" s="61"/>
      <c r="V71" s="125">
        <f>IFERROR(INDEX('Non-Labor Expenditures'!$E$7:$AA$91,MATCH($C71,'Non-Labor Expenditures'!$C$7:$C$91,0),MATCH($G71,'Non-Labor Expenditures'!$E$5:$AA$5,0)),"NA")</f>
        <v>119596.86791086616</v>
      </c>
      <c r="W71" s="125">
        <f t="shared" si="148"/>
        <v>1131.0893916061336</v>
      </c>
      <c r="X71" s="131">
        <f t="shared" si="157"/>
        <v>8.6278391166602408E-2</v>
      </c>
      <c r="Y71" s="131">
        <f t="shared" si="158"/>
        <v>2.2721703546513677E-3</v>
      </c>
      <c r="Z71" s="131"/>
      <c r="AA71" s="131"/>
      <c r="AB71" s="131"/>
      <c r="AC71" s="125">
        <f t="shared" si="128"/>
        <v>68613.60299492217</v>
      </c>
      <c r="AD71" s="129"/>
      <c r="AE71" s="133">
        <v>5218.2815104773126</v>
      </c>
      <c r="AF71" s="134">
        <v>5.8738755181099882E-2</v>
      </c>
      <c r="AG71" s="59">
        <f t="shared" si="149"/>
        <v>1.5469048088055041E-3</v>
      </c>
      <c r="AH71" s="134"/>
      <c r="AI71" s="134"/>
      <c r="AJ71" s="129">
        <f t="shared" si="94"/>
        <v>270794.34063759318</v>
      </c>
      <c r="AK71" s="134">
        <f t="shared" si="159"/>
        <v>7.8051990475279137E-2</v>
      </c>
      <c r="AL71" s="129"/>
      <c r="AM71" s="129"/>
      <c r="AN71" s="129"/>
      <c r="AO71" s="129"/>
      <c r="AP71" s="133">
        <f t="shared" si="160"/>
        <v>405.44023020981103</v>
      </c>
      <c r="AQ71" s="134">
        <f>+BB71/Outputs!$B$24</f>
        <v>1.8174513666545721E-2</v>
      </c>
      <c r="AR71" s="93">
        <f t="shared" si="150"/>
        <v>0.30496896477732405</v>
      </c>
      <c r="AS71" s="93">
        <f t="shared" si="151"/>
        <v>0.44165202134310433</v>
      </c>
      <c r="AT71" s="93">
        <f t="shared" si="152"/>
        <v>0.25337901387957162</v>
      </c>
      <c r="AU71" s="93">
        <f t="shared" ca="1" si="155"/>
        <v>7.4552367572071343E-2</v>
      </c>
      <c r="AV71" s="132">
        <f t="shared" ca="1" si="162"/>
        <v>138.32310779751714</v>
      </c>
      <c r="AW71" s="134">
        <f t="shared" ca="1" si="163"/>
        <v>7.4552367572071399E-2</v>
      </c>
      <c r="AX71" s="56">
        <f>+AJ71/$AL$21</f>
        <v>2.6335335232014673E-2</v>
      </c>
      <c r="AY71" s="135">
        <f t="shared" ca="1" si="164"/>
        <v>1.96336159235088E-3</v>
      </c>
      <c r="AZ71" s="93"/>
      <c r="BA71" s="93"/>
      <c r="BB71" s="234">
        <f>IFERROR(INDEX('Total Customers'!$E$7:$AA$91,MATCH($C71,'Total Customers'!$C$7:$C$91,0),MATCH($G71,'Total Customers'!$E$5:$AA$5,0)),"NA")</f>
        <v>667902</v>
      </c>
      <c r="BC71" s="411">
        <f t="shared" si="171"/>
        <v>9.5589129065889299E-3</v>
      </c>
      <c r="BD71" s="92"/>
      <c r="BE71" s="281" t="str">
        <f t="shared" si="167"/>
        <v>BALTIMORE GAS AND ELECTRIC COMPANY</v>
      </c>
      <c r="BF71" s="290">
        <f t="shared" si="168"/>
        <v>4007784</v>
      </c>
      <c r="BG71" s="46" t="str">
        <f t="shared" si="169"/>
        <v>MD</v>
      </c>
      <c r="BH71" s="46"/>
      <c r="BI71" s="46" t="str">
        <f t="shared" si="170"/>
        <v>2016 Y</v>
      </c>
      <c r="BJ71" s="129"/>
      <c r="BK71" s="129"/>
      <c r="BL71" s="129">
        <f>INDEX('Dist. Plant Gas Additions'!$E$7:$AD$91,MATCH($C71,'Dist. Plant Gas Additions'!$C$7:$C$91,0),MATCH(Calculation!$G71,'Dist. Plant Gas Additions'!$E$5:$AD$5,0))</f>
        <v>222151</v>
      </c>
      <c r="BM71" s="129">
        <f>INDEX('Gen. Plant Additions'!$E$7:$AD$91,MATCH($C71,'Gen. Plant Additions'!$C$7:$C$91,0),MATCH(Calculation!$G71,'Gen. Plant Additions'!$E$5:$AD$5,0))</f>
        <v>5862</v>
      </c>
      <c r="BN71" s="393">
        <f t="shared" si="129"/>
        <v>0.99123922220592309</v>
      </c>
      <c r="BO71" s="46">
        <f t="shared" si="165"/>
        <v>5810.6443205711212</v>
      </c>
      <c r="BP71" s="46">
        <f t="shared" si="166"/>
        <v>-51.35567942887883</v>
      </c>
      <c r="BQ71" s="129">
        <f>INDEX('Dist Plant Depreciation'!$D$7:$AC$94,MATCH($C71,'Dist Plant Depreciation'!$C$7:$C$94,0),MATCH(Calculation!$G71,'Dist Plant Depreciation'!$D$5:$AC$5,0))</f>
        <v>539945</v>
      </c>
      <c r="BR71" s="129">
        <f>INDEX('Gen. Plant Depreciation'!$D$7:$AC$94,MATCH($C71,'Gen. Plant Depreciation'!$C$7:$C$94,0),MATCH(Calculation!$G71,'Gen. Plant Depreciation'!$D$5:$AC$5,0))</f>
        <v>7210</v>
      </c>
      <c r="BS71" s="137">
        <v>1995</v>
      </c>
      <c r="BT71" s="137">
        <f t="shared" si="59"/>
        <v>48</v>
      </c>
      <c r="BU71" s="333">
        <v>309.3938435140484</v>
      </c>
      <c r="BV71" s="93">
        <f t="shared" si="127"/>
        <v>3.6199095022624438E-2</v>
      </c>
      <c r="BW71" s="334">
        <f t="shared" si="60"/>
        <v>11.199777140780034</v>
      </c>
      <c r="BX71" s="334"/>
      <c r="BY71" s="129">
        <f>INDEX('Gross Dx Plant'!$D$7:$AC$91,MATCH($C71,'Gross Dx Plant'!$C$7:$C$91,0),MATCH(Calculation!$G71,'Gross Dx Plant'!$D$5:$AC$5,0))</f>
        <v>2067727</v>
      </c>
      <c r="BZ71" s="129">
        <f>INDEX('Gross Gen Plant'!$D$7:$AC$91,MATCH($C71,'Gross Gen Plant'!$C$7:$C$91,0),MATCH(Calculation!$G71,'Gross Gen Plant'!$D$5:$AC$5,0))</f>
        <v>18275</v>
      </c>
      <c r="CA71" s="129">
        <f t="shared" si="39"/>
        <v>1538847</v>
      </c>
      <c r="CB71" s="129"/>
      <c r="CC71" s="133">
        <v>2016</v>
      </c>
      <c r="CD71" s="129"/>
      <c r="CE71" s="129"/>
      <c r="CF71" s="129"/>
      <c r="CG71" s="137"/>
      <c r="CH71" s="129">
        <f t="shared" si="130"/>
        <v>228013</v>
      </c>
      <c r="CI71" s="46">
        <f t="shared" si="139"/>
        <v>227961.64432057113</v>
      </c>
      <c r="CJ71" s="46">
        <f t="shared" si="131"/>
        <v>339.50327438269846</v>
      </c>
      <c r="CK71" s="443">
        <v>0.7857142857142857</v>
      </c>
      <c r="CL71" s="46">
        <f>+CL53*CK71+CJ54*CK70+CJ55*CK69+CJ56*CK68+CJ57*CK67+CJ58*CK66+CJ59*CK65+CJ60*CK64+CJ61*CK63+CJ62*CK62+CJ63*CK61+CJ64*CK60+CJ65*CK59+CJ66*CK58+CJ67*CK57+CJ68*CK56+CJ69*CK55+CJ70*CK54+CJ71</f>
        <v>4833.0606523683555</v>
      </c>
      <c r="CM71" s="134">
        <f t="shared" si="132"/>
        <v>5.7304565511227194E-2</v>
      </c>
      <c r="CN71" s="135">
        <f t="shared" si="133"/>
        <v>1.5410720368622066E-2</v>
      </c>
      <c r="CO71" s="135">
        <f t="shared" si="143"/>
        <v>1.5145636210017925E-2</v>
      </c>
      <c r="CP71" s="134">
        <f>VLOOKUP($H71,RoR!$E:$F,2,FALSE)</f>
        <v>3.6658333333333334E-2</v>
      </c>
      <c r="CQ71" s="135">
        <v>1.0483662879041455E-2</v>
      </c>
      <c r="CR71" s="135">
        <f t="shared" si="140"/>
        <v>2.6174670454291879E-2</v>
      </c>
      <c r="CS71" s="135">
        <f t="shared" si="144"/>
        <v>1.5756305398515698E-2</v>
      </c>
      <c r="CT71" s="56">
        <v>4.301363574220729E-3</v>
      </c>
      <c r="CU71" s="139">
        <f t="shared" si="134"/>
        <v>0.85166083209999999</v>
      </c>
      <c r="CV71" s="335">
        <f t="shared" si="135"/>
        <v>1.3989193348138562</v>
      </c>
      <c r="CW71" s="335">
        <f t="shared" si="136"/>
        <v>0.29302682427824522</v>
      </c>
      <c r="CX71" s="335">
        <f t="shared" si="137"/>
        <v>0.76309497491941802</v>
      </c>
      <c r="CY71" s="335">
        <f t="shared" si="138"/>
        <v>0.31280857135128509</v>
      </c>
      <c r="CZ71" s="336">
        <f>INDEX('State Tax Lookup'!$D$7:$Z$91,MATCH(Calculation!$C71,'State Tax Lookup'!$B$7:$B$91,0),MATCH($H71,'State Tax Lookup'!$D$6:$Z$6,0))</f>
        <v>0.40091666999999998</v>
      </c>
      <c r="DA71" s="303">
        <v>0.37</v>
      </c>
      <c r="DB71" s="57">
        <f t="shared" si="142"/>
        <v>15.034016985439594</v>
      </c>
      <c r="DC71" s="56">
        <f t="shared" si="145"/>
        <v>-2.5470850943882004E-2</v>
      </c>
      <c r="DD71" s="303">
        <f>VLOOKUP($H71,RoR!$E:$F,2,FALSE)</f>
        <v>3.6658333333333334E-2</v>
      </c>
      <c r="DE71" s="304">
        <f>HLOOKUP($H71,'GDP-PI'!$D$8:$CQ$11,3,FALSE)</f>
        <v>1.0483662879041455E-2</v>
      </c>
      <c r="DF71" s="303">
        <f>VLOOKUP(H71,'HW Dx Data'!$E:$F,2,FALSE)</f>
        <v>671.45639385971219</v>
      </c>
      <c r="DG71" s="89">
        <f ca="1">VLOOKUP(CC71,'ECI - Input Price'!M$13:N$33,2,FALSE)</f>
        <v>136.94999999999999</v>
      </c>
      <c r="DH71" s="89"/>
      <c r="DI71" s="89"/>
      <c r="DJ71" s="56">
        <f t="shared" ca="1" si="153"/>
        <v>2.5514417868782811E-2</v>
      </c>
      <c r="DK71" s="53">
        <f>HLOOKUP(H71,'GDP-PI'!$8:$9,2,FALSE)</f>
        <v>105.736</v>
      </c>
      <c r="DL71" s="355">
        <f t="shared" si="146"/>
        <v>1.0429090367205095E-2</v>
      </c>
      <c r="DP71" s="398"/>
      <c r="DQ71" s="398"/>
      <c r="DR71" s="398"/>
      <c r="DS71" s="398"/>
      <c r="DT71" s="398"/>
      <c r="DU71" s="398"/>
      <c r="DV71" s="398"/>
      <c r="DW71" s="398"/>
      <c r="DX71" s="398"/>
      <c r="DY71" s="398"/>
      <c r="EC71">
        <f t="shared" si="141"/>
        <v>2016</v>
      </c>
    </row>
    <row r="72" spans="1:133" s="126" customFormat="1" ht="21" customHeight="1" x14ac:dyDescent="0.4">
      <c r="A72" s="233" t="s">
        <v>181</v>
      </c>
      <c r="B72" s="127" t="s">
        <v>181</v>
      </c>
      <c r="C72" s="127">
        <v>4007784</v>
      </c>
      <c r="D72" s="127" t="s">
        <v>182</v>
      </c>
      <c r="E72" s="127"/>
      <c r="F72" s="127"/>
      <c r="G72" s="127" t="s">
        <v>173</v>
      </c>
      <c r="H72" s="128">
        <v>2017</v>
      </c>
      <c r="I72" s="129"/>
      <c r="J72" s="125">
        <f>IFERROR(INDEX('Labor Expenditures'!$E$7:$W$91,MATCH($C72,'Labor Expenditures'!$C$7:$C$91,0),MATCH($G72,'Labor Expenditures'!$E$5:$W$5,0)),"NA")</f>
        <v>81993.977569285445</v>
      </c>
      <c r="K72" s="125">
        <f t="shared" ca="1" si="147"/>
        <v>583.79478511417199</v>
      </c>
      <c r="L72" s="47"/>
      <c r="M72" s="131">
        <f t="shared" ca="1" si="154"/>
        <v>-3.2404237310783221E-2</v>
      </c>
      <c r="N72" s="59"/>
      <c r="O72" s="59"/>
      <c r="P72" s="59">
        <f t="shared" ca="1" si="156"/>
        <v>-8.3827487040721437E-4</v>
      </c>
      <c r="Q72" s="61"/>
      <c r="R72" s="387"/>
      <c r="S72" s="49">
        <f t="shared" ca="1" si="161"/>
        <v>98.470398214436543</v>
      </c>
      <c r="T72" s="61">
        <f ca="1">+P72+P97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</f>
        <v>5.6085225169611392E-3</v>
      </c>
      <c r="U72" s="61"/>
      <c r="V72" s="125">
        <f>IFERROR(INDEX('Non-Labor Expenditures'!$E$7:$AA$91,MATCH($C72,'Non-Labor Expenditures'!$C$7:$C$91,0),MATCH($G72,'Non-Labor Expenditures'!$E$5:$AA$5,0)),"NA")</f>
        <v>118742.59388287981</v>
      </c>
      <c r="W72" s="125">
        <f t="shared" si="148"/>
        <v>1102.0092053241251</v>
      </c>
      <c r="X72" s="131">
        <f t="shared" si="157"/>
        <v>-2.6046167697362971E-2</v>
      </c>
      <c r="Y72" s="131">
        <f t="shared" si="158"/>
        <v>-6.7379607307856083E-4</v>
      </c>
      <c r="Z72" s="131"/>
      <c r="AA72" s="131"/>
      <c r="AB72" s="131"/>
      <c r="AC72" s="125">
        <f t="shared" si="128"/>
        <v>65177.233976565491</v>
      </c>
      <c r="AD72" s="129"/>
      <c r="AE72" s="133">
        <v>5503.7205211694281</v>
      </c>
      <c r="AF72" s="134">
        <v>5.3256186798056507E-2</v>
      </c>
      <c r="AG72" s="59">
        <f t="shared" si="149"/>
        <v>1.3777001648999519E-3</v>
      </c>
      <c r="AH72" s="134"/>
      <c r="AI72" s="134"/>
      <c r="AJ72" s="129">
        <f t="shared" si="94"/>
        <v>265913.80542873073</v>
      </c>
      <c r="AK72" s="134">
        <f t="shared" si="159"/>
        <v>-1.8187425612382138E-2</v>
      </c>
      <c r="AL72" s="129"/>
      <c r="AM72" s="129"/>
      <c r="AN72" s="129"/>
      <c r="AO72" s="129"/>
      <c r="AP72" s="133">
        <f t="shared" si="160"/>
        <v>394.56774955037446</v>
      </c>
      <c r="AQ72" s="134">
        <f>+BB72/Outputs!$B$25</f>
        <v>1.8200952328276055E-2</v>
      </c>
      <c r="AR72" s="93">
        <f t="shared" si="150"/>
        <v>0.30834795296576351</v>
      </c>
      <c r="AS72" s="93">
        <f t="shared" si="151"/>
        <v>0.44654542734790342</v>
      </c>
      <c r="AT72" s="93">
        <f t="shared" si="152"/>
        <v>0.24510661968633313</v>
      </c>
      <c r="AU72" s="93">
        <f t="shared" ca="1" si="155"/>
        <v>-8.2303813144538416E-3</v>
      </c>
      <c r="AV72" s="132">
        <f t="shared" ca="1" si="162"/>
        <v>137.18932799589223</v>
      </c>
      <c r="AW72" s="134">
        <f t="shared" ca="1" si="163"/>
        <v>-8.2303813144538E-3</v>
      </c>
      <c r="AX72" s="56">
        <f>+AJ72/$AL$22</f>
        <v>2.5869297967653755E-2</v>
      </c>
      <c r="AY72" s="135">
        <f t="shared" ca="1" si="164"/>
        <v>-2.1291418661101513E-4</v>
      </c>
      <c r="AZ72" s="93"/>
      <c r="BA72" s="93"/>
      <c r="BB72" s="234">
        <f>IFERROR(INDEX('Total Customers'!$E$7:$AA$91,MATCH($C72,'Total Customers'!$C$7:$C$91,0),MATCH($G72,'Total Customers'!$E$5:$AA$5,0)),"NA")</f>
        <v>673937</v>
      </c>
      <c r="BC72" s="411">
        <f t="shared" si="171"/>
        <v>8.9951785461007145E-3</v>
      </c>
      <c r="BD72" s="92"/>
      <c r="BE72" s="281" t="str">
        <f t="shared" si="167"/>
        <v>BALTIMORE GAS AND ELECTRIC COMPANY</v>
      </c>
      <c r="BF72" s="290">
        <f t="shared" si="168"/>
        <v>4007784</v>
      </c>
      <c r="BG72" s="46" t="str">
        <f t="shared" si="169"/>
        <v>MD</v>
      </c>
      <c r="BH72" s="46"/>
      <c r="BI72" s="46" t="str">
        <f t="shared" si="170"/>
        <v>2017 Y</v>
      </c>
      <c r="BJ72" s="129"/>
      <c r="BK72" s="129"/>
      <c r="BL72" s="129">
        <f>INDEX('Dist. Plant Gas Additions'!$E$7:$AD$91,MATCH($C72,'Dist. Plant Gas Additions'!$C$7:$C$91,0),MATCH(Calculation!$G72,'Dist. Plant Gas Additions'!$E$5:$AD$5,0))</f>
        <v>232572</v>
      </c>
      <c r="BM72" s="129">
        <f>INDEX('Gen. Plant Additions'!$E$7:$AD$91,MATCH($C72,'Gen. Plant Additions'!$C$7:$C$91,0),MATCH(Calculation!$G72,'Gen. Plant Additions'!$E$5:$AD$5,0))</f>
        <v>2989</v>
      </c>
      <c r="BN72" s="393">
        <f t="shared" si="129"/>
        <v>0.99146051126626844</v>
      </c>
      <c r="BO72" s="46">
        <f t="shared" si="165"/>
        <v>2963.4754681748764</v>
      </c>
      <c r="BP72" s="46">
        <f t="shared" si="166"/>
        <v>-25.524531825123631</v>
      </c>
      <c r="BQ72" s="129">
        <f>INDEX('Dist Plant Depreciation'!$D$7:$AC$94,MATCH($C72,'Dist Plant Depreciation'!$C$7:$C$94,0),MATCH(Calculation!$G72,'Dist Plant Depreciation'!$D$5:$AC$5,0))</f>
        <v>545762</v>
      </c>
      <c r="BR72" s="129">
        <f>INDEX('Gen. Plant Depreciation'!$D$7:$AC$94,MATCH($C72,'Gen. Plant Depreciation'!$C$7:$C$94,0),MATCH(Calculation!$G72,'Gen. Plant Depreciation'!$D$5:$AC$5,0))</f>
        <v>6777</v>
      </c>
      <c r="BS72" s="137">
        <v>1996</v>
      </c>
      <c r="BT72" s="137">
        <f t="shared" si="59"/>
        <v>49</v>
      </c>
      <c r="BU72" s="333">
        <v>313.66152591576542</v>
      </c>
      <c r="BV72" s="93">
        <f t="shared" si="127"/>
        <v>3.6953242835595777E-2</v>
      </c>
      <c r="BW72" s="334">
        <f t="shared" si="60"/>
        <v>11.590810535348798</v>
      </c>
      <c r="BX72" s="334"/>
      <c r="BY72" s="129">
        <f>INDEX('Gross Dx Plant'!$D$7:$AC$91,MATCH($C72,'Gross Dx Plant'!$C$7:$C$91,0),MATCH(Calculation!$G72,'Gross Dx Plant'!$D$5:$AC$5,0))</f>
        <v>2265054</v>
      </c>
      <c r="BZ72" s="129">
        <f>INDEX('Gross Gen Plant'!$D$7:$AC$91,MATCH($C72,'Gross Gen Plant'!$C$7:$C$91,0),MATCH(Calculation!$G72,'Gross Gen Plant'!$D$5:$AC$5,0))</f>
        <v>19509</v>
      </c>
      <c r="CA72" s="129">
        <f t="shared" ref="CA72:CA141" si="172">IF(OR(BQ72="NA",BR72="NA"),"NA",(SUM(BY72:BZ72)-SUM(BQ72:BR72)))</f>
        <v>1732024</v>
      </c>
      <c r="CB72" s="129"/>
      <c r="CC72" s="133">
        <v>2017</v>
      </c>
      <c r="CD72" s="129"/>
      <c r="CE72" s="129"/>
      <c r="CF72" s="129"/>
      <c r="CG72" s="137"/>
      <c r="CH72" s="129">
        <f t="shared" si="130"/>
        <v>235561</v>
      </c>
      <c r="CI72" s="46">
        <f t="shared" si="139"/>
        <v>235535.47546817487</v>
      </c>
      <c r="CJ72" s="46">
        <f t="shared" si="131"/>
        <v>330.60924400893794</v>
      </c>
      <c r="CK72" s="443">
        <v>0.77108433734939763</v>
      </c>
      <c r="CL72" s="46">
        <f>+CL53*CK72+CJ54*CK71+CJ55*CK70+CJ56*CK69+CJ57*CK68+CJ58*CK67+CJ59*CK66+CJ60*CK65+CJ61*CK64+CJ62*CK63+CJ63*CK62+CJ64*CK61+CJ65*CK60+CJ66*CK59+CJ67*CK58+CJ68*CK57+CJ69*CK56+CJ70*CK55+CJ71*CK54+CJ72</f>
        <v>5088.3425109183836</v>
      </c>
      <c r="CM72" s="134">
        <f t="shared" si="132"/>
        <v>5.1472198754028163E-2</v>
      </c>
      <c r="CN72" s="135">
        <f t="shared" si="133"/>
        <v>1.558585560518405E-2</v>
      </c>
      <c r="CO72" s="135">
        <f t="shared" si="143"/>
        <v>1.5397137962098429E-2</v>
      </c>
      <c r="CP72" s="134">
        <f>VLOOKUP($H72,RoR!$E:$F,2,FALSE)</f>
        <v>3.7433333333333339E-2</v>
      </c>
      <c r="CQ72" s="135">
        <v>1.9056896421275615E-2</v>
      </c>
      <c r="CR72" s="135">
        <f t="shared" si="140"/>
        <v>1.8376436912057724E-2</v>
      </c>
      <c r="CS72" s="135">
        <f t="shared" si="144"/>
        <v>1.5504803646435196E-2</v>
      </c>
      <c r="CT72" s="56">
        <v>1.3976271617800498E-2</v>
      </c>
      <c r="CU72" s="139">
        <f t="shared" si="134"/>
        <v>0.90346083210000006</v>
      </c>
      <c r="CV72" s="335">
        <f t="shared" si="135"/>
        <v>1.3699568463593395</v>
      </c>
      <c r="CW72" s="335">
        <f t="shared" si="136"/>
        <v>0.30714603739982199</v>
      </c>
      <c r="CX72" s="335">
        <f t="shared" si="137"/>
        <v>0.77007188472689425</v>
      </c>
      <c r="CY72" s="335">
        <f t="shared" si="138"/>
        <v>0.32402839633793828</v>
      </c>
      <c r="CZ72" s="336">
        <f>INDEX('State Tax Lookup'!$D$7:$Z$91,MATCH(Calculation!$C72,'State Tax Lookup'!$B$7:$B$91,0),MATCH($H72,'State Tax Lookup'!$D$6:$Z$6,0))</f>
        <v>0.26091666999999996</v>
      </c>
      <c r="DA72" s="303">
        <v>0.37</v>
      </c>
      <c r="DB72" s="57">
        <f t="shared" si="142"/>
        <v>13.485705780378847</v>
      </c>
      <c r="DC72" s="56">
        <f t="shared" si="145"/>
        <v>-0.10868513915269828</v>
      </c>
      <c r="DD72" s="303">
        <f>VLOOKUP($H72,RoR!$E:$F,2,FALSE)</f>
        <v>3.7433333333333339E-2</v>
      </c>
      <c r="DE72" s="304">
        <f>HLOOKUP($H72,'GDP-PI'!$D$8:$CQ$11,3,FALSE)</f>
        <v>1.9056896421275615E-2</v>
      </c>
      <c r="DF72" s="303">
        <f>VLOOKUP(H72,'HW Dx Data'!$E:$F,2,FALSE)</f>
        <v>712.42858370229726</v>
      </c>
      <c r="DG72" s="89">
        <f ca="1">VLOOKUP(CC72,'ECI - Input Price'!M$13:N$33,2,FALSE)</f>
        <v>140.44999999999999</v>
      </c>
      <c r="DH72" s="89"/>
      <c r="DI72" s="89"/>
      <c r="DJ72" s="56">
        <f t="shared" ca="1" si="153"/>
        <v>2.5235657841165486E-2</v>
      </c>
      <c r="DK72" s="53">
        <f>HLOOKUP(H72,'GDP-PI'!$8:$9,2,FALSE)</f>
        <v>107.751</v>
      </c>
      <c r="DL72" s="355">
        <f t="shared" si="146"/>
        <v>1.8877588227745139E-2</v>
      </c>
      <c r="DP72" s="398"/>
      <c r="DQ72" s="398"/>
      <c r="DR72" s="398"/>
      <c r="DS72" s="398"/>
      <c r="DT72" s="398"/>
      <c r="DU72" s="398"/>
      <c r="DV72" s="398"/>
      <c r="DW72" s="398"/>
      <c r="DX72" s="398"/>
      <c r="DY72" s="398"/>
      <c r="EC72">
        <f t="shared" si="141"/>
        <v>2017</v>
      </c>
    </row>
    <row r="73" spans="1:133" s="126" customFormat="1" ht="21" customHeight="1" x14ac:dyDescent="0.4">
      <c r="A73" s="233" t="s">
        <v>181</v>
      </c>
      <c r="B73" s="127" t="s">
        <v>181</v>
      </c>
      <c r="C73" s="127">
        <v>4007784</v>
      </c>
      <c r="D73" s="127" t="s">
        <v>182</v>
      </c>
      <c r="E73" s="127"/>
      <c r="F73" s="127"/>
      <c r="G73" s="127" t="s">
        <v>174</v>
      </c>
      <c r="H73" s="128">
        <v>2018</v>
      </c>
      <c r="I73" s="129"/>
      <c r="J73" s="125">
        <f>IFERROR(INDEX('Labor Expenditures'!$E$7:$W$91,MATCH($C73,'Labor Expenditures'!$C$7:$C$91,0),MATCH($G73,'Labor Expenditures'!$E$5:$W$5,0)),"NA")</f>
        <v>89958.634166663251</v>
      </c>
      <c r="K73" s="125">
        <f t="shared" ca="1" si="147"/>
        <v>622.76659166952754</v>
      </c>
      <c r="L73" s="47"/>
      <c r="M73" s="131">
        <f t="shared" ca="1" si="154"/>
        <v>6.4622270649962968E-2</v>
      </c>
      <c r="N73" s="59"/>
      <c r="O73" s="59"/>
      <c r="P73" s="59">
        <f t="shared" ca="1" si="156"/>
        <v>1.6950475729692674E-3</v>
      </c>
      <c r="Q73" s="61"/>
      <c r="R73" s="387"/>
      <c r="S73" s="49">
        <f t="shared" ca="1" si="161"/>
        <v>104.59241393908</v>
      </c>
      <c r="T73" s="61">
        <f ca="1">+P73+P98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</f>
        <v>6.0315047248440314E-2</v>
      </c>
      <c r="U73" s="61"/>
      <c r="V73" s="125">
        <f>IFERROR(INDEX('Non-Labor Expenditures'!$E$7:$AA$91,MATCH($C73,'Non-Labor Expenditures'!$C$7:$C$91,0),MATCH($G73,'Non-Labor Expenditures'!$E$5:$AA$5,0)),"NA")</f>
        <v>130276.90422853749</v>
      </c>
      <c r="W73" s="125">
        <f t="shared" si="148"/>
        <v>1180.8787388602227</v>
      </c>
      <c r="X73" s="131">
        <f t="shared" si="157"/>
        <v>6.9123791295446102E-2</v>
      </c>
      <c r="Y73" s="131">
        <f t="shared" si="158"/>
        <v>1.8131228366214524E-3</v>
      </c>
      <c r="Z73" s="131"/>
      <c r="AA73" s="131"/>
      <c r="AB73" s="131"/>
      <c r="AC73" s="125">
        <f t="shared" si="128"/>
        <v>71651.453947922782</v>
      </c>
      <c r="AD73" s="129"/>
      <c r="AE73" s="133">
        <v>5794.7644231649992</v>
      </c>
      <c r="AF73" s="134">
        <v>5.1530502287100842E-2</v>
      </c>
      <c r="AG73" s="59">
        <f t="shared" si="149"/>
        <v>1.3516493920302632E-3</v>
      </c>
      <c r="AH73" s="134"/>
      <c r="AI73" s="134"/>
      <c r="AJ73" s="129">
        <f t="shared" si="94"/>
        <v>291886.99234312354</v>
      </c>
      <c r="AK73" s="134">
        <f t="shared" si="159"/>
        <v>9.3194498308193971E-2</v>
      </c>
      <c r="AL73" s="129"/>
      <c r="AM73" s="129"/>
      <c r="AN73" s="129"/>
      <c r="AO73" s="129"/>
      <c r="AP73" s="133">
        <f t="shared" si="160"/>
        <v>430.48448600328231</v>
      </c>
      <c r="AQ73" s="134">
        <f>+BB73/Outputs!$B$26</f>
        <v>1.8151469817090832E-2</v>
      </c>
      <c r="AR73" s="93">
        <f t="shared" si="150"/>
        <v>0.30819679028695351</v>
      </c>
      <c r="AS73" s="93">
        <f t="shared" si="151"/>
        <v>0.44632651555569269</v>
      </c>
      <c r="AT73" s="93">
        <f t="shared" si="152"/>
        <v>0.24547669415735371</v>
      </c>
      <c r="AU73" s="93">
        <f t="shared" ca="1" si="155"/>
        <v>6.3420609838576128E-2</v>
      </c>
      <c r="AV73" s="132">
        <f t="shared" ca="1" si="162"/>
        <v>146.17178473450824</v>
      </c>
      <c r="AW73" s="134">
        <f t="shared" ca="1" si="163"/>
        <v>6.3420609838576156E-2</v>
      </c>
      <c r="AX73" s="56">
        <f>+AJ73/$AL$23</f>
        <v>2.6230083776392941E-2</v>
      </c>
      <c r="AY73" s="135">
        <f t="shared" ca="1" si="164"/>
        <v>1.6635279092157829E-3</v>
      </c>
      <c r="AZ73" s="93"/>
      <c r="BA73" s="93"/>
      <c r="BB73" s="234">
        <f>IFERROR(INDEX('Total Customers'!$E$7:$AA$91,MATCH($C73,'Total Customers'!$C$7:$C$91,0),MATCH($G73,'Total Customers'!$E$5:$AA$5,0)),"NA")</f>
        <v>678043</v>
      </c>
      <c r="BC73" s="411">
        <f t="shared" si="171"/>
        <v>6.074073024768898E-3</v>
      </c>
      <c r="BD73" s="92"/>
      <c r="BE73" s="281" t="str">
        <f t="shared" si="167"/>
        <v>BALTIMORE GAS AND ELECTRIC COMPANY</v>
      </c>
      <c r="BF73" s="290">
        <f t="shared" si="168"/>
        <v>4007784</v>
      </c>
      <c r="BG73" s="46" t="str">
        <f t="shared" si="169"/>
        <v>MD</v>
      </c>
      <c r="BH73" s="46"/>
      <c r="BI73" s="46" t="str">
        <f t="shared" si="170"/>
        <v>2018 Y</v>
      </c>
      <c r="BJ73" s="129"/>
      <c r="BK73" s="129"/>
      <c r="BL73" s="129">
        <f>INDEX('Dist. Plant Gas Additions'!$E$7:$AD$91,MATCH($C73,'Dist. Plant Gas Additions'!$C$7:$C$91,0),MATCH(Calculation!$G73,'Dist. Plant Gas Additions'!$E$5:$AD$5,0))</f>
        <v>253684</v>
      </c>
      <c r="BM73" s="129">
        <f>INDEX('Gen. Plant Additions'!$E$7:$AD$91,MATCH($C73,'Gen. Plant Additions'!$C$7:$C$91,0),MATCH(Calculation!$G73,'Gen. Plant Additions'!$E$5:$AD$5,0))</f>
        <v>2811</v>
      </c>
      <c r="BN73" s="393">
        <f t="shared" si="129"/>
        <v>0.99141895308616179</v>
      </c>
      <c r="BO73" s="46">
        <f t="shared" si="165"/>
        <v>2786.8786771252007</v>
      </c>
      <c r="BP73" s="46">
        <f t="shared" si="166"/>
        <v>-24.121322874799262</v>
      </c>
      <c r="BQ73" s="129">
        <f>INDEX('Dist Plant Depreciation'!$D$7:$AC$94,MATCH($C73,'Dist Plant Depreciation'!$C$7:$C$94,0),MATCH(Calculation!$G73,'Dist Plant Depreciation'!$D$5:$AC$5,0))</f>
        <v>567189</v>
      </c>
      <c r="BR73" s="129">
        <f>INDEX('Gen. Plant Depreciation'!$D$7:$AC$94,MATCH($C73,'Gen. Plant Depreciation'!$C$7:$C$94,0),MATCH(Calculation!$G73,'Gen. Plant Depreciation'!$D$5:$AC$5,0))</f>
        <v>7280</v>
      </c>
      <c r="BS73" s="137">
        <v>1997</v>
      </c>
      <c r="BT73" s="137">
        <f>+BT74-1</f>
        <v>50</v>
      </c>
      <c r="BU73" s="333">
        <v>320.8283835677903</v>
      </c>
      <c r="BV73" s="93">
        <f t="shared" si="127"/>
        <v>3.7707390648567117E-2</v>
      </c>
      <c r="BW73" s="334">
        <f t="shared" si="60"/>
        <v>12.097601190339001</v>
      </c>
      <c r="BX73" s="334"/>
      <c r="BY73" s="129">
        <f>INDEX('Gross Dx Plant'!$D$7:$AC$91,MATCH($C73,'Gross Dx Plant'!$C$7:$C$91,0),MATCH(Calculation!$G73,'Gross Dx Plant'!$D$5:$AC$5,0))</f>
        <v>2505627</v>
      </c>
      <c r="BZ73" s="129">
        <f>INDEX('Gross Gen Plant'!$D$7:$AC$91,MATCH($C73,'Gross Gen Plant'!$C$7:$C$91,0),MATCH(Calculation!$G73,'Gross Gen Plant'!$D$5:$AC$5,0))</f>
        <v>21687</v>
      </c>
      <c r="CA73" s="129">
        <f t="shared" si="172"/>
        <v>1952845</v>
      </c>
      <c r="CB73" s="129"/>
      <c r="CC73" s="133">
        <v>2018</v>
      </c>
      <c r="CD73" s="129"/>
      <c r="CE73" s="129"/>
      <c r="CF73" s="129"/>
      <c r="CG73" s="137"/>
      <c r="CH73" s="129">
        <f t="shared" si="130"/>
        <v>256495</v>
      </c>
      <c r="CI73" s="46">
        <f t="shared" si="139"/>
        <v>256470.87867712521</v>
      </c>
      <c r="CJ73" s="46">
        <f t="shared" si="131"/>
        <v>339.6350274144603</v>
      </c>
      <c r="CK73" s="443">
        <v>0.75609756097560976</v>
      </c>
      <c r="CL73" s="46">
        <f>+CL53*CK73++CJ54*CK72+CJ55*CK71+CJ56*CK70+CJ57*CK69+CJ58*CK68+CJ59*CK67+CJ60*CK66+CJ61*CK65+CJ62*CK64+CJ63*CK63+CJ64*CK62+CJ65*CK61+CJ66*CK60+CJ67*CK59+CJ68*CK58+CJ69*CK57+CJ70*CK56+CJ71*CK55+CJ72*CK54+CJ73</f>
        <v>5347.6186722655493</v>
      </c>
      <c r="CM73" s="134">
        <f t="shared" si="132"/>
        <v>4.9699212660614313E-2</v>
      </c>
      <c r="CN73" s="135">
        <f t="shared" si="133"/>
        <v>1.5792739167000528E-2</v>
      </c>
      <c r="CO73" s="135">
        <f t="shared" si="143"/>
        <v>1.5596438380268881E-2</v>
      </c>
      <c r="CP73" s="134">
        <f>VLOOKUP($H73,RoR!$E:$F,2,FALSE)</f>
        <v>3.9299999999999995E-2</v>
      </c>
      <c r="CQ73" s="135">
        <v>2.386056741932796E-2</v>
      </c>
      <c r="CR73" s="135">
        <f t="shared" si="140"/>
        <v>1.5439432580672034E-2</v>
      </c>
      <c r="CS73" s="135">
        <f t="shared" si="144"/>
        <v>1.5305503228264744E-2</v>
      </c>
      <c r="CT73" s="56">
        <v>3.8270792163076606E-2</v>
      </c>
      <c r="CU73" s="139">
        <f t="shared" si="134"/>
        <v>0.90346083210000006</v>
      </c>
      <c r="CV73" s="335">
        <f t="shared" si="135"/>
        <v>1.3048868010700074</v>
      </c>
      <c r="CW73" s="335">
        <f t="shared" si="136"/>
        <v>0.33886768447837151</v>
      </c>
      <c r="CX73" s="335">
        <f t="shared" si="137"/>
        <v>0.78602506232557801</v>
      </c>
      <c r="CY73" s="335">
        <f t="shared" si="138"/>
        <v>0.34756768162358759</v>
      </c>
      <c r="CZ73" s="336">
        <f>INDEX('State Tax Lookup'!$D$7:$Z$91,MATCH(Calculation!$C73,'State Tax Lookup'!$B$7:$B$91,0),MATCH($H73,'State Tax Lookup'!$D$6:$Z$6,0))</f>
        <v>0.26091666999999996</v>
      </c>
      <c r="DA73" s="303">
        <v>0.37</v>
      </c>
      <c r="DB73" s="57">
        <f t="shared" si="142"/>
        <v>14.081491918866636</v>
      </c>
      <c r="DC73" s="56">
        <f t="shared" si="145"/>
        <v>4.3231011859598413E-2</v>
      </c>
      <c r="DD73" s="303">
        <f>VLOOKUP($H73,RoR!$E:$F,2,FALSE)</f>
        <v>3.9299999999999995E-2</v>
      </c>
      <c r="DE73" s="304">
        <f>HLOOKUP($H73,'GDP-PI'!$D$8:$CQ$11,3,FALSE)</f>
        <v>2.386056741932796E-2</v>
      </c>
      <c r="DF73" s="303">
        <f>VLOOKUP(H73,'HW Dx Data'!$E:$F,2,FALSE)</f>
        <v>755.13671434174842</v>
      </c>
      <c r="DG73" s="89">
        <f ca="1">VLOOKUP(CC73,'ECI - Input Price'!M$13:N$33,2,FALSE)</f>
        <v>144.44999999999999</v>
      </c>
      <c r="DH73" s="89"/>
      <c r="DI73" s="89"/>
      <c r="DJ73" s="56">
        <f t="shared" ca="1" si="153"/>
        <v>2.80818733619915E-2</v>
      </c>
      <c r="DK73" s="53">
        <f>HLOOKUP(H73,'GDP-PI'!$8:$9,2,FALSE)</f>
        <v>110.322</v>
      </c>
      <c r="DL73" s="355">
        <f t="shared" si="146"/>
        <v>2.3580352716508712E-2</v>
      </c>
      <c r="DP73" s="398"/>
      <c r="DQ73" s="398"/>
      <c r="DR73" s="398"/>
      <c r="DS73" s="398"/>
      <c r="DT73" s="398"/>
      <c r="DU73" s="398"/>
      <c r="DV73" s="398"/>
      <c r="DW73" s="398"/>
      <c r="DX73" s="398"/>
      <c r="DY73" s="398"/>
      <c r="EC73">
        <f t="shared" si="141"/>
        <v>2018</v>
      </c>
    </row>
    <row r="74" spans="1:133" s="126" customFormat="1" ht="21" customHeight="1" x14ac:dyDescent="0.4">
      <c r="A74" s="233" t="s">
        <v>181</v>
      </c>
      <c r="B74" s="127" t="s">
        <v>181</v>
      </c>
      <c r="C74" s="127">
        <v>4007784</v>
      </c>
      <c r="D74" s="127" t="s">
        <v>182</v>
      </c>
      <c r="E74" s="127"/>
      <c r="F74" s="127"/>
      <c r="G74" s="127" t="s">
        <v>175</v>
      </c>
      <c r="H74" s="128">
        <v>2019</v>
      </c>
      <c r="I74" s="129"/>
      <c r="J74" s="125">
        <f>IFERROR(INDEX('Labor Expenditures'!$E$7:$W$91,MATCH($C74,'Labor Expenditures'!$C$7:$C$91,0),MATCH($G74,'Labor Expenditures'!$E$5:$W$5,0)),"NA")</f>
        <v>92559.102092208152</v>
      </c>
      <c r="K74" s="125">
        <f t="shared" ca="1" si="147"/>
        <v>618.40054846973874</v>
      </c>
      <c r="L74" s="47"/>
      <c r="M74" s="131">
        <f t="shared" ca="1" si="154"/>
        <v>-7.035412181681972E-3</v>
      </c>
      <c r="N74" s="59"/>
      <c r="O74" s="59"/>
      <c r="P74" s="59">
        <f t="shared" ca="1" si="156"/>
        <v>-1.8690398193436925E-4</v>
      </c>
      <c r="Q74" s="61"/>
      <c r="R74" s="387"/>
      <c r="S74" s="49">
        <f t="shared" ca="1" si="161"/>
        <v>103.73540911169631</v>
      </c>
      <c r="T74" s="61">
        <f ca="1">+P74+P99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</f>
        <v>-8.2275103650304143E-3</v>
      </c>
      <c r="U74" s="61"/>
      <c r="V74" s="125">
        <f>IFERROR(INDEX('Non-Labor Expenditures'!$E$7:$AA$91,MATCH($C74,'Non-Labor Expenditures'!$C$7:$C$91,0),MATCH($G74,'Non-Labor Expenditures'!$E$5:$AA$5,0)),"NA")</f>
        <v>134042.86748513771</v>
      </c>
      <c r="W74" s="125">
        <f t="shared" si="148"/>
        <v>1193.4228483870593</v>
      </c>
      <c r="X74" s="131">
        <f t="shared" si="157"/>
        <v>1.0566666266087732E-2</v>
      </c>
      <c r="Y74" s="131">
        <f t="shared" si="158"/>
        <v>2.8071589125162162E-4</v>
      </c>
      <c r="Z74" s="131"/>
      <c r="AA74" s="131"/>
      <c r="AB74" s="131"/>
      <c r="AC74" s="125">
        <f t="shared" si="128"/>
        <v>76069.443164016033</v>
      </c>
      <c r="AD74" s="129"/>
      <c r="AE74" s="133">
        <v>6262.1752119199045</v>
      </c>
      <c r="AF74" s="134">
        <v>7.7572778472887849E-2</v>
      </c>
      <c r="AG74" s="59">
        <f t="shared" si="149"/>
        <v>2.0608119058106457E-3</v>
      </c>
      <c r="AH74" s="134"/>
      <c r="AI74" s="134"/>
      <c r="AJ74" s="129">
        <f t="shared" si="94"/>
        <v>302671.41274136188</v>
      </c>
      <c r="AK74" s="134">
        <f t="shared" si="159"/>
        <v>3.6281055837712815E-2</v>
      </c>
      <c r="AL74" s="129"/>
      <c r="AM74" s="129"/>
      <c r="AN74" s="129"/>
      <c r="AO74" s="129"/>
      <c r="AP74" s="133">
        <f t="shared" si="160"/>
        <v>442.62631139349327</v>
      </c>
      <c r="AQ74" s="134">
        <f>+BB74/Outputs!$B$27</f>
        <v>1.8154829787983644E-2</v>
      </c>
      <c r="AR74" s="93">
        <f t="shared" si="150"/>
        <v>0.30580721599664767</v>
      </c>
      <c r="AS74" s="93">
        <f t="shared" si="151"/>
        <v>0.44286596567241626</v>
      </c>
      <c r="AT74" s="93">
        <f t="shared" si="152"/>
        <v>0.25132681833093606</v>
      </c>
      <c r="AU74" s="93">
        <f t="shared" ca="1" si="155"/>
        <v>2.1807228874424701E-2</v>
      </c>
      <c r="AV74" s="132">
        <f t="shared" ca="1" si="162"/>
        <v>149.39439670781488</v>
      </c>
      <c r="AW74" s="134">
        <f t="shared" ca="1" si="163"/>
        <v>2.1807228874424774E-2</v>
      </c>
      <c r="AX74" s="56">
        <f>+AJ74/$AL$24</f>
        <v>2.656617368077014E-2</v>
      </c>
      <c r="AY74" s="135">
        <f t="shared" ca="1" si="164"/>
        <v>5.7933462977427411E-4</v>
      </c>
      <c r="AZ74" s="93"/>
      <c r="BA74" s="93"/>
      <c r="BB74" s="234">
        <f>IFERROR(INDEX('Total Customers'!$E$7:$AA$91,MATCH($C74,'Total Customers'!$C$7:$C$91,0),MATCH($G74,'Total Customers'!$E$5:$AA$5,0)),"NA")</f>
        <v>683808</v>
      </c>
      <c r="BC74" s="411">
        <f t="shared" si="171"/>
        <v>8.4664687058280189E-3</v>
      </c>
      <c r="BD74" s="92"/>
      <c r="BE74" s="281" t="str">
        <f t="shared" si="167"/>
        <v>BALTIMORE GAS AND ELECTRIC COMPANY</v>
      </c>
      <c r="BF74" s="290">
        <f t="shared" si="168"/>
        <v>4007784</v>
      </c>
      <c r="BG74" s="46" t="str">
        <f t="shared" si="169"/>
        <v>MD</v>
      </c>
      <c r="BH74" s="46"/>
      <c r="BI74" s="46" t="str">
        <f t="shared" si="170"/>
        <v>2019 Y</v>
      </c>
      <c r="BJ74" s="129"/>
      <c r="BK74" s="129"/>
      <c r="BL74" s="129">
        <f>INDEX('Dist. Plant Gas Additions'!$E$7:$AD$91,MATCH($C74,'Dist. Plant Gas Additions'!$C$7:$C$91,0),MATCH(Calculation!$G74,'Dist. Plant Gas Additions'!$E$5:$AD$5,0))</f>
        <v>399000</v>
      </c>
      <c r="BM74" s="129">
        <f>INDEX('Gen. Plant Additions'!$E$7:$AD$91,MATCH($C74,'Gen. Plant Additions'!$C$7:$C$91,0),MATCH(Calculation!$G74,'Gen. Plant Additions'!$E$5:$AD$5,0))</f>
        <v>2972</v>
      </c>
      <c r="BN74" s="393">
        <f t="shared" si="129"/>
        <v>0.99200238611227487</v>
      </c>
      <c r="BO74" s="46">
        <f t="shared" si="165"/>
        <v>2948.2310915256808</v>
      </c>
      <c r="BP74" s="46">
        <f t="shared" si="166"/>
        <v>-23.768908474319232</v>
      </c>
      <c r="BQ74" s="129">
        <f>INDEX('Dist Plant Depreciation'!$D$7:$AC$94,MATCH($C74,'Dist Plant Depreciation'!$C$7:$C$94,0),MATCH(Calculation!$G74,'Dist Plant Depreciation'!$D$5:$AC$5,0))</f>
        <v>578248</v>
      </c>
      <c r="BR74" s="129">
        <f>INDEX('Gen. Plant Depreciation'!$D$7:$AC$94,MATCH($C74,'Gen. Plant Depreciation'!$C$7:$C$94,0),MATCH(Calculation!$G74,'Gen. Plant Depreciation'!$D$5:$AC$5,0))</f>
        <v>6800</v>
      </c>
      <c r="BS74" s="137">
        <v>1998</v>
      </c>
      <c r="BT74" s="137">
        <v>51</v>
      </c>
      <c r="BU74" s="333">
        <v>325.62124608830305</v>
      </c>
      <c r="BV74" s="93">
        <f t="shared" si="127"/>
        <v>3.8461538461538464E-2</v>
      </c>
      <c r="BW74" s="334">
        <f t="shared" si="60"/>
        <v>12.52389408031935</v>
      </c>
      <c r="BX74" s="334"/>
      <c r="BY74" s="129">
        <f>INDEX('Gross Dx Plant'!$D$7:$AC$91,MATCH($C74,'Gross Dx Plant'!$C$7:$C$91,0),MATCH(Calculation!$G74,'Gross Dx Plant'!$D$5:$AC$5,0))</f>
        <v>2876921</v>
      </c>
      <c r="BZ74" s="129">
        <f>INDEX('Gross Gen Plant'!$D$7:$AC$91,MATCH($C74,'Gross Gen Plant'!$C$7:$C$91,0),MATCH(Calculation!$G74,'Gross Gen Plant'!$D$5:$AC$5,0))</f>
        <v>23194</v>
      </c>
      <c r="CA74" s="129">
        <f t="shared" si="172"/>
        <v>2315067</v>
      </c>
      <c r="CB74" s="129"/>
      <c r="CC74" s="133">
        <v>2019</v>
      </c>
      <c r="CD74" s="129"/>
      <c r="CE74" s="129"/>
      <c r="CF74" s="129"/>
      <c r="CG74" s="137"/>
      <c r="CH74" s="129">
        <f t="shared" si="130"/>
        <v>401972</v>
      </c>
      <c r="CI74" s="46">
        <f t="shared" si="139"/>
        <v>401948.2310915257</v>
      </c>
      <c r="CJ74" s="46">
        <f t="shared" si="131"/>
        <v>519.62225081811096</v>
      </c>
      <c r="CK74" s="443">
        <v>0.7407407407407407</v>
      </c>
      <c r="CL74" s="46">
        <f>CL53*CK74+CJ54*CK73+CJ55*CK72+CJ56*CK71+CJ57*CK70+CJ58*CK69+CJ59*CK68+CJ60*CK67+CJ61*CK66+CJ62*CK65+CJ63*CK64+CJ64*CK63+CJ65*CK62+CJ66*CK61+CJ67*CK60+CJ68*CK59+CJ69*CK58+CJ70*CK57+CJ71*CK56+CJ72*CK55+CJ73*CK54+CJ74</f>
        <v>5781.6331794715552</v>
      </c>
      <c r="CM74" s="134">
        <f t="shared" si="132"/>
        <v>7.8034845944371503E-2</v>
      </c>
      <c r="CN74" s="135">
        <f t="shared" si="133"/>
        <v>1.6008572947823312E-2</v>
      </c>
      <c r="CO74" s="135">
        <f t="shared" si="143"/>
        <v>1.5795722573335964E-2</v>
      </c>
      <c r="CP74" s="134">
        <f>VLOOKUP($H74,RoR!$E:$F,2,FALSE)</f>
        <v>3.3875000000000009E-2</v>
      </c>
      <c r="CQ74" s="135">
        <v>1.8092492884465461E-2</v>
      </c>
      <c r="CR74" s="135">
        <f t="shared" si="140"/>
        <v>1.5782507115534548E-2</v>
      </c>
      <c r="CS74" s="135">
        <f t="shared" si="144"/>
        <v>1.5106219035197661E-2</v>
      </c>
      <c r="CT74" s="56">
        <v>4.8445665544254078E-2</v>
      </c>
      <c r="CU74" s="139">
        <f t="shared" si="134"/>
        <v>0.90346083210000006</v>
      </c>
      <c r="CV74" s="335">
        <f t="shared" si="135"/>
        <v>1.513861292459078</v>
      </c>
      <c r="CW74" s="335">
        <f t="shared" si="136"/>
        <v>0.23699261992619944</v>
      </c>
      <c r="CX74" s="335">
        <f t="shared" si="137"/>
        <v>0.73619765810468829</v>
      </c>
      <c r="CY74" s="335">
        <f t="shared" si="138"/>
        <v>0.26412854465362851</v>
      </c>
      <c r="CZ74" s="336">
        <f>INDEX('State Tax Lookup'!$D$7:$Z$91,MATCH(Calculation!$C74,'State Tax Lookup'!$B$7:$B$91,0),MATCH($H74,'State Tax Lookup'!$D$6:$Z$6,0))</f>
        <v>0.26091666999999996</v>
      </c>
      <c r="DA74" s="303">
        <v>0.37</v>
      </c>
      <c r="DB74" s="57">
        <f t="shared" si="142"/>
        <v>14.224919132423626</v>
      </c>
      <c r="DC74" s="56">
        <f t="shared" si="145"/>
        <v>1.0133989841807385E-2</v>
      </c>
      <c r="DD74" s="303">
        <f>VLOOKUP($H74,RoR!$E:$F,2,FALSE)</f>
        <v>3.3875000000000009E-2</v>
      </c>
      <c r="DE74" s="304">
        <f>HLOOKUP($H74,'GDP-PI'!$D$8:$CQ$11,3,FALSE)</f>
        <v>1.8092492884465461E-2</v>
      </c>
      <c r="DF74" s="303">
        <f>VLOOKUP(H74,'HW Dx Data'!$E:$F,2,FALSE)</f>
        <v>773.53929793938721</v>
      </c>
      <c r="DG74" s="89">
        <f ca="1">VLOOKUP(CC74,'ECI - Input Price'!M$13:N$33,2,FALSE)</f>
        <v>149.67500000000001</v>
      </c>
      <c r="DH74" s="89"/>
      <c r="DI74" s="89"/>
      <c r="DJ74" s="56">
        <f t="shared" ca="1" si="153"/>
        <v>3.5532849899171604E-2</v>
      </c>
      <c r="DK74" s="53">
        <f>HLOOKUP(H74,'GDP-PI'!$8:$9,2,FALSE)</f>
        <v>112.318</v>
      </c>
      <c r="DL74" s="355">
        <f t="shared" si="146"/>
        <v>1.7930771451401852E-2</v>
      </c>
      <c r="DP74" s="398"/>
      <c r="DQ74" s="398"/>
      <c r="DR74" s="398"/>
      <c r="DS74" s="398"/>
      <c r="DT74" s="398"/>
      <c r="DU74" s="398"/>
      <c r="DV74" s="398"/>
      <c r="DW74" s="398"/>
      <c r="DX74" s="398"/>
      <c r="DY74" s="398"/>
      <c r="EC74">
        <f t="shared" si="141"/>
        <v>2019</v>
      </c>
    </row>
    <row r="75" spans="1:133" s="126" customFormat="1" ht="21" customHeight="1" x14ac:dyDescent="0.4">
      <c r="A75" s="233" t="s">
        <v>181</v>
      </c>
      <c r="B75" s="126" t="s">
        <v>181</v>
      </c>
      <c r="C75" s="126">
        <v>4007784</v>
      </c>
      <c r="D75" s="126" t="s">
        <v>182</v>
      </c>
      <c r="G75" s="127" t="s">
        <v>176</v>
      </c>
      <c r="H75" s="128">
        <v>2020</v>
      </c>
      <c r="I75" s="129"/>
      <c r="J75" s="125">
        <f>IFERROR(INDEX('Labor Expenditures'!$E$7:$W$91,MATCH($C75,'Labor Expenditures'!$C$7:$C$91,0),MATCH($G75,'Labor Expenditures'!$E$5:$W$5,0)),"NA")</f>
        <v>91499.463972828875</v>
      </c>
      <c r="K75" s="125">
        <f t="shared" ca="1" si="147"/>
        <v>597.44997696917312</v>
      </c>
      <c r="L75" s="47"/>
      <c r="M75" s="131">
        <f t="shared" ca="1" si="154"/>
        <v>-3.4465824443029577E-2</v>
      </c>
      <c r="N75" s="59"/>
      <c r="O75" s="59"/>
      <c r="P75" s="59">
        <f t="shared" ca="1" si="156"/>
        <v>-9.1975646600867184E-4</v>
      </c>
      <c r="Q75" s="61"/>
      <c r="R75" s="387"/>
      <c r="S75" s="49">
        <f t="shared" ca="1" si="161"/>
        <v>100.88366076248168</v>
      </c>
      <c r="T75" s="61">
        <f ca="1">+P75+P100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</f>
        <v>-2.787553486663839E-2</v>
      </c>
      <c r="U75" s="61"/>
      <c r="V75" s="125">
        <f>IFERROR(INDEX('Non-Labor Expenditures'!$E$7:$AA$91,MATCH($C75,'Non-Labor Expenditures'!$C$7:$C$91,0),MATCH($G75,'Non-Labor Expenditures'!$E$5:$AA$5,0)),"NA")</f>
        <v>132508.31357517588</v>
      </c>
      <c r="W75" s="125">
        <f t="shared" si="148"/>
        <v>1166.210305793509</v>
      </c>
      <c r="X75" s="131">
        <f t="shared" si="157"/>
        <v>-2.3066084707053736E-2</v>
      </c>
      <c r="Y75" s="131">
        <f t="shared" si="158"/>
        <v>-6.1554252357677185E-4</v>
      </c>
      <c r="Z75" s="131"/>
      <c r="AA75" s="131"/>
      <c r="AB75" s="131"/>
      <c r="AC75" s="125">
        <f t="shared" si="128"/>
        <v>85606.244224303911</v>
      </c>
      <c r="AD75" s="129"/>
      <c r="AE75" s="133">
        <v>6628.8341638774791</v>
      </c>
      <c r="AF75" s="134">
        <v>5.6901343485235512E-2</v>
      </c>
      <c r="AG75" s="59">
        <f t="shared" si="149"/>
        <v>1.5184716872690439E-3</v>
      </c>
      <c r="AH75" s="134"/>
      <c r="AI75" s="134"/>
      <c r="AJ75" s="129">
        <f t="shared" si="94"/>
        <v>309614.02177230868</v>
      </c>
      <c r="AK75" s="134">
        <f t="shared" si="159"/>
        <v>2.2678659978479312E-2</v>
      </c>
      <c r="AL75" s="129"/>
      <c r="AM75" s="129"/>
      <c r="AN75" s="129"/>
      <c r="AO75" s="129"/>
      <c r="AP75" s="133">
        <f t="shared" si="160"/>
        <v>454.77435895628241</v>
      </c>
      <c r="AQ75" s="134">
        <f>+BB75/Outputs!$B$28</f>
        <v>1.7947541860211857E-2</v>
      </c>
      <c r="AR75" s="93">
        <f t="shared" si="150"/>
        <v>0.29552751987478759</v>
      </c>
      <c r="AS75" s="93">
        <f t="shared" si="151"/>
        <v>0.42797904570556883</v>
      </c>
      <c r="AT75" s="93">
        <f t="shared" si="152"/>
        <v>0.27649343441964352</v>
      </c>
      <c r="AU75" s="93">
        <f t="shared" ca="1" si="155"/>
        <v>-5.38940036848784E-3</v>
      </c>
      <c r="AV75" s="132">
        <f t="shared" ca="1" si="162"/>
        <v>148.59141622638799</v>
      </c>
      <c r="AW75" s="134">
        <f t="shared" ca="1" si="163"/>
        <v>-5.3894003684877619E-3</v>
      </c>
      <c r="AX75" s="56">
        <f>+AJ75/$AL$25</f>
        <v>2.6686042793753185E-2</v>
      </c>
      <c r="AY75" s="135">
        <f t="shared" ca="1" si="164"/>
        <v>-1.4382176886613361E-4</v>
      </c>
      <c r="AZ75" s="93"/>
      <c r="BA75" s="93"/>
      <c r="BB75" s="234">
        <v>680808</v>
      </c>
      <c r="BC75" s="411">
        <f t="shared" si="171"/>
        <v>-4.3968483926135893E-3</v>
      </c>
      <c r="BD75" s="92"/>
      <c r="BE75" s="281" t="str">
        <f t="shared" si="167"/>
        <v>BALTIMORE GAS AND ELECTRIC COMPANY</v>
      </c>
      <c r="BF75" s="290">
        <f t="shared" si="168"/>
        <v>4007784</v>
      </c>
      <c r="BG75" s="46" t="str">
        <f t="shared" si="169"/>
        <v>MD</v>
      </c>
      <c r="BH75" s="46"/>
      <c r="BI75" s="46" t="str">
        <f t="shared" si="170"/>
        <v>2020 Y</v>
      </c>
      <c r="BJ75" s="129"/>
      <c r="BK75" s="129"/>
      <c r="BL75" s="129">
        <f>INDEX('Dist. Plant Gas Additions'!$E$7:$AD$91,MATCH($C75,'Dist. Plant Gas Additions'!$C$7:$C$91,0),MATCH(Calculation!$G75,'Dist. Plant Gas Additions'!$E$5:$AD$5,0))</f>
        <v>336562</v>
      </c>
      <c r="BM75" s="129">
        <f>INDEX('Gen. Plant Additions'!$E$7:$AD$91,MATCH($C75,'Gen. Plant Additions'!$C$7:$C$91,0),MATCH(Calculation!$G75,'Gen. Plant Additions'!$E$5:$AD$5,0))</f>
        <v>7847</v>
      </c>
      <c r="BN75" s="393">
        <f t="shared" si="129"/>
        <v>0.99045896458813398</v>
      </c>
      <c r="BO75" s="46">
        <f t="shared" si="165"/>
        <v>7772.131495123087</v>
      </c>
      <c r="BP75" s="46">
        <f t="shared" si="166"/>
        <v>-74.868504876912993</v>
      </c>
      <c r="BQ75" s="129">
        <f>INDEX('Dist Plant Depreciation'!$D$7:$AC$94,MATCH($C75,'Dist Plant Depreciation'!$C$7:$C$94,0),MATCH(Calculation!$G75,'Dist Plant Depreciation'!$D$5:$AC$5,0))</f>
        <v>604946</v>
      </c>
      <c r="BR75" s="129">
        <f>INDEX('Gen. Plant Depreciation'!$D$7:$AC$94,MATCH($C75,'Gen. Plant Depreciation'!$C$7:$C$94,0),MATCH(Calculation!$G75,'Gen. Plant Depreciation'!$D$5:$AC$5,0))</f>
        <v>7847</v>
      </c>
      <c r="BS75" s="129"/>
      <c r="BT75" s="129"/>
      <c r="BU75" s="129"/>
      <c r="BV75" s="93"/>
      <c r="BW75" s="129"/>
      <c r="BX75" s="129"/>
      <c r="BY75" s="129">
        <f>INDEX('Gross Dx Plant'!$D$7:$AC$91,MATCH($C75,'Gross Dx Plant'!$C$7:$C$91,0),MATCH(Calculation!$G75,'Gross Dx Plant'!$D$5:$AC$5,0))</f>
        <v>3183762</v>
      </c>
      <c r="BZ75" s="129">
        <f>INDEX('Gross Gen Plant'!$D$7:$AC$91,MATCH($C75,'Gross Gen Plant'!$C$7:$C$91,0),MATCH(Calculation!$G75,'Gross Gen Plant'!$D$5:$AC$5,0))</f>
        <v>30669</v>
      </c>
      <c r="CA75" s="129">
        <f t="shared" si="172"/>
        <v>2601638</v>
      </c>
      <c r="CB75" s="129"/>
      <c r="CC75" s="133">
        <v>2020</v>
      </c>
      <c r="CD75" s="129"/>
      <c r="CE75" s="129"/>
      <c r="CF75" s="129"/>
      <c r="CG75" s="137"/>
      <c r="CH75" s="129">
        <f t="shared" si="130"/>
        <v>344409</v>
      </c>
      <c r="CI75" s="46">
        <f t="shared" si="139"/>
        <v>344334.13149512309</v>
      </c>
      <c r="CJ75" s="46">
        <f t="shared" si="131"/>
        <v>423.49346029279991</v>
      </c>
      <c r="CK75" s="443">
        <v>0.72499999999999998</v>
      </c>
      <c r="CL75" s="46">
        <f>CL53*CK75+CJ54*CK74+CJ55*CK73+CJ56*CK72+CJ57*CK71+CJ58*CK70+CJ59*CK69+CJ60*CK68+CJ61*CK67+CJ62*CK66+CJ63*CK65+CJ64*CK64+CJ65*CK63+CJ66*CK62+CJ67*CK61+CJ68*CK60+CJ69*CK59+CJ70*CK58+CJ71*CK57+CJ72*CK56+CJ73*CK55+CJ74*CK54+CJ75</f>
        <v>6112.353145773448</v>
      </c>
      <c r="CM75" s="134">
        <f t="shared" si="132"/>
        <v>5.5625629506468474E-2</v>
      </c>
      <c r="CN75" s="135">
        <f t="shared" si="133"/>
        <v>1.6046243528612565E-2</v>
      </c>
      <c r="CO75" s="135">
        <f t="shared" si="143"/>
        <v>1.59491852144788E-2</v>
      </c>
      <c r="CP75" s="134">
        <f>VLOOKUP($H75,RoR!$E:$F,2,FALSE)</f>
        <v>2.4766666666666666E-2</v>
      </c>
      <c r="CQ75" s="135">
        <v>1.1618796630994188E-2</v>
      </c>
      <c r="CR75" s="135">
        <f t="shared" si="140"/>
        <v>1.3147870035672478E-2</v>
      </c>
      <c r="CS75" s="135">
        <f t="shared" si="144"/>
        <v>1.4952756394054825E-2</v>
      </c>
      <c r="CT75" s="56">
        <v>4.5144642961987357E-2</v>
      </c>
      <c r="CU75" s="139">
        <f t="shared" si="134"/>
        <v>0.90346083210000006</v>
      </c>
      <c r="CV75" s="335">
        <f t="shared" si="135"/>
        <v>2.0706077233668081</v>
      </c>
      <c r="CW75" s="335">
        <f t="shared" si="136"/>
        <v>-3.4421265141318998E-2</v>
      </c>
      <c r="CX75" s="335">
        <f t="shared" si="137"/>
        <v>0.62416226176410472</v>
      </c>
      <c r="CY75" s="335">
        <f t="shared" si="138"/>
        <v>-4.4485877841158712E-2</v>
      </c>
      <c r="CZ75" s="336">
        <f>INDEX('State Tax Lookup'!$D$7:$Z$91,MATCH(Calculation!$C75,'State Tax Lookup'!$B$7:$B$91,0),MATCH($H75,'State Tax Lookup'!$D$6:$Z$6,0))</f>
        <v>0.26091666999999996</v>
      </c>
      <c r="DA75" s="303">
        <v>0.37</v>
      </c>
      <c r="DB75" s="57">
        <f t="shared" si="142"/>
        <v>14.806585192616522</v>
      </c>
      <c r="DC75" s="56">
        <f t="shared" si="145"/>
        <v>4.00767321531574E-2</v>
      </c>
      <c r="DD75" s="303">
        <f>VLOOKUP($H75,RoR!$E:$F,2,FALSE)</f>
        <v>2.4766666666666666E-2</v>
      </c>
      <c r="DE75" s="304">
        <f>HLOOKUP($H75,'GDP-PI'!$D$8:$CQ$11,3,FALSE)</f>
        <v>1.1618796630994188E-2</v>
      </c>
      <c r="DF75" s="303">
        <f>VLOOKUP(H75,'HW Dx Data'!$E:$F,2,FALSE)</f>
        <v>813.080162458833</v>
      </c>
      <c r="DG75" s="89">
        <f ca="1">VLOOKUP(CC75,'ECI - Input Price'!M$13:N$33,2,FALSE)</f>
        <v>153.15</v>
      </c>
      <c r="DH75" s="89"/>
      <c r="DI75" s="89"/>
      <c r="DJ75" s="56">
        <f t="shared" ca="1" si="153"/>
        <v>2.2951556467368479E-2</v>
      </c>
      <c r="DK75" s="53">
        <f>HLOOKUP(H75,'GDP-PI'!$8:$9,2,FALSE)</f>
        <v>113.623</v>
      </c>
      <c r="DL75" s="355">
        <f t="shared" si="146"/>
        <v>1.1551816731392881E-2</v>
      </c>
      <c r="DP75" s="398"/>
      <c r="DQ75" s="398"/>
      <c r="DR75" s="398"/>
      <c r="DS75" s="398"/>
      <c r="DT75" s="398"/>
      <c r="DU75" s="398"/>
      <c r="DV75" s="398"/>
      <c r="DW75" s="398"/>
      <c r="DX75" s="398"/>
      <c r="DY75" s="398"/>
      <c r="EC75">
        <f t="shared" si="141"/>
        <v>2020</v>
      </c>
    </row>
    <row r="76" spans="1:133" s="126" customFormat="1" ht="21" customHeight="1" x14ac:dyDescent="0.4">
      <c r="A76" s="233" t="s">
        <v>181</v>
      </c>
      <c r="B76" s="126" t="s">
        <v>181</v>
      </c>
      <c r="C76" s="126">
        <v>4007784</v>
      </c>
      <c r="D76" s="126" t="s">
        <v>182</v>
      </c>
      <c r="G76" s="127" t="s">
        <v>177</v>
      </c>
      <c r="H76" s="128">
        <v>2021</v>
      </c>
      <c r="I76" s="129"/>
      <c r="J76" s="125">
        <f>IFERROR(INDEX('Labor Expenditures'!$D$7:$W$91,MATCH($C76,'Labor Expenditures'!$C$7:$C$91,0),MATCH($G76,'Labor Expenditures'!$D$5:$W$5,0)),"NA")</f>
        <v>97613.497409951407</v>
      </c>
      <c r="K76" s="125">
        <f t="shared" ca="1" si="147"/>
        <v>620.75356063562106</v>
      </c>
      <c r="L76" s="47"/>
      <c r="M76" s="130">
        <f t="shared" ca="1" si="154"/>
        <v>3.8263600646548587E-2</v>
      </c>
      <c r="N76" s="59"/>
      <c r="O76" s="59"/>
      <c r="P76" s="59">
        <f t="shared" ca="1" si="156"/>
        <v>9.320743831094751E-4</v>
      </c>
      <c r="Q76" s="61"/>
      <c r="R76" s="387"/>
      <c r="S76" s="132">
        <f ca="1">+S75*EXP(T76)</f>
        <v>106.05362489658737</v>
      </c>
      <c r="T76" s="134">
        <f ca="1">+P76+P101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</f>
        <v>4.9976882154886888E-2</v>
      </c>
      <c r="U76" s="134"/>
      <c r="V76" s="125">
        <v>137599.74936101586</v>
      </c>
      <c r="W76" s="125">
        <f t="shared" si="148"/>
        <v>1161.2773175881159</v>
      </c>
      <c r="X76" s="131">
        <f t="shared" si="157"/>
        <v>-4.2389016743035867E-3</v>
      </c>
      <c r="Y76" s="131">
        <f t="shared" si="158"/>
        <v>-1.0325666158902425E-4</v>
      </c>
      <c r="Z76" s="131"/>
      <c r="AA76" s="131"/>
      <c r="AB76" s="131"/>
      <c r="AC76" s="125">
        <f t="shared" si="128"/>
        <v>77686.178779710084</v>
      </c>
      <c r="AD76" s="129"/>
      <c r="AE76" s="133">
        <v>6934.6431365647632</v>
      </c>
      <c r="AF76" s="134">
        <v>3.8862560818863592E-2</v>
      </c>
      <c r="AG76" s="59">
        <f t="shared" si="149"/>
        <v>9.466646313789623E-4</v>
      </c>
      <c r="AH76" s="134"/>
      <c r="AI76" s="134"/>
      <c r="AJ76" s="129">
        <f t="shared" si="94"/>
        <v>312899.42555067735</v>
      </c>
      <c r="AK76" s="134">
        <f t="shared" si="159"/>
        <v>1.0555384133005183E-2</v>
      </c>
      <c r="AL76" s="129"/>
      <c r="AM76" s="134"/>
      <c r="AN76" s="134"/>
      <c r="AO76" s="134"/>
      <c r="AP76" s="133">
        <f t="shared" si="160"/>
        <v>461.62981730414077</v>
      </c>
      <c r="AQ76" s="134">
        <f>+BB76/Outputs!$B$29</f>
        <v>1.755710904699069E-2</v>
      </c>
      <c r="AR76" s="93">
        <f t="shared" si="150"/>
        <v>0.31196445067982997</v>
      </c>
      <c r="AS76" s="93">
        <f t="shared" si="151"/>
        <v>0.43975711722337479</v>
      </c>
      <c r="AT76" s="93">
        <f t="shared" si="152"/>
        <v>0.24827843209679523</v>
      </c>
      <c r="AU76" s="93">
        <f t="shared" ca="1" si="155"/>
        <v>1.9980280230958568E-2</v>
      </c>
      <c r="AV76" s="132">
        <f t="shared" ca="1" si="162"/>
        <v>151.5901725979673</v>
      </c>
      <c r="AW76" s="134">
        <f t="shared" ca="1" si="163"/>
        <v>1.9980280230958582E-2</v>
      </c>
      <c r="AX76" s="56">
        <f>+AJ76/$AL$26</f>
        <v>2.4359296233496235E-2</v>
      </c>
      <c r="AY76" s="135">
        <f t="shared" ca="1" si="164"/>
        <v>4.8670556497418867E-4</v>
      </c>
      <c r="AZ76" s="93"/>
      <c r="BA76" s="93"/>
      <c r="BB76" s="234">
        <f>+BB75*(1+BC75)</f>
        <v>677814.59043952159</v>
      </c>
      <c r="BC76" s="411">
        <f t="shared" si="171"/>
        <v>-4.4065429579665883E-3</v>
      </c>
      <c r="BD76" s="91"/>
      <c r="BE76" s="281" t="str">
        <f t="shared" si="167"/>
        <v>BALTIMORE GAS AND ELECTRIC COMPANY</v>
      </c>
      <c r="BF76" s="290">
        <f t="shared" si="168"/>
        <v>4007784</v>
      </c>
      <c r="BG76" s="46" t="str">
        <f t="shared" si="169"/>
        <v>MD</v>
      </c>
      <c r="BH76" s="46"/>
      <c r="BI76" s="46" t="str">
        <f t="shared" si="170"/>
        <v>2021 Y</v>
      </c>
      <c r="BJ76" s="129"/>
      <c r="BK76" s="129"/>
      <c r="BL76" s="129">
        <f>INDEX('Dist. Plant Gas Additions'!$D$7:$AD$91,MATCH($C76,'Dist. Plant Gas Additions'!$C$7:$C$91,0),MATCH(Calculation!$G76,'Dist. Plant Gas Additions'!$D$5:$AD$5,0))</f>
        <v>401846.52</v>
      </c>
      <c r="BM76" s="129">
        <f>INDEX('Gen. Plant Additions'!$D$7:$AD$91,MATCH($C76,'Gen. Plant Additions'!$C$7:$C$91,0),MATCH(Calculation!$G76,'Gen. Plant Additions'!$D$5:$AD$5,0))</f>
        <v>4808.8159999999998</v>
      </c>
      <c r="BN76" s="393">
        <v>0.99045896458813398</v>
      </c>
      <c r="BO76" s="46">
        <f t="shared" si="165"/>
        <v>4762.9349162548515</v>
      </c>
      <c r="BP76" s="46">
        <f t="shared" si="166"/>
        <v>-45.881083745148317</v>
      </c>
      <c r="BQ76" s="129"/>
      <c r="BR76" s="129"/>
      <c r="BS76" s="137"/>
      <c r="BT76" s="137">
        <f>SUM(BT22:BT74)</f>
        <v>1326</v>
      </c>
      <c r="BU76" s="333"/>
      <c r="BV76" s="93"/>
      <c r="BW76" s="334">
        <f>SUM(BW22:BW74)</f>
        <v>201.71943868802228</v>
      </c>
      <c r="BX76" s="334"/>
      <c r="BY76" s="129"/>
      <c r="BZ76" s="129"/>
      <c r="CA76" s="129"/>
      <c r="CB76" s="129"/>
      <c r="CC76" s="133">
        <v>2021</v>
      </c>
      <c r="CD76" s="129"/>
      <c r="CE76" s="129"/>
      <c r="CF76" s="129"/>
      <c r="CG76" s="137"/>
      <c r="CH76" s="129">
        <f t="shared" si="130"/>
        <v>406655.33600000001</v>
      </c>
      <c r="CI76" s="46">
        <f t="shared" si="139"/>
        <v>406609.45491625485</v>
      </c>
      <c r="CJ76" s="46">
        <f t="shared" si="131"/>
        <v>435.7981241156005</v>
      </c>
      <c r="CK76" s="443">
        <v>0.70886075949367089</v>
      </c>
      <c r="CL76" s="129">
        <f>CL53*CK76+CJ54*CK75+CJ55*CK74+CJ56*CK73+CJ57*CK72+CJ58*CK71+CJ59*CK70+CJ60*CK69+CJ61*CK68+CJ62*CK67+CJ63*CK66+CJ64*CK65+CJ65*CK64+CJ66*CK63+CJ67*CK62+CJ58*CK61+CJ69*CK60+CJ70*CK59+CJ71*CK58+CJ72*CK57+CJ73*CK56+CJ74*CK55+CJ76+CJ75*CK54</f>
        <v>6383.2334957264402</v>
      </c>
      <c r="CM76" s="134">
        <f>AVERAGE(CM62:CM75)</f>
        <v>3.5796703577109505E-2</v>
      </c>
      <c r="CN76" s="135">
        <f t="shared" si="133"/>
        <v>2.6981061177174481E-2</v>
      </c>
      <c r="CO76" s="135">
        <f t="shared" si="143"/>
        <v>1.9678625884536786E-2</v>
      </c>
      <c r="CP76" s="134">
        <f>VLOOKUP($H76,RoR!$E:$F,2,FALSE)</f>
        <v>2.7033333333333336E-2</v>
      </c>
      <c r="CQ76" s="135"/>
      <c r="CR76" s="135"/>
      <c r="CS76" s="135">
        <f>+$CR$2-CO76</f>
        <v>1.1223315723996839E-2</v>
      </c>
      <c r="CT76" s="135">
        <v>7.433422950153494E-2</v>
      </c>
      <c r="CU76" s="139">
        <f t="shared" si="134"/>
        <v>0.90346083210000006</v>
      </c>
      <c r="CV76" s="335">
        <f t="shared" si="135"/>
        <v>1.8969932656739068</v>
      </c>
      <c r="CW76" s="335">
        <f t="shared" si="136"/>
        <v>5.0215782983970621E-2</v>
      </c>
      <c r="CX76" s="335">
        <f t="shared" si="137"/>
        <v>0.655952481704143</v>
      </c>
      <c r="CY76" s="335">
        <f t="shared" si="138"/>
        <v>6.2485378865697057E-2</v>
      </c>
      <c r="CZ76" s="336">
        <f>CZ75</f>
        <v>0.26091666999999996</v>
      </c>
      <c r="DA76" s="303">
        <v>0.37</v>
      </c>
      <c r="DB76" s="141">
        <f t="shared" si="142"/>
        <v>12.70970065488253</v>
      </c>
      <c r="DC76" s="135">
        <f t="shared" si="145"/>
        <v>-0.15270649427110622</v>
      </c>
      <c r="DD76" s="336">
        <f>VLOOKUP($H76,RoR!$E:$F,2,FALSE)</f>
        <v>2.7033333333333336E-2</v>
      </c>
      <c r="DE76" s="342">
        <f>HLOOKUP($H76,'GDP-PI'!$D$8:$CR$11,3,FALSE)</f>
        <v>4.2834637353352578E-2</v>
      </c>
      <c r="DF76" s="336">
        <f>VLOOKUP(H76,'HW Dx Data'!$E:$F,2,FALSE)</f>
        <v>933.02249921662576</v>
      </c>
      <c r="DG76" s="89">
        <f ca="1">VLOOKUP(CC76,'ECI - Input Price'!M$13:N$33,2,FALSE)</f>
        <v>157.25</v>
      </c>
      <c r="DH76" s="89"/>
      <c r="DI76" s="89"/>
      <c r="DJ76" s="135">
        <f t="shared" ca="1" si="153"/>
        <v>2.6419062301765574E-2</v>
      </c>
      <c r="DK76" s="137">
        <f>HLOOKUP(H76,'GDP-PI'!$8:$9,2,FALSE)</f>
        <v>118.49</v>
      </c>
      <c r="DL76" s="356">
        <f t="shared" si="146"/>
        <v>4.194261824609434E-2</v>
      </c>
      <c r="DP76" s="398"/>
      <c r="DQ76" s="398"/>
      <c r="DR76" s="398"/>
      <c r="DS76" s="398"/>
      <c r="DT76" s="398"/>
      <c r="DU76" s="398"/>
      <c r="DV76" s="398"/>
      <c r="DW76" s="398"/>
      <c r="DX76" s="398"/>
      <c r="DY76" s="398"/>
      <c r="EC76">
        <f t="shared" si="141"/>
        <v>2021</v>
      </c>
    </row>
    <row r="77" spans="1:133" s="126" customFormat="1" ht="21" customHeight="1" thickBot="1" x14ac:dyDescent="0.45">
      <c r="A77" s="235"/>
      <c r="B77" s="236"/>
      <c r="C77" s="236"/>
      <c r="D77" s="236"/>
      <c r="E77" s="236"/>
      <c r="F77" s="236"/>
      <c r="G77" s="237" t="s">
        <v>178</v>
      </c>
      <c r="H77" s="238"/>
      <c r="I77" s="239"/>
      <c r="J77" s="240">
        <v>89007</v>
      </c>
      <c r="K77" s="240">
        <f t="shared" ca="1" si="147"/>
        <v>547.56690249154099</v>
      </c>
      <c r="L77" s="47"/>
      <c r="M77" s="241">
        <f t="shared" ref="M77" ca="1" si="173">LN(K77/K76)</f>
        <v>-0.1254495098368939</v>
      </c>
      <c r="N77" s="59"/>
      <c r="O77" s="59"/>
      <c r="P77" s="242">
        <f t="shared" ca="1" si="156"/>
        <v>-3.1289140836904907E-3</v>
      </c>
      <c r="Q77" s="61"/>
      <c r="R77" s="387"/>
      <c r="S77" s="206">
        <f ca="1">+S76*EXP(T77)</f>
        <v>105.72253240028728</v>
      </c>
      <c r="T77" s="243">
        <f ca="1">+P77+P102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</f>
        <v>-3.1268181487805477E-3</v>
      </c>
      <c r="U77" s="243"/>
      <c r="V77" s="239">
        <v>125468</v>
      </c>
      <c r="W77" s="240">
        <f t="shared" si="148"/>
        <v>985.99607072691549</v>
      </c>
      <c r="X77" s="244">
        <f t="shared" ref="X77" si="174">LN(W77/W76)</f>
        <v>-0.16362344461611281</v>
      </c>
      <c r="Y77" s="244">
        <f t="shared" si="158"/>
        <v>-4.0810338832487098E-3</v>
      </c>
      <c r="Z77" s="206"/>
      <c r="AA77" s="243"/>
      <c r="AB77" s="243"/>
      <c r="AC77" s="240">
        <f t="shared" si="128"/>
        <v>115568.03857838592</v>
      </c>
      <c r="AD77" s="244">
        <f t="shared" ref="AD77" si="175">LN(AC77/AC76)</f>
        <v>0.39718207285570734</v>
      </c>
      <c r="AE77" s="245">
        <v>7331.8108456796281</v>
      </c>
      <c r="AF77" s="243">
        <v>5.5692937058299738E-2</v>
      </c>
      <c r="AG77" s="242">
        <f t="shared" si="149"/>
        <v>1.3890721083754591E-3</v>
      </c>
      <c r="AH77" s="206"/>
      <c r="AI77" s="243"/>
      <c r="AJ77" s="239">
        <f t="shared" si="94"/>
        <v>330043.03857838595</v>
      </c>
      <c r="AK77" s="243">
        <f t="shared" si="159"/>
        <v>5.3341251105833355E-2</v>
      </c>
      <c r="AL77" s="239"/>
      <c r="AM77" s="243"/>
      <c r="AN77" s="243"/>
      <c r="AO77" s="243"/>
      <c r="AP77" s="245">
        <f t="shared" si="160"/>
        <v>486.92229886106918</v>
      </c>
      <c r="AQ77" s="243"/>
      <c r="AR77" s="207">
        <f t="shared" si="150"/>
        <v>0.26968300977771009</v>
      </c>
      <c r="AS77" s="207">
        <f t="shared" si="151"/>
        <v>0.38015648062275692</v>
      </c>
      <c r="AT77" s="207">
        <f t="shared" si="152"/>
        <v>0.35016050959953293</v>
      </c>
      <c r="AU77" s="207"/>
      <c r="AV77" s="206"/>
      <c r="AW77" s="243"/>
      <c r="AX77" s="248">
        <f>+AJ77/$AL$27</f>
        <v>2.4941620638921757E-2</v>
      </c>
      <c r="AY77" s="249"/>
      <c r="AZ77" s="206"/>
      <c r="BA77" s="243"/>
      <c r="BB77" s="250">
        <v>677814.59043952159</v>
      </c>
      <c r="BC77" s="412">
        <f t="shared" si="171"/>
        <v>0</v>
      </c>
      <c r="BD77" s="91"/>
      <c r="BE77" s="401">
        <f t="shared" si="167"/>
        <v>0</v>
      </c>
      <c r="BF77" s="402">
        <f t="shared" si="168"/>
        <v>0</v>
      </c>
      <c r="BG77" s="313">
        <f t="shared" si="169"/>
        <v>0</v>
      </c>
      <c r="BH77" s="313"/>
      <c r="BI77" s="313" t="str">
        <f t="shared" si="170"/>
        <v>2022Y</v>
      </c>
      <c r="BJ77" s="239"/>
      <c r="BK77" s="239"/>
      <c r="BL77" s="239"/>
      <c r="BM77" s="239"/>
      <c r="BN77" s="415">
        <v>0.99045896458813398</v>
      </c>
      <c r="BO77" s="313">
        <f t="shared" si="165"/>
        <v>0</v>
      </c>
      <c r="BP77" s="313">
        <f t="shared" si="166"/>
        <v>0</v>
      </c>
      <c r="BQ77" s="239"/>
      <c r="BR77" s="239"/>
      <c r="BS77" s="310"/>
      <c r="BT77" s="310"/>
      <c r="BU77" s="311"/>
      <c r="BV77" s="207"/>
      <c r="BW77" s="312"/>
      <c r="BX77" s="312"/>
      <c r="BY77" s="239"/>
      <c r="BZ77" s="239"/>
      <c r="CA77" s="239"/>
      <c r="CB77" s="239"/>
      <c r="CC77" s="245">
        <v>2022</v>
      </c>
      <c r="CD77" s="239"/>
      <c r="CE77" s="239"/>
      <c r="CF77" s="239"/>
      <c r="CG77" s="310"/>
      <c r="CH77" s="239">
        <v>393563</v>
      </c>
      <c r="CI77" s="313">
        <f t="shared" si="139"/>
        <v>393563</v>
      </c>
      <c r="CJ77" s="313">
        <f t="shared" si="131"/>
        <v>381.79974971139205</v>
      </c>
      <c r="CK77" s="443">
        <v>0.69230769230769229</v>
      </c>
      <c r="CL77" s="239">
        <f>+CL53*CK77+CJ54*CK76+CJ55*CK75+CJ56*CK74+CJ57*CK73+CJ58*CK72+CJ59*CK71+CJ60*CK70+CJ61*CK69+CJ62*CK68+CJ63*CK67+CJ64*CK66+CJ65*CK65+CJ66*CK64+CJ67*CK63+CJ68*CK62+CJ69*CK61+CJ70*CK60+CJ71*CK59+CJ72*CK58+CJ73*CK57+CJ74*CK56+CJ75*CK55+CJ76*CK54+CJ77*CK53</f>
        <v>6724.949478206192</v>
      </c>
      <c r="CM77" s="243">
        <f t="shared" ref="CM77" si="176">LN(CL77/CL76)</f>
        <v>5.2149626445225888E-2</v>
      </c>
      <c r="CN77" s="249">
        <f t="shared" si="133"/>
        <v>6.2795395560065661E-3</v>
      </c>
      <c r="CO77" s="249">
        <f t="shared" si="143"/>
        <v>1.6435614753931203E-2</v>
      </c>
      <c r="CP77" s="243"/>
      <c r="CQ77" s="249"/>
      <c r="CR77" s="249"/>
      <c r="CS77" s="248">
        <f t="shared" si="144"/>
        <v>1.4466326854602422E-2</v>
      </c>
      <c r="CT77" s="249">
        <v>0.10114668178709289</v>
      </c>
      <c r="CU77" s="314">
        <f t="shared" si="134"/>
        <v>0.90346083210000006</v>
      </c>
      <c r="CV77" s="315"/>
      <c r="CW77" s="315"/>
      <c r="CX77" s="315"/>
      <c r="CY77" s="315"/>
      <c r="CZ77" s="316">
        <f>CZ76</f>
        <v>0.26091666999999996</v>
      </c>
      <c r="DA77" s="360">
        <v>0.37</v>
      </c>
      <c r="DB77" s="318">
        <f t="shared" si="142"/>
        <v>18.104936730852547</v>
      </c>
      <c r="DC77" s="249">
        <f t="shared" si="145"/>
        <v>0.35381911565668711</v>
      </c>
      <c r="DD77" s="316">
        <v>0.04</v>
      </c>
      <c r="DE77" s="319">
        <v>7.0000000000000001E-3</v>
      </c>
      <c r="DF77" s="316">
        <v>1030.81</v>
      </c>
      <c r="DG77" s="89">
        <f ca="1">VLOOKUP(CC77,'ECI - Input Price'!M$13:N$33,2,FALSE)</f>
        <v>162.55000000000001</v>
      </c>
      <c r="DH77" s="89"/>
      <c r="DI77" s="89"/>
      <c r="DJ77" s="249">
        <f t="shared" ca="1" si="153"/>
        <v>3.3148751169364422E-2</v>
      </c>
      <c r="DK77" s="310">
        <v>127.25</v>
      </c>
      <c r="DL77" s="357">
        <f t="shared" si="146"/>
        <v>7.1325086601983473E-2</v>
      </c>
      <c r="DP77" s="398"/>
      <c r="DQ77" s="398"/>
      <c r="DR77" s="398"/>
      <c r="DS77" s="398"/>
      <c r="DT77" s="398"/>
      <c r="DU77" s="398"/>
      <c r="DV77" s="398"/>
      <c r="DW77" s="398"/>
      <c r="DX77" s="398"/>
      <c r="DY77" s="398"/>
      <c r="EC77">
        <f t="shared" si="141"/>
        <v>2022</v>
      </c>
    </row>
    <row r="78" spans="1:133" s="126" customFormat="1" ht="21" customHeight="1" x14ac:dyDescent="0.4">
      <c r="A78" s="251" t="s">
        <v>185</v>
      </c>
      <c r="B78" s="252" t="s">
        <v>186</v>
      </c>
      <c r="C78" s="252">
        <v>4057110</v>
      </c>
      <c r="D78" s="252" t="s">
        <v>187</v>
      </c>
      <c r="E78" s="252" t="s">
        <v>15</v>
      </c>
      <c r="F78" s="252"/>
      <c r="G78" s="252" t="s">
        <v>150</v>
      </c>
      <c r="H78" s="253">
        <v>1998</v>
      </c>
      <c r="I78" s="254"/>
      <c r="J78" s="255"/>
      <c r="K78" s="255"/>
      <c r="L78" s="47"/>
      <c r="M78" s="255"/>
      <c r="N78" s="255"/>
      <c r="O78" s="255"/>
      <c r="P78" s="219"/>
      <c r="Q78" s="218"/>
      <c r="R78" s="385"/>
      <c r="S78" s="257"/>
      <c r="T78" s="258"/>
      <c r="U78" s="258"/>
      <c r="V78" s="259"/>
      <c r="W78" s="259"/>
      <c r="X78" s="259"/>
      <c r="Y78" s="255"/>
      <c r="Z78" s="259"/>
      <c r="AA78" s="259"/>
      <c r="AB78" s="259"/>
      <c r="AC78" s="255"/>
      <c r="AD78" s="254"/>
      <c r="AE78" s="260">
        <v>159.72679782155851</v>
      </c>
      <c r="AF78" s="256"/>
      <c r="AG78" s="225"/>
      <c r="AH78" s="256"/>
      <c r="AI78" s="256"/>
      <c r="AJ78" s="254">
        <f t="shared" si="94"/>
        <v>0</v>
      </c>
      <c r="AK78" s="254"/>
      <c r="AL78" s="254"/>
      <c r="AM78" s="256"/>
      <c r="AN78" s="256"/>
      <c r="AO78" s="256"/>
      <c r="AP78" s="226">
        <f>+(AP75+AP76+AP77)/3</f>
        <v>467.77549170716412</v>
      </c>
      <c r="AQ78" s="256"/>
      <c r="AR78" s="261"/>
      <c r="AS78" s="261"/>
      <c r="AT78" s="261"/>
      <c r="AU78" s="261"/>
      <c r="AV78" s="261"/>
      <c r="AW78" s="256">
        <f ca="1">AVERAGE(AW87:AW101)</f>
        <v>2.7194615350120199E-2</v>
      </c>
      <c r="AX78" s="223"/>
      <c r="AY78" s="261"/>
      <c r="AZ78" s="261"/>
      <c r="BA78" s="261"/>
      <c r="BB78" s="262">
        <f>IFERROR(INDEX('Total Customers'!$E$7:$AA$91,MATCH($C78,'Total Customers'!$C$7:$C$91,0),MATCH($G78,'Total Customers'!$E$5:$AA$5,0)),"NA")</f>
        <v>32854</v>
      </c>
      <c r="BC78" s="413"/>
      <c r="BD78" s="92"/>
      <c r="BE78" s="407" t="str">
        <f t="shared" si="167"/>
        <v>BERKSHIRE GAS COMPANY</v>
      </c>
      <c r="BF78" s="408">
        <f t="shared" si="168"/>
        <v>4057110</v>
      </c>
      <c r="BG78" s="218" t="str">
        <f t="shared" si="169"/>
        <v>MA</v>
      </c>
      <c r="BH78" s="218"/>
      <c r="BI78" s="218" t="str">
        <f t="shared" si="170"/>
        <v>1998 Y</v>
      </c>
      <c r="BJ78" s="254">
        <f>INDEX('Gross Dx Plant'!$D$7:$AC$91,MATCH($C78,'Gross Dx Plant'!$C$7:$C$91,0),MATCH(Calculation!$G78,'Gross Dx Plant'!$D$5:$AC$5,0))</f>
        <v>43857</v>
      </c>
      <c r="BK78" s="254">
        <f>INDEX('Gross Gen Plant'!$D$7:$AC$91,MATCH($C78,'Gross Gen Plant'!$C$7:$C$91,0),MATCH(Calculation!$G78,'Gross Gen Plant'!$D$5:$AC$5,0))</f>
        <v>9239</v>
      </c>
      <c r="BL78" s="254">
        <f>INDEX('Dist. Plant Gas Additions'!$E$7:$AD$91,MATCH($C78,'Dist. Plant Gas Additions'!$C$7:$C$91,0),MATCH(Calculation!$G78,'Dist. Plant Gas Additions'!$E$5:$AD$5,0))</f>
        <v>5166</v>
      </c>
      <c r="BM78" s="254">
        <f>INDEX('Gen. Plant Additions'!$E$7:$AD$91,MATCH($C78,'Gen. Plant Additions'!$C$7:$C$91,0),MATCH(Calculation!$G78,'Gen. Plant Additions'!$E$5:$AD$5,0))</f>
        <v>294</v>
      </c>
      <c r="BN78" s="409">
        <f>+(BY78/(BY78+BZ78))</f>
        <v>0.82599442519210486</v>
      </c>
      <c r="BO78" s="218">
        <f t="shared" si="165"/>
        <v>242.84236100647882</v>
      </c>
      <c r="BP78" s="218">
        <f t="shared" si="166"/>
        <v>-51.157638993521175</v>
      </c>
      <c r="BQ78" s="254"/>
      <c r="BR78" s="254"/>
      <c r="BS78" s="323">
        <v>1998</v>
      </c>
      <c r="BT78" s="265"/>
      <c r="BU78" s="410">
        <v>325.62124608830305</v>
      </c>
      <c r="BV78" s="254"/>
      <c r="BW78" s="254"/>
      <c r="BX78" s="254"/>
      <c r="BY78" s="254">
        <f>INDEX('Gross Dx Plant'!$D$7:$AC$91,MATCH($C78,'Gross Dx Plant'!$C$7:$C$91,0),MATCH(Calculation!$G78,'Gross Dx Plant'!$D$5:$AC$5,0))</f>
        <v>43857</v>
      </c>
      <c r="BZ78" s="254">
        <f>INDEX('Gross Gen Plant'!$D$7:$AC$91,MATCH($C78,'Gross Gen Plant'!$C$7:$C$91,0),MATCH(Calculation!$G78,'Gross Gen Plant'!$D$5:$AC$5,0))</f>
        <v>9239</v>
      </c>
      <c r="CA78" s="254">
        <f>+BY78+BZ78-32455</f>
        <v>20641</v>
      </c>
      <c r="CB78" s="254"/>
      <c r="CC78" s="260">
        <v>1998</v>
      </c>
      <c r="CD78" s="254">
        <f>BJ78+BK78</f>
        <v>53096</v>
      </c>
      <c r="CE78" s="254">
        <v>20876</v>
      </c>
      <c r="CF78" s="254">
        <f>+CD78-CE78</f>
        <v>32220</v>
      </c>
      <c r="CG78" s="254">
        <f>CF78/$BX$3</f>
        <v>159.72679782155851</v>
      </c>
      <c r="CH78" s="323"/>
      <c r="CI78" s="344"/>
      <c r="CJ78" s="344"/>
      <c r="CK78" s="443">
        <v>1</v>
      </c>
      <c r="CL78" s="254">
        <f>+CG78</f>
        <v>159.72679782155851</v>
      </c>
      <c r="CM78" s="256"/>
      <c r="CN78" s="325"/>
      <c r="CO78" s="325"/>
      <c r="CP78" s="256" t="e">
        <f>VLOOKUP($H78,RoR!$E:$F,2,FALSE)</f>
        <v>#N/A</v>
      </c>
      <c r="CQ78" s="325">
        <v>1.1028127770464469E-2</v>
      </c>
      <c r="CR78" s="325"/>
      <c r="CS78" s="325"/>
      <c r="CT78" s="326"/>
      <c r="CU78" s="327"/>
      <c r="CV78" s="331" t="e">
        <f>2/(DD78*39)</f>
        <v>#N/A</v>
      </c>
      <c r="CW78" s="328" t="e">
        <f>+(DD78*40-(1+DD78))/(DD78*40)</f>
        <v>#N/A</v>
      </c>
      <c r="CX78" s="328" t="e">
        <f>+(1-(1/(1+DD78)^40))</f>
        <v>#N/A</v>
      </c>
      <c r="CY78" s="328" t="e">
        <f>+CX78*CW78*CV78</f>
        <v>#N/A</v>
      </c>
      <c r="CZ78" s="329">
        <f>INDEX('State Tax Lookup'!$D$7:$Z$91,MATCH(Calculation!$C78,'State Tax Lookup'!$B$7:$B$91,0),MATCH($H78,'State Tax Lookup'!$D$6:$Z$6,0))</f>
        <v>0.40700500000000001</v>
      </c>
      <c r="DA78" s="351">
        <v>0.37</v>
      </c>
      <c r="DB78" s="344"/>
      <c r="DC78" s="326"/>
      <c r="DD78" s="351" t="e">
        <f>VLOOKUP($H78,RoR!$E:$F,2,FALSE)</f>
        <v>#N/A</v>
      </c>
      <c r="DE78" s="354">
        <f>HLOOKUP($H78,'GDP-PI'!$D$8:$CQ$11,3,FALSE)</f>
        <v>1.1028127770464469E-2</v>
      </c>
      <c r="DF78" s="351">
        <f>VLOOKUP(H78,'HW Dx Data'!$E:$F,2,FALSE)</f>
        <v>329.24564746449528</v>
      </c>
      <c r="DG78" s="351"/>
      <c r="DH78" s="351"/>
      <c r="DI78" s="351"/>
      <c r="DJ78" s="326"/>
      <c r="DK78" s="344">
        <f>HLOOKUP(H78,'GDP-PI'!$8:$9,2,FALSE)</f>
        <v>75.266999999999996</v>
      </c>
      <c r="DL78" s="292"/>
      <c r="DP78" s="398"/>
      <c r="DQ78" s="398"/>
      <c r="DR78" s="398"/>
      <c r="DS78" s="398"/>
      <c r="DT78" s="398"/>
      <c r="DU78" s="398"/>
      <c r="DV78" s="398"/>
      <c r="DW78" s="398"/>
      <c r="DX78" s="398"/>
      <c r="EC78">
        <v>1998</v>
      </c>
    </row>
    <row r="79" spans="1:133" s="126" customFormat="1" ht="21" customHeight="1" x14ac:dyDescent="0.4">
      <c r="A79" s="233" t="s">
        <v>185</v>
      </c>
      <c r="B79" s="127" t="s">
        <v>186</v>
      </c>
      <c r="C79" s="127">
        <v>4057110</v>
      </c>
      <c r="D79" s="127" t="s">
        <v>187</v>
      </c>
      <c r="E79" s="127" t="s">
        <v>15</v>
      </c>
      <c r="F79" s="127"/>
      <c r="G79" s="127" t="s">
        <v>155</v>
      </c>
      <c r="H79" s="128">
        <v>1999</v>
      </c>
      <c r="I79" s="129"/>
      <c r="J79" s="125"/>
      <c r="K79" s="125"/>
      <c r="L79" s="47"/>
      <c r="M79" s="125"/>
      <c r="N79" s="125"/>
      <c r="O79" s="125"/>
      <c r="P79" s="47"/>
      <c r="Q79" s="47"/>
      <c r="R79" s="386"/>
      <c r="S79" s="119"/>
      <c r="T79" s="47"/>
      <c r="U79" s="46"/>
      <c r="V79" s="135"/>
      <c r="W79" s="135"/>
      <c r="X79" s="135"/>
      <c r="Y79" s="143"/>
      <c r="Z79" s="135"/>
      <c r="AA79" s="135"/>
      <c r="AB79" s="135"/>
      <c r="AC79" s="125">
        <f t="shared" ref="AC79:AC102" si="177">+CL78*DB79</f>
        <v>0</v>
      </c>
      <c r="AD79" s="129"/>
      <c r="AE79" s="133">
        <v>164.99491221001517</v>
      </c>
      <c r="AF79" s="134">
        <v>3.2449796178763021E-2</v>
      </c>
      <c r="AG79" s="61"/>
      <c r="AH79" s="134"/>
      <c r="AI79" s="134"/>
      <c r="AJ79" s="129">
        <f t="shared" si="94"/>
        <v>0</v>
      </c>
      <c r="AK79" s="134"/>
      <c r="AL79" s="129"/>
      <c r="AM79" s="134"/>
      <c r="AN79" s="134"/>
      <c r="AO79" s="134"/>
      <c r="AP79" s="133"/>
      <c r="AQ79" s="134"/>
      <c r="AR79" s="93"/>
      <c r="AS79" s="93"/>
      <c r="AT79" s="93"/>
      <c r="AU79" s="93"/>
      <c r="AV79" s="93"/>
      <c r="AW79" s="134"/>
      <c r="AX79" s="62"/>
      <c r="AY79" s="93"/>
      <c r="AZ79" s="93"/>
      <c r="BA79" s="93"/>
      <c r="BB79" s="234">
        <f>IFERROR(INDEX('Total Customers'!$E$7:$AA$91,MATCH($C79,'Total Customers'!$C$7:$C$91,0),MATCH($G79,'Total Customers'!$E$5:$AA$5,0)),"NA")</f>
        <v>33944</v>
      </c>
      <c r="BC79" s="411">
        <f t="shared" si="171"/>
        <v>3.2638604781015643E-2</v>
      </c>
      <c r="BD79" s="92"/>
      <c r="BE79" s="281" t="str">
        <f t="shared" si="167"/>
        <v>BERKSHIRE GAS COMPANY</v>
      </c>
      <c r="BF79" s="290">
        <f t="shared" si="168"/>
        <v>4057110</v>
      </c>
      <c r="BG79" s="46" t="str">
        <f t="shared" si="169"/>
        <v>MA</v>
      </c>
      <c r="BH79" s="46"/>
      <c r="BI79" s="46" t="str">
        <f t="shared" si="170"/>
        <v>1999 Y</v>
      </c>
      <c r="BJ79" s="129"/>
      <c r="BK79" s="129"/>
      <c r="BL79" s="129">
        <f>INDEX('Dist. Plant Gas Additions'!$E$7:$AD$91,MATCH($C79,'Dist. Plant Gas Additions'!$C$7:$C$91,0),MATCH(Calculation!$G79,'Dist. Plant Gas Additions'!$E$5:$AD$5,0))</f>
        <v>1884</v>
      </c>
      <c r="BM79" s="129">
        <f>INDEX('Gen. Plant Additions'!$E$7:$AD$91,MATCH($C79,'Gen. Plant Additions'!$C$7:$C$91,0),MATCH(Calculation!$G79,'Gen. Plant Additions'!$E$5:$AD$5,0))</f>
        <v>149</v>
      </c>
      <c r="BN79" s="393">
        <f t="shared" ref="BN79:BN100" si="178">+(BY79/(BY79+BZ79))</f>
        <v>0.84656153531446421</v>
      </c>
      <c r="BO79" s="46">
        <f t="shared" si="165"/>
        <v>126.13766876185517</v>
      </c>
      <c r="BP79" s="46">
        <f t="shared" si="166"/>
        <v>-22.862331238144833</v>
      </c>
      <c r="BQ79" s="129"/>
      <c r="BR79" s="129"/>
      <c r="BS79" s="137">
        <v>1999</v>
      </c>
      <c r="BT79" s="129"/>
      <c r="BU79" s="333">
        <v>331.4896082321045</v>
      </c>
      <c r="BV79" s="129"/>
      <c r="BW79" s="129"/>
      <c r="BX79" s="129"/>
      <c r="BY79" s="129">
        <f>INDEX('Gross Dx Plant'!$D$7:$AC$91,MATCH($C79,'Gross Dx Plant'!$C$7:$C$91,0),MATCH(Calculation!$G79,'Gross Dx Plant'!$D$5:$AC$5,0))</f>
        <v>45523</v>
      </c>
      <c r="BZ79" s="129">
        <f>INDEX('Gross Gen Plant'!$D$7:$AC$91,MATCH($C79,'Gross Gen Plant'!$C$7:$C$91,0),MATCH(Calculation!$G79,'Gross Gen Plant'!$D$5:$AC$5,0))</f>
        <v>8251</v>
      </c>
      <c r="CA79" s="129">
        <f t="shared" si="172"/>
        <v>53774</v>
      </c>
      <c r="CB79" s="129"/>
      <c r="CC79" s="133">
        <v>1999</v>
      </c>
      <c r="CD79" s="129"/>
      <c r="CE79" s="129"/>
      <c r="CF79" s="129"/>
      <c r="CG79" s="137"/>
      <c r="CH79" s="129">
        <f t="shared" ref="CH79:CH101" si="179">+BM79+BL79</f>
        <v>2033</v>
      </c>
      <c r="CI79" s="46">
        <f>+CH79+BP79</f>
        <v>2010.1376687618551</v>
      </c>
      <c r="CJ79" s="46">
        <f t="shared" ref="CJ79:CJ102" si="180">+CI79/$DF79</f>
        <v>5.9945954519190128</v>
      </c>
      <c r="CK79" s="443">
        <v>0.99009900990099009</v>
      </c>
      <c r="CL79" s="46">
        <f>+CL78*CK79+CJ79</f>
        <v>164.13993982969973</v>
      </c>
      <c r="CM79" s="134">
        <f t="shared" ref="CM79:CM101" si="181">LN(CL79/CL78)</f>
        <v>2.7254513466767806E-2</v>
      </c>
      <c r="CN79" s="135">
        <f t="shared" ref="CN79:CN102" si="182">+(CL78-CL79+CJ79)/CL78</f>
        <v>9.9009900990098022E-3</v>
      </c>
      <c r="CO79" s="135"/>
      <c r="CP79" s="134">
        <f>VLOOKUP($H79,RoR!$E:$F,2,FALSE)</f>
        <v>7.0416666666666669E-2</v>
      </c>
      <c r="CQ79" s="135">
        <v>1.4335631817396832E-2</v>
      </c>
      <c r="CR79" s="135">
        <f>+CP79-CQ79</f>
        <v>5.6081034849269837E-2</v>
      </c>
      <c r="CS79" s="135"/>
      <c r="CT79" s="56"/>
      <c r="CU79" s="139">
        <f t="shared" ref="CU79:CU102" si="183">1-CZ79*DA79</f>
        <v>0.84940815000000003</v>
      </c>
      <c r="CV79" s="335">
        <f t="shared" ref="CV79:CV101" si="184">2/(DD79*39)</f>
        <v>0.72826581702321336</v>
      </c>
      <c r="CW79" s="335">
        <f t="shared" ref="CW79:CW101" si="185">+(DD79*40-(1+DD79))/(DD79*40)</f>
        <v>0.61997041420118348</v>
      </c>
      <c r="CX79" s="335">
        <f t="shared" ref="CX79:CX101" si="186">+(1-(1/(1+DD79)^40))</f>
        <v>0.93425155319585029</v>
      </c>
      <c r="CY79" s="335">
        <f t="shared" ref="CY79:CY101" si="187">+CX79*CW79*CV79</f>
        <v>0.42181762214141483</v>
      </c>
      <c r="CZ79" s="336">
        <f>INDEX('State Tax Lookup'!$D$7:$Z$91,MATCH(Calculation!$C79,'State Tax Lookup'!$B$7:$B$91,0),MATCH($H79,'State Tax Lookup'!$D$6:$Z$6,0))</f>
        <v>0.40700500000000001</v>
      </c>
      <c r="DA79" s="303">
        <v>0.37</v>
      </c>
      <c r="DB79" s="57"/>
      <c r="DC79" s="56"/>
      <c r="DD79" s="303">
        <f>VLOOKUP($H79,RoR!$E:$F,2,FALSE)</f>
        <v>7.0416666666666669E-2</v>
      </c>
      <c r="DE79" s="304">
        <f>HLOOKUP($H79,'GDP-PI'!$D$8:$CQ$11,3,FALSE)</f>
        <v>1.4335631817396832E-2</v>
      </c>
      <c r="DF79" s="303">
        <f>VLOOKUP(H79,'HW Dx Data'!$E:$F,2,FALSE)</f>
        <v>335.32499146683239</v>
      </c>
      <c r="DG79" s="89"/>
      <c r="DH79" s="89"/>
      <c r="DI79" s="89"/>
      <c r="DJ79" s="56"/>
      <c r="DK79" s="53">
        <f>HLOOKUP(H79,'GDP-PI'!$8:$9,2,FALSE)</f>
        <v>76.346000000000004</v>
      </c>
      <c r="DL79" s="298"/>
      <c r="DP79" s="398"/>
      <c r="DQ79" s="398"/>
      <c r="DR79" s="398"/>
      <c r="DS79" s="398"/>
      <c r="DT79" s="398"/>
      <c r="DU79" s="398"/>
      <c r="DV79" s="398"/>
      <c r="DW79" s="398"/>
      <c r="DX79" s="398"/>
      <c r="EC79">
        <f>+EC78+1</f>
        <v>1999</v>
      </c>
    </row>
    <row r="80" spans="1:133" s="126" customFormat="1" ht="21" customHeight="1" x14ac:dyDescent="0.4">
      <c r="A80" s="233" t="s">
        <v>185</v>
      </c>
      <c r="B80" s="127" t="s">
        <v>186</v>
      </c>
      <c r="C80" s="127">
        <v>4057110</v>
      </c>
      <c r="D80" s="127" t="s">
        <v>187</v>
      </c>
      <c r="E80" s="127" t="s">
        <v>15</v>
      </c>
      <c r="F80" s="127"/>
      <c r="G80" s="127" t="s">
        <v>156</v>
      </c>
      <c r="H80" s="128">
        <v>2000</v>
      </c>
      <c r="I80" s="129"/>
      <c r="J80" s="125"/>
      <c r="K80" s="125"/>
      <c r="L80" s="47"/>
      <c r="M80" s="125"/>
      <c r="N80" s="125"/>
      <c r="O80" s="125"/>
      <c r="P80" s="47"/>
      <c r="Q80" s="47"/>
      <c r="R80" s="386"/>
      <c r="S80" s="119"/>
      <c r="T80" s="47"/>
      <c r="U80" s="47"/>
      <c r="V80" s="125"/>
      <c r="W80" s="125"/>
      <c r="X80" s="125"/>
      <c r="Y80" s="125"/>
      <c r="Z80" s="125"/>
      <c r="AA80" s="125"/>
      <c r="AB80" s="125"/>
      <c r="AC80" s="125">
        <f t="shared" si="177"/>
        <v>0</v>
      </c>
      <c r="AD80" s="129"/>
      <c r="AE80" s="133">
        <v>171.12368382001458</v>
      </c>
      <c r="AF80" s="134">
        <v>3.647195390802533E-2</v>
      </c>
      <c r="AG80" s="61"/>
      <c r="AH80" s="134"/>
      <c r="AI80" s="134"/>
      <c r="AJ80" s="129">
        <f t="shared" si="94"/>
        <v>0</v>
      </c>
      <c r="AK80" s="134"/>
      <c r="AL80" s="129"/>
      <c r="AM80" s="129"/>
      <c r="AN80" s="129"/>
      <c r="AO80" s="129"/>
      <c r="AP80" s="133"/>
      <c r="AQ80" s="134"/>
      <c r="AR80" s="93"/>
      <c r="AS80" s="93"/>
      <c r="AT80" s="93"/>
      <c r="AU80" s="93"/>
      <c r="AV80" s="93"/>
      <c r="AW80" s="134"/>
      <c r="AX80" s="62"/>
      <c r="AY80" s="93"/>
      <c r="AZ80" s="93"/>
      <c r="BA80" s="93"/>
      <c r="BB80" s="234">
        <f>IFERROR(INDEX('Total Customers'!$E$7:$AA$91,MATCH($C80,'Total Customers'!$C$7:$C$91,0),MATCH($G80,'Total Customers'!$E$5:$AA$5,0)),"NA")</f>
        <v>34005</v>
      </c>
      <c r="BC80" s="411">
        <f t="shared" si="171"/>
        <v>1.79546472757838E-3</v>
      </c>
      <c r="BD80" s="92"/>
      <c r="BE80" s="281" t="str">
        <f t="shared" si="167"/>
        <v>BERKSHIRE GAS COMPANY</v>
      </c>
      <c r="BF80" s="290">
        <f t="shared" si="168"/>
        <v>4057110</v>
      </c>
      <c r="BG80" s="46" t="str">
        <f t="shared" si="169"/>
        <v>MA</v>
      </c>
      <c r="BH80" s="46"/>
      <c r="BI80" s="46" t="str">
        <f t="shared" si="170"/>
        <v>2000 Y</v>
      </c>
      <c r="BJ80" s="129"/>
      <c r="BK80" s="129"/>
      <c r="BL80" s="129">
        <f>INDEX('Dist. Plant Gas Additions'!$E$7:$AD$91,MATCH($C80,'Dist. Plant Gas Additions'!$C$7:$C$91,0),MATCH(Calculation!$G80,'Dist. Plant Gas Additions'!$E$5:$AD$5,0))</f>
        <v>2234</v>
      </c>
      <c r="BM80" s="129">
        <f>INDEX('Gen. Plant Additions'!$E$7:$AD$91,MATCH($C80,'Gen. Plant Additions'!$C$7:$C$91,0),MATCH(Calculation!$G80,'Gen. Plant Additions'!$E$5:$AD$5,0))</f>
        <v>184</v>
      </c>
      <c r="BN80" s="393">
        <f t="shared" si="178"/>
        <v>0.83992506642708309</v>
      </c>
      <c r="BO80" s="46">
        <f t="shared" si="165"/>
        <v>154.54621222258328</v>
      </c>
      <c r="BP80" s="46">
        <f t="shared" si="166"/>
        <v>-29.453787777416721</v>
      </c>
      <c r="BQ80" s="129"/>
      <c r="BR80" s="129"/>
      <c r="BS80" s="137">
        <v>2000</v>
      </c>
      <c r="BT80" s="129"/>
      <c r="BU80" s="333">
        <v>342.35914635260616</v>
      </c>
      <c r="BV80" s="129"/>
      <c r="BW80" s="129"/>
      <c r="BX80" s="129"/>
      <c r="BY80" s="129">
        <f>INDEX('Gross Dx Plant'!$D$7:$AC$91,MATCH($C80,'Gross Dx Plant'!$C$7:$C$91,0),MATCH(Calculation!$G80,'Gross Dx Plant'!$D$5:$AC$5,0))</f>
        <v>43939</v>
      </c>
      <c r="BZ80" s="129">
        <f>INDEX('Gross Gen Plant'!$D$7:$AC$91,MATCH($C80,'Gross Gen Plant'!$C$7:$C$91,0),MATCH(Calculation!$G80,'Gross Gen Plant'!$D$5:$AC$5,0))</f>
        <v>8374</v>
      </c>
      <c r="CA80" s="129">
        <f t="shared" si="172"/>
        <v>52313</v>
      </c>
      <c r="CB80" s="129"/>
      <c r="CC80" s="133">
        <v>2000</v>
      </c>
      <c r="CD80" s="129"/>
      <c r="CE80" s="129"/>
      <c r="CF80" s="129"/>
      <c r="CG80" s="137"/>
      <c r="CH80" s="129">
        <f t="shared" si="179"/>
        <v>2418</v>
      </c>
      <c r="CI80" s="46">
        <f t="shared" ref="CI80:CI102" si="188">+CH80+BP80</f>
        <v>2388.5462122225831</v>
      </c>
      <c r="CJ80" s="46">
        <f t="shared" si="180"/>
        <v>6.8926805369424491</v>
      </c>
      <c r="CK80" s="443">
        <v>0.98</v>
      </c>
      <c r="CL80" s="46">
        <f>+CL78*CK80+CJ79*CK79+CJ80</f>
        <v>169.36018542377175</v>
      </c>
      <c r="CM80" s="134">
        <f t="shared" si="181"/>
        <v>3.1308366053510173E-2</v>
      </c>
      <c r="CN80" s="135">
        <f t="shared" si="182"/>
        <v>1.0189079785246824E-2</v>
      </c>
      <c r="CO80" s="135"/>
      <c r="CP80" s="134">
        <f>VLOOKUP($H80,RoR!$E:$F,2,FALSE)</f>
        <v>7.6225000000000001E-2</v>
      </c>
      <c r="CQ80" s="135">
        <v>2.2568307442433211E-2</v>
      </c>
      <c r="CR80" s="135">
        <f t="shared" ref="CR80:CR100" si="189">+CP80-CQ80</f>
        <v>5.365669255756679E-2</v>
      </c>
      <c r="CS80" s="135"/>
      <c r="CT80" s="56"/>
      <c r="CU80" s="139">
        <f t="shared" si="183"/>
        <v>0.84940815000000003</v>
      </c>
      <c r="CV80" s="335">
        <f t="shared" si="184"/>
        <v>0.67277207323124022</v>
      </c>
      <c r="CW80" s="335">
        <f t="shared" si="185"/>
        <v>0.6470236142997704</v>
      </c>
      <c r="CX80" s="335">
        <f t="shared" si="186"/>
        <v>0.94704866037543145</v>
      </c>
      <c r="CY80" s="335">
        <f t="shared" si="187"/>
        <v>0.41224973107878493</v>
      </c>
      <c r="CZ80" s="336">
        <f>INDEX('State Tax Lookup'!$D$7:$Z$91,MATCH(Calculation!$C80,'State Tax Lookup'!$B$7:$B$91,0),MATCH($H80,'State Tax Lookup'!$D$6:$Z$6,0))</f>
        <v>0.40700500000000001</v>
      </c>
      <c r="DA80" s="303">
        <v>0.37</v>
      </c>
      <c r="DB80" s="57"/>
      <c r="DC80" s="56"/>
      <c r="DD80" s="303">
        <f>VLOOKUP($H80,RoR!$E:$F,2,FALSE)</f>
        <v>7.6225000000000001E-2</v>
      </c>
      <c r="DE80" s="304">
        <f>HLOOKUP($H80,'GDP-PI'!$D$8:$CQ$11,3,FALSE)</f>
        <v>2.2568307442433211E-2</v>
      </c>
      <c r="DF80" s="303">
        <f>VLOOKUP(H80,'HW Dx Data'!$E:$F,2,FALSE)</f>
        <v>346.53371782150339</v>
      </c>
      <c r="DG80" s="89"/>
      <c r="DH80" s="89"/>
      <c r="DI80" s="89"/>
      <c r="DJ80" s="56"/>
      <c r="DK80" s="53">
        <f>HLOOKUP(H80,'GDP-PI'!$8:$9,2,FALSE)</f>
        <v>78.069000000000003</v>
      </c>
      <c r="DL80" s="298"/>
      <c r="DP80" s="398"/>
      <c r="DQ80" s="398"/>
      <c r="DR80" s="398"/>
      <c r="DS80" s="398"/>
      <c r="DT80" s="398"/>
      <c r="DU80" s="398"/>
      <c r="DV80" s="398"/>
      <c r="DW80" s="398"/>
      <c r="DX80" s="398"/>
      <c r="EC80">
        <f t="shared" ref="EC80:EC102" si="190">+EC79+1</f>
        <v>2000</v>
      </c>
    </row>
    <row r="81" spans="1:133" s="126" customFormat="1" ht="21" customHeight="1" x14ac:dyDescent="0.4">
      <c r="A81" s="233" t="s">
        <v>185</v>
      </c>
      <c r="B81" s="127" t="s">
        <v>186</v>
      </c>
      <c r="C81" s="127">
        <v>4057110</v>
      </c>
      <c r="D81" s="127" t="s">
        <v>187</v>
      </c>
      <c r="E81" s="127" t="s">
        <v>15</v>
      </c>
      <c r="F81" s="127"/>
      <c r="G81" s="127" t="s">
        <v>157</v>
      </c>
      <c r="H81" s="128">
        <v>2001</v>
      </c>
      <c r="I81" s="129"/>
      <c r="J81" s="125"/>
      <c r="K81" s="125"/>
      <c r="L81" s="47"/>
      <c r="M81" s="125"/>
      <c r="N81" s="125"/>
      <c r="O81" s="125"/>
      <c r="P81" s="47"/>
      <c r="Q81" s="47"/>
      <c r="R81" s="386"/>
      <c r="S81" s="119"/>
      <c r="T81" s="47"/>
      <c r="U81" s="47"/>
      <c r="V81" s="125"/>
      <c r="W81" s="125"/>
      <c r="X81" s="125"/>
      <c r="Y81" s="125"/>
      <c r="Z81" s="125"/>
      <c r="AA81" s="125"/>
      <c r="AB81" s="125"/>
      <c r="AC81" s="125">
        <f t="shared" si="177"/>
        <v>1781.6953636550161</v>
      </c>
      <c r="AD81" s="129"/>
      <c r="AE81" s="133">
        <v>176.28634721181072</v>
      </c>
      <c r="AF81" s="134">
        <v>2.9723053503721383E-2</v>
      </c>
      <c r="AG81" s="61"/>
      <c r="AH81" s="134"/>
      <c r="AI81" s="134"/>
      <c r="AJ81" s="129">
        <f t="shared" si="94"/>
        <v>1781.6953636550161</v>
      </c>
      <c r="AK81" s="134"/>
      <c r="AL81" s="129"/>
      <c r="AM81" s="129"/>
      <c r="AN81" s="129"/>
      <c r="AO81" s="129"/>
      <c r="AP81" s="133"/>
      <c r="AQ81" s="134"/>
      <c r="AR81" s="93"/>
      <c r="AS81" s="93"/>
      <c r="AT81" s="93"/>
      <c r="AU81" s="93"/>
      <c r="AV81" s="93"/>
      <c r="AW81" s="134"/>
      <c r="AX81" s="62"/>
      <c r="AY81" s="93"/>
      <c r="AZ81" s="93"/>
      <c r="BA81" s="93"/>
      <c r="BB81" s="234">
        <f>IFERROR(INDEX('Total Customers'!$E$7:$AA$91,MATCH($C81,'Total Customers'!$C$7:$C$91,0),MATCH($G81,'Total Customers'!$E$5:$AA$5,0)),"NA")</f>
        <v>33903</v>
      </c>
      <c r="BC81" s="411">
        <f t="shared" si="171"/>
        <v>-3.0040665814786006E-3</v>
      </c>
      <c r="BD81" s="92"/>
      <c r="BE81" s="281" t="str">
        <f t="shared" si="167"/>
        <v>BERKSHIRE GAS COMPANY</v>
      </c>
      <c r="BF81" s="290">
        <f t="shared" si="168"/>
        <v>4057110</v>
      </c>
      <c r="BG81" s="46" t="str">
        <f t="shared" si="169"/>
        <v>MA</v>
      </c>
      <c r="BH81" s="46"/>
      <c r="BI81" s="46" t="str">
        <f t="shared" si="170"/>
        <v>2001 Y</v>
      </c>
      <c r="BJ81" s="129"/>
      <c r="BK81" s="129"/>
      <c r="BL81" s="129">
        <f>INDEX('Dist. Plant Gas Additions'!$E$7:$AD$91,MATCH($C81,'Dist. Plant Gas Additions'!$C$7:$C$91,0),MATCH(Calculation!$G81,'Dist. Plant Gas Additions'!$E$5:$AD$5,0))</f>
        <v>2035</v>
      </c>
      <c r="BM81" s="129">
        <f>INDEX('Gen. Plant Additions'!$E$7:$AD$91,MATCH($C81,'Gen. Plant Additions'!$C$7:$C$91,0),MATCH(Calculation!$G81,'Gen. Plant Additions'!$E$5:$AD$5,0))</f>
        <v>99</v>
      </c>
      <c r="BN81" s="393">
        <f t="shared" si="178"/>
        <v>0.84534515046446512</v>
      </c>
      <c r="BO81" s="46">
        <f t="shared" si="165"/>
        <v>83.689169895982047</v>
      </c>
      <c r="BP81" s="46">
        <f t="shared" si="166"/>
        <v>-15.310830104017953</v>
      </c>
      <c r="BQ81" s="129"/>
      <c r="BR81" s="129"/>
      <c r="BS81" s="137">
        <v>2001</v>
      </c>
      <c r="BT81" s="129"/>
      <c r="BU81" s="333">
        <v>348.81246318631145</v>
      </c>
      <c r="BV81" s="129"/>
      <c r="BW81" s="129"/>
      <c r="BX81" s="129"/>
      <c r="BY81" s="129">
        <f>INDEX('Gross Dx Plant'!$D$7:$AC$91,MATCH($C81,'Gross Dx Plant'!$C$7:$C$91,0),MATCH(Calculation!$G81,'Gross Dx Plant'!$D$5:$AC$5,0))</f>
        <v>45592</v>
      </c>
      <c r="BZ81" s="129">
        <f>INDEX('Gross Gen Plant'!$D$7:$AC$91,MATCH($C81,'Gross Gen Plant'!$C$7:$C$91,0),MATCH(Calculation!$G81,'Gross Gen Plant'!$D$5:$AC$5,0))</f>
        <v>8341</v>
      </c>
      <c r="CA81" s="129">
        <f t="shared" si="172"/>
        <v>53933</v>
      </c>
      <c r="CB81" s="129"/>
      <c r="CC81" s="133">
        <v>2001</v>
      </c>
      <c r="CD81" s="129"/>
      <c r="CE81" s="129"/>
      <c r="CF81" s="129"/>
      <c r="CG81" s="137"/>
      <c r="CH81" s="129">
        <f t="shared" si="179"/>
        <v>2134</v>
      </c>
      <c r="CI81" s="46">
        <f t="shared" si="188"/>
        <v>2118.6891698959821</v>
      </c>
      <c r="CJ81" s="46">
        <f t="shared" si="180"/>
        <v>5.9943552809699163</v>
      </c>
      <c r="CK81" s="443">
        <v>0.96969696969696972</v>
      </c>
      <c r="CL81" s="46">
        <f>+CL78*CK81+CJ79*CK80+CJ80*CK78+CJ81</f>
        <v>173.64833118775883</v>
      </c>
      <c r="CM81" s="134">
        <f t="shared" si="181"/>
        <v>2.5004447262214499E-2</v>
      </c>
      <c r="CN81" s="135">
        <f t="shared" si="182"/>
        <v>1.0074442896443325E-2</v>
      </c>
      <c r="CO81" s="135">
        <f>+(CN81+CN80+CN79)/3</f>
        <v>1.0054837593566649E-2</v>
      </c>
      <c r="CP81" s="134">
        <f>VLOOKUP($H81,RoR!$E:$F,2,FALSE)</f>
        <v>7.0824999999999999E-2</v>
      </c>
      <c r="CQ81" s="135">
        <v>2.2454495382290052E-2</v>
      </c>
      <c r="CR81" s="135">
        <f t="shared" si="189"/>
        <v>4.8370504617709947E-2</v>
      </c>
      <c r="CS81" s="135">
        <f>+$CR$2-CO81</f>
        <v>2.0847104014966977E-2</v>
      </c>
      <c r="CT81" s="56">
        <v>2.3947275901631187E-2</v>
      </c>
      <c r="CU81" s="139">
        <f t="shared" si="183"/>
        <v>0.84940815000000003</v>
      </c>
      <c r="CV81" s="335">
        <f t="shared" si="184"/>
        <v>0.72406708481540816</v>
      </c>
      <c r="CW81" s="335">
        <f t="shared" si="185"/>
        <v>0.62201729615248857</v>
      </c>
      <c r="CX81" s="335">
        <f t="shared" si="186"/>
        <v>0.9352469954311422</v>
      </c>
      <c r="CY81" s="335">
        <f t="shared" si="187"/>
        <v>0.42121864641655071</v>
      </c>
      <c r="CZ81" s="336">
        <f>INDEX('State Tax Lookup'!$D$7:$Z$91,MATCH(Calculation!$C81,'State Tax Lookup'!$B$7:$B$91,0),MATCH($H81,'State Tax Lookup'!$D$6:$Z$6,0))</f>
        <v>0.40700500000000001</v>
      </c>
      <c r="DA81" s="303">
        <v>0.37</v>
      </c>
      <c r="DB81" s="57">
        <f t="shared" ref="DB81:DB102" si="191">+(DF81*CS81-CT81)*CU81/(1-CZ81)</f>
        <v>10.520154776619261</v>
      </c>
      <c r="DC81" s="56"/>
      <c r="DD81" s="303">
        <f>VLOOKUP($H81,RoR!$E:$F,2,FALSE)</f>
        <v>7.0824999999999999E-2</v>
      </c>
      <c r="DE81" s="304">
        <f>HLOOKUP($H81,'GDP-PI'!$D$8:$CQ$11,3,FALSE)</f>
        <v>2.2454495382290052E-2</v>
      </c>
      <c r="DF81" s="303">
        <f>VLOOKUP(H81,'HW Dx Data'!$E:$F,2,FALSE)</f>
        <v>353.44738017483138</v>
      </c>
      <c r="DG81" s="89"/>
      <c r="DH81" s="89"/>
      <c r="DI81" s="89"/>
      <c r="DJ81" s="56"/>
      <c r="DK81" s="53">
        <f>HLOOKUP(H81,'GDP-PI'!$8:$9,2,FALSE)</f>
        <v>79.822000000000003</v>
      </c>
      <c r="DL81" s="298"/>
      <c r="DP81" s="398"/>
      <c r="DQ81" s="398"/>
      <c r="DR81" s="398"/>
      <c r="DS81" s="398"/>
      <c r="DT81" s="398"/>
      <c r="DU81" s="398"/>
      <c r="DV81" s="398"/>
      <c r="DW81" s="398"/>
      <c r="DX81" s="398"/>
      <c r="EC81">
        <f t="shared" si="190"/>
        <v>2001</v>
      </c>
    </row>
    <row r="82" spans="1:133" s="126" customFormat="1" ht="21" customHeight="1" x14ac:dyDescent="0.4">
      <c r="A82" s="233" t="s">
        <v>185</v>
      </c>
      <c r="B82" s="127" t="s">
        <v>186</v>
      </c>
      <c r="C82" s="127">
        <v>4057110</v>
      </c>
      <c r="D82" s="127" t="s">
        <v>187</v>
      </c>
      <c r="E82" s="127" t="s">
        <v>15</v>
      </c>
      <c r="F82" s="127"/>
      <c r="G82" s="127" t="s">
        <v>158</v>
      </c>
      <c r="H82" s="128">
        <v>2002</v>
      </c>
      <c r="I82" s="129"/>
      <c r="J82" s="125"/>
      <c r="K82" s="125"/>
      <c r="L82" s="47"/>
      <c r="M82" s="125"/>
      <c r="N82" s="125"/>
      <c r="O82" s="125"/>
      <c r="P82" s="47"/>
      <c r="Q82" s="47"/>
      <c r="R82" s="386"/>
      <c r="S82" s="119"/>
      <c r="T82" s="47"/>
      <c r="U82" s="47"/>
      <c r="V82" s="125"/>
      <c r="W82" s="125"/>
      <c r="X82" s="125"/>
      <c r="Y82" s="125"/>
      <c r="Z82" s="125"/>
      <c r="AA82" s="125"/>
      <c r="AB82" s="125"/>
      <c r="AC82" s="125">
        <f t="shared" si="177"/>
        <v>1829.6809447243975</v>
      </c>
      <c r="AD82" s="129"/>
      <c r="AE82" s="133">
        <v>181.84779406436795</v>
      </c>
      <c r="AF82" s="134">
        <v>3.1060395090188979E-2</v>
      </c>
      <c r="AG82" s="61"/>
      <c r="AH82" s="134"/>
      <c r="AI82" s="134"/>
      <c r="AJ82" s="129">
        <f t="shared" si="94"/>
        <v>1829.6809447243975</v>
      </c>
      <c r="AK82" s="134"/>
      <c r="AL82" s="129"/>
      <c r="AM82" s="129"/>
      <c r="AN82" s="129"/>
      <c r="AO82" s="129"/>
      <c r="AP82" s="133"/>
      <c r="AQ82" s="134"/>
      <c r="AR82" s="93"/>
      <c r="AS82" s="93"/>
      <c r="AT82" s="93"/>
      <c r="AU82" s="93"/>
      <c r="AV82" s="93"/>
      <c r="AW82" s="134"/>
      <c r="AX82" s="62"/>
      <c r="AY82" s="93"/>
      <c r="AZ82" s="93"/>
      <c r="BA82" s="93"/>
      <c r="BB82" s="234">
        <f>IFERROR(INDEX('Total Customers'!$E$7:$AA$91,MATCH($C82,'Total Customers'!$C$7:$C$91,0),MATCH($G82,'Total Customers'!$E$5:$AA$5,0)),"NA")</f>
        <v>34469</v>
      </c>
      <c r="BC82" s="411">
        <f t="shared" si="171"/>
        <v>1.655686332785956E-2</v>
      </c>
      <c r="BD82" s="92"/>
      <c r="BE82" s="281" t="str">
        <f t="shared" si="167"/>
        <v>BERKSHIRE GAS COMPANY</v>
      </c>
      <c r="BF82" s="290">
        <f t="shared" si="168"/>
        <v>4057110</v>
      </c>
      <c r="BG82" s="46" t="str">
        <f t="shared" si="169"/>
        <v>MA</v>
      </c>
      <c r="BH82" s="46"/>
      <c r="BI82" s="46" t="str">
        <f t="shared" si="170"/>
        <v>2002 Y</v>
      </c>
      <c r="BJ82" s="129"/>
      <c r="BK82" s="129"/>
      <c r="BL82" s="129">
        <f>INDEX('Dist. Plant Gas Additions'!$E$7:$AD$91,MATCH($C82,'Dist. Plant Gas Additions'!$C$7:$C$91,0),MATCH(Calculation!$G82,'Dist. Plant Gas Additions'!$E$5:$AD$5,0))</f>
        <v>1930</v>
      </c>
      <c r="BM82" s="129">
        <f>INDEX('Gen. Plant Additions'!$E$7:$AD$91,MATCH($C82,'Gen. Plant Additions'!$C$7:$C$91,0),MATCH(Calculation!$G82,'Gen. Plant Additions'!$E$5:$AD$5,0))</f>
        <v>442</v>
      </c>
      <c r="BN82" s="393">
        <f t="shared" si="178"/>
        <v>0.84371074825049341</v>
      </c>
      <c r="BO82" s="46">
        <f t="shared" si="165"/>
        <v>372.92015072671808</v>
      </c>
      <c r="BP82" s="46">
        <f t="shared" si="166"/>
        <v>-69.079849273281923</v>
      </c>
      <c r="BQ82" s="129"/>
      <c r="BR82" s="129"/>
      <c r="BS82" s="137">
        <v>2002</v>
      </c>
      <c r="BT82" s="129"/>
      <c r="BU82" s="333">
        <v>356.65642736178768</v>
      </c>
      <c r="BV82" s="129"/>
      <c r="BW82" s="129"/>
      <c r="BX82" s="129"/>
      <c r="BY82" s="129">
        <f>INDEX('Gross Dx Plant'!$D$7:$AC$91,MATCH($C82,'Gross Dx Plant'!$C$7:$C$91,0),MATCH(Calculation!$G82,'Gross Dx Plant'!$D$5:$AC$5,0))</f>
        <v>47020</v>
      </c>
      <c r="BZ82" s="129">
        <f>INDEX('Gross Gen Plant'!$D$7:$AC$91,MATCH($C82,'Gross Gen Plant'!$C$7:$C$91,0),MATCH(Calculation!$G82,'Gross Gen Plant'!$D$5:$AC$5,0))</f>
        <v>8710</v>
      </c>
      <c r="CA82" s="129">
        <f t="shared" si="172"/>
        <v>55730</v>
      </c>
      <c r="CB82" s="129"/>
      <c r="CC82" s="133">
        <v>2002</v>
      </c>
      <c r="CD82" s="129"/>
      <c r="CE82" s="129"/>
      <c r="CF82" s="129"/>
      <c r="CG82" s="137"/>
      <c r="CH82" s="129">
        <f t="shared" si="179"/>
        <v>2372</v>
      </c>
      <c r="CI82" s="46">
        <f t="shared" si="188"/>
        <v>2302.920150726718</v>
      </c>
      <c r="CJ82" s="46">
        <f t="shared" si="180"/>
        <v>6.3731336398179064</v>
      </c>
      <c r="CK82" s="443">
        <v>0.95918367346938771</v>
      </c>
      <c r="CL82" s="46">
        <f>+CL78*CK82+CJ79*CK81+CJ80*CK80+CJ81*CK79+CJ82</f>
        <v>178.08324352497436</v>
      </c>
      <c r="CM82" s="134">
        <f t="shared" si="181"/>
        <v>2.5218932287693879E-2</v>
      </c>
      <c r="CN82" s="135">
        <f t="shared" si="182"/>
        <v>1.1161761759211212E-2</v>
      </c>
      <c r="CO82" s="135">
        <f t="shared" ref="CO82:CO101" si="192">+(CN82+CN81+CN80)/3</f>
        <v>1.0475094813633788E-2</v>
      </c>
      <c r="CP82" s="134">
        <f>VLOOKUP($H82,RoR!$E:$F,2,FALSE)</f>
        <v>6.4916666666666664E-2</v>
      </c>
      <c r="CQ82" s="135">
        <v>1.5246423291824351E-2</v>
      </c>
      <c r="CR82" s="135">
        <f t="shared" si="189"/>
        <v>4.9670243374842313E-2</v>
      </c>
      <c r="CS82" s="135">
        <f t="shared" ref="CS82:CS102" si="193">+$CR$2-CO82</f>
        <v>2.0426846794899839E-2</v>
      </c>
      <c r="CT82" s="56">
        <v>2.5243621214759093E-2</v>
      </c>
      <c r="CU82" s="139">
        <f t="shared" si="183"/>
        <v>0.84940815000000003</v>
      </c>
      <c r="CV82" s="335">
        <f t="shared" si="184"/>
        <v>0.78996741384417901</v>
      </c>
      <c r="CW82" s="335">
        <f t="shared" si="185"/>
        <v>0.58989088575096271</v>
      </c>
      <c r="CX82" s="335">
        <f t="shared" si="186"/>
        <v>0.91920675783645744</v>
      </c>
      <c r="CY82" s="335">
        <f t="shared" si="187"/>
        <v>0.42834536472275586</v>
      </c>
      <c r="CZ82" s="336">
        <f>INDEX('State Tax Lookup'!$D$7:$Z$91,MATCH(Calculation!$C82,'State Tax Lookup'!$B$7:$B$91,0),MATCH($H82,'State Tax Lookup'!$D$6:$Z$6,0))</f>
        <v>0.40700500000000001</v>
      </c>
      <c r="DA82" s="303">
        <v>0.37</v>
      </c>
      <c r="DB82" s="57">
        <f t="shared" si="191"/>
        <v>10.536703302642387</v>
      </c>
      <c r="DC82" s="56">
        <f t="shared" ref="DC82:DC102" si="194">LN(DB82/DB81)</f>
        <v>1.5717947442884853E-3</v>
      </c>
      <c r="DD82" s="303">
        <f>VLOOKUP($H82,RoR!$E:$F,2,FALSE)</f>
        <v>6.4916666666666664E-2</v>
      </c>
      <c r="DE82" s="304">
        <f>HLOOKUP($H82,'GDP-PI'!$D$8:$CQ$11,3,FALSE)</f>
        <v>1.5246423291824351E-2</v>
      </c>
      <c r="DF82" s="303">
        <f>VLOOKUP(H82,'HW Dx Data'!$E:$F,2,FALSE)</f>
        <v>361.34816573413599</v>
      </c>
      <c r="DG82" s="89"/>
      <c r="DH82" s="89"/>
      <c r="DI82" s="89"/>
      <c r="DJ82" s="56"/>
      <c r="DK82" s="53">
        <f>HLOOKUP(H82,'GDP-PI'!$8:$9,2,FALSE)</f>
        <v>81.039000000000001</v>
      </c>
      <c r="DL82" s="355">
        <f>LN(DK82/DK81)</f>
        <v>1.513136459537477E-2</v>
      </c>
      <c r="DP82" s="398"/>
      <c r="DQ82" s="398"/>
      <c r="DR82" s="398"/>
      <c r="DS82" s="398"/>
      <c r="DT82" s="398"/>
      <c r="DU82" s="398"/>
      <c r="DV82" s="398"/>
      <c r="DW82" s="398"/>
      <c r="DX82" s="398"/>
      <c r="EC82">
        <f t="shared" si="190"/>
        <v>2002</v>
      </c>
    </row>
    <row r="83" spans="1:133" s="126" customFormat="1" ht="21" customHeight="1" x14ac:dyDescent="0.4">
      <c r="A83" s="233" t="s">
        <v>185</v>
      </c>
      <c r="B83" s="127" t="s">
        <v>186</v>
      </c>
      <c r="C83" s="127">
        <v>4057110</v>
      </c>
      <c r="D83" s="127" t="s">
        <v>187</v>
      </c>
      <c r="E83" s="127" t="s">
        <v>15</v>
      </c>
      <c r="F83" s="127"/>
      <c r="G83" s="127" t="s">
        <v>159</v>
      </c>
      <c r="H83" s="128">
        <v>2003</v>
      </c>
      <c r="I83" s="129"/>
      <c r="J83" s="125"/>
      <c r="K83" s="125"/>
      <c r="L83" s="47"/>
      <c r="M83" s="131"/>
      <c r="N83" s="131"/>
      <c r="O83" s="131"/>
      <c r="P83" s="59"/>
      <c r="Q83" s="59"/>
      <c r="R83" s="386"/>
      <c r="S83" s="119"/>
      <c r="T83" s="59"/>
      <c r="U83" s="59"/>
      <c r="V83" s="125"/>
      <c r="W83" s="125"/>
      <c r="X83" s="125"/>
      <c r="Y83" s="125"/>
      <c r="Z83" s="125"/>
      <c r="AA83" s="125"/>
      <c r="AB83" s="125"/>
      <c r="AC83" s="125">
        <f t="shared" si="177"/>
        <v>1890.7945986968148</v>
      </c>
      <c r="AD83" s="129"/>
      <c r="AE83" s="133">
        <v>187.38672749648143</v>
      </c>
      <c r="AF83" s="134">
        <v>3.0004502001386723E-2</v>
      </c>
      <c r="AG83" s="61"/>
      <c r="AH83" s="134"/>
      <c r="AI83" s="134"/>
      <c r="AJ83" s="129">
        <f t="shared" si="94"/>
        <v>1890.7945986968148</v>
      </c>
      <c r="AK83" s="134"/>
      <c r="AL83" s="129"/>
      <c r="AM83" s="129"/>
      <c r="AN83" s="129"/>
      <c r="AO83" s="129"/>
      <c r="AP83" s="133"/>
      <c r="AQ83" s="134"/>
      <c r="AR83" s="93"/>
      <c r="AS83" s="93"/>
      <c r="AT83" s="93"/>
      <c r="AU83" s="93"/>
      <c r="AV83" s="93"/>
      <c r="AW83" s="134"/>
      <c r="AX83" s="62"/>
      <c r="AY83" s="93"/>
      <c r="AZ83" s="93"/>
      <c r="BA83" s="93"/>
      <c r="BB83" s="234">
        <f>IFERROR(INDEX('Total Customers'!$E$7:$AA$91,MATCH($C83,'Total Customers'!$C$7:$C$91,0),MATCH($G83,'Total Customers'!$E$5:$AA$5,0)),"NA")</f>
        <v>34508</v>
      </c>
      <c r="BC83" s="411">
        <f t="shared" si="171"/>
        <v>1.1308118403494858E-3</v>
      </c>
      <c r="BD83" s="92"/>
      <c r="BE83" s="281" t="str">
        <f t="shared" si="167"/>
        <v>BERKSHIRE GAS COMPANY</v>
      </c>
      <c r="BF83" s="290">
        <f t="shared" si="168"/>
        <v>4057110</v>
      </c>
      <c r="BG83" s="46" t="str">
        <f t="shared" si="169"/>
        <v>MA</v>
      </c>
      <c r="BH83" s="46"/>
      <c r="BI83" s="46" t="str">
        <f t="shared" si="170"/>
        <v>2003 Y</v>
      </c>
      <c r="BJ83" s="129"/>
      <c r="BK83" s="129"/>
      <c r="BL83" s="129">
        <f>INDEX('Dist. Plant Gas Additions'!$E$7:$AD$91,MATCH($C83,'Dist. Plant Gas Additions'!$C$7:$C$91,0),MATCH(Calculation!$G83,'Dist. Plant Gas Additions'!$E$5:$AD$5,0))</f>
        <v>1597</v>
      </c>
      <c r="BM83" s="129">
        <f>INDEX('Gen. Plant Additions'!$E$7:$AD$91,MATCH($C83,'Gen. Plant Additions'!$C$7:$C$91,0),MATCH(Calculation!$G83,'Gen. Plant Additions'!$E$5:$AD$5,0))</f>
        <v>829</v>
      </c>
      <c r="BN83" s="393">
        <f t="shared" si="178"/>
        <v>0.83952222453366621</v>
      </c>
      <c r="BO83" s="46">
        <f>+BN83*BM83</f>
        <v>695.96392413840931</v>
      </c>
      <c r="BP83" s="46">
        <f>+BO83-BM83</f>
        <v>-133.03607586159069</v>
      </c>
      <c r="BQ83" s="129"/>
      <c r="BR83" s="129"/>
      <c r="BS83" s="137">
        <v>2003</v>
      </c>
      <c r="BT83" s="129"/>
      <c r="BU83" s="333">
        <v>364.48397346780041</v>
      </c>
      <c r="BV83" s="129"/>
      <c r="BW83" s="129"/>
      <c r="BX83" s="129"/>
      <c r="BY83" s="129">
        <f>INDEX('Gross Dx Plant'!$D$7:$AC$91,MATCH($C83,'Gross Dx Plant'!$C$7:$C$91,0),MATCH(Calculation!$G83,'Gross Dx Plant'!$D$5:$AC$5,0))</f>
        <v>48427</v>
      </c>
      <c r="BZ83" s="129">
        <f>INDEX('Gross Gen Plant'!$D$7:$AC$91,MATCH($C83,'Gross Gen Plant'!$C$7:$C$91,0),MATCH(Calculation!$G83,'Gross Gen Plant'!$D$5:$AC$5,0))</f>
        <v>9257</v>
      </c>
      <c r="CA83" s="129">
        <f t="shared" si="172"/>
        <v>57684</v>
      </c>
      <c r="CB83" s="129"/>
      <c r="CC83" s="133">
        <v>2003</v>
      </c>
      <c r="CD83" s="129"/>
      <c r="CE83" s="129"/>
      <c r="CF83" s="129"/>
      <c r="CG83" s="137"/>
      <c r="CH83" s="129">
        <f t="shared" si="179"/>
        <v>2426</v>
      </c>
      <c r="CI83" s="46">
        <f t="shared" si="188"/>
        <v>2292.9639241384093</v>
      </c>
      <c r="CJ83" s="46">
        <f t="shared" si="180"/>
        <v>6.2100729244225796</v>
      </c>
      <c r="CK83" s="443">
        <v>0.94845360824742264</v>
      </c>
      <c r="CL83" s="46">
        <f>+CL78*CK83+CJ79*CK82+CJ80*CK81+CJ81*CK80+CJ82*CK79+CJ83</f>
        <v>182.32176165048418</v>
      </c>
      <c r="CM83" s="134">
        <f t="shared" si="181"/>
        <v>2.3521946074385458E-2</v>
      </c>
      <c r="CN83" s="135">
        <f t="shared" si="182"/>
        <v>1.1070973101611752E-2</v>
      </c>
      <c r="CO83" s="135">
        <f t="shared" si="192"/>
        <v>1.0769059252422096E-2</v>
      </c>
      <c r="CP83" s="134">
        <f>VLOOKUP($H83,RoR!$E:$F,2,FALSE)</f>
        <v>5.6666666666666671E-2</v>
      </c>
      <c r="CQ83" s="135">
        <v>1.8855119140166909E-2</v>
      </c>
      <c r="CR83" s="135">
        <f t="shared" si="189"/>
        <v>3.7811547526499761E-2</v>
      </c>
      <c r="CS83" s="135">
        <f t="shared" si="193"/>
        <v>2.0132882356111527E-2</v>
      </c>
      <c r="CT83" s="56">
        <v>2.1375012817671957E-2</v>
      </c>
      <c r="CU83" s="139">
        <f t="shared" si="183"/>
        <v>0.84940815000000003</v>
      </c>
      <c r="CV83" s="335">
        <f t="shared" si="184"/>
        <v>0.90497737556561086</v>
      </c>
      <c r="CW83" s="335">
        <f t="shared" si="185"/>
        <v>0.5338235294117647</v>
      </c>
      <c r="CX83" s="335">
        <f t="shared" si="186"/>
        <v>0.88972433127405692</v>
      </c>
      <c r="CY83" s="335">
        <f t="shared" si="187"/>
        <v>0.42982423775949252</v>
      </c>
      <c r="CZ83" s="336">
        <f>INDEX('State Tax Lookup'!$D$7:$Z$91,MATCH(Calculation!$C83,'State Tax Lookup'!$B$7:$B$91,0),MATCH($H83,'State Tax Lookup'!$D$6:$Z$6,0))</f>
        <v>0.40700500000000001</v>
      </c>
      <c r="DA83" s="303">
        <v>0.37</v>
      </c>
      <c r="DB83" s="57">
        <f t="shared" si="191"/>
        <v>10.617476194112839</v>
      </c>
      <c r="DC83" s="56">
        <f t="shared" si="194"/>
        <v>7.6366265139884452E-3</v>
      </c>
      <c r="DD83" s="303">
        <f>VLOOKUP($H83,RoR!$E:$F,2,FALSE)</f>
        <v>5.6666666666666671E-2</v>
      </c>
      <c r="DE83" s="304">
        <f>HLOOKUP($H83,'GDP-PI'!$D$8:$CQ$11,3,FALSE)</f>
        <v>1.8855119140166909E-2</v>
      </c>
      <c r="DF83" s="303">
        <f>VLOOKUP(H83,'HW Dx Data'!$E:$F,2,FALSE)</f>
        <v>369.23301095560191</v>
      </c>
      <c r="DG83" s="89">
        <f ca="1">VLOOKUP(CC83,'ECI - Input Price'!M$13:N$33,2,FALSE)</f>
        <v>89.25</v>
      </c>
      <c r="DH83" s="89"/>
      <c r="DI83" s="89"/>
      <c r="DJ83" s="56"/>
      <c r="DK83" s="53">
        <f>HLOOKUP(H83,'GDP-PI'!$8:$9,2,FALSE)</f>
        <v>82.566999999999993</v>
      </c>
      <c r="DL83" s="355">
        <f t="shared" ref="DL83:DL102" si="195">LN(DK83/DK82)</f>
        <v>1.8679564681853753E-2</v>
      </c>
      <c r="DP83" s="398"/>
      <c r="DQ83" s="398"/>
      <c r="DR83" s="398"/>
      <c r="DS83" s="398"/>
      <c r="DT83" s="398"/>
      <c r="DU83" s="398"/>
      <c r="DV83" s="398"/>
      <c r="DW83" s="398"/>
      <c r="DX83" s="398"/>
      <c r="EC83">
        <f t="shared" si="190"/>
        <v>2003</v>
      </c>
    </row>
    <row r="84" spans="1:133" s="126" customFormat="1" ht="21" customHeight="1" x14ac:dyDescent="0.4">
      <c r="A84" s="233" t="s">
        <v>185</v>
      </c>
      <c r="B84" s="127" t="s">
        <v>186</v>
      </c>
      <c r="C84" s="127">
        <v>4057110</v>
      </c>
      <c r="D84" s="127" t="s">
        <v>187</v>
      </c>
      <c r="E84" s="127" t="s">
        <v>15</v>
      </c>
      <c r="F84" s="127"/>
      <c r="G84" s="127" t="s">
        <v>160</v>
      </c>
      <c r="H84" s="128">
        <v>2004</v>
      </c>
      <c r="I84" s="129"/>
      <c r="J84" s="125">
        <f>IFERROR(INDEX('Labor Expenditures'!$E$7:$W$91,MATCH($C84,'Labor Expenditures'!$C$7:$C$91,0),MATCH($G84,'Labor Expenditures'!$E$5:$W$5,0)),"NA")</f>
        <v>3071.7901839654742</v>
      </c>
      <c r="K84" s="125">
        <f t="shared" ref="K84:K102" ca="1" si="196">+J84/DG84</f>
        <v>32.557394636623997</v>
      </c>
      <c r="L84" s="47"/>
      <c r="M84" s="131"/>
      <c r="N84" s="131"/>
      <c r="O84" s="131"/>
      <c r="P84" s="59"/>
      <c r="Q84" s="59"/>
      <c r="R84" s="386"/>
      <c r="S84" s="119"/>
      <c r="T84" s="59"/>
      <c r="U84" s="59"/>
      <c r="V84" s="125">
        <f>IFERROR(INDEX('Non-Labor Expenditures'!$E$7:$AA$91,MATCH($C84,'Non-Labor Expenditures'!$C$7:$C$91,0),MATCH($G84,'Non-Labor Expenditures'!$E$5:$AA$5,0)),"NA")</f>
        <v>4448.5259176481695</v>
      </c>
      <c r="W84" s="125">
        <f t="shared" ref="W84:W102" si="197">+V84/DK84</f>
        <v>52.472645234001384</v>
      </c>
      <c r="X84" s="125"/>
      <c r="Y84" s="125"/>
      <c r="Z84" s="125"/>
      <c r="AA84" s="125"/>
      <c r="AB84" s="125"/>
      <c r="AC84" s="125">
        <f t="shared" si="177"/>
        <v>2119.8275438768696</v>
      </c>
      <c r="AD84" s="129"/>
      <c r="AE84" s="133">
        <v>193.48662445638305</v>
      </c>
      <c r="AF84" s="134">
        <v>3.203384298655218E-2</v>
      </c>
      <c r="AG84" s="59">
        <f t="shared" ref="AG84:AG102" si="198">+AF84*$AX84</f>
        <v>0</v>
      </c>
      <c r="AH84" s="134"/>
      <c r="AI84" s="134"/>
      <c r="AJ84" s="129">
        <f t="shared" si="94"/>
        <v>9640.1436454905124</v>
      </c>
      <c r="AK84" s="134"/>
      <c r="AL84" s="129"/>
      <c r="AM84" s="129"/>
      <c r="AN84" s="129"/>
      <c r="AO84" s="129"/>
      <c r="AP84" s="133"/>
      <c r="AQ84" s="134"/>
      <c r="AR84" s="93">
        <f t="shared" ref="AR84:AR102" si="199">+J84/AJ84</f>
        <v>0.31864568588689057</v>
      </c>
      <c r="AS84" s="93">
        <f t="shared" ref="AS84:AS102" si="200">+V84/AJ84</f>
        <v>0.46145846796889906</v>
      </c>
      <c r="AT84" s="93">
        <f t="shared" ref="AT84:AT102" si="201">+AC84/AJ84</f>
        <v>0.21989584614421043</v>
      </c>
      <c r="AU84" s="93"/>
      <c r="AV84" s="93"/>
      <c r="AW84" s="134"/>
      <c r="AX84" s="62"/>
      <c r="AY84" s="93"/>
      <c r="AZ84" s="93"/>
      <c r="BA84" s="93"/>
      <c r="BB84" s="234">
        <f>IFERROR(INDEX('Total Customers'!$E$7:$AA$91,MATCH($C84,'Total Customers'!$C$7:$C$91,0),MATCH($G84,'Total Customers'!$E$5:$AA$5,0)),"NA")</f>
        <v>35231</v>
      </c>
      <c r="BC84" s="411">
        <f t="shared" si="171"/>
        <v>2.0735195635203884E-2</v>
      </c>
      <c r="BD84" s="92"/>
      <c r="BE84" s="281" t="str">
        <f t="shared" si="167"/>
        <v>BERKSHIRE GAS COMPANY</v>
      </c>
      <c r="BF84" s="290">
        <f t="shared" si="168"/>
        <v>4057110</v>
      </c>
      <c r="BG84" s="46" t="str">
        <f t="shared" si="169"/>
        <v>MA</v>
      </c>
      <c r="BH84" s="46"/>
      <c r="BI84" s="46" t="str">
        <f t="shared" si="170"/>
        <v>2004 Y</v>
      </c>
      <c r="BJ84" s="129"/>
      <c r="BK84" s="129"/>
      <c r="BL84" s="129">
        <f>INDEX('Dist. Plant Gas Additions'!$E$7:$AD$91,MATCH($C84,'Dist. Plant Gas Additions'!$C$7:$C$91,0),MATCH(Calculation!$G84,'Dist. Plant Gas Additions'!$E$5:$AD$5,0))</f>
        <v>2293</v>
      </c>
      <c r="BM84" s="129">
        <f>INDEX('Gen. Plant Additions'!$E$7:$AD$91,MATCH($C84,'Gen. Plant Additions'!$C$7:$C$91,0),MATCH(Calculation!$G84,'Gen. Plant Additions'!$E$5:$AD$5,0))</f>
        <v>693</v>
      </c>
      <c r="BN84" s="393">
        <f t="shared" si="178"/>
        <v>0.84473107401787217</v>
      </c>
      <c r="BO84" s="46">
        <f t="shared" ref="BO84:BO101" si="202">+BN84*BM84</f>
        <v>585.39863429438537</v>
      </c>
      <c r="BP84" s="46">
        <f t="shared" ref="BP84:BP101" si="203">+BO84-BM84</f>
        <v>-107.60136570561463</v>
      </c>
      <c r="BQ84" s="129"/>
      <c r="BR84" s="129"/>
      <c r="BS84" s="137">
        <v>2004</v>
      </c>
      <c r="BT84" s="129"/>
      <c r="BU84" s="333">
        <v>409.97501511476293</v>
      </c>
      <c r="BV84" s="129"/>
      <c r="BW84" s="129"/>
      <c r="BX84" s="129"/>
      <c r="BY84" s="129">
        <f>INDEX('Gross Dx Plant'!$D$7:$AC$91,MATCH($C84,'Gross Dx Plant'!$C$7:$C$91,0),MATCH(Calculation!$G84,'Gross Dx Plant'!$D$5:$AC$5,0))</f>
        <v>50101</v>
      </c>
      <c r="BZ84" s="129">
        <f>INDEX('Gross Gen Plant'!$D$7:$AC$91,MATCH($C84,'Gross Gen Plant'!$C$7:$C$91,0),MATCH(Calculation!$G84,'Gross Gen Plant'!$D$5:$AC$5,0))</f>
        <v>9209</v>
      </c>
      <c r="CA84" s="129">
        <f t="shared" si="172"/>
        <v>59310</v>
      </c>
      <c r="CB84" s="129"/>
      <c r="CC84" s="133">
        <v>2004</v>
      </c>
      <c r="CD84" s="129"/>
      <c r="CE84" s="129"/>
      <c r="CF84" s="129"/>
      <c r="CG84" s="137"/>
      <c r="CH84" s="129">
        <f t="shared" si="179"/>
        <v>2986</v>
      </c>
      <c r="CI84" s="46">
        <f t="shared" si="188"/>
        <v>2878.3986342943854</v>
      </c>
      <c r="CJ84" s="46">
        <f t="shared" si="180"/>
        <v>6.9377862086137929</v>
      </c>
      <c r="CK84" s="443">
        <v>0.9375</v>
      </c>
      <c r="CL84" s="46">
        <f>+CL78*CK84+CJ79*CK83+CJ80*CK82+CJ81*CK81+CJ82*CK80+CJ83*CK79+CJ84</f>
        <v>187.18556766230532</v>
      </c>
      <c r="CM84" s="134">
        <f t="shared" si="181"/>
        <v>2.6327417950276377E-2</v>
      </c>
      <c r="CN84" s="135">
        <f t="shared" si="182"/>
        <v>1.1375384803315635E-2</v>
      </c>
      <c r="CO84" s="135">
        <f t="shared" si="192"/>
        <v>1.1202706554712866E-2</v>
      </c>
      <c r="CP84" s="134">
        <f>VLOOKUP($H84,RoR!$E:$F,2,FALSE)</f>
        <v>5.6283333333333331E-2</v>
      </c>
      <c r="CQ84" s="135">
        <v>2.6778252812867276E-2</v>
      </c>
      <c r="CR84" s="135">
        <f t="shared" si="189"/>
        <v>2.9505080520466055E-2</v>
      </c>
      <c r="CS84" s="135">
        <f t="shared" si="193"/>
        <v>1.9699235053820759E-2</v>
      </c>
      <c r="CT84" s="56">
        <v>5.5940039414565046E-2</v>
      </c>
      <c r="CU84" s="139">
        <f t="shared" si="183"/>
        <v>0.84940815000000003</v>
      </c>
      <c r="CV84" s="335">
        <f t="shared" si="184"/>
        <v>0.91114097628755619</v>
      </c>
      <c r="CW84" s="335">
        <f t="shared" si="185"/>
        <v>0.53081877405981637</v>
      </c>
      <c r="CX84" s="335">
        <f t="shared" si="186"/>
        <v>0.88811215519385678</v>
      </c>
      <c r="CY84" s="335">
        <f t="shared" si="187"/>
        <v>0.42953609753547711</v>
      </c>
      <c r="CZ84" s="336">
        <f>INDEX('State Tax Lookup'!$D$7:$Z$91,MATCH(Calculation!$C84,'State Tax Lookup'!$B$7:$B$91,0),MATCH($H84,'State Tax Lookup'!$D$6:$Z$6,0))</f>
        <v>0.40700500000000001</v>
      </c>
      <c r="DA84" s="303">
        <v>0.37</v>
      </c>
      <c r="DB84" s="57">
        <f t="shared" si="191"/>
        <v>11.626848735372782</v>
      </c>
      <c r="DC84" s="56">
        <f t="shared" si="194"/>
        <v>9.0815628763135189E-2</v>
      </c>
      <c r="DD84" s="303">
        <f>VLOOKUP($H84,RoR!$E:$F,2,FALSE)</f>
        <v>5.6283333333333331E-2</v>
      </c>
      <c r="DE84" s="304">
        <f>HLOOKUP($H84,'GDP-PI'!$D$8:$CQ$11,3,FALSE)</f>
        <v>2.6778252812867276E-2</v>
      </c>
      <c r="DF84" s="303">
        <f>VLOOKUP(H84,'HW Dx Data'!$E:$F,2,FALSE)</f>
        <v>414.88719135228365</v>
      </c>
      <c r="DG84" s="89">
        <f ca="1">VLOOKUP(CC84,'ECI - Input Price'!M$13:N$33,2,FALSE)</f>
        <v>94.35</v>
      </c>
      <c r="DH84" s="89"/>
      <c r="DI84" s="89"/>
      <c r="DJ84" s="56">
        <f t="shared" ref="DJ84:DJ102" ca="1" si="204">LN(DG84/DG83)</f>
        <v>5.5569851154810786E-2</v>
      </c>
      <c r="DK84" s="53">
        <f>HLOOKUP(H84,'GDP-PI'!$8:$9,2,FALSE)</f>
        <v>84.778000000000006</v>
      </c>
      <c r="DL84" s="355">
        <f t="shared" si="195"/>
        <v>2.6425990216022755E-2</v>
      </c>
      <c r="DP84" s="398"/>
      <c r="DQ84" s="398"/>
      <c r="DR84" s="398"/>
      <c r="DS84" s="398"/>
      <c r="DT84" s="398"/>
      <c r="DU84" s="398"/>
      <c r="DV84" s="398"/>
      <c r="DW84" s="398"/>
      <c r="DX84" s="398"/>
      <c r="EC84">
        <f t="shared" si="190"/>
        <v>2004</v>
      </c>
    </row>
    <row r="85" spans="1:133" s="126" customFormat="1" ht="21" customHeight="1" x14ac:dyDescent="0.4">
      <c r="A85" s="233" t="s">
        <v>185</v>
      </c>
      <c r="B85" s="127" t="s">
        <v>186</v>
      </c>
      <c r="C85" s="127">
        <v>4057110</v>
      </c>
      <c r="D85" s="127" t="s">
        <v>187</v>
      </c>
      <c r="E85" s="127" t="s">
        <v>15</v>
      </c>
      <c r="F85" s="127"/>
      <c r="G85" s="127" t="s">
        <v>161</v>
      </c>
      <c r="H85" s="128">
        <v>2005</v>
      </c>
      <c r="I85" s="129"/>
      <c r="J85" s="125">
        <f>IFERROR(INDEX('Labor Expenditures'!$E$7:$W$91,MATCH($C85,'Labor Expenditures'!$C$7:$C$91,0),MATCH($G85,'Labor Expenditures'!$E$5:$W$5,0)),"NA")</f>
        <v>3042.3379951114734</v>
      </c>
      <c r="K85" s="125">
        <f t="shared" ca="1" si="196"/>
        <v>30.66100272221188</v>
      </c>
      <c r="L85" s="47"/>
      <c r="M85" s="131">
        <f t="shared" ref="M85:M101" ca="1" si="205">LN(K85/K84)</f>
        <v>-6.0012943148075759E-2</v>
      </c>
      <c r="N85" s="59"/>
      <c r="O85" s="59"/>
      <c r="P85" s="59"/>
      <c r="Q85" s="61"/>
      <c r="R85" s="387"/>
      <c r="S85" s="49">
        <v>100</v>
      </c>
      <c r="T85" s="46"/>
      <c r="U85" s="46"/>
      <c r="V85" s="125">
        <f>IFERROR(INDEX('Non-Labor Expenditures'!$E$7:$AA$91,MATCH($C85,'Non-Labor Expenditures'!$C$7:$C$91,0),MATCH($G85,'Non-Labor Expenditures'!$E$5:$AA$5,0)),"NA")</f>
        <v>4405.8736472774926</v>
      </c>
      <c r="W85" s="125">
        <f t="shared" si="197"/>
        <v>50.406416502997388</v>
      </c>
      <c r="X85" s="131">
        <f>LN(W85/W84)</f>
        <v>-4.0173512104239417E-2</v>
      </c>
      <c r="Y85" s="131"/>
      <c r="Z85" s="131"/>
      <c r="AA85" s="131"/>
      <c r="AB85" s="131"/>
      <c r="AC85" s="125">
        <f t="shared" si="177"/>
        <v>2431.8868858588571</v>
      </c>
      <c r="AD85" s="129"/>
      <c r="AE85" s="133">
        <v>198.57524923006878</v>
      </c>
      <c r="AF85" s="134">
        <v>2.5959731787062068E-2</v>
      </c>
      <c r="AG85" s="59">
        <f t="shared" si="198"/>
        <v>0</v>
      </c>
      <c r="AH85" s="134"/>
      <c r="AI85" s="134"/>
      <c r="AJ85" s="129">
        <f t="shared" si="94"/>
        <v>9880.0985282478232</v>
      </c>
      <c r="AK85" s="134">
        <f>LN(AJ85/AJ84)</f>
        <v>2.458647470884167E-2</v>
      </c>
      <c r="AL85" s="129"/>
      <c r="AM85" s="129"/>
      <c r="AN85" s="129"/>
      <c r="AO85" s="129"/>
      <c r="AP85" s="133"/>
      <c r="AQ85" s="134"/>
      <c r="AR85" s="93">
        <f t="shared" si="199"/>
        <v>0.30792587608445782</v>
      </c>
      <c r="AS85" s="93">
        <f t="shared" si="200"/>
        <v>0.44593418119068579</v>
      </c>
      <c r="AT85" s="93">
        <f t="shared" si="201"/>
        <v>0.2461399427248564</v>
      </c>
      <c r="AU85" s="93">
        <f t="shared" ref="AU85:AU101" ca="1" si="206">+(((AR85+AR84)/2)*M85+((AS84+AS85)/2)*X85+((AT84+AT85)/2)*AF85)</f>
        <v>-3.0978694509442576E-2</v>
      </c>
      <c r="AV85" s="132">
        <v>100</v>
      </c>
      <c r="AW85" s="134"/>
      <c r="AX85" s="15"/>
      <c r="AY85" s="93"/>
      <c r="AZ85" s="93"/>
      <c r="BA85" s="93"/>
      <c r="BB85" s="234">
        <f>IFERROR(INDEX('Total Customers'!$E$7:$AA$91,MATCH($C85,'Total Customers'!$C$7:$C$91,0),MATCH($G85,'Total Customers'!$E$5:$AA$5,0)),"NA")</f>
        <v>35229</v>
      </c>
      <c r="BC85" s="411">
        <f t="shared" si="171"/>
        <v>-5.6769798482497852E-5</v>
      </c>
      <c r="BD85" s="92"/>
      <c r="BE85" s="281" t="str">
        <f t="shared" si="167"/>
        <v>BERKSHIRE GAS COMPANY</v>
      </c>
      <c r="BF85" s="290">
        <f t="shared" si="168"/>
        <v>4057110</v>
      </c>
      <c r="BG85" s="46" t="str">
        <f t="shared" si="169"/>
        <v>MA</v>
      </c>
      <c r="BH85" s="46"/>
      <c r="BI85" s="46" t="str">
        <f t="shared" si="170"/>
        <v>2005 Y</v>
      </c>
      <c r="BJ85" s="129"/>
      <c r="BK85" s="129"/>
      <c r="BL85" s="129">
        <f>INDEX('Dist. Plant Gas Additions'!$E$7:$AD$91,MATCH($C85,'Dist. Plant Gas Additions'!$C$7:$C$91,0),MATCH(Calculation!$G85,'Dist. Plant Gas Additions'!$E$5:$AD$5,0))</f>
        <v>2187</v>
      </c>
      <c r="BM85" s="129">
        <f>INDEX('Gen. Plant Additions'!$E$7:$AD$91,MATCH($C85,'Gen. Plant Additions'!$C$7:$C$91,0),MATCH(Calculation!$G85,'Gen. Plant Additions'!$E$5:$AD$5,0))</f>
        <v>749</v>
      </c>
      <c r="BN85" s="393">
        <f t="shared" si="178"/>
        <v>0.84067736069619436</v>
      </c>
      <c r="BO85" s="46">
        <f t="shared" si="202"/>
        <v>629.66734316144959</v>
      </c>
      <c r="BP85" s="46">
        <f t="shared" si="203"/>
        <v>-119.33265683855041</v>
      </c>
      <c r="BQ85" s="129"/>
      <c r="BR85" s="129"/>
      <c r="BS85" s="137">
        <v>2005</v>
      </c>
      <c r="BT85" s="129"/>
      <c r="BU85" s="333">
        <v>465.05637553448639</v>
      </c>
      <c r="BV85" s="129"/>
      <c r="BW85" s="129"/>
      <c r="BX85" s="129"/>
      <c r="BY85" s="129">
        <f>INDEX('Gross Dx Plant'!$D$7:$AC$91,MATCH($C85,'Gross Dx Plant'!$C$7:$C$91,0),MATCH(Calculation!$G85,'Gross Dx Plant'!$D$5:$AC$5,0))</f>
        <v>51779</v>
      </c>
      <c r="BZ85" s="129">
        <f>INDEX('Gross Gen Plant'!$D$7:$AC$91,MATCH($C85,'Gross Gen Plant'!$C$7:$C$91,0),MATCH(Calculation!$G85,'Gross Gen Plant'!$D$5:$AC$5,0))</f>
        <v>9813</v>
      </c>
      <c r="CA85" s="129">
        <f t="shared" si="172"/>
        <v>61592</v>
      </c>
      <c r="CB85" s="129"/>
      <c r="CC85" s="133">
        <v>2005</v>
      </c>
      <c r="CD85" s="129"/>
      <c r="CE85" s="129"/>
      <c r="CF85" s="129"/>
      <c r="CG85" s="137"/>
      <c r="CH85" s="129">
        <f t="shared" si="179"/>
        <v>2936</v>
      </c>
      <c r="CI85" s="46">
        <f t="shared" si="188"/>
        <v>2816.6673431614495</v>
      </c>
      <c r="CJ85" s="46">
        <f t="shared" si="180"/>
        <v>6.0030615629321629</v>
      </c>
      <c r="CK85" s="443">
        <v>0.9263157894736842</v>
      </c>
      <c r="CL85" s="46">
        <f>+CL78*CK85+CJ79*CK84+CJ80*CK83+CJ81*CK82+CJ82*CK81+CJ83*CK80+CJ84*CK79+CJ85</f>
        <v>191.00250016752059</v>
      </c>
      <c r="CM85" s="134">
        <f t="shared" si="181"/>
        <v>2.018605259282729E-2</v>
      </c>
      <c r="CN85" s="135">
        <f t="shared" si="182"/>
        <v>1.1678940235717326E-2</v>
      </c>
      <c r="CO85" s="135">
        <f t="shared" si="192"/>
        <v>1.1375099380214906E-2</v>
      </c>
      <c r="CP85" s="134">
        <f>VLOOKUP($H85,RoR!$E:$F,2,FALSE)</f>
        <v>5.2350000000000001E-2</v>
      </c>
      <c r="CQ85" s="135">
        <v>3.1010403642454332E-2</v>
      </c>
      <c r="CR85" s="135">
        <f t="shared" si="189"/>
        <v>2.1339596357545669E-2</v>
      </c>
      <c r="CS85" s="135">
        <f t="shared" si="193"/>
        <v>1.9526842228318721E-2</v>
      </c>
      <c r="CT85" s="56">
        <v>9.2129610649277341E-2</v>
      </c>
      <c r="CU85" s="139">
        <f t="shared" si="183"/>
        <v>0.84940815000000003</v>
      </c>
      <c r="CV85" s="335">
        <f t="shared" si="184"/>
        <v>0.97959983346802826</v>
      </c>
      <c r="CW85" s="335">
        <f t="shared" si="185"/>
        <v>0.49744508118433622</v>
      </c>
      <c r="CX85" s="335">
        <f t="shared" si="186"/>
        <v>0.87010519444335932</v>
      </c>
      <c r="CY85" s="335">
        <f t="shared" si="187"/>
        <v>0.42399975420741998</v>
      </c>
      <c r="CZ85" s="336">
        <f>INDEX('State Tax Lookup'!$D$7:$Z$91,MATCH(Calculation!$C85,'State Tax Lookup'!$B$7:$B$91,0),MATCH($H85,'State Tax Lookup'!$D$6:$Z$6,0))</f>
        <v>0.40700500000000001</v>
      </c>
      <c r="DA85" s="303">
        <v>0.37</v>
      </c>
      <c r="DB85" s="57">
        <f t="shared" si="191"/>
        <v>12.991850366616598</v>
      </c>
      <c r="DC85" s="56">
        <f t="shared" si="194"/>
        <v>0.11100529617599639</v>
      </c>
      <c r="DD85" s="303">
        <f>VLOOKUP($H85,RoR!$E:$F,2,FALSE)</f>
        <v>5.2350000000000001E-2</v>
      </c>
      <c r="DE85" s="304">
        <f>HLOOKUP($H85,'GDP-PI'!$D$8:$CQ$11,3,FALSE)</f>
        <v>3.1010403642454332E-2</v>
      </c>
      <c r="DF85" s="303">
        <f>VLOOKUP(H85,'HW Dx Data'!$E:$F,2,FALSE)</f>
        <v>469.20514034936258</v>
      </c>
      <c r="DG85" s="89">
        <f ca="1">VLOOKUP(CC85,'ECI - Input Price'!M$13:N$33,2,FALSE)</f>
        <v>99.224999999999994</v>
      </c>
      <c r="DH85" s="89"/>
      <c r="DI85" s="89"/>
      <c r="DJ85" s="56">
        <f t="shared" ca="1" si="204"/>
        <v>5.0378726854569796E-2</v>
      </c>
      <c r="DK85" s="53">
        <f>HLOOKUP(H85,'GDP-PI'!$8:$9,2,FALSE)</f>
        <v>87.406999999999996</v>
      </c>
      <c r="DL85" s="355">
        <f t="shared" si="195"/>
        <v>3.0539295810733648E-2</v>
      </c>
      <c r="DP85" s="398"/>
      <c r="DQ85" s="398"/>
      <c r="DR85" s="398"/>
      <c r="DS85" s="398"/>
      <c r="DT85" s="398"/>
      <c r="DU85" s="398"/>
      <c r="DV85" s="398"/>
      <c r="DW85" s="398"/>
      <c r="DX85" s="398"/>
      <c r="EC85">
        <f t="shared" si="190"/>
        <v>2005</v>
      </c>
    </row>
    <row r="86" spans="1:133" s="126" customFormat="1" ht="21" customHeight="1" x14ac:dyDescent="0.4">
      <c r="A86" s="233" t="s">
        <v>185</v>
      </c>
      <c r="B86" s="127" t="s">
        <v>186</v>
      </c>
      <c r="C86" s="127">
        <v>4057110</v>
      </c>
      <c r="D86" s="127" t="s">
        <v>187</v>
      </c>
      <c r="E86" s="127" t="s">
        <v>15</v>
      </c>
      <c r="F86" s="127"/>
      <c r="G86" s="127" t="s">
        <v>162</v>
      </c>
      <c r="H86" s="128">
        <v>2006</v>
      </c>
      <c r="I86" s="129"/>
      <c r="J86" s="125">
        <f>IFERROR(INDEX('Labor Expenditures'!$E$7:$W$91,MATCH($C86,'Labor Expenditures'!$C$7:$C$91,0),MATCH($G86,'Labor Expenditures'!$E$5:$W$5,0)),"NA")</f>
        <v>3041.058535493924</v>
      </c>
      <c r="K86" s="125">
        <f t="shared" ca="1" si="196"/>
        <v>27.797610013655611</v>
      </c>
      <c r="L86" s="47"/>
      <c r="M86" s="131">
        <f t="shared" ca="1" si="205"/>
        <v>-9.8041531212922209E-2</v>
      </c>
      <c r="N86" s="59"/>
      <c r="O86" s="59"/>
      <c r="P86" s="59">
        <f t="shared" ref="P86:P102" ca="1" si="207">+M86*$AX86</f>
        <v>-1.320171873768327E-4</v>
      </c>
      <c r="Q86" s="61"/>
      <c r="R86" s="387"/>
      <c r="S86" s="49">
        <f ca="1">+S85*EXP(T86)</f>
        <v>90.215254016275708</v>
      </c>
      <c r="T86" s="61">
        <f ca="1">+P86+P111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</f>
        <v>-0.10297165995506902</v>
      </c>
      <c r="U86" s="61"/>
      <c r="V86" s="125">
        <f>IFERROR(INDEX('Non-Labor Expenditures'!$E$7:$AA$91,MATCH($C86,'Non-Labor Expenditures'!$C$7:$C$91,0),MATCH($G86,'Non-Labor Expenditures'!$E$5:$AA$5,0)),"NA")</f>
        <v>4404.0207507811865</v>
      </c>
      <c r="W86" s="125">
        <f t="shared" si="197"/>
        <v>48.893362688247294</v>
      </c>
      <c r="X86" s="131">
        <f t="shared" ref="X86:X101" si="208">LN(W86/W85)</f>
        <v>-3.0476823619624917E-2</v>
      </c>
      <c r="Y86" s="131">
        <f t="shared" ref="Y86:Y102" si="209">+X86*AX86</f>
        <v>-4.1038368991858386E-5</v>
      </c>
      <c r="Z86" s="131"/>
      <c r="AA86" s="131"/>
      <c r="AB86" s="131"/>
      <c r="AC86" s="125">
        <f t="shared" si="177"/>
        <v>2402.6566753119891</v>
      </c>
      <c r="AD86" s="129"/>
      <c r="AE86" s="133">
        <v>203.89954531206709</v>
      </c>
      <c r="AF86" s="134">
        <v>2.6459330011102681E-2</v>
      </c>
      <c r="AG86" s="59">
        <f t="shared" si="198"/>
        <v>3.5628639054556043E-5</v>
      </c>
      <c r="AH86" s="134"/>
      <c r="AI86" s="134"/>
      <c r="AJ86" s="129">
        <f t="shared" si="94"/>
        <v>9847.7359615870992</v>
      </c>
      <c r="AK86" s="134">
        <f t="shared" ref="AK86:AK102" si="210">LN(AJ86/AJ85)</f>
        <v>-3.2809070562269619E-3</v>
      </c>
      <c r="AL86" s="129"/>
      <c r="AM86" s="129"/>
      <c r="AN86" s="129"/>
      <c r="AO86" s="129"/>
      <c r="AP86" s="133">
        <f t="shared" ref="AP86:AP102" si="211">+(AJ86*1000)/BB86</f>
        <v>279.02802146564756</v>
      </c>
      <c r="AQ86" s="134">
        <f>+BB86/Outputs!$B$14</f>
        <v>1.0176333751222447E-3</v>
      </c>
      <c r="AR86" s="93">
        <f t="shared" si="199"/>
        <v>0.30880788714849083</v>
      </c>
      <c r="AS86" s="93">
        <f t="shared" si="200"/>
        <v>0.44721149794834847</v>
      </c>
      <c r="AT86" s="93">
        <f t="shared" si="201"/>
        <v>0.24398061490316073</v>
      </c>
      <c r="AU86" s="93">
        <f t="shared" ca="1" si="206"/>
        <v>-3.7358752124155598E-2</v>
      </c>
      <c r="AV86" s="132">
        <f ca="1">+AV85*EXP(AU86)</f>
        <v>96.33304764951302</v>
      </c>
      <c r="AW86" s="134">
        <f ca="1">LN(AV86/AV85)</f>
        <v>-3.7358752124155695E-2</v>
      </c>
      <c r="AX86" s="56">
        <f>+AJ86/$AL$11</f>
        <v>1.346543508078466E-3</v>
      </c>
      <c r="AY86" s="135">
        <f ca="1">+AX86*AW86</f>
        <v>-5.030518514269445E-5</v>
      </c>
      <c r="AZ86" s="93"/>
      <c r="BA86" s="93"/>
      <c r="BB86" s="234">
        <f>IFERROR(INDEX('Total Customers'!$E$7:$AA$91,MATCH($C86,'Total Customers'!$C$7:$C$91,0),MATCH($G86,'Total Customers'!$E$5:$AA$5,0)),"NA")</f>
        <v>35293</v>
      </c>
      <c r="BC86" s="411">
        <f t="shared" si="171"/>
        <v>1.8150369408103453E-3</v>
      </c>
      <c r="BD86" s="92"/>
      <c r="BE86" s="281" t="str">
        <f t="shared" si="167"/>
        <v>BERKSHIRE GAS COMPANY</v>
      </c>
      <c r="BF86" s="290">
        <f t="shared" si="168"/>
        <v>4057110</v>
      </c>
      <c r="BG86" s="46" t="str">
        <f t="shared" si="169"/>
        <v>MA</v>
      </c>
      <c r="BH86" s="46"/>
      <c r="BI86" s="46" t="str">
        <f t="shared" si="170"/>
        <v>2006 Y</v>
      </c>
      <c r="BJ86" s="129"/>
      <c r="BK86" s="129"/>
      <c r="BL86" s="129">
        <f>INDEX('Dist. Plant Gas Additions'!$E$7:$AD$91,MATCH($C86,'Dist. Plant Gas Additions'!$C$7:$C$91,0),MATCH(Calculation!$G86,'Dist. Plant Gas Additions'!$E$5:$AD$5,0))</f>
        <v>2166</v>
      </c>
      <c r="BM86" s="129">
        <f>INDEX('Gen. Plant Additions'!$E$7:$AD$91,MATCH($C86,'Gen. Plant Additions'!$C$7:$C$91,0),MATCH(Calculation!$G86,'Gen. Plant Additions'!$E$5:$AD$5,0))</f>
        <v>860</v>
      </c>
      <c r="BN86" s="393">
        <f t="shared" si="178"/>
        <v>0.83698822342387791</v>
      </c>
      <c r="BO86" s="46">
        <f t="shared" si="202"/>
        <v>719.80987214453501</v>
      </c>
      <c r="BP86" s="46">
        <f t="shared" si="203"/>
        <v>-140.19012785546499</v>
      </c>
      <c r="BQ86" s="129"/>
      <c r="BR86" s="129"/>
      <c r="BS86" s="137">
        <v>2006</v>
      </c>
      <c r="BT86" s="129"/>
      <c r="BU86" s="333">
        <v>449.38250205318639</v>
      </c>
      <c r="BV86" s="129"/>
      <c r="BW86" s="129"/>
      <c r="BX86" s="129"/>
      <c r="BY86" s="129">
        <f>INDEX('Gross Dx Plant'!$D$7:$AC$91,MATCH($C86,'Gross Dx Plant'!$C$7:$C$91,0),MATCH(Calculation!$G86,'Gross Dx Plant'!$D$5:$AC$5,0))</f>
        <v>53091</v>
      </c>
      <c r="BZ86" s="129">
        <f>INDEX('Gross Gen Plant'!$D$7:$AC$91,MATCH($C86,'Gross Gen Plant'!$C$7:$C$91,0),MATCH(Calculation!$G86,'Gross Gen Plant'!$D$5:$AC$5,0))</f>
        <v>10340</v>
      </c>
      <c r="CA86" s="129">
        <f t="shared" si="172"/>
        <v>63431</v>
      </c>
      <c r="CB86" s="134"/>
      <c r="CC86" s="133">
        <v>2006</v>
      </c>
      <c r="CD86" s="129"/>
      <c r="CE86" s="129"/>
      <c r="CF86" s="129"/>
      <c r="CG86" s="137"/>
      <c r="CH86" s="129">
        <f t="shared" si="179"/>
        <v>3026</v>
      </c>
      <c r="CI86" s="46">
        <f t="shared" si="188"/>
        <v>2885.8098721445349</v>
      </c>
      <c r="CJ86" s="46">
        <f t="shared" si="180"/>
        <v>6.2587281341013492</v>
      </c>
      <c r="CK86" s="443">
        <v>0.91489361702127658</v>
      </c>
      <c r="CL86" s="46">
        <f>+CL78*CK86+CJ79*CK85+CJ80*CK84+CJ81*CK83+CJ82*CK82+CJ83*CK81+CJ84*CK80+CJ85*CK79+CJ86</f>
        <v>194.96945067248632</v>
      </c>
      <c r="CM86" s="134">
        <f t="shared" si="181"/>
        <v>2.0556365229499322E-2</v>
      </c>
      <c r="CN86" s="135">
        <f t="shared" si="182"/>
        <v>1.1998678693344852E-2</v>
      </c>
      <c r="CO86" s="135">
        <f t="shared" si="192"/>
        <v>1.1684334577459271E-2</v>
      </c>
      <c r="CP86" s="134">
        <f>VLOOKUP($H86,RoR!$E:$F,2,FALSE)</f>
        <v>5.5874999999999994E-2</v>
      </c>
      <c r="CQ86" s="135">
        <v>3.0512430354548314E-2</v>
      </c>
      <c r="CR86" s="135">
        <f t="shared" si="189"/>
        <v>2.536256964545168E-2</v>
      </c>
      <c r="CS86" s="135">
        <f t="shared" si="193"/>
        <v>1.9217607031074356E-2</v>
      </c>
      <c r="CT86" s="56">
        <v>7.9087823893859641E-2</v>
      </c>
      <c r="CU86" s="139">
        <f t="shared" si="183"/>
        <v>0.84940815000000003</v>
      </c>
      <c r="CV86" s="335">
        <f t="shared" si="184"/>
        <v>0.91779957551769631</v>
      </c>
      <c r="CW86" s="335">
        <f t="shared" si="185"/>
        <v>0.52757270693512304</v>
      </c>
      <c r="CX86" s="335">
        <f t="shared" si="186"/>
        <v>0.88636824549024895</v>
      </c>
      <c r="CY86" s="335">
        <f t="shared" si="187"/>
        <v>0.42918482841932087</v>
      </c>
      <c r="CZ86" s="336">
        <f>INDEX('State Tax Lookup'!$D$7:$Z$91,MATCH(Calculation!$C86,'State Tax Lookup'!$B$7:$B$91,0),MATCH($H86,'State Tax Lookup'!$D$6:$Z$6,0))</f>
        <v>0.40700500000000001</v>
      </c>
      <c r="DA86" s="303">
        <v>0.37</v>
      </c>
      <c r="DB86" s="57">
        <f t="shared" si="191"/>
        <v>12.579189660893002</v>
      </c>
      <c r="DC86" s="56">
        <f t="shared" si="194"/>
        <v>-3.2278431680939398E-2</v>
      </c>
      <c r="DD86" s="303">
        <f>VLOOKUP($H86,RoR!$E:$F,2,FALSE)</f>
        <v>5.5874999999999994E-2</v>
      </c>
      <c r="DE86" s="304">
        <f>HLOOKUP($H86,'GDP-PI'!$D$8:$CQ$11,3,FALSE)</f>
        <v>3.0512430354548314E-2</v>
      </c>
      <c r="DF86" s="303">
        <f>VLOOKUP(H86,'HW Dx Data'!$E:$F,2,FALSE)</f>
        <v>461.08567272971823</v>
      </c>
      <c r="DG86" s="89">
        <f ca="1">VLOOKUP(CC86,'ECI - Input Price'!M$13:N$33,2,FALSE)</f>
        <v>109.4</v>
      </c>
      <c r="DH86" s="89"/>
      <c r="DI86" s="89"/>
      <c r="DJ86" s="56">
        <f t="shared" ca="1" si="204"/>
        <v>9.7620891318751846E-2</v>
      </c>
      <c r="DK86" s="53">
        <f>HLOOKUP(H86,'GDP-PI'!$8:$9,2,FALSE)</f>
        <v>90.073999999999998</v>
      </c>
      <c r="DL86" s="355">
        <f t="shared" si="195"/>
        <v>3.005618372545445E-2</v>
      </c>
      <c r="DP86" s="398"/>
      <c r="DQ86" s="398"/>
      <c r="DR86" s="398"/>
      <c r="DS86" s="398"/>
      <c r="DT86" s="398"/>
      <c r="DU86" s="398"/>
      <c r="DV86" s="398"/>
      <c r="DW86" s="398"/>
      <c r="DX86" s="398"/>
      <c r="EC86">
        <f t="shared" si="190"/>
        <v>2006</v>
      </c>
    </row>
    <row r="87" spans="1:133" s="126" customFormat="1" ht="21" customHeight="1" x14ac:dyDescent="0.4">
      <c r="A87" s="233" t="s">
        <v>185</v>
      </c>
      <c r="B87" s="127" t="s">
        <v>186</v>
      </c>
      <c r="C87" s="127">
        <v>4057110</v>
      </c>
      <c r="D87" s="127" t="s">
        <v>187</v>
      </c>
      <c r="E87" s="127" t="s">
        <v>15</v>
      </c>
      <c r="F87" s="127"/>
      <c r="G87" s="127" t="s">
        <v>163</v>
      </c>
      <c r="H87" s="128">
        <v>2007</v>
      </c>
      <c r="I87" s="129"/>
      <c r="J87" s="125">
        <f>IFERROR(INDEX('Labor Expenditures'!$E$7:$W$91,MATCH($C87,'Labor Expenditures'!$C$7:$C$91,0),MATCH($G87,'Labor Expenditures'!$E$5:$W$5,0)),"NA")</f>
        <v>3097.5659466271604</v>
      </c>
      <c r="K87" s="125">
        <f t="shared" ca="1" si="196"/>
        <v>29.634689754864009</v>
      </c>
      <c r="L87" s="47"/>
      <c r="M87" s="131">
        <f t="shared" ca="1" si="205"/>
        <v>6.3995580040062838E-2</v>
      </c>
      <c r="N87" s="59"/>
      <c r="O87" s="59"/>
      <c r="P87" s="59">
        <f t="shared" ca="1" si="207"/>
        <v>8.5109077261584908E-5</v>
      </c>
      <c r="Q87" s="61"/>
      <c r="R87" s="387"/>
      <c r="S87" s="49">
        <f t="shared" ref="S87:S100" ca="1" si="212">+S86*EXP(T87)</f>
        <v>97.159224961616971</v>
      </c>
      <c r="T87" s="61">
        <f ca="1">+P87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</f>
        <v>7.4152601140531085E-2</v>
      </c>
      <c r="U87" s="61"/>
      <c r="V87" s="125">
        <f>IFERROR(INDEX('Non-Labor Expenditures'!$E$7:$AA$91,MATCH($C87,'Non-Labor Expenditures'!$C$7:$C$91,0),MATCH($G87,'Non-Labor Expenditures'!$E$5:$AA$5,0)),"NA")</f>
        <v>4485.8540362306812</v>
      </c>
      <c r="W87" s="125">
        <f t="shared" si="197"/>
        <v>48.496767889367135</v>
      </c>
      <c r="X87" s="131">
        <f t="shared" si="208"/>
        <v>-8.144500655227354E-3</v>
      </c>
      <c r="Y87" s="131">
        <f t="shared" si="209"/>
        <v>-1.083154391426457E-5</v>
      </c>
      <c r="Z87" s="131"/>
      <c r="AA87" s="131"/>
      <c r="AB87" s="131"/>
      <c r="AC87" s="125">
        <f t="shared" si="177"/>
        <v>2610.9119326823475</v>
      </c>
      <c r="AD87" s="129"/>
      <c r="AE87" s="133">
        <v>209.57660099046075</v>
      </c>
      <c r="AF87" s="134">
        <v>2.7461862096784865E-2</v>
      </c>
      <c r="AG87" s="59">
        <f t="shared" si="198"/>
        <v>3.6522112018971837E-5</v>
      </c>
      <c r="AH87" s="134"/>
      <c r="AI87" s="134"/>
      <c r="AJ87" s="129">
        <f t="shared" si="94"/>
        <v>10194.33191554019</v>
      </c>
      <c r="AK87" s="134">
        <f t="shared" si="210"/>
        <v>3.4590294131356683E-2</v>
      </c>
      <c r="AL87" s="129"/>
      <c r="AM87" s="129"/>
      <c r="AN87" s="129"/>
      <c r="AO87" s="129"/>
      <c r="AP87" s="133">
        <f t="shared" si="211"/>
        <v>287.4233651612775</v>
      </c>
      <c r="AQ87" s="134">
        <f>+BB87/Outputs!$B$15</f>
        <v>1.0149794750534626E-3</v>
      </c>
      <c r="AR87" s="93">
        <f t="shared" si="199"/>
        <v>0.30385178472610314</v>
      </c>
      <c r="AS87" s="93">
        <f t="shared" si="200"/>
        <v>0.44003413596848534</v>
      </c>
      <c r="AT87" s="93">
        <f t="shared" si="201"/>
        <v>0.25611407930541147</v>
      </c>
      <c r="AU87" s="93">
        <f t="shared" ca="1" si="206"/>
        <v>2.2857434974837783E-2</v>
      </c>
      <c r="AV87" s="132">
        <f ca="1">+AV86*EXP(AU87)</f>
        <v>98.560332054478607</v>
      </c>
      <c r="AW87" s="134">
        <f ca="1">LN(AV87/AV86)</f>
        <v>2.285743497483771E-2</v>
      </c>
      <c r="AX87" s="56">
        <f>+AJ87/$AL$12</f>
        <v>1.3299211790611866E-3</v>
      </c>
      <c r="AY87" s="135">
        <f ca="1">+AX87*AW87</f>
        <v>3.0398586872050573E-5</v>
      </c>
      <c r="AZ87" s="93"/>
      <c r="BA87" s="93"/>
      <c r="BB87" s="234">
        <f>IFERROR(INDEX('Total Customers'!$E$7:$AA$91,MATCH($C87,'Total Customers'!$C$7:$C$91,0),MATCH($G87,'Total Customers'!$E$5:$AA$5,0)),"NA")</f>
        <v>35468</v>
      </c>
      <c r="BC87" s="411">
        <f t="shared" si="171"/>
        <v>4.9462375258963699E-3</v>
      </c>
      <c r="BD87" s="92"/>
      <c r="BE87" s="281" t="str">
        <f t="shared" si="167"/>
        <v>BERKSHIRE GAS COMPANY</v>
      </c>
      <c r="BF87" s="290">
        <f t="shared" si="168"/>
        <v>4057110</v>
      </c>
      <c r="BG87" s="46" t="str">
        <f t="shared" si="169"/>
        <v>MA</v>
      </c>
      <c r="BH87" s="46"/>
      <c r="BI87" s="46" t="str">
        <f t="shared" si="170"/>
        <v>2007 Y</v>
      </c>
      <c r="BJ87" s="129"/>
      <c r="BK87" s="129"/>
      <c r="BL87" s="129">
        <f>INDEX('Dist. Plant Gas Additions'!$E$7:$AD$91,MATCH($C87,'Dist. Plant Gas Additions'!$C$7:$C$91,0),MATCH(Calculation!$G87,'Dist. Plant Gas Additions'!$E$5:$AD$5,0))</f>
        <v>2552</v>
      </c>
      <c r="BM87" s="129">
        <f>INDEX('Gen. Plant Additions'!$E$7:$AD$91,MATCH($C87,'Gen. Plant Additions'!$C$7:$C$91,0),MATCH(Calculation!$G87,'Gen. Plant Additions'!$E$5:$AD$5,0))</f>
        <v>929</v>
      </c>
      <c r="BN87" s="393">
        <f t="shared" si="178"/>
        <v>0.8302700077405254</v>
      </c>
      <c r="BO87" s="46">
        <f t="shared" si="202"/>
        <v>771.32083719094805</v>
      </c>
      <c r="BP87" s="46">
        <f t="shared" si="203"/>
        <v>-157.67916280905195</v>
      </c>
      <c r="BQ87" s="129"/>
      <c r="BR87" s="129"/>
      <c r="BS87" s="137">
        <v>2007</v>
      </c>
      <c r="BT87" s="129"/>
      <c r="BU87" s="333">
        <v>492.91323186281352</v>
      </c>
      <c r="BV87" s="129"/>
      <c r="BW87" s="129"/>
      <c r="BX87" s="129"/>
      <c r="BY87" s="129">
        <f>INDEX('Gross Dx Plant'!$D$7:$AC$91,MATCH($C87,'Gross Dx Plant'!$C$7:$C$91,0),MATCH(Calculation!$G87,'Gross Dx Plant'!$D$5:$AC$5,0))</f>
        <v>54704</v>
      </c>
      <c r="BZ87" s="129">
        <f>INDEX('Gross Gen Plant'!$D$7:$AC$91,MATCH($C87,'Gross Gen Plant'!$C$7:$C$91,0),MATCH(Calculation!$G87,'Gross Gen Plant'!$D$5:$AC$5,0))</f>
        <v>11183</v>
      </c>
      <c r="CA87" s="129">
        <f t="shared" si="172"/>
        <v>65887</v>
      </c>
      <c r="CB87" s="129"/>
      <c r="CC87" s="133">
        <v>2007</v>
      </c>
      <c r="CD87" s="129"/>
      <c r="CE87" s="129"/>
      <c r="CF87" s="129"/>
      <c r="CG87" s="137"/>
      <c r="CH87" s="129">
        <f t="shared" si="179"/>
        <v>3481</v>
      </c>
      <c r="CI87" s="46">
        <f t="shared" si="188"/>
        <v>3323.3208371909482</v>
      </c>
      <c r="CJ87" s="46">
        <f t="shared" si="180"/>
        <v>6.6730359943934445</v>
      </c>
      <c r="CK87" s="443">
        <v>0.90322580645161288</v>
      </c>
      <c r="CL87" s="46">
        <f>+CL78*CK87+CJ79*CK86+CJ80*CK85+CJ81*CK84+CJ82*CK83+CJ83*CK82+CJ84*CK81+CJ85*CK80+CJ86*CK79+CJ87</f>
        <v>199.2398590534406</v>
      </c>
      <c r="CM87" s="134">
        <f t="shared" si="181"/>
        <v>2.1666537711071413E-2</v>
      </c>
      <c r="CN87" s="135">
        <f t="shared" si="182"/>
        <v>1.2323097824567133E-2</v>
      </c>
      <c r="CO87" s="135">
        <f t="shared" si="192"/>
        <v>1.2000238917876438E-2</v>
      </c>
      <c r="CP87" s="134">
        <f>VLOOKUP($H87,RoR!$E:$F,2,FALSE)</f>
        <v>5.5558333333333321E-2</v>
      </c>
      <c r="CQ87" s="135">
        <v>2.691120634145272E-2</v>
      </c>
      <c r="CR87" s="135">
        <f t="shared" si="189"/>
        <v>2.86471269918806E-2</v>
      </c>
      <c r="CS87" s="135">
        <f t="shared" si="193"/>
        <v>1.8901702690657187E-2</v>
      </c>
      <c r="CT87" s="56">
        <v>6.4575155250632399E-2</v>
      </c>
      <c r="CU87" s="139">
        <f t="shared" si="183"/>
        <v>0.84940815000000003</v>
      </c>
      <c r="CV87" s="335">
        <f t="shared" si="184"/>
        <v>0.92303077153834634</v>
      </c>
      <c r="CW87" s="335">
        <f t="shared" si="185"/>
        <v>0.52502249887505614</v>
      </c>
      <c r="CX87" s="335">
        <f t="shared" si="186"/>
        <v>0.88499666072084604</v>
      </c>
      <c r="CY87" s="335">
        <f t="shared" si="187"/>
        <v>0.42887993290280618</v>
      </c>
      <c r="CZ87" s="336">
        <f>INDEX('State Tax Lookup'!$D$7:$Z$91,MATCH(Calculation!$C87,'State Tax Lookup'!$B$7:$B$91,0),MATCH($H87,'State Tax Lookup'!$D$6:$Z$6,0))</f>
        <v>0.40700500000000001</v>
      </c>
      <c r="DA87" s="303">
        <v>0.37</v>
      </c>
      <c r="DB87" s="57">
        <f t="shared" si="191"/>
        <v>13.391389900709168</v>
      </c>
      <c r="DC87" s="56">
        <f t="shared" si="194"/>
        <v>6.2568121389140932E-2</v>
      </c>
      <c r="DD87" s="303">
        <f>VLOOKUP($H87,RoR!$E:$F,2,FALSE)</f>
        <v>5.5558333333333321E-2</v>
      </c>
      <c r="DE87" s="304">
        <f>HLOOKUP($H87,'GDP-PI'!$D$8:$CQ$11,3,FALSE)</f>
        <v>2.691120634145272E-2</v>
      </c>
      <c r="DF87" s="303">
        <f>VLOOKUP(H87,'HW Dx Data'!$E:$F,2,FALSE)</f>
        <v>498.0223154772637</v>
      </c>
      <c r="DG87" s="89">
        <f ca="1">VLOOKUP(CC87,'ECI - Input Price'!M$13:N$33,2,FALSE)</f>
        <v>104.52499999999999</v>
      </c>
      <c r="DH87" s="89"/>
      <c r="DI87" s="89"/>
      <c r="DJ87" s="56">
        <f t="shared" ca="1" si="204"/>
        <v>-4.5584612745252218E-2</v>
      </c>
      <c r="DK87" s="53">
        <f>HLOOKUP(H87,'GDP-PI'!$8:$9,2,FALSE)</f>
        <v>92.498000000000005</v>
      </c>
      <c r="DL87" s="355">
        <f t="shared" si="195"/>
        <v>2.6555467950038037E-2</v>
      </c>
      <c r="DP87" s="398"/>
      <c r="DQ87" s="398"/>
      <c r="DR87" s="398"/>
      <c r="DS87" s="398"/>
      <c r="DT87" s="398"/>
      <c r="DU87" s="398"/>
      <c r="DV87" s="398"/>
      <c r="DW87" s="398"/>
      <c r="DX87" s="398"/>
      <c r="EC87">
        <f t="shared" si="190"/>
        <v>2007</v>
      </c>
    </row>
    <row r="88" spans="1:133" s="126" customFormat="1" ht="21" customHeight="1" x14ac:dyDescent="0.4">
      <c r="A88" s="233" t="s">
        <v>185</v>
      </c>
      <c r="B88" s="127" t="s">
        <v>186</v>
      </c>
      <c r="C88" s="127">
        <v>4057110</v>
      </c>
      <c r="D88" s="127" t="s">
        <v>187</v>
      </c>
      <c r="E88" s="127" t="s">
        <v>15</v>
      </c>
      <c r="F88" s="127"/>
      <c r="G88" s="127" t="s">
        <v>164</v>
      </c>
      <c r="H88" s="128">
        <v>2008</v>
      </c>
      <c r="I88" s="129"/>
      <c r="J88" s="125">
        <f>IFERROR(INDEX('Labor Expenditures'!$E$7:$W$91,MATCH($C88,'Labor Expenditures'!$C$7:$C$91,0),MATCH($G88,'Labor Expenditures'!$E$5:$W$5,0)),"NA")</f>
        <v>3246.3019385040448</v>
      </c>
      <c r="K88" s="125">
        <f t="shared" ca="1" si="196"/>
        <v>30.086208883262692</v>
      </c>
      <c r="L88" s="47"/>
      <c r="M88" s="131">
        <f t="shared" ca="1" si="205"/>
        <v>1.5121263814905753E-2</v>
      </c>
      <c r="N88" s="59"/>
      <c r="O88" s="59"/>
      <c r="P88" s="59">
        <f t="shared" ca="1" si="207"/>
        <v>2.0466564308170261E-5</v>
      </c>
      <c r="Q88" s="61"/>
      <c r="R88" s="387"/>
      <c r="S88" s="49">
        <f t="shared" ca="1" si="212"/>
        <v>96.105357323207343</v>
      </c>
      <c r="T88" s="61">
        <f ca="1">+P88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</f>
        <v>-1.0906065371244868E-2</v>
      </c>
      <c r="U88" s="61"/>
      <c r="V88" s="125">
        <f>IFERROR(INDEX('Non-Labor Expenditures'!$E$7:$AA$91,MATCH($C88,'Non-Labor Expenditures'!$C$7:$C$91,0),MATCH($G88,'Non-Labor Expenditures'!$E$5:$AA$5,0)),"NA")</f>
        <v>4701.2515325197273</v>
      </c>
      <c r="W88" s="125">
        <f t="shared" si="197"/>
        <v>49.873244637610618</v>
      </c>
      <c r="X88" s="131">
        <f t="shared" si="208"/>
        <v>2.7987525088334079E-2</v>
      </c>
      <c r="Y88" s="131">
        <f t="shared" si="209"/>
        <v>3.7880992558457533E-5</v>
      </c>
      <c r="Z88" s="131"/>
      <c r="AA88" s="131"/>
      <c r="AB88" s="131"/>
      <c r="AC88" s="125">
        <f t="shared" si="177"/>
        <v>3001.8135299615183</v>
      </c>
      <c r="AD88" s="129"/>
      <c r="AE88" s="133">
        <v>215.41950311803049</v>
      </c>
      <c r="AF88" s="134">
        <v>2.749799462772334E-2</v>
      </c>
      <c r="AG88" s="59">
        <f t="shared" si="198"/>
        <v>3.7218415225270496E-5</v>
      </c>
      <c r="AH88" s="134"/>
      <c r="AI88" s="134"/>
      <c r="AJ88" s="129">
        <f t="shared" si="94"/>
        <v>10949.36700098529</v>
      </c>
      <c r="AK88" s="134">
        <f t="shared" si="210"/>
        <v>7.1449775182458208E-2</v>
      </c>
      <c r="AL88" s="129"/>
      <c r="AM88" s="129"/>
      <c r="AN88" s="129"/>
      <c r="AO88" s="129"/>
      <c r="AP88" s="133">
        <f t="shared" si="211"/>
        <v>307.28164906085067</v>
      </c>
      <c r="AQ88" s="134">
        <f>+BB88/Outputs!$B$16</f>
        <v>1.0142493306816869E-3</v>
      </c>
      <c r="AR88" s="93">
        <f t="shared" si="199"/>
        <v>0.29648306958858195</v>
      </c>
      <c r="AS88" s="93">
        <f t="shared" si="200"/>
        <v>0.42936286016321129</v>
      </c>
      <c r="AT88" s="93">
        <f t="shared" si="201"/>
        <v>0.27415407024820676</v>
      </c>
      <c r="AU88" s="93">
        <f t="shared" ca="1" si="206"/>
        <v>2.3995701339005849E-2</v>
      </c>
      <c r="AV88" s="132">
        <f t="shared" ref="AV88:AV101" ca="1" si="213">+AV87*EXP(AU88)</f>
        <v>100.95395988370481</v>
      </c>
      <c r="AW88" s="134">
        <f t="shared" ref="AW88:AW101" ca="1" si="214">LN(AV88/AV87)</f>
        <v>2.3995701339005908E-2</v>
      </c>
      <c r="AX88" s="56">
        <f>+AJ88/$AL$13</f>
        <v>1.3534956177403234E-3</v>
      </c>
      <c r="AY88" s="135">
        <f t="shared" ref="AY88:AY101" ca="1" si="215">+AX88*AW88</f>
        <v>3.2478076606950109E-5</v>
      </c>
      <c r="AZ88" s="93"/>
      <c r="BA88" s="93"/>
      <c r="BB88" s="234">
        <f>IFERROR(INDEX('Total Customers'!$E$7:$AA$91,MATCH($C88,'Total Customers'!$C$7:$C$91,0),MATCH($G88,'Total Customers'!$E$5:$AA$5,0)),"NA")</f>
        <v>35633</v>
      </c>
      <c r="BC88" s="411">
        <f t="shared" si="171"/>
        <v>4.6412932644248001E-3</v>
      </c>
      <c r="BD88" s="92"/>
      <c r="BE88" s="281" t="str">
        <f t="shared" si="167"/>
        <v>BERKSHIRE GAS COMPANY</v>
      </c>
      <c r="BF88" s="290">
        <f t="shared" si="168"/>
        <v>4057110</v>
      </c>
      <c r="BG88" s="46" t="str">
        <f t="shared" si="169"/>
        <v>MA</v>
      </c>
      <c r="BH88" s="46"/>
      <c r="BI88" s="46" t="str">
        <f t="shared" si="170"/>
        <v>2008 Y</v>
      </c>
      <c r="BJ88" s="129"/>
      <c r="BK88" s="129"/>
      <c r="BL88" s="129">
        <f>INDEX('Dist. Plant Gas Additions'!$E$7:$AD$91,MATCH($C88,'Dist. Plant Gas Additions'!$C$7:$C$91,0),MATCH(Calculation!$G88,'Dist. Plant Gas Additions'!$E$5:$AD$5,0))</f>
        <v>3233</v>
      </c>
      <c r="BM88" s="129">
        <f>INDEX('Gen. Plant Additions'!$E$7:$AD$91,MATCH($C88,'Gen. Plant Additions'!$C$7:$C$91,0),MATCH(Calculation!$G88,'Gen. Plant Additions'!$E$5:$AD$5,0))</f>
        <v>890</v>
      </c>
      <c r="BN88" s="393">
        <f t="shared" si="178"/>
        <v>0.82718920804744733</v>
      </c>
      <c r="BO88" s="46">
        <f t="shared" si="202"/>
        <v>736.19839516222817</v>
      </c>
      <c r="BP88" s="46">
        <f t="shared" si="203"/>
        <v>-153.80160483777183</v>
      </c>
      <c r="BQ88" s="129"/>
      <c r="BR88" s="129"/>
      <c r="BS88" s="137">
        <v>2008</v>
      </c>
      <c r="BT88" s="129"/>
      <c r="BU88" s="333">
        <v>564.37628257120275</v>
      </c>
      <c r="BV88" s="129"/>
      <c r="BW88" s="129"/>
      <c r="BX88" s="129"/>
      <c r="BY88" s="129">
        <f>INDEX('Gross Dx Plant'!$D$7:$AC$91,MATCH($C88,'Gross Dx Plant'!$C$7:$C$91,0),MATCH(Calculation!$G88,'Gross Dx Plant'!$D$5:$AC$5,0))</f>
        <v>56904</v>
      </c>
      <c r="BZ88" s="129">
        <f>INDEX('Gross Gen Plant'!$D$7:$AC$91,MATCH($C88,'Gross Gen Plant'!$C$7:$C$91,0),MATCH(Calculation!$G88,'Gross Gen Plant'!$D$5:$AC$5,0))</f>
        <v>11888</v>
      </c>
      <c r="CA88" s="129">
        <f t="shared" si="172"/>
        <v>68792</v>
      </c>
      <c r="CB88" s="129"/>
      <c r="CC88" s="133">
        <v>2008</v>
      </c>
      <c r="CD88" s="129"/>
      <c r="CE88" s="129"/>
      <c r="CF88" s="129"/>
      <c r="CG88" s="137"/>
      <c r="CH88" s="129">
        <f t="shared" si="179"/>
        <v>4123</v>
      </c>
      <c r="CI88" s="46">
        <f t="shared" si="188"/>
        <v>3969.1983951622283</v>
      </c>
      <c r="CJ88" s="46">
        <f t="shared" si="180"/>
        <v>6.9649575594580853</v>
      </c>
      <c r="CK88" s="443">
        <v>0.89130434782608692</v>
      </c>
      <c r="CL88" s="46">
        <f>+CL78*CK88+CJ79*CK87+CJ80*CK86+CJ81*CK85+CJ82*CK84+CJ83*CK83+CJ84*CK82+CJ85*CK81+CJ86*CK80+CJ87*CK79+CJ88</f>
        <v>203.68441623573761</v>
      </c>
      <c r="CM88" s="134">
        <f t="shared" si="181"/>
        <v>2.2062396015939338E-2</v>
      </c>
      <c r="CN88" s="135">
        <f t="shared" si="182"/>
        <v>1.2650081108946375E-2</v>
      </c>
      <c r="CO88" s="135">
        <f t="shared" si="192"/>
        <v>1.232395254228612E-2</v>
      </c>
      <c r="CP88" s="134">
        <f>VLOOKUP($H88,RoR!$E:$F,2,FALSE)</f>
        <v>5.6316666666666668E-2</v>
      </c>
      <c r="CQ88" s="135">
        <v>1.9092304698479889E-2</v>
      </c>
      <c r="CR88" s="135">
        <f t="shared" si="189"/>
        <v>3.7224361968186778E-2</v>
      </c>
      <c r="CS88" s="135">
        <f t="shared" si="193"/>
        <v>1.8577989066247504E-2</v>
      </c>
      <c r="CT88" s="56">
        <v>6.9030581091053131E-2</v>
      </c>
      <c r="CU88" s="139">
        <f t="shared" si="183"/>
        <v>0.84940815000000003</v>
      </c>
      <c r="CV88" s="335">
        <f t="shared" si="184"/>
        <v>0.91060168006009956</v>
      </c>
      <c r="CW88" s="335">
        <f t="shared" si="185"/>
        <v>0.53108168097070152</v>
      </c>
      <c r="CX88" s="335">
        <f t="shared" si="186"/>
        <v>0.88825329850328805</v>
      </c>
      <c r="CY88" s="335">
        <f t="shared" si="187"/>
        <v>0.4295627335323573</v>
      </c>
      <c r="CZ88" s="336">
        <f>INDEX('State Tax Lookup'!$D$7:$Z$91,MATCH(Calculation!$C88,'State Tax Lookup'!$B$7:$B$91,0),MATCH($H88,'State Tax Lookup'!$D$6:$Z$6,0))</f>
        <v>0.40700500000000001</v>
      </c>
      <c r="DA88" s="303">
        <v>0.37</v>
      </c>
      <c r="DB88" s="57">
        <f t="shared" si="191"/>
        <v>15.066330322771231</v>
      </c>
      <c r="DC88" s="56">
        <f t="shared" si="194"/>
        <v>0.11785051849768592</v>
      </c>
      <c r="DD88" s="303">
        <f>VLOOKUP($H88,RoR!$E:$F,2,FALSE)</f>
        <v>5.6316666666666668E-2</v>
      </c>
      <c r="DE88" s="304">
        <f>HLOOKUP($H88,'GDP-PI'!$D$8:$CQ$11,3,FALSE)</f>
        <v>1.9092304698479889E-2</v>
      </c>
      <c r="DF88" s="303">
        <f>VLOOKUP(H88,'HW Dx Data'!$E:$F,2,FALSE)</f>
        <v>569.88120333515076</v>
      </c>
      <c r="DG88" s="89">
        <f ca="1">VLOOKUP(CC88,'ECI - Input Price'!M$13:N$33,2,FALSE)</f>
        <v>107.9</v>
      </c>
      <c r="DH88" s="89"/>
      <c r="DI88" s="89"/>
      <c r="DJ88" s="56">
        <f t="shared" ca="1" si="204"/>
        <v>3.1778595021460486E-2</v>
      </c>
      <c r="DK88" s="53">
        <f>HLOOKUP(H88,'GDP-PI'!$8:$9,2,FALSE)</f>
        <v>94.263999999999996</v>
      </c>
      <c r="DL88" s="355">
        <f t="shared" si="195"/>
        <v>1.8912333748032254E-2</v>
      </c>
      <c r="DP88" s="398"/>
      <c r="DQ88" s="398"/>
      <c r="DR88" s="398"/>
      <c r="DS88" s="398"/>
      <c r="DT88" s="398"/>
      <c r="DU88" s="398"/>
      <c r="DV88" s="398"/>
      <c r="DW88" s="398"/>
      <c r="DX88" s="398"/>
      <c r="EC88">
        <f t="shared" si="190"/>
        <v>2008</v>
      </c>
    </row>
    <row r="89" spans="1:133" s="126" customFormat="1" ht="21" customHeight="1" x14ac:dyDescent="0.4">
      <c r="A89" s="233" t="s">
        <v>185</v>
      </c>
      <c r="B89" s="127" t="s">
        <v>186</v>
      </c>
      <c r="C89" s="127">
        <v>4057110</v>
      </c>
      <c r="D89" s="127" t="s">
        <v>187</v>
      </c>
      <c r="E89" s="127" t="s">
        <v>15</v>
      </c>
      <c r="F89" s="127"/>
      <c r="G89" s="127" t="s">
        <v>165</v>
      </c>
      <c r="H89" s="128">
        <v>2009</v>
      </c>
      <c r="I89" s="129"/>
      <c r="J89" s="125">
        <f>IFERROR(INDEX('Labor Expenditures'!$E$7:$W$91,MATCH($C89,'Labor Expenditures'!$C$7:$C$91,0),MATCH($G89,'Labor Expenditures'!$E$5:$W$5,0)),"NA")</f>
        <v>3456.5619686629871</v>
      </c>
      <c r="K89" s="125">
        <f t="shared" ca="1" si="196"/>
        <v>31.161252816434413</v>
      </c>
      <c r="L89" s="47"/>
      <c r="M89" s="131">
        <f t="shared" ca="1" si="205"/>
        <v>3.5108535989206768E-2</v>
      </c>
      <c r="N89" s="59"/>
      <c r="O89" s="59"/>
      <c r="P89" s="59">
        <f t="shared" ca="1" si="207"/>
        <v>4.7233014457684487E-5</v>
      </c>
      <c r="Q89" s="61"/>
      <c r="R89" s="387"/>
      <c r="S89" s="49">
        <f t="shared" ca="1" si="212"/>
        <v>101.04156457171725</v>
      </c>
      <c r="T89" s="61">
        <f ca="1">+P89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</f>
        <v>5.008690079657737E-2</v>
      </c>
      <c r="U89" s="61"/>
      <c r="V89" s="125">
        <f>IFERROR(INDEX('Non-Labor Expenditures'!$E$7:$AA$91,MATCH($C89,'Non-Labor Expenditures'!$C$7:$C$91,0),MATCH($G89,'Non-Labor Expenditures'!$E$5:$AA$5,0)),"NA")</f>
        <v>5005.7473273464657</v>
      </c>
      <c r="W89" s="125">
        <f t="shared" si="197"/>
        <v>52.692631789244793</v>
      </c>
      <c r="X89" s="131">
        <f t="shared" si="208"/>
        <v>5.4990952171781224E-2</v>
      </c>
      <c r="Y89" s="131">
        <f t="shared" si="209"/>
        <v>7.3981678978869407E-5</v>
      </c>
      <c r="Z89" s="131"/>
      <c r="AA89" s="131"/>
      <c r="AB89" s="131"/>
      <c r="AC89" s="125">
        <f t="shared" si="177"/>
        <v>2915.0176475445901</v>
      </c>
      <c r="AD89" s="129"/>
      <c r="AE89" s="133">
        <v>219.46146582978585</v>
      </c>
      <c r="AF89" s="134">
        <v>1.8589358450650625E-2</v>
      </c>
      <c r="AG89" s="59">
        <f t="shared" si="198"/>
        <v>2.5009058672471809E-5</v>
      </c>
      <c r="AH89" s="134"/>
      <c r="AI89" s="134"/>
      <c r="AJ89" s="129">
        <f t="shared" si="94"/>
        <v>11377.326943554042</v>
      </c>
      <c r="AK89" s="134">
        <f t="shared" si="210"/>
        <v>3.834086392007871E-2</v>
      </c>
      <c r="AL89" s="129"/>
      <c r="AM89" s="129"/>
      <c r="AN89" s="129"/>
      <c r="AO89" s="129"/>
      <c r="AP89" s="133">
        <f t="shared" si="211"/>
        <v>316.89070393989476</v>
      </c>
      <c r="AQ89" s="134">
        <f>+BB89/Outputs!$B$17</f>
        <v>1.0206318121125512E-3</v>
      </c>
      <c r="AR89" s="93">
        <f t="shared" si="199"/>
        <v>0.30381143003202021</v>
      </c>
      <c r="AS89" s="93">
        <f t="shared" si="200"/>
        <v>0.4399756948342361</v>
      </c>
      <c r="AT89" s="93">
        <f t="shared" si="201"/>
        <v>0.25621287513374374</v>
      </c>
      <c r="AU89" s="93">
        <f t="shared" ca="1" si="206"/>
        <v>3.9370198600542264E-2</v>
      </c>
      <c r="AV89" s="132">
        <f t="shared" ca="1" si="213"/>
        <v>105.00781424594291</v>
      </c>
      <c r="AW89" s="134">
        <f t="shared" ca="1" si="214"/>
        <v>3.9370198600542194E-2</v>
      </c>
      <c r="AX89" s="56">
        <f>+AJ89/$AL$14</f>
        <v>1.3453427528907808E-3</v>
      </c>
      <c r="AY89" s="135">
        <f t="shared" ca="1" si="215"/>
        <v>5.2966411367110203E-5</v>
      </c>
      <c r="AZ89" s="93"/>
      <c r="BA89" s="93"/>
      <c r="BB89" s="234">
        <f>IFERROR(INDEX('Total Customers'!$E$7:$AA$91,MATCH($C89,'Total Customers'!$C$7:$C$91,0),MATCH($G89,'Total Customers'!$E$5:$AA$5,0)),"NA")</f>
        <v>35903</v>
      </c>
      <c r="BC89" s="411">
        <f t="shared" si="171"/>
        <v>7.5486826802592319E-3</v>
      </c>
      <c r="BD89" s="92"/>
      <c r="BE89" s="281" t="str">
        <f t="shared" si="167"/>
        <v>BERKSHIRE GAS COMPANY</v>
      </c>
      <c r="BF89" s="290">
        <f t="shared" si="168"/>
        <v>4057110</v>
      </c>
      <c r="BG89" s="46" t="str">
        <f t="shared" si="169"/>
        <v>MA</v>
      </c>
      <c r="BH89" s="46"/>
      <c r="BI89" s="46" t="str">
        <f t="shared" si="170"/>
        <v>2009 Y</v>
      </c>
      <c r="BJ89" s="129"/>
      <c r="BK89" s="129"/>
      <c r="BL89" s="129">
        <f>INDEX('Dist. Plant Gas Additions'!$E$7:$AD$91,MATCH($C89,'Dist. Plant Gas Additions'!$C$7:$C$91,0),MATCH(Calculation!$G89,'Dist. Plant Gas Additions'!$E$5:$AD$5,0))</f>
        <v>2270</v>
      </c>
      <c r="BM89" s="129">
        <f>INDEX('Gen. Plant Additions'!$E$7:$AD$91,MATCH($C89,'Gen. Plant Additions'!$C$7:$C$91,0),MATCH(Calculation!$G89,'Gen. Plant Additions'!$E$5:$AD$5,0))</f>
        <v>770</v>
      </c>
      <c r="BN89" s="393">
        <f t="shared" si="178"/>
        <v>0.82513777626271234</v>
      </c>
      <c r="BO89" s="46">
        <f t="shared" si="202"/>
        <v>635.35608772228852</v>
      </c>
      <c r="BP89" s="46">
        <f t="shared" si="203"/>
        <v>-134.64391227771148</v>
      </c>
      <c r="BQ89" s="129"/>
      <c r="BR89" s="129"/>
      <c r="BS89" s="137">
        <v>2009</v>
      </c>
      <c r="BT89" s="129"/>
      <c r="BU89" s="333">
        <v>543.92026153021129</v>
      </c>
      <c r="BV89" s="129"/>
      <c r="BW89" s="129"/>
      <c r="BX89" s="129"/>
      <c r="BY89" s="129">
        <f>INDEX('Gross Dx Plant'!$D$7:$AC$91,MATCH($C89,'Gross Dx Plant'!$C$7:$C$91,0),MATCH(Calculation!$G89,'Gross Dx Plant'!$D$5:$AC$5,0))</f>
        <v>58093</v>
      </c>
      <c r="BZ89" s="129">
        <f>INDEX('Gross Gen Plant'!$D$7:$AC$91,MATCH($C89,'Gross Gen Plant'!$C$7:$C$91,0),MATCH(Calculation!$G89,'Gross Gen Plant'!$D$5:$AC$5,0))</f>
        <v>12311</v>
      </c>
      <c r="CA89" s="129">
        <f t="shared" si="172"/>
        <v>70404</v>
      </c>
      <c r="CB89" s="129"/>
      <c r="CC89" s="133">
        <v>2009</v>
      </c>
      <c r="CD89" s="129"/>
      <c r="CE89" s="129"/>
      <c r="CF89" s="129"/>
      <c r="CG89" s="137"/>
      <c r="CH89" s="129">
        <f t="shared" si="179"/>
        <v>3040</v>
      </c>
      <c r="CI89" s="46">
        <f t="shared" si="188"/>
        <v>2905.3560877222885</v>
      </c>
      <c r="CJ89" s="46">
        <f t="shared" si="180"/>
        <v>5.2734467085483434</v>
      </c>
      <c r="CK89" s="443">
        <v>0.87912087912087911</v>
      </c>
      <c r="CL89" s="46">
        <f>+CL78*CK89+CJ79*CK88+CJ80*CK87+CJ81*CK86+CJ82*CK85+CJ83*CK84+CJ84*CK83+CJ85*CK82+CJ86*CK81+CJ87*CK80+CJ88*CK79+CJ89</f>
        <v>206.31379019402721</v>
      </c>
      <c r="CM89" s="134">
        <f t="shared" si="181"/>
        <v>1.2826446385248141E-2</v>
      </c>
      <c r="CN89" s="135">
        <f t="shared" si="182"/>
        <v>1.2981222614490988E-2</v>
      </c>
      <c r="CO89" s="135">
        <f t="shared" si="192"/>
        <v>1.2651467182668165E-2</v>
      </c>
      <c r="CP89" s="134">
        <f>VLOOKUP($H89,RoR!$E:$F,2,FALSE)</f>
        <v>5.3133333333333324E-2</v>
      </c>
      <c r="CQ89" s="135">
        <v>7.7972502758210105E-3</v>
      </c>
      <c r="CR89" s="135">
        <f t="shared" si="189"/>
        <v>4.5336083057512314E-2</v>
      </c>
      <c r="CS89" s="135">
        <f t="shared" si="193"/>
        <v>1.825047442586546E-2</v>
      </c>
      <c r="CT89" s="56">
        <v>6.3720160300892073E-2</v>
      </c>
      <c r="CU89" s="139">
        <f t="shared" si="183"/>
        <v>0.84940815000000003</v>
      </c>
      <c r="CV89" s="335">
        <f t="shared" si="184"/>
        <v>0.96515780330083989</v>
      </c>
      <c r="CW89" s="335">
        <f t="shared" si="185"/>
        <v>0.50448557089084056</v>
      </c>
      <c r="CX89" s="335">
        <f t="shared" si="186"/>
        <v>0.87391435735465484</v>
      </c>
      <c r="CY89" s="335">
        <f t="shared" si="187"/>
        <v>0.42551605393279146</v>
      </c>
      <c r="CZ89" s="336">
        <f>INDEX('State Tax Lookup'!$D$7:$Z$91,MATCH(Calculation!$C89,'State Tax Lookup'!$B$7:$B$91,0),MATCH($H89,'State Tax Lookup'!$D$6:$Z$6,0))</f>
        <v>0.40700500000000001</v>
      </c>
      <c r="DA89" s="303">
        <v>0.37</v>
      </c>
      <c r="DB89" s="57">
        <f t="shared" si="191"/>
        <v>14.311441696996814</v>
      </c>
      <c r="DC89" s="56">
        <f t="shared" si="194"/>
        <v>-5.1403138198360246E-2</v>
      </c>
      <c r="DD89" s="303">
        <f>VLOOKUP($H89,RoR!$E:$F,2,FALSE)</f>
        <v>5.3133333333333324E-2</v>
      </c>
      <c r="DE89" s="304">
        <f>HLOOKUP($H89,'GDP-PI'!$D$8:$CQ$11,3,FALSE)</f>
        <v>7.7972502758210105E-3</v>
      </c>
      <c r="DF89" s="303">
        <f>VLOOKUP(H89,'HW Dx Data'!$E:$F,2,FALSE)</f>
        <v>550.94063679692806</v>
      </c>
      <c r="DG89" s="89">
        <f ca="1">VLOOKUP(CC89,'ECI - Input Price'!M$13:N$33,2,FALSE)</f>
        <v>110.925</v>
      </c>
      <c r="DH89" s="89"/>
      <c r="DI89" s="89"/>
      <c r="DJ89" s="56">
        <f t="shared" ca="1" si="204"/>
        <v>2.7649425000884052E-2</v>
      </c>
      <c r="DK89" s="53">
        <f>HLOOKUP(H89,'GDP-PI'!$8:$9,2,FALSE)</f>
        <v>94.998999999999995</v>
      </c>
      <c r="DL89" s="355">
        <f t="shared" si="195"/>
        <v>7.7670088183096342E-3</v>
      </c>
      <c r="DP89" s="398"/>
      <c r="DQ89" s="398"/>
      <c r="DR89" s="398"/>
      <c r="DS89" s="398"/>
      <c r="DT89" s="398"/>
      <c r="DU89" s="398"/>
      <c r="DV89" s="398"/>
      <c r="DW89" s="398"/>
      <c r="DX89" s="398"/>
      <c r="EC89">
        <f t="shared" si="190"/>
        <v>2009</v>
      </c>
    </row>
    <row r="90" spans="1:133" s="126" customFormat="1" ht="21" customHeight="1" x14ac:dyDescent="0.4">
      <c r="A90" s="233" t="s">
        <v>185</v>
      </c>
      <c r="B90" s="127" t="s">
        <v>186</v>
      </c>
      <c r="C90" s="127">
        <v>4057110</v>
      </c>
      <c r="D90" s="127" t="s">
        <v>187</v>
      </c>
      <c r="E90" s="127" t="s">
        <v>15</v>
      </c>
      <c r="F90" s="127"/>
      <c r="G90" s="127" t="s">
        <v>166</v>
      </c>
      <c r="H90" s="128">
        <v>2010</v>
      </c>
      <c r="I90" s="129"/>
      <c r="J90" s="125">
        <f>IFERROR(INDEX('Labor Expenditures'!$E$7:$W$91,MATCH($C90,'Labor Expenditures'!$C$7:$C$91,0),MATCH($G90,'Labor Expenditures'!$E$5:$W$5,0)),"NA")</f>
        <v>3281.6767716305308</v>
      </c>
      <c r="K90" s="125">
        <f t="shared" ca="1" si="196"/>
        <v>28.066510768702422</v>
      </c>
      <c r="L90" s="47"/>
      <c r="M90" s="131">
        <f t="shared" ca="1" si="205"/>
        <v>-0.10459834810781045</v>
      </c>
      <c r="N90" s="59"/>
      <c r="O90" s="59"/>
      <c r="P90" s="59">
        <f t="shared" ca="1" si="207"/>
        <v>-1.3235997689776914E-4</v>
      </c>
      <c r="Q90" s="61"/>
      <c r="R90" s="387"/>
      <c r="S90" s="49">
        <f t="shared" ca="1" si="212"/>
        <v>98.900621297537029</v>
      </c>
      <c r="T90" s="61">
        <f ca="1">+P90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</f>
        <v>-2.1416441911720662E-2</v>
      </c>
      <c r="U90" s="61"/>
      <c r="V90" s="125">
        <f>IFERROR(INDEX('Non-Labor Expenditures'!$E$7:$AA$91,MATCH($C90,'Non-Labor Expenditures'!$C$7:$C$91,0),MATCH($G90,'Non-Labor Expenditures'!$E$5:$AA$5,0)),"NA")</f>
        <v>4752.4808979943246</v>
      </c>
      <c r="W90" s="125">
        <f t="shared" si="197"/>
        <v>49.448864289445574</v>
      </c>
      <c r="X90" s="131">
        <f t="shared" si="208"/>
        <v>-6.3536540567984315E-2</v>
      </c>
      <c r="Y90" s="131">
        <f t="shared" si="209"/>
        <v>-8.0399883878420596E-5</v>
      </c>
      <c r="Z90" s="131"/>
      <c r="AA90" s="131"/>
      <c r="AB90" s="131"/>
      <c r="AC90" s="125">
        <f t="shared" si="177"/>
        <v>2997.1297692821768</v>
      </c>
      <c r="AD90" s="129"/>
      <c r="AE90" s="133">
        <v>223.41986899992887</v>
      </c>
      <c r="AF90" s="134">
        <v>1.7876159005032269E-2</v>
      </c>
      <c r="AG90" s="59">
        <f t="shared" si="198"/>
        <v>2.2620701337349714E-5</v>
      </c>
      <c r="AH90" s="134"/>
      <c r="AI90" s="134"/>
      <c r="AJ90" s="129">
        <f t="shared" si="94"/>
        <v>11031.287438907033</v>
      </c>
      <c r="AK90" s="134">
        <f t="shared" si="210"/>
        <v>-3.0886962359370992E-2</v>
      </c>
      <c r="AL90" s="129"/>
      <c r="AM90" s="129"/>
      <c r="AN90" s="129"/>
      <c r="AO90" s="129"/>
      <c r="AP90" s="133">
        <f t="shared" si="211"/>
        <v>306.87644139725245</v>
      </c>
      <c r="AQ90" s="134">
        <f>+BB90/Outputs!$B$18</f>
        <v>1.0162914800977689E-3</v>
      </c>
      <c r="AR90" s="93">
        <f t="shared" si="199"/>
        <v>0.2974881027989672</v>
      </c>
      <c r="AS90" s="93">
        <f t="shared" si="200"/>
        <v>0.43081833596615943</v>
      </c>
      <c r="AT90" s="93">
        <f t="shared" si="201"/>
        <v>0.27169356123487332</v>
      </c>
      <c r="AU90" s="93">
        <f t="shared" ca="1" si="206"/>
        <v>-5.4392619360060984E-2</v>
      </c>
      <c r="AV90" s="132">
        <f t="shared" ca="1" si="213"/>
        <v>99.448721490781097</v>
      </c>
      <c r="AW90" s="134">
        <f t="shared" ca="1" si="214"/>
        <v>-5.4392619360060832E-2</v>
      </c>
      <c r="AX90" s="56">
        <f>+AJ90/$AL$15</f>
        <v>1.2654117325193752E-3</v>
      </c>
      <c r="AY90" s="135">
        <f t="shared" ca="1" si="215"/>
        <v>-6.8829058700681483E-5</v>
      </c>
      <c r="AZ90" s="93"/>
      <c r="BA90" s="93"/>
      <c r="BB90" s="234">
        <f>IFERROR(INDEX('Total Customers'!$E$7:$AA$91,MATCH($C90,'Total Customers'!$C$7:$C$91,0),MATCH($G90,'Total Customers'!$E$5:$AA$5,0)),"NA")</f>
        <v>35947</v>
      </c>
      <c r="BC90" s="411">
        <f t="shared" si="171"/>
        <v>1.2247739874811858E-3</v>
      </c>
      <c r="BD90" s="92"/>
      <c r="BE90" s="281" t="str">
        <f t="shared" si="167"/>
        <v>BERKSHIRE GAS COMPANY</v>
      </c>
      <c r="BF90" s="290">
        <f t="shared" si="168"/>
        <v>4057110</v>
      </c>
      <c r="BG90" s="46" t="str">
        <f t="shared" si="169"/>
        <v>MA</v>
      </c>
      <c r="BH90" s="46"/>
      <c r="BI90" s="46" t="str">
        <f t="shared" si="170"/>
        <v>2010 Y</v>
      </c>
      <c r="BJ90" s="129"/>
      <c r="BK90" s="129"/>
      <c r="BL90" s="129">
        <f>INDEX('Dist. Plant Gas Additions'!$E$7:$AD$91,MATCH($C90,'Dist. Plant Gas Additions'!$C$7:$C$91,0),MATCH(Calculation!$G90,'Dist. Plant Gas Additions'!$E$5:$AD$5,0))</f>
        <v>2721</v>
      </c>
      <c r="BM90" s="129">
        <f>INDEX('Gen. Plant Additions'!$E$7:$AD$91,MATCH($C90,'Gen. Plant Additions'!$C$7:$C$91,0),MATCH(Calculation!$G90,'Gen. Plant Additions'!$E$5:$AD$5,0))</f>
        <v>416</v>
      </c>
      <c r="BN90" s="393">
        <f t="shared" si="178"/>
        <v>0.8326273548099431</v>
      </c>
      <c r="BO90" s="46">
        <f t="shared" si="202"/>
        <v>346.37297960093633</v>
      </c>
      <c r="BP90" s="46">
        <f t="shared" si="203"/>
        <v>-69.627020399063667</v>
      </c>
      <c r="BQ90" s="129"/>
      <c r="BR90" s="129"/>
      <c r="BS90" s="137">
        <v>2010</v>
      </c>
      <c r="BT90" s="129"/>
      <c r="BU90" s="333">
        <v>562.3890283662447</v>
      </c>
      <c r="BV90" s="129"/>
      <c r="BW90" s="129"/>
      <c r="BX90" s="129"/>
      <c r="BY90" s="129">
        <f>INDEX('Gross Dx Plant'!$D$7:$AC$91,MATCH($C90,'Gross Dx Plant'!$C$7:$C$91,0),MATCH(Calculation!$G90,'Gross Dx Plant'!$D$5:$AC$5,0))</f>
        <v>59756</v>
      </c>
      <c r="BZ90" s="129">
        <f>INDEX('Gross Gen Plant'!$D$7:$AC$91,MATCH($C90,'Gross Gen Plant'!$C$7:$C$91,0),MATCH(Calculation!$G90,'Gross Gen Plant'!$D$5:$AC$5,0))</f>
        <v>12012</v>
      </c>
      <c r="CA90" s="129">
        <f t="shared" si="172"/>
        <v>71768</v>
      </c>
      <c r="CB90" s="129"/>
      <c r="CC90" s="133">
        <v>2010</v>
      </c>
      <c r="CD90" s="129"/>
      <c r="CE90" s="129"/>
      <c r="CF90" s="129"/>
      <c r="CG90" s="137"/>
      <c r="CH90" s="129">
        <f t="shared" si="179"/>
        <v>3137</v>
      </c>
      <c r="CI90" s="46">
        <f t="shared" si="188"/>
        <v>3067.3729796009366</v>
      </c>
      <c r="CJ90" s="46">
        <f t="shared" si="180"/>
        <v>5.390913128316706</v>
      </c>
      <c r="CK90" s="443">
        <v>0.8666666666666667</v>
      </c>
      <c r="CL90" s="46">
        <f>+CL78*CK90+CJ79*CK89+CJ80*CK88+CJ81*CK87+CJ82*CK86+CJ83*CK85+CJ84*CK84+CJ85*CK83+CJ86*CK82+CJ87*CK81+CJ88*CK80+CJ89*CK79+CJ90</f>
        <v>208.95052437105949</v>
      </c>
      <c r="CM90" s="134">
        <f t="shared" si="181"/>
        <v>1.2699235258561687E-2</v>
      </c>
      <c r="CN90" s="135">
        <f t="shared" si="182"/>
        <v>1.3349466115155296E-2</v>
      </c>
      <c r="CO90" s="135">
        <f t="shared" si="192"/>
        <v>1.2993589946197552E-2</v>
      </c>
      <c r="CP90" s="134">
        <f>VLOOKUP($H90,RoR!$E:$F,2,FALSE)</f>
        <v>4.9433333333333322E-2</v>
      </c>
      <c r="CQ90" s="135">
        <v>1.1684333519300205E-2</v>
      </c>
      <c r="CR90" s="135">
        <f t="shared" si="189"/>
        <v>3.7748999814033117E-2</v>
      </c>
      <c r="CS90" s="135">
        <f t="shared" si="193"/>
        <v>1.7908351662336071E-2</v>
      </c>
      <c r="CT90" s="56">
        <v>4.7937530248493419E-2</v>
      </c>
      <c r="CU90" s="139">
        <f t="shared" si="183"/>
        <v>0.84940815000000003</v>
      </c>
      <c r="CV90" s="335">
        <f t="shared" si="184"/>
        <v>1.037398205301105</v>
      </c>
      <c r="CW90" s="335">
        <f t="shared" si="185"/>
        <v>0.46926837491571133</v>
      </c>
      <c r="CX90" s="335">
        <f t="shared" si="186"/>
        <v>0.8548537519972772</v>
      </c>
      <c r="CY90" s="335">
        <f t="shared" si="187"/>
        <v>0.41615833911547367</v>
      </c>
      <c r="CZ90" s="336">
        <f>INDEX('State Tax Lookup'!$D$7:$Z$91,MATCH(Calculation!$C90,'State Tax Lookup'!$B$7:$B$91,0),MATCH($H90,'State Tax Lookup'!$D$6:$Z$6,0))</f>
        <v>0.40700500000000001</v>
      </c>
      <c r="DA90" s="303">
        <v>0.37</v>
      </c>
      <c r="DB90" s="57">
        <f t="shared" si="191"/>
        <v>14.527045266647153</v>
      </c>
      <c r="DC90" s="56">
        <f t="shared" si="194"/>
        <v>1.4952766908689642E-2</v>
      </c>
      <c r="DD90" s="303">
        <f>VLOOKUP($H90,RoR!$E:$F,2,FALSE)</f>
        <v>4.9433333333333322E-2</v>
      </c>
      <c r="DE90" s="304">
        <f>HLOOKUP($H90,'GDP-PI'!$D$8:$CQ$11,3,FALSE)</f>
        <v>1.1684333519300205E-2</v>
      </c>
      <c r="DF90" s="303">
        <f>VLOOKUP(H90,'HW Dx Data'!$E:$F,2,FALSE)</f>
        <v>568.98950262971744</v>
      </c>
      <c r="DG90" s="89">
        <f ca="1">VLOOKUP(CC90,'ECI - Input Price'!M$13:N$33,2,FALSE)</f>
        <v>116.925</v>
      </c>
      <c r="DH90" s="89"/>
      <c r="DI90" s="89"/>
      <c r="DJ90" s="56">
        <f t="shared" ca="1" si="204"/>
        <v>5.2678406346976722E-2</v>
      </c>
      <c r="DK90" s="53">
        <f>HLOOKUP(H90,'GDP-PI'!$8:$9,2,FALSE)</f>
        <v>96.108999999999995</v>
      </c>
      <c r="DL90" s="355">
        <f t="shared" si="195"/>
        <v>1.1616598807150427E-2</v>
      </c>
      <c r="DP90" s="398"/>
      <c r="DQ90" s="398"/>
      <c r="DR90" s="398"/>
      <c r="DS90" s="398"/>
      <c r="DT90" s="398"/>
      <c r="DU90" s="398"/>
      <c r="DV90" s="398"/>
      <c r="DW90" s="398"/>
      <c r="DX90" s="398"/>
      <c r="EC90">
        <f t="shared" si="190"/>
        <v>2010</v>
      </c>
    </row>
    <row r="91" spans="1:133" s="126" customFormat="1" ht="21" customHeight="1" x14ac:dyDescent="0.4">
      <c r="A91" s="233" t="s">
        <v>185</v>
      </c>
      <c r="B91" s="127" t="s">
        <v>186</v>
      </c>
      <c r="C91" s="127">
        <v>4057110</v>
      </c>
      <c r="D91" s="127" t="s">
        <v>187</v>
      </c>
      <c r="E91" s="127" t="s">
        <v>15</v>
      </c>
      <c r="F91" s="127"/>
      <c r="G91" s="127" t="s">
        <v>167</v>
      </c>
      <c r="H91" s="128">
        <v>2011</v>
      </c>
      <c r="I91" s="129"/>
      <c r="J91" s="125">
        <f>IFERROR(INDEX('Labor Expenditures'!$E$7:$W$91,MATCH($C91,'Labor Expenditures'!$C$7:$C$91,0),MATCH($G91,'Labor Expenditures'!$E$5:$W$5,0)),"NA")</f>
        <v>3632.8982756353257</v>
      </c>
      <c r="K91" s="125">
        <f t="shared" ca="1" si="196"/>
        <v>30.055001246207453</v>
      </c>
      <c r="L91" s="47"/>
      <c r="M91" s="131">
        <f t="shared" ca="1" si="205"/>
        <v>6.84519999499065E-2</v>
      </c>
      <c r="N91" s="59"/>
      <c r="O91" s="59"/>
      <c r="P91" s="59">
        <f t="shared" ca="1" si="207"/>
        <v>9.1285592156769478E-5</v>
      </c>
      <c r="Q91" s="61"/>
      <c r="R91" s="387"/>
      <c r="S91" s="49">
        <f t="shared" ca="1" si="212"/>
        <v>98.074769602904567</v>
      </c>
      <c r="T91" s="61">
        <f ca="1">+P91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</f>
        <v>-8.3853777872261517E-3</v>
      </c>
      <c r="U91" s="61"/>
      <c r="V91" s="125">
        <f>IFERROR(INDEX('Non-Labor Expenditures'!$E$7:$AA$91,MATCH($C91,'Non-Labor Expenditures'!$C$7:$C$91,0),MATCH($G91,'Non-Labor Expenditures'!$E$5:$AA$5,0)),"NA")</f>
        <v>5261.1152349215063</v>
      </c>
      <c r="W91" s="125">
        <f t="shared" si="197"/>
        <v>53.623565261349341</v>
      </c>
      <c r="X91" s="131">
        <f t="shared" si="208"/>
        <v>8.1049530898566133E-2</v>
      </c>
      <c r="Y91" s="131">
        <f t="shared" si="209"/>
        <v>1.0808529228537317E-4</v>
      </c>
      <c r="Z91" s="131"/>
      <c r="AA91" s="131"/>
      <c r="AB91" s="131"/>
      <c r="AC91" s="125">
        <f t="shared" si="177"/>
        <v>3205.0504501089918</v>
      </c>
      <c r="AD91" s="129"/>
      <c r="AE91" s="133">
        <v>229.51609158146954</v>
      </c>
      <c r="AF91" s="134">
        <v>2.6920321063414507E-2</v>
      </c>
      <c r="AG91" s="59">
        <f t="shared" si="198"/>
        <v>3.5900155599873079E-5</v>
      </c>
      <c r="AH91" s="134"/>
      <c r="AI91" s="134"/>
      <c r="AJ91" s="129">
        <f t="shared" si="94"/>
        <v>12099.063960665822</v>
      </c>
      <c r="AK91" s="134">
        <f t="shared" si="210"/>
        <v>9.2392542964637392E-2</v>
      </c>
      <c r="AL91" s="129"/>
      <c r="AM91" s="129"/>
      <c r="AN91" s="129"/>
      <c r="AO91" s="129"/>
      <c r="AP91" s="133">
        <f t="shared" si="211"/>
        <v>333.8225350586531</v>
      </c>
      <c r="AQ91" s="134">
        <f>+BB91/Outputs!$B$19</f>
        <v>1.0197441360562185E-3</v>
      </c>
      <c r="AR91" s="93">
        <f t="shared" si="199"/>
        <v>0.30026275482515957</v>
      </c>
      <c r="AS91" s="93">
        <f t="shared" si="200"/>
        <v>0.43483655033359975</v>
      </c>
      <c r="AT91" s="93">
        <f t="shared" si="201"/>
        <v>0.26490069484124085</v>
      </c>
      <c r="AU91" s="93">
        <f t="shared" ca="1" si="206"/>
        <v>6.2761726892571715E-2</v>
      </c>
      <c r="AV91" s="132">
        <f t="shared" ca="1" si="213"/>
        <v>105.89032369229696</v>
      </c>
      <c r="AW91" s="134">
        <f t="shared" ca="1" si="214"/>
        <v>6.2761726892571673E-2</v>
      </c>
      <c r="AX91" s="56">
        <f>+AJ91/$AL$16</f>
        <v>1.3335708558343468E-3</v>
      </c>
      <c r="AY91" s="135">
        <f t="shared" ca="1" si="215"/>
        <v>8.3697209845768348E-5</v>
      </c>
      <c r="AZ91" s="93"/>
      <c r="BA91" s="93"/>
      <c r="BB91" s="234">
        <f>IFERROR(INDEX('Total Customers'!$E$7:$AA$91,MATCH($C91,'Total Customers'!$C$7:$C$91,0),MATCH($G91,'Total Customers'!$E$5:$AA$5,0)),"NA")</f>
        <v>36244</v>
      </c>
      <c r="BC91" s="411">
        <f t="shared" si="171"/>
        <v>8.2282189098882175E-3</v>
      </c>
      <c r="BD91" s="92"/>
      <c r="BE91" s="281" t="str">
        <f t="shared" si="167"/>
        <v>BERKSHIRE GAS COMPANY</v>
      </c>
      <c r="BF91" s="290">
        <f t="shared" si="168"/>
        <v>4057110</v>
      </c>
      <c r="BG91" s="46" t="str">
        <f t="shared" si="169"/>
        <v>MA</v>
      </c>
      <c r="BH91" s="46"/>
      <c r="BI91" s="46" t="str">
        <f t="shared" si="170"/>
        <v>2011 Y</v>
      </c>
      <c r="BJ91" s="129"/>
      <c r="BK91" s="129"/>
      <c r="BL91" s="129">
        <f>INDEX('Dist. Plant Gas Additions'!$E$7:$AD$91,MATCH($C91,'Dist. Plant Gas Additions'!$C$7:$C$91,0),MATCH(Calculation!$G91,'Dist. Plant Gas Additions'!$E$5:$AD$5,0))</f>
        <v>3244</v>
      </c>
      <c r="BM91" s="129">
        <f>INDEX('Gen. Plant Additions'!$E$7:$AD$91,MATCH($C91,'Gen. Plant Additions'!$C$7:$C$91,0),MATCH(Calculation!$G91,'Gen. Plant Additions'!$E$5:$AD$5,0))</f>
        <v>1486</v>
      </c>
      <c r="BN91" s="393">
        <f t="shared" si="178"/>
        <v>0.82226021496825841</v>
      </c>
      <c r="BO91" s="46">
        <f t="shared" si="202"/>
        <v>1221.878679442832</v>
      </c>
      <c r="BP91" s="46">
        <f t="shared" si="203"/>
        <v>-264.12132055716802</v>
      </c>
      <c r="BQ91" s="129"/>
      <c r="BR91" s="129"/>
      <c r="BS91" s="137">
        <v>2011</v>
      </c>
      <c r="BT91" s="129"/>
      <c r="BU91" s="333">
        <v>604.63177932520034</v>
      </c>
      <c r="BV91" s="129"/>
      <c r="BW91" s="129"/>
      <c r="BX91" s="129"/>
      <c r="BY91" s="129">
        <f>INDEX('Gross Dx Plant'!$D$7:$AC$91,MATCH($C91,'Gross Dx Plant'!$C$7:$C$91,0),MATCH(Calculation!$G91,'Gross Dx Plant'!$D$5:$AC$5,0))</f>
        <v>62042</v>
      </c>
      <c r="BZ91" s="129">
        <f>INDEX('Gross Gen Plant'!$D$7:$AC$91,MATCH($C91,'Gross Gen Plant'!$C$7:$C$91,0),MATCH(Calculation!$G91,'Gross Gen Plant'!$D$5:$AC$5,0))</f>
        <v>13411</v>
      </c>
      <c r="CA91" s="129">
        <f t="shared" si="172"/>
        <v>75453</v>
      </c>
      <c r="CB91" s="129"/>
      <c r="CC91" s="133">
        <v>2011</v>
      </c>
      <c r="CD91" s="129"/>
      <c r="CE91" s="129"/>
      <c r="CF91" s="129"/>
      <c r="CG91" s="137"/>
      <c r="CH91" s="129">
        <f t="shared" si="179"/>
        <v>4730</v>
      </c>
      <c r="CI91" s="46">
        <f t="shared" si="188"/>
        <v>4465.8786794428324</v>
      </c>
      <c r="CJ91" s="46">
        <f t="shared" si="180"/>
        <v>7.3018274320940941</v>
      </c>
      <c r="CK91" s="443">
        <v>0.8539325842696629</v>
      </c>
      <c r="CL91" s="46">
        <f>+CL78*CK91+CJ79*CK90+CJ80*CK89+CJ81*CK88+CJ82*CK87+CJ83*CK86+CJ84*CK85+CJ85*CK84+CJ86*CK83+CJ87*CK82+CJ88*CK81+CJ89*CK80+CJ90*CK79+CJ91</f>
        <v>213.38393522908851</v>
      </c>
      <c r="CM91" s="134">
        <f t="shared" si="181"/>
        <v>2.0995557501760305E-2</v>
      </c>
      <c r="CN91" s="135">
        <f t="shared" si="182"/>
        <v>1.3727730919551409E-2</v>
      </c>
      <c r="CO91" s="135">
        <f t="shared" si="192"/>
        <v>1.3352806549732565E-2</v>
      </c>
      <c r="CP91" s="134">
        <f>VLOOKUP($H91,RoR!$E:$F,2,FALSE)</f>
        <v>4.6391666666666664E-2</v>
      </c>
      <c r="CQ91" s="135">
        <v>2.0840920205183799E-2</v>
      </c>
      <c r="CR91" s="135">
        <f t="shared" si="189"/>
        <v>2.5550746461482865E-2</v>
      </c>
      <c r="CS91" s="135">
        <f t="shared" si="193"/>
        <v>1.7549135058801062E-2</v>
      </c>
      <c r="CT91" s="56">
        <v>2.4810540821321614E-2</v>
      </c>
      <c r="CU91" s="139">
        <f t="shared" si="183"/>
        <v>0.84940815000000003</v>
      </c>
      <c r="CV91" s="335">
        <f t="shared" si="184"/>
        <v>1.1054151524782025</v>
      </c>
      <c r="CW91" s="335">
        <f t="shared" si="185"/>
        <v>0.43611011316687626</v>
      </c>
      <c r="CX91" s="335">
        <f t="shared" si="186"/>
        <v>0.83698442246886229</v>
      </c>
      <c r="CY91" s="335">
        <f t="shared" si="187"/>
        <v>0.40349573304423936</v>
      </c>
      <c r="CZ91" s="336">
        <f>INDEX('State Tax Lookup'!$D$7:$Z$91,MATCH(Calculation!$C91,'State Tax Lookup'!$B$7:$B$91,0),MATCH($H91,'State Tax Lookup'!$D$6:$Z$6,0))</f>
        <v>0.40700500000000001</v>
      </c>
      <c r="DA91" s="303">
        <v>0.37</v>
      </c>
      <c r="DB91" s="57">
        <f t="shared" si="191"/>
        <v>15.338800702971122</v>
      </c>
      <c r="DC91" s="56">
        <f t="shared" si="194"/>
        <v>5.4373508929591127E-2</v>
      </c>
      <c r="DD91" s="303">
        <f>VLOOKUP($H91,RoR!$E:$F,2,FALSE)</f>
        <v>4.6391666666666664E-2</v>
      </c>
      <c r="DE91" s="304">
        <f>HLOOKUP($H91,'GDP-PI'!$D$8:$CQ$11,3,FALSE)</f>
        <v>2.0840920205183799E-2</v>
      </c>
      <c r="DF91" s="303">
        <f>VLOOKUP(H91,'HW Dx Data'!$E:$F,2,FALSE)</f>
        <v>611.61109612283201</v>
      </c>
      <c r="DG91" s="89">
        <f ca="1">VLOOKUP(CC91,'ECI - Input Price'!M$13:N$33,2,FALSE)</f>
        <v>120.875</v>
      </c>
      <c r="DH91" s="89"/>
      <c r="DI91" s="89"/>
      <c r="DJ91" s="56">
        <f t="shared" ca="1" si="204"/>
        <v>3.3224250161508609E-2</v>
      </c>
      <c r="DK91" s="53">
        <f>HLOOKUP(H91,'GDP-PI'!$8:$9,2,FALSE)</f>
        <v>98.111999999999995</v>
      </c>
      <c r="DL91" s="355">
        <f t="shared" si="195"/>
        <v>2.0626719212849295E-2</v>
      </c>
      <c r="DP91" s="398"/>
      <c r="DQ91" s="398"/>
      <c r="DR91" s="398"/>
      <c r="DS91" s="398"/>
      <c r="DT91" s="398"/>
      <c r="DU91" s="398"/>
      <c r="DV91" s="398"/>
      <c r="DW91" s="398"/>
      <c r="DX91" s="398"/>
      <c r="EC91">
        <f t="shared" si="190"/>
        <v>2011</v>
      </c>
    </row>
    <row r="92" spans="1:133" s="126" customFormat="1" ht="21" customHeight="1" x14ac:dyDescent="0.4">
      <c r="A92" s="233" t="s">
        <v>185</v>
      </c>
      <c r="B92" s="127" t="s">
        <v>186</v>
      </c>
      <c r="C92" s="127">
        <v>4057110</v>
      </c>
      <c r="D92" s="127" t="s">
        <v>187</v>
      </c>
      <c r="E92" s="127" t="s">
        <v>15</v>
      </c>
      <c r="F92" s="127"/>
      <c r="G92" s="127" t="s">
        <v>168</v>
      </c>
      <c r="H92" s="128">
        <v>2012</v>
      </c>
      <c r="I92" s="129"/>
      <c r="J92" s="125">
        <f>IFERROR(INDEX('Labor Expenditures'!$E$7:$W$91,MATCH($C92,'Labor Expenditures'!$C$7:$C$91,0),MATCH($G92,'Labor Expenditures'!$E$5:$W$5,0)),"NA")</f>
        <v>3689.6609006826088</v>
      </c>
      <c r="K92" s="125">
        <f t="shared" ca="1" si="196"/>
        <v>29.564590550341414</v>
      </c>
      <c r="L92" s="47"/>
      <c r="M92" s="131">
        <f t="shared" ca="1" si="205"/>
        <v>-1.6451697912863779E-2</v>
      </c>
      <c r="N92" s="59"/>
      <c r="O92" s="59"/>
      <c r="P92" s="59">
        <f t="shared" ca="1" si="207"/>
        <v>-2.1949131038125991E-5</v>
      </c>
      <c r="Q92" s="61"/>
      <c r="R92" s="387"/>
      <c r="S92" s="49">
        <f t="shared" ca="1" si="212"/>
        <v>95.664537137333895</v>
      </c>
      <c r="T92" s="61">
        <f ca="1">+P92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</f>
        <v>-2.4882475944678295E-2</v>
      </c>
      <c r="U92" s="61"/>
      <c r="V92" s="125">
        <f>IFERROR(INDEX('Non-Labor Expenditures'!$E$7:$AA$91,MATCH($C92,'Non-Labor Expenditures'!$C$7:$C$91,0),MATCH($G92,'Non-Labor Expenditures'!$E$5:$AA$5,0)),"NA")</f>
        <v>5343.3181177859242</v>
      </c>
      <c r="W92" s="125">
        <f t="shared" si="197"/>
        <v>53.43318117785924</v>
      </c>
      <c r="X92" s="131">
        <f t="shared" si="208"/>
        <v>-3.5566984897373753E-3</v>
      </c>
      <c r="Y92" s="131">
        <f t="shared" si="209"/>
        <v>-4.7451905346079432E-6</v>
      </c>
      <c r="Z92" s="131"/>
      <c r="AA92" s="131"/>
      <c r="AB92" s="131"/>
      <c r="AC92" s="125">
        <f t="shared" si="177"/>
        <v>3492.5579522931448</v>
      </c>
      <c r="AD92" s="129"/>
      <c r="AE92" s="133">
        <v>235.58184142389715</v>
      </c>
      <c r="AF92" s="134">
        <v>2.6085232188541398E-2</v>
      </c>
      <c r="AG92" s="59">
        <f t="shared" si="198"/>
        <v>3.4801768334109451E-5</v>
      </c>
      <c r="AH92" s="134"/>
      <c r="AI92" s="134"/>
      <c r="AJ92" s="129">
        <f t="shared" si="94"/>
        <v>12525.536970761677</v>
      </c>
      <c r="AK92" s="134">
        <f t="shared" si="210"/>
        <v>3.4641426981350643E-2</v>
      </c>
      <c r="AL92" s="129"/>
      <c r="AM92" s="129"/>
      <c r="AN92" s="129"/>
      <c r="AO92" s="129"/>
      <c r="AP92" s="133">
        <f t="shared" si="211"/>
        <v>341.61176487104342</v>
      </c>
      <c r="AQ92" s="134">
        <f>+BB92/Outputs!$B$20</f>
        <v>1.026673490249416E-3</v>
      </c>
      <c r="AR92" s="93">
        <f t="shared" si="199"/>
        <v>0.2945710758185755</v>
      </c>
      <c r="AS92" s="93">
        <f t="shared" si="200"/>
        <v>0.42659393607306539</v>
      </c>
      <c r="AT92" s="93">
        <f t="shared" si="201"/>
        <v>0.27883498810835911</v>
      </c>
      <c r="AU92" s="93">
        <f t="shared" ca="1" si="206"/>
        <v>6.6679826940841194E-4</v>
      </c>
      <c r="AV92" s="132">
        <f t="shared" ca="1" si="213"/>
        <v>105.96095472258946</v>
      </c>
      <c r="AW92" s="134">
        <f t="shared" ca="1" si="214"/>
        <v>6.6679826940839774E-4</v>
      </c>
      <c r="AX92" s="56">
        <f>+AJ92/$AL$17</f>
        <v>1.3341559731025515E-3</v>
      </c>
      <c r="AY92" s="135">
        <f t="shared" ca="1" si="215"/>
        <v>8.8961289398565814E-7</v>
      </c>
      <c r="AZ92" s="93"/>
      <c r="BA92" s="93"/>
      <c r="BB92" s="234">
        <f>IFERROR(INDEX('Total Customers'!$E$7:$AA$91,MATCH($C92,'Total Customers'!$C$7:$C$91,0),MATCH($G92,'Total Customers'!$E$5:$AA$5,0)),"NA")</f>
        <v>36666</v>
      </c>
      <c r="BC92" s="411">
        <f t="shared" si="171"/>
        <v>1.1576044781019305E-2</v>
      </c>
      <c r="BD92" s="92"/>
      <c r="BE92" s="281" t="str">
        <f t="shared" si="167"/>
        <v>BERKSHIRE GAS COMPANY</v>
      </c>
      <c r="BF92" s="290">
        <f t="shared" si="168"/>
        <v>4057110</v>
      </c>
      <c r="BG92" s="46" t="str">
        <f t="shared" si="169"/>
        <v>MA</v>
      </c>
      <c r="BH92" s="46"/>
      <c r="BI92" s="46" t="str">
        <f t="shared" si="170"/>
        <v>2012 Y</v>
      </c>
      <c r="BJ92" s="129"/>
      <c r="BK92" s="129"/>
      <c r="BL92" s="129">
        <f>INDEX('Dist. Plant Gas Additions'!$E$7:$AD$91,MATCH($C92,'Dist. Plant Gas Additions'!$C$7:$C$91,0),MATCH(Calculation!$G92,'Dist. Plant Gas Additions'!$E$5:$AD$5,0))</f>
        <v>4877</v>
      </c>
      <c r="BM92" s="129">
        <f>INDEX('Gen. Plant Additions'!$E$7:$AD$91,MATCH($C92,'Gen. Plant Additions'!$C$7:$C$91,0),MATCH(Calculation!$G92,'Gen. Plant Additions'!$E$5:$AD$5,0))</f>
        <v>341</v>
      </c>
      <c r="BN92" s="393">
        <f t="shared" si="178"/>
        <v>0.83101038715769593</v>
      </c>
      <c r="BO92" s="46">
        <f t="shared" si="202"/>
        <v>283.3745420207743</v>
      </c>
      <c r="BP92" s="46">
        <f t="shared" si="203"/>
        <v>-57.6254579792257</v>
      </c>
      <c r="BQ92" s="129"/>
      <c r="BR92" s="129"/>
      <c r="BS92" s="137">
        <v>2012</v>
      </c>
      <c r="BT92" s="129"/>
      <c r="BU92" s="333">
        <v>662.81812063483881</v>
      </c>
      <c r="BV92" s="129"/>
      <c r="BW92" s="129"/>
      <c r="BX92" s="129"/>
      <c r="BY92" s="129">
        <f>INDEX('Gross Dx Plant'!$D$7:$AC$91,MATCH($C92,'Gross Dx Plant'!$C$7:$C$91,0),MATCH(Calculation!$G92,'Gross Dx Plant'!$D$5:$AC$5,0))</f>
        <v>66003</v>
      </c>
      <c r="BZ92" s="129">
        <f>INDEX('Gross Gen Plant'!$D$7:$AC$91,MATCH($C92,'Gross Gen Plant'!$C$7:$C$91,0),MATCH(Calculation!$G92,'Gross Gen Plant'!$D$5:$AC$5,0))</f>
        <v>13422</v>
      </c>
      <c r="CA92" s="129">
        <f t="shared" si="172"/>
        <v>79425</v>
      </c>
      <c r="CB92" s="129"/>
      <c r="CC92" s="133">
        <v>2012</v>
      </c>
      <c r="CD92" s="129"/>
      <c r="CE92" s="129"/>
      <c r="CF92" s="129"/>
      <c r="CG92" s="137"/>
      <c r="CH92" s="129">
        <f t="shared" si="179"/>
        <v>5218</v>
      </c>
      <c r="CI92" s="46">
        <f t="shared" si="188"/>
        <v>5160.3745420207742</v>
      </c>
      <c r="CJ92" s="46">
        <f t="shared" si="180"/>
        <v>7.7144946653999549</v>
      </c>
      <c r="CK92" s="443">
        <v>0.84090909090909094</v>
      </c>
      <c r="CL92" s="46">
        <f>+CL78*CK92+CJ79*CK91+CJ80*CK90+CJ81*CK89+CJ82*CK88+CJ83*CK87+CJ84*CK86+CJ85*CK85+CJ86*CK84+CJ87*CK83+CJ88*CK82+CJ89*CK81+CJ90*CK80+CJ91*CK79+CJ92</f>
        <v>218.09374616803072</v>
      </c>
      <c r="CM92" s="134">
        <f t="shared" si="181"/>
        <v>2.1831942701795289E-2</v>
      </c>
      <c r="CN92" s="135">
        <f t="shared" si="182"/>
        <v>1.4081114978182032E-2</v>
      </c>
      <c r="CO92" s="135">
        <f t="shared" si="192"/>
        <v>1.3719437337629578E-2</v>
      </c>
      <c r="CP92" s="134">
        <f>VLOOKUP($H92,RoR!$E:$F,2,FALSE)</f>
        <v>3.6733333333333333E-2</v>
      </c>
      <c r="CQ92" s="135">
        <v>1.924331376386168E-2</v>
      </c>
      <c r="CR92" s="135">
        <f t="shared" si="189"/>
        <v>1.7490019569471653E-2</v>
      </c>
      <c r="CS92" s="135">
        <f t="shared" si="193"/>
        <v>1.7182504270904047E-2</v>
      </c>
      <c r="CT92" s="56">
        <v>6.7122682943869583E-2</v>
      </c>
      <c r="CU92" s="139">
        <f t="shared" si="183"/>
        <v>0.84940815000000003</v>
      </c>
      <c r="CV92" s="335">
        <f t="shared" si="184"/>
        <v>1.3960631020522127</v>
      </c>
      <c r="CW92" s="335">
        <f t="shared" si="185"/>
        <v>0.29441923774954631</v>
      </c>
      <c r="CX92" s="335">
        <f t="shared" si="186"/>
        <v>0.76377954189366437</v>
      </c>
      <c r="CY92" s="335">
        <f t="shared" si="187"/>
        <v>0.31393465103033691</v>
      </c>
      <c r="CZ92" s="336">
        <f>INDEX('State Tax Lookup'!$D$7:$Z$91,MATCH(Calculation!$C92,'State Tax Lookup'!$B$7:$B$91,0),MATCH($H92,'State Tax Lookup'!$D$6:$Z$6,0))</f>
        <v>0.40700500000000001</v>
      </c>
      <c r="DA92" s="303">
        <v>0.37</v>
      </c>
      <c r="DB92" s="57">
        <f t="shared" si="191"/>
        <v>16.367483093530648</v>
      </c>
      <c r="DC92" s="56">
        <f t="shared" si="194"/>
        <v>6.4911016552390538E-2</v>
      </c>
      <c r="DD92" s="303">
        <f>VLOOKUP($H92,RoR!$E:$F,2,FALSE)</f>
        <v>3.6733333333333333E-2</v>
      </c>
      <c r="DE92" s="304">
        <f>HLOOKUP($H92,'GDP-PI'!$D$8:$CQ$11,3,FALSE)</f>
        <v>1.924331376386168E-2</v>
      </c>
      <c r="DF92" s="303">
        <f>VLOOKUP(H92,'HW Dx Data'!$E:$F,2,FALSE)</f>
        <v>668.91932211262167</v>
      </c>
      <c r="DG92" s="89">
        <f ca="1">VLOOKUP(CC92,'ECI - Input Price'!M$13:N$33,2,FALSE)</f>
        <v>124.80000000000001</v>
      </c>
      <c r="DH92" s="89"/>
      <c r="DI92" s="89"/>
      <c r="DJ92" s="56">
        <f t="shared" ca="1" si="204"/>
        <v>3.1955502161869064E-2</v>
      </c>
      <c r="DK92" s="53">
        <f>HLOOKUP(H92,'GDP-PI'!$8:$9,2,FALSE)</f>
        <v>100</v>
      </c>
      <c r="DL92" s="355">
        <f t="shared" si="195"/>
        <v>1.9060502738742411E-2</v>
      </c>
      <c r="DP92" s="398"/>
      <c r="DQ92" s="398"/>
      <c r="DR92" s="398"/>
      <c r="DS92" s="398"/>
      <c r="DT92" s="398"/>
      <c r="DU92" s="398"/>
      <c r="DV92" s="398"/>
      <c r="DW92" s="398"/>
      <c r="DX92" s="398"/>
      <c r="EC92">
        <f t="shared" si="190"/>
        <v>2012</v>
      </c>
    </row>
    <row r="93" spans="1:133" s="126" customFormat="1" ht="21" customHeight="1" x14ac:dyDescent="0.4">
      <c r="A93" s="233" t="s">
        <v>185</v>
      </c>
      <c r="B93" s="127" t="s">
        <v>186</v>
      </c>
      <c r="C93" s="127">
        <v>4057110</v>
      </c>
      <c r="D93" s="127" t="s">
        <v>187</v>
      </c>
      <c r="E93" s="127" t="s">
        <v>15</v>
      </c>
      <c r="F93" s="127"/>
      <c r="G93" s="127" t="s">
        <v>169</v>
      </c>
      <c r="H93" s="128">
        <v>2013</v>
      </c>
      <c r="I93" s="129"/>
      <c r="J93" s="125">
        <f>IFERROR(INDEX('Labor Expenditures'!$E$7:$W$91,MATCH($C93,'Labor Expenditures'!$C$7:$C$91,0),MATCH($G93,'Labor Expenditures'!$E$5:$W$5,0)),"NA")</f>
        <v>3713.808881639</v>
      </c>
      <c r="K93" s="125">
        <f t="shared" ca="1" si="196"/>
        <v>29.288713577594638</v>
      </c>
      <c r="L93" s="47"/>
      <c r="M93" s="131">
        <f t="shared" ca="1" si="205"/>
        <v>-9.3751403587437228E-3</v>
      </c>
      <c r="N93" s="59"/>
      <c r="O93" s="59"/>
      <c r="P93" s="59">
        <f t="shared" ca="1" si="207"/>
        <v>-1.2101667790986247E-5</v>
      </c>
      <c r="Q93" s="61"/>
      <c r="R93" s="387"/>
      <c r="S93" s="49">
        <f t="shared" ca="1" si="212"/>
        <v>99.346792945037024</v>
      </c>
      <c r="T93" s="61">
        <f ca="1">+P93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</f>
        <v>3.7769021149494798E-2</v>
      </c>
      <c r="U93" s="61"/>
      <c r="V93" s="125">
        <f>IFERROR(INDEX('Non-Labor Expenditures'!$E$7:$AA$91,MATCH($C93,'Non-Labor Expenditures'!$C$7:$C$91,0),MATCH($G93,'Non-Labor Expenditures'!$E$5:$AA$5,0)),"NA")</f>
        <v>5378.2889044314843</v>
      </c>
      <c r="W93" s="125">
        <f t="shared" si="197"/>
        <v>52.845930693125723</v>
      </c>
      <c r="X93" s="131">
        <f t="shared" si="208"/>
        <v>-1.1051211307455918E-2</v>
      </c>
      <c r="Y93" s="131">
        <f t="shared" si="209"/>
        <v>-1.4265182473358011E-5</v>
      </c>
      <c r="Z93" s="131"/>
      <c r="AA93" s="131"/>
      <c r="AB93" s="131"/>
      <c r="AC93" s="125">
        <f t="shared" si="177"/>
        <v>3468.3786353892715</v>
      </c>
      <c r="AD93" s="129"/>
      <c r="AE93" s="133">
        <v>247.85560739076416</v>
      </c>
      <c r="AF93" s="134">
        <v>5.0787973286702183E-2</v>
      </c>
      <c r="AG93" s="59">
        <f t="shared" si="198"/>
        <v>6.5558397738539381E-5</v>
      </c>
      <c r="AH93" s="134"/>
      <c r="AI93" s="134"/>
      <c r="AJ93" s="129">
        <f t="shared" si="94"/>
        <v>12560.476421459756</v>
      </c>
      <c r="AK93" s="134">
        <f t="shared" si="210"/>
        <v>2.7855739964970133E-3</v>
      </c>
      <c r="AL93" s="129"/>
      <c r="AM93" s="129"/>
      <c r="AN93" s="129"/>
      <c r="AO93" s="129"/>
      <c r="AP93" s="133">
        <f t="shared" si="211"/>
        <v>333.5230064115708</v>
      </c>
      <c r="AQ93" s="134">
        <f>+BB93/Outputs!$B$21</f>
        <v>1.0477854722958399E-3</v>
      </c>
      <c r="AR93" s="93">
        <f t="shared" si="199"/>
        <v>0.29567420510370956</v>
      </c>
      <c r="AS93" s="93">
        <f t="shared" si="200"/>
        <v>0.42819147331406948</v>
      </c>
      <c r="AT93" s="93">
        <f t="shared" si="201"/>
        <v>0.2761343215822209</v>
      </c>
      <c r="AU93" s="93">
        <f t="shared" ca="1" si="206"/>
        <v>6.6028599695523715E-3</v>
      </c>
      <c r="AV93" s="132">
        <f t="shared" ca="1" si="213"/>
        <v>106.66291499121904</v>
      </c>
      <c r="AW93" s="134">
        <f t="shared" ca="1" si="214"/>
        <v>6.6028599695523958E-3</v>
      </c>
      <c r="AX93" s="56">
        <f>+AJ93/$AL$18</f>
        <v>1.2908252386535876E-3</v>
      </c>
      <c r="AY93" s="135">
        <f t="shared" ca="1" si="215"/>
        <v>8.5231382959936919E-6</v>
      </c>
      <c r="AZ93" s="93"/>
      <c r="BA93" s="93"/>
      <c r="BB93" s="234">
        <f>IFERROR(INDEX('Total Customers'!$E$7:$AA$91,MATCH($C93,'Total Customers'!$C$7:$C$91,0),MATCH($G93,'Total Customers'!$E$5:$AA$5,0)),"NA")</f>
        <v>37660</v>
      </c>
      <c r="BC93" s="411">
        <f t="shared" si="171"/>
        <v>2.6748628088172945E-2</v>
      </c>
      <c r="BD93" s="92"/>
      <c r="BE93" s="281" t="str">
        <f t="shared" si="167"/>
        <v>BERKSHIRE GAS COMPANY</v>
      </c>
      <c r="BF93" s="290">
        <f t="shared" si="168"/>
        <v>4057110</v>
      </c>
      <c r="BG93" s="46" t="str">
        <f t="shared" si="169"/>
        <v>MA</v>
      </c>
      <c r="BH93" s="46"/>
      <c r="BI93" s="46" t="str">
        <f t="shared" si="170"/>
        <v>2013 Y</v>
      </c>
      <c r="BJ93" s="129"/>
      <c r="BK93" s="129"/>
      <c r="BL93" s="129">
        <f>INDEX('Dist. Plant Gas Additions'!$E$7:$AD$91,MATCH($C93,'Dist. Plant Gas Additions'!$C$7:$C$91,0),MATCH(Calculation!$G93,'Dist. Plant Gas Additions'!$E$5:$AD$5,0))</f>
        <v>6163</v>
      </c>
      <c r="BM93" s="129">
        <f>INDEX('Gen. Plant Additions'!$E$7:$AD$91,MATCH($C93,'Gen. Plant Additions'!$C$7:$C$91,0),MATCH(Calculation!$G93,'Gen. Plant Additions'!$E$5:$AD$5,0))</f>
        <v>3196</v>
      </c>
      <c r="BN93" s="393">
        <f t="shared" si="178"/>
        <v>0.81120199954555783</v>
      </c>
      <c r="BO93" s="46">
        <f t="shared" si="202"/>
        <v>2592.6015905476029</v>
      </c>
      <c r="BP93" s="46">
        <f t="shared" si="203"/>
        <v>-603.39840945239712</v>
      </c>
      <c r="BQ93" s="129"/>
      <c r="BR93" s="129"/>
      <c r="BS93" s="137">
        <v>2013</v>
      </c>
      <c r="BT93" s="129"/>
      <c r="BU93" s="333">
        <v>657.03626912475272</v>
      </c>
      <c r="BV93" s="129"/>
      <c r="BW93" s="129"/>
      <c r="BX93" s="129"/>
      <c r="BY93" s="129">
        <f>INDEX('Gross Dx Plant'!$D$7:$AC$91,MATCH($C93,'Gross Dx Plant'!$C$7:$C$91,0),MATCH(Calculation!$G93,'Gross Dx Plant'!$D$5:$AC$5,0))</f>
        <v>71402</v>
      </c>
      <c r="BZ93" s="129">
        <f>INDEX('Gross Gen Plant'!$D$7:$AC$91,MATCH($C93,'Gross Gen Plant'!$C$7:$C$91,0),MATCH(Calculation!$G93,'Gross Gen Plant'!$D$5:$AC$5,0))</f>
        <v>16618</v>
      </c>
      <c r="CA93" s="129">
        <f t="shared" si="172"/>
        <v>88020</v>
      </c>
      <c r="CB93" s="129"/>
      <c r="CC93" s="133">
        <v>2013</v>
      </c>
      <c r="CD93" s="129"/>
      <c r="CE93" s="129"/>
      <c r="CF93" s="129"/>
      <c r="CG93" s="137"/>
      <c r="CH93" s="129">
        <f t="shared" si="179"/>
        <v>9359</v>
      </c>
      <c r="CI93" s="46">
        <f t="shared" si="188"/>
        <v>8755.6015905476033</v>
      </c>
      <c r="CJ93" s="46">
        <f t="shared" si="180"/>
        <v>13.201089543672023</v>
      </c>
      <c r="CK93" s="443">
        <v>0.82758620689655171</v>
      </c>
      <c r="CL93" s="46">
        <f>+CL78*CK93+CJ79*CK92+CJ80*CK91+CJ81*CK90+CJ82*CK89+CJ83*CK88+CJ84*CK87+CJ85*CK86+CJ86*CK85+CJ87*CK84+CJ88*CK83+CJ89*CK82+CJ90*CK81+CJ91*CK80+CJ92*CK79+CJ93</f>
        <v>228.14618620351558</v>
      </c>
      <c r="CM93" s="134">
        <f t="shared" si="181"/>
        <v>4.5061592406478189E-2</v>
      </c>
      <c r="CN93" s="135">
        <f t="shared" si="182"/>
        <v>1.4437137990014974E-2</v>
      </c>
      <c r="CO93" s="135">
        <f t="shared" si="192"/>
        <v>1.4081994629249472E-2</v>
      </c>
      <c r="CP93" s="134">
        <f>VLOOKUP($H93,RoR!$E:$F,2,FALSE)</f>
        <v>4.2350000000000006E-2</v>
      </c>
      <c r="CQ93" s="135">
        <v>1.7730000000000024E-2</v>
      </c>
      <c r="CR93" s="135">
        <f t="shared" si="189"/>
        <v>2.4619999999999982E-2</v>
      </c>
      <c r="CS93" s="135">
        <f t="shared" si="193"/>
        <v>1.6819946979284153E-2</v>
      </c>
      <c r="CT93" s="56">
        <v>5.3376742735721204E-2</v>
      </c>
      <c r="CU93" s="139">
        <f t="shared" si="183"/>
        <v>0.84940815000000003</v>
      </c>
      <c r="CV93" s="335">
        <f t="shared" si="184"/>
        <v>1.2109103018193925</v>
      </c>
      <c r="CW93" s="335">
        <f t="shared" si="185"/>
        <v>0.38468122786304604</v>
      </c>
      <c r="CX93" s="335">
        <f t="shared" si="186"/>
        <v>0.80969194503422559</v>
      </c>
      <c r="CY93" s="335">
        <f t="shared" si="187"/>
        <v>0.37716621754800816</v>
      </c>
      <c r="CZ93" s="336">
        <f>INDEX('State Tax Lookup'!$D$7:$Z$91,MATCH(Calculation!$C93,'State Tax Lookup'!$B$7:$B$91,0),MATCH($H93,'State Tax Lookup'!$D$6:$Z$6,0))</f>
        <v>0.40700500000000001</v>
      </c>
      <c r="DA93" s="303">
        <v>0.37</v>
      </c>
      <c r="DB93" s="57">
        <f t="shared" si="191"/>
        <v>15.903154933736857</v>
      </c>
      <c r="DC93" s="56">
        <f t="shared" si="194"/>
        <v>-2.8779115355026346E-2</v>
      </c>
      <c r="DD93" s="303">
        <f>VLOOKUP($H93,RoR!$E:$F,2,FALSE)</f>
        <v>4.2350000000000006E-2</v>
      </c>
      <c r="DE93" s="304">
        <f>HLOOKUP($H93,'GDP-PI'!$D$8:$CQ$11,3,FALSE)</f>
        <v>1.7730000000000024E-2</v>
      </c>
      <c r="DF93" s="303">
        <f>VLOOKUP(H93,'HW Dx Data'!$E:$F,2,FALSE)</f>
        <v>663.24840548821396</v>
      </c>
      <c r="DG93" s="89">
        <f ca="1">VLOOKUP(CC93,'ECI - Input Price'!M$13:N$33,2,FALSE)</f>
        <v>126.8</v>
      </c>
      <c r="DH93" s="89"/>
      <c r="DI93" s="89"/>
      <c r="DJ93" s="56">
        <f t="shared" ca="1" si="204"/>
        <v>1.5898586067798204E-2</v>
      </c>
      <c r="DK93" s="53">
        <f>HLOOKUP(H93,'GDP-PI'!$8:$9,2,FALSE)</f>
        <v>101.773</v>
      </c>
      <c r="DL93" s="355">
        <f t="shared" si="195"/>
        <v>1.7574657016510519E-2</v>
      </c>
      <c r="DP93" s="398"/>
      <c r="DQ93" s="398"/>
      <c r="DR93" s="398"/>
      <c r="DS93" s="398"/>
      <c r="DT93" s="398"/>
      <c r="DU93" s="398"/>
      <c r="DV93" s="398"/>
      <c r="DW93" s="398"/>
      <c r="DX93" s="398"/>
      <c r="EC93">
        <f t="shared" si="190"/>
        <v>2013</v>
      </c>
    </row>
    <row r="94" spans="1:133" s="126" customFormat="1" ht="21" customHeight="1" x14ac:dyDescent="0.4">
      <c r="A94" s="233" t="s">
        <v>185</v>
      </c>
      <c r="B94" s="127" t="s">
        <v>186</v>
      </c>
      <c r="C94" s="127">
        <v>4057110</v>
      </c>
      <c r="D94" s="127" t="s">
        <v>187</v>
      </c>
      <c r="E94" s="127" t="s">
        <v>15</v>
      </c>
      <c r="F94" s="127"/>
      <c r="G94" s="127" t="s">
        <v>170</v>
      </c>
      <c r="H94" s="128">
        <v>2014</v>
      </c>
      <c r="I94" s="129"/>
      <c r="J94" s="125">
        <f>IFERROR(INDEX('Labor Expenditures'!$E$7:$W$91,MATCH($C94,'Labor Expenditures'!$C$7:$C$91,0),MATCH($G94,'Labor Expenditures'!$E$5:$W$5,0)),"NA")</f>
        <v>4825.9965335007028</v>
      </c>
      <c r="K94" s="125">
        <f t="shared" ca="1" si="196"/>
        <v>37.295181866311459</v>
      </c>
      <c r="L94" s="47"/>
      <c r="M94" s="131">
        <f t="shared" ca="1" si="205"/>
        <v>0.24166190613759087</v>
      </c>
      <c r="N94" s="59"/>
      <c r="O94" s="59"/>
      <c r="P94" s="59">
        <f t="shared" ca="1" si="207"/>
        <v>3.7783647892037113E-4</v>
      </c>
      <c r="Q94" s="61"/>
      <c r="R94" s="387"/>
      <c r="S94" s="49">
        <f t="shared" ca="1" si="212"/>
        <v>98.204778364940267</v>
      </c>
      <c r="T94" s="61">
        <f ca="1">+P94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</f>
        <v>-1.1561814407394623E-2</v>
      </c>
      <c r="U94" s="61"/>
      <c r="V94" s="125">
        <f>IFERROR(INDEX('Non-Labor Expenditures'!$E$7:$AA$91,MATCH($C94,'Non-Labor Expenditures'!$C$7:$C$91,0),MATCH($G94,'Non-Labor Expenditures'!$E$5:$AA$5,0)),"NA")</f>
        <v>6988.9443523267028</v>
      </c>
      <c r="W94" s="125">
        <f t="shared" si="197"/>
        <v>67.430261872767204</v>
      </c>
      <c r="X94" s="131">
        <f t="shared" si="208"/>
        <v>0.24371319430300944</v>
      </c>
      <c r="Y94" s="131">
        <f t="shared" si="209"/>
        <v>3.8104365174318049E-4</v>
      </c>
      <c r="Z94" s="131"/>
      <c r="AA94" s="131"/>
      <c r="AB94" s="131"/>
      <c r="AC94" s="125">
        <f t="shared" si="177"/>
        <v>3678.0415403910752</v>
      </c>
      <c r="AD94" s="129"/>
      <c r="AE94" s="133">
        <v>255.15454681866169</v>
      </c>
      <c r="AF94" s="134">
        <v>2.9023079188922316E-2</v>
      </c>
      <c r="AG94" s="59">
        <f t="shared" si="198"/>
        <v>4.537735476573622E-5</v>
      </c>
      <c r="AH94" s="134"/>
      <c r="AI94" s="134"/>
      <c r="AJ94" s="129">
        <f t="shared" ref="AJ94:AJ157" si="216">+J94+V94+AC94</f>
        <v>15492.982426218481</v>
      </c>
      <c r="AK94" s="134">
        <f t="shared" si="210"/>
        <v>0.20983208274333773</v>
      </c>
      <c r="AL94" s="129"/>
      <c r="AM94" s="129"/>
      <c r="AN94" s="129"/>
      <c r="AO94" s="129"/>
      <c r="AP94" s="133">
        <f t="shared" si="211"/>
        <v>398.80003156370771</v>
      </c>
      <c r="AQ94" s="134">
        <f>+BB94/Outputs!$B$22</f>
        <v>1.0750902780833401E-3</v>
      </c>
      <c r="AR94" s="93">
        <f t="shared" si="199"/>
        <v>0.31149564368792931</v>
      </c>
      <c r="AS94" s="93">
        <f t="shared" si="200"/>
        <v>0.45110387142113095</v>
      </c>
      <c r="AT94" s="93">
        <f t="shared" si="201"/>
        <v>0.23740048489093973</v>
      </c>
      <c r="AU94" s="93">
        <f t="shared" ca="1" si="206"/>
        <v>0.18796503078199012</v>
      </c>
      <c r="AV94" s="132">
        <f t="shared" ca="1" si="213"/>
        <v>128.71987934406278</v>
      </c>
      <c r="AW94" s="134">
        <f t="shared" ca="1" si="214"/>
        <v>0.18796503078199014</v>
      </c>
      <c r="AX94" s="56">
        <f>+AJ94/$AL$19</f>
        <v>1.5634920909100539E-3</v>
      </c>
      <c r="AY94" s="135">
        <f t="shared" ca="1" si="215"/>
        <v>2.938818389953064E-4</v>
      </c>
      <c r="AZ94" s="93"/>
      <c r="BA94" s="93"/>
      <c r="BB94" s="234">
        <f>IFERROR(INDEX('Total Customers'!$E$7:$AA$91,MATCH($C94,'Total Customers'!$C$7:$C$91,0),MATCH($G94,'Total Customers'!$E$5:$AA$5,0)),"NA")</f>
        <v>38849</v>
      </c>
      <c r="BC94" s="411">
        <f t="shared" si="171"/>
        <v>3.1083813227629941E-2</v>
      </c>
      <c r="BD94" s="92"/>
      <c r="BE94" s="281" t="str">
        <f t="shared" si="167"/>
        <v>BERKSHIRE GAS COMPANY</v>
      </c>
      <c r="BF94" s="290">
        <f t="shared" si="168"/>
        <v>4057110</v>
      </c>
      <c r="BG94" s="46" t="str">
        <f t="shared" si="169"/>
        <v>MA</v>
      </c>
      <c r="BH94" s="46"/>
      <c r="BI94" s="46" t="str">
        <f t="shared" si="170"/>
        <v>2014 Y</v>
      </c>
      <c r="BJ94" s="129"/>
      <c r="BK94" s="129"/>
      <c r="BL94" s="129">
        <f>INDEX('Dist. Plant Gas Additions'!$E$7:$AD$91,MATCH($C94,'Dist. Plant Gas Additions'!$C$7:$C$91,0),MATCH(Calculation!$G94,'Dist. Plant Gas Additions'!$E$5:$AD$5,0))</f>
        <v>4788</v>
      </c>
      <c r="BM94" s="129">
        <f>INDEX('Gen. Plant Additions'!$E$7:$AD$91,MATCH($C94,'Gen. Plant Additions'!$C$7:$C$91,0),MATCH(Calculation!$G94,'Gen. Plant Additions'!$E$5:$AD$5,0))</f>
        <v>1560</v>
      </c>
      <c r="BN94" s="393">
        <f t="shared" si="178"/>
        <v>0.80769354856055142</v>
      </c>
      <c r="BO94" s="46">
        <f t="shared" si="202"/>
        <v>1260.0019357544602</v>
      </c>
      <c r="BP94" s="46">
        <f t="shared" si="203"/>
        <v>-299.99806424553981</v>
      </c>
      <c r="BQ94" s="129"/>
      <c r="BR94" s="129"/>
      <c r="BS94" s="137">
        <v>2014</v>
      </c>
      <c r="BT94" s="129"/>
      <c r="BU94" s="333">
        <v>677.61141062376498</v>
      </c>
      <c r="BV94" s="129"/>
      <c r="BW94" s="129"/>
      <c r="BX94" s="129"/>
      <c r="BY94" s="129">
        <f>INDEX('Gross Dx Plant'!$D$7:$AC$91,MATCH($C94,'Gross Dx Plant'!$C$7:$C$91,0),MATCH(Calculation!$G94,'Gross Dx Plant'!$D$5:$AC$5,0))</f>
        <v>75105</v>
      </c>
      <c r="BZ94" s="129">
        <f>INDEX('Gross Gen Plant'!$D$7:$AC$91,MATCH($C94,'Gross Gen Plant'!$C$7:$C$91,0),MATCH(Calculation!$G94,'Gross Gen Plant'!$D$5:$AC$5,0))</f>
        <v>17882</v>
      </c>
      <c r="CA94" s="129">
        <f t="shared" si="172"/>
        <v>92987</v>
      </c>
      <c r="CB94" s="129"/>
      <c r="CC94" s="133">
        <v>2014</v>
      </c>
      <c r="CD94" s="129"/>
      <c r="CE94" s="129"/>
      <c r="CF94" s="129"/>
      <c r="CG94" s="137"/>
      <c r="CH94" s="129">
        <f t="shared" si="179"/>
        <v>6348</v>
      </c>
      <c r="CI94" s="46">
        <f t="shared" si="188"/>
        <v>6048.0019357544606</v>
      </c>
      <c r="CJ94" s="46">
        <f t="shared" si="180"/>
        <v>8.8360476128521093</v>
      </c>
      <c r="CK94" s="443">
        <v>0.81395348837209303</v>
      </c>
      <c r="CL94" s="46">
        <f>+CL78*CK94+CJ79*CK93+CJ80*CK92+CJ81*CK91+CJ82*CK90+CJ83*CK89+CJ84*CK88+CJ85*CK87+CJ86*CK86+CJ87*CK85+CJ88*CK84+CJ89*CK83+CJ90*CK82+CJ91*CK81+CJ92*CK80+CJ93*CK79+CJ94</f>
        <v>233.63145835578135</v>
      </c>
      <c r="CM94" s="134">
        <f t="shared" si="181"/>
        <v>2.3758318452510915E-2</v>
      </c>
      <c r="CN94" s="135">
        <f t="shared" si="182"/>
        <v>1.4686966792411415E-2</v>
      </c>
      <c r="CO94" s="135">
        <f t="shared" si="192"/>
        <v>1.4401739920202807E-2</v>
      </c>
      <c r="CP94" s="134">
        <f>VLOOKUP($H94,RoR!$E:$F,2,FALSE)</f>
        <v>4.1625000000000002E-2</v>
      </c>
      <c r="CQ94" s="135">
        <v>1.841352814597208E-2</v>
      </c>
      <c r="CR94" s="135">
        <f t="shared" si="189"/>
        <v>2.3211471854027922E-2</v>
      </c>
      <c r="CS94" s="135">
        <f t="shared" si="193"/>
        <v>1.6500201688330818E-2</v>
      </c>
      <c r="CT94" s="56">
        <v>3.9072621432650924E-2</v>
      </c>
      <c r="CU94" s="139">
        <f t="shared" si="183"/>
        <v>0.84940815000000003</v>
      </c>
      <c r="CV94" s="335">
        <f t="shared" si="184"/>
        <v>1.2320012320012319</v>
      </c>
      <c r="CW94" s="335">
        <f t="shared" si="185"/>
        <v>0.37439939939939942</v>
      </c>
      <c r="CX94" s="335">
        <f t="shared" si="186"/>
        <v>0.80432100613819935</v>
      </c>
      <c r="CY94" s="335">
        <f t="shared" si="187"/>
        <v>0.37100152660040037</v>
      </c>
      <c r="CZ94" s="336">
        <f>INDEX('State Tax Lookup'!$D$7:$Z$91,MATCH(Calculation!$C94,'State Tax Lookup'!$B$7:$B$91,0),MATCH($H94,'State Tax Lookup'!$D$6:$Z$6,0))</f>
        <v>0.40700500000000001</v>
      </c>
      <c r="DA94" s="303">
        <v>0.37</v>
      </c>
      <c r="DB94" s="57">
        <f t="shared" si="191"/>
        <v>16.121424607598367</v>
      </c>
      <c r="DC94" s="56">
        <f t="shared" si="194"/>
        <v>1.3631595286508265E-2</v>
      </c>
      <c r="DD94" s="303">
        <f>VLOOKUP($H94,RoR!$E:$F,2,FALSE)</f>
        <v>4.1625000000000002E-2</v>
      </c>
      <c r="DE94" s="304">
        <f>HLOOKUP($H94,'GDP-PI'!$D$8:$CQ$11,3,FALSE)</f>
        <v>1.841352814597208E-2</v>
      </c>
      <c r="DF94" s="303">
        <f>VLOOKUP(H94,'HW Dx Data'!$E:$F,2,FALSE)</f>
        <v>684.46914285042885</v>
      </c>
      <c r="DG94" s="89">
        <f ca="1">VLOOKUP(CC94,'ECI - Input Price'!M$13:N$33,2,FALSE)</f>
        <v>129.4</v>
      </c>
      <c r="DH94" s="89"/>
      <c r="DI94" s="89"/>
      <c r="DJ94" s="56">
        <f t="shared" ca="1" si="204"/>
        <v>2.0297340063674733E-2</v>
      </c>
      <c r="DK94" s="53">
        <f>HLOOKUP(H94,'GDP-PI'!$8:$9,2,FALSE)</f>
        <v>103.64700000000001</v>
      </c>
      <c r="DL94" s="355">
        <f t="shared" si="195"/>
        <v>1.8246051898256087E-2</v>
      </c>
      <c r="DP94" s="398"/>
      <c r="DQ94" s="398"/>
      <c r="DR94" s="398"/>
      <c r="DS94" s="398"/>
      <c r="DT94" s="398"/>
      <c r="DU94" s="398"/>
      <c r="DV94" s="398"/>
      <c r="DW94" s="398"/>
      <c r="DX94" s="398"/>
      <c r="EC94">
        <f t="shared" si="190"/>
        <v>2014</v>
      </c>
    </row>
    <row r="95" spans="1:133" s="126" customFormat="1" ht="21" customHeight="1" x14ac:dyDescent="0.4">
      <c r="A95" s="233" t="s">
        <v>185</v>
      </c>
      <c r="B95" s="127" t="s">
        <v>186</v>
      </c>
      <c r="C95" s="127">
        <v>4057110</v>
      </c>
      <c r="D95" s="127" t="s">
        <v>187</v>
      </c>
      <c r="E95" s="127" t="s">
        <v>15</v>
      </c>
      <c r="F95" s="127"/>
      <c r="G95" s="127" t="s">
        <v>171</v>
      </c>
      <c r="H95" s="128">
        <v>2015</v>
      </c>
      <c r="I95" s="129"/>
      <c r="J95" s="125">
        <f>IFERROR(INDEX('Labor Expenditures'!$E$7:$W$91,MATCH($C95,'Labor Expenditures'!$C$7:$C$91,0),MATCH($G95,'Labor Expenditures'!$E$5:$W$5,0)),"NA")</f>
        <v>5705.7942234833481</v>
      </c>
      <c r="K95" s="125">
        <f t="shared" ca="1" si="196"/>
        <v>42.740031636579388</v>
      </c>
      <c r="L95" s="47"/>
      <c r="M95" s="131">
        <f t="shared" ca="1" si="205"/>
        <v>0.13627184427948255</v>
      </c>
      <c r="N95" s="59"/>
      <c r="O95" s="59"/>
      <c r="P95" s="59">
        <f t="shared" ca="1" si="207"/>
        <v>2.4114029497011538E-4</v>
      </c>
      <c r="Q95" s="61"/>
      <c r="R95" s="387"/>
      <c r="S95" s="49">
        <f t="shared" ca="1" si="212"/>
        <v>96.12951457465725</v>
      </c>
      <c r="T95" s="61">
        <f ca="1">+P95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</f>
        <v>-2.1358481308269828E-2</v>
      </c>
      <c r="U95" s="61"/>
      <c r="V95" s="125">
        <f>IFERROR(INDEX('Non-Labor Expenditures'!$E$7:$AA$91,MATCH($C95,'Non-Labor Expenditures'!$C$7:$C$91,0),MATCH($G95,'Non-Labor Expenditures'!$E$5:$AA$5,0)),"NA")</f>
        <v>8263.055730963355</v>
      </c>
      <c r="W95" s="125">
        <f t="shared" si="197"/>
        <v>78.967265846991609</v>
      </c>
      <c r="X95" s="131">
        <f t="shared" si="208"/>
        <v>0.15793950386754349</v>
      </c>
      <c r="Y95" s="131">
        <f t="shared" si="209"/>
        <v>2.7948237401075065E-4</v>
      </c>
      <c r="Z95" s="131"/>
      <c r="AA95" s="131"/>
      <c r="AB95" s="131"/>
      <c r="AC95" s="125">
        <f t="shared" si="177"/>
        <v>3656.9026825772767</v>
      </c>
      <c r="AD95" s="129"/>
      <c r="AE95" s="133">
        <v>262.35560826596935</v>
      </c>
      <c r="AF95" s="134">
        <v>2.783143941226288E-2</v>
      </c>
      <c r="AG95" s="59">
        <f t="shared" si="198"/>
        <v>4.924921611504478E-5</v>
      </c>
      <c r="AH95" s="134"/>
      <c r="AI95" s="134"/>
      <c r="AJ95" s="129">
        <f t="shared" si="216"/>
        <v>17625.752637023979</v>
      </c>
      <c r="AK95" s="134">
        <f t="shared" si="210"/>
        <v>0.12897387588757564</v>
      </c>
      <c r="AL95" s="129"/>
      <c r="AM95" s="129"/>
      <c r="AN95" s="129"/>
      <c r="AO95" s="129"/>
      <c r="AP95" s="133">
        <f t="shared" si="211"/>
        <v>447.2633129573685</v>
      </c>
      <c r="AQ95" s="134">
        <f>+BB95/Outputs!$B$23</f>
        <v>1.081692130129803E-3</v>
      </c>
      <c r="AR95" s="93">
        <f t="shared" si="199"/>
        <v>0.3237191818690327</v>
      </c>
      <c r="AS95" s="93">
        <f t="shared" si="200"/>
        <v>0.46880583774937912</v>
      </c>
      <c r="AT95" s="93">
        <f t="shared" si="201"/>
        <v>0.20747498038158821</v>
      </c>
      <c r="AU95" s="93">
        <f t="shared" ca="1" si="206"/>
        <v>0.12211675170968911</v>
      </c>
      <c r="AV95" s="132">
        <f t="shared" ca="1" si="213"/>
        <v>145.43879090591932</v>
      </c>
      <c r="AW95" s="134">
        <f t="shared" ca="1" si="214"/>
        <v>0.12211675170968916</v>
      </c>
      <c r="AX95" s="56">
        <f>+AJ95/$AL$20</f>
        <v>1.7695533236899332E-3</v>
      </c>
      <c r="AY95" s="135">
        <f t="shared" ca="1" si="215"/>
        <v>2.160921038660988E-4</v>
      </c>
      <c r="AZ95" s="93"/>
      <c r="BA95" s="93"/>
      <c r="BB95" s="234">
        <f>IFERROR(INDEX('Total Customers'!$E$7:$AA$91,MATCH($C95,'Total Customers'!$C$7:$C$91,0),MATCH($G95,'Total Customers'!$E$5:$AA$5,0)),"NA")</f>
        <v>39408</v>
      </c>
      <c r="BC95" s="411">
        <f t="shared" si="171"/>
        <v>1.4286504921545883E-2</v>
      </c>
      <c r="BD95" s="92"/>
      <c r="BE95" s="281" t="str">
        <f t="shared" si="167"/>
        <v>BERKSHIRE GAS COMPANY</v>
      </c>
      <c r="BF95" s="290">
        <f t="shared" si="168"/>
        <v>4057110</v>
      </c>
      <c r="BG95" s="46" t="str">
        <f t="shared" si="169"/>
        <v>MA</v>
      </c>
      <c r="BH95" s="46"/>
      <c r="BI95" s="46" t="str">
        <f t="shared" si="170"/>
        <v>2015 Y</v>
      </c>
      <c r="BJ95" s="129"/>
      <c r="BK95" s="129"/>
      <c r="BL95" s="129">
        <f>INDEX('Dist. Plant Gas Additions'!$E$7:$AD$91,MATCH($C95,'Dist. Plant Gas Additions'!$C$7:$C$91,0),MATCH(Calculation!$G95,'Dist. Plant Gas Additions'!$E$5:$AD$5,0))</f>
        <v>4286</v>
      </c>
      <c r="BM95" s="129">
        <f>INDEX('Gen. Plant Additions'!$E$7:$AD$91,MATCH($C95,'Gen. Plant Additions'!$C$7:$C$91,0),MATCH(Calculation!$G95,'Gen. Plant Additions'!$E$5:$AD$5,0))</f>
        <v>1995</v>
      </c>
      <c r="BN95" s="393">
        <f t="shared" si="178"/>
        <v>0.80054820024824158</v>
      </c>
      <c r="BO95" s="46">
        <f t="shared" si="202"/>
        <v>1597.093659495242</v>
      </c>
      <c r="BP95" s="46">
        <f t="shared" si="203"/>
        <v>-397.90634050475796</v>
      </c>
      <c r="BQ95" s="129"/>
      <c r="BR95" s="129"/>
      <c r="BS95" s="137">
        <v>2015</v>
      </c>
      <c r="BT95" s="129"/>
      <c r="BU95" s="333">
        <v>667.87090625041685</v>
      </c>
      <c r="BV95" s="129"/>
      <c r="BW95" s="129"/>
      <c r="BX95" s="129"/>
      <c r="BY95" s="129">
        <f>INDEX('Gross Dx Plant'!$D$7:$AC$91,MATCH($C95,'Gross Dx Plant'!$C$7:$C$91,0),MATCH(Calculation!$G95,'Gross Dx Plant'!$D$5:$AC$5,0))</f>
        <v>77397</v>
      </c>
      <c r="BZ95" s="129">
        <f>INDEX('Gross Gen Plant'!$D$7:$AC$91,MATCH($C95,'Gross Gen Plant'!$C$7:$C$91,0),MATCH(Calculation!$G95,'Gross Gen Plant'!$D$5:$AC$5,0))</f>
        <v>19283</v>
      </c>
      <c r="CA95" s="129">
        <f t="shared" si="172"/>
        <v>96680</v>
      </c>
      <c r="CB95" s="129"/>
      <c r="CC95" s="133">
        <v>2015</v>
      </c>
      <c r="CD95" s="129"/>
      <c r="CE95" s="129"/>
      <c r="CF95" s="129"/>
      <c r="CG95" s="137"/>
      <c r="CH95" s="129">
        <f t="shared" si="179"/>
        <v>6281</v>
      </c>
      <c r="CI95" s="46">
        <f t="shared" si="188"/>
        <v>5883.0936594952418</v>
      </c>
      <c r="CJ95" s="46">
        <f t="shared" si="180"/>
        <v>8.707765301970074</v>
      </c>
      <c r="CK95" s="443">
        <v>0.8</v>
      </c>
      <c r="CL95" s="46">
        <f>+CL78*CK95+CJ79*CK94+CJ80*CK93+CJ81*CK92+CJ82*CK91+CJ83*CK90+CJ84*CK89+CJ85*CK88+CJ86*CK87+CJ87*CK86+CJ88*CK85+CJ89*CK84+CJ90*CK83+CJ91*CK82+CJ92*CK81+CJ93*CK80+CJ94*CK79+CJ95</f>
        <v>238.82446365827269</v>
      </c>
      <c r="CM95" s="134">
        <f t="shared" si="181"/>
        <v>2.198391089539645E-2</v>
      </c>
      <c r="CN95" s="135">
        <f t="shared" si="182"/>
        <v>1.5044035697137768E-2</v>
      </c>
      <c r="CO95" s="135">
        <f t="shared" si="192"/>
        <v>1.4722713493188053E-2</v>
      </c>
      <c r="CP95" s="134">
        <f>VLOOKUP($H95,RoR!$E:$F,2,FALSE)</f>
        <v>3.8866666666666674E-2</v>
      </c>
      <c r="CQ95" s="135">
        <v>9.5709475431029478E-3</v>
      </c>
      <c r="CR95" s="135">
        <f t="shared" si="189"/>
        <v>2.9295719123563727E-2</v>
      </c>
      <c r="CS95" s="135">
        <f t="shared" si="193"/>
        <v>1.617922811534557E-2</v>
      </c>
      <c r="CT95" s="56">
        <v>3.5270373279175926E-3</v>
      </c>
      <c r="CU95" s="139">
        <f t="shared" si="183"/>
        <v>0.84940815000000003</v>
      </c>
      <c r="CV95" s="335">
        <f t="shared" si="184"/>
        <v>1.3194352816994324</v>
      </c>
      <c r="CW95" s="335">
        <f t="shared" si="185"/>
        <v>0.33177530017152673</v>
      </c>
      <c r="CX95" s="335">
        <f t="shared" si="186"/>
        <v>0.78242572977668579</v>
      </c>
      <c r="CY95" s="335">
        <f t="shared" si="187"/>
        <v>0.34251158643433932</v>
      </c>
      <c r="CZ95" s="336">
        <f>INDEX('State Tax Lookup'!$D$7:$Z$91,MATCH(Calculation!$C95,'State Tax Lookup'!$B$7:$B$91,0),MATCH($H95,'State Tax Lookup'!$D$6:$Z$6,0))</f>
        <v>0.40700500000000001</v>
      </c>
      <c r="DA95" s="303">
        <v>0.37</v>
      </c>
      <c r="DB95" s="57">
        <f t="shared" si="191"/>
        <v>15.652441277871194</v>
      </c>
      <c r="DC95" s="56">
        <f t="shared" si="194"/>
        <v>-2.9522211317929651E-2</v>
      </c>
      <c r="DD95" s="303">
        <f>VLOOKUP($H95,RoR!$E:$F,2,FALSE)</f>
        <v>3.8866666666666674E-2</v>
      </c>
      <c r="DE95" s="304">
        <f>HLOOKUP($H95,'GDP-PI'!$D$8:$CQ$11,3,FALSE)</f>
        <v>9.5709475431029478E-3</v>
      </c>
      <c r="DF95" s="303">
        <f>VLOOKUP(H95,'HW Dx Data'!$E:$F,2,FALSE)</f>
        <v>675.61463308665782</v>
      </c>
      <c r="DG95" s="89">
        <f ca="1">VLOOKUP(CC95,'ECI - Input Price'!M$13:N$33,2,FALSE)</f>
        <v>133.5</v>
      </c>
      <c r="DH95" s="89"/>
      <c r="DI95" s="89"/>
      <c r="DJ95" s="56">
        <f t="shared" ca="1" si="204"/>
        <v>3.1193095773504077E-2</v>
      </c>
      <c r="DK95" s="53">
        <f>HLOOKUP(H95,'GDP-PI'!$8:$9,2,FALSE)</f>
        <v>104.639</v>
      </c>
      <c r="DL95" s="355">
        <f t="shared" si="195"/>
        <v>9.5254361854427965E-3</v>
      </c>
      <c r="DP95" s="398"/>
      <c r="DQ95" s="398"/>
      <c r="DR95" s="398"/>
      <c r="DS95" s="398"/>
      <c r="DT95" s="398"/>
      <c r="DU95" s="398"/>
      <c r="DV95" s="398"/>
      <c r="DW95" s="398"/>
      <c r="DX95" s="398"/>
      <c r="EC95">
        <f t="shared" si="190"/>
        <v>2015</v>
      </c>
    </row>
    <row r="96" spans="1:133" s="126" customFormat="1" ht="21" customHeight="1" x14ac:dyDescent="0.4">
      <c r="A96" s="233" t="s">
        <v>185</v>
      </c>
      <c r="B96" s="127" t="s">
        <v>186</v>
      </c>
      <c r="C96" s="127">
        <v>4057110</v>
      </c>
      <c r="D96" s="127" t="s">
        <v>187</v>
      </c>
      <c r="E96" s="127" t="s">
        <v>15</v>
      </c>
      <c r="F96" s="127"/>
      <c r="G96" s="127" t="s">
        <v>172</v>
      </c>
      <c r="H96" s="128">
        <v>2016</v>
      </c>
      <c r="I96" s="129"/>
      <c r="J96" s="125">
        <f>IFERROR(INDEX('Labor Expenditures'!$E$7:$W$91,MATCH($C96,'Labor Expenditures'!$C$7:$C$91,0),MATCH($G96,'Labor Expenditures'!$E$5:$W$5,0)),"NA")</f>
        <v>4974.0093831415288</v>
      </c>
      <c r="K96" s="125">
        <f t="shared" ca="1" si="196"/>
        <v>36.319893268649352</v>
      </c>
      <c r="L96" s="47"/>
      <c r="M96" s="131">
        <f t="shared" ca="1" si="205"/>
        <v>-0.16277037501055522</v>
      </c>
      <c r="N96" s="59"/>
      <c r="O96" s="59"/>
      <c r="P96" s="59">
        <f t="shared" ca="1" si="207"/>
        <v>-2.5038280146073562E-4</v>
      </c>
      <c r="Q96" s="61"/>
      <c r="R96" s="387"/>
      <c r="S96" s="49">
        <f t="shared" ca="1" si="212"/>
        <v>97.311126552293914</v>
      </c>
      <c r="T96" s="61">
        <f ca="1">+P96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</f>
        <v>1.2216943320492033E-2</v>
      </c>
      <c r="U96" s="61"/>
      <c r="V96" s="125">
        <f>IFERROR(INDEX('Non-Labor Expenditures'!$E$7:$AA$91,MATCH($C96,'Non-Labor Expenditures'!$C$7:$C$91,0),MATCH($G96,'Non-Labor Expenditures'!$E$5:$AA$5,0)),"NA")</f>
        <v>7203.2946035935947</v>
      </c>
      <c r="W96" s="125">
        <f t="shared" si="197"/>
        <v>68.125279976484777</v>
      </c>
      <c r="X96" s="131">
        <f t="shared" si="208"/>
        <v>-0.14768504750897729</v>
      </c>
      <c r="Y96" s="131">
        <f t="shared" si="209"/>
        <v>-2.2717767853494016E-4</v>
      </c>
      <c r="Z96" s="131"/>
      <c r="AA96" s="131"/>
      <c r="AB96" s="131"/>
      <c r="AC96" s="125">
        <f t="shared" si="177"/>
        <v>3639.9053693393107</v>
      </c>
      <c r="AD96" s="129"/>
      <c r="AE96" s="133">
        <v>279.67501213705123</v>
      </c>
      <c r="AF96" s="134">
        <v>6.3927391187550392E-2</v>
      </c>
      <c r="AG96" s="59">
        <f t="shared" si="198"/>
        <v>9.8336809106554205E-5</v>
      </c>
      <c r="AH96" s="134"/>
      <c r="AI96" s="134"/>
      <c r="AJ96" s="129">
        <f t="shared" si="216"/>
        <v>15817.209356074434</v>
      </c>
      <c r="AK96" s="134">
        <f t="shared" si="210"/>
        <v>-0.1082625035596716</v>
      </c>
      <c r="AL96" s="129"/>
      <c r="AM96" s="129"/>
      <c r="AN96" s="129"/>
      <c r="AO96" s="129"/>
      <c r="AP96" s="133">
        <f t="shared" si="211"/>
        <v>399.18254987064489</v>
      </c>
      <c r="AQ96" s="134">
        <f>+BB96/Outputs!$B$24</f>
        <v>1.0782224480885036E-3</v>
      </c>
      <c r="AR96" s="93">
        <f t="shared" si="199"/>
        <v>0.31446820176476403</v>
      </c>
      <c r="AS96" s="93">
        <f t="shared" si="200"/>
        <v>0.45540869071365264</v>
      </c>
      <c r="AT96" s="93">
        <f t="shared" si="201"/>
        <v>0.23012310752158333</v>
      </c>
      <c r="AU96" s="93">
        <f t="shared" ca="1" si="206"/>
        <v>-0.10619808107865897</v>
      </c>
      <c r="AV96" s="132">
        <f t="shared" ca="1" si="213"/>
        <v>130.78532466303901</v>
      </c>
      <c r="AW96" s="134">
        <f t="shared" ca="1" si="214"/>
        <v>-0.10619808107865908</v>
      </c>
      <c r="AX96" s="56">
        <f>+AJ96/$AL$21</f>
        <v>1.5382578153088299E-3</v>
      </c>
      <c r="AY96" s="135">
        <f t="shared" ca="1" si="215"/>
        <v>-1.633600281900481E-4</v>
      </c>
      <c r="AZ96" s="93"/>
      <c r="BA96" s="93"/>
      <c r="BB96" s="234">
        <f>IFERROR(INDEX('Total Customers'!$E$7:$AA$91,MATCH($C96,'Total Customers'!$C$7:$C$91,0),MATCH($G96,'Total Customers'!$E$5:$AA$5,0)),"NA")</f>
        <v>39624</v>
      </c>
      <c r="BC96" s="411">
        <f t="shared" si="171"/>
        <v>5.466153907754393E-3</v>
      </c>
      <c r="BD96" s="92"/>
      <c r="BE96" s="281" t="str">
        <f t="shared" si="167"/>
        <v>BERKSHIRE GAS COMPANY</v>
      </c>
      <c r="BF96" s="290">
        <f t="shared" si="168"/>
        <v>4057110</v>
      </c>
      <c r="BG96" s="46" t="str">
        <f t="shared" si="169"/>
        <v>MA</v>
      </c>
      <c r="BH96" s="46"/>
      <c r="BI96" s="46" t="str">
        <f t="shared" si="170"/>
        <v>2016 Y</v>
      </c>
      <c r="BJ96" s="129"/>
      <c r="BK96" s="129"/>
      <c r="BL96" s="129">
        <f>INDEX('Dist. Plant Gas Additions'!$E$7:$AD$91,MATCH($C96,'Dist. Plant Gas Additions'!$C$7:$C$91,0),MATCH(Calculation!$G96,'Dist. Plant Gas Additions'!$E$5:$AD$5,0))</f>
        <v>5372</v>
      </c>
      <c r="BM96" s="129">
        <f>INDEX('Gen. Plant Additions'!$E$7:$AD$91,MATCH($C96,'Gen. Plant Additions'!$C$7:$C$91,0),MATCH(Calculation!$G96,'Gen. Plant Additions'!$E$5:$AD$5,0))</f>
        <v>7749</v>
      </c>
      <c r="BN96" s="393">
        <f t="shared" si="178"/>
        <v>0.75728960339029894</v>
      </c>
      <c r="BO96" s="46">
        <f t="shared" si="202"/>
        <v>5868.237136671426</v>
      </c>
      <c r="BP96" s="46">
        <f t="shared" si="203"/>
        <v>-1880.762863328574</v>
      </c>
      <c r="BQ96" s="129"/>
      <c r="BR96" s="129"/>
      <c r="BS96" s="137">
        <v>2016</v>
      </c>
      <c r="BT96" s="129"/>
      <c r="BU96" s="333">
        <v>662.8869452508203</v>
      </c>
      <c r="BV96" s="129"/>
      <c r="BW96" s="129"/>
      <c r="BX96" s="129"/>
      <c r="BY96" s="129">
        <f>INDEX('Gross Dx Plant'!$D$7:$AC$91,MATCH($C96,'Gross Dx Plant'!$C$7:$C$91,0),MATCH(Calculation!$G96,'Gross Dx Plant'!$D$5:$AC$5,0))</f>
        <v>82200</v>
      </c>
      <c r="BZ96" s="129">
        <f>INDEX('Gross Gen Plant'!$D$7:$AC$91,MATCH($C96,'Gross Gen Plant'!$C$7:$C$91,0),MATCH(Calculation!$G96,'Gross Gen Plant'!$D$5:$AC$5,0))</f>
        <v>26345</v>
      </c>
      <c r="CA96" s="129">
        <f t="shared" si="172"/>
        <v>108545</v>
      </c>
      <c r="CB96" s="129"/>
      <c r="CC96" s="133">
        <v>2016</v>
      </c>
      <c r="CD96" s="129"/>
      <c r="CE96" s="129"/>
      <c r="CF96" s="129"/>
      <c r="CG96" s="137"/>
      <c r="CH96" s="129">
        <f t="shared" si="179"/>
        <v>13121</v>
      </c>
      <c r="CI96" s="46">
        <f t="shared" si="188"/>
        <v>11240.237136671425</v>
      </c>
      <c r="CJ96" s="46">
        <f t="shared" si="180"/>
        <v>16.740085044182116</v>
      </c>
      <c r="CK96" s="443">
        <v>0.7857142857142857</v>
      </c>
      <c r="CL96" s="46">
        <f>+CL78*CK96+CJ79*CK95+CJ80*CK94+CJ81*CK93+CJ82*CK92+CJ83*CK91+CJ84*CK90+CJ85*CK89+CJ86*CK88+CJ87*CK87+CJ88*CK86+CJ89*CK85+CJ90*CK84+CJ91*CK83+CJ92*CK82+CJ93*CK81+CJ94*CK80+CJ95*CK79+CJ96</f>
        <v>251.88266786156302</v>
      </c>
      <c r="CM96" s="134">
        <f t="shared" si="181"/>
        <v>5.3234554958870216E-2</v>
      </c>
      <c r="CN96" s="135">
        <f t="shared" si="182"/>
        <v>1.5416682129181236E-2</v>
      </c>
      <c r="CO96" s="135">
        <f t="shared" si="192"/>
        <v>1.5049228206243473E-2</v>
      </c>
      <c r="CP96" s="134">
        <f>VLOOKUP($H96,RoR!$E:$F,2,FALSE)</f>
        <v>3.6658333333333334E-2</v>
      </c>
      <c r="CQ96" s="135">
        <v>1.0483662879041455E-2</v>
      </c>
      <c r="CR96" s="135">
        <f t="shared" si="189"/>
        <v>2.6174670454291879E-2</v>
      </c>
      <c r="CS96" s="135">
        <f t="shared" si="193"/>
        <v>1.585271340229015E-2</v>
      </c>
      <c r="CT96" s="56">
        <v>4.301363574220729E-3</v>
      </c>
      <c r="CU96" s="139">
        <f t="shared" si="183"/>
        <v>0.84940815000000003</v>
      </c>
      <c r="CV96" s="335">
        <f t="shared" si="184"/>
        <v>1.3989193348138562</v>
      </c>
      <c r="CW96" s="335">
        <f t="shared" si="185"/>
        <v>0.29302682427824522</v>
      </c>
      <c r="CX96" s="335">
        <f t="shared" si="186"/>
        <v>0.76309497491941802</v>
      </c>
      <c r="CY96" s="335">
        <f t="shared" si="187"/>
        <v>0.31280857135128509</v>
      </c>
      <c r="CZ96" s="336">
        <f>INDEX('State Tax Lookup'!$D$7:$Z$91,MATCH(Calculation!$C96,'State Tax Lookup'!$B$7:$B$91,0),MATCH($H96,'State Tax Lookup'!$D$6:$Z$6,0))</f>
        <v>0.40700500000000001</v>
      </c>
      <c r="DA96" s="303">
        <v>0.37</v>
      </c>
      <c r="DB96" s="57">
        <f t="shared" si="191"/>
        <v>15.240923453082891</v>
      </c>
      <c r="DC96" s="56">
        <f t="shared" si="194"/>
        <v>-2.664275455982091E-2</v>
      </c>
      <c r="DD96" s="303">
        <f>VLOOKUP($H96,RoR!$E:$F,2,FALSE)</f>
        <v>3.6658333333333334E-2</v>
      </c>
      <c r="DE96" s="304">
        <f>HLOOKUP($H96,'GDP-PI'!$D$8:$CQ$11,3,FALSE)</f>
        <v>1.0483662879041455E-2</v>
      </c>
      <c r="DF96" s="303">
        <f>VLOOKUP(H96,'HW Dx Data'!$E:$F,2,FALSE)</f>
        <v>671.45639385971219</v>
      </c>
      <c r="DG96" s="89">
        <f ca="1">VLOOKUP(CC96,'ECI - Input Price'!M$13:N$33,2,FALSE)</f>
        <v>136.94999999999999</v>
      </c>
      <c r="DH96" s="89"/>
      <c r="DI96" s="89"/>
      <c r="DJ96" s="56">
        <f t="shared" ca="1" si="204"/>
        <v>2.5514417868782811E-2</v>
      </c>
      <c r="DK96" s="53">
        <f>HLOOKUP(H96,'GDP-PI'!$8:$9,2,FALSE)</f>
        <v>105.736</v>
      </c>
      <c r="DL96" s="355">
        <f t="shared" si="195"/>
        <v>1.0429090367205095E-2</v>
      </c>
      <c r="DP96" s="398"/>
      <c r="DQ96" s="398"/>
      <c r="DR96" s="398"/>
      <c r="DS96" s="398"/>
      <c r="DT96" s="398"/>
      <c r="DU96" s="398"/>
      <c r="DV96" s="398"/>
      <c r="DW96" s="398"/>
      <c r="DX96" s="398"/>
      <c r="EC96">
        <f t="shared" si="190"/>
        <v>2016</v>
      </c>
    </row>
    <row r="97" spans="1:133" s="126" customFormat="1" ht="21" customHeight="1" x14ac:dyDescent="0.4">
      <c r="A97" s="233" t="s">
        <v>185</v>
      </c>
      <c r="B97" s="127" t="s">
        <v>186</v>
      </c>
      <c r="C97" s="127">
        <v>4057110</v>
      </c>
      <c r="D97" s="127" t="s">
        <v>187</v>
      </c>
      <c r="E97" s="127" t="s">
        <v>15</v>
      </c>
      <c r="F97" s="127"/>
      <c r="G97" s="127" t="s">
        <v>173</v>
      </c>
      <c r="H97" s="128">
        <v>2017</v>
      </c>
      <c r="I97" s="129"/>
      <c r="J97" s="125">
        <f>IFERROR(INDEX('Labor Expenditures'!$E$7:$W$91,MATCH($C97,'Labor Expenditures'!$C$7:$C$91,0),MATCH($G97,'Labor Expenditures'!$E$5:$W$5,0)),"NA")</f>
        <v>5336.991271977362</v>
      </c>
      <c r="K97" s="125">
        <f t="shared" ca="1" si="196"/>
        <v>37.999225859575382</v>
      </c>
      <c r="L97" s="47"/>
      <c r="M97" s="131">
        <f t="shared" ca="1" si="205"/>
        <v>4.5200172312168385E-2</v>
      </c>
      <c r="N97" s="59"/>
      <c r="O97" s="59"/>
      <c r="P97" s="59">
        <f t="shared" ca="1" si="207"/>
        <v>7.2515355526335645E-5</v>
      </c>
      <c r="Q97" s="61"/>
      <c r="R97" s="387"/>
      <c r="S97" s="49">
        <f t="shared" ca="1" si="212"/>
        <v>97.940498204690215</v>
      </c>
      <c r="T97" s="61">
        <f ca="1">+P97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</f>
        <v>6.4467973873683568E-3</v>
      </c>
      <c r="U97" s="61"/>
      <c r="V97" s="125">
        <f>IFERROR(INDEX('Non-Labor Expenditures'!$E$7:$AA$91,MATCH($C97,'Non-Labor Expenditures'!$C$7:$C$91,0),MATCH($G97,'Non-Labor Expenditures'!$E$5:$AA$5,0)),"NA")</f>
        <v>7728.9601742930172</v>
      </c>
      <c r="W97" s="125">
        <f t="shared" si="197"/>
        <v>71.729823150532397</v>
      </c>
      <c r="X97" s="131">
        <f t="shared" si="208"/>
        <v>5.1558241925588798E-2</v>
      </c>
      <c r="Y97" s="131">
        <f t="shared" si="209"/>
        <v>8.2715707757166645E-5</v>
      </c>
      <c r="Z97" s="131"/>
      <c r="AA97" s="131"/>
      <c r="AB97" s="131"/>
      <c r="AC97" s="125">
        <f t="shared" si="177"/>
        <v>3425.0159152785441</v>
      </c>
      <c r="AD97" s="129"/>
      <c r="AE97" s="133">
        <v>293.31954952705229</v>
      </c>
      <c r="AF97" s="134">
        <v>4.7634369321404517E-2</v>
      </c>
      <c r="AG97" s="59">
        <f t="shared" si="198"/>
        <v>7.6420576513698573E-5</v>
      </c>
      <c r="AH97" s="134"/>
      <c r="AI97" s="134"/>
      <c r="AJ97" s="129">
        <f t="shared" si="216"/>
        <v>16490.967361548923</v>
      </c>
      <c r="AK97" s="134">
        <f t="shared" si="210"/>
        <v>4.1714251340391605E-2</v>
      </c>
      <c r="AL97" s="129"/>
      <c r="AM97" s="129"/>
      <c r="AN97" s="129"/>
      <c r="AO97" s="129"/>
      <c r="AP97" s="133">
        <f t="shared" si="211"/>
        <v>412.68687090963272</v>
      </c>
      <c r="AQ97" s="134">
        <f>+BB97/Outputs!$B$25</f>
        <v>1.0791959115435288E-3</v>
      </c>
      <c r="AR97" s="93">
        <f t="shared" si="199"/>
        <v>0.32363118275410147</v>
      </c>
      <c r="AS97" s="93">
        <f t="shared" si="200"/>
        <v>0.46867839859499127</v>
      </c>
      <c r="AT97" s="93">
        <f t="shared" si="201"/>
        <v>0.20769041865090732</v>
      </c>
      <c r="AU97" s="93">
        <f t="shared" ca="1" si="206"/>
        <v>4.8670739521518187E-2</v>
      </c>
      <c r="AV97" s="132">
        <f t="shared" ca="1" si="213"/>
        <v>137.30819193451288</v>
      </c>
      <c r="AW97" s="134">
        <f t="shared" ca="1" si="214"/>
        <v>4.867073952151818E-2</v>
      </c>
      <c r="AX97" s="56">
        <f>+AJ97/$AL$22</f>
        <v>1.6043159089199691E-3</v>
      </c>
      <c r="AY97" s="135">
        <f t="shared" ca="1" si="215"/>
        <v>7.80832417132715E-5</v>
      </c>
      <c r="AZ97" s="93"/>
      <c r="BA97" s="93"/>
      <c r="BB97" s="234">
        <f>IFERROR(INDEX('Total Customers'!$E$7:$AA$91,MATCH($C97,'Total Customers'!$C$7:$C$91,0),MATCH($G97,'Total Customers'!$E$5:$AA$5,0)),"NA")</f>
        <v>39960</v>
      </c>
      <c r="BC97" s="411">
        <f t="shared" si="171"/>
        <v>8.4439584944162958E-3</v>
      </c>
      <c r="BD97" s="92"/>
      <c r="BE97" s="281" t="str">
        <f t="shared" si="167"/>
        <v>BERKSHIRE GAS COMPANY</v>
      </c>
      <c r="BF97" s="290">
        <f t="shared" si="168"/>
        <v>4057110</v>
      </c>
      <c r="BG97" s="46" t="str">
        <f t="shared" si="169"/>
        <v>MA</v>
      </c>
      <c r="BH97" s="46"/>
      <c r="BI97" s="46" t="str">
        <f t="shared" si="170"/>
        <v>2017 Y</v>
      </c>
      <c r="BJ97" s="129"/>
      <c r="BK97" s="129"/>
      <c r="BL97" s="129">
        <f>INDEX('Dist. Plant Gas Additions'!$E$7:$AD$91,MATCH($C97,'Dist. Plant Gas Additions'!$C$7:$C$91,0),MATCH(Calculation!$G97,'Dist. Plant Gas Additions'!$E$5:$AD$5,0))</f>
        <v>4743</v>
      </c>
      <c r="BM97" s="129">
        <f>INDEX('Gen. Plant Additions'!$E$7:$AD$91,MATCH($C97,'Gen. Plant Additions'!$C$7:$C$91,0),MATCH(Calculation!$G97,'Gen. Plant Additions'!$E$5:$AD$5,0))</f>
        <v>6691</v>
      </c>
      <c r="BN97" s="393">
        <f t="shared" si="178"/>
        <v>0.72532891973182334</v>
      </c>
      <c r="BO97" s="46">
        <f t="shared" si="202"/>
        <v>4853.1758019256304</v>
      </c>
      <c r="BP97" s="46">
        <f t="shared" si="203"/>
        <v>-1837.8241980743696</v>
      </c>
      <c r="BQ97" s="129"/>
      <c r="BR97" s="129"/>
      <c r="BS97" s="137">
        <v>2017</v>
      </c>
      <c r="BT97" s="129"/>
      <c r="BU97" s="333">
        <v>704.58067642135154</v>
      </c>
      <c r="BV97" s="129"/>
      <c r="BW97" s="129"/>
      <c r="BX97" s="129"/>
      <c r="BY97" s="129">
        <f>INDEX('Gross Dx Plant'!$D$7:$AC$91,MATCH($C97,'Gross Dx Plant'!$C$7:$C$91,0),MATCH(Calculation!$G97,'Gross Dx Plant'!$D$5:$AC$5,0))</f>
        <v>86333</v>
      </c>
      <c r="BZ97" s="129">
        <f>INDEX('Gross Gen Plant'!$D$7:$AC$91,MATCH($C97,'Gross Gen Plant'!$C$7:$C$91,0),MATCH(Calculation!$G97,'Gross Gen Plant'!$D$5:$AC$5,0))</f>
        <v>32693</v>
      </c>
      <c r="CA97" s="129">
        <f t="shared" si="172"/>
        <v>119026</v>
      </c>
      <c r="CB97" s="129"/>
      <c r="CC97" s="133">
        <v>2017</v>
      </c>
      <c r="CD97" s="129"/>
      <c r="CE97" s="129"/>
      <c r="CF97" s="129"/>
      <c r="CG97" s="137"/>
      <c r="CH97" s="129">
        <f t="shared" si="179"/>
        <v>11434</v>
      </c>
      <c r="CI97" s="46">
        <f t="shared" si="188"/>
        <v>9596.1758019256304</v>
      </c>
      <c r="CJ97" s="46">
        <f t="shared" si="180"/>
        <v>13.469667025510008</v>
      </c>
      <c r="CK97" s="443">
        <v>0.77108433734939763</v>
      </c>
      <c r="CL97" s="46">
        <f>+CL78*CK97+CJ79*CK96+CJ80*CK95+CJ81*CK94+CJ82*CK93+CJ83*CK92+CJ84*CK91+CJ85*CK90+CJ86*CK89+CJ87*CK88+CJ88*CK87+CJ89*CK86+CJ90*CK85+CJ91*CK84+CJ92*CK83+CJ93*CK82+CJ94*CK81+CJ95*CK80+CJ96*CK79+CJ97</f>
        <v>261.41924648450316</v>
      </c>
      <c r="CM97" s="134">
        <f t="shared" si="181"/>
        <v>3.7162051598636385E-2</v>
      </c>
      <c r="CN97" s="135">
        <f t="shared" si="182"/>
        <v>1.5614763953236861E-2</v>
      </c>
      <c r="CO97" s="135">
        <f t="shared" si="192"/>
        <v>1.5358493926518621E-2</v>
      </c>
      <c r="CP97" s="134">
        <f>VLOOKUP($H97,RoR!$E:$F,2,FALSE)</f>
        <v>3.7433333333333339E-2</v>
      </c>
      <c r="CQ97" s="135">
        <v>1.9056896421275615E-2</v>
      </c>
      <c r="CR97" s="135">
        <f t="shared" si="189"/>
        <v>1.8376436912057724E-2</v>
      </c>
      <c r="CS97" s="135">
        <f t="shared" si="193"/>
        <v>1.5543447682015004E-2</v>
      </c>
      <c r="CT97" s="56">
        <v>1.3976271617800498E-2</v>
      </c>
      <c r="CU97" s="139">
        <f t="shared" si="183"/>
        <v>0.90120814999999999</v>
      </c>
      <c r="CV97" s="335">
        <f t="shared" si="184"/>
        <v>1.3699568463593395</v>
      </c>
      <c r="CW97" s="335">
        <f t="shared" si="185"/>
        <v>0.30714603739982199</v>
      </c>
      <c r="CX97" s="335">
        <f t="shared" si="186"/>
        <v>0.77007188472689425</v>
      </c>
      <c r="CY97" s="335">
        <f t="shared" si="187"/>
        <v>0.32402839633793828</v>
      </c>
      <c r="CZ97" s="336">
        <f>INDEX('State Tax Lookup'!$D$7:$Z$91,MATCH(Calculation!$C97,'State Tax Lookup'!$B$7:$B$91,0),MATCH($H97,'State Tax Lookup'!$D$6:$Z$6,0))</f>
        <v>0.26700499999999999</v>
      </c>
      <c r="DA97" s="303">
        <v>0.37</v>
      </c>
      <c r="DB97" s="57">
        <f t="shared" si="191"/>
        <v>13.597664120188545</v>
      </c>
      <c r="DC97" s="56">
        <f t="shared" si="194"/>
        <v>-0.1140861203352776</v>
      </c>
      <c r="DD97" s="303">
        <f>VLOOKUP($H97,RoR!$E:$F,2,FALSE)</f>
        <v>3.7433333333333339E-2</v>
      </c>
      <c r="DE97" s="304">
        <f>HLOOKUP($H97,'GDP-PI'!$D$8:$CQ$11,3,FALSE)</f>
        <v>1.9056896421275615E-2</v>
      </c>
      <c r="DF97" s="303">
        <f>VLOOKUP(H97,'HW Dx Data'!$E:$F,2,FALSE)</f>
        <v>712.42858370229726</v>
      </c>
      <c r="DG97" s="89">
        <f ca="1">VLOOKUP(CC97,'ECI - Input Price'!M$13:N$33,2,FALSE)</f>
        <v>140.44999999999999</v>
      </c>
      <c r="DH97" s="89"/>
      <c r="DI97" s="89"/>
      <c r="DJ97" s="56">
        <f t="shared" ca="1" si="204"/>
        <v>2.5235657841165486E-2</v>
      </c>
      <c r="DK97" s="53">
        <f>HLOOKUP(H97,'GDP-PI'!$8:$9,2,FALSE)</f>
        <v>107.751</v>
      </c>
      <c r="DL97" s="355">
        <f t="shared" si="195"/>
        <v>1.8877588227745139E-2</v>
      </c>
      <c r="DP97" s="398"/>
      <c r="DQ97" s="398"/>
      <c r="DR97" s="398"/>
      <c r="DS97" s="398"/>
      <c r="DT97" s="398"/>
      <c r="DU97" s="398"/>
      <c r="DV97" s="398"/>
      <c r="DW97" s="398"/>
      <c r="DX97" s="398"/>
      <c r="EC97">
        <f t="shared" si="190"/>
        <v>2017</v>
      </c>
    </row>
    <row r="98" spans="1:133" s="126" customFormat="1" ht="21" customHeight="1" x14ac:dyDescent="0.4">
      <c r="A98" s="233" t="s">
        <v>185</v>
      </c>
      <c r="B98" s="127" t="s">
        <v>186</v>
      </c>
      <c r="C98" s="127">
        <v>4057110</v>
      </c>
      <c r="D98" s="127" t="s">
        <v>187</v>
      </c>
      <c r="E98" s="127" t="s">
        <v>15</v>
      </c>
      <c r="F98" s="127"/>
      <c r="G98" s="127" t="s">
        <v>174</v>
      </c>
      <c r="H98" s="128">
        <v>2018</v>
      </c>
      <c r="I98" s="129"/>
      <c r="J98" s="125">
        <f>IFERROR(INDEX('Labor Expenditures'!$E$7:$W$91,MATCH($C98,'Labor Expenditures'!$C$7:$C$91,0),MATCH($G98,'Labor Expenditures'!$E$5:$W$5,0)),"NA")</f>
        <v>5275.506860945422</v>
      </c>
      <c r="K98" s="125">
        <f t="shared" ca="1" si="196"/>
        <v>36.521335139809082</v>
      </c>
      <c r="L98" s="47"/>
      <c r="M98" s="131">
        <f t="shared" ca="1" si="205"/>
        <v>-3.9669173203489616E-2</v>
      </c>
      <c r="N98" s="59"/>
      <c r="O98" s="59"/>
      <c r="P98" s="59">
        <f t="shared" ca="1" si="207"/>
        <v>-5.9197109733228237E-5</v>
      </c>
      <c r="Q98" s="61"/>
      <c r="R98" s="387"/>
      <c r="S98" s="49">
        <f t="shared" ca="1" si="212"/>
        <v>103.85338374258879</v>
      </c>
      <c r="T98" s="61">
        <f ca="1">+P98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</f>
        <v>5.8619999675471046E-2</v>
      </c>
      <c r="U98" s="61"/>
      <c r="V98" s="125">
        <f>IFERROR(INDEX('Non-Labor Expenditures'!$E$7:$AA$91,MATCH($C98,'Non-Labor Expenditures'!$C$7:$C$91,0),MATCH($G98,'Non-Labor Expenditures'!$E$5:$AA$5,0)),"NA")</f>
        <v>7639.919263414843</v>
      </c>
      <c r="W98" s="125">
        <f t="shared" si="197"/>
        <v>69.251094644901684</v>
      </c>
      <c r="X98" s="131">
        <f t="shared" si="208"/>
        <v>-3.5167652558006489E-2</v>
      </c>
      <c r="Y98" s="131">
        <f t="shared" si="209"/>
        <v>-5.2479626355137173E-5</v>
      </c>
      <c r="Z98" s="131"/>
      <c r="AA98" s="131"/>
      <c r="AB98" s="131"/>
      <c r="AC98" s="125">
        <f t="shared" si="177"/>
        <v>3690.4738643258552</v>
      </c>
      <c r="AD98" s="129"/>
      <c r="AE98" s="133">
        <v>300.61733515778724</v>
      </c>
      <c r="AF98" s="134">
        <v>2.4575516726974261E-2</v>
      </c>
      <c r="AG98" s="59">
        <f t="shared" si="198"/>
        <v>3.6673301784608553E-5</v>
      </c>
      <c r="AH98" s="134"/>
      <c r="AI98" s="134"/>
      <c r="AJ98" s="129">
        <f t="shared" si="216"/>
        <v>16605.89998868612</v>
      </c>
      <c r="AK98" s="134">
        <f t="shared" si="210"/>
        <v>6.9452548434175889E-3</v>
      </c>
      <c r="AL98" s="129"/>
      <c r="AM98" s="129"/>
      <c r="AN98" s="129"/>
      <c r="AO98" s="129"/>
      <c r="AP98" s="133">
        <f t="shared" si="211"/>
        <v>412.98962890611853</v>
      </c>
      <c r="AQ98" s="134">
        <f>+BB98/Outputs!$B$26</f>
        <v>1.0764102717311518E-3</v>
      </c>
      <c r="AR98" s="93">
        <f t="shared" si="199"/>
        <v>0.31768870489041329</v>
      </c>
      <c r="AS98" s="93">
        <f t="shared" si="200"/>
        <v>0.46007258074660506</v>
      </c>
      <c r="AT98" s="93">
        <f t="shared" si="201"/>
        <v>0.22223871436298168</v>
      </c>
      <c r="AU98" s="93">
        <f t="shared" ca="1" si="206"/>
        <v>-2.376844542820495E-2</v>
      </c>
      <c r="AV98" s="132">
        <f t="shared" ca="1" si="213"/>
        <v>134.08306957179744</v>
      </c>
      <c r="AW98" s="134">
        <f t="shared" ca="1" si="214"/>
        <v>-2.3768445428204915E-2</v>
      </c>
      <c r="AX98" s="56">
        <f>+AJ98/$AL$23</f>
        <v>1.4922698143862699E-3</v>
      </c>
      <c r="AY98" s="135">
        <f t="shared" ca="1" si="215"/>
        <v>-3.5468933647397533E-5</v>
      </c>
      <c r="AZ98" s="93"/>
      <c r="BA98" s="93"/>
      <c r="BB98" s="234">
        <f>IFERROR(INDEX('Total Customers'!$E$7:$AA$91,MATCH($C98,'Total Customers'!$C$7:$C$91,0),MATCH($G98,'Total Customers'!$E$5:$AA$5,0)),"NA")</f>
        <v>40209</v>
      </c>
      <c r="BC98" s="411">
        <f t="shared" si="171"/>
        <v>6.2118973841164497E-3</v>
      </c>
      <c r="BD98" s="92"/>
      <c r="BE98" s="281" t="str">
        <f t="shared" si="167"/>
        <v>BERKSHIRE GAS COMPANY</v>
      </c>
      <c r="BF98" s="290">
        <f t="shared" si="168"/>
        <v>4057110</v>
      </c>
      <c r="BG98" s="46" t="str">
        <f t="shared" si="169"/>
        <v>MA</v>
      </c>
      <c r="BH98" s="46"/>
      <c r="BI98" s="46" t="str">
        <f t="shared" si="170"/>
        <v>2018 Y</v>
      </c>
      <c r="BJ98" s="129"/>
      <c r="BK98" s="129"/>
      <c r="BL98" s="129">
        <f>INDEX('Dist. Plant Gas Additions'!$E$7:$AD$91,MATCH($C98,'Dist. Plant Gas Additions'!$C$7:$C$91,0),MATCH(Calculation!$G98,'Dist. Plant Gas Additions'!$E$5:$AD$5,0))</f>
        <v>4956</v>
      </c>
      <c r="BM98" s="129">
        <f>INDEX('Gen. Plant Additions'!$E$7:$AD$91,MATCH($C98,'Gen. Plant Additions'!$C$7:$C$91,0),MATCH(Calculation!$G98,'Gen. Plant Additions'!$E$5:$AD$5,0))</f>
        <v>2502</v>
      </c>
      <c r="BN98" s="393">
        <f t="shared" si="178"/>
        <v>0.71708360633737778</v>
      </c>
      <c r="BO98" s="46">
        <f t="shared" si="202"/>
        <v>1794.1431830561191</v>
      </c>
      <c r="BP98" s="46">
        <f t="shared" si="203"/>
        <v>-707.85681694388086</v>
      </c>
      <c r="BQ98" s="129"/>
      <c r="BR98" s="129"/>
      <c r="BS98" s="137">
        <v>2018</v>
      </c>
      <c r="BT98" s="129"/>
      <c r="BU98" s="333">
        <v>747.35020328085432</v>
      </c>
      <c r="BV98" s="129"/>
      <c r="BW98" s="129"/>
      <c r="BX98" s="129"/>
      <c r="BY98" s="129">
        <f>INDEX('Gross Dx Plant'!$D$7:$AC$91,MATCH($C98,'Gross Dx Plant'!$C$7:$C$91,0),MATCH(Calculation!$G98,'Gross Dx Plant'!$D$5:$AC$5,0))</f>
        <v>90838</v>
      </c>
      <c r="BZ98" s="129">
        <f>INDEX('Gross Gen Plant'!$D$7:$AC$91,MATCH($C98,'Gross Gen Plant'!$C$7:$C$91,0),MATCH(Calculation!$G98,'Gross Gen Plant'!$D$5:$AC$5,0))</f>
        <v>35839</v>
      </c>
      <c r="CA98" s="129">
        <f t="shared" si="172"/>
        <v>126677</v>
      </c>
      <c r="CB98" s="129"/>
      <c r="CC98" s="133">
        <v>2018</v>
      </c>
      <c r="CD98" s="129"/>
      <c r="CE98" s="129"/>
      <c r="CF98" s="129"/>
      <c r="CG98" s="137"/>
      <c r="CH98" s="129">
        <f t="shared" si="179"/>
        <v>7458</v>
      </c>
      <c r="CI98" s="46">
        <f t="shared" si="188"/>
        <v>6750.1431830561196</v>
      </c>
      <c r="CJ98" s="46">
        <f t="shared" si="180"/>
        <v>8.9389683415674064</v>
      </c>
      <c r="CK98" s="443">
        <v>0.75609756097560976</v>
      </c>
      <c r="CL98" s="46">
        <f>+CL78*CK98++CJ79*CK97+CJ80*CK96+CJ81*CK95+CJ82*CK94+CJ83*CK93+CJ84*CK92+CJ85*CK91+CJ86*CK90+CJ87*CK89+CJ88*CK88+CJ89*CK87+CJ90*CK86+CJ91*CK85+CJ92*CK84+CJ93*CK83+CJ94*CK82+CJ95*CK81+CJ96*CK80+CJ97*CK79+CJ98</f>
        <v>266.1999632764244</v>
      </c>
      <c r="CM98" s="134">
        <f t="shared" si="181"/>
        <v>1.8122341047140087E-2</v>
      </c>
      <c r="CN98" s="135">
        <f t="shared" si="182"/>
        <v>1.5906447614570222E-2</v>
      </c>
      <c r="CO98" s="135">
        <f t="shared" si="192"/>
        <v>1.5645964565662775E-2</v>
      </c>
      <c r="CP98" s="134">
        <f>VLOOKUP($H98,RoR!$E:$F,2,FALSE)</f>
        <v>3.9299999999999995E-2</v>
      </c>
      <c r="CQ98" s="135">
        <v>2.386056741932796E-2</v>
      </c>
      <c r="CR98" s="135">
        <f t="shared" si="189"/>
        <v>1.5439432580672034E-2</v>
      </c>
      <c r="CS98" s="135">
        <f t="shared" si="193"/>
        <v>1.525597704287085E-2</v>
      </c>
      <c r="CT98" s="56">
        <v>3.8270792163076606E-2</v>
      </c>
      <c r="CU98" s="139">
        <f t="shared" si="183"/>
        <v>0.90120814999999999</v>
      </c>
      <c r="CV98" s="335">
        <f t="shared" si="184"/>
        <v>1.3048868010700074</v>
      </c>
      <c r="CW98" s="335">
        <f t="shared" si="185"/>
        <v>0.33886768447837151</v>
      </c>
      <c r="CX98" s="335">
        <f t="shared" si="186"/>
        <v>0.78602506232557801</v>
      </c>
      <c r="CY98" s="335">
        <f t="shared" si="187"/>
        <v>0.34756768162358759</v>
      </c>
      <c r="CZ98" s="336">
        <f>INDEX('State Tax Lookup'!$D$7:$Z$91,MATCH(Calculation!$C98,'State Tax Lookup'!$B$7:$B$91,0),MATCH($H98,'State Tax Lookup'!$D$6:$Z$6,0))</f>
        <v>0.26700499999999999</v>
      </c>
      <c r="DA98" s="303">
        <v>0.37</v>
      </c>
      <c r="DB98" s="57">
        <f t="shared" si="191"/>
        <v>14.117070238532055</v>
      </c>
      <c r="DC98" s="56">
        <f t="shared" si="194"/>
        <v>3.7486698225292013E-2</v>
      </c>
      <c r="DD98" s="303">
        <f>VLOOKUP($H98,RoR!$E:$F,2,FALSE)</f>
        <v>3.9299999999999995E-2</v>
      </c>
      <c r="DE98" s="304">
        <f>HLOOKUP($H98,'GDP-PI'!$D$8:$CQ$11,3,FALSE)</f>
        <v>2.386056741932796E-2</v>
      </c>
      <c r="DF98" s="303">
        <f>VLOOKUP(H98,'HW Dx Data'!$E:$F,2,FALSE)</f>
        <v>755.13671434174842</v>
      </c>
      <c r="DG98" s="89">
        <f ca="1">VLOOKUP(CC98,'ECI - Input Price'!M$13:N$33,2,FALSE)</f>
        <v>144.44999999999999</v>
      </c>
      <c r="DH98" s="89"/>
      <c r="DI98" s="89"/>
      <c r="DJ98" s="56">
        <f t="shared" ca="1" si="204"/>
        <v>2.80818733619915E-2</v>
      </c>
      <c r="DK98" s="53">
        <f>HLOOKUP(H98,'GDP-PI'!$8:$9,2,FALSE)</f>
        <v>110.322</v>
      </c>
      <c r="DL98" s="355">
        <f t="shared" si="195"/>
        <v>2.3580352716508712E-2</v>
      </c>
      <c r="DP98" s="398"/>
      <c r="DQ98" s="398"/>
      <c r="DR98" s="398"/>
      <c r="DS98" s="398"/>
      <c r="DT98" s="398"/>
      <c r="DU98" s="398"/>
      <c r="DV98" s="398"/>
      <c r="DW98" s="398"/>
      <c r="DX98" s="398"/>
      <c r="EC98">
        <f t="shared" si="190"/>
        <v>2018</v>
      </c>
    </row>
    <row r="99" spans="1:133" s="126" customFormat="1" ht="21" customHeight="1" x14ac:dyDescent="0.4">
      <c r="A99" s="233" t="s">
        <v>185</v>
      </c>
      <c r="B99" s="127" t="s">
        <v>186</v>
      </c>
      <c r="C99" s="127">
        <v>4057110</v>
      </c>
      <c r="D99" s="127" t="s">
        <v>187</v>
      </c>
      <c r="E99" s="127" t="s">
        <v>15</v>
      </c>
      <c r="F99" s="127"/>
      <c r="G99" s="127" t="s">
        <v>175</v>
      </c>
      <c r="H99" s="128">
        <v>2019</v>
      </c>
      <c r="I99" s="129"/>
      <c r="J99" s="125">
        <f>IFERROR(INDEX('Labor Expenditures'!$E$7:$W$91,MATCH($C99,'Labor Expenditures'!$C$7:$C$91,0),MATCH($G99,'Labor Expenditures'!$E$5:$W$5,0)),"NA")</f>
        <v>5169.9679584946898</v>
      </c>
      <c r="K99" s="125">
        <f t="shared" ca="1" si="196"/>
        <v>34.541292523766089</v>
      </c>
      <c r="L99" s="47"/>
      <c r="M99" s="131">
        <f t="shared" ca="1" si="205"/>
        <v>-5.5741121110322728E-2</v>
      </c>
      <c r="N99" s="59"/>
      <c r="O99" s="59"/>
      <c r="P99" s="59">
        <f t="shared" ca="1" si="207"/>
        <v>-8.0371031359048394E-5</v>
      </c>
      <c r="Q99" s="61"/>
      <c r="R99" s="387"/>
      <c r="S99" s="49">
        <f t="shared" ca="1" si="212"/>
        <v>103.02168771341366</v>
      </c>
      <c r="T99" s="61">
        <f ca="1">+P99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</f>
        <v>-8.0406063830960415E-3</v>
      </c>
      <c r="U99" s="61"/>
      <c r="V99" s="125">
        <f>IFERROR(INDEX('Non-Labor Expenditures'!$E$7:$AA$91,MATCH($C99,'Non-Labor Expenditures'!$C$7:$C$91,0),MATCH($G99,'Non-Labor Expenditures'!$E$5:$AA$5,0)),"NA")</f>
        <v>7487.0792207182603</v>
      </c>
      <c r="W99" s="125">
        <f t="shared" si="197"/>
        <v>66.659655805109253</v>
      </c>
      <c r="X99" s="131">
        <f t="shared" si="208"/>
        <v>-3.8139042662553087E-2</v>
      </c>
      <c r="Y99" s="131">
        <f t="shared" si="209"/>
        <v>-5.4991254800371763E-5</v>
      </c>
      <c r="Z99" s="131"/>
      <c r="AA99" s="131"/>
      <c r="AB99" s="131"/>
      <c r="AC99" s="125">
        <f t="shared" si="177"/>
        <v>3770.2547096857147</v>
      </c>
      <c r="AD99" s="129"/>
      <c r="AE99" s="133">
        <v>305.78636077111298</v>
      </c>
      <c r="AF99" s="134">
        <v>1.7048546526995539E-2</v>
      </c>
      <c r="AG99" s="59">
        <f t="shared" si="198"/>
        <v>2.4581659648277225E-5</v>
      </c>
      <c r="AH99" s="134"/>
      <c r="AI99" s="134"/>
      <c r="AJ99" s="129">
        <f t="shared" si="216"/>
        <v>16427.301888898666</v>
      </c>
      <c r="AK99" s="134">
        <f t="shared" si="210"/>
        <v>-1.0813353226541943E-2</v>
      </c>
      <c r="AL99" s="129"/>
      <c r="AM99" s="129"/>
      <c r="AN99" s="129"/>
      <c r="AO99" s="129"/>
      <c r="AP99" s="133">
        <f t="shared" si="211"/>
        <v>408.17228765339826</v>
      </c>
      <c r="AQ99" s="134">
        <f>+BB99/Outputs!$B$27</f>
        <v>1.0685152552283533E-3</v>
      </c>
      <c r="AR99" s="93">
        <f t="shared" si="199"/>
        <v>0.31471802207448807</v>
      </c>
      <c r="AS99" s="93">
        <f t="shared" si="200"/>
        <v>0.4557704771821306</v>
      </c>
      <c r="AT99" s="93">
        <f t="shared" si="201"/>
        <v>0.22951150074338125</v>
      </c>
      <c r="AU99" s="93">
        <f t="shared" ca="1" si="206"/>
        <v>-3.1239376428229715E-2</v>
      </c>
      <c r="AV99" s="132">
        <f t="shared" ca="1" si="213"/>
        <v>129.95914783259053</v>
      </c>
      <c r="AW99" s="134">
        <f t="shared" ca="1" si="214"/>
        <v>-3.1239376428229607E-2</v>
      </c>
      <c r="AX99" s="56">
        <f>+AJ99/$AL$24</f>
        <v>1.4418624842506879E-3</v>
      </c>
      <c r="AY99" s="135">
        <f t="shared" ca="1" si="215"/>
        <v>-4.5042884903249519E-5</v>
      </c>
      <c r="AZ99" s="93"/>
      <c r="BA99" s="93"/>
      <c r="BB99" s="234">
        <f>IFERROR(INDEX('Total Customers'!$E$7:$AA$91,MATCH($C99,'Total Customers'!$C$7:$C$91,0),MATCH($G99,'Total Customers'!$E$5:$AA$5,0)),"NA")</f>
        <v>40246</v>
      </c>
      <c r="BC99" s="411">
        <f t="shared" si="171"/>
        <v>9.1976887970728744E-4</v>
      </c>
      <c r="BD99" s="92"/>
      <c r="BE99" s="281" t="str">
        <f t="shared" si="167"/>
        <v>BERKSHIRE GAS COMPANY</v>
      </c>
      <c r="BF99" s="290">
        <f t="shared" si="168"/>
        <v>4057110</v>
      </c>
      <c r="BG99" s="46" t="str">
        <f t="shared" si="169"/>
        <v>MA</v>
      </c>
      <c r="BH99" s="46"/>
      <c r="BI99" s="46" t="str">
        <f t="shared" si="170"/>
        <v>2019 Y</v>
      </c>
      <c r="BJ99" s="129"/>
      <c r="BK99" s="129"/>
      <c r="BL99" s="129">
        <f>INDEX('Dist. Plant Gas Additions'!$E$7:$AD$91,MATCH($C99,'Dist. Plant Gas Additions'!$C$7:$C$91,0),MATCH(Calculation!$G99,'Dist. Plant Gas Additions'!$E$5:$AD$5,0))</f>
        <v>4079</v>
      </c>
      <c r="BM99" s="129">
        <f>INDEX('Gen. Plant Additions'!$E$7:$AD$91,MATCH($C99,'Gen. Plant Additions'!$C$7:$C$91,0),MATCH(Calculation!$G99,'Gen. Plant Additions'!$E$5:$AD$5,0))</f>
        <v>2031</v>
      </c>
      <c r="BN99" s="393">
        <f t="shared" si="178"/>
        <v>0.73273144474705665</v>
      </c>
      <c r="BO99" s="46">
        <f t="shared" si="202"/>
        <v>1488.177564281272</v>
      </c>
      <c r="BP99" s="46">
        <f t="shared" si="203"/>
        <v>-542.822435718728</v>
      </c>
      <c r="BQ99" s="129"/>
      <c r="BR99" s="129"/>
      <c r="BS99" s="137">
        <v>2019</v>
      </c>
      <c r="BT99" s="129"/>
      <c r="BU99" s="333">
        <v>765.87924552647178</v>
      </c>
      <c r="BV99" s="129"/>
      <c r="BW99" s="129"/>
      <c r="BX99" s="129"/>
      <c r="BY99" s="129">
        <f>INDEX('Gross Dx Plant'!$D$7:$AC$91,MATCH($C99,'Gross Dx Plant'!$C$7:$C$91,0),MATCH(Calculation!$G99,'Gross Dx Plant'!$D$5:$AC$5,0))</f>
        <v>102504</v>
      </c>
      <c r="BZ99" s="129">
        <f>INDEX('Gross Gen Plant'!$D$7:$AC$91,MATCH($C99,'Gross Gen Plant'!$C$7:$C$91,0),MATCH(Calculation!$G99,'Gross Gen Plant'!$D$5:$AC$5,0))</f>
        <v>37389</v>
      </c>
      <c r="CA99" s="129">
        <f t="shared" si="172"/>
        <v>139893</v>
      </c>
      <c r="CB99" s="129"/>
      <c r="CC99" s="133">
        <v>2019</v>
      </c>
      <c r="CD99" s="129"/>
      <c r="CE99" s="129"/>
      <c r="CF99" s="129"/>
      <c r="CG99" s="137"/>
      <c r="CH99" s="129">
        <f t="shared" si="179"/>
        <v>6110</v>
      </c>
      <c r="CI99" s="46">
        <f t="shared" si="188"/>
        <v>5567.1775642812718</v>
      </c>
      <c r="CJ99" s="46">
        <f t="shared" si="180"/>
        <v>7.197019697785934</v>
      </c>
      <c r="CK99" s="443">
        <v>0.7407407407407407</v>
      </c>
      <c r="CL99" s="46">
        <f>CL78*CK99+CJ79*CK98+CJ80*CK97+CJ81*CK96+CJ82*CK95+CJ83*CK94+CJ84*CK93+CJ85*CK92+CJ86*CK91+CJ87*CK90+CJ88*CK89+CJ89*CK88+CJ90*CK87+CJ91*CK86+CJ92*CK85+CJ93*CK84+CJ94*CK83+CJ95*CK82+CJ96*CK81+CJ97*CK80+CJ98*CK79+CJ99</f>
        <v>269.05249331646058</v>
      </c>
      <c r="CM99" s="134">
        <f t="shared" si="181"/>
        <v>1.0658734998231298E-2</v>
      </c>
      <c r="CN99" s="135">
        <f t="shared" si="182"/>
        <v>1.6320399162633961E-2</v>
      </c>
      <c r="CO99" s="135">
        <f t="shared" si="192"/>
        <v>1.594720357681368E-2</v>
      </c>
      <c r="CP99" s="134">
        <f>VLOOKUP($H99,RoR!$E:$F,2,FALSE)</f>
        <v>3.3875000000000009E-2</v>
      </c>
      <c r="CQ99" s="135">
        <v>1.8092492884465461E-2</v>
      </c>
      <c r="CR99" s="135">
        <f t="shared" si="189"/>
        <v>1.5782507115534548E-2</v>
      </c>
      <c r="CS99" s="135">
        <f t="shared" si="193"/>
        <v>1.4954738031719945E-2</v>
      </c>
      <c r="CT99" s="56">
        <v>4.8445665544254078E-2</v>
      </c>
      <c r="CU99" s="139">
        <f t="shared" si="183"/>
        <v>0.90120814999999999</v>
      </c>
      <c r="CV99" s="335">
        <f t="shared" si="184"/>
        <v>1.513861292459078</v>
      </c>
      <c r="CW99" s="335">
        <f t="shared" si="185"/>
        <v>0.23699261992619944</v>
      </c>
      <c r="CX99" s="335">
        <f t="shared" si="186"/>
        <v>0.73619765810468829</v>
      </c>
      <c r="CY99" s="335">
        <f t="shared" si="187"/>
        <v>0.26412854465362851</v>
      </c>
      <c r="CZ99" s="336">
        <f>INDEX('State Tax Lookup'!$D$7:$Z$91,MATCH(Calculation!$C99,'State Tax Lookup'!$B$7:$B$91,0),MATCH($H99,'State Tax Lookup'!$D$6:$Z$6,0))</f>
        <v>0.26700499999999999</v>
      </c>
      <c r="DA99" s="303">
        <v>0.37</v>
      </c>
      <c r="DB99" s="57">
        <f t="shared" si="191"/>
        <v>14.163242786666537</v>
      </c>
      <c r="DC99" s="56">
        <f t="shared" si="194"/>
        <v>3.2653520574301097E-3</v>
      </c>
      <c r="DD99" s="303">
        <f>VLOOKUP($H99,RoR!$E:$F,2,FALSE)</f>
        <v>3.3875000000000009E-2</v>
      </c>
      <c r="DE99" s="304">
        <f>HLOOKUP($H99,'GDP-PI'!$D$8:$CQ$11,3,FALSE)</f>
        <v>1.8092492884465461E-2</v>
      </c>
      <c r="DF99" s="303">
        <f>VLOOKUP(H99,'HW Dx Data'!$E:$F,2,FALSE)</f>
        <v>773.53929793938721</v>
      </c>
      <c r="DG99" s="89">
        <f ca="1">VLOOKUP(CC99,'ECI - Input Price'!M$13:N$33,2,FALSE)</f>
        <v>149.67500000000001</v>
      </c>
      <c r="DH99" s="89"/>
      <c r="DI99" s="89"/>
      <c r="DJ99" s="56">
        <f t="shared" ca="1" si="204"/>
        <v>3.5532849899171604E-2</v>
      </c>
      <c r="DK99" s="53">
        <f>HLOOKUP(H99,'GDP-PI'!$8:$9,2,FALSE)</f>
        <v>112.318</v>
      </c>
      <c r="DL99" s="355">
        <f t="shared" si="195"/>
        <v>1.7930771451401852E-2</v>
      </c>
      <c r="DP99" s="398"/>
      <c r="DQ99" s="398"/>
      <c r="DR99" s="398"/>
      <c r="DS99" s="398"/>
      <c r="DT99" s="398"/>
      <c r="DU99" s="398"/>
      <c r="DV99" s="398"/>
      <c r="DW99" s="398"/>
      <c r="DX99" s="398"/>
      <c r="EC99">
        <f t="shared" si="190"/>
        <v>2019</v>
      </c>
    </row>
    <row r="100" spans="1:133" s="126" customFormat="1" ht="21" customHeight="1" x14ac:dyDescent="0.4">
      <c r="A100" s="233" t="s">
        <v>185</v>
      </c>
      <c r="B100" s="126" t="s">
        <v>186</v>
      </c>
      <c r="C100" s="126">
        <v>4057110</v>
      </c>
      <c r="D100" s="126" t="s">
        <v>187</v>
      </c>
      <c r="E100" s="126" t="s">
        <v>15</v>
      </c>
      <c r="G100" s="127" t="s">
        <v>176</v>
      </c>
      <c r="H100" s="128">
        <v>2020</v>
      </c>
      <c r="I100" s="129"/>
      <c r="J100" s="125">
        <f>IFERROR(INDEX('Labor Expenditures'!$E$7:$W$91,MATCH($C100,'Labor Expenditures'!$C$7:$C$91,0),MATCH($G100,'Labor Expenditures'!$E$5:$W$5,0)),"NA")</f>
        <v>5550.8039337216997</v>
      </c>
      <c r="K100" s="125">
        <f t="shared" ca="1" si="196"/>
        <v>36.244230713168129</v>
      </c>
      <c r="L100" s="47"/>
      <c r="M100" s="131">
        <f t="shared" ca="1" si="205"/>
        <v>4.812472280573122E-2</v>
      </c>
      <c r="N100" s="59"/>
      <c r="O100" s="59"/>
      <c r="P100" s="59">
        <f t="shared" ca="1" si="207"/>
        <v>7.2551259649139378E-5</v>
      </c>
      <c r="Q100" s="61"/>
      <c r="R100" s="387"/>
      <c r="S100" s="49">
        <f t="shared" ca="1" si="212"/>
        <v>100.28175237808711</v>
      </c>
      <c r="T100" s="61">
        <f ca="1">+P100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</f>
        <v>-2.6955778400629706E-2</v>
      </c>
      <c r="U100" s="61"/>
      <c r="V100" s="125">
        <f>IFERROR(INDEX('Non-Labor Expenditures'!$E$7:$AA$91,MATCH($C100,'Non-Labor Expenditures'!$C$7:$C$91,0),MATCH($G100,'Non-Labor Expenditures'!$E$5:$AA$5,0)),"NA")</f>
        <v>8038.6008431954597</v>
      </c>
      <c r="W100" s="125">
        <f t="shared" si="197"/>
        <v>70.748007385788611</v>
      </c>
      <c r="X100" s="131">
        <f t="shared" si="208"/>
        <v>5.9524462541706992E-2</v>
      </c>
      <c r="Y100" s="131">
        <f t="shared" si="209"/>
        <v>8.9737134793939043E-5</v>
      </c>
      <c r="Z100" s="131"/>
      <c r="AA100" s="131"/>
      <c r="AB100" s="131"/>
      <c r="AC100" s="125">
        <f t="shared" si="177"/>
        <v>3901.5355748694742</v>
      </c>
      <c r="AD100" s="129"/>
      <c r="AE100" s="133">
        <v>310.95351025510593</v>
      </c>
      <c r="AF100" s="134">
        <v>1.6756725589660119E-2</v>
      </c>
      <c r="AG100" s="59">
        <f t="shared" si="198"/>
        <v>2.526189198081008E-5</v>
      </c>
      <c r="AH100" s="134"/>
      <c r="AI100" s="134"/>
      <c r="AJ100" s="129">
        <f t="shared" si="216"/>
        <v>17490.940351786634</v>
      </c>
      <c r="AK100" s="134">
        <f t="shared" si="210"/>
        <v>6.2738352701886685E-2</v>
      </c>
      <c r="AL100" s="129"/>
      <c r="AM100" s="129"/>
      <c r="AN100" s="129"/>
      <c r="AO100" s="129"/>
      <c r="AP100" s="133">
        <f t="shared" si="211"/>
        <v>434.60071440109914</v>
      </c>
      <c r="AQ100" s="134">
        <f>+BB100/Outputs!$B$28</f>
        <v>1.0609698618495762E-3</v>
      </c>
      <c r="AR100" s="93">
        <f t="shared" si="199"/>
        <v>0.3173530880605116</v>
      </c>
      <c r="AS100" s="93">
        <f t="shared" si="200"/>
        <v>0.45958654489233031</v>
      </c>
      <c r="AT100" s="93">
        <f t="shared" si="201"/>
        <v>0.22306036704715804</v>
      </c>
      <c r="AU100" s="93">
        <f t="shared" ca="1" si="206"/>
        <v>4.6244002169841689E-2</v>
      </c>
      <c r="AV100" s="132">
        <f t="shared" ca="1" si="213"/>
        <v>136.11010527483154</v>
      </c>
      <c r="AW100" s="134">
        <f t="shared" ca="1" si="214"/>
        <v>4.6244002169841703E-2</v>
      </c>
      <c r="AX100" s="56">
        <f>+AJ100/$AL$25</f>
        <v>1.5075673254682971E-3</v>
      </c>
      <c r="AY100" s="135">
        <f t="shared" ca="1" si="215"/>
        <v>6.9715946670138377E-5</v>
      </c>
      <c r="AZ100" s="93"/>
      <c r="BA100" s="93"/>
      <c r="BB100" s="234">
        <v>40246</v>
      </c>
      <c r="BC100" s="411">
        <f t="shared" si="171"/>
        <v>0</v>
      </c>
      <c r="BD100" s="92"/>
      <c r="BE100" s="281" t="str">
        <f t="shared" si="167"/>
        <v>BERKSHIRE GAS COMPANY</v>
      </c>
      <c r="BF100" s="290">
        <f t="shared" si="168"/>
        <v>4057110</v>
      </c>
      <c r="BG100" s="46" t="str">
        <f t="shared" si="169"/>
        <v>MA</v>
      </c>
      <c r="BH100" s="46"/>
      <c r="BI100" s="46" t="str">
        <f t="shared" si="170"/>
        <v>2020 Y</v>
      </c>
      <c r="BJ100" s="129"/>
      <c r="BK100" s="129"/>
      <c r="BL100" s="129">
        <f>INDEX('Dist. Plant Gas Additions'!$E$7:$AD$91,MATCH($C100,'Dist. Plant Gas Additions'!$C$7:$C$91,0),MATCH(Calculation!$G100,'Dist. Plant Gas Additions'!$E$5:$AD$5,0))</f>
        <v>4902</v>
      </c>
      <c r="BM100" s="129">
        <f>INDEX('Gen. Plant Additions'!$E$7:$AD$91,MATCH($C100,'Gen. Plant Additions'!$C$7:$C$91,0),MATCH(Calculation!$G100,'Gen. Plant Additions'!$E$5:$AD$5,0))</f>
        <v>1640</v>
      </c>
      <c r="BN100" s="393">
        <f t="shared" si="178"/>
        <v>0.73187966610650435</v>
      </c>
      <c r="BO100" s="46">
        <f t="shared" si="202"/>
        <v>1200.2826524146672</v>
      </c>
      <c r="BP100" s="46">
        <f t="shared" si="203"/>
        <v>-439.71734758533285</v>
      </c>
      <c r="BQ100" s="129"/>
      <c r="BR100" s="129"/>
      <c r="BS100" s="137">
        <v>2020</v>
      </c>
      <c r="BT100" s="129"/>
      <c r="BU100" s="333">
        <v>806.38389686319499</v>
      </c>
      <c r="BV100" s="129"/>
      <c r="BW100" s="129"/>
      <c r="BX100" s="129"/>
      <c r="BY100" s="129">
        <f>INDEX('Gross Dx Plant'!$D$7:$AC$91,MATCH($C100,'Gross Dx Plant'!$C$7:$C$91,0),MATCH(Calculation!$G100,'Gross Dx Plant'!$D$5:$AC$5,0))</f>
        <v>106266</v>
      </c>
      <c r="BZ100" s="129">
        <f>INDEX('Gross Gen Plant'!$D$7:$AC$91,MATCH($C100,'Gross Gen Plant'!$C$7:$C$91,0),MATCH(Calculation!$G100,'Gross Gen Plant'!$D$5:$AC$5,0))</f>
        <v>38930</v>
      </c>
      <c r="CA100" s="129">
        <f t="shared" si="172"/>
        <v>145196</v>
      </c>
      <c r="CB100" s="129"/>
      <c r="CC100" s="133">
        <v>2020</v>
      </c>
      <c r="CD100" s="129"/>
      <c r="CE100" s="129"/>
      <c r="CF100" s="129"/>
      <c r="CG100" s="137"/>
      <c r="CH100" s="129">
        <f t="shared" si="179"/>
        <v>6542</v>
      </c>
      <c r="CI100" s="46">
        <f t="shared" si="188"/>
        <v>6102.2826524146676</v>
      </c>
      <c r="CJ100" s="46">
        <f t="shared" si="180"/>
        <v>7.5051427081442688</v>
      </c>
      <c r="CK100" s="443">
        <v>0.72499999999999998</v>
      </c>
      <c r="CL100" s="46">
        <f>CL78*CK100+CJ79*CK99+CJ80*CK98+CJ81*CK97+CJ82*CK96+CJ83*CK95+CJ84*CK94+CJ85*CK93+CJ86*CK92+CJ87*CK91+CJ88*CK90+CJ89*CK89+CJ90*CK88+CJ91*CK87+CJ92*CK86+CJ93*CK85+CJ94*CK84+CJ95*CK83+CJ96*CK82+CJ97*CK81+CJ98*CK80+CJ99*CK79+CJ100</f>
        <v>272.0388808163633</v>
      </c>
      <c r="CM100" s="134">
        <f t="shared" si="181"/>
        <v>1.1038497253854425E-2</v>
      </c>
      <c r="CN100" s="135">
        <f t="shared" si="182"/>
        <v>1.6795069068274986E-2</v>
      </c>
      <c r="CO100" s="135">
        <f t="shared" si="192"/>
        <v>1.6340638615159723E-2</v>
      </c>
      <c r="CP100" s="134">
        <f>VLOOKUP($H100,RoR!$E:$F,2,FALSE)</f>
        <v>2.4766666666666666E-2</v>
      </c>
      <c r="CQ100" s="135">
        <v>1.1618796630994188E-2</v>
      </c>
      <c r="CR100" s="135">
        <f t="shared" si="189"/>
        <v>1.3147870035672478E-2</v>
      </c>
      <c r="CS100" s="135">
        <f t="shared" si="193"/>
        <v>1.4561302993373902E-2</v>
      </c>
      <c r="CT100" s="56">
        <v>4.5144642961987357E-2</v>
      </c>
      <c r="CU100" s="139">
        <f t="shared" si="183"/>
        <v>0.90120814999999999</v>
      </c>
      <c r="CV100" s="335">
        <f t="shared" si="184"/>
        <v>2.0706077233668081</v>
      </c>
      <c r="CW100" s="335">
        <f t="shared" si="185"/>
        <v>-3.4421265141318998E-2</v>
      </c>
      <c r="CX100" s="335">
        <f t="shared" si="186"/>
        <v>0.62416226176410472</v>
      </c>
      <c r="CY100" s="335">
        <f t="shared" si="187"/>
        <v>-4.4485877841158712E-2</v>
      </c>
      <c r="CZ100" s="336">
        <f>INDEX('State Tax Lookup'!$D$7:$Z$91,MATCH(Calculation!$C100,'State Tax Lookup'!$B$7:$B$91,0),MATCH($H100,'State Tax Lookup'!$D$6:$Z$6,0))</f>
        <v>0.26700499999999999</v>
      </c>
      <c r="DA100" s="303">
        <v>0.37</v>
      </c>
      <c r="DB100" s="57">
        <f t="shared" si="191"/>
        <v>14.501019956282185</v>
      </c>
      <c r="DC100" s="56">
        <f t="shared" si="194"/>
        <v>2.3568916360713139E-2</v>
      </c>
      <c r="DD100" s="303">
        <f>VLOOKUP($H100,RoR!$E:$F,2,FALSE)</f>
        <v>2.4766666666666666E-2</v>
      </c>
      <c r="DE100" s="304">
        <f>HLOOKUP($H100,'GDP-PI'!$D$8:$CQ$11,3,FALSE)</f>
        <v>1.1618796630994188E-2</v>
      </c>
      <c r="DF100" s="303">
        <f>VLOOKUP(H100,'HW Dx Data'!$E:$F,2,FALSE)</f>
        <v>813.080162458833</v>
      </c>
      <c r="DG100" s="89">
        <f ca="1">VLOOKUP(CC100,'ECI - Input Price'!M$13:N$33,2,FALSE)</f>
        <v>153.15</v>
      </c>
      <c r="DH100" s="89"/>
      <c r="DI100" s="89"/>
      <c r="DJ100" s="56">
        <f t="shared" ca="1" si="204"/>
        <v>2.2951556467368479E-2</v>
      </c>
      <c r="DK100" s="53">
        <f>HLOOKUP(H100,'GDP-PI'!$8:$9,2,FALSE)</f>
        <v>113.623</v>
      </c>
      <c r="DL100" s="355">
        <f t="shared" si="195"/>
        <v>1.1551816731392881E-2</v>
      </c>
      <c r="DP100" s="398"/>
      <c r="DQ100" s="398"/>
      <c r="DR100" s="398"/>
      <c r="DS100" s="398"/>
      <c r="DT100" s="398"/>
      <c r="DU100" s="398"/>
      <c r="DV100" s="398"/>
      <c r="DW100" s="398"/>
      <c r="DX100" s="398"/>
      <c r="EC100">
        <f t="shared" si="190"/>
        <v>2020</v>
      </c>
    </row>
    <row r="101" spans="1:133" s="126" customFormat="1" ht="21" customHeight="1" x14ac:dyDescent="0.4">
      <c r="A101" s="233" t="s">
        <v>185</v>
      </c>
      <c r="B101" s="126" t="s">
        <v>186</v>
      </c>
      <c r="C101" s="126">
        <v>4057110</v>
      </c>
      <c r="D101" s="126" t="s">
        <v>187</v>
      </c>
      <c r="E101" s="126" t="s">
        <v>15</v>
      </c>
      <c r="G101" s="127" t="s">
        <v>177</v>
      </c>
      <c r="H101" s="128">
        <v>2021</v>
      </c>
      <c r="I101" s="129"/>
      <c r="J101" s="125">
        <v>6316.4267603490844</v>
      </c>
      <c r="K101" s="125">
        <f t="shared" ca="1" si="196"/>
        <v>40.168055709692112</v>
      </c>
      <c r="L101" s="47"/>
      <c r="M101" s="130">
        <f t="shared" ca="1" si="205"/>
        <v>0.10279182975433998</v>
      </c>
      <c r="N101" s="59"/>
      <c r="O101" s="59"/>
      <c r="P101" s="59">
        <f t="shared" ca="1" si="207"/>
        <v>1.372469710664579E-4</v>
      </c>
      <c r="Q101" s="61"/>
      <c r="R101" s="387"/>
      <c r="S101" s="132">
        <f ca="1">+S100*EXP(T101)</f>
        <v>105.32265632315831</v>
      </c>
      <c r="T101" s="134">
        <f ca="1">+P101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</f>
        <v>4.9044807771777409E-2</v>
      </c>
      <c r="U101" s="134"/>
      <c r="V101" s="125">
        <v>8903.8786862752168</v>
      </c>
      <c r="W101" s="125">
        <f t="shared" si="197"/>
        <v>75.144558074733879</v>
      </c>
      <c r="X101" s="131">
        <f t="shared" si="208"/>
        <v>6.0289327433487881E-2</v>
      </c>
      <c r="Y101" s="131">
        <f t="shared" si="209"/>
        <v>8.0497911143864593E-5</v>
      </c>
      <c r="Z101" s="131"/>
      <c r="AA101" s="131"/>
      <c r="AB101" s="131"/>
      <c r="AC101" s="125">
        <f t="shared" si="177"/>
        <v>1930.4873758698923</v>
      </c>
      <c r="AD101" s="129"/>
      <c r="AE101" s="133">
        <v>306.39842588244659</v>
      </c>
      <c r="AF101" s="134">
        <v>-1.4757115901149444E-2</v>
      </c>
      <c r="AG101" s="59">
        <f t="shared" si="198"/>
        <v>-1.9703603525200506E-5</v>
      </c>
      <c r="AH101" s="134"/>
      <c r="AI101" s="134"/>
      <c r="AJ101" s="129">
        <f t="shared" si="216"/>
        <v>17150.792822494193</v>
      </c>
      <c r="AK101" s="134">
        <f t="shared" si="210"/>
        <v>-1.9638651435649704E-2</v>
      </c>
      <c r="AL101" s="129"/>
      <c r="AM101" s="134"/>
      <c r="AN101" s="134"/>
      <c r="AO101" s="134"/>
      <c r="AP101" s="133">
        <f t="shared" si="211"/>
        <v>432.5874044062399</v>
      </c>
      <c r="AQ101" s="134">
        <f>+BB101/Outputs!$B$29</f>
        <v>1.0269573895343119E-3</v>
      </c>
      <c r="AR101" s="93">
        <f t="shared" si="199"/>
        <v>0.36828774189754943</v>
      </c>
      <c r="AS101" s="93">
        <f t="shared" si="200"/>
        <v>0.51915260002425645</v>
      </c>
      <c r="AT101" s="93">
        <f t="shared" si="201"/>
        <v>0.11255965807819412</v>
      </c>
      <c r="AU101" s="93">
        <f t="shared" ca="1" si="206"/>
        <v>6.2266508317999958E-2</v>
      </c>
      <c r="AV101" s="132">
        <f t="shared" ca="1" si="213"/>
        <v>144.85462656845564</v>
      </c>
      <c r="AW101" s="134">
        <f t="shared" ca="1" si="214"/>
        <v>6.2266508317999944E-2</v>
      </c>
      <c r="AX101" s="56">
        <f>+AJ101/$AL$26</f>
        <v>1.3351933844787229E-3</v>
      </c>
      <c r="AY101" s="135">
        <f t="shared" ca="1" si="215"/>
        <v>8.31378299807829E-5</v>
      </c>
      <c r="AZ101" s="93"/>
      <c r="BA101" s="93"/>
      <c r="BB101" s="234">
        <f>INDEX('Total Customers'!$D$7:$D$91,MATCH(Calculation!$C101,'Total Customers'!$C$7:$C$91,0))</f>
        <v>39647</v>
      </c>
      <c r="BC101" s="411">
        <f t="shared" si="171"/>
        <v>-1.499533686871141E-2</v>
      </c>
      <c r="BD101" s="91"/>
      <c r="BE101" s="281" t="str">
        <f t="shared" si="167"/>
        <v>BERKSHIRE GAS COMPANY</v>
      </c>
      <c r="BF101" s="290">
        <f t="shared" si="168"/>
        <v>4057110</v>
      </c>
      <c r="BG101" s="46" t="str">
        <f t="shared" si="169"/>
        <v>MA</v>
      </c>
      <c r="BH101" s="46"/>
      <c r="BI101" s="46" t="str">
        <f t="shared" si="170"/>
        <v>2021 Y</v>
      </c>
      <c r="BJ101" s="129"/>
      <c r="BK101" s="129"/>
      <c r="BL101" s="129">
        <f>INDEX('Dist. Plant Gas Additions'!$D$7:$AD$91,MATCH($C101,'Dist. Plant Gas Additions'!$C$7:$C$91,0),MATCH(Calculation!$G101,'Dist. Plant Gas Additions'!$D$5:$AD$5,0))</f>
        <v>876</v>
      </c>
      <c r="BM101" s="129">
        <f>INDEX('Gen. Plant Additions'!$D$7:$AD$91,MATCH($C101,'Gen. Plant Additions'!$C$7:$C$91,0),MATCH(Calculation!$G101,'Gen. Plant Additions'!$D$5:$AD$5,0))</f>
        <v>4430</v>
      </c>
      <c r="BN101" s="343">
        <v>0.73187966610650435</v>
      </c>
      <c r="BO101" s="46">
        <f t="shared" si="202"/>
        <v>3242.2269208518142</v>
      </c>
      <c r="BP101" s="46">
        <f t="shared" si="203"/>
        <v>-1187.7730791481858</v>
      </c>
      <c r="BQ101" s="129"/>
      <c r="BR101" s="129"/>
      <c r="BS101" s="137"/>
      <c r="BT101" s="137"/>
      <c r="BU101" s="333"/>
      <c r="BV101" s="93"/>
      <c r="BW101" s="334"/>
      <c r="BX101" s="334"/>
      <c r="BY101" s="129"/>
      <c r="BZ101" s="129"/>
      <c r="CA101" s="129"/>
      <c r="CB101" s="129"/>
      <c r="CC101" s="133">
        <v>2021</v>
      </c>
      <c r="CD101" s="129"/>
      <c r="CE101" s="129"/>
      <c r="CF101" s="129"/>
      <c r="CG101" s="137"/>
      <c r="CH101" s="129">
        <f t="shared" si="179"/>
        <v>5306</v>
      </c>
      <c r="CI101" s="46">
        <f t="shared" si="188"/>
        <v>4118.2269208518137</v>
      </c>
      <c r="CJ101" s="46">
        <f t="shared" si="180"/>
        <v>4.4138559620046838</v>
      </c>
      <c r="CK101" s="443">
        <v>0.70886075949367089</v>
      </c>
      <c r="CL101" s="129">
        <f>CL78*CK101+CJ79*CK100+CJ80*CK99+CJ81*CK98+CJ82*CK97+CJ83*CK96+CJ84*CK95+CJ85*CK94+CJ86*CK93+CJ87*CK92+CJ88*CK91+CJ89*CK90+CJ90*CK89+CJ91*CK88+CJ92*CK87+CJ83*CK86+CJ94*CK85+CJ95*CK84+CJ96*CK83+CJ97*CK82+CJ98*CK81+CJ99*CK80+CJ101+CJ100*CK79</f>
        <v>265.35547528357012</v>
      </c>
      <c r="CM101" s="134">
        <f t="shared" si="181"/>
        <v>-2.487465700251185E-2</v>
      </c>
      <c r="CN101" s="135">
        <f t="shared" si="182"/>
        <v>4.0792924384543947E-2</v>
      </c>
      <c r="CO101" s="135">
        <f t="shared" si="192"/>
        <v>2.4636130871817635E-2</v>
      </c>
      <c r="CP101" s="134">
        <f>VLOOKUP($H101,RoR!$E:$F,2,FALSE)</f>
        <v>2.7033333333333336E-2</v>
      </c>
      <c r="CQ101" s="135"/>
      <c r="CR101" s="135"/>
      <c r="CS101" s="135">
        <f t="shared" si="193"/>
        <v>6.2658107367159904E-3</v>
      </c>
      <c r="CT101" s="135">
        <v>7.433422950153494E-2</v>
      </c>
      <c r="CU101" s="139">
        <f t="shared" si="183"/>
        <v>0.90120814999999999</v>
      </c>
      <c r="CV101" s="335">
        <f t="shared" si="184"/>
        <v>1.8969932656739068</v>
      </c>
      <c r="CW101" s="335">
        <f t="shared" si="185"/>
        <v>5.0215782983970621E-2</v>
      </c>
      <c r="CX101" s="335">
        <f t="shared" si="186"/>
        <v>0.655952481704143</v>
      </c>
      <c r="CY101" s="335">
        <f t="shared" si="187"/>
        <v>6.2485378865697057E-2</v>
      </c>
      <c r="CZ101" s="336">
        <f>CZ100</f>
        <v>0.26700499999999999</v>
      </c>
      <c r="DA101" s="303">
        <v>0.37</v>
      </c>
      <c r="DB101" s="141">
        <f t="shared" si="191"/>
        <v>7.0963656741884824</v>
      </c>
      <c r="DC101" s="135">
        <f t="shared" si="194"/>
        <v>-0.71463621264650745</v>
      </c>
      <c r="DD101" s="336">
        <f>VLOOKUP($H101,RoR!$E:$F,2,FALSE)</f>
        <v>2.7033333333333336E-2</v>
      </c>
      <c r="DE101" s="342">
        <f>HLOOKUP($H101,'GDP-PI'!$D$8:$CR$11,3,FALSE)</f>
        <v>4.2834637353352578E-2</v>
      </c>
      <c r="DF101" s="336">
        <f>VLOOKUP(H101,'HW Dx Data'!$E:$F,2,FALSE)</f>
        <v>933.02249921662576</v>
      </c>
      <c r="DG101" s="89">
        <f ca="1">VLOOKUP(CC101,'ECI - Input Price'!M$13:N$33,2,FALSE)</f>
        <v>157.25</v>
      </c>
      <c r="DH101" s="89"/>
      <c r="DI101" s="89"/>
      <c r="DJ101" s="135">
        <f t="shared" ca="1" si="204"/>
        <v>2.6419062301765574E-2</v>
      </c>
      <c r="DK101" s="137">
        <f>HLOOKUP(H101,'GDP-PI'!$8:$9,2,FALSE)</f>
        <v>118.49</v>
      </c>
      <c r="DL101" s="356">
        <f t="shared" si="195"/>
        <v>4.194261824609434E-2</v>
      </c>
      <c r="DP101" s="398"/>
      <c r="DQ101" s="398"/>
      <c r="DR101" s="398"/>
      <c r="DS101" s="398"/>
      <c r="DT101" s="398"/>
      <c r="DU101" s="398"/>
      <c r="DV101" s="398"/>
      <c r="DW101" s="398"/>
      <c r="DX101" s="398"/>
      <c r="EC101">
        <f t="shared" si="190"/>
        <v>2021</v>
      </c>
    </row>
    <row r="102" spans="1:133" s="126" customFormat="1" ht="21" customHeight="1" thickBot="1" x14ac:dyDescent="0.45">
      <c r="A102" s="235"/>
      <c r="B102" s="236"/>
      <c r="C102" s="236"/>
      <c r="D102" s="236"/>
      <c r="E102" s="236"/>
      <c r="F102" s="236"/>
      <c r="G102" s="237" t="s">
        <v>178</v>
      </c>
      <c r="H102" s="238"/>
      <c r="I102" s="239"/>
      <c r="J102" s="240">
        <v>6330.1197672864255</v>
      </c>
      <c r="K102" s="240">
        <f t="shared" ca="1" si="196"/>
        <v>38.942600844579665</v>
      </c>
      <c r="L102" s="47"/>
      <c r="M102" s="241">
        <f t="shared" ref="M102" ca="1" si="217">LN(K102/K101)</f>
        <v>-3.0983256857003805E-2</v>
      </c>
      <c r="N102" s="59"/>
      <c r="O102" s="59"/>
      <c r="P102" s="242">
        <f t="shared" ca="1" si="207"/>
        <v>-4.6375706992173886E-5</v>
      </c>
      <c r="Q102" s="61"/>
      <c r="R102" s="387"/>
      <c r="S102" s="206">
        <f ca="1">+S101*EXP(T102)</f>
        <v>105.32287707282184</v>
      </c>
      <c r="T102" s="243">
        <f ca="1">+P102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</f>
        <v>2.0959349099422954E-6</v>
      </c>
      <c r="U102" s="243"/>
      <c r="V102" s="239">
        <v>8923.1808767772509</v>
      </c>
      <c r="W102" s="240">
        <f t="shared" si="197"/>
        <v>70.123228894123784</v>
      </c>
      <c r="X102" s="244">
        <f t="shared" ref="X102" si="218">LN(W102/W101)</f>
        <v>-6.9159592289622845E-2</v>
      </c>
      <c r="Y102" s="244">
        <f t="shared" si="209"/>
        <v>-1.0351800659706107E-4</v>
      </c>
      <c r="Z102" s="206"/>
      <c r="AA102" s="243"/>
      <c r="AB102" s="243"/>
      <c r="AC102" s="240">
        <f t="shared" si="177"/>
        <v>4553.2743893776487</v>
      </c>
      <c r="AD102" s="244">
        <f>LN(AC102/AC101)</f>
        <v>0.85807412276405792</v>
      </c>
      <c r="AE102" s="245">
        <v>315.55973356330895</v>
      </c>
      <c r="AF102" s="243">
        <v>2.9461693502936388E-2</v>
      </c>
      <c r="AG102" s="242">
        <f t="shared" si="198"/>
        <v>4.4098232528984623E-5</v>
      </c>
      <c r="AH102" s="206"/>
      <c r="AI102" s="243"/>
      <c r="AJ102" s="239">
        <f t="shared" si="216"/>
        <v>19806.575033441324</v>
      </c>
      <c r="AK102" s="243">
        <f t="shared" si="210"/>
        <v>0.14396955371238376</v>
      </c>
      <c r="AL102" s="239"/>
      <c r="AM102" s="243"/>
      <c r="AN102" s="243"/>
      <c r="AO102" s="243"/>
      <c r="AP102" s="245">
        <f t="shared" si="211"/>
        <v>500.86167741664747</v>
      </c>
      <c r="AQ102" s="243"/>
      <c r="AR102" s="207">
        <f t="shared" si="199"/>
        <v>0.31959688924504526</v>
      </c>
      <c r="AS102" s="207">
        <f t="shared" si="200"/>
        <v>0.45051609688759392</v>
      </c>
      <c r="AT102" s="207">
        <f t="shared" si="201"/>
        <v>0.22988701386736085</v>
      </c>
      <c r="AU102" s="207"/>
      <c r="AV102" s="206"/>
      <c r="AW102" s="243"/>
      <c r="AX102" s="248">
        <f>+AJ102/$AL$27</f>
        <v>1.4967989713350809E-3</v>
      </c>
      <c r="AY102" s="249"/>
      <c r="AZ102" s="206"/>
      <c r="BA102" s="243"/>
      <c r="BB102" s="250">
        <v>39545</v>
      </c>
      <c r="BC102" s="412">
        <f t="shared" si="171"/>
        <v>-2.5760192040844799E-3</v>
      </c>
      <c r="BD102" s="91"/>
      <c r="BE102" s="401">
        <f t="shared" si="167"/>
        <v>0</v>
      </c>
      <c r="BF102" s="402">
        <f t="shared" si="168"/>
        <v>0</v>
      </c>
      <c r="BG102" s="313">
        <f t="shared" si="169"/>
        <v>0</v>
      </c>
      <c r="BH102" s="313"/>
      <c r="BI102" s="313" t="str">
        <f t="shared" si="170"/>
        <v>2022Y</v>
      </c>
      <c r="BJ102" s="239"/>
      <c r="BK102" s="239"/>
      <c r="BL102" s="239"/>
      <c r="BM102" s="239"/>
      <c r="BN102" s="337">
        <v>0.73187966610650435</v>
      </c>
      <c r="BO102" s="313">
        <f>+BN102*BM102</f>
        <v>0</v>
      </c>
      <c r="BP102" s="313">
        <f>+BO102-BM102</f>
        <v>0</v>
      </c>
      <c r="BQ102" s="239"/>
      <c r="BR102" s="239"/>
      <c r="BS102" s="310"/>
      <c r="BT102" s="310"/>
      <c r="BU102" s="311"/>
      <c r="BV102" s="207"/>
      <c r="BW102" s="312"/>
      <c r="BX102" s="312"/>
      <c r="BY102" s="239"/>
      <c r="BZ102" s="239"/>
      <c r="CA102" s="239"/>
      <c r="CB102" s="239"/>
      <c r="CC102" s="245">
        <v>2022</v>
      </c>
      <c r="CD102" s="239"/>
      <c r="CE102" s="239"/>
      <c r="CF102" s="239"/>
      <c r="CG102" s="310"/>
      <c r="CH102" s="239">
        <v>3075</v>
      </c>
      <c r="CI102" s="313">
        <f t="shared" si="188"/>
        <v>3075</v>
      </c>
      <c r="CJ102" s="313">
        <f t="shared" si="180"/>
        <v>2.9830909672975623</v>
      </c>
      <c r="CK102" s="443">
        <v>0.69230769230769229</v>
      </c>
      <c r="CL102" s="239">
        <f>+CL78*CK102+CJ79*CK101+CJ80*CK100+CJ81*CK99+CJ82*CK98+CJ83*CK97+CJ84*CK96+CJ85*CK95+CJ86*CK94+CJ87*CK93+CJ88*CK92+CJ89*CK91+CJ90*CK90+CJ91*CK89+CJ92*CK88+CJ93*CK87+CJ94*CK86+CJ95*CK85+CJ96*CK84+CJ97*CK83+CJ98*CK82+CJ99*CK81+CJ100*CK80+CJ101*CK79+CJ102*CK78</f>
        <v>269.8760738892131</v>
      </c>
      <c r="CM102" s="243">
        <f t="shared" ref="CM102" si="219">LN(CL102/CL101)</f>
        <v>1.6892524780990851E-2</v>
      </c>
      <c r="CN102" s="249">
        <f t="shared" si="182"/>
        <v>-5.7941432589713087E-3</v>
      </c>
      <c r="CO102" s="249">
        <f t="shared" ref="CO102" si="220">+(CN102+CN101+CN100)/3</f>
        <v>1.7264616731282541E-2</v>
      </c>
      <c r="CP102" s="243"/>
      <c r="CQ102" s="249"/>
      <c r="CR102" s="249"/>
      <c r="CS102" s="248">
        <f t="shared" si="193"/>
        <v>1.3637324877251084E-2</v>
      </c>
      <c r="CT102" s="249">
        <v>0.10114668178709289</v>
      </c>
      <c r="CU102" s="314">
        <f t="shared" si="183"/>
        <v>0.90120814999999999</v>
      </c>
      <c r="CV102" s="315"/>
      <c r="CW102" s="315"/>
      <c r="CX102" s="315"/>
      <c r="CY102" s="315"/>
      <c r="CZ102" s="316">
        <f>CZ101</f>
        <v>0.26700499999999999</v>
      </c>
      <c r="DA102" s="360">
        <v>0.37</v>
      </c>
      <c r="DB102" s="318">
        <f t="shared" si="191"/>
        <v>17.1591499459803</v>
      </c>
      <c r="DC102" s="249">
        <f t="shared" si="194"/>
        <v>0.88294877976656971</v>
      </c>
      <c r="DD102" s="316">
        <v>0.04</v>
      </c>
      <c r="DE102" s="319">
        <v>7.0000000000000001E-3</v>
      </c>
      <c r="DF102" s="316">
        <v>1030.81</v>
      </c>
      <c r="DG102" s="89">
        <f ca="1">VLOOKUP(CC102,'ECI - Input Price'!M$13:N$33,2,FALSE)</f>
        <v>162.55000000000001</v>
      </c>
      <c r="DH102" s="89"/>
      <c r="DI102" s="89"/>
      <c r="DJ102" s="249">
        <f t="shared" ca="1" si="204"/>
        <v>3.3148751169364422E-2</v>
      </c>
      <c r="DK102" s="310">
        <v>127.25</v>
      </c>
      <c r="DL102" s="357">
        <f t="shared" si="195"/>
        <v>7.1325086601983473E-2</v>
      </c>
      <c r="DP102" s="398"/>
      <c r="DQ102" s="398"/>
      <c r="DR102" s="398"/>
      <c r="DS102" s="398"/>
      <c r="DT102" s="398"/>
      <c r="DU102" s="398"/>
      <c r="DV102" s="398"/>
      <c r="DW102" s="398"/>
      <c r="DX102" s="398"/>
      <c r="EC102">
        <f t="shared" si="190"/>
        <v>2022</v>
      </c>
    </row>
    <row r="103" spans="1:133" s="126" customFormat="1" ht="21" customHeight="1" x14ac:dyDescent="0.4">
      <c r="A103" s="251" t="s">
        <v>188</v>
      </c>
      <c r="B103" s="252" t="s">
        <v>188</v>
      </c>
      <c r="C103" s="252">
        <v>4058516</v>
      </c>
      <c r="D103" s="252" t="s">
        <v>189</v>
      </c>
      <c r="E103" s="252"/>
      <c r="F103" s="252"/>
      <c r="G103" s="252" t="s">
        <v>150</v>
      </c>
      <c r="H103" s="253">
        <v>1998</v>
      </c>
      <c r="I103" s="254"/>
      <c r="J103" s="255"/>
      <c r="K103" s="255"/>
      <c r="L103" s="47"/>
      <c r="M103" s="255"/>
      <c r="N103" s="255"/>
      <c r="O103" s="255"/>
      <c r="P103" s="219"/>
      <c r="Q103" s="218"/>
      <c r="R103" s="385"/>
      <c r="S103" s="257"/>
      <c r="T103" s="258"/>
      <c r="U103" s="258"/>
      <c r="V103" s="255"/>
      <c r="W103" s="255"/>
      <c r="X103" s="255"/>
      <c r="Y103" s="255"/>
      <c r="Z103" s="255"/>
      <c r="AA103" s="255"/>
      <c r="AB103" s="255"/>
      <c r="AC103" s="255"/>
      <c r="AD103" s="254"/>
      <c r="AE103" s="260">
        <v>408.38404338119699</v>
      </c>
      <c r="AF103" s="256"/>
      <c r="AG103" s="225"/>
      <c r="AH103" s="256"/>
      <c r="AI103" s="256"/>
      <c r="AJ103" s="254">
        <f t="shared" si="216"/>
        <v>0</v>
      </c>
      <c r="AK103" s="254"/>
      <c r="AL103" s="254"/>
      <c r="AM103" s="256"/>
      <c r="AN103" s="256"/>
      <c r="AO103" s="256"/>
      <c r="AP103" s="226">
        <f>+(AP100+AP101+AP102)/3</f>
        <v>456.01659874132883</v>
      </c>
      <c r="AQ103" s="256"/>
      <c r="AR103" s="261"/>
      <c r="AS103" s="261"/>
      <c r="AT103" s="261"/>
      <c r="AU103" s="261"/>
      <c r="AV103" s="261"/>
      <c r="AW103" s="256">
        <f ca="1">AVERAGE(AW112:AW126)</f>
        <v>1.2731439276184281E-2</v>
      </c>
      <c r="AX103" s="223"/>
      <c r="AY103" s="261"/>
      <c r="AZ103" s="261"/>
      <c r="BA103" s="261"/>
      <c r="BB103" s="262">
        <f>IFERROR(INDEX('Total Customers'!$E$7:$AA$91,MATCH($C103,'Total Customers'!$C$7:$C$91,0),MATCH($G103,'Total Customers'!$E$5:$AA$5,0)),"NA")</f>
        <v>107197</v>
      </c>
      <c r="BC103" s="413"/>
      <c r="BD103" s="92"/>
      <c r="BE103" s="407" t="str">
        <f t="shared" si="167"/>
        <v>BLACK HILLS ENERGY ARKANSAS, INC.</v>
      </c>
      <c r="BF103" s="408">
        <f t="shared" si="168"/>
        <v>4058516</v>
      </c>
      <c r="BG103" s="218" t="str">
        <f t="shared" si="169"/>
        <v>AR</v>
      </c>
      <c r="BH103" s="218"/>
      <c r="BI103" s="218" t="str">
        <f t="shared" si="170"/>
        <v>1998 Y</v>
      </c>
      <c r="BJ103" s="254">
        <f>INDEX('Gross Dx Plant'!$D$7:$AC$91,MATCH($C103,'Gross Dx Plant'!$C$7:$C$91,0),MATCH(Calculation!$G103,'Gross Dx Plant'!$D$5:$AC$5,0))</f>
        <v>108976</v>
      </c>
      <c r="BK103" s="254">
        <f>INDEX('Gross Gen Plant'!$D$7:$AC$91,MATCH($C103,'Gross Gen Plant'!$C$7:$C$91,0),MATCH(Calculation!$G103,'Gross Gen Plant'!$D$5:$AC$5,0))</f>
        <v>27016</v>
      </c>
      <c r="BL103" s="254">
        <f>INDEX('Dist. Plant Gas Additions'!$E$7:$AD$91,MATCH($C103,'Dist. Plant Gas Additions'!$C$7:$C$91,0),MATCH(Calculation!$G103,'Dist. Plant Gas Additions'!$E$5:$AD$5,0))</f>
        <v>5691</v>
      </c>
      <c r="BM103" s="254">
        <f>INDEX('Gen. Plant Additions'!$E$7:$AD$91,MATCH($C103,'Gen. Plant Additions'!$C$7:$C$91,0),MATCH(Calculation!$G103,'Gen. Plant Additions'!$E$5:$AD$5,0))</f>
        <v>2288</v>
      </c>
      <c r="BN103" s="409">
        <f>+(BY103/(BY103+BZ103))</f>
        <v>0.80134125536796286</v>
      </c>
      <c r="BO103" s="218">
        <f t="shared" ref="BO103:BO121" si="221">+BN103*BM103</f>
        <v>1833.4687922818989</v>
      </c>
      <c r="BP103" s="218">
        <f t="shared" ref="BP103:BP121" si="222">+BO103-BM103</f>
        <v>-454.53120771810109</v>
      </c>
      <c r="BQ103" s="254">
        <f>INDEX('Dist Plant Depreciation'!$D$7:$AC$94,MATCH($C103,'Dist Plant Depreciation'!$C$7:$C$94,0),MATCH(Calculation!$G103,'Dist Plant Depreciation'!$D$5:$AC$5,0))</f>
        <v>43585</v>
      </c>
      <c r="BR103" s="254">
        <f>INDEX('Gen. Plant Depreciation'!$D$7:$AC$94,MATCH($C103,'Gen. Plant Depreciation'!$C$7:$C$94,0),MATCH(Calculation!$G103,'Gen. Plant Depreciation'!$D$5:$AC$5,0))</f>
        <v>10028</v>
      </c>
      <c r="BS103" s="254"/>
      <c r="BT103" s="254"/>
      <c r="BU103" s="254"/>
      <c r="BV103" s="254"/>
      <c r="BW103" s="254"/>
      <c r="BX103" s="254"/>
      <c r="BY103" s="254">
        <f>INDEX('Gross Dx Plant'!$D$7:$AC$91,MATCH($C103,'Gross Dx Plant'!$C$7:$C$91,0),MATCH(Calculation!$G103,'Gross Dx Plant'!$D$5:$AC$5,0))</f>
        <v>108976</v>
      </c>
      <c r="BZ103" s="254">
        <f>INDEX('Gross Gen Plant'!$D$7:$AC$91,MATCH($C103,'Gross Gen Plant'!$C$7:$C$91,0),MATCH(Calculation!$G103,'Gross Gen Plant'!$D$5:$AC$5,0))</f>
        <v>27016</v>
      </c>
      <c r="CA103" s="254">
        <f t="shared" si="172"/>
        <v>82379</v>
      </c>
      <c r="CB103" s="254"/>
      <c r="CC103" s="260">
        <v>1998</v>
      </c>
      <c r="CD103" s="254">
        <f>BJ103+BK103</f>
        <v>135992</v>
      </c>
      <c r="CE103" s="254">
        <f>43585+10028</f>
        <v>53613</v>
      </c>
      <c r="CF103" s="254">
        <f>+CD103-CE103</f>
        <v>82379</v>
      </c>
      <c r="CG103" s="254">
        <f>CF103/$BX$3</f>
        <v>408.38404338119699</v>
      </c>
      <c r="CH103" s="323"/>
      <c r="CI103" s="344"/>
      <c r="CJ103" s="344"/>
      <c r="CK103" s="443">
        <v>1</v>
      </c>
      <c r="CL103" s="254">
        <f>+CG103</f>
        <v>408.38404338119699</v>
      </c>
      <c r="CM103" s="256"/>
      <c r="CN103" s="325"/>
      <c r="CO103" s="325"/>
      <c r="CP103" s="256" t="e">
        <f>VLOOKUP($H103,RoR!$E:$F,2,FALSE)</f>
        <v>#N/A</v>
      </c>
      <c r="CQ103" s="325">
        <v>1.1028127770464469E-2</v>
      </c>
      <c r="CR103" s="325"/>
      <c r="CS103" s="325"/>
      <c r="CT103" s="325"/>
      <c r="CU103" s="327"/>
      <c r="CV103" s="331" t="e">
        <f>2/(DD103*39)</f>
        <v>#N/A</v>
      </c>
      <c r="CW103" s="328" t="e">
        <f>+(DD103*40-(1+DD103))/(DD103*40)</f>
        <v>#N/A</v>
      </c>
      <c r="CX103" s="328" t="e">
        <f>+(1-(1/(1+DD103)^40))</f>
        <v>#N/A</v>
      </c>
      <c r="CY103" s="328" t="e">
        <f>+CX103*CW103*CV103</f>
        <v>#N/A</v>
      </c>
      <c r="CZ103" s="329">
        <f>INDEX('State Tax Lookup'!$D$7:$Z$91,MATCH(Calculation!$C103,'State Tax Lookup'!$B$7:$B$91,0),MATCH($H103,'State Tax Lookup'!$D$6:$Z$6,0))</f>
        <v>0.39224999999999999</v>
      </c>
      <c r="DA103" s="351">
        <v>0.37</v>
      </c>
      <c r="DB103" s="344"/>
      <c r="DC103" s="326"/>
      <c r="DD103" s="351" t="e">
        <f>VLOOKUP($H103,RoR!$E:$F,2,FALSE)</f>
        <v>#N/A</v>
      </c>
      <c r="DE103" s="354">
        <f>HLOOKUP($H103,'GDP-PI'!$D$8:$CQ$11,3,FALSE)</f>
        <v>1.1028127770464469E-2</v>
      </c>
      <c r="DF103" s="351">
        <f>VLOOKUP(H103,'HW Dx Data'!$E:$F,2,FALSE)</f>
        <v>329.24564746449528</v>
      </c>
      <c r="DG103" s="351"/>
      <c r="DH103" s="351"/>
      <c r="DI103" s="351"/>
      <c r="DJ103" s="326"/>
      <c r="DK103" s="344">
        <f>HLOOKUP(H103,'GDP-PI'!$8:$9,2,FALSE)</f>
        <v>75.266999999999996</v>
      </c>
      <c r="DL103" s="292"/>
      <c r="DP103" s="398"/>
      <c r="DQ103" s="398"/>
      <c r="DR103" s="398"/>
      <c r="DS103" s="398"/>
      <c r="DT103" s="398"/>
      <c r="DU103" s="398"/>
      <c r="DV103" s="398"/>
      <c r="DW103" s="398"/>
      <c r="DX103" s="398"/>
      <c r="EC103">
        <v>1998</v>
      </c>
    </row>
    <row r="104" spans="1:133" s="126" customFormat="1" ht="21" customHeight="1" x14ac:dyDescent="0.4">
      <c r="A104" s="233" t="s">
        <v>188</v>
      </c>
      <c r="B104" s="127" t="s">
        <v>188</v>
      </c>
      <c r="C104" s="127">
        <v>4058516</v>
      </c>
      <c r="D104" s="127" t="s">
        <v>189</v>
      </c>
      <c r="E104" s="127"/>
      <c r="F104" s="127"/>
      <c r="G104" s="127" t="s">
        <v>155</v>
      </c>
      <c r="H104" s="128">
        <v>1999</v>
      </c>
      <c r="I104" s="129"/>
      <c r="J104" s="125"/>
      <c r="K104" s="125"/>
      <c r="L104" s="47"/>
      <c r="M104" s="125"/>
      <c r="N104" s="125"/>
      <c r="O104" s="125"/>
      <c r="P104" s="47"/>
      <c r="Q104" s="47"/>
      <c r="R104" s="386"/>
      <c r="S104" s="119"/>
      <c r="T104" s="47"/>
      <c r="U104" s="47"/>
      <c r="V104" s="125"/>
      <c r="W104" s="125"/>
      <c r="X104" s="125"/>
      <c r="Y104" s="143"/>
      <c r="Z104" s="125"/>
      <c r="AA104" s="125"/>
      <c r="AB104" s="125"/>
      <c r="AC104" s="125">
        <f t="shared" ref="AC104:AC127" si="223">+CL103*DB104</f>
        <v>0</v>
      </c>
      <c r="AD104" s="129"/>
      <c r="AE104" s="133">
        <v>427.42437674450576</v>
      </c>
      <c r="AF104" s="134">
        <v>4.5569361752341497E-2</v>
      </c>
      <c r="AG104" s="61"/>
      <c r="AH104" s="134"/>
      <c r="AI104" s="134"/>
      <c r="AJ104" s="129">
        <f t="shared" si="216"/>
        <v>0</v>
      </c>
      <c r="AK104" s="134"/>
      <c r="AL104" s="129"/>
      <c r="AM104" s="134"/>
      <c r="AN104" s="134"/>
      <c r="AO104" s="134"/>
      <c r="AP104" s="133"/>
      <c r="AQ104" s="134"/>
      <c r="AR104" s="93"/>
      <c r="AS104" s="93"/>
      <c r="AT104" s="93"/>
      <c r="AU104" s="93"/>
      <c r="AV104" s="93"/>
      <c r="AW104" s="134"/>
      <c r="AX104" s="62"/>
      <c r="AY104" s="93"/>
      <c r="AZ104" s="93"/>
      <c r="BA104" s="93"/>
      <c r="BB104" s="234">
        <f>IFERROR(INDEX('Total Customers'!$E$7:$AA$91,MATCH($C104,'Total Customers'!$C$7:$C$91,0),MATCH($G104,'Total Customers'!$E$5:$AA$5,0)),"NA")</f>
        <v>109707</v>
      </c>
      <c r="BC104" s="411">
        <f t="shared" si="171"/>
        <v>2.3144912466880985E-2</v>
      </c>
      <c r="BD104" s="92"/>
      <c r="BE104" s="281" t="str">
        <f t="shared" si="167"/>
        <v>BLACK HILLS ENERGY ARKANSAS, INC.</v>
      </c>
      <c r="BF104" s="290">
        <f t="shared" si="168"/>
        <v>4058516</v>
      </c>
      <c r="BG104" s="46" t="str">
        <f t="shared" si="169"/>
        <v>AR</v>
      </c>
      <c r="BH104" s="46"/>
      <c r="BI104" s="46" t="str">
        <f t="shared" si="170"/>
        <v>1999 Y</v>
      </c>
      <c r="BJ104" s="129"/>
      <c r="BK104" s="129"/>
      <c r="BL104" s="129">
        <f>INDEX('Dist. Plant Gas Additions'!$E$7:$AD$91,MATCH($C104,'Dist. Plant Gas Additions'!$C$7:$C$91,0),MATCH(Calculation!$G104,'Dist. Plant Gas Additions'!$E$5:$AD$5,0))</f>
        <v>4408</v>
      </c>
      <c r="BM104" s="129">
        <f>INDEX('Gen. Plant Additions'!$E$7:$AD$91,MATCH($C104,'Gen. Plant Additions'!$C$7:$C$91,0),MATCH(Calculation!$G104,'Gen. Plant Additions'!$E$5:$AD$5,0))</f>
        <v>2658</v>
      </c>
      <c r="BN104" s="393">
        <f t="shared" ref="BN104:BN125" si="224">+(BY104/(BY104+BZ104))</f>
        <v>0.79857923961697541</v>
      </c>
      <c r="BO104" s="46">
        <f t="shared" si="221"/>
        <v>2122.6236189019205</v>
      </c>
      <c r="BP104" s="46">
        <f t="shared" si="222"/>
        <v>-535.37638109807949</v>
      </c>
      <c r="BQ104" s="129">
        <f>INDEX('Dist Plant Depreciation'!$D$7:$AC$94,MATCH($C104,'Dist Plant Depreciation'!$C$7:$C$94,0),MATCH(Calculation!$G104,'Dist Plant Depreciation'!$D$5:$AC$5,0))</f>
        <v>45779</v>
      </c>
      <c r="BR104" s="129">
        <f>INDEX('Gen. Plant Depreciation'!$D$7:$AC$94,MATCH($C104,'Gen. Plant Depreciation'!$C$7:$C$94,0),MATCH(Calculation!$G104,'Gen. Plant Depreciation'!$D$5:$AC$5,0))</f>
        <v>10961</v>
      </c>
      <c r="BS104" s="129"/>
      <c r="BT104" s="129"/>
      <c r="BU104" s="129"/>
      <c r="BV104" s="129"/>
      <c r="BW104" s="129"/>
      <c r="BX104" s="129"/>
      <c r="BY104" s="129">
        <f>INDEX('Gross Dx Plant'!$D$7:$AC$91,MATCH($C104,'Gross Dx Plant'!$C$7:$C$91,0),MATCH(Calculation!$G104,'Gross Dx Plant'!$D$5:$AC$5,0))</f>
        <v>112753</v>
      </c>
      <c r="BZ104" s="129">
        <f>INDEX('Gross Gen Plant'!$D$7:$AC$91,MATCH($C104,'Gross Gen Plant'!$C$7:$C$91,0),MATCH(Calculation!$G104,'Gross Gen Plant'!$D$5:$AC$5,0))</f>
        <v>28439</v>
      </c>
      <c r="CA104" s="129">
        <f t="shared" si="172"/>
        <v>84452</v>
      </c>
      <c r="CB104" s="129"/>
      <c r="CC104" s="133">
        <v>1999</v>
      </c>
      <c r="CD104" s="129"/>
      <c r="CE104" s="129"/>
      <c r="CF104" s="129"/>
      <c r="CG104" s="137"/>
      <c r="CH104" s="129">
        <f t="shared" ref="CH104:CH126" si="225">+BM104+BL104</f>
        <v>7066</v>
      </c>
      <c r="CI104" s="46">
        <f>+CH104+BP104</f>
        <v>6530.6236189019201</v>
      </c>
      <c r="CJ104" s="46">
        <f t="shared" ref="CJ104:CJ127" si="226">+CI104/$DF104</f>
        <v>19.475505211629525</v>
      </c>
      <c r="CK104" s="443">
        <v>0.99009900990099009</v>
      </c>
      <c r="CL104" s="46">
        <f>+CL103*CK104+CJ104</f>
        <v>423.81614222271565</v>
      </c>
      <c r="CM104" s="134">
        <f t="shared" ref="CM104:CM126" si="227">LN(CL104/CL103)</f>
        <v>3.7091719883075927E-2</v>
      </c>
      <c r="CN104" s="135">
        <f t="shared" ref="CN104:CN127" si="228">+(CL103-CL104+CJ104)/CL103</f>
        <v>9.9009900990098942E-3</v>
      </c>
      <c r="CO104" s="135"/>
      <c r="CP104" s="134">
        <f>VLOOKUP($H104,RoR!$E:$F,2,FALSE)</f>
        <v>7.0416666666666669E-2</v>
      </c>
      <c r="CQ104" s="135">
        <v>1.4335631817396832E-2</v>
      </c>
      <c r="CR104" s="135">
        <f>+CP104-CQ104</f>
        <v>5.6081034849269837E-2</v>
      </c>
      <c r="CS104" s="135"/>
      <c r="CT104" s="135"/>
      <c r="CU104" s="139">
        <f t="shared" ref="CU104:CU127" si="229">1-CZ104*DA104</f>
        <v>0.8548675</v>
      </c>
      <c r="CV104" s="335">
        <f t="shared" ref="CV104:CV126" si="230">2/(DD104*39)</f>
        <v>0.72826581702321336</v>
      </c>
      <c r="CW104" s="335">
        <f t="shared" ref="CW104:CW126" si="231">+(DD104*40-(1+DD104))/(DD104*40)</f>
        <v>0.61997041420118348</v>
      </c>
      <c r="CX104" s="335">
        <f t="shared" ref="CX104:CX126" si="232">+(1-(1/(1+DD104)^40))</f>
        <v>0.93425155319585029</v>
      </c>
      <c r="CY104" s="335">
        <f t="shared" ref="CY104:CY126" si="233">+CX104*CW104*CV104</f>
        <v>0.42181762214141483</v>
      </c>
      <c r="CZ104" s="336">
        <f>INDEX('State Tax Lookup'!$D$7:$Z$91,MATCH(Calculation!$C104,'State Tax Lookup'!$B$7:$B$91,0),MATCH($H104,'State Tax Lookup'!$D$6:$Z$6,0))</f>
        <v>0.39224999999999999</v>
      </c>
      <c r="DA104" s="303">
        <v>0.37</v>
      </c>
      <c r="DB104" s="57"/>
      <c r="DC104" s="56"/>
      <c r="DD104" s="303">
        <f>VLOOKUP($H104,RoR!$E:$F,2,FALSE)</f>
        <v>7.0416666666666669E-2</v>
      </c>
      <c r="DE104" s="304">
        <f>HLOOKUP($H104,'GDP-PI'!$D$8:$CQ$11,3,FALSE)</f>
        <v>1.4335631817396832E-2</v>
      </c>
      <c r="DF104" s="303">
        <f>VLOOKUP(H104,'HW Dx Data'!$E:$F,2,FALSE)</f>
        <v>335.32499146683239</v>
      </c>
      <c r="DG104" s="89"/>
      <c r="DH104" s="89"/>
      <c r="DI104" s="89"/>
      <c r="DJ104" s="56"/>
      <c r="DK104" s="53">
        <f>HLOOKUP(H104,'GDP-PI'!$8:$9,2,FALSE)</f>
        <v>76.346000000000004</v>
      </c>
      <c r="DL104" s="298"/>
      <c r="DP104" s="398"/>
      <c r="DQ104" s="398"/>
      <c r="DR104" s="398"/>
      <c r="DS104" s="398"/>
      <c r="DT104" s="398"/>
      <c r="DU104" s="398"/>
      <c r="DV104" s="398"/>
      <c r="DW104" s="398"/>
      <c r="DX104" s="398"/>
      <c r="EC104">
        <f>+EC103+1</f>
        <v>1999</v>
      </c>
    </row>
    <row r="105" spans="1:133" s="126" customFormat="1" ht="21" customHeight="1" x14ac:dyDescent="0.4">
      <c r="A105" s="233" t="s">
        <v>188</v>
      </c>
      <c r="B105" s="127" t="s">
        <v>188</v>
      </c>
      <c r="C105" s="127">
        <v>4058516</v>
      </c>
      <c r="D105" s="127" t="s">
        <v>189</v>
      </c>
      <c r="E105" s="127"/>
      <c r="F105" s="127"/>
      <c r="G105" s="127" t="s">
        <v>156</v>
      </c>
      <c r="H105" s="128">
        <v>2000</v>
      </c>
      <c r="I105" s="129"/>
      <c r="J105" s="125"/>
      <c r="K105" s="125"/>
      <c r="L105" s="47"/>
      <c r="M105" s="125"/>
      <c r="N105" s="125"/>
      <c r="O105" s="125"/>
      <c r="P105" s="47"/>
      <c r="Q105" s="47"/>
      <c r="R105" s="386"/>
      <c r="S105" s="119"/>
      <c r="T105" s="47"/>
      <c r="U105" s="47"/>
      <c r="V105" s="125"/>
      <c r="W105" s="125"/>
      <c r="X105" s="125"/>
      <c r="Y105" s="125"/>
      <c r="Z105" s="125"/>
      <c r="AA105" s="125"/>
      <c r="AB105" s="125"/>
      <c r="AC105" s="125">
        <f t="shared" si="223"/>
        <v>0</v>
      </c>
      <c r="AD105" s="129"/>
      <c r="AE105" s="133">
        <v>438.05901659183206</v>
      </c>
      <c r="AF105" s="134">
        <v>2.4576266152221752E-2</v>
      </c>
      <c r="AG105" s="61"/>
      <c r="AH105" s="134"/>
      <c r="AI105" s="134"/>
      <c r="AJ105" s="129">
        <f t="shared" si="216"/>
        <v>0</v>
      </c>
      <c r="AK105" s="134"/>
      <c r="AL105" s="129"/>
      <c r="AM105" s="129"/>
      <c r="AN105" s="129"/>
      <c r="AO105" s="129"/>
      <c r="AP105" s="133"/>
      <c r="AQ105" s="134"/>
      <c r="AR105" s="93"/>
      <c r="AS105" s="93"/>
      <c r="AT105" s="93"/>
      <c r="AU105" s="93"/>
      <c r="AV105" s="93"/>
      <c r="AW105" s="134"/>
      <c r="AX105" s="62"/>
      <c r="AY105" s="93"/>
      <c r="AZ105" s="93"/>
      <c r="BA105" s="93"/>
      <c r="BB105" s="234">
        <f>IFERROR(INDEX('Total Customers'!$E$7:$AA$91,MATCH($C105,'Total Customers'!$C$7:$C$91,0),MATCH($G105,'Total Customers'!$E$5:$AA$5,0)),"NA")</f>
        <v>112401</v>
      </c>
      <c r="BC105" s="411">
        <f t="shared" si="171"/>
        <v>2.4259658579801308E-2</v>
      </c>
      <c r="BD105" s="92"/>
      <c r="BE105" s="281" t="str">
        <f t="shared" si="167"/>
        <v>BLACK HILLS ENERGY ARKANSAS, INC.</v>
      </c>
      <c r="BF105" s="290">
        <f t="shared" si="168"/>
        <v>4058516</v>
      </c>
      <c r="BG105" s="46" t="str">
        <f t="shared" si="169"/>
        <v>AR</v>
      </c>
      <c r="BH105" s="46"/>
      <c r="BI105" s="46" t="str">
        <f t="shared" si="170"/>
        <v>2000 Y</v>
      </c>
      <c r="BJ105" s="129"/>
      <c r="BK105" s="129"/>
      <c r="BL105" s="129">
        <f>INDEX('Dist. Plant Gas Additions'!$E$7:$AD$91,MATCH($C105,'Dist. Plant Gas Additions'!$C$7:$C$91,0),MATCH(Calculation!$G105,'Dist. Plant Gas Additions'!$E$5:$AD$5,0))</f>
        <v>3129</v>
      </c>
      <c r="BM105" s="129">
        <f>INDEX('Gen. Plant Additions'!$E$7:$AD$91,MATCH($C105,'Gen. Plant Additions'!$C$7:$C$91,0),MATCH(Calculation!$G105,'Gen. Plant Additions'!$E$5:$AD$5,0))</f>
        <v>1318</v>
      </c>
      <c r="BN105" s="393">
        <f t="shared" si="224"/>
        <v>0.77743852120812018</v>
      </c>
      <c r="BO105" s="46">
        <f t="shared" si="221"/>
        <v>1024.6639709523024</v>
      </c>
      <c r="BP105" s="46">
        <f t="shared" si="222"/>
        <v>-293.33602904769759</v>
      </c>
      <c r="BQ105" s="129">
        <f>INDEX('Dist Plant Depreciation'!$D$7:$AC$94,MATCH($C105,'Dist Plant Depreciation'!$C$7:$C$94,0),MATCH(Calculation!$G105,'Dist Plant Depreciation'!$D$5:$AC$5,0))</f>
        <v>35489</v>
      </c>
      <c r="BR105" s="129">
        <f>INDEX('Gen. Plant Depreciation'!$D$7:$AC$94,MATCH($C105,'Gen. Plant Depreciation'!$C$7:$C$94,0),MATCH(Calculation!$G105,'Gen. Plant Depreciation'!$D$5:$AC$5,0))</f>
        <v>10722</v>
      </c>
      <c r="BS105" s="129"/>
      <c r="BT105" s="129"/>
      <c r="BU105" s="129"/>
      <c r="BV105" s="129"/>
      <c r="BW105" s="129"/>
      <c r="BX105" s="129"/>
      <c r="BY105" s="129">
        <f>INDEX('Gross Dx Plant'!$D$7:$AC$91,MATCH($C105,'Gross Dx Plant'!$C$7:$C$91,0),MATCH(Calculation!$G105,'Gross Dx Plant'!$D$5:$AC$5,0))</f>
        <v>84789</v>
      </c>
      <c r="BZ105" s="129">
        <f>INDEX('Gross Gen Plant'!$D$7:$AC$91,MATCH($C105,'Gross Gen Plant'!$C$7:$C$91,0),MATCH(Calculation!$G105,'Gross Gen Plant'!$D$5:$AC$5,0))</f>
        <v>24273</v>
      </c>
      <c r="CA105" s="129">
        <f t="shared" si="172"/>
        <v>62851</v>
      </c>
      <c r="CB105" s="129"/>
      <c r="CC105" s="133">
        <v>2000</v>
      </c>
      <c r="CD105" s="129"/>
      <c r="CE105" s="129"/>
      <c r="CF105" s="129"/>
      <c r="CG105" s="137"/>
      <c r="CH105" s="129">
        <f t="shared" si="225"/>
        <v>4447</v>
      </c>
      <c r="CI105" s="46">
        <f t="shared" ref="CI105:CI127" si="234">+CH105+BP105</f>
        <v>4153.6639709523024</v>
      </c>
      <c r="CJ105" s="46">
        <f t="shared" si="226"/>
        <v>11.98631982210695</v>
      </c>
      <c r="CK105" s="443">
        <v>0.98</v>
      </c>
      <c r="CL105" s="46">
        <f>+CL103*CK105+CJ104*CK104+CJ105</f>
        <v>431.48536076303594</v>
      </c>
      <c r="CM105" s="134">
        <f t="shared" si="227"/>
        <v>1.7933849203276075E-2</v>
      </c>
      <c r="CN105" s="135">
        <f t="shared" si="228"/>
        <v>1.0186259681251177E-2</v>
      </c>
      <c r="CO105" s="135"/>
      <c r="CP105" s="134">
        <f>VLOOKUP($H105,RoR!$E:$F,2,FALSE)</f>
        <v>7.6225000000000001E-2</v>
      </c>
      <c r="CQ105" s="135">
        <v>2.2568307442433211E-2</v>
      </c>
      <c r="CR105" s="135">
        <f t="shared" ref="CR105:CR125" si="235">+CP105-CQ105</f>
        <v>5.365669255756679E-2</v>
      </c>
      <c r="CS105" s="135"/>
      <c r="CT105" s="135"/>
      <c r="CU105" s="139">
        <f t="shared" si="229"/>
        <v>0.8548675</v>
      </c>
      <c r="CV105" s="335">
        <f t="shared" si="230"/>
        <v>0.67277207323124022</v>
      </c>
      <c r="CW105" s="335">
        <f t="shared" si="231"/>
        <v>0.6470236142997704</v>
      </c>
      <c r="CX105" s="335">
        <f t="shared" si="232"/>
        <v>0.94704866037543145</v>
      </c>
      <c r="CY105" s="335">
        <f t="shared" si="233"/>
        <v>0.41224973107878493</v>
      </c>
      <c r="CZ105" s="336">
        <f>INDEX('State Tax Lookup'!$D$7:$Z$91,MATCH(Calculation!$C105,'State Tax Lookup'!$B$7:$B$91,0),MATCH($H105,'State Tax Lookup'!$D$6:$Z$6,0))</f>
        <v>0.39224999999999999</v>
      </c>
      <c r="DA105" s="303">
        <v>0.37</v>
      </c>
      <c r="DB105" s="57"/>
      <c r="DC105" s="56"/>
      <c r="DD105" s="303">
        <f>VLOOKUP($H105,RoR!$E:$F,2,FALSE)</f>
        <v>7.6225000000000001E-2</v>
      </c>
      <c r="DE105" s="304">
        <f>HLOOKUP($H105,'GDP-PI'!$D$8:$CQ$11,3,FALSE)</f>
        <v>2.2568307442433211E-2</v>
      </c>
      <c r="DF105" s="303">
        <f>VLOOKUP(H105,'HW Dx Data'!$E:$F,2,FALSE)</f>
        <v>346.53371782150339</v>
      </c>
      <c r="DG105" s="89"/>
      <c r="DH105" s="89"/>
      <c r="DI105" s="89"/>
      <c r="DJ105" s="56"/>
      <c r="DK105" s="53">
        <f>HLOOKUP(H105,'GDP-PI'!$8:$9,2,FALSE)</f>
        <v>78.069000000000003</v>
      </c>
      <c r="DL105" s="298"/>
      <c r="DP105" s="398"/>
      <c r="DQ105" s="398"/>
      <c r="DR105" s="398"/>
      <c r="DS105" s="398"/>
      <c r="DT105" s="398"/>
      <c r="DU105" s="398"/>
      <c r="DV105" s="398"/>
      <c r="DW105" s="398"/>
      <c r="DX105" s="398"/>
      <c r="EC105">
        <f t="shared" ref="EC105:EC106" si="236">+EC104+1</f>
        <v>2000</v>
      </c>
    </row>
    <row r="106" spans="1:133" s="126" customFormat="1" ht="21" customHeight="1" x14ac:dyDescent="0.4">
      <c r="A106" s="233" t="s">
        <v>188</v>
      </c>
      <c r="B106" s="127" t="s">
        <v>188</v>
      </c>
      <c r="C106" s="127">
        <v>4058516</v>
      </c>
      <c r="D106" s="127" t="s">
        <v>189</v>
      </c>
      <c r="E106" s="127"/>
      <c r="F106" s="127"/>
      <c r="G106" s="127" t="s">
        <v>157</v>
      </c>
      <c r="H106" s="128">
        <v>2001</v>
      </c>
      <c r="I106" s="129"/>
      <c r="J106" s="125"/>
      <c r="K106" s="125"/>
      <c r="L106" s="47"/>
      <c r="M106" s="125"/>
      <c r="N106" s="125"/>
      <c r="O106" s="125"/>
      <c r="P106" s="47"/>
      <c r="Q106" s="47"/>
      <c r="R106" s="386"/>
      <c r="S106" s="119"/>
      <c r="T106" s="47"/>
      <c r="U106" s="47"/>
      <c r="V106" s="125"/>
      <c r="W106" s="125"/>
      <c r="X106" s="125"/>
      <c r="Y106" s="125"/>
      <c r="Z106" s="125"/>
      <c r="AA106" s="125"/>
      <c r="AB106" s="125"/>
      <c r="AC106" s="125">
        <f t="shared" si="223"/>
        <v>4448.259833625687</v>
      </c>
      <c r="AD106" s="129"/>
      <c r="AE106" s="133">
        <v>447.79504986449592</v>
      </c>
      <c r="AF106" s="134">
        <v>2.1982007382047572E-2</v>
      </c>
      <c r="AG106" s="61"/>
      <c r="AH106" s="134"/>
      <c r="AI106" s="134"/>
      <c r="AJ106" s="129">
        <f t="shared" si="216"/>
        <v>4448.259833625687</v>
      </c>
      <c r="AK106" s="134"/>
      <c r="AL106" s="129"/>
      <c r="AM106" s="129"/>
      <c r="AN106" s="129"/>
      <c r="AO106" s="129"/>
      <c r="AP106" s="133"/>
      <c r="AQ106" s="134"/>
      <c r="AR106" s="93"/>
      <c r="AS106" s="93"/>
      <c r="AT106" s="93"/>
      <c r="AU106" s="93"/>
      <c r="AV106" s="93"/>
      <c r="AW106" s="134"/>
      <c r="AX106" s="62"/>
      <c r="AY106" s="93"/>
      <c r="AZ106" s="93"/>
      <c r="BA106" s="93"/>
      <c r="BB106" s="234">
        <f>IFERROR(INDEX('Total Customers'!$E$7:$AA$91,MATCH($C106,'Total Customers'!$C$7:$C$91,0),MATCH($G106,'Total Customers'!$E$5:$AA$5,0)),"NA")</f>
        <v>114211</v>
      </c>
      <c r="BC106" s="411">
        <f t="shared" si="171"/>
        <v>1.5974780607734464E-2</v>
      </c>
      <c r="BD106" s="92"/>
      <c r="BE106" s="281" t="str">
        <f t="shared" si="167"/>
        <v>BLACK HILLS ENERGY ARKANSAS, INC.</v>
      </c>
      <c r="BF106" s="290">
        <f t="shared" si="168"/>
        <v>4058516</v>
      </c>
      <c r="BG106" s="46" t="str">
        <f t="shared" si="169"/>
        <v>AR</v>
      </c>
      <c r="BH106" s="46"/>
      <c r="BI106" s="46" t="str">
        <f t="shared" si="170"/>
        <v>2001 Y</v>
      </c>
      <c r="BJ106" s="129"/>
      <c r="BK106" s="129"/>
      <c r="BL106" s="129">
        <f>INDEX('Dist. Plant Gas Additions'!$E$7:$AD$91,MATCH($C106,'Dist. Plant Gas Additions'!$C$7:$C$91,0),MATCH(Calculation!$G106,'Dist. Plant Gas Additions'!$E$5:$AD$5,0))</f>
        <v>2569</v>
      </c>
      <c r="BM106" s="129">
        <f>INDEX('Gen. Plant Additions'!$E$7:$AD$91,MATCH($C106,'Gen. Plant Additions'!$C$7:$C$91,0),MATCH(Calculation!$G106,'Gen. Plant Additions'!$E$5:$AD$5,0))</f>
        <v>1673</v>
      </c>
      <c r="BN106" s="393">
        <f t="shared" si="224"/>
        <v>0.780644179195358</v>
      </c>
      <c r="BO106" s="46">
        <f t="shared" si="221"/>
        <v>1306.017711793834</v>
      </c>
      <c r="BP106" s="46">
        <f t="shared" si="222"/>
        <v>-366.982288206166</v>
      </c>
      <c r="BQ106" s="129">
        <f>INDEX('Dist Plant Depreciation'!$D$7:$AC$94,MATCH($C106,'Dist Plant Depreciation'!$C$7:$C$94,0),MATCH(Calculation!$G106,'Dist Plant Depreciation'!$D$5:$AC$5,0))</f>
        <v>37457</v>
      </c>
      <c r="BR106" s="129">
        <f>INDEX('Gen. Plant Depreciation'!$D$7:$AC$94,MATCH($C106,'Gen. Plant Depreciation'!$C$7:$C$94,0),MATCH(Calculation!$G106,'Gen. Plant Depreciation'!$D$5:$AC$5,0))</f>
        <v>11128</v>
      </c>
      <c r="BS106" s="129"/>
      <c r="BT106" s="129"/>
      <c r="BU106" s="129"/>
      <c r="BV106" s="129"/>
      <c r="BW106" s="129"/>
      <c r="BX106" s="129"/>
      <c r="BY106" s="129">
        <f>INDEX('Gross Dx Plant'!$D$7:$AC$91,MATCH($C106,'Gross Dx Plant'!$C$7:$C$91,0),MATCH(Calculation!$G106,'Gross Dx Plant'!$D$5:$AC$5,0))</f>
        <v>87180</v>
      </c>
      <c r="BZ106" s="129">
        <f>INDEX('Gross Gen Plant'!$D$7:$AC$91,MATCH($C106,'Gross Gen Plant'!$C$7:$C$91,0),MATCH(Calculation!$G106,'Gross Gen Plant'!$D$5:$AC$5,0))</f>
        <v>24497</v>
      </c>
      <c r="CA106" s="129">
        <f t="shared" si="172"/>
        <v>63092</v>
      </c>
      <c r="CB106" s="129"/>
      <c r="CC106" s="133">
        <v>2001</v>
      </c>
      <c r="CD106" s="129"/>
      <c r="CE106" s="129"/>
      <c r="CF106" s="129"/>
      <c r="CG106" s="137"/>
      <c r="CH106" s="129">
        <f t="shared" si="225"/>
        <v>4242</v>
      </c>
      <c r="CI106" s="46">
        <f t="shared" si="234"/>
        <v>3875.0177117938338</v>
      </c>
      <c r="CJ106" s="46">
        <f t="shared" si="226"/>
        <v>10.963492528582533</v>
      </c>
      <c r="CK106" s="443">
        <v>0.96969696969696972</v>
      </c>
      <c r="CL106" s="46">
        <f>+CL103*CK106+CJ104*CK105+CJ105*CK103+CJ106</f>
        <v>438.04457679742899</v>
      </c>
      <c r="CM106" s="134">
        <f t="shared" si="227"/>
        <v>1.5087095149272282E-2</v>
      </c>
      <c r="CN106" s="135">
        <f t="shared" si="228"/>
        <v>1.0207244311605364E-2</v>
      </c>
      <c r="CO106" s="135">
        <f>+(CN106+CN105+CN104)/3</f>
        <v>1.0098164697288812E-2</v>
      </c>
      <c r="CP106" s="134">
        <f>VLOOKUP($H106,RoR!$E:$F,2,FALSE)</f>
        <v>7.0824999999999999E-2</v>
      </c>
      <c r="CQ106" s="135">
        <v>2.2454495382290052E-2</v>
      </c>
      <c r="CR106" s="135">
        <f t="shared" si="235"/>
        <v>4.8370504617709947E-2</v>
      </c>
      <c r="CS106" s="135">
        <f>+$CR$2-CO106</f>
        <v>2.0803776911244812E-2</v>
      </c>
      <c r="CT106" s="135">
        <v>2.3947275901631187E-2</v>
      </c>
      <c r="CU106" s="139">
        <f t="shared" si="229"/>
        <v>0.8548675</v>
      </c>
      <c r="CV106" s="335">
        <f t="shared" si="230"/>
        <v>0.72406708481540816</v>
      </c>
      <c r="CW106" s="335">
        <f t="shared" si="231"/>
        <v>0.62201729615248857</v>
      </c>
      <c r="CX106" s="335">
        <f t="shared" si="232"/>
        <v>0.9352469954311422</v>
      </c>
      <c r="CY106" s="335">
        <f t="shared" si="233"/>
        <v>0.42121864641655071</v>
      </c>
      <c r="CZ106" s="336">
        <f>INDEX('State Tax Lookup'!$D$7:$Z$91,MATCH(Calculation!$C106,'State Tax Lookup'!$B$7:$B$91,0),MATCH($H106,'State Tax Lookup'!$D$6:$Z$6,0))</f>
        <v>0.39224999999999999</v>
      </c>
      <c r="DA106" s="303">
        <v>0.37</v>
      </c>
      <c r="DB106" s="57">
        <f t="shared" ref="DB106:DB127" si="237">+(DF106*CS106-CT106)*CU106/(1-CZ106)</f>
        <v>10.30917903161167</v>
      </c>
      <c r="DC106" s="56"/>
      <c r="DD106" s="303">
        <f>VLOOKUP($H106,RoR!$E:$F,2,FALSE)</f>
        <v>7.0824999999999999E-2</v>
      </c>
      <c r="DE106" s="304">
        <f>HLOOKUP($H106,'GDP-PI'!$D$8:$CQ$11,3,FALSE)</f>
        <v>2.2454495382290052E-2</v>
      </c>
      <c r="DF106" s="303">
        <f>VLOOKUP(H106,'HW Dx Data'!$E:$F,2,FALSE)</f>
        <v>353.44738017483138</v>
      </c>
      <c r="DG106" s="89"/>
      <c r="DH106" s="89"/>
      <c r="DI106" s="89"/>
      <c r="DJ106" s="56"/>
      <c r="DK106" s="53">
        <f>HLOOKUP(H106,'GDP-PI'!$8:$9,2,FALSE)</f>
        <v>79.822000000000003</v>
      </c>
      <c r="DL106" s="298"/>
      <c r="DP106" s="398"/>
      <c r="DQ106" s="398"/>
      <c r="DR106" s="398"/>
      <c r="DS106" s="398"/>
      <c r="DT106" s="398"/>
      <c r="DU106" s="398"/>
      <c r="DV106" s="398"/>
      <c r="DW106" s="398"/>
      <c r="DX106" s="398"/>
      <c r="EC106">
        <f t="shared" si="236"/>
        <v>2001</v>
      </c>
    </row>
    <row r="107" spans="1:133" s="126" customFormat="1" ht="21" customHeight="1" x14ac:dyDescent="0.4">
      <c r="A107" s="233" t="s">
        <v>188</v>
      </c>
      <c r="B107" s="127" t="s">
        <v>188</v>
      </c>
      <c r="C107" s="127">
        <v>4058516</v>
      </c>
      <c r="D107" s="127" t="s">
        <v>189</v>
      </c>
      <c r="E107" s="127"/>
      <c r="F107" s="127"/>
      <c r="G107" s="127" t="s">
        <v>158</v>
      </c>
      <c r="H107" s="128">
        <v>2002</v>
      </c>
      <c r="I107" s="129"/>
      <c r="J107" s="125"/>
      <c r="K107" s="125"/>
      <c r="L107" s="47"/>
      <c r="M107" s="125"/>
      <c r="N107" s="125"/>
      <c r="O107" s="125"/>
      <c r="P107" s="47"/>
      <c r="Q107" s="47"/>
      <c r="R107" s="386"/>
      <c r="S107" s="119"/>
      <c r="T107" s="47"/>
      <c r="U107" s="47"/>
      <c r="V107" s="125"/>
      <c r="W107" s="125"/>
      <c r="X107" s="125"/>
      <c r="Y107" s="125"/>
      <c r="Z107" s="125"/>
      <c r="AA107" s="125"/>
      <c r="AB107" s="125"/>
      <c r="AC107" s="125">
        <f t="shared" si="223"/>
        <v>4530.7427429904374</v>
      </c>
      <c r="AD107" s="129"/>
      <c r="AE107" s="133">
        <v>459.24741757683756</v>
      </c>
      <c r="AF107" s="134">
        <v>2.5253451188907202E-2</v>
      </c>
      <c r="AG107" s="61"/>
      <c r="AH107" s="134"/>
      <c r="AI107" s="134"/>
      <c r="AJ107" s="129">
        <f t="shared" si="216"/>
        <v>4530.7427429904374</v>
      </c>
      <c r="AK107" s="134"/>
      <c r="AL107" s="129"/>
      <c r="AM107" s="129"/>
      <c r="AN107" s="129"/>
      <c r="AO107" s="129"/>
      <c r="AP107" s="133"/>
      <c r="AQ107" s="134"/>
      <c r="AR107" s="93"/>
      <c r="AS107" s="93"/>
      <c r="AT107" s="93"/>
      <c r="AU107" s="93"/>
      <c r="AV107" s="93"/>
      <c r="AW107" s="134"/>
      <c r="AX107" s="62"/>
      <c r="AY107" s="93"/>
      <c r="AZ107" s="93"/>
      <c r="BA107" s="93"/>
      <c r="BB107" s="234">
        <f>IFERROR(INDEX('Total Customers'!$E$7:$AA$91,MATCH($C107,'Total Customers'!$C$7:$C$91,0),MATCH($G107,'Total Customers'!$E$5:$AA$5,0)),"NA")</f>
        <v>117277</v>
      </c>
      <c r="BC107" s="411">
        <f t="shared" si="171"/>
        <v>2.6491043177266478E-2</v>
      </c>
      <c r="BD107" s="92"/>
      <c r="BE107" s="281" t="str">
        <f t="shared" si="167"/>
        <v>BLACK HILLS ENERGY ARKANSAS, INC.</v>
      </c>
      <c r="BF107" s="290">
        <f t="shared" si="168"/>
        <v>4058516</v>
      </c>
      <c r="BG107" s="46" t="str">
        <f t="shared" si="169"/>
        <v>AR</v>
      </c>
      <c r="BH107" s="46"/>
      <c r="BI107" s="46" t="str">
        <f t="shared" si="170"/>
        <v>2002 Y</v>
      </c>
      <c r="BJ107" s="129"/>
      <c r="BK107" s="129"/>
      <c r="BL107" s="129">
        <f>INDEX('Dist. Plant Gas Additions'!$E$7:$AD$91,MATCH($C107,'Dist. Plant Gas Additions'!$C$7:$C$91,0),MATCH(Calculation!$G107,'Dist. Plant Gas Additions'!$E$5:$AD$5,0))</f>
        <v>3179</v>
      </c>
      <c r="BM107" s="129">
        <f>INDEX('Gen. Plant Additions'!$E$7:$AD$91,MATCH($C107,'Gen. Plant Additions'!$C$7:$C$91,0),MATCH(Calculation!$G107,'Gen. Plant Additions'!$E$5:$AD$5,0))</f>
        <v>1872</v>
      </c>
      <c r="BN107" s="393">
        <f t="shared" si="224"/>
        <v>0.77604830651552215</v>
      </c>
      <c r="BO107" s="46">
        <f t="shared" si="221"/>
        <v>1452.7624297970574</v>
      </c>
      <c r="BP107" s="46">
        <f t="shared" si="222"/>
        <v>-419.23757020294261</v>
      </c>
      <c r="BQ107" s="129">
        <f>INDEX('Dist Plant Depreciation'!$D$7:$AC$94,MATCH($C107,'Dist Plant Depreciation'!$C$7:$C$94,0),MATCH(Calculation!$G107,'Dist Plant Depreciation'!$D$5:$AC$5,0))</f>
        <v>39436</v>
      </c>
      <c r="BR107" s="129">
        <f>INDEX('Gen. Plant Depreciation'!$D$7:$AC$94,MATCH($C107,'Gen. Plant Depreciation'!$C$7:$C$94,0),MATCH(Calculation!$G107,'Gen. Plant Depreciation'!$D$5:$AC$5,0))</f>
        <v>12040</v>
      </c>
      <c r="BS107" s="129"/>
      <c r="BT107" s="129"/>
      <c r="BU107" s="129"/>
      <c r="BV107" s="129"/>
      <c r="BW107" s="129"/>
      <c r="BX107" s="129"/>
      <c r="BY107" s="129">
        <f>INDEX('Gross Dx Plant'!$D$7:$AC$91,MATCH($C107,'Gross Dx Plant'!$C$7:$C$91,0),MATCH(Calculation!$G107,'Gross Dx Plant'!$D$5:$AC$5,0))</f>
        <v>90093</v>
      </c>
      <c r="BZ107" s="129">
        <f>INDEX('Gross Gen Plant'!$D$7:$AC$91,MATCH($C107,'Gross Gen Plant'!$C$7:$C$91,0),MATCH(Calculation!$G107,'Gross Gen Plant'!$D$5:$AC$5,0))</f>
        <v>25999</v>
      </c>
      <c r="CA107" s="129">
        <f t="shared" si="172"/>
        <v>64616</v>
      </c>
      <c r="CB107" s="129"/>
      <c r="CC107" s="133">
        <v>2002</v>
      </c>
      <c r="CD107" s="129"/>
      <c r="CE107" s="129"/>
      <c r="CF107" s="129"/>
      <c r="CG107" s="137"/>
      <c r="CH107" s="129">
        <f t="shared" si="225"/>
        <v>5051</v>
      </c>
      <c r="CI107" s="46">
        <f t="shared" si="234"/>
        <v>4631.7624297970578</v>
      </c>
      <c r="CJ107" s="46">
        <f t="shared" si="226"/>
        <v>12.81800454248024</v>
      </c>
      <c r="CK107" s="443">
        <v>0.95918367346938771</v>
      </c>
      <c r="CL107" s="46">
        <f>+CL103*CK107+CJ104*CK106+CJ105*CK105+CJ106*CK104+CJ107</f>
        <v>446.0201863694445</v>
      </c>
      <c r="CM107" s="134">
        <f t="shared" si="227"/>
        <v>1.8043533205871057E-2</v>
      </c>
      <c r="CN107" s="135">
        <f t="shared" si="228"/>
        <v>1.1054571217084287E-2</v>
      </c>
      <c r="CO107" s="135">
        <f t="shared" ref="CO107:CO127" si="238">+(CN107+CN106+CN105)/3</f>
        <v>1.0482691736646942E-2</v>
      </c>
      <c r="CP107" s="134">
        <f>VLOOKUP($H107,RoR!$E:$F,2,FALSE)</f>
        <v>6.4916666666666664E-2</v>
      </c>
      <c r="CQ107" s="135">
        <v>1.5246423291824351E-2</v>
      </c>
      <c r="CR107" s="135">
        <f t="shared" si="235"/>
        <v>4.9670243374842313E-2</v>
      </c>
      <c r="CS107" s="135">
        <f t="shared" ref="CS107:CS127" si="239">+$CR$2-CO107</f>
        <v>2.0419249871886681E-2</v>
      </c>
      <c r="CT107" s="135">
        <v>2.5243621214759093E-2</v>
      </c>
      <c r="CU107" s="139">
        <f t="shared" si="229"/>
        <v>0.8548675</v>
      </c>
      <c r="CV107" s="335">
        <f t="shared" si="230"/>
        <v>0.78996741384417901</v>
      </c>
      <c r="CW107" s="335">
        <f t="shared" si="231"/>
        <v>0.58989088575096271</v>
      </c>
      <c r="CX107" s="335">
        <f t="shared" si="232"/>
        <v>0.91920675783645744</v>
      </c>
      <c r="CY107" s="335">
        <f t="shared" si="233"/>
        <v>0.42834536472275586</v>
      </c>
      <c r="CZ107" s="336">
        <f>INDEX('State Tax Lookup'!$D$7:$Z$91,MATCH(Calculation!$C107,'State Tax Lookup'!$B$7:$B$91,0),MATCH($H107,'State Tax Lookup'!$D$6:$Z$6,0))</f>
        <v>0.39224999999999999</v>
      </c>
      <c r="DA107" s="303">
        <v>0.37</v>
      </c>
      <c r="DB107" s="57">
        <f t="shared" si="237"/>
        <v>10.343108859182729</v>
      </c>
      <c r="DC107" s="56">
        <f t="shared" ref="DC107:DC127" si="240">LN(DB107/DB106)</f>
        <v>3.2858207553324741E-3</v>
      </c>
      <c r="DD107" s="303">
        <f>VLOOKUP($H107,RoR!$E:$F,2,FALSE)</f>
        <v>6.4916666666666664E-2</v>
      </c>
      <c r="DE107" s="304">
        <f>HLOOKUP($H107,'GDP-PI'!$D$8:$CQ$11,3,FALSE)</f>
        <v>1.5246423291824351E-2</v>
      </c>
      <c r="DF107" s="303">
        <f>VLOOKUP(H107,'HW Dx Data'!$E:$F,2,FALSE)</f>
        <v>361.34816573413599</v>
      </c>
      <c r="DG107" s="89"/>
      <c r="DH107" s="89"/>
      <c r="DI107" s="89"/>
      <c r="DJ107" s="56"/>
      <c r="DK107" s="53">
        <f>HLOOKUP(H107,'GDP-PI'!$8:$9,2,FALSE)</f>
        <v>81.039000000000001</v>
      </c>
      <c r="DL107" s="355">
        <f>LN(DK107/DK106)</f>
        <v>1.513136459537477E-2</v>
      </c>
      <c r="DP107" s="398"/>
      <c r="DQ107" s="398"/>
      <c r="DR107" s="398"/>
      <c r="DS107" s="398"/>
      <c r="DT107" s="398"/>
      <c r="DU107" s="398"/>
      <c r="DV107" s="398"/>
      <c r="DW107" s="398"/>
      <c r="DX107" s="398"/>
      <c r="EC107"/>
    </row>
    <row r="108" spans="1:133" s="126" customFormat="1" ht="21" customHeight="1" x14ac:dyDescent="0.4">
      <c r="A108" s="233" t="s">
        <v>188</v>
      </c>
      <c r="B108" s="127" t="s">
        <v>188</v>
      </c>
      <c r="C108" s="127">
        <v>4058516</v>
      </c>
      <c r="D108" s="127" t="s">
        <v>189</v>
      </c>
      <c r="E108" s="127"/>
      <c r="F108" s="127"/>
      <c r="G108" s="127" t="s">
        <v>159</v>
      </c>
      <c r="H108" s="128">
        <v>2003</v>
      </c>
      <c r="I108" s="129"/>
      <c r="J108" s="125"/>
      <c r="K108" s="125"/>
      <c r="L108" s="47"/>
      <c r="M108" s="131"/>
      <c r="N108" s="131"/>
      <c r="O108" s="131"/>
      <c r="P108" s="59"/>
      <c r="Q108" s="59"/>
      <c r="R108" s="386"/>
      <c r="S108" s="119"/>
      <c r="T108" s="59"/>
      <c r="U108" s="59"/>
      <c r="V108" s="125"/>
      <c r="W108" s="125"/>
      <c r="X108" s="125"/>
      <c r="Y108" s="125"/>
      <c r="Z108" s="125"/>
      <c r="AA108" s="125"/>
      <c r="AB108" s="125"/>
      <c r="AC108" s="125">
        <f t="shared" si="223"/>
        <v>4646.6283957867927</v>
      </c>
      <c r="AD108" s="129"/>
      <c r="AE108" s="133">
        <v>474.26635995265502</v>
      </c>
      <c r="AF108" s="134">
        <v>3.2180003745960431E-2</v>
      </c>
      <c r="AG108" s="61"/>
      <c r="AH108" s="134"/>
      <c r="AI108" s="134"/>
      <c r="AJ108" s="129">
        <f t="shared" si="216"/>
        <v>4646.6283957867927</v>
      </c>
      <c r="AK108" s="134"/>
      <c r="AL108" s="129"/>
      <c r="AM108" s="129"/>
      <c r="AN108" s="129"/>
      <c r="AO108" s="129"/>
      <c r="AP108" s="133"/>
      <c r="AQ108" s="134"/>
      <c r="AR108" s="93"/>
      <c r="AS108" s="93"/>
      <c r="AT108" s="93"/>
      <c r="AU108" s="93"/>
      <c r="AV108" s="93"/>
      <c r="AW108" s="134"/>
      <c r="AX108" s="62"/>
      <c r="AY108" s="93"/>
      <c r="AZ108" s="93"/>
      <c r="BA108" s="93"/>
      <c r="BB108" s="234">
        <f>IFERROR(INDEX('Total Customers'!$E$7:$AA$91,MATCH($C108,'Total Customers'!$C$7:$C$91,0),MATCH($G108,'Total Customers'!$E$5:$AA$5,0)),"NA")</f>
        <v>120059</v>
      </c>
      <c r="BC108" s="411">
        <f t="shared" si="171"/>
        <v>2.3444630618091936E-2</v>
      </c>
      <c r="BD108" s="92"/>
      <c r="BE108" s="281" t="str">
        <f t="shared" si="167"/>
        <v>BLACK HILLS ENERGY ARKANSAS, INC.</v>
      </c>
      <c r="BF108" s="290">
        <f t="shared" si="168"/>
        <v>4058516</v>
      </c>
      <c r="BG108" s="46" t="str">
        <f t="shared" si="169"/>
        <v>AR</v>
      </c>
      <c r="BH108" s="46"/>
      <c r="BI108" s="46" t="str">
        <f t="shared" si="170"/>
        <v>2003 Y</v>
      </c>
      <c r="BJ108" s="129"/>
      <c r="BK108" s="129"/>
      <c r="BL108" s="129">
        <f>INDEX('Dist. Plant Gas Additions'!$E$7:$AD$91,MATCH($C108,'Dist. Plant Gas Additions'!$C$7:$C$91,0),MATCH(Calculation!$G108,'Dist. Plant Gas Additions'!$E$5:$AD$5,0))</f>
        <v>4413</v>
      </c>
      <c r="BM108" s="129">
        <f>INDEX('Gen. Plant Additions'!$E$7:$AD$91,MATCH($C108,'Gen. Plant Additions'!$C$7:$C$91,0),MATCH(Calculation!$G108,'Gen. Plant Additions'!$E$5:$AD$5,0))</f>
        <v>2096</v>
      </c>
      <c r="BN108" s="393">
        <f t="shared" si="224"/>
        <v>0.77684393206892277</v>
      </c>
      <c r="BO108" s="46">
        <f t="shared" si="221"/>
        <v>1628.2648816164622</v>
      </c>
      <c r="BP108" s="46">
        <f t="shared" si="222"/>
        <v>-467.73511838353784</v>
      </c>
      <c r="BQ108" s="129">
        <f>INDEX('Dist Plant Depreciation'!$D$7:$AC$94,MATCH($C108,'Dist Plant Depreciation'!$C$7:$C$94,0),MATCH(Calculation!$G108,'Dist Plant Depreciation'!$D$5:$AC$5,0))</f>
        <v>41287</v>
      </c>
      <c r="BR108" s="129">
        <f>INDEX('Gen. Plant Depreciation'!$D$7:$AC$94,MATCH($C108,'Gen. Plant Depreciation'!$C$7:$C$94,0),MATCH(Calculation!$G108,'Gen. Plant Depreciation'!$D$5:$AC$5,0))</f>
        <v>12736</v>
      </c>
      <c r="BS108" s="129"/>
      <c r="BT108" s="129"/>
      <c r="BU108" s="129"/>
      <c r="BV108" s="129"/>
      <c r="BW108" s="129"/>
      <c r="BX108" s="129"/>
      <c r="BY108" s="129">
        <f>INDEX('Gross Dx Plant'!$D$7:$AC$91,MATCH($C108,'Gross Dx Plant'!$C$7:$C$91,0),MATCH(Calculation!$G108,'Gross Dx Plant'!$D$5:$AC$5,0))</f>
        <v>94002</v>
      </c>
      <c r="BZ108" s="129">
        <f>INDEX('Gross Gen Plant'!$D$7:$AC$91,MATCH($C108,'Gross Gen Plant'!$C$7:$C$91,0),MATCH(Calculation!$G108,'Gross Gen Plant'!$D$5:$AC$5,0))</f>
        <v>27003</v>
      </c>
      <c r="CA108" s="129">
        <f t="shared" si="172"/>
        <v>66982</v>
      </c>
      <c r="CB108" s="129"/>
      <c r="CC108" s="133">
        <v>2003</v>
      </c>
      <c r="CD108" s="129"/>
      <c r="CE108" s="129"/>
      <c r="CF108" s="129"/>
      <c r="CG108" s="137"/>
      <c r="CH108" s="129">
        <f t="shared" si="225"/>
        <v>6509</v>
      </c>
      <c r="CI108" s="46">
        <f t="shared" si="234"/>
        <v>6041.2648816164619</v>
      </c>
      <c r="CJ108" s="46">
        <f t="shared" si="226"/>
        <v>16.361659717210085</v>
      </c>
      <c r="CK108" s="443">
        <v>0.94845360824742264</v>
      </c>
      <c r="CL108" s="46">
        <f>+CL103*CK108+CJ104*CK107+CJ105*CK106+CJ106*CK105+CJ107*CK104+CJ108</f>
        <v>457.43398013808417</v>
      </c>
      <c r="CM108" s="134">
        <f t="shared" si="227"/>
        <v>2.526835667954317E-2</v>
      </c>
      <c r="CN108" s="135">
        <f t="shared" si="228"/>
        <v>1.1093367743835784E-2</v>
      </c>
      <c r="CO108" s="135">
        <f t="shared" si="238"/>
        <v>1.0785061090841812E-2</v>
      </c>
      <c r="CP108" s="134">
        <f>VLOOKUP($H108,RoR!$E:$F,2,FALSE)</f>
        <v>5.6666666666666671E-2</v>
      </c>
      <c r="CQ108" s="135">
        <v>1.8855119140166909E-2</v>
      </c>
      <c r="CR108" s="135">
        <f t="shared" si="235"/>
        <v>3.7811547526499761E-2</v>
      </c>
      <c r="CS108" s="135">
        <f t="shared" si="239"/>
        <v>2.0116880517691813E-2</v>
      </c>
      <c r="CT108" s="135">
        <v>2.1375012817671957E-2</v>
      </c>
      <c r="CU108" s="139">
        <f t="shared" si="229"/>
        <v>0.8548675</v>
      </c>
      <c r="CV108" s="335">
        <f t="shared" si="230"/>
        <v>0.90497737556561086</v>
      </c>
      <c r="CW108" s="335">
        <f t="shared" si="231"/>
        <v>0.5338235294117647</v>
      </c>
      <c r="CX108" s="335">
        <f t="shared" si="232"/>
        <v>0.88972433127405692</v>
      </c>
      <c r="CY108" s="335">
        <f t="shared" si="233"/>
        <v>0.42982423775949252</v>
      </c>
      <c r="CZ108" s="336">
        <f>INDEX('State Tax Lookup'!$D$7:$Z$91,MATCH(Calculation!$C108,'State Tax Lookup'!$B$7:$B$91,0),MATCH($H108,'State Tax Lookup'!$D$6:$Z$6,0))</f>
        <v>0.39224999999999999</v>
      </c>
      <c r="DA108" s="303">
        <v>0.37</v>
      </c>
      <c r="DB108" s="57">
        <f t="shared" si="237"/>
        <v>10.417977790668711</v>
      </c>
      <c r="DC108" s="56">
        <f t="shared" si="240"/>
        <v>7.212460243785036E-3</v>
      </c>
      <c r="DD108" s="303">
        <f>VLOOKUP($H108,RoR!$E:$F,2,FALSE)</f>
        <v>5.6666666666666671E-2</v>
      </c>
      <c r="DE108" s="304">
        <f>HLOOKUP($H108,'GDP-PI'!$D$8:$CQ$11,3,FALSE)</f>
        <v>1.8855119140166909E-2</v>
      </c>
      <c r="DF108" s="303">
        <f>VLOOKUP(H108,'HW Dx Data'!$E:$F,2,FALSE)</f>
        <v>369.23301095560191</v>
      </c>
      <c r="DG108" s="89">
        <f ca="1">VLOOKUP(CC108,'ECI - Input Price'!M$13:N$33,2,FALSE)</f>
        <v>89.25</v>
      </c>
      <c r="DH108" s="89"/>
      <c r="DI108" s="89"/>
      <c r="DJ108" s="56"/>
      <c r="DK108" s="53">
        <f>HLOOKUP(H108,'GDP-PI'!$8:$9,2,FALSE)</f>
        <v>82.566999999999993</v>
      </c>
      <c r="DL108" s="355">
        <f t="shared" ref="DL108:DL127" si="241">LN(DK108/DK107)</f>
        <v>1.8679564681853753E-2</v>
      </c>
      <c r="DP108" s="398"/>
      <c r="DQ108" s="398"/>
      <c r="DR108" s="398"/>
      <c r="DS108" s="398"/>
      <c r="DT108" s="398"/>
      <c r="DU108" s="398"/>
      <c r="DV108" s="398"/>
      <c r="DW108" s="398"/>
      <c r="DX108" s="398"/>
      <c r="EC108"/>
    </row>
    <row r="109" spans="1:133" s="126" customFormat="1" ht="21" customHeight="1" x14ac:dyDescent="0.4">
      <c r="A109" s="233" t="s">
        <v>188</v>
      </c>
      <c r="B109" s="127" t="s">
        <v>188</v>
      </c>
      <c r="C109" s="127">
        <v>4058516</v>
      </c>
      <c r="D109" s="127" t="s">
        <v>189</v>
      </c>
      <c r="E109" s="127"/>
      <c r="F109" s="127"/>
      <c r="G109" s="127" t="s">
        <v>160</v>
      </c>
      <c r="H109" s="128">
        <v>2004</v>
      </c>
      <c r="I109" s="129"/>
      <c r="J109" s="125">
        <f>IFERROR(INDEX('Labor Expenditures'!$E$7:$W$91,MATCH($C109,'Labor Expenditures'!$C$7:$C$91,0),MATCH($G109,'Labor Expenditures'!$E$5:$W$5,0)),"NA")</f>
        <v>7779.1706362206651</v>
      </c>
      <c r="K109" s="125">
        <f t="shared" ref="K109:K127" ca="1" si="242">+J109/DG109</f>
        <v>82.450139228623911</v>
      </c>
      <c r="L109" s="47"/>
      <c r="M109" s="131"/>
      <c r="N109" s="131"/>
      <c r="O109" s="131"/>
      <c r="P109" s="59"/>
      <c r="Q109" s="59"/>
      <c r="R109" s="386"/>
      <c r="S109" s="119"/>
      <c r="T109" s="59"/>
      <c r="U109" s="59"/>
      <c r="V109" s="125"/>
      <c r="W109" s="125">
        <f t="shared" ref="W109:W127" si="243">+V109/DK109</f>
        <v>0</v>
      </c>
      <c r="X109" s="125"/>
      <c r="Y109" s="125"/>
      <c r="Z109" s="125"/>
      <c r="AA109" s="125"/>
      <c r="AB109" s="125"/>
      <c r="AC109" s="125">
        <f t="shared" si="223"/>
        <v>5228.5048673126803</v>
      </c>
      <c r="AD109" s="129"/>
      <c r="AE109" s="133">
        <v>487.78133753155674</v>
      </c>
      <c r="AF109" s="134">
        <v>2.8098121913214189E-2</v>
      </c>
      <c r="AG109" s="59">
        <f t="shared" ref="AG109:AG127" si="244">+AF109*$AX109</f>
        <v>0</v>
      </c>
      <c r="AH109" s="134"/>
      <c r="AI109" s="134"/>
      <c r="AJ109" s="129">
        <f t="shared" si="216"/>
        <v>13007.675503533344</v>
      </c>
      <c r="AK109" s="134"/>
      <c r="AL109" s="129"/>
      <c r="AM109" s="129"/>
      <c r="AN109" s="129"/>
      <c r="AO109" s="129"/>
      <c r="AP109" s="133"/>
      <c r="AQ109" s="134"/>
      <c r="AR109" s="93">
        <f t="shared" ref="AR109:AR127" si="245">+J109/AJ109</f>
        <v>0.59804464172769123</v>
      </c>
      <c r="AS109" s="93">
        <f t="shared" ref="AS109:AS127" si="246">+V109/AJ109</f>
        <v>0</v>
      </c>
      <c r="AT109" s="93">
        <f t="shared" ref="AT109:AT127" si="247">+AC109/AJ109</f>
        <v>0.40195535827230883</v>
      </c>
      <c r="AU109" s="93"/>
      <c r="AV109" s="93"/>
      <c r="AW109" s="134"/>
      <c r="AX109" s="62"/>
      <c r="AY109" s="93"/>
      <c r="AZ109" s="93"/>
      <c r="BA109" s="93"/>
      <c r="BB109" s="234">
        <f>IFERROR(INDEX('Total Customers'!$E$7:$AA$91,MATCH($C109,'Total Customers'!$C$7:$C$91,0),MATCH($G109,'Total Customers'!$E$5:$AA$5,0)),"NA")</f>
        <v>141596</v>
      </c>
      <c r="BC109" s="411">
        <f t="shared" si="171"/>
        <v>0.16499464365278943</v>
      </c>
      <c r="BD109" s="92"/>
      <c r="BE109" s="281" t="str">
        <f t="shared" si="167"/>
        <v>BLACK HILLS ENERGY ARKANSAS, INC.</v>
      </c>
      <c r="BF109" s="290">
        <f t="shared" si="168"/>
        <v>4058516</v>
      </c>
      <c r="BG109" s="46" t="str">
        <f t="shared" si="169"/>
        <v>AR</v>
      </c>
      <c r="BH109" s="46"/>
      <c r="BI109" s="46" t="str">
        <f t="shared" si="170"/>
        <v>2004 Y</v>
      </c>
      <c r="BJ109" s="129"/>
      <c r="BK109" s="129"/>
      <c r="BL109" s="129">
        <f>INDEX('Dist. Plant Gas Additions'!$E$7:$AD$91,MATCH($C109,'Dist. Plant Gas Additions'!$C$7:$C$91,0),MATCH(Calculation!$G109,'Dist. Plant Gas Additions'!$E$5:$AD$5,0))</f>
        <v>5319</v>
      </c>
      <c r="BM109" s="129">
        <f>INDEX('Gen. Plant Additions'!$E$7:$AD$91,MATCH($C109,'Gen. Plant Additions'!$C$7:$C$91,0),MATCH(Calculation!$G109,'Gen. Plant Additions'!$E$5:$AD$5,0))</f>
        <v>1442</v>
      </c>
      <c r="BN109" s="393">
        <f t="shared" si="224"/>
        <v>0.78720141833776569</v>
      </c>
      <c r="BO109" s="46">
        <f t="shared" si="221"/>
        <v>1135.144445243058</v>
      </c>
      <c r="BP109" s="46">
        <f t="shared" si="222"/>
        <v>-306.85555475694196</v>
      </c>
      <c r="BQ109" s="129">
        <f>INDEX('Dist Plant Depreciation'!$D$7:$AC$94,MATCH($C109,'Dist Plant Depreciation'!$C$7:$C$94,0),MATCH(Calculation!$G109,'Dist Plant Depreciation'!$D$5:$AC$5,0))</f>
        <v>42994</v>
      </c>
      <c r="BR109" s="129">
        <f>INDEX('Gen. Plant Depreciation'!$D$7:$AC$94,MATCH($C109,'Gen. Plant Depreciation'!$C$7:$C$94,0),MATCH(Calculation!$G109,'Gen. Plant Depreciation'!$D$5:$AC$5,0))</f>
        <v>12681</v>
      </c>
      <c r="BS109" s="129"/>
      <c r="BT109" s="129"/>
      <c r="BU109" s="129"/>
      <c r="BV109" s="129"/>
      <c r="BW109" s="129"/>
      <c r="BX109" s="129"/>
      <c r="BY109" s="129">
        <f>INDEX('Gross Dx Plant'!$D$7:$AC$91,MATCH($C109,'Gross Dx Plant'!$C$7:$C$91,0),MATCH(Calculation!$G109,'Gross Dx Plant'!$D$5:$AC$5,0))</f>
        <v>98571</v>
      </c>
      <c r="BZ109" s="129">
        <f>INDEX('Gross Gen Plant'!$D$7:$AC$91,MATCH($C109,'Gross Gen Plant'!$C$7:$C$91,0),MATCH(Calculation!$G109,'Gross Gen Plant'!$D$5:$AC$5,0))</f>
        <v>26646</v>
      </c>
      <c r="CA109" s="129">
        <f t="shared" si="172"/>
        <v>69542</v>
      </c>
      <c r="CB109" s="129"/>
      <c r="CC109" s="133">
        <v>2004</v>
      </c>
      <c r="CD109" s="129"/>
      <c r="CE109" s="129"/>
      <c r="CF109" s="129"/>
      <c r="CG109" s="137"/>
      <c r="CH109" s="129">
        <f t="shared" si="225"/>
        <v>6761</v>
      </c>
      <c r="CI109" s="46">
        <f t="shared" si="234"/>
        <v>6454.1444452430578</v>
      </c>
      <c r="CJ109" s="46">
        <f t="shared" si="226"/>
        <v>15.556383951518036</v>
      </c>
      <c r="CK109" s="443">
        <v>0.9375</v>
      </c>
      <c r="CL109" s="46">
        <f>+CL103*CK109+CJ104*CK108+CJ105*CK107+CJ106*CK106+CJ107*CK105+CJ108*CK104+CJ109</f>
        <v>467.77769311038833</v>
      </c>
      <c r="CM109" s="134">
        <f t="shared" si="227"/>
        <v>2.2360599747621689E-2</v>
      </c>
      <c r="CN109" s="135">
        <f t="shared" si="228"/>
        <v>1.1395460778056634E-2</v>
      </c>
      <c r="CO109" s="135">
        <f t="shared" si="238"/>
        <v>1.1181133246325569E-2</v>
      </c>
      <c r="CP109" s="134">
        <f>VLOOKUP($H109,RoR!$E:$F,2,FALSE)</f>
        <v>5.6283333333333331E-2</v>
      </c>
      <c r="CQ109" s="135">
        <v>2.6778252812867276E-2</v>
      </c>
      <c r="CR109" s="135">
        <f t="shared" si="235"/>
        <v>2.9505080520466055E-2</v>
      </c>
      <c r="CS109" s="135">
        <f t="shared" si="239"/>
        <v>1.9720808362208055E-2</v>
      </c>
      <c r="CT109" s="135">
        <v>5.5940039414565046E-2</v>
      </c>
      <c r="CU109" s="139">
        <f t="shared" si="229"/>
        <v>0.8548675</v>
      </c>
      <c r="CV109" s="335">
        <f t="shared" si="230"/>
        <v>0.91114097628755619</v>
      </c>
      <c r="CW109" s="335">
        <f t="shared" si="231"/>
        <v>0.53081877405981637</v>
      </c>
      <c r="CX109" s="335">
        <f t="shared" si="232"/>
        <v>0.88811215519385678</v>
      </c>
      <c r="CY109" s="335">
        <f t="shared" si="233"/>
        <v>0.42953609753547711</v>
      </c>
      <c r="CZ109" s="336">
        <f>INDEX('State Tax Lookup'!$D$7:$Z$91,MATCH(Calculation!$C109,'State Tax Lookup'!$B$7:$B$91,0),MATCH($H109,'State Tax Lookup'!$D$6:$Z$6,0))</f>
        <v>0.39224999999999999</v>
      </c>
      <c r="DA109" s="303">
        <v>0.37</v>
      </c>
      <c r="DB109" s="57">
        <f t="shared" si="237"/>
        <v>11.43007536461189</v>
      </c>
      <c r="DC109" s="56">
        <f t="shared" si="240"/>
        <v>9.2715123866527499E-2</v>
      </c>
      <c r="DD109" s="303">
        <f>VLOOKUP($H109,RoR!$E:$F,2,FALSE)</f>
        <v>5.6283333333333331E-2</v>
      </c>
      <c r="DE109" s="304">
        <f>HLOOKUP($H109,'GDP-PI'!$D$8:$CQ$11,3,FALSE)</f>
        <v>2.6778252812867276E-2</v>
      </c>
      <c r="DF109" s="303">
        <f>VLOOKUP(H109,'HW Dx Data'!$E:$F,2,FALSE)</f>
        <v>414.88719135228365</v>
      </c>
      <c r="DG109" s="89">
        <f ca="1">VLOOKUP(CC109,'ECI - Input Price'!M$13:N$33,2,FALSE)</f>
        <v>94.35</v>
      </c>
      <c r="DH109" s="89"/>
      <c r="DI109" s="89"/>
      <c r="DJ109" s="56">
        <f t="shared" ref="DJ109:DJ127" ca="1" si="248">LN(DG109/DG108)</f>
        <v>5.5569851154810786E-2</v>
      </c>
      <c r="DK109" s="53">
        <f>HLOOKUP(H109,'GDP-PI'!$8:$9,2,FALSE)</f>
        <v>84.778000000000006</v>
      </c>
      <c r="DL109" s="355">
        <f t="shared" si="241"/>
        <v>2.6425990216022755E-2</v>
      </c>
      <c r="DP109" s="398"/>
      <c r="DQ109" s="398"/>
      <c r="DR109" s="398"/>
      <c r="DS109" s="398"/>
      <c r="DT109" s="398"/>
      <c r="DU109" s="398"/>
      <c r="DV109" s="398"/>
      <c r="DW109" s="398"/>
      <c r="DX109" s="398"/>
      <c r="EC109"/>
    </row>
    <row r="110" spans="1:133" s="126" customFormat="1" ht="21" customHeight="1" x14ac:dyDescent="0.4">
      <c r="A110" s="233" t="s">
        <v>188</v>
      </c>
      <c r="B110" s="127" t="s">
        <v>188</v>
      </c>
      <c r="C110" s="127">
        <v>4058516</v>
      </c>
      <c r="D110" s="127" t="s">
        <v>189</v>
      </c>
      <c r="E110" s="127"/>
      <c r="F110" s="127"/>
      <c r="G110" s="127" t="s">
        <v>161</v>
      </c>
      <c r="H110" s="128">
        <v>2005</v>
      </c>
      <c r="I110" s="129"/>
      <c r="J110" s="125">
        <f>IFERROR(INDEX('Labor Expenditures'!$E$7:$W$91,MATCH($C110,'Labor Expenditures'!$C$7:$C$91,0),MATCH($G110,'Labor Expenditures'!$E$5:$W$5,0)),"NA")</f>
        <v>8779.939894970048</v>
      </c>
      <c r="K110" s="125">
        <f t="shared" ca="1" si="242"/>
        <v>88.485158931418979</v>
      </c>
      <c r="L110" s="47"/>
      <c r="M110" s="131">
        <f t="shared" ref="M110:M126" ca="1" si="249">LN(K110/K109)</f>
        <v>7.0641104613922506E-2</v>
      </c>
      <c r="N110" s="59"/>
      <c r="O110" s="59"/>
      <c r="P110" s="59"/>
      <c r="Q110" s="61"/>
      <c r="R110" s="387"/>
      <c r="S110" s="49">
        <v>100</v>
      </c>
      <c r="T110" s="46"/>
      <c r="U110" s="46"/>
      <c r="V110" s="125">
        <f>IFERROR(INDEX('Non-Labor Expenditures'!$E$7:$AA$91,MATCH($C110,'Non-Labor Expenditures'!$C$7:$C$91,0),MATCH($G110,'Non-Labor Expenditures'!$E$5:$AA$5,0)),"NA")</f>
        <v>12714.992834486642</v>
      </c>
      <c r="W110" s="125">
        <f t="shared" si="243"/>
        <v>145.46881639327106</v>
      </c>
      <c r="X110" s="131"/>
      <c r="Y110" s="131"/>
      <c r="Z110" s="131"/>
      <c r="AA110" s="131"/>
      <c r="AB110" s="131"/>
      <c r="AC110" s="125">
        <f t="shared" si="223"/>
        <v>5960.6707346137127</v>
      </c>
      <c r="AD110" s="129"/>
      <c r="AE110" s="133">
        <v>503.99298431293994</v>
      </c>
      <c r="AF110" s="134">
        <v>3.2695121353422341E-2</v>
      </c>
      <c r="AG110" s="59">
        <f t="shared" si="244"/>
        <v>0</v>
      </c>
      <c r="AH110" s="134"/>
      <c r="AI110" s="134"/>
      <c r="AJ110" s="129">
        <f t="shared" si="216"/>
        <v>27455.603464070402</v>
      </c>
      <c r="AK110" s="134">
        <f>LN(AJ110/AJ109)</f>
        <v>0.74703067402578616</v>
      </c>
      <c r="AL110" s="129"/>
      <c r="AM110" s="129"/>
      <c r="AN110" s="129"/>
      <c r="AO110" s="129"/>
      <c r="AP110" s="133"/>
      <c r="AQ110" s="134"/>
      <c r="AR110" s="93">
        <f t="shared" si="245"/>
        <v>0.31978681169619383</v>
      </c>
      <c r="AS110" s="93">
        <f t="shared" si="246"/>
        <v>0.46311103127367187</v>
      </c>
      <c r="AT110" s="93">
        <f t="shared" si="247"/>
        <v>0.21710215703013433</v>
      </c>
      <c r="AU110" s="93">
        <f t="shared" ref="AU110:AU126" ca="1" si="250">+(((AR110+AR109)/2)*M110+((AS109+AS110)/2)*X110+((AT109+AT110)/2)*AF110)</f>
        <v>4.2538394153413345E-2</v>
      </c>
      <c r="AV110" s="132">
        <v>100</v>
      </c>
      <c r="AW110" s="134"/>
      <c r="AX110" s="15"/>
      <c r="AY110" s="93"/>
      <c r="AZ110" s="93"/>
      <c r="BA110" s="93"/>
      <c r="BB110" s="234">
        <f>IFERROR(INDEX('Total Customers'!$E$7:$AA$91,MATCH($C110,'Total Customers'!$C$7:$C$91,0),MATCH($G110,'Total Customers'!$E$5:$AA$5,0)),"NA")</f>
        <v>144867</v>
      </c>
      <c r="BC110" s="411">
        <f t="shared" si="171"/>
        <v>2.2838147844928269E-2</v>
      </c>
      <c r="BD110" s="92"/>
      <c r="BE110" s="281" t="str">
        <f t="shared" si="167"/>
        <v>BLACK HILLS ENERGY ARKANSAS, INC.</v>
      </c>
      <c r="BF110" s="290">
        <f t="shared" si="168"/>
        <v>4058516</v>
      </c>
      <c r="BG110" s="46" t="str">
        <f t="shared" si="169"/>
        <v>AR</v>
      </c>
      <c r="BH110" s="46"/>
      <c r="BI110" s="46" t="str">
        <f t="shared" si="170"/>
        <v>2005 Y</v>
      </c>
      <c r="BJ110" s="129"/>
      <c r="BK110" s="129"/>
      <c r="BL110" s="129">
        <f>INDEX('Dist. Plant Gas Additions'!$E$7:$AD$91,MATCH($C110,'Dist. Plant Gas Additions'!$C$7:$C$91,0),MATCH(Calculation!$G110,'Dist. Plant Gas Additions'!$E$5:$AD$5,0))</f>
        <v>7170</v>
      </c>
      <c r="BM110" s="129">
        <f>INDEX('Gen. Plant Additions'!$E$7:$AD$91,MATCH($C110,'Gen. Plant Additions'!$C$7:$C$91,0),MATCH(Calculation!$G110,'Gen. Plant Additions'!$E$5:$AD$5,0))</f>
        <v>1822</v>
      </c>
      <c r="BN110" s="393">
        <f t="shared" si="224"/>
        <v>0.79427385892116187</v>
      </c>
      <c r="BO110" s="46">
        <f t="shared" si="221"/>
        <v>1447.1669709543569</v>
      </c>
      <c r="BP110" s="46">
        <f t="shared" si="222"/>
        <v>-374.83302904564312</v>
      </c>
      <c r="BQ110" s="129">
        <f>INDEX('Dist Plant Depreciation'!$D$7:$AC$94,MATCH($C110,'Dist Plant Depreciation'!$C$7:$C$94,0),MATCH(Calculation!$G110,'Dist Plant Depreciation'!$D$5:$AC$5,0))</f>
        <v>45069</v>
      </c>
      <c r="BR110" s="129">
        <f>INDEX('Gen. Plant Depreciation'!$D$7:$AC$94,MATCH($C110,'Gen. Plant Depreciation'!$C$7:$C$94,0),MATCH(Calculation!$G110,'Gen. Plant Depreciation'!$D$5:$AC$5,0))</f>
        <v>13053</v>
      </c>
      <c r="BS110" s="129"/>
      <c r="BT110" s="129"/>
      <c r="BU110" s="129"/>
      <c r="BV110" s="129"/>
      <c r="BW110" s="129"/>
      <c r="BX110" s="129"/>
      <c r="BY110" s="129">
        <f>INDEX('Gross Dx Plant'!$D$7:$AC$91,MATCH($C110,'Gross Dx Plant'!$C$7:$C$91,0),MATCH(Calculation!$G110,'Gross Dx Plant'!$D$5:$AC$5,0))</f>
        <v>105281</v>
      </c>
      <c r="BZ110" s="129">
        <f>INDEX('Gross Gen Plant'!$D$7:$AC$91,MATCH($C110,'Gross Gen Plant'!$C$7:$C$91,0),MATCH(Calculation!$G110,'Gross Gen Plant'!$D$5:$AC$5,0))</f>
        <v>27269</v>
      </c>
      <c r="CA110" s="129">
        <f t="shared" si="172"/>
        <v>74428</v>
      </c>
      <c r="CB110" s="129"/>
      <c r="CC110" s="133">
        <v>2005</v>
      </c>
      <c r="CD110" s="129"/>
      <c r="CE110" s="129"/>
      <c r="CF110" s="129"/>
      <c r="CG110" s="137"/>
      <c r="CH110" s="129">
        <f t="shared" si="225"/>
        <v>8992</v>
      </c>
      <c r="CI110" s="46">
        <f t="shared" si="234"/>
        <v>8617.1669709543567</v>
      </c>
      <c r="CJ110" s="46">
        <f t="shared" si="226"/>
        <v>18.365457301977028</v>
      </c>
      <c r="CK110" s="443">
        <v>0.9263157894736842</v>
      </c>
      <c r="CL110" s="46">
        <f>+CL103*CK110+CJ104*CK109+CJ105*CK108+CJ106*CK107+CJ107*CK106+CJ108*CK105+CJ109*CK104+CJ110</f>
        <v>480.66716934680198</v>
      </c>
      <c r="CM110" s="134">
        <f t="shared" si="227"/>
        <v>2.7181906633001317E-2</v>
      </c>
      <c r="CN110" s="135">
        <f t="shared" si="228"/>
        <v>1.1706374943088882E-2</v>
      </c>
      <c r="CO110" s="135">
        <f t="shared" si="238"/>
        <v>1.1398401154993765E-2</v>
      </c>
      <c r="CP110" s="134">
        <f>VLOOKUP($H110,RoR!$E:$F,2,FALSE)</f>
        <v>5.2350000000000001E-2</v>
      </c>
      <c r="CQ110" s="135">
        <v>3.1010403642454332E-2</v>
      </c>
      <c r="CR110" s="135">
        <f t="shared" si="235"/>
        <v>2.1339596357545669E-2</v>
      </c>
      <c r="CS110" s="135">
        <f t="shared" si="239"/>
        <v>1.9503540453539858E-2</v>
      </c>
      <c r="CT110" s="135">
        <v>9.2129610649277341E-2</v>
      </c>
      <c r="CU110" s="139">
        <f t="shared" si="229"/>
        <v>0.8548675</v>
      </c>
      <c r="CV110" s="335">
        <f t="shared" si="230"/>
        <v>0.97959983346802826</v>
      </c>
      <c r="CW110" s="335">
        <f t="shared" si="231"/>
        <v>0.49744508118433622</v>
      </c>
      <c r="CX110" s="335">
        <f t="shared" si="232"/>
        <v>0.87010519444335932</v>
      </c>
      <c r="CY110" s="335">
        <f t="shared" si="233"/>
        <v>0.42399975420741998</v>
      </c>
      <c r="CZ110" s="336">
        <f>INDEX('State Tax Lookup'!$D$7:$Z$91,MATCH(Calculation!$C110,'State Tax Lookup'!$B$7:$B$91,0),MATCH($H110,'State Tax Lookup'!$D$6:$Z$6,0))</f>
        <v>0.39224999999999999</v>
      </c>
      <c r="DA110" s="303">
        <v>0.37</v>
      </c>
      <c r="DB110" s="57">
        <f t="shared" si="237"/>
        <v>12.74252881743783</v>
      </c>
      <c r="DC110" s="56">
        <f t="shared" si="240"/>
        <v>0.10869705338668685</v>
      </c>
      <c r="DD110" s="303">
        <f>VLOOKUP($H110,RoR!$E:$F,2,FALSE)</f>
        <v>5.2350000000000001E-2</v>
      </c>
      <c r="DE110" s="304">
        <f>HLOOKUP($H110,'GDP-PI'!$D$8:$CQ$11,3,FALSE)</f>
        <v>3.1010403642454332E-2</v>
      </c>
      <c r="DF110" s="303">
        <f>VLOOKUP(H110,'HW Dx Data'!$E:$F,2,FALSE)</f>
        <v>469.20514034936258</v>
      </c>
      <c r="DG110" s="89">
        <f ca="1">VLOOKUP(CC110,'ECI - Input Price'!M$13:N$33,2,FALSE)</f>
        <v>99.224999999999994</v>
      </c>
      <c r="DH110" s="89"/>
      <c r="DI110" s="89"/>
      <c r="DJ110" s="56">
        <f t="shared" ca="1" si="248"/>
        <v>5.0378726854569796E-2</v>
      </c>
      <c r="DK110" s="53">
        <f>HLOOKUP(H110,'GDP-PI'!$8:$9,2,FALSE)</f>
        <v>87.406999999999996</v>
      </c>
      <c r="DL110" s="355">
        <f t="shared" si="241"/>
        <v>3.0539295810733648E-2</v>
      </c>
      <c r="DP110" s="398"/>
      <c r="DQ110" s="398"/>
      <c r="DR110" s="398"/>
      <c r="DS110" s="398"/>
      <c r="DT110" s="398"/>
      <c r="DU110" s="398"/>
      <c r="DV110" s="398"/>
      <c r="DW110" s="398"/>
      <c r="DX110" s="398"/>
      <c r="EC110"/>
    </row>
    <row r="111" spans="1:133" s="126" customFormat="1" ht="21" customHeight="1" x14ac:dyDescent="0.4">
      <c r="A111" s="233" t="s">
        <v>188</v>
      </c>
      <c r="B111" s="127" t="s">
        <v>188</v>
      </c>
      <c r="C111" s="127">
        <v>4058516</v>
      </c>
      <c r="D111" s="127" t="s">
        <v>189</v>
      </c>
      <c r="E111" s="127"/>
      <c r="F111" s="127"/>
      <c r="G111" s="127" t="s">
        <v>162</v>
      </c>
      <c r="H111" s="128">
        <v>2006</v>
      </c>
      <c r="I111" s="129"/>
      <c r="J111" s="125">
        <f>IFERROR(INDEX('Labor Expenditures'!$E$7:$W$91,MATCH($C111,'Labor Expenditures'!$C$7:$C$91,0),MATCH($G111,'Labor Expenditures'!$E$5:$W$5,0)),"NA")</f>
        <v>9770.3134732770995</v>
      </c>
      <c r="K111" s="125">
        <f t="shared" ca="1" si="242"/>
        <v>89.308167031783356</v>
      </c>
      <c r="L111" s="47"/>
      <c r="M111" s="131">
        <f t="shared" ca="1" si="249"/>
        <v>9.2580975623825952E-3</v>
      </c>
      <c r="N111" s="59"/>
      <c r="O111" s="59"/>
      <c r="P111" s="59">
        <f t="shared" ref="P111:P127" ca="1" si="251">+M111*$AX111</f>
        <v>3.7788658030172057E-5</v>
      </c>
      <c r="Q111" s="61"/>
      <c r="R111" s="387"/>
      <c r="S111" s="49">
        <f ca="1">+S110*EXP(T111)</f>
        <v>90.227164766564002</v>
      </c>
      <c r="T111" s="61">
        <f ca="1">+P111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</f>
        <v>-0.1028396427676922</v>
      </c>
      <c r="U111" s="61"/>
      <c r="V111" s="125">
        <f>IFERROR(INDEX('Non-Labor Expenditures'!$E$7:$AA$91,MATCH($C111,'Non-Labor Expenditures'!$C$7:$C$91,0),MATCH($G111,'Non-Labor Expenditures'!$E$5:$AA$5,0)),"NA")</f>
        <v>14149.238752144149</v>
      </c>
      <c r="W111" s="125">
        <f t="shared" si="243"/>
        <v>157.08460545933508</v>
      </c>
      <c r="X111" s="131">
        <f t="shared" ref="X111:X126" si="252">LN(W111/W110)</f>
        <v>7.6822805155679935E-2</v>
      </c>
      <c r="Y111" s="131">
        <f t="shared" ref="Y111:Y127" si="253">+X111*AX111</f>
        <v>3.1356665809421707E-4</v>
      </c>
      <c r="Z111" s="131"/>
      <c r="AA111" s="131"/>
      <c r="AB111" s="131"/>
      <c r="AC111" s="125">
        <f t="shared" si="223"/>
        <v>5931.2303727158178</v>
      </c>
      <c r="AD111" s="129"/>
      <c r="AE111" s="133">
        <v>523.64361495205196</v>
      </c>
      <c r="AF111" s="134">
        <v>3.8248980833917916E-2</v>
      </c>
      <c r="AG111" s="59">
        <f t="shared" si="244"/>
        <v>1.5612037429896749E-4</v>
      </c>
      <c r="AH111" s="134"/>
      <c r="AI111" s="134"/>
      <c r="AJ111" s="129">
        <f t="shared" si="216"/>
        <v>29850.782598137066</v>
      </c>
      <c r="AK111" s="134">
        <f t="shared" ref="AK111:AK127" si="254">LN(AJ111/AJ110)</f>
        <v>8.3640776583214435E-2</v>
      </c>
      <c r="AL111" s="129"/>
      <c r="AM111" s="129"/>
      <c r="AN111" s="129"/>
      <c r="AO111" s="129"/>
      <c r="AP111" s="133">
        <f t="shared" ref="AP111:AP127" si="255">+(AJ111*1000)/BB111</f>
        <v>201.76945890795272</v>
      </c>
      <c r="AQ111" s="134">
        <f>+BB111/Outputs!$B$14</f>
        <v>4.2658252254685206E-3</v>
      </c>
      <c r="AR111" s="93">
        <f t="shared" si="245"/>
        <v>0.32730510301216853</v>
      </c>
      <c r="AS111" s="93">
        <f t="shared" si="246"/>
        <v>0.4739989213223233</v>
      </c>
      <c r="AT111" s="93">
        <f t="shared" si="247"/>
        <v>0.1986959756655082</v>
      </c>
      <c r="AU111" s="93">
        <f t="shared" ca="1" si="250"/>
        <v>4.6943055092092026E-2</v>
      </c>
      <c r="AV111" s="132">
        <f ca="1">+AV110*EXP(AU111)</f>
        <v>104.80623255677244</v>
      </c>
      <c r="AW111" s="134">
        <f ca="1">LN(AV111/AV110)</f>
        <v>4.6943055092091963E-2</v>
      </c>
      <c r="AX111" s="56">
        <f>+AJ111/$AL$11</f>
        <v>4.0816871690480486E-3</v>
      </c>
      <c r="AY111" s="135">
        <f ca="1">+AX111*AW111</f>
        <v>1.9160686564530742E-4</v>
      </c>
      <c r="AZ111" s="93"/>
      <c r="BA111" s="93"/>
      <c r="BB111" s="234">
        <f>IFERROR(INDEX('Total Customers'!$E$7:$AA$91,MATCH($C111,'Total Customers'!$C$7:$C$91,0),MATCH($G111,'Total Customers'!$E$5:$AA$5,0)),"NA")</f>
        <v>147945</v>
      </c>
      <c r="BC111" s="411">
        <f t="shared" si="171"/>
        <v>2.1024502956088233E-2</v>
      </c>
      <c r="BD111" s="92"/>
      <c r="BE111" s="281" t="str">
        <f t="shared" si="167"/>
        <v>BLACK HILLS ENERGY ARKANSAS, INC.</v>
      </c>
      <c r="BF111" s="290">
        <f t="shared" si="168"/>
        <v>4058516</v>
      </c>
      <c r="BG111" s="46" t="str">
        <f t="shared" si="169"/>
        <v>AR</v>
      </c>
      <c r="BH111" s="46"/>
      <c r="BI111" s="46" t="str">
        <f t="shared" si="170"/>
        <v>2006 Y</v>
      </c>
      <c r="BJ111" s="129"/>
      <c r="BK111" s="129"/>
      <c r="BL111" s="129">
        <f>INDEX('Dist. Plant Gas Additions'!$E$7:$AD$91,MATCH($C111,'Dist. Plant Gas Additions'!$C$7:$C$91,0),MATCH(Calculation!$G111,'Dist. Plant Gas Additions'!$E$5:$AD$5,0))</f>
        <v>7575</v>
      </c>
      <c r="BM111" s="129">
        <f>INDEX('Gen. Plant Additions'!$E$7:$AD$91,MATCH($C111,'Gen. Plant Additions'!$C$7:$C$91,0),MATCH(Calculation!$G111,'Gen. Plant Additions'!$E$5:$AD$5,0))</f>
        <v>2936</v>
      </c>
      <c r="BN111" s="393">
        <f t="shared" si="224"/>
        <v>0.79692431812713194</v>
      </c>
      <c r="BO111" s="46">
        <f t="shared" si="221"/>
        <v>2339.7697980212592</v>
      </c>
      <c r="BP111" s="46">
        <f t="shared" si="222"/>
        <v>-596.23020197874075</v>
      </c>
      <c r="BQ111" s="129">
        <f>INDEX('Dist Plant Depreciation'!$D$7:$AC$94,MATCH($C111,'Dist Plant Depreciation'!$C$7:$C$94,0),MATCH(Calculation!$G111,'Dist Plant Depreciation'!$D$5:$AC$5,0))</f>
        <v>47471</v>
      </c>
      <c r="BR111" s="129">
        <f>INDEX('Gen. Plant Depreciation'!$D$7:$AC$94,MATCH($C111,'Gen. Plant Depreciation'!$C$7:$C$94,0),MATCH(Calculation!$G111,'Gen. Plant Depreciation'!$D$5:$AC$5,0))</f>
        <v>13768</v>
      </c>
      <c r="BS111" s="129"/>
      <c r="BT111" s="129"/>
      <c r="BU111" s="129"/>
      <c r="BV111" s="129"/>
      <c r="BW111" s="129"/>
      <c r="BX111" s="129"/>
      <c r="BY111" s="129">
        <f>INDEX('Gross Dx Plant'!$D$7:$AC$91,MATCH($C111,'Gross Dx Plant'!$C$7:$C$91,0),MATCH(Calculation!$G111,'Gross Dx Plant'!$D$5:$AC$5,0))</f>
        <v>112607</v>
      </c>
      <c r="BZ111" s="129">
        <f>INDEX('Gross Gen Plant'!$D$7:$AC$91,MATCH($C111,'Gross Gen Plant'!$C$7:$C$91,0),MATCH(Calculation!$G111,'Gross Gen Plant'!$D$5:$AC$5,0))</f>
        <v>28695</v>
      </c>
      <c r="CA111" s="129">
        <f t="shared" si="172"/>
        <v>80063</v>
      </c>
      <c r="CB111" s="134"/>
      <c r="CC111" s="133">
        <v>2006</v>
      </c>
      <c r="CD111" s="129"/>
      <c r="CE111" s="129"/>
      <c r="CF111" s="129"/>
      <c r="CG111" s="137"/>
      <c r="CH111" s="129">
        <f t="shared" si="225"/>
        <v>10511</v>
      </c>
      <c r="CI111" s="46">
        <f t="shared" si="234"/>
        <v>9914.7697980212597</v>
      </c>
      <c r="CJ111" s="46">
        <f t="shared" si="226"/>
        <v>21.503096679026839</v>
      </c>
      <c r="CK111" s="443">
        <v>0.91489361702127658</v>
      </c>
      <c r="CL111" s="46">
        <f>+CL103*CK111+CJ104*CK110+CJ105*CK109+CJ106*CK108+CJ107*CK107+CJ108*CK106+CJ109*CK105+CJ110*CK104+CJ111</f>
        <v>496.39660802243566</v>
      </c>
      <c r="CM111" s="134">
        <f t="shared" si="227"/>
        <v>3.2200145179246832E-2</v>
      </c>
      <c r="CN111" s="135">
        <f t="shared" si="228"/>
        <v>1.2011758596367675E-2</v>
      </c>
      <c r="CO111" s="135">
        <f t="shared" si="238"/>
        <v>1.1704531439171065E-2</v>
      </c>
      <c r="CP111" s="134">
        <f>VLOOKUP($H111,RoR!$E:$F,2,FALSE)</f>
        <v>5.5874999999999994E-2</v>
      </c>
      <c r="CQ111" s="135">
        <v>3.0512430354548314E-2</v>
      </c>
      <c r="CR111" s="135">
        <f t="shared" si="235"/>
        <v>2.536256964545168E-2</v>
      </c>
      <c r="CS111" s="135">
        <f t="shared" si="239"/>
        <v>1.919741016936256E-2</v>
      </c>
      <c r="CT111" s="135">
        <v>7.9087823893859641E-2</v>
      </c>
      <c r="CU111" s="139">
        <f t="shared" si="229"/>
        <v>0.8548675</v>
      </c>
      <c r="CV111" s="335">
        <f t="shared" si="230"/>
        <v>0.91779957551769631</v>
      </c>
      <c r="CW111" s="335">
        <f t="shared" si="231"/>
        <v>0.52757270693512304</v>
      </c>
      <c r="CX111" s="335">
        <f t="shared" si="232"/>
        <v>0.88636824549024895</v>
      </c>
      <c r="CY111" s="335">
        <f t="shared" si="233"/>
        <v>0.42918482841932087</v>
      </c>
      <c r="CZ111" s="336">
        <f>INDEX('State Tax Lookup'!$D$7:$Z$91,MATCH(Calculation!$C111,'State Tax Lookup'!$B$7:$B$91,0),MATCH($H111,'State Tax Lookup'!$D$6:$Z$6,0))</f>
        <v>0.39224999999999999</v>
      </c>
      <c r="DA111" s="303">
        <v>0.37</v>
      </c>
      <c r="DB111" s="57">
        <f t="shared" si="237"/>
        <v>12.339578716757389</v>
      </c>
      <c r="DC111" s="56">
        <f t="shared" si="240"/>
        <v>-3.2133246503429899E-2</v>
      </c>
      <c r="DD111" s="303">
        <f>VLOOKUP($H111,RoR!$E:$F,2,FALSE)</f>
        <v>5.5874999999999994E-2</v>
      </c>
      <c r="DE111" s="304">
        <f>HLOOKUP($H111,'GDP-PI'!$D$8:$CQ$11,3,FALSE)</f>
        <v>3.0512430354548314E-2</v>
      </c>
      <c r="DF111" s="303">
        <f>VLOOKUP(H111,'HW Dx Data'!$E:$F,2,FALSE)</f>
        <v>461.08567272971823</v>
      </c>
      <c r="DG111" s="89">
        <f ca="1">VLOOKUP(CC111,'ECI - Input Price'!M$13:N$33,2,FALSE)</f>
        <v>109.4</v>
      </c>
      <c r="DH111" s="89"/>
      <c r="DI111" s="89"/>
      <c r="DJ111" s="56">
        <f t="shared" ca="1" si="248"/>
        <v>9.7620891318751846E-2</v>
      </c>
      <c r="DK111" s="53">
        <f>HLOOKUP(H111,'GDP-PI'!$8:$9,2,FALSE)</f>
        <v>90.073999999999998</v>
      </c>
      <c r="DL111" s="355">
        <f t="shared" si="241"/>
        <v>3.005618372545445E-2</v>
      </c>
      <c r="DP111" s="398"/>
      <c r="DQ111" s="398"/>
      <c r="DR111" s="398"/>
      <c r="DS111" s="398"/>
      <c r="DT111" s="398"/>
      <c r="DU111" s="398"/>
      <c r="DV111" s="398"/>
      <c r="DW111" s="398"/>
      <c r="DX111" s="398"/>
      <c r="EC111"/>
    </row>
    <row r="112" spans="1:133" s="126" customFormat="1" ht="21" customHeight="1" x14ac:dyDescent="0.4">
      <c r="A112" s="233" t="s">
        <v>188</v>
      </c>
      <c r="B112" s="127" t="s">
        <v>188</v>
      </c>
      <c r="C112" s="127">
        <v>4058516</v>
      </c>
      <c r="D112" s="127" t="s">
        <v>189</v>
      </c>
      <c r="E112" s="127"/>
      <c r="F112" s="127"/>
      <c r="G112" s="127" t="s">
        <v>163</v>
      </c>
      <c r="H112" s="128">
        <v>2007</v>
      </c>
      <c r="I112" s="129"/>
      <c r="J112" s="125">
        <f>IFERROR(INDEX('Labor Expenditures'!$E$7:$W$91,MATCH($C112,'Labor Expenditures'!$C$7:$C$91,0),MATCH($G112,'Labor Expenditures'!$E$5:$W$5,0)),"NA")</f>
        <v>9781.1791531573144</v>
      </c>
      <c r="K112" s="125">
        <f t="shared" ca="1" si="242"/>
        <v>93.577413567637549</v>
      </c>
      <c r="L112" s="47"/>
      <c r="M112" s="131">
        <f t="shared" ca="1" si="249"/>
        <v>4.6696106502425824E-2</v>
      </c>
      <c r="N112" s="59"/>
      <c r="O112" s="59"/>
      <c r="P112" s="59">
        <f t="shared" ca="1" si="251"/>
        <v>1.8562370063932251E-4</v>
      </c>
      <c r="Q112" s="61"/>
      <c r="R112" s="387"/>
      <c r="S112" s="49">
        <f t="shared" ref="S112:S125" ca="1" si="256">+S111*EXP(T112)</f>
        <v>97.163782624135024</v>
      </c>
      <c r="T112" s="61">
        <f ca="1">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</f>
        <v>7.4067492063269499E-2</v>
      </c>
      <c r="U112" s="61"/>
      <c r="V112" s="125">
        <f>IFERROR(INDEX('Non-Labor Expenditures'!$E$7:$AA$91,MATCH($C112,'Non-Labor Expenditures'!$C$7:$C$91,0),MATCH($G112,'Non-Labor Expenditures'!$E$5:$AA$5,0)),"NA")</f>
        <v>14164.97428603976</v>
      </c>
      <c r="W112" s="125">
        <f t="shared" si="243"/>
        <v>153.13816824190533</v>
      </c>
      <c r="X112" s="131">
        <f t="shared" si="252"/>
        <v>-2.5443974192864604E-2</v>
      </c>
      <c r="Y112" s="131">
        <f t="shared" si="253"/>
        <v>-1.0114343576815319E-4</v>
      </c>
      <c r="Z112" s="131"/>
      <c r="AA112" s="131"/>
      <c r="AB112" s="131"/>
      <c r="AC112" s="125">
        <f t="shared" si="223"/>
        <v>6524.7705049838924</v>
      </c>
      <c r="AD112" s="129"/>
      <c r="AE112" s="133">
        <v>536.30868666886613</v>
      </c>
      <c r="AF112" s="134">
        <v>2.3898574469361757E-2</v>
      </c>
      <c r="AG112" s="59">
        <f t="shared" si="244"/>
        <v>9.5000250883377365E-5</v>
      </c>
      <c r="AH112" s="134"/>
      <c r="AI112" s="134"/>
      <c r="AJ112" s="129">
        <f t="shared" si="216"/>
        <v>30470.923944180966</v>
      </c>
      <c r="AK112" s="134">
        <f t="shared" si="254"/>
        <v>2.056185842772805E-2</v>
      </c>
      <c r="AL112" s="129"/>
      <c r="AM112" s="129"/>
      <c r="AN112" s="129"/>
      <c r="AO112" s="129"/>
      <c r="AP112" s="133">
        <f t="shared" si="255"/>
        <v>202.42426057384552</v>
      </c>
      <c r="AQ112" s="134">
        <f>+BB112/Outputs!$B$15</f>
        <v>4.3076818647738166E-3</v>
      </c>
      <c r="AR112" s="93">
        <f t="shared" si="245"/>
        <v>0.32100041242842675</v>
      </c>
      <c r="AS112" s="93">
        <f t="shared" si="246"/>
        <v>0.46486855180329528</v>
      </c>
      <c r="AT112" s="93">
        <f t="shared" si="247"/>
        <v>0.21413103576827797</v>
      </c>
      <c r="AU112" s="93">
        <f t="shared" ca="1" si="250"/>
        <v>8.1254003570551299E-3</v>
      </c>
      <c r="AV112" s="132">
        <f ca="1">+AV111*EXP(AU112)</f>
        <v>105.66129431134237</v>
      </c>
      <c r="AW112" s="134">
        <f ca="1">LN(AV112/AV111)</f>
        <v>8.1254003570551681E-3</v>
      </c>
      <c r="AX112" s="56">
        <f>+AJ112/$AL$12</f>
        <v>3.9751429946237489E-3</v>
      </c>
      <c r="AY112" s="135">
        <f t="shared" ref="AY112:AY126" ca="1" si="257">+AX112*AW112</f>
        <v>3.229962830786116E-5</v>
      </c>
      <c r="AZ112" s="93"/>
      <c r="BA112" s="93"/>
      <c r="BB112" s="234">
        <f>IFERROR(INDEX('Total Customers'!$E$7:$AA$91,MATCH($C112,'Total Customers'!$C$7:$C$91,0),MATCH($G112,'Total Customers'!$E$5:$AA$5,0)),"NA")</f>
        <v>150530</v>
      </c>
      <c r="BC112" s="411">
        <f t="shared" si="171"/>
        <v>1.7321816798346133E-2</v>
      </c>
      <c r="BD112" s="92"/>
      <c r="BE112" s="281" t="str">
        <f t="shared" si="167"/>
        <v>BLACK HILLS ENERGY ARKANSAS, INC.</v>
      </c>
      <c r="BF112" s="290">
        <f t="shared" si="168"/>
        <v>4058516</v>
      </c>
      <c r="BG112" s="46" t="str">
        <f t="shared" si="169"/>
        <v>AR</v>
      </c>
      <c r="BH112" s="46"/>
      <c r="BI112" s="46" t="str">
        <f t="shared" si="170"/>
        <v>2007 Y</v>
      </c>
      <c r="BJ112" s="129"/>
      <c r="BK112" s="129"/>
      <c r="BL112" s="129">
        <f>INDEX('Dist. Plant Gas Additions'!$E$7:$AD$91,MATCH($C112,'Dist. Plant Gas Additions'!$C$7:$C$91,0),MATCH(Calculation!$G112,'Dist. Plant Gas Additions'!$E$5:$AD$5,0))</f>
        <v>5232</v>
      </c>
      <c r="BM112" s="129">
        <f>INDEX('Gen. Plant Additions'!$E$7:$AD$91,MATCH($C112,'Gen. Plant Additions'!$C$7:$C$91,0),MATCH(Calculation!$G112,'Gen. Plant Additions'!$E$5:$AD$5,0))</f>
        <v>2751</v>
      </c>
      <c r="BN112" s="393">
        <f t="shared" si="224"/>
        <v>0.79503256998144667</v>
      </c>
      <c r="BO112" s="46">
        <f t="shared" si="221"/>
        <v>2187.1346000189596</v>
      </c>
      <c r="BP112" s="46">
        <f t="shared" si="222"/>
        <v>-563.86539998104035</v>
      </c>
      <c r="BQ112" s="129">
        <f>INDEX('Dist Plant Depreciation'!$D$7:$AC$94,MATCH($C112,'Dist Plant Depreciation'!$C$7:$C$94,0),MATCH(Calculation!$G112,'Dist Plant Depreciation'!$D$5:$AC$5,0))</f>
        <v>49719</v>
      </c>
      <c r="BR112" s="129">
        <f>INDEX('Gen. Plant Depreciation'!$D$7:$AC$94,MATCH($C112,'Gen. Plant Depreciation'!$C$7:$C$94,0),MATCH(Calculation!$G112,'Gen. Plant Depreciation'!$D$5:$AC$5,0))</f>
        <v>14622</v>
      </c>
      <c r="BS112" s="129"/>
      <c r="BT112" s="129"/>
      <c r="BU112" s="129"/>
      <c r="BV112" s="129"/>
      <c r="BW112" s="129"/>
      <c r="BX112" s="129"/>
      <c r="BY112" s="129">
        <f>INDEX('Gross Dx Plant'!$D$7:$AC$91,MATCH($C112,'Gross Dx Plant'!$C$7:$C$91,0),MATCH(Calculation!$G112,'Gross Dx Plant'!$D$5:$AC$5,0))</f>
        <v>117412</v>
      </c>
      <c r="BZ112" s="129">
        <f>INDEX('Gross Gen Plant'!$D$7:$AC$91,MATCH($C112,'Gross Gen Plant'!$C$7:$C$91,0),MATCH(Calculation!$G112,'Gross Gen Plant'!$D$5:$AC$5,0))</f>
        <v>30270</v>
      </c>
      <c r="CA112" s="129">
        <f t="shared" si="172"/>
        <v>83341</v>
      </c>
      <c r="CB112" s="129"/>
      <c r="CC112" s="133">
        <v>2007</v>
      </c>
      <c r="CD112" s="129"/>
      <c r="CE112" s="129"/>
      <c r="CF112" s="129"/>
      <c r="CG112" s="137"/>
      <c r="CH112" s="129">
        <f t="shared" si="225"/>
        <v>7983</v>
      </c>
      <c r="CI112" s="46">
        <f t="shared" si="234"/>
        <v>7419.1346000189596</v>
      </c>
      <c r="CJ112" s="46">
        <f t="shared" si="226"/>
        <v>14.897193096476149</v>
      </c>
      <c r="CK112" s="443">
        <v>0.90322580645161288</v>
      </c>
      <c r="CL112" s="46">
        <f>+CL103*CK112+CJ104*CK111+CJ105*CK110+CJ106*CK109+CJ107*CK108+CJ108*CK107+CJ109*CK106+CJ110*CK105+CJ111*CK104+CJ112</f>
        <v>505.18404777759167</v>
      </c>
      <c r="CM112" s="134">
        <f t="shared" si="227"/>
        <v>1.7547593770675756E-2</v>
      </c>
      <c r="CN112" s="135">
        <f t="shared" si="228"/>
        <v>1.2308209287852329E-2</v>
      </c>
      <c r="CO112" s="135">
        <f t="shared" si="238"/>
        <v>1.2008780942436294E-2</v>
      </c>
      <c r="CP112" s="134">
        <f>VLOOKUP($H112,RoR!$E:$F,2,FALSE)</f>
        <v>5.5558333333333321E-2</v>
      </c>
      <c r="CQ112" s="135">
        <v>2.691120634145272E-2</v>
      </c>
      <c r="CR112" s="135">
        <f t="shared" si="235"/>
        <v>2.86471269918806E-2</v>
      </c>
      <c r="CS112" s="135">
        <f t="shared" si="239"/>
        <v>1.8893160666097329E-2</v>
      </c>
      <c r="CT112" s="135">
        <v>6.4575155250632399E-2</v>
      </c>
      <c r="CU112" s="139">
        <f t="shared" si="229"/>
        <v>0.8548675</v>
      </c>
      <c r="CV112" s="335">
        <f t="shared" si="230"/>
        <v>0.92303077153834634</v>
      </c>
      <c r="CW112" s="335">
        <f t="shared" si="231"/>
        <v>0.52502249887505614</v>
      </c>
      <c r="CX112" s="335">
        <f t="shared" si="232"/>
        <v>0.88499666072084604</v>
      </c>
      <c r="CY112" s="335">
        <f t="shared" si="233"/>
        <v>0.42887993290280618</v>
      </c>
      <c r="CZ112" s="336">
        <f>INDEX('State Tax Lookup'!$D$7:$Z$91,MATCH(Calculation!$C112,'State Tax Lookup'!$B$7:$B$91,0),MATCH($H112,'State Tax Lookup'!$D$6:$Z$6,0))</f>
        <v>0.39224999999999999</v>
      </c>
      <c r="DA112" s="303">
        <v>0.37</v>
      </c>
      <c r="DB112" s="57">
        <f t="shared" si="237"/>
        <v>13.144268916295641</v>
      </c>
      <c r="DC112" s="56">
        <f t="shared" si="240"/>
        <v>6.3173961521527516E-2</v>
      </c>
      <c r="DD112" s="303">
        <f>VLOOKUP($H112,RoR!$E:$F,2,FALSE)</f>
        <v>5.5558333333333321E-2</v>
      </c>
      <c r="DE112" s="304">
        <f>HLOOKUP($H112,'GDP-PI'!$D$8:$CQ$11,3,FALSE)</f>
        <v>2.691120634145272E-2</v>
      </c>
      <c r="DF112" s="303">
        <f>VLOOKUP(H112,'HW Dx Data'!$E:$F,2,FALSE)</f>
        <v>498.0223154772637</v>
      </c>
      <c r="DG112" s="89">
        <f ca="1">VLOOKUP(CC112,'ECI - Input Price'!M$13:N$33,2,FALSE)</f>
        <v>104.52499999999999</v>
      </c>
      <c r="DH112" s="89"/>
      <c r="DI112" s="89"/>
      <c r="DJ112" s="56">
        <f t="shared" ca="1" si="248"/>
        <v>-4.5584612745252218E-2</v>
      </c>
      <c r="DK112" s="53">
        <f>HLOOKUP(H112,'GDP-PI'!$8:$9,2,FALSE)</f>
        <v>92.498000000000005</v>
      </c>
      <c r="DL112" s="355">
        <f t="shared" si="241"/>
        <v>2.6555467950038037E-2</v>
      </c>
      <c r="DP112" s="398"/>
      <c r="DQ112" s="398"/>
      <c r="DR112" s="398"/>
      <c r="DS112" s="398"/>
      <c r="DT112" s="398"/>
      <c r="DU112" s="398"/>
      <c r="DV112" s="398"/>
      <c r="DW112" s="398"/>
      <c r="DX112" s="398"/>
      <c r="EC112"/>
    </row>
    <row r="113" spans="1:133" s="126" customFormat="1" ht="21" customHeight="1" x14ac:dyDescent="0.4">
      <c r="A113" s="233" t="s">
        <v>188</v>
      </c>
      <c r="B113" s="127" t="s">
        <v>188</v>
      </c>
      <c r="C113" s="127">
        <v>4058516</v>
      </c>
      <c r="D113" s="127" t="s">
        <v>189</v>
      </c>
      <c r="E113" s="127"/>
      <c r="F113" s="127"/>
      <c r="G113" s="127" t="s">
        <v>164</v>
      </c>
      <c r="H113" s="128">
        <v>2008</v>
      </c>
      <c r="I113" s="129"/>
      <c r="J113" s="125">
        <f>IFERROR(INDEX('Labor Expenditures'!$E$7:$W$91,MATCH($C113,'Labor Expenditures'!$C$7:$C$91,0),MATCH($G113,'Labor Expenditures'!$E$5:$W$5,0)),"NA")</f>
        <v>9465.3921147019773</v>
      </c>
      <c r="K113" s="125">
        <f t="shared" ca="1" si="242"/>
        <v>87.72374527063927</v>
      </c>
      <c r="L113" s="47"/>
      <c r="M113" s="131">
        <f t="shared" ca="1" si="249"/>
        <v>-6.4596427944044923E-2</v>
      </c>
      <c r="N113" s="59"/>
      <c r="O113" s="59"/>
      <c r="P113" s="59">
        <f t="shared" ca="1" si="251"/>
        <v>-2.4472526068419423E-4</v>
      </c>
      <c r="Q113" s="61"/>
      <c r="R113" s="387"/>
      <c r="S113" s="49">
        <f t="shared" ca="1" si="256"/>
        <v>96.107898531011898</v>
      </c>
      <c r="T113" s="61">
        <f ca="1">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</f>
        <v>-1.0926531935553038E-2</v>
      </c>
      <c r="U113" s="61"/>
      <c r="V113" s="125">
        <f>IFERROR(INDEX('Non-Labor Expenditures'!$E$7:$AA$91,MATCH($C113,'Non-Labor Expenditures'!$C$7:$C$91,0),MATCH($G113,'Non-Labor Expenditures'!$E$5:$AA$5,0)),"NA")</f>
        <v>13707.655673473442</v>
      </c>
      <c r="W113" s="125">
        <f t="shared" si="243"/>
        <v>145.41771698075027</v>
      </c>
      <c r="X113" s="131">
        <f t="shared" si="252"/>
        <v>-5.1730166670616778E-2</v>
      </c>
      <c r="Y113" s="131">
        <f t="shared" si="253"/>
        <v>-1.9598109255622686E-4</v>
      </c>
      <c r="Z113" s="131"/>
      <c r="AA113" s="131"/>
      <c r="AB113" s="131"/>
      <c r="AC113" s="125">
        <f t="shared" si="223"/>
        <v>7474.9745482482895</v>
      </c>
      <c r="AD113" s="129"/>
      <c r="AE113" s="133">
        <v>537.89536610575408</v>
      </c>
      <c r="AF113" s="134">
        <v>2.9541511907413419E-3</v>
      </c>
      <c r="AG113" s="59">
        <f t="shared" si="244"/>
        <v>1.1191879230240721E-5</v>
      </c>
      <c r="AH113" s="134"/>
      <c r="AI113" s="134"/>
      <c r="AJ113" s="129">
        <f t="shared" si="216"/>
        <v>30648.02233642371</v>
      </c>
      <c r="AK113" s="134">
        <f t="shared" si="254"/>
        <v>5.7952205876500617E-3</v>
      </c>
      <c r="AL113" s="129"/>
      <c r="AM113" s="129"/>
      <c r="AN113" s="129"/>
      <c r="AO113" s="129"/>
      <c r="AP113" s="133">
        <f t="shared" si="255"/>
        <v>202.19841355657113</v>
      </c>
      <c r="AQ113" s="134">
        <f>+BB113/Outputs!$B$16</f>
        <v>4.3143666839375308E-3</v>
      </c>
      <c r="AR113" s="93">
        <f t="shared" si="245"/>
        <v>0.30884185644346818</v>
      </c>
      <c r="AS113" s="93">
        <f t="shared" si="246"/>
        <v>0.44726069183206474</v>
      </c>
      <c r="AT113" s="93">
        <f t="shared" si="247"/>
        <v>0.24389745172446706</v>
      </c>
      <c r="AU113" s="93">
        <f t="shared" ca="1" si="250"/>
        <v>-4.3258536566988894E-2</v>
      </c>
      <c r="AV113" s="132">
        <f t="shared" ref="AV113:AV126" ca="1" si="258">+AV112*EXP(AU113)</f>
        <v>101.18799313164217</v>
      </c>
      <c r="AW113" s="134">
        <f t="shared" ref="AW113:AW126" ca="1" si="259">LN(AV113/AV112)</f>
        <v>-4.3258536566988873E-2</v>
      </c>
      <c r="AX113" s="56">
        <f>+AJ113/$AL$13</f>
        <v>3.7885262153532933E-3</v>
      </c>
      <c r="AY113" s="135">
        <f t="shared" ca="1" si="257"/>
        <v>-1.638860998218564E-4</v>
      </c>
      <c r="AZ113" s="93"/>
      <c r="BA113" s="93"/>
      <c r="BB113" s="234">
        <f>IFERROR(INDEX('Total Customers'!$E$7:$AA$91,MATCH($C113,'Total Customers'!$C$7:$C$91,0),MATCH($G113,'Total Customers'!$E$5:$AA$5,0)),"NA")</f>
        <v>151574</v>
      </c>
      <c r="BC113" s="411">
        <f t="shared" si="171"/>
        <v>6.9115546695896106E-3</v>
      </c>
      <c r="BD113" s="92"/>
      <c r="BE113" s="281" t="str">
        <f t="shared" si="167"/>
        <v>BLACK HILLS ENERGY ARKANSAS, INC.</v>
      </c>
      <c r="BF113" s="290">
        <f t="shared" si="168"/>
        <v>4058516</v>
      </c>
      <c r="BG113" s="46" t="str">
        <f t="shared" si="169"/>
        <v>AR</v>
      </c>
      <c r="BH113" s="46"/>
      <c r="BI113" s="46" t="str">
        <f t="shared" si="170"/>
        <v>2008 Y</v>
      </c>
      <c r="BJ113" s="129"/>
      <c r="BK113" s="129"/>
      <c r="BL113" s="129">
        <f>INDEX('Dist. Plant Gas Additions'!$E$7:$AD$91,MATCH($C113,'Dist. Plant Gas Additions'!$C$7:$C$91,0),MATCH(Calculation!$G113,'Dist. Plant Gas Additions'!$E$5:$AD$5,0))</f>
        <v>1868</v>
      </c>
      <c r="BM113" s="129">
        <f>INDEX('Gen. Plant Additions'!$E$7:$AD$91,MATCH($C113,'Gen. Plant Additions'!$C$7:$C$91,0),MATCH(Calculation!$G113,'Gen. Plant Additions'!$E$5:$AD$5,0))</f>
        <v>1064</v>
      </c>
      <c r="BN113" s="393">
        <f t="shared" si="224"/>
        <v>0.81473061904371813</v>
      </c>
      <c r="BO113" s="46">
        <f t="shared" si="221"/>
        <v>866.87337866251607</v>
      </c>
      <c r="BP113" s="46">
        <f t="shared" si="222"/>
        <v>-197.12662133748393</v>
      </c>
      <c r="BQ113" s="129">
        <f>INDEX('Dist Plant Depreciation'!$D$7:$AC$94,MATCH($C113,'Dist Plant Depreciation'!$C$7:$C$94,0),MATCH(Calculation!$G113,'Dist Plant Depreciation'!$D$5:$AC$5,0))</f>
        <v>52312</v>
      </c>
      <c r="BR113" s="129">
        <f>INDEX('Gen. Plant Depreciation'!$D$7:$AC$94,MATCH($C113,'Gen. Plant Depreciation'!$C$7:$C$94,0),MATCH(Calculation!$G113,'Gen. Plant Depreciation'!$D$5:$AC$5,0))</f>
        <v>14172</v>
      </c>
      <c r="BS113" s="129"/>
      <c r="BT113" s="129"/>
      <c r="BU113" s="129"/>
      <c r="BV113" s="129"/>
      <c r="BW113" s="129"/>
      <c r="BX113" s="129"/>
      <c r="BY113" s="129">
        <f>INDEX('Gross Dx Plant'!$D$7:$AC$91,MATCH($C113,'Gross Dx Plant'!$C$7:$C$91,0),MATCH(Calculation!$G113,'Gross Dx Plant'!$D$5:$AC$5,0))</f>
        <v>119345</v>
      </c>
      <c r="BZ113" s="129">
        <f>INDEX('Gross Gen Plant'!$D$7:$AC$91,MATCH($C113,'Gross Gen Plant'!$C$7:$C$91,0),MATCH(Calculation!$G113,'Gross Gen Plant'!$D$5:$AC$5,0))</f>
        <v>27139</v>
      </c>
      <c r="CA113" s="129">
        <f t="shared" si="172"/>
        <v>80000</v>
      </c>
      <c r="CB113" s="129"/>
      <c r="CC113" s="133">
        <v>2008</v>
      </c>
      <c r="CD113" s="129"/>
      <c r="CE113" s="129"/>
      <c r="CF113" s="129"/>
      <c r="CG113" s="137"/>
      <c r="CH113" s="129">
        <f t="shared" si="225"/>
        <v>2932</v>
      </c>
      <c r="CI113" s="46">
        <f t="shared" si="234"/>
        <v>2734.8733786625162</v>
      </c>
      <c r="CJ113" s="46">
        <f t="shared" si="226"/>
        <v>4.7990236608209722</v>
      </c>
      <c r="CK113" s="443">
        <v>0.89130434782608692</v>
      </c>
      <c r="CL113" s="46">
        <f>+CL103*CK113+CJ104*CK112+CJ105*CK111+CJ106*CK110+CJ107*CK109+CJ108*CK108+CJ109*CK107+CJ110*CK106+CJ111*CK105+CJ112*CK104+CJ113</f>
        <v>503.59438287612409</v>
      </c>
      <c r="CM113" s="134">
        <f t="shared" si="227"/>
        <v>-3.151665755347228E-3</v>
      </c>
      <c r="CN113" s="135">
        <f t="shared" si="228"/>
        <v>1.2646259497689428E-2</v>
      </c>
      <c r="CO113" s="135">
        <f t="shared" si="238"/>
        <v>1.232207579396981E-2</v>
      </c>
      <c r="CP113" s="134">
        <f>VLOOKUP($H113,RoR!$E:$F,2,FALSE)</f>
        <v>5.6316666666666668E-2</v>
      </c>
      <c r="CQ113" s="135">
        <v>1.9092304698479889E-2</v>
      </c>
      <c r="CR113" s="135">
        <f t="shared" si="235"/>
        <v>3.7224361968186778E-2</v>
      </c>
      <c r="CS113" s="135">
        <f t="shared" si="239"/>
        <v>1.8579865814563813E-2</v>
      </c>
      <c r="CT113" s="135">
        <v>6.9030581091053131E-2</v>
      </c>
      <c r="CU113" s="139">
        <f t="shared" si="229"/>
        <v>0.8548675</v>
      </c>
      <c r="CV113" s="335">
        <f t="shared" si="230"/>
        <v>0.91060168006009956</v>
      </c>
      <c r="CW113" s="335">
        <f t="shared" si="231"/>
        <v>0.53108168097070152</v>
      </c>
      <c r="CX113" s="335">
        <f t="shared" si="232"/>
        <v>0.88825329850328805</v>
      </c>
      <c r="CY113" s="335">
        <f t="shared" si="233"/>
        <v>0.4295627335323573</v>
      </c>
      <c r="CZ113" s="336">
        <f>INDEX('State Tax Lookup'!$D$7:$Z$91,MATCH(Calculation!$C113,'State Tax Lookup'!$B$7:$B$91,0),MATCH($H113,'State Tax Lookup'!$D$6:$Z$6,0))</f>
        <v>0.39224999999999999</v>
      </c>
      <c r="DA113" s="303">
        <v>0.37</v>
      </c>
      <c r="DB113" s="57">
        <f t="shared" si="237"/>
        <v>14.796537185075888</v>
      </c>
      <c r="DC113" s="56">
        <f t="shared" si="240"/>
        <v>0.11840733964341896</v>
      </c>
      <c r="DD113" s="303">
        <f>VLOOKUP($H113,RoR!$E:$F,2,FALSE)</f>
        <v>5.6316666666666668E-2</v>
      </c>
      <c r="DE113" s="304">
        <f>HLOOKUP($H113,'GDP-PI'!$D$8:$CQ$11,3,FALSE)</f>
        <v>1.9092304698479889E-2</v>
      </c>
      <c r="DF113" s="303">
        <f>VLOOKUP(H113,'HW Dx Data'!$E:$F,2,FALSE)</f>
        <v>569.88120333515076</v>
      </c>
      <c r="DG113" s="89">
        <f ca="1">VLOOKUP(CC113,'ECI - Input Price'!M$13:N$33,2,FALSE)</f>
        <v>107.9</v>
      </c>
      <c r="DH113" s="89"/>
      <c r="DI113" s="89"/>
      <c r="DJ113" s="56">
        <f t="shared" ca="1" si="248"/>
        <v>3.1778595021460486E-2</v>
      </c>
      <c r="DK113" s="53">
        <f>HLOOKUP(H113,'GDP-PI'!$8:$9,2,FALSE)</f>
        <v>94.263999999999996</v>
      </c>
      <c r="DL113" s="355">
        <f t="shared" si="241"/>
        <v>1.8912333748032254E-2</v>
      </c>
      <c r="DP113" s="398"/>
      <c r="DQ113" s="398"/>
      <c r="DR113" s="398"/>
      <c r="DS113" s="398"/>
      <c r="DT113" s="398"/>
      <c r="DU113" s="398"/>
      <c r="DV113" s="398"/>
      <c r="DW113" s="398"/>
      <c r="DX113" s="398"/>
      <c r="EC113"/>
    </row>
    <row r="114" spans="1:133" s="126" customFormat="1" ht="21" customHeight="1" x14ac:dyDescent="0.4">
      <c r="A114" s="233" t="s">
        <v>188</v>
      </c>
      <c r="B114" s="127" t="s">
        <v>188</v>
      </c>
      <c r="C114" s="127">
        <v>4058516</v>
      </c>
      <c r="D114" s="127" t="s">
        <v>189</v>
      </c>
      <c r="E114" s="127"/>
      <c r="F114" s="127"/>
      <c r="G114" s="127" t="s">
        <v>165</v>
      </c>
      <c r="H114" s="128">
        <v>2009</v>
      </c>
      <c r="I114" s="129"/>
      <c r="J114" s="125">
        <f>IFERROR(INDEX('Labor Expenditures'!$E$7:$W$91,MATCH($C114,'Labor Expenditures'!$C$7:$C$91,0),MATCH($G114,'Labor Expenditures'!$E$5:$W$5,0)),"NA")</f>
        <v>8610.090797554356</v>
      </c>
      <c r="K114" s="125">
        <f t="shared" ca="1" si="242"/>
        <v>77.620832071709316</v>
      </c>
      <c r="L114" s="47"/>
      <c r="M114" s="131">
        <f t="shared" ca="1" si="249"/>
        <v>-0.12235677268793253</v>
      </c>
      <c r="N114" s="59"/>
      <c r="O114" s="59"/>
      <c r="P114" s="59">
        <f t="shared" ca="1" si="251"/>
        <v>-4.072742566136373E-4</v>
      </c>
      <c r="Q114" s="61"/>
      <c r="R114" s="387"/>
      <c r="S114" s="49">
        <f t="shared" ca="1" si="256"/>
        <v>101.03946379103429</v>
      </c>
      <c r="T114" s="61">
        <f ca="1">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</f>
        <v>5.0039667782119691E-2</v>
      </c>
      <c r="U114" s="61"/>
      <c r="V114" s="125">
        <f>IFERROR(INDEX('Non-Labor Expenditures'!$E$7:$AA$91,MATCH($C114,'Non-Labor Expenditures'!$C$7:$C$91,0),MATCH($G114,'Non-Labor Expenditures'!$E$5:$AA$5,0)),"NA")</f>
        <v>12469.019617993239</v>
      </c>
      <c r="W114" s="125">
        <f t="shared" si="243"/>
        <v>131.25421970750472</v>
      </c>
      <c r="X114" s="131">
        <f t="shared" si="252"/>
        <v>-0.10247435650535781</v>
      </c>
      <c r="Y114" s="131">
        <f t="shared" si="253"/>
        <v>-3.410940518521587E-4</v>
      </c>
      <c r="Z114" s="131"/>
      <c r="AA114" s="131"/>
      <c r="AB114" s="131"/>
      <c r="AC114" s="125">
        <f t="shared" si="223"/>
        <v>7070.1015260932845</v>
      </c>
      <c r="AD114" s="129"/>
      <c r="AE114" s="133">
        <v>544.26450254380973</v>
      </c>
      <c r="AF114" s="134">
        <v>1.1771292147233207E-2</v>
      </c>
      <c r="AG114" s="59">
        <f t="shared" si="244"/>
        <v>3.9181682822524912E-5</v>
      </c>
      <c r="AH114" s="134"/>
      <c r="AI114" s="134"/>
      <c r="AJ114" s="129">
        <f t="shared" si="216"/>
        <v>28149.211941640879</v>
      </c>
      <c r="AK114" s="134">
        <f t="shared" si="254"/>
        <v>-8.5048776977865087E-2</v>
      </c>
      <c r="AL114" s="129"/>
      <c r="AM114" s="129"/>
      <c r="AN114" s="129"/>
      <c r="AO114" s="129"/>
      <c r="AP114" s="133">
        <f t="shared" si="255"/>
        <v>182.59027244425411</v>
      </c>
      <c r="AQ114" s="134">
        <f>+BB114/Outputs!$B$17</f>
        <v>4.3825508716860313E-3</v>
      </c>
      <c r="AR114" s="93">
        <f t="shared" si="245"/>
        <v>0.30587324488532219</v>
      </c>
      <c r="AS114" s="93">
        <f t="shared" si="246"/>
        <v>0.44296158783571238</v>
      </c>
      <c r="AT114" s="93">
        <f t="shared" si="247"/>
        <v>0.25116516727896548</v>
      </c>
      <c r="AU114" s="93">
        <f t="shared" ca="1" si="250"/>
        <v>-8.0305992228675266E-2</v>
      </c>
      <c r="AV114" s="132">
        <f t="shared" ca="1" si="258"/>
        <v>93.379712679406438</v>
      </c>
      <c r="AW114" s="134">
        <f t="shared" ca="1" si="259"/>
        <v>-8.030599222867521E-2</v>
      </c>
      <c r="AX114" s="56">
        <f>+AJ114/$AL$14</f>
        <v>3.3285795928303758E-3</v>
      </c>
      <c r="AY114" s="135">
        <f t="shared" ca="1" si="257"/>
        <v>-2.6730488691436308E-4</v>
      </c>
      <c r="AZ114" s="93"/>
      <c r="BA114" s="93"/>
      <c r="BB114" s="234">
        <f>IFERROR(INDEX('Total Customers'!$E$7:$AA$91,MATCH($C114,'Total Customers'!$C$7:$C$91,0),MATCH($G114,'Total Customers'!$E$5:$AA$5,0)),"NA")</f>
        <v>154166</v>
      </c>
      <c r="BC114" s="411">
        <f t="shared" si="171"/>
        <v>1.6955989408693729E-2</v>
      </c>
      <c r="BD114" s="92"/>
      <c r="BE114" s="281" t="str">
        <f t="shared" si="167"/>
        <v>BLACK HILLS ENERGY ARKANSAS, INC.</v>
      </c>
      <c r="BF114" s="290">
        <f t="shared" si="168"/>
        <v>4058516</v>
      </c>
      <c r="BG114" s="46" t="str">
        <f t="shared" si="169"/>
        <v>AR</v>
      </c>
      <c r="BH114" s="46"/>
      <c r="BI114" s="46" t="str">
        <f t="shared" si="170"/>
        <v>2009 Y</v>
      </c>
      <c r="BJ114" s="129"/>
      <c r="BK114" s="129"/>
      <c r="BL114" s="129">
        <f>INDEX('Dist. Plant Gas Additions'!$E$7:$AD$91,MATCH($C114,'Dist. Plant Gas Additions'!$C$7:$C$91,0),MATCH(Calculation!$G114,'Dist. Plant Gas Additions'!$E$5:$AD$5,0))</f>
        <v>3673</v>
      </c>
      <c r="BM114" s="129">
        <f>INDEX('Gen. Plant Additions'!$E$7:$AD$91,MATCH($C114,'Gen. Plant Additions'!$C$7:$C$91,0),MATCH(Calculation!$G114,'Gen. Plant Additions'!$E$5:$AD$5,0))</f>
        <v>1878</v>
      </c>
      <c r="BN114" s="393">
        <f t="shared" si="224"/>
        <v>0.81177255492581879</v>
      </c>
      <c r="BO114" s="46">
        <f t="shared" si="221"/>
        <v>1524.5088581506877</v>
      </c>
      <c r="BP114" s="46">
        <f t="shared" si="222"/>
        <v>-353.49114184931227</v>
      </c>
      <c r="BQ114" s="129">
        <f>INDEX('Dist Plant Depreciation'!$D$7:$AC$94,MATCH($C114,'Dist Plant Depreciation'!$C$7:$C$94,0),MATCH(Calculation!$G114,'Dist Plant Depreciation'!$D$5:$AC$5,0))</f>
        <v>55117</v>
      </c>
      <c r="BR114" s="129">
        <f>INDEX('Gen. Plant Depreciation'!$D$7:$AC$94,MATCH($C114,'Gen. Plant Depreciation'!$C$7:$C$94,0),MATCH(Calculation!$G114,'Gen. Plant Depreciation'!$D$5:$AC$5,0))</f>
        <v>15529</v>
      </c>
      <c r="BS114" s="129"/>
      <c r="BT114" s="129"/>
      <c r="BU114" s="129"/>
      <c r="BV114" s="129"/>
      <c r="BW114" s="129"/>
      <c r="BX114" s="129"/>
      <c r="BY114" s="129">
        <f>INDEX('Gross Dx Plant'!$D$7:$AC$91,MATCH($C114,'Gross Dx Plant'!$C$7:$C$91,0),MATCH(Calculation!$G114,'Gross Dx Plant'!$D$5:$AC$5,0))</f>
        <v>122891</v>
      </c>
      <c r="BZ114" s="129">
        <f>INDEX('Gross Gen Plant'!$D$7:$AC$91,MATCH($C114,'Gross Gen Plant'!$C$7:$C$91,0),MATCH(Calculation!$G114,'Gross Gen Plant'!$D$5:$AC$5,0))</f>
        <v>28495</v>
      </c>
      <c r="CA114" s="129">
        <f t="shared" si="172"/>
        <v>80740</v>
      </c>
      <c r="CB114" s="129"/>
      <c r="CC114" s="133">
        <v>2009</v>
      </c>
      <c r="CD114" s="129"/>
      <c r="CE114" s="129"/>
      <c r="CF114" s="129"/>
      <c r="CG114" s="137"/>
      <c r="CH114" s="129">
        <f t="shared" si="225"/>
        <v>5551</v>
      </c>
      <c r="CI114" s="46">
        <f t="shared" si="234"/>
        <v>5197.508858150688</v>
      </c>
      <c r="CJ114" s="46">
        <f t="shared" si="226"/>
        <v>9.4338818214029185</v>
      </c>
      <c r="CK114" s="443">
        <v>0.87912087912087911</v>
      </c>
      <c r="CL114" s="46">
        <f>+CL103*CK114+CJ104*CK113+CJ105*CK112+CJ106*CK111+CJ107*CK110+CJ108*CK109+CJ109*CK108+CJ110*CK107+CJ111*CK106+CJ112*CK105+CJ113*CK104+CJ114</f>
        <v>506.45338302167971</v>
      </c>
      <c r="CM114" s="134">
        <f t="shared" si="227"/>
        <v>5.6611338148953678E-3</v>
      </c>
      <c r="CN114" s="135">
        <f t="shared" si="228"/>
        <v>1.3055907491058344E-2</v>
      </c>
      <c r="CO114" s="135">
        <f t="shared" si="238"/>
        <v>1.2670125425533368E-2</v>
      </c>
      <c r="CP114" s="134">
        <f>VLOOKUP($H114,RoR!$E:$F,2,FALSE)</f>
        <v>5.3133333333333324E-2</v>
      </c>
      <c r="CQ114" s="135">
        <v>7.7972502758210105E-3</v>
      </c>
      <c r="CR114" s="135">
        <f t="shared" si="235"/>
        <v>4.5336083057512314E-2</v>
      </c>
      <c r="CS114" s="135">
        <f t="shared" si="239"/>
        <v>1.8231816183000259E-2</v>
      </c>
      <c r="CT114" s="135">
        <v>6.3720160300892073E-2</v>
      </c>
      <c r="CU114" s="139">
        <f t="shared" si="229"/>
        <v>0.8548675</v>
      </c>
      <c r="CV114" s="335">
        <f t="shared" si="230"/>
        <v>0.96515780330083989</v>
      </c>
      <c r="CW114" s="335">
        <f t="shared" si="231"/>
        <v>0.50448557089084056</v>
      </c>
      <c r="CX114" s="335">
        <f t="shared" si="232"/>
        <v>0.87391435735465484</v>
      </c>
      <c r="CY114" s="335">
        <f t="shared" si="233"/>
        <v>0.42551605393279146</v>
      </c>
      <c r="CZ114" s="336">
        <f>INDEX('State Tax Lookup'!$D$7:$Z$91,MATCH(Calculation!$C114,'State Tax Lookup'!$B$7:$B$91,0),MATCH($H114,'State Tax Lookup'!$D$6:$Z$6,0))</f>
        <v>0.39224999999999999</v>
      </c>
      <c r="DA114" s="303">
        <v>0.37</v>
      </c>
      <c r="DB114" s="57">
        <f t="shared" si="237"/>
        <v>14.039277971518624</v>
      </c>
      <c r="DC114" s="56">
        <f t="shared" si="240"/>
        <v>-5.2534208667264985E-2</v>
      </c>
      <c r="DD114" s="303">
        <f>VLOOKUP($H114,RoR!$E:$F,2,FALSE)</f>
        <v>5.3133333333333324E-2</v>
      </c>
      <c r="DE114" s="304">
        <f>HLOOKUP($H114,'GDP-PI'!$D$8:$CQ$11,3,FALSE)</f>
        <v>7.7972502758210105E-3</v>
      </c>
      <c r="DF114" s="303">
        <f>VLOOKUP(H114,'HW Dx Data'!$E:$F,2,FALSE)</f>
        <v>550.94063679692806</v>
      </c>
      <c r="DG114" s="89">
        <f ca="1">VLOOKUP(CC114,'ECI - Input Price'!M$13:N$33,2,FALSE)</f>
        <v>110.925</v>
      </c>
      <c r="DH114" s="89"/>
      <c r="DI114" s="89"/>
      <c r="DJ114" s="56">
        <f t="shared" ca="1" si="248"/>
        <v>2.7649425000884052E-2</v>
      </c>
      <c r="DK114" s="53">
        <f>HLOOKUP(H114,'GDP-PI'!$8:$9,2,FALSE)</f>
        <v>94.998999999999995</v>
      </c>
      <c r="DL114" s="355">
        <f t="shared" si="241"/>
        <v>7.7670088183096342E-3</v>
      </c>
      <c r="DP114" s="398"/>
      <c r="DQ114" s="398"/>
      <c r="DR114" s="398"/>
      <c r="DS114" s="398"/>
      <c r="DT114" s="398"/>
      <c r="DU114" s="398"/>
      <c r="DV114" s="398"/>
      <c r="DW114" s="398"/>
      <c r="DX114" s="398"/>
      <c r="EC114"/>
    </row>
    <row r="115" spans="1:133" s="126" customFormat="1" ht="21" customHeight="1" x14ac:dyDescent="0.4">
      <c r="A115" s="233" t="s">
        <v>188</v>
      </c>
      <c r="B115" s="127" t="s">
        <v>188</v>
      </c>
      <c r="C115" s="127">
        <v>4058516</v>
      </c>
      <c r="D115" s="127" t="s">
        <v>189</v>
      </c>
      <c r="E115" s="127"/>
      <c r="F115" s="127"/>
      <c r="G115" s="127" t="s">
        <v>166</v>
      </c>
      <c r="H115" s="128">
        <v>2010</v>
      </c>
      <c r="I115" s="129"/>
      <c r="J115" s="125">
        <f>IFERROR(INDEX('Labor Expenditures'!$E$7:$W$91,MATCH($C115,'Labor Expenditures'!$C$7:$C$91,0),MATCH($G115,'Labor Expenditures'!$E$5:$W$5,0)),"NA")</f>
        <v>8981.9195396377472</v>
      </c>
      <c r="K115" s="125">
        <f t="shared" ca="1" si="242"/>
        <v>76.817785243855013</v>
      </c>
      <c r="L115" s="47"/>
      <c r="M115" s="131">
        <f t="shared" ca="1" si="249"/>
        <v>-1.0399653654591189E-2</v>
      </c>
      <c r="N115" s="59"/>
      <c r="O115" s="59"/>
      <c r="P115" s="59">
        <f t="shared" ca="1" si="251"/>
        <v>-3.4823426921106772E-5</v>
      </c>
      <c r="Q115" s="61"/>
      <c r="R115" s="387"/>
      <c r="S115" s="49">
        <f t="shared" ca="1" si="256"/>
        <v>98.91165610787715</v>
      </c>
      <c r="T115" s="61">
        <f ca="1">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</f>
        <v>-2.1284081934822893E-2</v>
      </c>
      <c r="U115" s="61"/>
      <c r="V115" s="125">
        <f>IFERROR(INDEX('Non-Labor Expenditures'!$E$7:$AA$91,MATCH($C115,'Non-Labor Expenditures'!$C$7:$C$91,0),MATCH($G115,'Non-Labor Expenditures'!$E$5:$AA$5,0)),"NA")</f>
        <v>13007.497084559385</v>
      </c>
      <c r="W115" s="125">
        <f t="shared" si="243"/>
        <v>135.34109276508326</v>
      </c>
      <c r="X115" s="131">
        <f t="shared" si="252"/>
        <v>3.0662153885235174E-2</v>
      </c>
      <c r="Y115" s="131">
        <f t="shared" si="253"/>
        <v>1.0267277262592558E-4</v>
      </c>
      <c r="Z115" s="131"/>
      <c r="AA115" s="131"/>
      <c r="AB115" s="131"/>
      <c r="AC115" s="125">
        <f t="shared" si="223"/>
        <v>7201.4491118558044</v>
      </c>
      <c r="AD115" s="129"/>
      <c r="AE115" s="133">
        <v>557.54907387649621</v>
      </c>
      <c r="AF115" s="134">
        <v>2.4115177749156443E-2</v>
      </c>
      <c r="AG115" s="59">
        <f t="shared" si="244"/>
        <v>8.0750105525534543E-5</v>
      </c>
      <c r="AH115" s="134"/>
      <c r="AI115" s="134"/>
      <c r="AJ115" s="129">
        <f t="shared" si="216"/>
        <v>29190.865736052936</v>
      </c>
      <c r="AK115" s="134">
        <f t="shared" si="254"/>
        <v>3.633648385276992E-2</v>
      </c>
      <c r="AL115" s="129"/>
      <c r="AM115" s="129"/>
      <c r="AN115" s="129"/>
      <c r="AO115" s="129"/>
      <c r="AP115" s="133">
        <f t="shared" si="255"/>
        <v>190.08925097062422</v>
      </c>
      <c r="AQ115" s="134">
        <f>+BB115/Outputs!$B$18</f>
        <v>4.3415524202223771E-3</v>
      </c>
      <c r="AR115" s="93">
        <f t="shared" si="245"/>
        <v>0.30769623692744386</v>
      </c>
      <c r="AS115" s="93">
        <f t="shared" si="246"/>
        <v>0.4456016208006513</v>
      </c>
      <c r="AT115" s="93">
        <f t="shared" si="247"/>
        <v>0.24670214227190487</v>
      </c>
      <c r="AU115" s="93">
        <f t="shared" ca="1" si="250"/>
        <v>1.6435255200700143E-2</v>
      </c>
      <c r="AV115" s="132">
        <f t="shared" ca="1" si="258"/>
        <v>94.927113217711323</v>
      </c>
      <c r="AW115" s="134">
        <f t="shared" ca="1" si="259"/>
        <v>1.6435255200700036E-2</v>
      </c>
      <c r="AX115" s="56">
        <f>+AJ115/$AL$15</f>
        <v>3.3485179485504397E-3</v>
      </c>
      <c r="AY115" s="135">
        <f t="shared" ca="1" si="257"/>
        <v>5.5033747028551031E-5</v>
      </c>
      <c r="AZ115" s="93"/>
      <c r="BA115" s="93"/>
      <c r="BB115" s="234">
        <f>IFERROR(INDEX('Total Customers'!$E$7:$AA$91,MATCH($C115,'Total Customers'!$C$7:$C$91,0),MATCH($G115,'Total Customers'!$E$5:$AA$5,0)),"NA")</f>
        <v>153564</v>
      </c>
      <c r="BC115" s="411">
        <f t="shared" si="171"/>
        <v>-3.9125257072367848E-3</v>
      </c>
      <c r="BD115" s="92"/>
      <c r="BE115" s="281" t="str">
        <f t="shared" si="167"/>
        <v>BLACK HILLS ENERGY ARKANSAS, INC.</v>
      </c>
      <c r="BF115" s="290">
        <f t="shared" si="168"/>
        <v>4058516</v>
      </c>
      <c r="BG115" s="46" t="str">
        <f t="shared" si="169"/>
        <v>AR</v>
      </c>
      <c r="BH115" s="46"/>
      <c r="BI115" s="46" t="str">
        <f t="shared" si="170"/>
        <v>2010 Y</v>
      </c>
      <c r="BJ115" s="129"/>
      <c r="BK115" s="129"/>
      <c r="BL115" s="129">
        <f>INDEX('Dist. Plant Gas Additions'!$E$7:$AD$91,MATCH($C115,'Dist. Plant Gas Additions'!$C$7:$C$91,0),MATCH(Calculation!$G115,'Dist. Plant Gas Additions'!$E$5:$AD$5,0))</f>
        <v>5455</v>
      </c>
      <c r="BM115" s="129">
        <f>INDEX('Gen. Plant Additions'!$E$7:$AD$91,MATCH($C115,'Gen. Plant Additions'!$C$7:$C$91,0),MATCH(Calculation!$G115,'Gen. Plant Additions'!$E$5:$AD$5,0))</f>
        <v>4315</v>
      </c>
      <c r="BN115" s="393">
        <f t="shared" si="224"/>
        <v>0.80512066536660987</v>
      </c>
      <c r="BO115" s="46">
        <f t="shared" si="221"/>
        <v>3474.0956710569217</v>
      </c>
      <c r="BP115" s="46">
        <f t="shared" si="222"/>
        <v>-840.90432894307833</v>
      </c>
      <c r="BQ115" s="129">
        <f>INDEX('Dist Plant Depreciation'!$D$7:$AC$94,MATCH($C115,'Dist Plant Depreciation'!$C$7:$C$94,0),MATCH(Calculation!$G115,'Dist Plant Depreciation'!$D$5:$AC$5,0))</f>
        <v>59359</v>
      </c>
      <c r="BR115" s="129">
        <f>INDEX('Gen. Plant Depreciation'!$D$7:$AC$94,MATCH($C115,'Gen. Plant Depreciation'!$C$7:$C$94,0),MATCH(Calculation!$G115,'Gen. Plant Depreciation'!$D$5:$AC$5,0))</f>
        <v>16460</v>
      </c>
      <c r="BS115" s="129"/>
      <c r="BT115" s="129"/>
      <c r="BU115" s="129"/>
      <c r="BV115" s="129"/>
      <c r="BW115" s="129"/>
      <c r="BX115" s="129"/>
      <c r="BY115" s="129">
        <f>INDEX('Gross Dx Plant'!$D$7:$AC$91,MATCH($C115,'Gross Dx Plant'!$C$7:$C$91,0),MATCH(Calculation!$G115,'Gross Dx Plant'!$D$5:$AC$5,0))</f>
        <v>130878</v>
      </c>
      <c r="BZ115" s="129">
        <f>INDEX('Gross Gen Plant'!$D$7:$AC$91,MATCH($C115,'Gross Gen Plant'!$C$7:$C$91,0),MATCH(Calculation!$G115,'Gross Gen Plant'!$D$5:$AC$5,0))</f>
        <v>31679</v>
      </c>
      <c r="CA115" s="129">
        <f t="shared" si="172"/>
        <v>86738</v>
      </c>
      <c r="CB115" s="129"/>
      <c r="CC115" s="133">
        <v>2010</v>
      </c>
      <c r="CD115" s="129"/>
      <c r="CE115" s="129"/>
      <c r="CF115" s="129"/>
      <c r="CG115" s="137"/>
      <c r="CH115" s="129">
        <f t="shared" si="225"/>
        <v>9770</v>
      </c>
      <c r="CI115" s="46">
        <f t="shared" si="234"/>
        <v>8929.0956710569226</v>
      </c>
      <c r="CJ115" s="46">
        <f t="shared" si="226"/>
        <v>15.692900536458104</v>
      </c>
      <c r="CK115" s="443">
        <v>0.8666666666666667</v>
      </c>
      <c r="CL115" s="46">
        <f>+CL103*CK115+CJ104*CK114+CJ105*CK113+CJ106*CK112+CJ107*CK111+CJ108*CK110+CJ109*CK109+CJ110*CK108+CJ111*CK107+CJ112*CK106+CJ113*CK105+CJ114*CK104+CJ115</f>
        <v>515.33380073033254</v>
      </c>
      <c r="CM115" s="134">
        <f t="shared" si="227"/>
        <v>1.7382565475299351E-2</v>
      </c>
      <c r="CN115" s="135">
        <f t="shared" si="228"/>
        <v>1.3451352199800894E-2</v>
      </c>
      <c r="CO115" s="135">
        <f t="shared" si="238"/>
        <v>1.3051173062849553E-2</v>
      </c>
      <c r="CP115" s="134">
        <f>VLOOKUP($H115,RoR!$E:$F,2,FALSE)</f>
        <v>4.9433333333333322E-2</v>
      </c>
      <c r="CQ115" s="135">
        <v>1.1684333519300205E-2</v>
      </c>
      <c r="CR115" s="135">
        <f t="shared" si="235"/>
        <v>3.7748999814033117E-2</v>
      </c>
      <c r="CS115" s="135">
        <f t="shared" si="239"/>
        <v>1.785076854568407E-2</v>
      </c>
      <c r="CT115" s="135">
        <v>4.7937530248493419E-2</v>
      </c>
      <c r="CU115" s="139">
        <f t="shared" si="229"/>
        <v>0.8548675</v>
      </c>
      <c r="CV115" s="335">
        <f t="shared" si="230"/>
        <v>1.037398205301105</v>
      </c>
      <c r="CW115" s="335">
        <f t="shared" si="231"/>
        <v>0.46926837491571133</v>
      </c>
      <c r="CX115" s="335">
        <f t="shared" si="232"/>
        <v>0.8548537519972772</v>
      </c>
      <c r="CY115" s="335">
        <f t="shared" si="233"/>
        <v>0.41615833911547367</v>
      </c>
      <c r="CZ115" s="336">
        <f>INDEX('State Tax Lookup'!$D$7:$Z$91,MATCH(Calculation!$C115,'State Tax Lookup'!$B$7:$B$91,0),MATCH($H115,'State Tax Lookup'!$D$6:$Z$6,0))</f>
        <v>0.39224999999999999</v>
      </c>
      <c r="DA115" s="303">
        <v>0.37</v>
      </c>
      <c r="DB115" s="57">
        <f t="shared" si="237"/>
        <v>14.219372114545699</v>
      </c>
      <c r="DC115" s="56">
        <f t="shared" si="240"/>
        <v>1.2746297559727546E-2</v>
      </c>
      <c r="DD115" s="303">
        <f>VLOOKUP($H115,RoR!$E:$F,2,FALSE)</f>
        <v>4.9433333333333322E-2</v>
      </c>
      <c r="DE115" s="304">
        <f>HLOOKUP($H115,'GDP-PI'!$D$8:$CQ$11,3,FALSE)</f>
        <v>1.1684333519300205E-2</v>
      </c>
      <c r="DF115" s="303">
        <f>VLOOKUP(H115,'HW Dx Data'!$E:$F,2,FALSE)</f>
        <v>568.98950262971744</v>
      </c>
      <c r="DG115" s="89">
        <f ca="1">VLOOKUP(CC115,'ECI - Input Price'!M$13:N$33,2,FALSE)</f>
        <v>116.925</v>
      </c>
      <c r="DH115" s="89"/>
      <c r="DI115" s="89"/>
      <c r="DJ115" s="56">
        <f t="shared" ca="1" si="248"/>
        <v>5.2678406346976722E-2</v>
      </c>
      <c r="DK115" s="53">
        <f>HLOOKUP(H115,'GDP-PI'!$8:$9,2,FALSE)</f>
        <v>96.108999999999995</v>
      </c>
      <c r="DL115" s="355">
        <f t="shared" si="241"/>
        <v>1.1616598807150427E-2</v>
      </c>
      <c r="DP115" s="398"/>
      <c r="DQ115" s="398"/>
      <c r="DR115" s="398"/>
      <c r="DS115" s="398"/>
      <c r="DT115" s="398"/>
      <c r="DU115" s="398"/>
      <c r="DV115" s="398"/>
      <c r="DW115" s="398"/>
      <c r="DX115" s="398"/>
      <c r="EC115"/>
    </row>
    <row r="116" spans="1:133" s="126" customFormat="1" ht="21" customHeight="1" x14ac:dyDescent="0.4">
      <c r="A116" s="233" t="s">
        <v>188</v>
      </c>
      <c r="B116" s="127" t="s">
        <v>188</v>
      </c>
      <c r="C116" s="127">
        <v>4058516</v>
      </c>
      <c r="D116" s="127" t="s">
        <v>189</v>
      </c>
      <c r="E116" s="127"/>
      <c r="F116" s="127"/>
      <c r="G116" s="127" t="s">
        <v>167</v>
      </c>
      <c r="H116" s="128">
        <v>2011</v>
      </c>
      <c r="I116" s="129"/>
      <c r="J116" s="125">
        <f>IFERROR(INDEX('Labor Expenditures'!$E$7:$W$91,MATCH($C116,'Labor Expenditures'!$C$7:$C$91,0),MATCH($G116,'Labor Expenditures'!$E$5:$W$5,0)),"NA")</f>
        <v>8739.1160143126126</v>
      </c>
      <c r="K116" s="125">
        <f t="shared" ca="1" si="242"/>
        <v>72.298788122544877</v>
      </c>
      <c r="L116" s="47"/>
      <c r="M116" s="131">
        <f t="shared" ca="1" si="249"/>
        <v>-6.0628824805736718E-2</v>
      </c>
      <c r="N116" s="59"/>
      <c r="O116" s="59"/>
      <c r="P116" s="59">
        <f t="shared" ca="1" si="251"/>
        <v>-1.9458598911554578E-4</v>
      </c>
      <c r="Q116" s="61"/>
      <c r="R116" s="387"/>
      <c r="S116" s="49">
        <f t="shared" ca="1" si="256"/>
        <v>98.076758865400976</v>
      </c>
      <c r="T116" s="61">
        <f ca="1">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</f>
        <v>-8.4766633793829215E-3</v>
      </c>
      <c r="U116" s="61"/>
      <c r="V116" s="125">
        <f>IFERROR(INDEX('Non-Labor Expenditures'!$E$7:$AA$91,MATCH($C116,'Non-Labor Expenditures'!$C$7:$C$91,0),MATCH($G116,'Non-Labor Expenditures'!$E$5:$AA$5,0)),"NA")</f>
        <v>12655.872230445535</v>
      </c>
      <c r="W116" s="125">
        <f t="shared" si="243"/>
        <v>128.99413150731343</v>
      </c>
      <c r="X116" s="131">
        <f t="shared" si="252"/>
        <v>-4.8031293857077897E-2</v>
      </c>
      <c r="Y116" s="131">
        <f t="shared" si="253"/>
        <v>-1.5415467566170932E-4</v>
      </c>
      <c r="Z116" s="131"/>
      <c r="AA116" s="131"/>
      <c r="AB116" s="131"/>
      <c r="AC116" s="125">
        <f t="shared" si="223"/>
        <v>7723.4509980252624</v>
      </c>
      <c r="AD116" s="129"/>
      <c r="AE116" s="133">
        <v>578.34884893896731</v>
      </c>
      <c r="AF116" s="134">
        <v>3.6626707138638109E-2</v>
      </c>
      <c r="AG116" s="59">
        <f t="shared" si="244"/>
        <v>1.1755207295297854E-4</v>
      </c>
      <c r="AH116" s="134"/>
      <c r="AI116" s="134"/>
      <c r="AJ116" s="129">
        <f t="shared" si="216"/>
        <v>29118.43924278341</v>
      </c>
      <c r="AK116" s="134">
        <f t="shared" si="254"/>
        <v>-2.4842186180472378E-3</v>
      </c>
      <c r="AL116" s="129"/>
      <c r="AM116" s="129"/>
      <c r="AN116" s="129"/>
      <c r="AO116" s="129"/>
      <c r="AP116" s="133">
        <f t="shared" si="255"/>
        <v>189.82404638150297</v>
      </c>
      <c r="AQ116" s="134">
        <f>+BB116/Outputs!$B$19</f>
        <v>4.3159058392731424E-3</v>
      </c>
      <c r="AR116" s="93">
        <f t="shared" si="245"/>
        <v>0.30012309181298163</v>
      </c>
      <c r="AS116" s="93">
        <f t="shared" si="246"/>
        <v>0.43463429220651351</v>
      </c>
      <c r="AT116" s="93">
        <f t="shared" si="247"/>
        <v>0.26524261598050486</v>
      </c>
      <c r="AU116" s="93">
        <f t="shared" ca="1" si="250"/>
        <v>-3.0189695332636119E-2</v>
      </c>
      <c r="AV116" s="132">
        <f t="shared" ca="1" si="258"/>
        <v>92.1041196559094</v>
      </c>
      <c r="AW116" s="134">
        <f t="shared" ca="1" si="259"/>
        <v>-3.0189695332636279E-2</v>
      </c>
      <c r="AX116" s="56">
        <f>+AJ116/$AL$16</f>
        <v>3.2094633161541008E-3</v>
      </c>
      <c r="AY116" s="135">
        <f t="shared" ca="1" si="257"/>
        <v>-9.6892719695964804E-5</v>
      </c>
      <c r="AZ116" s="93"/>
      <c r="BA116" s="93"/>
      <c r="BB116" s="234">
        <f>IFERROR(INDEX('Total Customers'!$E$7:$AA$91,MATCH($C116,'Total Customers'!$C$7:$C$91,0),MATCH($G116,'Total Customers'!$E$5:$AA$5,0)),"NA")</f>
        <v>153397</v>
      </c>
      <c r="BC116" s="411">
        <f t="shared" si="171"/>
        <v>-1.0880862160104197E-3</v>
      </c>
      <c r="BD116" s="92"/>
      <c r="BE116" s="281" t="str">
        <f t="shared" si="167"/>
        <v>BLACK HILLS ENERGY ARKANSAS, INC.</v>
      </c>
      <c r="BF116" s="290">
        <f t="shared" si="168"/>
        <v>4058516</v>
      </c>
      <c r="BG116" s="46" t="str">
        <f t="shared" si="169"/>
        <v>AR</v>
      </c>
      <c r="BH116" s="46"/>
      <c r="BI116" s="46" t="str">
        <f t="shared" si="170"/>
        <v>2011 Y</v>
      </c>
      <c r="BJ116" s="129"/>
      <c r="BK116" s="129"/>
      <c r="BL116" s="129">
        <f>INDEX('Dist. Plant Gas Additions'!$E$7:$AD$91,MATCH($C116,'Dist. Plant Gas Additions'!$C$7:$C$91,0),MATCH(Calculation!$G116,'Dist. Plant Gas Additions'!$E$5:$AD$5,0))</f>
        <v>11183</v>
      </c>
      <c r="BM116" s="129">
        <f>INDEX('Gen. Plant Additions'!$E$7:$AD$91,MATCH($C116,'Gen. Plant Additions'!$C$7:$C$91,0),MATCH(Calculation!$G116,'Gen. Plant Additions'!$E$5:$AD$5,0))</f>
        <v>4052</v>
      </c>
      <c r="BN116" s="393">
        <f t="shared" si="224"/>
        <v>0.82330610702555007</v>
      </c>
      <c r="BO116" s="46">
        <f t="shared" si="221"/>
        <v>3336.0363456675291</v>
      </c>
      <c r="BP116" s="46">
        <f t="shared" si="222"/>
        <v>-715.96365433247092</v>
      </c>
      <c r="BQ116" s="129">
        <f>INDEX('Dist Plant Depreciation'!$D$7:$AC$94,MATCH($C116,'Dist Plant Depreciation'!$C$7:$C$94,0),MATCH(Calculation!$G116,'Dist Plant Depreciation'!$D$5:$AC$5,0))</f>
        <v>62200</v>
      </c>
      <c r="BR116" s="129">
        <f>INDEX('Gen. Plant Depreciation'!$D$7:$AC$94,MATCH($C116,'Gen. Plant Depreciation'!$C$7:$C$94,0),MATCH(Calculation!$G116,'Gen. Plant Depreciation'!$D$5:$AC$5,0))</f>
        <v>13381</v>
      </c>
      <c r="BS116" s="129"/>
      <c r="BT116" s="129"/>
      <c r="BU116" s="129"/>
      <c r="BV116" s="129"/>
      <c r="BW116" s="129"/>
      <c r="BX116" s="129"/>
      <c r="BY116" s="129">
        <f>INDEX('Gross Dx Plant'!$D$7:$AC$91,MATCH($C116,'Gross Dx Plant'!$C$7:$C$91,0),MATCH(Calculation!$G116,'Gross Dx Plant'!$D$5:$AC$5,0))</f>
        <v>141621</v>
      </c>
      <c r="BZ116" s="129">
        <f>INDEX('Gross Gen Plant'!$D$7:$AC$91,MATCH($C116,'Gross Gen Plant'!$C$7:$C$91,0),MATCH(Calculation!$G116,'Gross Gen Plant'!$D$5:$AC$5,0))</f>
        <v>30394</v>
      </c>
      <c r="CA116" s="129">
        <f t="shared" si="172"/>
        <v>96434</v>
      </c>
      <c r="CB116" s="129"/>
      <c r="CC116" s="133">
        <v>2011</v>
      </c>
      <c r="CD116" s="129"/>
      <c r="CE116" s="129"/>
      <c r="CF116" s="129"/>
      <c r="CG116" s="137"/>
      <c r="CH116" s="129">
        <f t="shared" si="225"/>
        <v>15235</v>
      </c>
      <c r="CI116" s="46">
        <f t="shared" si="234"/>
        <v>14519.03634566753</v>
      </c>
      <c r="CJ116" s="46">
        <f t="shared" si="226"/>
        <v>23.739000874424327</v>
      </c>
      <c r="CK116" s="443">
        <v>0.8539325842696629</v>
      </c>
      <c r="CL116" s="46">
        <f>+CL103*CK116+CJ104*CK115+CJ105*CK114+CJ106*CK113+CJ107*CK112+CJ108*CK111+CJ109*CK110+CJ110*CK109+CJ111*CK108+CJ112*CK107+CJ113*CK106+CJ114*CK105+CJ115*CK104+CJ116</f>
        <v>531.95407920787272</v>
      </c>
      <c r="CM116" s="134">
        <f t="shared" si="227"/>
        <v>3.174232087886595E-2</v>
      </c>
      <c r="CN116" s="135">
        <f t="shared" si="228"/>
        <v>1.3813808422415667E-2</v>
      </c>
      <c r="CO116" s="135">
        <f t="shared" si="238"/>
        <v>1.3440356037758302E-2</v>
      </c>
      <c r="CP116" s="134">
        <f>VLOOKUP($H116,RoR!$E:$F,2,FALSE)</f>
        <v>4.6391666666666664E-2</v>
      </c>
      <c r="CQ116" s="135">
        <v>2.0840920205183799E-2</v>
      </c>
      <c r="CR116" s="135">
        <f t="shared" si="235"/>
        <v>2.5550746461482865E-2</v>
      </c>
      <c r="CS116" s="135">
        <f t="shared" si="239"/>
        <v>1.7461585570775325E-2</v>
      </c>
      <c r="CT116" s="135">
        <v>2.4810540821321614E-2</v>
      </c>
      <c r="CU116" s="139">
        <f t="shared" si="229"/>
        <v>0.8548675</v>
      </c>
      <c r="CV116" s="335">
        <f t="shared" si="230"/>
        <v>1.1054151524782025</v>
      </c>
      <c r="CW116" s="335">
        <f t="shared" si="231"/>
        <v>0.43611011316687626</v>
      </c>
      <c r="CX116" s="335">
        <f t="shared" si="232"/>
        <v>0.83698442246886229</v>
      </c>
      <c r="CY116" s="335">
        <f t="shared" si="233"/>
        <v>0.40349573304423936</v>
      </c>
      <c r="CZ116" s="336">
        <f>INDEX('State Tax Lookup'!$D$7:$Z$91,MATCH(Calculation!$C116,'State Tax Lookup'!$B$7:$B$91,0),MATCH($H116,'State Tax Lookup'!$D$6:$Z$6,0))</f>
        <v>0.39224999999999999</v>
      </c>
      <c r="DA116" s="303">
        <v>0.37</v>
      </c>
      <c r="DB116" s="57">
        <f t="shared" si="237"/>
        <v>14.987278123576536</v>
      </c>
      <c r="DC116" s="56">
        <f t="shared" si="240"/>
        <v>5.259644784074731E-2</v>
      </c>
      <c r="DD116" s="303">
        <f>VLOOKUP($H116,RoR!$E:$F,2,FALSE)</f>
        <v>4.6391666666666664E-2</v>
      </c>
      <c r="DE116" s="304">
        <f>HLOOKUP($H116,'GDP-PI'!$D$8:$CQ$11,3,FALSE)</f>
        <v>2.0840920205183799E-2</v>
      </c>
      <c r="DF116" s="303">
        <f>VLOOKUP(H116,'HW Dx Data'!$E:$F,2,FALSE)</f>
        <v>611.61109612283201</v>
      </c>
      <c r="DG116" s="89">
        <f ca="1">VLOOKUP(CC116,'ECI - Input Price'!M$13:N$33,2,FALSE)</f>
        <v>120.875</v>
      </c>
      <c r="DH116" s="89"/>
      <c r="DI116" s="89"/>
      <c r="DJ116" s="56">
        <f t="shared" ca="1" si="248"/>
        <v>3.3224250161508609E-2</v>
      </c>
      <c r="DK116" s="53">
        <f>HLOOKUP(H116,'GDP-PI'!$8:$9,2,FALSE)</f>
        <v>98.111999999999995</v>
      </c>
      <c r="DL116" s="355">
        <f t="shared" si="241"/>
        <v>2.0626719212849295E-2</v>
      </c>
      <c r="DP116" s="398"/>
      <c r="DQ116" s="398"/>
      <c r="DR116" s="398"/>
      <c r="DS116" s="398"/>
      <c r="DT116" s="398"/>
      <c r="DU116" s="398"/>
      <c r="DV116" s="398"/>
      <c r="DW116" s="398"/>
      <c r="DX116" s="398"/>
      <c r="EC116"/>
    </row>
    <row r="117" spans="1:133" s="126" customFormat="1" ht="21" customHeight="1" x14ac:dyDescent="0.4">
      <c r="A117" s="233" t="s">
        <v>188</v>
      </c>
      <c r="B117" s="127" t="s">
        <v>188</v>
      </c>
      <c r="C117" s="127">
        <v>4058516</v>
      </c>
      <c r="D117" s="127" t="s">
        <v>189</v>
      </c>
      <c r="E117" s="127"/>
      <c r="F117" s="127"/>
      <c r="G117" s="127" t="s">
        <v>168</v>
      </c>
      <c r="H117" s="128">
        <v>2012</v>
      </c>
      <c r="I117" s="129"/>
      <c r="J117" s="125">
        <f>IFERROR(INDEX('Labor Expenditures'!$E$7:$W$91,MATCH($C117,'Labor Expenditures'!$C$7:$C$91,0),MATCH($G117,'Labor Expenditures'!$E$5:$W$5,0)),"NA")</f>
        <v>9569.287539562838</v>
      </c>
      <c r="K117" s="125">
        <f t="shared" ca="1" si="242"/>
        <v>76.67698349008684</v>
      </c>
      <c r="L117" s="47"/>
      <c r="M117" s="131">
        <f t="shared" ca="1" si="249"/>
        <v>5.8794211230014798E-2</v>
      </c>
      <c r="N117" s="59"/>
      <c r="O117" s="59"/>
      <c r="P117" s="59">
        <f t="shared" ca="1" si="251"/>
        <v>2.0001675281584627E-4</v>
      </c>
      <c r="Q117" s="61"/>
      <c r="R117" s="387"/>
      <c r="S117" s="49">
        <f t="shared" ca="1" si="256"/>
        <v>95.668577331887064</v>
      </c>
      <c r="T117" s="61">
        <f ca="1">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</f>
        <v>-2.486052681364017E-2</v>
      </c>
      <c r="U117" s="61"/>
      <c r="V117" s="125">
        <f>IFERROR(INDEX('Non-Labor Expenditures'!$E$7:$AA$91,MATCH($C117,'Non-Labor Expenditures'!$C$7:$C$91,0),MATCH($G117,'Non-Labor Expenditures'!$E$5:$AA$5,0)),"NA")</f>
        <v>13858.11565366062</v>
      </c>
      <c r="W117" s="125">
        <f t="shared" si="243"/>
        <v>138.58115653660619</v>
      </c>
      <c r="X117" s="131">
        <f t="shared" si="252"/>
        <v>7.168921065314128E-2</v>
      </c>
      <c r="Y117" s="131">
        <f t="shared" si="253"/>
        <v>2.4388528779942752E-4</v>
      </c>
      <c r="Z117" s="131"/>
      <c r="AA117" s="131"/>
      <c r="AB117" s="131"/>
      <c r="AC117" s="125">
        <f t="shared" si="223"/>
        <v>8511.6143055660032</v>
      </c>
      <c r="AD117" s="129"/>
      <c r="AE117" s="133">
        <v>601.964164946305</v>
      </c>
      <c r="AF117" s="134">
        <v>4.0020685380246522E-2</v>
      </c>
      <c r="AG117" s="59">
        <f t="shared" si="244"/>
        <v>1.3614958629013836E-4</v>
      </c>
      <c r="AH117" s="134"/>
      <c r="AI117" s="134"/>
      <c r="AJ117" s="129">
        <f t="shared" si="216"/>
        <v>31939.017498789461</v>
      </c>
      <c r="AK117" s="134">
        <f t="shared" si="254"/>
        <v>9.2456757014135624E-2</v>
      </c>
      <c r="AL117" s="129"/>
      <c r="AM117" s="129"/>
      <c r="AN117" s="129"/>
      <c r="AO117" s="129"/>
      <c r="AP117" s="133">
        <f t="shared" si="255"/>
        <v>207.0654506359287</v>
      </c>
      <c r="AQ117" s="134">
        <f>+BB117/Outputs!$B$20</f>
        <v>4.3189952320136201E-3</v>
      </c>
      <c r="AR117" s="93">
        <f t="shared" si="245"/>
        <v>0.29961120563353361</v>
      </c>
      <c r="AS117" s="93">
        <f t="shared" si="246"/>
        <v>0.43389298541152255</v>
      </c>
      <c r="AT117" s="93">
        <f t="shared" si="247"/>
        <v>0.26649580895494379</v>
      </c>
      <c r="AU117" s="93">
        <f t="shared" ca="1" si="250"/>
        <v>5.9402738069021528E-2</v>
      </c>
      <c r="AV117" s="132">
        <f t="shared" ca="1" si="258"/>
        <v>97.74112584780444</v>
      </c>
      <c r="AW117" s="134">
        <f t="shared" ca="1" si="259"/>
        <v>5.9402738069021625E-2</v>
      </c>
      <c r="AX117" s="56">
        <f>+AJ117/$AL$17</f>
        <v>3.4019803758118371E-3</v>
      </c>
      <c r="AY117" s="135">
        <f t="shared" ca="1" si="257"/>
        <v>2.0208694918030231E-4</v>
      </c>
      <c r="AZ117" s="93"/>
      <c r="BA117" s="93"/>
      <c r="BB117" s="234">
        <f>IFERROR(INDEX('Total Customers'!$E$7:$AA$91,MATCH($C117,'Total Customers'!$C$7:$C$91,0),MATCH($G117,'Total Customers'!$E$5:$AA$5,0)),"NA")</f>
        <v>154246</v>
      </c>
      <c r="BC117" s="411">
        <f t="shared" si="171"/>
        <v>5.5193984931228152E-3</v>
      </c>
      <c r="BD117" s="92"/>
      <c r="BE117" s="281" t="str">
        <f t="shared" si="167"/>
        <v>BLACK HILLS ENERGY ARKANSAS, INC.</v>
      </c>
      <c r="BF117" s="290">
        <f t="shared" si="168"/>
        <v>4058516</v>
      </c>
      <c r="BG117" s="46" t="str">
        <f t="shared" si="169"/>
        <v>AR</v>
      </c>
      <c r="BH117" s="46"/>
      <c r="BI117" s="46" t="str">
        <f t="shared" si="170"/>
        <v>2012 Y</v>
      </c>
      <c r="BJ117" s="129"/>
      <c r="BK117" s="129"/>
      <c r="BL117" s="129">
        <f>INDEX('Dist. Plant Gas Additions'!$E$7:$AD$91,MATCH($C117,'Dist. Plant Gas Additions'!$C$7:$C$91,0),MATCH(Calculation!$G117,'Dist. Plant Gas Additions'!$E$5:$AD$5,0))</f>
        <v>15379</v>
      </c>
      <c r="BM117" s="129">
        <f>INDEX('Gen. Plant Additions'!$E$7:$AD$91,MATCH($C117,'Gen. Plant Additions'!$C$7:$C$91,0),MATCH(Calculation!$G117,'Gen. Plant Additions'!$E$5:$AD$5,0))</f>
        <v>3349</v>
      </c>
      <c r="BN117" s="393">
        <f t="shared" si="224"/>
        <v>0.83609099757211458</v>
      </c>
      <c r="BO117" s="46">
        <f t="shared" si="221"/>
        <v>2800.0687508690116</v>
      </c>
      <c r="BP117" s="46">
        <f t="shared" si="222"/>
        <v>-548.93124913098836</v>
      </c>
      <c r="BQ117" s="129">
        <f>INDEX('Dist Plant Depreciation'!$D$7:$AC$94,MATCH($C117,'Dist Plant Depreciation'!$C$7:$C$94,0),MATCH(Calculation!$G117,'Dist Plant Depreciation'!$D$5:$AC$5,0))</f>
        <v>65264</v>
      </c>
      <c r="BR117" s="129">
        <f>INDEX('Gen. Plant Depreciation'!$D$7:$AC$94,MATCH($C117,'Gen. Plant Depreciation'!$C$7:$C$94,0),MATCH(Calculation!$G117,'Gen. Plant Depreciation'!$D$5:$AC$5,0))</f>
        <v>12638</v>
      </c>
      <c r="BS117" s="129"/>
      <c r="BT117" s="129"/>
      <c r="BU117" s="129"/>
      <c r="BV117" s="129"/>
      <c r="BW117" s="129"/>
      <c r="BX117" s="129"/>
      <c r="BY117" s="129">
        <f>INDEX('Gross Dx Plant'!$D$7:$AC$91,MATCH($C117,'Gross Dx Plant'!$C$7:$C$91,0),MATCH(Calculation!$G117,'Gross Dx Plant'!$D$5:$AC$5,0))</f>
        <v>156344</v>
      </c>
      <c r="BZ117" s="129">
        <f>INDEX('Gross Gen Plant'!$D$7:$AC$91,MATCH($C117,'Gross Gen Plant'!$C$7:$C$91,0),MATCH(Calculation!$G117,'Gross Gen Plant'!$D$5:$AC$5,0))</f>
        <v>30650</v>
      </c>
      <c r="CA117" s="129">
        <f t="shared" si="172"/>
        <v>109092</v>
      </c>
      <c r="CB117" s="129"/>
      <c r="CC117" s="133">
        <v>2012</v>
      </c>
      <c r="CD117" s="129"/>
      <c r="CE117" s="129"/>
      <c r="CF117" s="129"/>
      <c r="CG117" s="137"/>
      <c r="CH117" s="129">
        <f t="shared" si="225"/>
        <v>18728</v>
      </c>
      <c r="CI117" s="46">
        <f t="shared" si="234"/>
        <v>18179.06875086901</v>
      </c>
      <c r="CJ117" s="46">
        <f t="shared" si="226"/>
        <v>27.176773266848937</v>
      </c>
      <c r="CK117" s="443">
        <v>0.84090909090909094</v>
      </c>
      <c r="CL117" s="46">
        <f>+CL103*CK117+CJ104*CK116+CJ105*CK115+CJ106*CK114+CJ107*CK113+CJ108*CK112+CJ109*CK111+CJ110*CK110+CJ111*CK109+CJ112*CK108+CJ113*CK107+CJ114*CK106+CJ115*CK105+CJ116*CK104+CJ117</f>
        <v>551.61804662043698</v>
      </c>
      <c r="CM117" s="134">
        <f t="shared" si="227"/>
        <v>3.62986939071386E-2</v>
      </c>
      <c r="CN117" s="135">
        <f t="shared" si="228"/>
        <v>1.4123034577480665E-2</v>
      </c>
      <c r="CO117" s="135">
        <f t="shared" si="238"/>
        <v>1.3796065066565742E-2</v>
      </c>
      <c r="CP117" s="134">
        <f>VLOOKUP($H117,RoR!$E:$F,2,FALSE)</f>
        <v>3.6733333333333333E-2</v>
      </c>
      <c r="CQ117" s="135">
        <v>1.924331376386168E-2</v>
      </c>
      <c r="CR117" s="135">
        <f t="shared" si="235"/>
        <v>1.7490019569471653E-2</v>
      </c>
      <c r="CS117" s="135">
        <f t="shared" si="239"/>
        <v>1.7105876541967883E-2</v>
      </c>
      <c r="CT117" s="135">
        <v>6.7122682943869583E-2</v>
      </c>
      <c r="CU117" s="139">
        <f t="shared" si="229"/>
        <v>0.8548675</v>
      </c>
      <c r="CV117" s="335">
        <f t="shared" si="230"/>
        <v>1.3960631020522127</v>
      </c>
      <c r="CW117" s="335">
        <f t="shared" si="231"/>
        <v>0.29441923774954631</v>
      </c>
      <c r="CX117" s="335">
        <f t="shared" si="232"/>
        <v>0.76377954189366437</v>
      </c>
      <c r="CY117" s="335">
        <f t="shared" si="233"/>
        <v>0.31393465103033691</v>
      </c>
      <c r="CZ117" s="336">
        <f>INDEX('State Tax Lookup'!$D$7:$Z$91,MATCH(Calculation!$C117,'State Tax Lookup'!$B$7:$B$91,0),MATCH($H117,'State Tax Lookup'!$D$6:$Z$6,0))</f>
        <v>0.39224999999999999</v>
      </c>
      <c r="DA117" s="303">
        <v>0.37</v>
      </c>
      <c r="DB117" s="57">
        <f t="shared" si="237"/>
        <v>16.000656143553893</v>
      </c>
      <c r="DC117" s="56">
        <f t="shared" si="240"/>
        <v>6.5428014225316578E-2</v>
      </c>
      <c r="DD117" s="303">
        <f>VLOOKUP($H117,RoR!$E:$F,2,FALSE)</f>
        <v>3.6733333333333333E-2</v>
      </c>
      <c r="DE117" s="304">
        <f>HLOOKUP($H117,'GDP-PI'!$D$8:$CQ$11,3,FALSE)</f>
        <v>1.924331376386168E-2</v>
      </c>
      <c r="DF117" s="303">
        <f>VLOOKUP(H117,'HW Dx Data'!$E:$F,2,FALSE)</f>
        <v>668.91932211262167</v>
      </c>
      <c r="DG117" s="89">
        <f ca="1">VLOOKUP(CC117,'ECI - Input Price'!M$13:N$33,2,FALSE)</f>
        <v>124.80000000000001</v>
      </c>
      <c r="DH117" s="89"/>
      <c r="DI117" s="89"/>
      <c r="DJ117" s="56">
        <f t="shared" ca="1" si="248"/>
        <v>3.1955502161869064E-2</v>
      </c>
      <c r="DK117" s="53">
        <f>HLOOKUP(H117,'GDP-PI'!$8:$9,2,FALSE)</f>
        <v>100</v>
      </c>
      <c r="DL117" s="355">
        <f t="shared" si="241"/>
        <v>1.9060502738742411E-2</v>
      </c>
      <c r="DP117" s="398"/>
      <c r="DQ117" s="398"/>
      <c r="DR117" s="398"/>
      <c r="DS117" s="398"/>
      <c r="DT117" s="398"/>
      <c r="DU117" s="398"/>
      <c r="DV117" s="398"/>
      <c r="DW117" s="398"/>
      <c r="DX117" s="398"/>
      <c r="EC117"/>
    </row>
    <row r="118" spans="1:133" s="126" customFormat="1" ht="21" customHeight="1" x14ac:dyDescent="0.4">
      <c r="A118" s="233" t="s">
        <v>188</v>
      </c>
      <c r="B118" s="127" t="s">
        <v>188</v>
      </c>
      <c r="C118" s="127">
        <v>4058516</v>
      </c>
      <c r="D118" s="127" t="s">
        <v>189</v>
      </c>
      <c r="E118" s="127"/>
      <c r="F118" s="127"/>
      <c r="G118" s="127" t="s">
        <v>169</v>
      </c>
      <c r="H118" s="128">
        <v>2013</v>
      </c>
      <c r="I118" s="129"/>
      <c r="J118" s="125">
        <f>IFERROR(INDEX('Labor Expenditures'!$E$7:$W$91,MATCH($C118,'Labor Expenditures'!$C$7:$C$91,0),MATCH($G118,'Labor Expenditures'!$E$5:$W$5,0)),"NA")</f>
        <v>10265.820404773485</v>
      </c>
      <c r="K118" s="125">
        <f t="shared" ca="1" si="242"/>
        <v>80.960728744270384</v>
      </c>
      <c r="L118" s="47"/>
      <c r="M118" s="131">
        <f t="shared" ca="1" si="249"/>
        <v>5.4362628322842554E-2</v>
      </c>
      <c r="N118" s="59"/>
      <c r="O118" s="59"/>
      <c r="P118" s="59">
        <f t="shared" ca="1" si="251"/>
        <v>1.8843748991045396E-4</v>
      </c>
      <c r="Q118" s="61"/>
      <c r="R118" s="387"/>
      <c r="S118" s="49">
        <f t="shared" ca="1" si="256"/>
        <v>99.352190972009197</v>
      </c>
      <c r="T118" s="61">
        <f ca="1">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</f>
        <v>3.7781122817285788E-2</v>
      </c>
      <c r="U118" s="61"/>
      <c r="V118" s="125">
        <f>IFERROR(INDEX('Non-Labor Expenditures'!$E$7:$AA$91,MATCH($C118,'Non-Labor Expenditures'!$C$7:$C$91,0),MATCH($G118,'Non-Labor Expenditures'!$E$5:$AA$5,0)),"NA")</f>
        <v>14866.825336879703</v>
      </c>
      <c r="W118" s="125">
        <f t="shared" si="243"/>
        <v>146.0782853692011</v>
      </c>
      <c r="X118" s="131">
        <f t="shared" si="252"/>
        <v>5.2686557374130555E-2</v>
      </c>
      <c r="Y118" s="131">
        <f t="shared" si="253"/>
        <v>1.8262771558145207E-4</v>
      </c>
      <c r="Z118" s="131"/>
      <c r="AA118" s="131"/>
      <c r="AB118" s="131"/>
      <c r="AC118" s="125">
        <f t="shared" si="223"/>
        <v>8596.5145307612656</v>
      </c>
      <c r="AD118" s="129"/>
      <c r="AE118" s="133">
        <v>625.21324419495397</v>
      </c>
      <c r="AF118" s="134">
        <v>3.7894865386241802E-2</v>
      </c>
      <c r="AG118" s="59">
        <f t="shared" si="244"/>
        <v>1.313551889263136E-4</v>
      </c>
      <c r="AH118" s="134"/>
      <c r="AI118" s="134"/>
      <c r="AJ118" s="129">
        <f t="shared" si="216"/>
        <v>33729.160272414454</v>
      </c>
      <c r="AK118" s="134">
        <f t="shared" si="254"/>
        <v>5.4534371719040069E-2</v>
      </c>
      <c r="AL118" s="129"/>
      <c r="AM118" s="129"/>
      <c r="AN118" s="129"/>
      <c r="AO118" s="129"/>
      <c r="AP118" s="133">
        <f t="shared" si="255"/>
        <v>215.89426020875922</v>
      </c>
      <c r="AQ118" s="134">
        <f>+BB118/Outputs!$B$21</f>
        <v>4.3466681980026305E-3</v>
      </c>
      <c r="AR118" s="93">
        <f t="shared" si="245"/>
        <v>0.30436039088614469</v>
      </c>
      <c r="AS118" s="93">
        <f t="shared" si="246"/>
        <v>0.44077069268275271</v>
      </c>
      <c r="AT118" s="93">
        <f t="shared" si="247"/>
        <v>0.2548689164311026</v>
      </c>
      <c r="AU118" s="93">
        <f t="shared" ca="1" si="250"/>
        <v>4.9336773781887173E-2</v>
      </c>
      <c r="AV118" s="132">
        <f t="shared" ca="1" si="258"/>
        <v>102.68429502558544</v>
      </c>
      <c r="AW118" s="134">
        <f t="shared" ca="1" si="259"/>
        <v>4.9336773781887257E-2</v>
      </c>
      <c r="AX118" s="56">
        <f>+AJ118/$AL$18</f>
        <v>3.4663057273718071E-3</v>
      </c>
      <c r="AY118" s="135">
        <f t="shared" ca="1" si="257"/>
        <v>1.7101634153020301E-4</v>
      </c>
      <c r="AZ118" s="93"/>
      <c r="BA118" s="93"/>
      <c r="BB118" s="234">
        <f>IFERROR(INDEX('Total Customers'!$E$7:$AA$91,MATCH($C118,'Total Customers'!$C$7:$C$91,0),MATCH($G118,'Total Customers'!$E$5:$AA$5,0)),"NA")</f>
        <v>156230</v>
      </c>
      <c r="BC118" s="411">
        <f t="shared" si="171"/>
        <v>1.2780549903240073E-2</v>
      </c>
      <c r="BD118" s="92"/>
      <c r="BE118" s="281" t="str">
        <f t="shared" si="167"/>
        <v>BLACK HILLS ENERGY ARKANSAS, INC.</v>
      </c>
      <c r="BF118" s="290">
        <f t="shared" si="168"/>
        <v>4058516</v>
      </c>
      <c r="BG118" s="46" t="str">
        <f t="shared" si="169"/>
        <v>AR</v>
      </c>
      <c r="BH118" s="46"/>
      <c r="BI118" s="46" t="str">
        <f t="shared" si="170"/>
        <v>2013 Y</v>
      </c>
      <c r="BJ118" s="129"/>
      <c r="BK118" s="129"/>
      <c r="BL118" s="129">
        <f>INDEX('Dist. Plant Gas Additions'!$E$7:$AD$91,MATCH($C118,'Dist. Plant Gas Additions'!$C$7:$C$91,0),MATCH(Calculation!$G118,'Dist. Plant Gas Additions'!$E$5:$AD$5,0))</f>
        <v>15461</v>
      </c>
      <c r="BM118" s="129">
        <f>INDEX('Gen. Plant Additions'!$E$7:$AD$91,MATCH($C118,'Gen. Plant Additions'!$C$7:$C$91,0),MATCH(Calculation!$G118,'Gen. Plant Additions'!$E$5:$AD$5,0))</f>
        <v>3064</v>
      </c>
      <c r="BN118" s="393">
        <f t="shared" si="224"/>
        <v>0.83540774963182596</v>
      </c>
      <c r="BO118" s="46">
        <f t="shared" si="221"/>
        <v>2559.6893448719147</v>
      </c>
      <c r="BP118" s="46">
        <f t="shared" si="222"/>
        <v>-504.31065512808527</v>
      </c>
      <c r="BQ118" s="129">
        <f>INDEX('Dist Plant Depreciation'!$D$7:$AC$94,MATCH($C118,'Dist Plant Depreciation'!$C$7:$C$94,0),MATCH(Calculation!$G118,'Dist Plant Depreciation'!$D$5:$AC$5,0))</f>
        <v>67914</v>
      </c>
      <c r="BR118" s="129">
        <f>INDEX('Gen. Plant Depreciation'!$D$7:$AC$94,MATCH($C118,'Gen. Plant Depreciation'!$C$7:$C$94,0),MATCH(Calculation!$G118,'Gen. Plant Depreciation'!$D$5:$AC$5,0))</f>
        <v>14151</v>
      </c>
      <c r="BS118" s="129"/>
      <c r="BT118" s="129"/>
      <c r="BU118" s="129"/>
      <c r="BV118" s="129"/>
      <c r="BW118" s="129"/>
      <c r="BX118" s="129"/>
      <c r="BY118" s="129">
        <f>INDEX('Gross Dx Plant'!$D$7:$AC$91,MATCH($C118,'Gross Dx Plant'!$C$7:$C$91,0),MATCH(Calculation!$G118,'Gross Dx Plant'!$D$5:$AC$5,0))</f>
        <v>169612</v>
      </c>
      <c r="BZ118" s="129">
        <f>INDEX('Gross Gen Plant'!$D$7:$AC$91,MATCH($C118,'Gross Gen Plant'!$C$7:$C$91,0),MATCH(Calculation!$G118,'Gross Gen Plant'!$D$5:$AC$5,0))</f>
        <v>33417</v>
      </c>
      <c r="CA118" s="129">
        <f t="shared" si="172"/>
        <v>120964</v>
      </c>
      <c r="CB118" s="129"/>
      <c r="CC118" s="133">
        <v>2013</v>
      </c>
      <c r="CD118" s="129"/>
      <c r="CE118" s="129"/>
      <c r="CF118" s="129"/>
      <c r="CG118" s="137"/>
      <c r="CH118" s="129">
        <f t="shared" si="225"/>
        <v>18525</v>
      </c>
      <c r="CI118" s="46">
        <f t="shared" si="234"/>
        <v>18020.689344871913</v>
      </c>
      <c r="CJ118" s="46">
        <f t="shared" si="226"/>
        <v>27.170347030999601</v>
      </c>
      <c r="CK118" s="443">
        <v>0.82758620689655171</v>
      </c>
      <c r="CL118" s="46">
        <f>+CL103*CK118+CJ104*CK117+CJ105*CK116+CJ106*CK115+CJ107*CK114+CJ108*CK113+CJ109*CK112+CJ110*CK111+CJ111*CK110+CJ112*CK109+CJ113*CK108+CJ114*CK107+CJ115*CK106+CJ116*CK105+CJ117*CK104+CJ118</f>
        <v>570.83736987238501</v>
      </c>
      <c r="CM118" s="134">
        <f t="shared" si="227"/>
        <v>3.4248490507758973E-2</v>
      </c>
      <c r="CN118" s="135">
        <f t="shared" si="228"/>
        <v>1.4414002275242088E-2</v>
      </c>
      <c r="CO118" s="135">
        <f t="shared" si="238"/>
        <v>1.4116948425046141E-2</v>
      </c>
      <c r="CP118" s="134">
        <f>VLOOKUP($H118,RoR!$E:$F,2,FALSE)</f>
        <v>4.2350000000000006E-2</v>
      </c>
      <c r="CQ118" s="135">
        <v>1.7730000000000024E-2</v>
      </c>
      <c r="CR118" s="135">
        <f t="shared" si="235"/>
        <v>2.4619999999999982E-2</v>
      </c>
      <c r="CS118" s="135">
        <f t="shared" si="239"/>
        <v>1.6784993183487484E-2</v>
      </c>
      <c r="CT118" s="135">
        <v>5.3376742735721204E-2</v>
      </c>
      <c r="CU118" s="139">
        <f t="shared" si="229"/>
        <v>0.8548675</v>
      </c>
      <c r="CV118" s="335">
        <f t="shared" si="230"/>
        <v>1.2109103018193925</v>
      </c>
      <c r="CW118" s="335">
        <f t="shared" si="231"/>
        <v>0.38468122786304604</v>
      </c>
      <c r="CX118" s="335">
        <f t="shared" si="232"/>
        <v>0.80969194503422559</v>
      </c>
      <c r="CY118" s="335">
        <f t="shared" si="233"/>
        <v>0.37716621754800816</v>
      </c>
      <c r="CZ118" s="336">
        <f>INDEX('State Tax Lookup'!$D$7:$Z$91,MATCH(Calculation!$C118,'State Tax Lookup'!$B$7:$B$91,0),MATCH($H118,'State Tax Lookup'!$D$6:$Z$6,0))</f>
        <v>0.39224999999999999</v>
      </c>
      <c r="DA118" s="303">
        <v>0.37</v>
      </c>
      <c r="DB118" s="57">
        <f t="shared" si="237"/>
        <v>15.584179276637125</v>
      </c>
      <c r="DC118" s="56">
        <f t="shared" si="240"/>
        <v>-2.6373479646058656E-2</v>
      </c>
      <c r="DD118" s="303">
        <f>VLOOKUP($H118,RoR!$E:$F,2,FALSE)</f>
        <v>4.2350000000000006E-2</v>
      </c>
      <c r="DE118" s="304">
        <f>HLOOKUP($H118,'GDP-PI'!$D$8:$CQ$11,3,FALSE)</f>
        <v>1.7730000000000024E-2</v>
      </c>
      <c r="DF118" s="303">
        <f>VLOOKUP(H118,'HW Dx Data'!$E:$F,2,FALSE)</f>
        <v>663.24840548821396</v>
      </c>
      <c r="DG118" s="89">
        <f ca="1">VLOOKUP(CC118,'ECI - Input Price'!M$13:N$33,2,FALSE)</f>
        <v>126.8</v>
      </c>
      <c r="DH118" s="89"/>
      <c r="DI118" s="89"/>
      <c r="DJ118" s="56">
        <f t="shared" ca="1" si="248"/>
        <v>1.5898586067798204E-2</v>
      </c>
      <c r="DK118" s="53">
        <f>HLOOKUP(H118,'GDP-PI'!$8:$9,2,FALSE)</f>
        <v>101.773</v>
      </c>
      <c r="DL118" s="355">
        <f t="shared" si="241"/>
        <v>1.7574657016510519E-2</v>
      </c>
      <c r="DP118" s="398"/>
      <c r="DQ118" s="398"/>
      <c r="DR118" s="398"/>
      <c r="DS118" s="398"/>
      <c r="DT118" s="398"/>
      <c r="DU118" s="398"/>
      <c r="DV118" s="398"/>
      <c r="DW118" s="398"/>
      <c r="DX118" s="398"/>
      <c r="EC118"/>
    </row>
    <row r="119" spans="1:133" s="126" customFormat="1" ht="21" customHeight="1" x14ac:dyDescent="0.4">
      <c r="A119" s="233" t="s">
        <v>188</v>
      </c>
      <c r="B119" s="127" t="s">
        <v>188</v>
      </c>
      <c r="C119" s="127">
        <v>4058516</v>
      </c>
      <c r="D119" s="127" t="s">
        <v>189</v>
      </c>
      <c r="E119" s="127"/>
      <c r="F119" s="127"/>
      <c r="G119" s="127" t="s">
        <v>170</v>
      </c>
      <c r="H119" s="128">
        <v>2014</v>
      </c>
      <c r="I119" s="129"/>
      <c r="J119" s="125">
        <f>IFERROR(INDEX('Labor Expenditures'!$E$7:$W$91,MATCH($C119,'Labor Expenditures'!$C$7:$C$91,0),MATCH($G119,'Labor Expenditures'!$E$5:$W$5,0)),"NA")</f>
        <v>10681.722252101341</v>
      </c>
      <c r="K119" s="125">
        <f t="shared" ca="1" si="242"/>
        <v>82.548085410365843</v>
      </c>
      <c r="L119" s="47"/>
      <c r="M119" s="131">
        <f t="shared" ca="1" si="249"/>
        <v>1.9416770219942196E-2</v>
      </c>
      <c r="N119" s="59"/>
      <c r="O119" s="59"/>
      <c r="P119" s="59">
        <f t="shared" ca="1" si="251"/>
        <v>6.8932280483516997E-5</v>
      </c>
      <c r="Q119" s="61"/>
      <c r="R119" s="387"/>
      <c r="S119" s="49">
        <f t="shared" ca="1" si="256"/>
        <v>98.173013985910373</v>
      </c>
      <c r="T119" s="61">
        <f ca="1">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</f>
        <v>-1.1939650886314995E-2</v>
      </c>
      <c r="U119" s="61"/>
      <c r="V119" s="125">
        <f>IFERROR(INDEX('Non-Labor Expenditures'!$E$7:$AA$91,MATCH($C119,'Non-Labor Expenditures'!$C$7:$C$91,0),MATCH($G119,'Non-Labor Expenditures'!$E$5:$AA$5,0)),"NA")</f>
        <v>15469.128891560415</v>
      </c>
      <c r="W119" s="125">
        <f t="shared" si="243"/>
        <v>149.24820681312931</v>
      </c>
      <c r="X119" s="131">
        <f t="shared" si="252"/>
        <v>2.1468058385360943E-2</v>
      </c>
      <c r="Y119" s="131">
        <f t="shared" si="253"/>
        <v>7.6214643593831697E-5</v>
      </c>
      <c r="Z119" s="131"/>
      <c r="AA119" s="131"/>
      <c r="AB119" s="131"/>
      <c r="AC119" s="125">
        <f t="shared" si="223"/>
        <v>9028.2707567938396</v>
      </c>
      <c r="AD119" s="129"/>
      <c r="AE119" s="133">
        <v>650.55948491081381</v>
      </c>
      <c r="AF119" s="134">
        <v>3.97399564208877E-2</v>
      </c>
      <c r="AG119" s="59">
        <f t="shared" si="244"/>
        <v>1.4108246589815843E-4</v>
      </c>
      <c r="AH119" s="134"/>
      <c r="AI119" s="134"/>
      <c r="AJ119" s="129">
        <f t="shared" si="216"/>
        <v>35179.121900455597</v>
      </c>
      <c r="AK119" s="134">
        <f t="shared" si="254"/>
        <v>4.2090025612811055E-2</v>
      </c>
      <c r="AL119" s="129"/>
      <c r="AM119" s="129"/>
      <c r="AN119" s="129"/>
      <c r="AO119" s="129"/>
      <c r="AP119" s="133">
        <f t="shared" si="255"/>
        <v>222.03294538948626</v>
      </c>
      <c r="AQ119" s="134">
        <f>+BB119/Outputs!$B$22</f>
        <v>4.3846271139489426E-3</v>
      </c>
      <c r="AR119" s="93">
        <f t="shared" si="245"/>
        <v>0.30363811474109037</v>
      </c>
      <c r="AS119" s="93">
        <f t="shared" si="246"/>
        <v>0.43972470192213858</v>
      </c>
      <c r="AT119" s="93">
        <f t="shared" si="247"/>
        <v>0.25663718333677105</v>
      </c>
      <c r="AU119" s="93">
        <f t="shared" ca="1" si="250"/>
        <v>2.551756196552251E-2</v>
      </c>
      <c r="AV119" s="132">
        <f t="shared" ca="1" si="258"/>
        <v>105.33826530369214</v>
      </c>
      <c r="AW119" s="134">
        <f t="shared" ca="1" si="259"/>
        <v>2.5517561965522489E-2</v>
      </c>
      <c r="AX119" s="56">
        <f>+AJ119/$AL$19</f>
        <v>3.5501414345790309E-3</v>
      </c>
      <c r="AY119" s="135">
        <f t="shared" ca="1" si="257"/>
        <v>9.0590954043239332E-5</v>
      </c>
      <c r="AZ119" s="93"/>
      <c r="BA119" s="93"/>
      <c r="BB119" s="234">
        <f>IFERROR(INDEX('Total Customers'!$E$7:$AA$91,MATCH($C119,'Total Customers'!$C$7:$C$91,0),MATCH($G119,'Total Customers'!$E$5:$AA$5,0)),"NA")</f>
        <v>158441</v>
      </c>
      <c r="BC119" s="411">
        <f t="shared" si="171"/>
        <v>1.4053003847477052E-2</v>
      </c>
      <c r="BD119" s="92"/>
      <c r="BE119" s="281" t="str">
        <f t="shared" si="167"/>
        <v>BLACK HILLS ENERGY ARKANSAS, INC.</v>
      </c>
      <c r="BF119" s="290">
        <f t="shared" si="168"/>
        <v>4058516</v>
      </c>
      <c r="BG119" s="46" t="str">
        <f t="shared" si="169"/>
        <v>AR</v>
      </c>
      <c r="BH119" s="46"/>
      <c r="BI119" s="46" t="str">
        <f t="shared" si="170"/>
        <v>2014 Y</v>
      </c>
      <c r="BJ119" s="129"/>
      <c r="BK119" s="129"/>
      <c r="BL119" s="129">
        <f>INDEX('Dist. Plant Gas Additions'!$E$7:$AD$91,MATCH($C119,'Dist. Plant Gas Additions'!$C$7:$C$91,0),MATCH(Calculation!$G119,'Dist. Plant Gas Additions'!$E$5:$AD$5,0))</f>
        <v>16710</v>
      </c>
      <c r="BM119" s="129">
        <f>INDEX('Gen. Plant Additions'!$E$7:$AD$91,MATCH($C119,'Gen. Plant Additions'!$C$7:$C$91,0),MATCH(Calculation!$G119,'Gen. Plant Additions'!$E$5:$AD$5,0))</f>
        <v>4057</v>
      </c>
      <c r="BN119" s="393">
        <f t="shared" si="224"/>
        <v>0.83621165880296677</v>
      </c>
      <c r="BO119" s="46">
        <f t="shared" si="221"/>
        <v>3392.5106997636362</v>
      </c>
      <c r="BP119" s="46">
        <f t="shared" si="222"/>
        <v>-664.48930023636376</v>
      </c>
      <c r="BQ119" s="129">
        <f>INDEX('Dist Plant Depreciation'!$D$7:$AC$94,MATCH($C119,'Dist Plant Depreciation'!$C$7:$C$94,0),MATCH(Calculation!$G119,'Dist Plant Depreciation'!$D$5:$AC$5,0))</f>
        <v>70110</v>
      </c>
      <c r="BR119" s="129">
        <f>INDEX('Gen. Plant Depreciation'!$D$7:$AC$94,MATCH($C119,'Gen. Plant Depreciation'!$C$7:$C$94,0),MATCH(Calculation!$G119,'Gen. Plant Depreciation'!$D$5:$AC$5,0))</f>
        <v>16013</v>
      </c>
      <c r="BS119" s="129"/>
      <c r="BT119" s="129"/>
      <c r="BU119" s="129"/>
      <c r="BV119" s="129"/>
      <c r="BW119" s="129"/>
      <c r="BX119" s="129"/>
      <c r="BY119" s="129">
        <f>INDEX('Gross Dx Plant'!$D$7:$AC$91,MATCH($C119,'Gross Dx Plant'!$C$7:$C$91,0),MATCH(Calculation!$G119,'Gross Dx Plant'!$D$5:$AC$5,0))</f>
        <v>184674</v>
      </c>
      <c r="BZ119" s="129">
        <f>INDEX('Gross Gen Plant'!$D$7:$AC$91,MATCH($C119,'Gross Gen Plant'!$C$7:$C$91,0),MATCH(Calculation!$G119,'Gross Gen Plant'!$D$5:$AC$5,0))</f>
        <v>36172</v>
      </c>
      <c r="CA119" s="129">
        <f t="shared" si="172"/>
        <v>134723</v>
      </c>
      <c r="CB119" s="129"/>
      <c r="CC119" s="133">
        <v>2014</v>
      </c>
      <c r="CD119" s="129"/>
      <c r="CE119" s="129"/>
      <c r="CF119" s="129"/>
      <c r="CG119" s="137"/>
      <c r="CH119" s="129">
        <f t="shared" si="225"/>
        <v>20767</v>
      </c>
      <c r="CI119" s="46">
        <f t="shared" si="234"/>
        <v>20102.510699763636</v>
      </c>
      <c r="CJ119" s="46">
        <f t="shared" si="226"/>
        <v>29.36949153916273</v>
      </c>
      <c r="CK119" s="443">
        <v>0.81395348837209303</v>
      </c>
      <c r="CL119" s="46">
        <f>+CL103*CK119+CJ104*CK118+CJ105*CK117+CJ106*CK116+CJ107*CK115+CJ108*CK114+CJ109*CK113+CJ110*CK112+CJ111*CK111+CJ112*CK110+CJ113*CK109+CJ114*CK108+CJ115*CK107+CJ116*CK106+CJ117*CK105+CJ118*CK104+CJ119</f>
        <v>591.80651583060251</v>
      </c>
      <c r="CM119" s="134">
        <f t="shared" si="227"/>
        <v>3.6075397343212086E-2</v>
      </c>
      <c r="CN119" s="135">
        <f t="shared" si="228"/>
        <v>1.4715829804245639E-2</v>
      </c>
      <c r="CO119" s="135">
        <f t="shared" si="238"/>
        <v>1.4417622218989463E-2</v>
      </c>
      <c r="CP119" s="134">
        <f>VLOOKUP($H119,RoR!$E:$F,2,FALSE)</f>
        <v>4.1625000000000002E-2</v>
      </c>
      <c r="CQ119" s="135">
        <v>1.841352814597208E-2</v>
      </c>
      <c r="CR119" s="135">
        <f t="shared" si="235"/>
        <v>2.3211471854027922E-2</v>
      </c>
      <c r="CS119" s="135">
        <f t="shared" si="239"/>
        <v>1.6484319389544162E-2</v>
      </c>
      <c r="CT119" s="135">
        <v>3.9072621432650924E-2</v>
      </c>
      <c r="CU119" s="139">
        <f t="shared" si="229"/>
        <v>0.8548675</v>
      </c>
      <c r="CV119" s="335">
        <f t="shared" si="230"/>
        <v>1.2320012320012319</v>
      </c>
      <c r="CW119" s="335">
        <f t="shared" si="231"/>
        <v>0.37439939939939942</v>
      </c>
      <c r="CX119" s="335">
        <f t="shared" si="232"/>
        <v>0.80432100613819935</v>
      </c>
      <c r="CY119" s="335">
        <f t="shared" si="233"/>
        <v>0.37100152660040037</v>
      </c>
      <c r="CZ119" s="336">
        <f>INDEX('State Tax Lookup'!$D$7:$Z$91,MATCH(Calculation!$C119,'State Tax Lookup'!$B$7:$B$91,0),MATCH($H119,'State Tax Lookup'!$D$6:$Z$6,0))</f>
        <v>0.39224999999999999</v>
      </c>
      <c r="DA119" s="303">
        <v>0.37</v>
      </c>
      <c r="DB119" s="57">
        <f t="shared" si="237"/>
        <v>15.815836932351115</v>
      </c>
      <c r="DC119" s="56">
        <f t="shared" si="240"/>
        <v>1.4755524793703781E-2</v>
      </c>
      <c r="DD119" s="303">
        <f>VLOOKUP($H119,RoR!$E:$F,2,FALSE)</f>
        <v>4.1625000000000002E-2</v>
      </c>
      <c r="DE119" s="304">
        <f>HLOOKUP($H119,'GDP-PI'!$D$8:$CQ$11,3,FALSE)</f>
        <v>1.841352814597208E-2</v>
      </c>
      <c r="DF119" s="303">
        <f>VLOOKUP(H119,'HW Dx Data'!$E:$F,2,FALSE)</f>
        <v>684.46914285042885</v>
      </c>
      <c r="DG119" s="89">
        <f ca="1">VLOOKUP(CC119,'ECI - Input Price'!M$13:N$33,2,FALSE)</f>
        <v>129.4</v>
      </c>
      <c r="DH119" s="89"/>
      <c r="DI119" s="89"/>
      <c r="DJ119" s="56">
        <f t="shared" ca="1" si="248"/>
        <v>2.0297340063674733E-2</v>
      </c>
      <c r="DK119" s="53">
        <f>HLOOKUP(H119,'GDP-PI'!$8:$9,2,FALSE)</f>
        <v>103.64700000000001</v>
      </c>
      <c r="DL119" s="355">
        <f t="shared" si="241"/>
        <v>1.8246051898256087E-2</v>
      </c>
      <c r="DP119" s="398"/>
      <c r="DQ119" s="398"/>
      <c r="DR119" s="398"/>
      <c r="DS119" s="398"/>
      <c r="DT119" s="398"/>
      <c r="DU119" s="398"/>
      <c r="DV119" s="398"/>
      <c r="DW119" s="398"/>
      <c r="DX119" s="398"/>
      <c r="EC119"/>
    </row>
    <row r="120" spans="1:133" s="126" customFormat="1" ht="21" customHeight="1" x14ac:dyDescent="0.4">
      <c r="A120" s="233" t="s">
        <v>188</v>
      </c>
      <c r="B120" s="127" t="s">
        <v>188</v>
      </c>
      <c r="C120" s="127">
        <v>4058516</v>
      </c>
      <c r="D120" s="127" t="s">
        <v>189</v>
      </c>
      <c r="E120" s="127"/>
      <c r="F120" s="127"/>
      <c r="G120" s="127" t="s">
        <v>171</v>
      </c>
      <c r="H120" s="128">
        <v>2015</v>
      </c>
      <c r="I120" s="129"/>
      <c r="J120" s="125">
        <f>IFERROR(INDEX('Labor Expenditures'!$E$7:$W$91,MATCH($C120,'Labor Expenditures'!$C$7:$C$91,0),MATCH($G120,'Labor Expenditures'!$E$5:$W$5,0)),"NA")</f>
        <v>9892.2026216182639</v>
      </c>
      <c r="K120" s="125">
        <f t="shared" ca="1" si="242"/>
        <v>74.098896042084377</v>
      </c>
      <c r="L120" s="47"/>
      <c r="M120" s="131">
        <f t="shared" ca="1" si="249"/>
        <v>-0.10798034303293412</v>
      </c>
      <c r="N120" s="59"/>
      <c r="O120" s="59"/>
      <c r="P120" s="59">
        <f t="shared" ca="1" si="251"/>
        <v>-3.6121139307627369E-4</v>
      </c>
      <c r="Q120" s="61"/>
      <c r="R120" s="387"/>
      <c r="S120" s="49">
        <f t="shared" ca="1" si="256"/>
        <v>96.075251032698304</v>
      </c>
      <c r="T120" s="61">
        <f ca="1">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</f>
        <v>-2.1599621603239947E-2</v>
      </c>
      <c r="U120" s="61"/>
      <c r="V120" s="125">
        <f>IFERROR(INDEX('Non-Labor Expenditures'!$E$7:$AA$91,MATCH($C120,'Non-Labor Expenditures'!$C$7:$C$91,0),MATCH($G120,'Non-Labor Expenditures'!$E$5:$AA$5,0)),"NA")</f>
        <v>14325.757004694766</v>
      </c>
      <c r="W120" s="125">
        <f t="shared" si="243"/>
        <v>136.90647850891892</v>
      </c>
      <c r="X120" s="131">
        <f t="shared" si="252"/>
        <v>-8.6312683444873223E-2</v>
      </c>
      <c r="Y120" s="131">
        <f t="shared" si="253"/>
        <v>-2.8872963126043254E-4</v>
      </c>
      <c r="Z120" s="131"/>
      <c r="AA120" s="131"/>
      <c r="AB120" s="131"/>
      <c r="AC120" s="125">
        <f t="shared" si="223"/>
        <v>9101.7151651283657</v>
      </c>
      <c r="AD120" s="129"/>
      <c r="AE120" s="133">
        <v>692.40618999359947</v>
      </c>
      <c r="AF120" s="134">
        <v>6.2340024495070756E-2</v>
      </c>
      <c r="AG120" s="59">
        <f t="shared" si="244"/>
        <v>2.0853728058083259E-4</v>
      </c>
      <c r="AH120" s="134"/>
      <c r="AI120" s="134"/>
      <c r="AJ120" s="129">
        <f t="shared" si="216"/>
        <v>33319.674791441394</v>
      </c>
      <c r="AK120" s="134">
        <f t="shared" si="254"/>
        <v>-5.4304721716001321E-2</v>
      </c>
      <c r="AL120" s="129"/>
      <c r="AM120" s="129"/>
      <c r="AN120" s="129"/>
      <c r="AO120" s="129"/>
      <c r="AP120" s="133">
        <f t="shared" si="255"/>
        <v>206.55294236324036</v>
      </c>
      <c r="AQ120" s="134">
        <f>+BB120/Outputs!$B$23</f>
        <v>4.4278066024063369E-3</v>
      </c>
      <c r="AR120" s="93">
        <f t="shared" si="245"/>
        <v>0.29688773025357407</v>
      </c>
      <c r="AS120" s="93">
        <f t="shared" si="246"/>
        <v>0.42994888438630646</v>
      </c>
      <c r="AT120" s="93">
        <f t="shared" si="247"/>
        <v>0.27316338536011953</v>
      </c>
      <c r="AU120" s="93">
        <f t="shared" ca="1" si="250"/>
        <v>-5.3440533634004181E-2</v>
      </c>
      <c r="AV120" s="132">
        <f t="shared" ca="1" si="258"/>
        <v>99.856705435241537</v>
      </c>
      <c r="AW120" s="134">
        <f t="shared" ca="1" si="259"/>
        <v>-5.3440533634004236E-2</v>
      </c>
      <c r="AX120" s="56">
        <f>+AJ120/$AL$20</f>
        <v>3.3451587847438476E-3</v>
      </c>
      <c r="AY120" s="135">
        <f t="shared" ca="1" si="257"/>
        <v>-1.7876707054718832E-4</v>
      </c>
      <c r="AZ120" s="93"/>
      <c r="BA120" s="93"/>
      <c r="BB120" s="234">
        <f>IFERROR(INDEX('Total Customers'!$E$7:$AA$91,MATCH($C120,'Total Customers'!$C$7:$C$91,0),MATCH($G120,'Total Customers'!$E$5:$AA$5,0)),"NA")</f>
        <v>161313</v>
      </c>
      <c r="BC120" s="411">
        <f t="shared" si="171"/>
        <v>1.79642927765487E-2</v>
      </c>
      <c r="BD120" s="92"/>
      <c r="BE120" s="281" t="str">
        <f t="shared" si="167"/>
        <v>BLACK HILLS ENERGY ARKANSAS, INC.</v>
      </c>
      <c r="BF120" s="290">
        <f t="shared" si="168"/>
        <v>4058516</v>
      </c>
      <c r="BG120" s="46" t="str">
        <f t="shared" si="169"/>
        <v>AR</v>
      </c>
      <c r="BH120" s="46"/>
      <c r="BI120" s="46" t="str">
        <f t="shared" si="170"/>
        <v>2015 Y</v>
      </c>
      <c r="BJ120" s="129"/>
      <c r="BK120" s="129"/>
      <c r="BL120" s="129">
        <f>INDEX('Dist. Plant Gas Additions'!$E$7:$AD$91,MATCH($C120,'Dist. Plant Gas Additions'!$C$7:$C$91,0),MATCH(Calculation!$G120,'Dist. Plant Gas Additions'!$E$5:$AD$5,0))</f>
        <v>24837</v>
      </c>
      <c r="BM120" s="129">
        <f>INDEX('Gen. Plant Additions'!$E$7:$AD$91,MATCH($C120,'Gen. Plant Additions'!$C$7:$C$91,0),MATCH(Calculation!$G120,'Gen. Plant Additions'!$E$5:$AD$5,0))</f>
        <v>7038</v>
      </c>
      <c r="BN120" s="393">
        <f t="shared" si="224"/>
        <v>0.84229616779687744</v>
      </c>
      <c r="BO120" s="46">
        <f t="shared" si="221"/>
        <v>5928.080428954423</v>
      </c>
      <c r="BP120" s="46">
        <f t="shared" si="222"/>
        <v>-1109.919571045577</v>
      </c>
      <c r="BQ120" s="129">
        <f>INDEX('Dist Plant Depreciation'!$D$7:$AC$94,MATCH($C120,'Dist Plant Depreciation'!$C$7:$C$94,0),MATCH(Calculation!$G120,'Dist Plant Depreciation'!$D$5:$AC$5,0))</f>
        <v>73761</v>
      </c>
      <c r="BR120" s="129">
        <f>INDEX('Gen. Plant Depreciation'!$D$7:$AC$94,MATCH($C120,'Gen. Plant Depreciation'!$C$7:$C$94,0),MATCH(Calculation!$G120,'Gen. Plant Depreciation'!$D$5:$AC$5,0))</f>
        <v>15451</v>
      </c>
      <c r="BS120" s="129"/>
      <c r="BT120" s="129"/>
      <c r="BU120" s="129"/>
      <c r="BV120" s="129"/>
      <c r="BW120" s="129"/>
      <c r="BX120" s="129"/>
      <c r="BY120" s="129">
        <f>INDEX('Gross Dx Plant'!$D$7:$AC$91,MATCH($C120,'Gross Dx Plant'!$C$7:$C$91,0),MATCH(Calculation!$G120,'Gross Dx Plant'!$D$5:$AC$5,0))</f>
        <v>208299</v>
      </c>
      <c r="BZ120" s="129">
        <f>INDEX('Gross Gen Plant'!$D$7:$AC$91,MATCH($C120,'Gross Gen Plant'!$C$7:$C$91,0),MATCH(Calculation!$G120,'Gross Gen Plant'!$D$5:$AC$5,0))</f>
        <v>39000</v>
      </c>
      <c r="CA120" s="129">
        <f t="shared" si="172"/>
        <v>158087</v>
      </c>
      <c r="CB120" s="129"/>
      <c r="CC120" s="133">
        <v>2015</v>
      </c>
      <c r="CD120" s="129"/>
      <c r="CE120" s="129"/>
      <c r="CF120" s="129"/>
      <c r="CG120" s="137"/>
      <c r="CH120" s="129">
        <f t="shared" si="225"/>
        <v>31875</v>
      </c>
      <c r="CI120" s="46">
        <f t="shared" si="234"/>
        <v>30765.080428954425</v>
      </c>
      <c r="CJ120" s="46">
        <f t="shared" si="226"/>
        <v>45.536432934258748</v>
      </c>
      <c r="CK120" s="443">
        <v>0.8</v>
      </c>
      <c r="CL120" s="46">
        <f>+CL103*CK120+CJ104*CK119+CJ105*CK118+CJ106*CK117+CJ107*CK116+CJ108*CK115+CJ109*CK114+CJ110*CK113+CJ111*CK112+CJ112*CK111+CJ113*CK110+CJ114*CK109+CJ115*CK108+CJ116*CK107+CJ117*CK106+CJ118*CK105+CJ119*CK104+CJ120</f>
        <v>628.45991102827475</v>
      </c>
      <c r="CM120" s="134">
        <f t="shared" si="227"/>
        <v>6.009249074229743E-2</v>
      </c>
      <c r="CN120" s="135">
        <f t="shared" si="228"/>
        <v>1.5010037062736854E-2</v>
      </c>
      <c r="CO120" s="135">
        <f t="shared" si="238"/>
        <v>1.4713289714074859E-2</v>
      </c>
      <c r="CP120" s="134">
        <f>VLOOKUP($H120,RoR!$E:$F,2,FALSE)</f>
        <v>3.8866666666666674E-2</v>
      </c>
      <c r="CQ120" s="135">
        <v>9.5709475431029478E-3</v>
      </c>
      <c r="CR120" s="135">
        <f t="shared" si="235"/>
        <v>2.9295719123563727E-2</v>
      </c>
      <c r="CS120" s="135">
        <f t="shared" si="239"/>
        <v>1.6188651894458766E-2</v>
      </c>
      <c r="CT120" s="135">
        <v>3.5270373279175926E-3</v>
      </c>
      <c r="CU120" s="139">
        <f t="shared" si="229"/>
        <v>0.8548675</v>
      </c>
      <c r="CV120" s="335">
        <f t="shared" si="230"/>
        <v>1.3194352816994324</v>
      </c>
      <c r="CW120" s="335">
        <f t="shared" si="231"/>
        <v>0.33177530017152673</v>
      </c>
      <c r="CX120" s="335">
        <f t="shared" si="232"/>
        <v>0.78242572977668579</v>
      </c>
      <c r="CY120" s="335">
        <f t="shared" si="233"/>
        <v>0.34251158643433932</v>
      </c>
      <c r="CZ120" s="336">
        <f>INDEX('State Tax Lookup'!$D$7:$Z$91,MATCH(Calculation!$C120,'State Tax Lookup'!$B$7:$B$91,0),MATCH($H120,'State Tax Lookup'!$D$6:$Z$6,0))</f>
        <v>0.39224999999999999</v>
      </c>
      <c r="DA120" s="303">
        <v>0.37</v>
      </c>
      <c r="DB120" s="57">
        <f t="shared" si="237"/>
        <v>15.379545377857282</v>
      </c>
      <c r="DC120" s="56">
        <f t="shared" si="240"/>
        <v>-2.7973371185155478E-2</v>
      </c>
      <c r="DD120" s="303">
        <f>VLOOKUP($H120,RoR!$E:$F,2,FALSE)</f>
        <v>3.8866666666666674E-2</v>
      </c>
      <c r="DE120" s="304">
        <f>HLOOKUP($H120,'GDP-PI'!$D$8:$CQ$11,3,FALSE)</f>
        <v>9.5709475431029478E-3</v>
      </c>
      <c r="DF120" s="303">
        <f>VLOOKUP(H120,'HW Dx Data'!$E:$F,2,FALSE)</f>
        <v>675.61463308665782</v>
      </c>
      <c r="DG120" s="89">
        <f ca="1">VLOOKUP(CC120,'ECI - Input Price'!M$13:N$33,2,FALSE)</f>
        <v>133.5</v>
      </c>
      <c r="DH120" s="89"/>
      <c r="DI120" s="89"/>
      <c r="DJ120" s="56">
        <f t="shared" ca="1" si="248"/>
        <v>3.1193095773504077E-2</v>
      </c>
      <c r="DK120" s="53">
        <f>HLOOKUP(H120,'GDP-PI'!$8:$9,2,FALSE)</f>
        <v>104.639</v>
      </c>
      <c r="DL120" s="355">
        <f t="shared" si="241"/>
        <v>9.5254361854427965E-3</v>
      </c>
      <c r="DP120" s="398"/>
      <c r="DQ120" s="398"/>
      <c r="DR120" s="398"/>
      <c r="DS120" s="398"/>
      <c r="DT120" s="398"/>
      <c r="DU120" s="398"/>
      <c r="DV120" s="398"/>
      <c r="DW120" s="398"/>
      <c r="DX120" s="398"/>
      <c r="EC120"/>
    </row>
    <row r="121" spans="1:133" s="126" customFormat="1" ht="21" customHeight="1" x14ac:dyDescent="0.4">
      <c r="A121" s="233" t="s">
        <v>188</v>
      </c>
      <c r="B121" s="127" t="s">
        <v>188</v>
      </c>
      <c r="C121" s="127">
        <v>4058516</v>
      </c>
      <c r="D121" s="127" t="s">
        <v>189</v>
      </c>
      <c r="E121" s="127"/>
      <c r="F121" s="127"/>
      <c r="G121" s="127" t="s">
        <v>172</v>
      </c>
      <c r="H121" s="128">
        <v>2016</v>
      </c>
      <c r="I121" s="129"/>
      <c r="J121" s="125">
        <f>IFERROR(INDEX('Labor Expenditures'!$E$7:$W$91,MATCH($C121,'Labor Expenditures'!$C$7:$C$91,0),MATCH($G121,'Labor Expenditures'!$E$5:$W$5,0)),"NA")</f>
        <v>10902.244467678827</v>
      </c>
      <c r="K121" s="125">
        <f t="shared" ca="1" si="242"/>
        <v>79.607480596413495</v>
      </c>
      <c r="L121" s="47"/>
      <c r="M121" s="131">
        <f t="shared" ca="1" si="249"/>
        <v>7.170743180304473E-2</v>
      </c>
      <c r="N121" s="59"/>
      <c r="O121" s="59"/>
      <c r="P121" s="59">
        <f t="shared" ca="1" si="251"/>
        <v>2.5206418705136146E-4</v>
      </c>
      <c r="Q121" s="61"/>
      <c r="R121" s="387"/>
      <c r="S121" s="49">
        <f t="shared" ca="1" si="256"/>
        <v>97.280550337301221</v>
      </c>
      <c r="T121" s="61">
        <f ca="1">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</f>
        <v>1.2467326121952772E-2</v>
      </c>
      <c r="U121" s="61"/>
      <c r="V121" s="125">
        <f>IFERROR(INDEX('Non-Labor Expenditures'!$E$7:$AA$91,MATCH($C121,'Non-Labor Expenditures'!$C$7:$C$91,0),MATCH($G121,'Non-Labor Expenditures'!$E$5:$AA$5,0)),"NA")</f>
        <v>15788.486247585051</v>
      </c>
      <c r="W121" s="125">
        <f t="shared" si="243"/>
        <v>149.31987447591217</v>
      </c>
      <c r="X121" s="131">
        <f t="shared" si="252"/>
        <v>8.6792759304622852E-2</v>
      </c>
      <c r="Y121" s="131">
        <f t="shared" si="253"/>
        <v>3.05091756404743E-4</v>
      </c>
      <c r="Z121" s="131"/>
      <c r="AA121" s="131"/>
      <c r="AB121" s="131"/>
      <c r="AC121" s="125">
        <f t="shared" si="223"/>
        <v>9454.2261026035321</v>
      </c>
      <c r="AD121" s="129"/>
      <c r="AE121" s="133">
        <v>753.34468056589003</v>
      </c>
      <c r="AF121" s="134">
        <v>8.4350103010893421E-2</v>
      </c>
      <c r="AG121" s="59">
        <f t="shared" si="244"/>
        <v>2.9650539154069474E-4</v>
      </c>
      <c r="AH121" s="134"/>
      <c r="AI121" s="134"/>
      <c r="AJ121" s="129">
        <f t="shared" si="216"/>
        <v>36144.956817867409</v>
      </c>
      <c r="AK121" s="134">
        <f t="shared" si="254"/>
        <v>8.1389374669627881E-2</v>
      </c>
      <c r="AL121" s="129"/>
      <c r="AM121" s="129"/>
      <c r="AN121" s="129"/>
      <c r="AO121" s="129"/>
      <c r="AP121" s="133">
        <f t="shared" si="255"/>
        <v>220.0699988301931</v>
      </c>
      <c r="AQ121" s="134">
        <f>+BB121/Outputs!$B$24</f>
        <v>4.4692734085756127E-3</v>
      </c>
      <c r="AR121" s="93">
        <f t="shared" si="245"/>
        <v>0.30162560499420932</v>
      </c>
      <c r="AS121" s="93">
        <f t="shared" si="246"/>
        <v>0.43681021192368347</v>
      </c>
      <c r="AT121" s="93">
        <f t="shared" si="247"/>
        <v>0.26156418308210727</v>
      </c>
      <c r="AU121" s="93">
        <f t="shared" ca="1" si="250"/>
        <v>8.1625296636242517E-2</v>
      </c>
      <c r="AV121" s="132">
        <f t="shared" ca="1" si="258"/>
        <v>108.349434560308</v>
      </c>
      <c r="AW121" s="134">
        <f t="shared" ca="1" si="259"/>
        <v>8.1625296636242475E-2</v>
      </c>
      <c r="AX121" s="56">
        <f>+AJ121/$AL$21</f>
        <v>3.5151752156414376E-3</v>
      </c>
      <c r="AY121" s="135">
        <f t="shared" ca="1" si="257"/>
        <v>2.8692721970509995E-4</v>
      </c>
      <c r="AZ121" s="93"/>
      <c r="BA121" s="93"/>
      <c r="BB121" s="234">
        <f>IFERROR(INDEX('Total Customers'!$E$7:$AA$91,MATCH($C121,'Total Customers'!$C$7:$C$91,0),MATCH($G121,'Total Customers'!$E$5:$AA$5,0)),"NA")</f>
        <v>164243</v>
      </c>
      <c r="BC121" s="411">
        <f t="shared" si="171"/>
        <v>1.8000461448285064E-2</v>
      </c>
      <c r="BD121" s="92"/>
      <c r="BE121" s="281" t="str">
        <f t="shared" si="167"/>
        <v>BLACK HILLS ENERGY ARKANSAS, INC.</v>
      </c>
      <c r="BF121" s="290">
        <f t="shared" si="168"/>
        <v>4058516</v>
      </c>
      <c r="BG121" s="46" t="str">
        <f t="shared" si="169"/>
        <v>AR</v>
      </c>
      <c r="BH121" s="46"/>
      <c r="BI121" s="46" t="str">
        <f t="shared" si="170"/>
        <v>2016 Y</v>
      </c>
      <c r="BJ121" s="129"/>
      <c r="BK121" s="129"/>
      <c r="BL121" s="129">
        <f>INDEX('Dist. Plant Gas Additions'!$E$7:$AD$91,MATCH($C121,'Dist. Plant Gas Additions'!$C$7:$C$91,0),MATCH(Calculation!$G121,'Dist. Plant Gas Additions'!$E$5:$AD$5,0))</f>
        <v>35697</v>
      </c>
      <c r="BM121" s="129">
        <f>INDEX('Gen. Plant Additions'!$E$7:$AD$91,MATCH($C121,'Gen. Plant Additions'!$C$7:$C$91,0),MATCH(Calculation!$G121,'Gen. Plant Additions'!$E$5:$AD$5,0))</f>
        <v>9095</v>
      </c>
      <c r="BN121" s="393">
        <f t="shared" si="224"/>
        <v>0.85047389614728586</v>
      </c>
      <c r="BO121" s="46">
        <f t="shared" si="221"/>
        <v>7735.060085459565</v>
      </c>
      <c r="BP121" s="46">
        <f t="shared" si="222"/>
        <v>-1359.939914540435</v>
      </c>
      <c r="BQ121" s="129">
        <f>INDEX('Dist Plant Depreciation'!$D$7:$AC$94,MATCH($C121,'Dist Plant Depreciation'!$C$7:$C$94,0),MATCH(Calculation!$G121,'Dist Plant Depreciation'!$D$5:$AC$5,0))</f>
        <v>68437</v>
      </c>
      <c r="BR121" s="129">
        <f>INDEX('Gen. Plant Depreciation'!$D$7:$AC$94,MATCH($C121,'Gen. Plant Depreciation'!$C$7:$C$94,0),MATCH(Calculation!$G121,'Gen. Plant Depreciation'!$D$5:$AC$5,0))</f>
        <v>17573</v>
      </c>
      <c r="BS121" s="129"/>
      <c r="BT121" s="129"/>
      <c r="BU121" s="129"/>
      <c r="BV121" s="129"/>
      <c r="BW121" s="129"/>
      <c r="BX121" s="129"/>
      <c r="BY121" s="129">
        <f>INDEX('Gross Dx Plant'!$D$7:$AC$91,MATCH($C121,'Gross Dx Plant'!$C$7:$C$91,0),MATCH(Calculation!$G121,'Gross Dx Plant'!$D$5:$AC$5,0))</f>
        <v>241828</v>
      </c>
      <c r="BZ121" s="129">
        <f>INDEX('Gross Gen Plant'!$D$7:$AC$91,MATCH($C121,'Gross Gen Plant'!$C$7:$C$91,0),MATCH(Calculation!$G121,'Gross Gen Plant'!$D$5:$AC$5,0))</f>
        <v>42517</v>
      </c>
      <c r="CA121" s="129">
        <f t="shared" si="172"/>
        <v>198335</v>
      </c>
      <c r="CB121" s="129"/>
      <c r="CC121" s="133">
        <v>2016</v>
      </c>
      <c r="CD121" s="129"/>
      <c r="CE121" s="129"/>
      <c r="CF121" s="129"/>
      <c r="CG121" s="137"/>
      <c r="CH121" s="129">
        <f t="shared" si="225"/>
        <v>44792</v>
      </c>
      <c r="CI121" s="46">
        <f t="shared" si="234"/>
        <v>43432.060085459569</v>
      </c>
      <c r="CJ121" s="46">
        <f t="shared" si="226"/>
        <v>64.683366608217682</v>
      </c>
      <c r="CK121" s="443">
        <v>0.7857142857142857</v>
      </c>
      <c r="CL121" s="46">
        <f>+CL103*CK121+CJ104*CK120+CJ105*CK119+CJ106*CK118+CJ107*CK117+CJ108*CK116+CJ109*CK115+CJ110*CK114+CJ111*CK113+CJ112*CK112+CJ113*CK111+CJ114*CK110+CJ115*CK109+CJ116*CK108+CJ117*CK107+CJ118*CK106+CJ119*CK105+CJ120*CK104+CJ121</f>
        <v>683.60499422244879</v>
      </c>
      <c r="CM121" s="134">
        <f t="shared" si="227"/>
        <v>8.4108016143869466E-2</v>
      </c>
      <c r="CN121" s="135">
        <f t="shared" si="228"/>
        <v>1.5177234453089087E-2</v>
      </c>
      <c r="CO121" s="135">
        <f t="shared" si="238"/>
        <v>1.496770044002386E-2</v>
      </c>
      <c r="CP121" s="134">
        <f>VLOOKUP($H121,RoR!$E:$F,2,FALSE)</f>
        <v>3.6658333333333334E-2</v>
      </c>
      <c r="CQ121" s="135">
        <v>1.0483662879041455E-2</v>
      </c>
      <c r="CR121" s="135">
        <f t="shared" si="235"/>
        <v>2.6174670454291879E-2</v>
      </c>
      <c r="CS121" s="135">
        <f t="shared" si="239"/>
        <v>1.5934241168509763E-2</v>
      </c>
      <c r="CT121" s="135">
        <v>4.301363574220729E-3</v>
      </c>
      <c r="CU121" s="139">
        <f t="shared" si="229"/>
        <v>0.8548675</v>
      </c>
      <c r="CV121" s="335">
        <f t="shared" si="230"/>
        <v>1.3989193348138562</v>
      </c>
      <c r="CW121" s="335">
        <f t="shared" si="231"/>
        <v>0.29302682427824522</v>
      </c>
      <c r="CX121" s="335">
        <f t="shared" si="232"/>
        <v>0.76309497491941802</v>
      </c>
      <c r="CY121" s="335">
        <f t="shared" si="233"/>
        <v>0.31280857135128509</v>
      </c>
      <c r="CZ121" s="336">
        <f>INDEX('State Tax Lookup'!$D$7:$Z$91,MATCH(Calculation!$C121,'State Tax Lookup'!$B$7:$B$91,0),MATCH($H121,'State Tax Lookup'!$D$6:$Z$6,0))</f>
        <v>0.39224999999999999</v>
      </c>
      <c r="DA121" s="303">
        <v>0.37</v>
      </c>
      <c r="DB121" s="57">
        <f t="shared" si="237"/>
        <v>15.043483182777241</v>
      </c>
      <c r="DC121" s="56">
        <f t="shared" si="240"/>
        <v>-2.2093518026189168E-2</v>
      </c>
      <c r="DD121" s="303">
        <f>VLOOKUP($H121,RoR!$E:$F,2,FALSE)</f>
        <v>3.6658333333333334E-2</v>
      </c>
      <c r="DE121" s="304">
        <f>HLOOKUP($H121,'GDP-PI'!$D$8:$CQ$11,3,FALSE)</f>
        <v>1.0483662879041455E-2</v>
      </c>
      <c r="DF121" s="303">
        <f>VLOOKUP(H121,'HW Dx Data'!$E:$F,2,FALSE)</f>
        <v>671.45639385971219</v>
      </c>
      <c r="DG121" s="89">
        <f ca="1">VLOOKUP(CC121,'ECI - Input Price'!M$13:N$33,2,FALSE)</f>
        <v>136.94999999999999</v>
      </c>
      <c r="DH121" s="89"/>
      <c r="DI121" s="89"/>
      <c r="DJ121" s="56">
        <f t="shared" ca="1" si="248"/>
        <v>2.5514417868782811E-2</v>
      </c>
      <c r="DK121" s="53">
        <f>HLOOKUP(H121,'GDP-PI'!$8:$9,2,FALSE)</f>
        <v>105.736</v>
      </c>
      <c r="DL121" s="355">
        <f t="shared" si="241"/>
        <v>1.0429090367205095E-2</v>
      </c>
      <c r="DP121" s="398"/>
      <c r="DQ121" s="398"/>
      <c r="DR121" s="398"/>
      <c r="DS121" s="398"/>
      <c r="DT121" s="398"/>
      <c r="DU121" s="398"/>
      <c r="DV121" s="398"/>
      <c r="DW121" s="398"/>
      <c r="DX121" s="398"/>
      <c r="EC121"/>
    </row>
    <row r="122" spans="1:133" s="126" customFormat="1" ht="21" customHeight="1" x14ac:dyDescent="0.4">
      <c r="A122" s="233" t="s">
        <v>188</v>
      </c>
      <c r="B122" s="127" t="s">
        <v>188</v>
      </c>
      <c r="C122" s="127">
        <v>4058516</v>
      </c>
      <c r="D122" s="127" t="s">
        <v>189</v>
      </c>
      <c r="E122" s="127"/>
      <c r="F122" s="127"/>
      <c r="G122" s="127" t="s">
        <v>173</v>
      </c>
      <c r="H122" s="128">
        <v>2017</v>
      </c>
      <c r="I122" s="129"/>
      <c r="J122" s="125">
        <f>IFERROR(INDEX('Labor Expenditures'!$E$7:$W$91,MATCH($C122,'Labor Expenditures'!$C$7:$C$91,0),MATCH($G122,'Labor Expenditures'!$E$5:$W$5,0)),"NA")</f>
        <v>11987.861328271578</v>
      </c>
      <c r="K122" s="125">
        <f t="shared" ca="1" si="242"/>
        <v>85.353231244368658</v>
      </c>
      <c r="L122" s="47"/>
      <c r="M122" s="131">
        <f t="shared" ca="1" si="249"/>
        <v>6.9690241497861558E-2</v>
      </c>
      <c r="N122" s="59"/>
      <c r="O122" s="59"/>
      <c r="P122" s="59">
        <f t="shared" ca="1" si="251"/>
        <v>2.6203014583739355E-4</v>
      </c>
      <c r="Q122" s="61"/>
      <c r="R122" s="387"/>
      <c r="S122" s="49">
        <f t="shared" ca="1" si="256"/>
        <v>97.902624533234388</v>
      </c>
      <c r="T122" s="61">
        <f ca="1">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</f>
        <v>6.3742820318420162E-3</v>
      </c>
      <c r="U122" s="61"/>
      <c r="V122" s="125">
        <f>IFERROR(INDEX('Non-Labor Expenditures'!$E$7:$AA$91,MATCH($C122,'Non-Labor Expenditures'!$C$7:$C$91,0),MATCH($G122,'Non-Labor Expenditures'!$E$5:$AA$5,0)),"NA")</f>
        <v>17360.662226983575</v>
      </c>
      <c r="W122" s="125">
        <f t="shared" si="243"/>
        <v>161.11833975539508</v>
      </c>
      <c r="X122" s="131">
        <f t="shared" si="252"/>
        <v>7.6048311111282144E-2</v>
      </c>
      <c r="Y122" s="131">
        <f t="shared" si="253"/>
        <v>2.8593601661989061E-4</v>
      </c>
      <c r="Z122" s="131"/>
      <c r="AA122" s="131"/>
      <c r="AB122" s="131"/>
      <c r="AC122" s="125">
        <f t="shared" si="223"/>
        <v>9300.2334584463024</v>
      </c>
      <c r="AD122" s="129"/>
      <c r="AE122" s="133">
        <v>794.58326005333674</v>
      </c>
      <c r="AF122" s="134">
        <v>5.3294909839218224E-2</v>
      </c>
      <c r="AG122" s="59">
        <f t="shared" si="244"/>
        <v>2.0038491325919143E-4</v>
      </c>
      <c r="AH122" s="134"/>
      <c r="AI122" s="134"/>
      <c r="AJ122" s="129">
        <f t="shared" si="216"/>
        <v>38648.757013701455</v>
      </c>
      <c r="AK122" s="134">
        <f t="shared" si="254"/>
        <v>6.6977182696997858E-2</v>
      </c>
      <c r="AL122" s="129"/>
      <c r="AM122" s="129"/>
      <c r="AN122" s="129"/>
      <c r="AO122" s="129"/>
      <c r="AP122" s="133">
        <f t="shared" si="255"/>
        <v>231.798895328496</v>
      </c>
      <c r="AQ122" s="134">
        <f>+BB122/Outputs!$B$25</f>
        <v>4.5029692471295979E-3</v>
      </c>
      <c r="AR122" s="93">
        <f t="shared" si="245"/>
        <v>0.31017456328599996</v>
      </c>
      <c r="AS122" s="93">
        <f t="shared" si="246"/>
        <v>0.44919070025535385</v>
      </c>
      <c r="AT122" s="93">
        <f t="shared" si="247"/>
        <v>0.24063473645864616</v>
      </c>
      <c r="AU122" s="93">
        <f t="shared" ca="1" si="250"/>
        <v>6.8390010314214295E-2</v>
      </c>
      <c r="AV122" s="132">
        <f t="shared" ca="1" si="258"/>
        <v>116.01871561983545</v>
      </c>
      <c r="AW122" s="134">
        <f t="shared" ca="1" si="259"/>
        <v>6.8390010314214211E-2</v>
      </c>
      <c r="AX122" s="56">
        <f>+AJ122/$AL$22</f>
        <v>3.7599259265794611E-3</v>
      </c>
      <c r="AY122" s="135">
        <f t="shared" ca="1" si="257"/>
        <v>2.5714137289945075E-4</v>
      </c>
      <c r="AZ122" s="93"/>
      <c r="BA122" s="93"/>
      <c r="BB122" s="234">
        <f>IFERROR(INDEX('Total Customers'!$E$7:$AA$91,MATCH($C122,'Total Customers'!$C$7:$C$91,0),MATCH($G122,'Total Customers'!$E$5:$AA$5,0)),"NA")</f>
        <v>166734</v>
      </c>
      <c r="BC122" s="411">
        <f t="shared" si="171"/>
        <v>1.5052689671932495E-2</v>
      </c>
      <c r="BD122" s="92"/>
      <c r="BE122" s="281" t="str">
        <f t="shared" si="167"/>
        <v>BLACK HILLS ENERGY ARKANSAS, INC.</v>
      </c>
      <c r="BF122" s="290">
        <f t="shared" si="168"/>
        <v>4058516</v>
      </c>
      <c r="BG122" s="46" t="str">
        <f t="shared" si="169"/>
        <v>AR</v>
      </c>
      <c r="BH122" s="46"/>
      <c r="BI122" s="46" t="str">
        <f t="shared" si="170"/>
        <v>2017 Y</v>
      </c>
      <c r="BJ122" s="129"/>
      <c r="BK122" s="129"/>
      <c r="BL122" s="129">
        <f>INDEX('Dist. Plant Gas Additions'!$E$7:$AD$91,MATCH($C122,'Dist. Plant Gas Additions'!$C$7:$C$91,0),MATCH(Calculation!$G122,'Dist. Plant Gas Additions'!$E$5:$AD$5,0))</f>
        <v>32070</v>
      </c>
      <c r="BM122" s="129">
        <f>INDEX('Gen. Plant Additions'!$E$7:$AD$91,MATCH($C122,'Gen. Plant Additions'!$C$7:$C$91,0),MATCH(Calculation!$G122,'Gen. Plant Additions'!$E$5:$AD$5,0))</f>
        <v>1815</v>
      </c>
      <c r="BN122" s="393">
        <f t="shared" si="224"/>
        <v>0.8672175782182947</v>
      </c>
      <c r="BO122" s="46">
        <f>+BN122*BM122</f>
        <v>1573.999904466205</v>
      </c>
      <c r="BP122" s="46">
        <f>+BO122-BM122</f>
        <v>-241.00009553379505</v>
      </c>
      <c r="BQ122" s="129">
        <f>INDEX('Dist Plant Depreciation'!$D$7:$AC$94,MATCH($C122,'Dist Plant Depreciation'!$C$7:$C$94,0),MATCH(Calculation!$G122,'Dist Plant Depreciation'!$D$5:$AC$5,0))</f>
        <v>79851</v>
      </c>
      <c r="BR122" s="129">
        <f>INDEX('Gen. Plant Depreciation'!$D$7:$AC$94,MATCH($C122,'Gen. Plant Depreciation'!$C$7:$C$94,0),MATCH(Calculation!$G122,'Gen. Plant Depreciation'!$D$5:$AC$5,0))</f>
        <v>15693</v>
      </c>
      <c r="BS122" s="129"/>
      <c r="BT122" s="129"/>
      <c r="BU122" s="129"/>
      <c r="BV122" s="129"/>
      <c r="BW122" s="129"/>
      <c r="BX122" s="129"/>
      <c r="BY122" s="129">
        <f>INDEX('Gross Dx Plant'!$D$7:$AC$91,MATCH($C122,'Gross Dx Plant'!$C$7:$C$91,0),MATCH(Calculation!$G122,'Gross Dx Plant'!$D$5:$AC$5,0))</f>
        <v>272328</v>
      </c>
      <c r="BZ122" s="129">
        <f>INDEX('Gross Gen Plant'!$D$7:$AC$91,MATCH($C122,'Gross Gen Plant'!$C$7:$C$91,0),MATCH(Calculation!$G122,'Gross Gen Plant'!$D$5:$AC$5,0))</f>
        <v>41697</v>
      </c>
      <c r="CA122" s="129">
        <f t="shared" si="172"/>
        <v>218481</v>
      </c>
      <c r="CB122" s="129"/>
      <c r="CC122" s="133">
        <v>2017</v>
      </c>
      <c r="CD122" s="129"/>
      <c r="CE122" s="129"/>
      <c r="CF122" s="129"/>
      <c r="CG122" s="137"/>
      <c r="CH122" s="129">
        <f t="shared" si="225"/>
        <v>33885</v>
      </c>
      <c r="CI122" s="46">
        <f t="shared" si="234"/>
        <v>33643.999904466204</v>
      </c>
      <c r="CJ122" s="46">
        <f t="shared" si="226"/>
        <v>47.224382449153715</v>
      </c>
      <c r="CK122" s="443">
        <v>0.77108433734939763</v>
      </c>
      <c r="CL122" s="46">
        <f>+CL103*CK122+CJ104*CK121+CJ105*CK120+CJ106*CK119+CJ107*CK118+CJ108*CK117+CJ109*CK116+CJ110*CK115+CJ111*CK114+CJ112*CK113+CJ113*CK112+CJ114*CK111+CJ115*CK110+CJ116*CK109+CJ117*CK108+CJ118*CK107+CJ119*CK106+CJ120*CK105+CJ121*CK104+CJ122</f>
        <v>720.43009818521193</v>
      </c>
      <c r="CM122" s="134">
        <f t="shared" si="227"/>
        <v>5.2468135271116136E-2</v>
      </c>
      <c r="CN122" s="135">
        <f t="shared" si="228"/>
        <v>1.5212408590166907E-2</v>
      </c>
      <c r="CO122" s="135">
        <f t="shared" si="238"/>
        <v>1.5133226701997618E-2</v>
      </c>
      <c r="CP122" s="134">
        <f>VLOOKUP($H122,RoR!$E:$F,2,FALSE)</f>
        <v>3.7433333333333339E-2</v>
      </c>
      <c r="CQ122" s="135">
        <v>1.9056896421275615E-2</v>
      </c>
      <c r="CR122" s="135">
        <f t="shared" si="235"/>
        <v>1.8376436912057724E-2</v>
      </c>
      <c r="CS122" s="135">
        <f t="shared" si="239"/>
        <v>1.5768714906536009E-2</v>
      </c>
      <c r="CT122" s="135">
        <v>1.3976271617800498E-2</v>
      </c>
      <c r="CU122" s="139">
        <f t="shared" si="229"/>
        <v>0.90666749999999996</v>
      </c>
      <c r="CV122" s="335">
        <f t="shared" si="230"/>
        <v>1.3699568463593395</v>
      </c>
      <c r="CW122" s="335">
        <f t="shared" si="231"/>
        <v>0.30714603739982199</v>
      </c>
      <c r="CX122" s="335">
        <f t="shared" si="232"/>
        <v>0.77007188472689425</v>
      </c>
      <c r="CY122" s="335">
        <f t="shared" si="233"/>
        <v>0.32402839633793828</v>
      </c>
      <c r="CZ122" s="336">
        <f>INDEX('State Tax Lookup'!$D$7:$Z$91,MATCH(Calculation!$C122,'State Tax Lookup'!$B$7:$B$91,0),MATCH($H122,'State Tax Lookup'!$D$6:$Z$6,0))</f>
        <v>0.25224999999999997</v>
      </c>
      <c r="DA122" s="303">
        <v>0.37</v>
      </c>
      <c r="DB122" s="57">
        <f t="shared" si="237"/>
        <v>13.604689165597225</v>
      </c>
      <c r="DC122" s="56">
        <f t="shared" si="240"/>
        <v>-0.10053036140427735</v>
      </c>
      <c r="DD122" s="303">
        <f>VLOOKUP($H122,RoR!$E:$F,2,FALSE)</f>
        <v>3.7433333333333339E-2</v>
      </c>
      <c r="DE122" s="304">
        <f>HLOOKUP($H122,'GDP-PI'!$D$8:$CQ$11,3,FALSE)</f>
        <v>1.9056896421275615E-2</v>
      </c>
      <c r="DF122" s="303">
        <f>VLOOKUP(H122,'HW Dx Data'!$E:$F,2,FALSE)</f>
        <v>712.42858370229726</v>
      </c>
      <c r="DG122" s="89">
        <f ca="1">VLOOKUP(CC122,'ECI - Input Price'!M$13:N$33,2,FALSE)</f>
        <v>140.44999999999999</v>
      </c>
      <c r="DH122" s="89"/>
      <c r="DI122" s="89"/>
      <c r="DJ122" s="56">
        <f t="shared" ca="1" si="248"/>
        <v>2.5235657841165486E-2</v>
      </c>
      <c r="DK122" s="53">
        <f>HLOOKUP(H122,'GDP-PI'!$8:$9,2,FALSE)</f>
        <v>107.751</v>
      </c>
      <c r="DL122" s="355">
        <f t="shared" si="241"/>
        <v>1.8877588227745139E-2</v>
      </c>
      <c r="DP122" s="398"/>
      <c r="DQ122" s="398"/>
      <c r="DR122" s="398"/>
      <c r="DS122" s="398"/>
      <c r="DT122" s="398"/>
      <c r="DU122" s="398"/>
      <c r="DV122" s="398"/>
      <c r="DW122" s="398"/>
      <c r="DX122" s="398"/>
      <c r="EC122"/>
    </row>
    <row r="123" spans="1:133" s="126" customFormat="1" ht="21" customHeight="1" x14ac:dyDescent="0.4">
      <c r="A123" s="233" t="s">
        <v>188</v>
      </c>
      <c r="B123" s="127" t="s">
        <v>188</v>
      </c>
      <c r="C123" s="127">
        <v>4058516</v>
      </c>
      <c r="D123" s="127" t="s">
        <v>189</v>
      </c>
      <c r="E123" s="127"/>
      <c r="F123" s="127"/>
      <c r="G123" s="127" t="s">
        <v>174</v>
      </c>
      <c r="H123" s="128">
        <v>2018</v>
      </c>
      <c r="I123" s="129"/>
      <c r="J123" s="125">
        <f>IFERROR(INDEX('Labor Expenditures'!$E$7:$W$91,MATCH($C123,'Labor Expenditures'!$C$7:$C$91,0),MATCH($G123,'Labor Expenditures'!$E$5:$W$5,0)),"NA")</f>
        <v>14418.510979358207</v>
      </c>
      <c r="K123" s="125">
        <f t="shared" ca="1" si="242"/>
        <v>99.816621525498149</v>
      </c>
      <c r="L123" s="47"/>
      <c r="M123" s="131">
        <f t="shared" ca="1" si="249"/>
        <v>0.15653641052698292</v>
      </c>
      <c r="N123" s="59"/>
      <c r="O123" s="59"/>
      <c r="P123" s="59">
        <f t="shared" ca="1" si="251"/>
        <v>6.4113942553915663E-4</v>
      </c>
      <c r="Q123" s="61"/>
      <c r="R123" s="387"/>
      <c r="S123" s="49">
        <f t="shared" ca="1" si="256"/>
        <v>103.81936917810364</v>
      </c>
      <c r="T123" s="61">
        <f ca="1">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</f>
        <v>5.8679196785204273E-2</v>
      </c>
      <c r="U123" s="61"/>
      <c r="V123" s="125">
        <f>IFERROR(INDEX('Non-Labor Expenditures'!$E$7:$AA$91,MATCH($C123,'Non-Labor Expenditures'!$C$7:$C$91,0),MATCH($G123,'Non-Labor Expenditures'!$E$5:$AA$5,0)),"NA")</f>
        <v>20880.696904489683</v>
      </c>
      <c r="W123" s="125">
        <f t="shared" si="243"/>
        <v>189.27047102563117</v>
      </c>
      <c r="X123" s="131">
        <f t="shared" si="252"/>
        <v>0.16103793117246559</v>
      </c>
      <c r="Y123" s="131">
        <f t="shared" si="253"/>
        <v>6.5957668464699799E-4</v>
      </c>
      <c r="Z123" s="131"/>
      <c r="AA123" s="131"/>
      <c r="AB123" s="131"/>
      <c r="AC123" s="125">
        <f t="shared" si="223"/>
        <v>10278.468096549092</v>
      </c>
      <c r="AD123" s="129"/>
      <c r="AE123" s="133">
        <v>815.43856342494644</v>
      </c>
      <c r="AF123" s="134">
        <v>2.5908307118856663E-2</v>
      </c>
      <c r="AG123" s="59">
        <f t="shared" si="244"/>
        <v>1.0611484629649479E-4</v>
      </c>
      <c r="AH123" s="134"/>
      <c r="AI123" s="134"/>
      <c r="AJ123" s="129">
        <f t="shared" si="216"/>
        <v>45577.675980396984</v>
      </c>
      <c r="AK123" s="134">
        <f t="shared" si="254"/>
        <v>0.16490342035560654</v>
      </c>
      <c r="AL123" s="129"/>
      <c r="AM123" s="129"/>
      <c r="AN123" s="129"/>
      <c r="AO123" s="129"/>
      <c r="AP123" s="133">
        <f t="shared" si="255"/>
        <v>270.68503780398379</v>
      </c>
      <c r="AQ123" s="134">
        <f>+BB123/Outputs!$B$26</f>
        <v>4.5075700749538563E-3</v>
      </c>
      <c r="AR123" s="93">
        <f t="shared" si="245"/>
        <v>0.31635028924159336</v>
      </c>
      <c r="AS123" s="93">
        <f t="shared" si="246"/>
        <v>0.45813430490555285</v>
      </c>
      <c r="AT123" s="93">
        <f t="shared" si="247"/>
        <v>0.22551540585285379</v>
      </c>
      <c r="AU123" s="93">
        <f t="shared" ca="1" si="250"/>
        <v>0.12813242715164047</v>
      </c>
      <c r="AV123" s="132">
        <f t="shared" ca="1" si="258"/>
        <v>131.87888279526476</v>
      </c>
      <c r="AW123" s="134">
        <f t="shared" ca="1" si="259"/>
        <v>0.12813242715164072</v>
      </c>
      <c r="AX123" s="56">
        <f>+AJ123/$AL$23</f>
        <v>4.0957846380963257E-3</v>
      </c>
      <c r="AY123" s="135">
        <f t="shared" ca="1" si="257"/>
        <v>5.2480282676968656E-4</v>
      </c>
      <c r="AZ123" s="93"/>
      <c r="BA123" s="93"/>
      <c r="BB123" s="234">
        <f>IFERROR(INDEX('Total Customers'!$E$7:$AA$91,MATCH($C123,'Total Customers'!$C$7:$C$91,0),MATCH($G123,'Total Customers'!$E$5:$AA$5,0)),"NA")</f>
        <v>168379</v>
      </c>
      <c r="BC123" s="411">
        <f t="shared" si="171"/>
        <v>9.8176627762086299E-3</v>
      </c>
      <c r="BD123" s="92"/>
      <c r="BE123" s="281" t="str">
        <f t="shared" si="167"/>
        <v>BLACK HILLS ENERGY ARKANSAS, INC.</v>
      </c>
      <c r="BF123" s="290">
        <f t="shared" si="168"/>
        <v>4058516</v>
      </c>
      <c r="BG123" s="46" t="str">
        <f t="shared" si="169"/>
        <v>AR</v>
      </c>
      <c r="BH123" s="46"/>
      <c r="BI123" s="46" t="str">
        <f t="shared" si="170"/>
        <v>2018 Y</v>
      </c>
      <c r="BJ123" s="129"/>
      <c r="BK123" s="129"/>
      <c r="BL123" s="129">
        <f>INDEX('Dist. Plant Gas Additions'!$E$7:$AD$91,MATCH($C123,'Dist. Plant Gas Additions'!$C$7:$C$91,0),MATCH(Calculation!$G123,'Dist. Plant Gas Additions'!$E$5:$AD$5,0))</f>
        <v>17938</v>
      </c>
      <c r="BM123" s="129">
        <f>INDEX('Gen. Plant Additions'!$E$7:$AD$91,MATCH($C123,'Gen. Plant Additions'!$C$7:$C$91,0),MATCH(Calculation!$G123,'Gen. Plant Additions'!$E$5:$AD$5,0))</f>
        <v>2950</v>
      </c>
      <c r="BN123" s="393">
        <f t="shared" si="224"/>
        <v>0.87317607040754763</v>
      </c>
      <c r="BO123" s="46">
        <f t="shared" ref="BO123:BO141" si="260">+BN123*BM123</f>
        <v>2575.8694077022656</v>
      </c>
      <c r="BP123" s="46">
        <f t="shared" ref="BP123:BP141" si="261">+BO123-BM123</f>
        <v>-374.13059229773444</v>
      </c>
      <c r="BQ123" s="129">
        <f>INDEX('Dist Plant Depreciation'!$D$7:$AC$94,MATCH($C123,'Dist Plant Depreciation'!$C$7:$C$94,0),MATCH(Calculation!$G123,'Dist Plant Depreciation'!$D$5:$AC$5,0))</f>
        <v>83231</v>
      </c>
      <c r="BR123" s="129">
        <f>INDEX('Gen. Plant Depreciation'!$D$7:$AC$94,MATCH($C123,'Gen. Plant Depreciation'!$C$7:$C$94,0),MATCH(Calculation!$G123,'Gen. Plant Depreciation'!$D$5:$AC$5,0))</f>
        <v>13768</v>
      </c>
      <c r="BS123" s="129"/>
      <c r="BT123" s="129"/>
      <c r="BU123" s="129"/>
      <c r="BV123" s="129"/>
      <c r="BW123" s="129"/>
      <c r="BX123" s="129"/>
      <c r="BY123" s="129">
        <f>INDEX('Gross Dx Plant'!$D$7:$AC$91,MATCH($C123,'Gross Dx Plant'!$C$7:$C$91,0),MATCH(Calculation!$G123,'Gross Dx Plant'!$D$5:$AC$5,0))</f>
        <v>288018</v>
      </c>
      <c r="BZ123" s="129">
        <f>INDEX('Gross Gen Plant'!$D$7:$AC$91,MATCH($C123,'Gross Gen Plant'!$C$7:$C$91,0),MATCH(Calculation!$G123,'Gross Gen Plant'!$D$5:$AC$5,0))</f>
        <v>41833</v>
      </c>
      <c r="CA123" s="129">
        <f t="shared" si="172"/>
        <v>232852</v>
      </c>
      <c r="CB123" s="129"/>
      <c r="CC123" s="133">
        <v>2018</v>
      </c>
      <c r="CD123" s="129"/>
      <c r="CE123" s="129"/>
      <c r="CF123" s="129"/>
      <c r="CG123" s="137"/>
      <c r="CH123" s="129">
        <f t="shared" si="225"/>
        <v>20888</v>
      </c>
      <c r="CI123" s="46">
        <f t="shared" si="234"/>
        <v>20513.869407702266</v>
      </c>
      <c r="CJ123" s="46">
        <f t="shared" si="226"/>
        <v>27.165768817881112</v>
      </c>
      <c r="CK123" s="443">
        <v>0.75609756097560976</v>
      </c>
      <c r="CL123" s="46">
        <f>+CL103*CK123++CJ104*CK122+CJ105*CK121+CJ106*CK120+CJ107*CK119+CJ108*CK118+CJ109*CK117+CJ110*CK116+CJ111*CK115+CJ112*CK114+CJ113*CK113+CJ114*CK112+CJ115*CK111+CJ116*CK110+CJ117*CK109+CJ118*CK108+CJ119*CK107+CJ120*CK106+CJ121*CK105+CJ122*CK104+CJ123</f>
        <v>736.48787490908217</v>
      </c>
      <c r="CM123" s="134">
        <f t="shared" si="227"/>
        <v>2.2044380389989845E-2</v>
      </c>
      <c r="CN123" s="135">
        <f t="shared" si="228"/>
        <v>1.541855639012347E-2</v>
      </c>
      <c r="CO123" s="135">
        <f t="shared" si="238"/>
        <v>1.5269399811126488E-2</v>
      </c>
      <c r="CP123" s="134">
        <f>VLOOKUP($H123,RoR!$E:$F,2,FALSE)</f>
        <v>3.9299999999999995E-2</v>
      </c>
      <c r="CQ123" s="135">
        <v>2.386056741932796E-2</v>
      </c>
      <c r="CR123" s="135">
        <f t="shared" si="235"/>
        <v>1.5439432580672034E-2</v>
      </c>
      <c r="CS123" s="135">
        <f t="shared" si="239"/>
        <v>1.5632541797407137E-2</v>
      </c>
      <c r="CT123" s="135">
        <v>3.8270792163076606E-2</v>
      </c>
      <c r="CU123" s="139">
        <f t="shared" si="229"/>
        <v>0.90666749999999996</v>
      </c>
      <c r="CV123" s="335">
        <f t="shared" si="230"/>
        <v>1.3048868010700074</v>
      </c>
      <c r="CW123" s="335">
        <f t="shared" si="231"/>
        <v>0.33886768447837151</v>
      </c>
      <c r="CX123" s="335">
        <f t="shared" si="232"/>
        <v>0.78602506232557801</v>
      </c>
      <c r="CY123" s="335">
        <f t="shared" si="233"/>
        <v>0.34756768162358759</v>
      </c>
      <c r="CZ123" s="336">
        <f>INDEX('State Tax Lookup'!$D$7:$Z$91,MATCH(Calculation!$C123,'State Tax Lookup'!$B$7:$B$91,0),MATCH($H123,'State Tax Lookup'!$D$6:$Z$6,0))</f>
        <v>0.25224999999999997</v>
      </c>
      <c r="DA123" s="303">
        <v>0.37</v>
      </c>
      <c r="DB123" s="57">
        <f t="shared" si="237"/>
        <v>14.267127542895423</v>
      </c>
      <c r="DC123" s="56">
        <f t="shared" si="240"/>
        <v>4.7543592903345408E-2</v>
      </c>
      <c r="DD123" s="303">
        <f>VLOOKUP($H123,RoR!$E:$F,2,FALSE)</f>
        <v>3.9299999999999995E-2</v>
      </c>
      <c r="DE123" s="304">
        <f>HLOOKUP($H123,'GDP-PI'!$D$8:$CQ$11,3,FALSE)</f>
        <v>2.386056741932796E-2</v>
      </c>
      <c r="DF123" s="303">
        <f>VLOOKUP(H123,'HW Dx Data'!$E:$F,2,FALSE)</f>
        <v>755.13671434174842</v>
      </c>
      <c r="DG123" s="89">
        <f ca="1">VLOOKUP(CC123,'ECI - Input Price'!M$13:N$33,2,FALSE)</f>
        <v>144.44999999999999</v>
      </c>
      <c r="DH123" s="89"/>
      <c r="DI123" s="89"/>
      <c r="DJ123" s="56">
        <f t="shared" ca="1" si="248"/>
        <v>2.80818733619915E-2</v>
      </c>
      <c r="DK123" s="53">
        <f>HLOOKUP(H123,'GDP-PI'!$8:$9,2,FALSE)</f>
        <v>110.322</v>
      </c>
      <c r="DL123" s="355">
        <f t="shared" si="241"/>
        <v>2.3580352716508712E-2</v>
      </c>
      <c r="DP123" s="398"/>
      <c r="DQ123" s="398"/>
      <c r="DR123" s="398"/>
      <c r="DS123" s="398"/>
      <c r="DT123" s="398"/>
      <c r="DU123" s="398"/>
      <c r="DV123" s="398"/>
      <c r="DW123" s="398"/>
      <c r="DX123" s="398"/>
      <c r="EC123"/>
    </row>
    <row r="124" spans="1:133" s="126" customFormat="1" ht="21" customHeight="1" x14ac:dyDescent="0.4">
      <c r="A124" s="233" t="s">
        <v>188</v>
      </c>
      <c r="B124" s="127" t="s">
        <v>188</v>
      </c>
      <c r="C124" s="127">
        <v>4058516</v>
      </c>
      <c r="D124" s="127" t="s">
        <v>189</v>
      </c>
      <c r="E124" s="127"/>
      <c r="F124" s="127"/>
      <c r="G124" s="127" t="s">
        <v>175</v>
      </c>
      <c r="H124" s="128">
        <v>2019</v>
      </c>
      <c r="I124" s="129"/>
      <c r="J124" s="125">
        <f>IFERROR(INDEX('Labor Expenditures'!$E$7:$W$91,MATCH($C124,'Labor Expenditures'!$C$7:$C$91,0),MATCH($G124,'Labor Expenditures'!$E$5:$W$5,0)),"NA")</f>
        <v>13706.657012895954</v>
      </c>
      <c r="K124" s="125">
        <f t="shared" ca="1" si="242"/>
        <v>91.576128364095226</v>
      </c>
      <c r="L124" s="47"/>
      <c r="M124" s="131">
        <f t="shared" ca="1" si="249"/>
        <v>-8.616408746425866E-2</v>
      </c>
      <c r="N124" s="59"/>
      <c r="O124" s="59"/>
      <c r="P124" s="59">
        <f t="shared" ca="1" si="251"/>
        <v>-3.3403929265762888E-4</v>
      </c>
      <c r="Q124" s="61"/>
      <c r="R124" s="387"/>
      <c r="S124" s="49">
        <f t="shared" ca="1" si="256"/>
        <v>102.99622313008591</v>
      </c>
      <c r="T124" s="61">
        <f ca="1">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</f>
        <v>-7.9602353517369915E-3</v>
      </c>
      <c r="U124" s="61"/>
      <c r="V124" s="125">
        <f>IFERROR(INDEX('Non-Labor Expenditures'!$E$7:$AA$91,MATCH($C124,'Non-Labor Expenditures'!$C$7:$C$91,0),MATCH($G124,'Non-Labor Expenditures'!$E$5:$AA$5,0)),"NA")</f>
        <v>19849.799405071291</v>
      </c>
      <c r="W124" s="125">
        <f t="shared" si="243"/>
        <v>176.72856892992479</v>
      </c>
      <c r="X124" s="131">
        <f t="shared" si="252"/>
        <v>-6.8562009016488526E-2</v>
      </c>
      <c r="Y124" s="131">
        <f t="shared" si="253"/>
        <v>-2.6579989029134493E-4</v>
      </c>
      <c r="Z124" s="131"/>
      <c r="AA124" s="131"/>
      <c r="AB124" s="131"/>
      <c r="AC124" s="125">
        <f t="shared" si="223"/>
        <v>10612.146122613696</v>
      </c>
      <c r="AD124" s="129"/>
      <c r="AE124" s="133">
        <v>849.72680641251361</v>
      </c>
      <c r="AF124" s="134">
        <v>4.1188810461444125E-2</v>
      </c>
      <c r="AG124" s="59">
        <f t="shared" si="244"/>
        <v>1.5967999565546514E-4</v>
      </c>
      <c r="AH124" s="134"/>
      <c r="AI124" s="134"/>
      <c r="AJ124" s="129">
        <f t="shared" si="216"/>
        <v>44168.602540580941</v>
      </c>
      <c r="AK124" s="134">
        <f t="shared" si="254"/>
        <v>-3.1403847907315666E-2</v>
      </c>
      <c r="AL124" s="129"/>
      <c r="AM124" s="129"/>
      <c r="AN124" s="129"/>
      <c r="AO124" s="129"/>
      <c r="AP124" s="133">
        <f t="shared" si="255"/>
        <v>258.12082178511037</v>
      </c>
      <c r="AQ124" s="134">
        <f>+BB124/Outputs!$B$27</f>
        <v>4.5430615816144434E-3</v>
      </c>
      <c r="AR124" s="93">
        <f t="shared" si="245"/>
        <v>0.31032580214197725</v>
      </c>
      <c r="AS124" s="93">
        <f t="shared" si="246"/>
        <v>0.44940972236633075</v>
      </c>
      <c r="AT124" s="93">
        <f t="shared" si="247"/>
        <v>0.24026447549169203</v>
      </c>
      <c r="AU124" s="93">
        <f t="shared" ca="1" si="250"/>
        <v>-4.851754804047724E-2</v>
      </c>
      <c r="AV124" s="132">
        <f t="shared" ca="1" si="258"/>
        <v>125.63318095887476</v>
      </c>
      <c r="AW124" s="134">
        <f t="shared" ca="1" si="259"/>
        <v>-4.8517548040477233E-2</v>
      </c>
      <c r="AX124" s="56">
        <f>+AJ124/$AL$24</f>
        <v>3.8767809477027217E-3</v>
      </c>
      <c r="AY124" s="135">
        <f t="shared" ca="1" si="257"/>
        <v>-1.8809190587257366E-4</v>
      </c>
      <c r="AZ124" s="93"/>
      <c r="BA124" s="93"/>
      <c r="BB124" s="234">
        <f>IFERROR(INDEX('Total Customers'!$E$7:$AA$91,MATCH($C124,'Total Customers'!$C$7:$C$91,0),MATCH($G124,'Total Customers'!$E$5:$AA$5,0)),"NA")</f>
        <v>171116</v>
      </c>
      <c r="BC124" s="411">
        <f t="shared" si="171"/>
        <v>1.6124298147607637E-2</v>
      </c>
      <c r="BD124" s="92"/>
      <c r="BE124" s="281" t="str">
        <f t="shared" si="167"/>
        <v>BLACK HILLS ENERGY ARKANSAS, INC.</v>
      </c>
      <c r="BF124" s="290">
        <f t="shared" si="168"/>
        <v>4058516</v>
      </c>
      <c r="BG124" s="46" t="str">
        <f t="shared" si="169"/>
        <v>AR</v>
      </c>
      <c r="BH124" s="46"/>
      <c r="BI124" s="46" t="str">
        <f t="shared" si="170"/>
        <v>2019 Y</v>
      </c>
      <c r="BJ124" s="129"/>
      <c r="BK124" s="129"/>
      <c r="BL124" s="129">
        <f>INDEX('Dist. Plant Gas Additions'!$E$7:$AD$91,MATCH($C124,'Dist. Plant Gas Additions'!$C$7:$C$91,0),MATCH(Calculation!$G124,'Dist. Plant Gas Additions'!$E$5:$AD$5,0))</f>
        <v>22039</v>
      </c>
      <c r="BM124" s="129">
        <f>INDEX('Gen. Plant Additions'!$E$7:$AD$91,MATCH($C124,'Gen. Plant Additions'!$C$7:$C$91,0),MATCH(Calculation!$G124,'Gen. Plant Additions'!$E$5:$AD$5,0))</f>
        <v>10062</v>
      </c>
      <c r="BN124" s="393">
        <f t="shared" si="224"/>
        <v>0.87476273762078161</v>
      </c>
      <c r="BO124" s="46">
        <f t="shared" si="260"/>
        <v>8801.8626659403053</v>
      </c>
      <c r="BP124" s="46">
        <f t="shared" si="261"/>
        <v>-1260.1373340596947</v>
      </c>
      <c r="BQ124" s="129">
        <f>INDEX('Dist Plant Depreciation'!$D$7:$AC$94,MATCH($C124,'Dist Plant Depreciation'!$C$7:$C$94,0),MATCH(Calculation!$G124,'Dist Plant Depreciation'!$D$5:$AC$5,0))</f>
        <v>83109</v>
      </c>
      <c r="BR124" s="129">
        <f>INDEX('Gen. Plant Depreciation'!$D$7:$AC$94,MATCH($C124,'Gen. Plant Depreciation'!$C$7:$C$94,0),MATCH(Calculation!$G124,'Gen. Plant Depreciation'!$D$5:$AC$5,0))</f>
        <v>9052</v>
      </c>
      <c r="BS124" s="129"/>
      <c r="BT124" s="129"/>
      <c r="BU124" s="129"/>
      <c r="BV124" s="129"/>
      <c r="BW124" s="129"/>
      <c r="BX124" s="129"/>
      <c r="BY124" s="129">
        <f>INDEX('Gross Dx Plant'!$D$7:$AC$91,MATCH($C124,'Gross Dx Plant'!$C$7:$C$91,0),MATCH(Calculation!$G124,'Gross Dx Plant'!$D$5:$AC$5,0))</f>
        <v>305091</v>
      </c>
      <c r="BZ124" s="129">
        <f>INDEX('Gross Gen Plant'!$D$7:$AC$91,MATCH($C124,'Gross Gen Plant'!$C$7:$C$91,0),MATCH(Calculation!$G124,'Gross Gen Plant'!$D$5:$AC$5,0))</f>
        <v>43679</v>
      </c>
      <c r="CA124" s="129">
        <f t="shared" si="172"/>
        <v>256609</v>
      </c>
      <c r="CB124" s="129"/>
      <c r="CC124" s="133">
        <v>2019</v>
      </c>
      <c r="CD124" s="129"/>
      <c r="CE124" s="129"/>
      <c r="CF124" s="129"/>
      <c r="CG124" s="137"/>
      <c r="CH124" s="129">
        <f t="shared" si="225"/>
        <v>32101</v>
      </c>
      <c r="CI124" s="46">
        <f t="shared" si="234"/>
        <v>30840.862665940305</v>
      </c>
      <c r="CJ124" s="46">
        <f t="shared" si="226"/>
        <v>39.869807194148429</v>
      </c>
      <c r="CK124" s="443">
        <v>0.7407407407407407</v>
      </c>
      <c r="CL124" s="46">
        <f>CL103*CK124+CJ104*CK123+CJ105*CK122+CJ106*CK121+CJ107*CK120+CJ108*CK119+CJ109*CK118+CJ110*CK117+CJ111*CK116+CJ112*CK115+CJ113*CK114+CJ114*CK113+CJ115*CK112+CJ116*CK111+CJ117*CK110+CJ118*CK109+CJ119*CK108+CJ120*CK107+CJ121*CK106+CJ122*CK105+CJ123*CK104+CJ124</f>
        <v>764.72169505854413</v>
      </c>
      <c r="CM124" s="134">
        <f t="shared" si="227"/>
        <v>3.7619197684106813E-2</v>
      </c>
      <c r="CN124" s="135">
        <f t="shared" si="228"/>
        <v>1.5799292074052004E-2</v>
      </c>
      <c r="CO124" s="135">
        <f t="shared" si="238"/>
        <v>1.547675235144746E-2</v>
      </c>
      <c r="CP124" s="134">
        <f>VLOOKUP($H124,RoR!$E:$F,2,FALSE)</f>
        <v>3.3875000000000009E-2</v>
      </c>
      <c r="CQ124" s="135">
        <v>1.8092492884465461E-2</v>
      </c>
      <c r="CR124" s="135">
        <f t="shared" si="235"/>
        <v>1.5782507115534548E-2</v>
      </c>
      <c r="CS124" s="135">
        <f t="shared" si="239"/>
        <v>1.5425189257086165E-2</v>
      </c>
      <c r="CT124" s="135">
        <v>4.8445665544254078E-2</v>
      </c>
      <c r="CU124" s="139">
        <f t="shared" si="229"/>
        <v>0.90666749999999996</v>
      </c>
      <c r="CV124" s="335">
        <f t="shared" si="230"/>
        <v>1.513861292459078</v>
      </c>
      <c r="CW124" s="335">
        <f t="shared" si="231"/>
        <v>0.23699261992619944</v>
      </c>
      <c r="CX124" s="335">
        <f t="shared" si="232"/>
        <v>0.73619765810468829</v>
      </c>
      <c r="CY124" s="335">
        <f t="shared" si="233"/>
        <v>0.26412854465362851</v>
      </c>
      <c r="CZ124" s="336">
        <f>INDEX('State Tax Lookup'!$D$7:$Z$91,MATCH(Calculation!$C124,'State Tax Lookup'!$B$7:$B$91,0),MATCH($H124,'State Tax Lookup'!$D$6:$Z$6,0))</f>
        <v>0.25224999999999997</v>
      </c>
      <c r="DA124" s="303">
        <v>0.37</v>
      </c>
      <c r="DB124" s="57">
        <f t="shared" si="237"/>
        <v>14.409125369407803</v>
      </c>
      <c r="DC124" s="56">
        <f t="shared" si="240"/>
        <v>9.9035942774160033E-3</v>
      </c>
      <c r="DD124" s="303">
        <f>VLOOKUP($H124,RoR!$E:$F,2,FALSE)</f>
        <v>3.3875000000000009E-2</v>
      </c>
      <c r="DE124" s="304">
        <f>HLOOKUP($H124,'GDP-PI'!$D$8:$CQ$11,3,FALSE)</f>
        <v>1.8092492884465461E-2</v>
      </c>
      <c r="DF124" s="303">
        <f>VLOOKUP(H124,'HW Dx Data'!$E:$F,2,FALSE)</f>
        <v>773.53929793938721</v>
      </c>
      <c r="DG124" s="89">
        <f ca="1">VLOOKUP(CC124,'ECI - Input Price'!M$13:N$33,2,FALSE)</f>
        <v>149.67500000000001</v>
      </c>
      <c r="DH124" s="89"/>
      <c r="DI124" s="89"/>
      <c r="DJ124" s="56">
        <f t="shared" ca="1" si="248"/>
        <v>3.5532849899171604E-2</v>
      </c>
      <c r="DK124" s="53">
        <f>HLOOKUP(H124,'GDP-PI'!$8:$9,2,FALSE)</f>
        <v>112.318</v>
      </c>
      <c r="DL124" s="355">
        <f t="shared" si="241"/>
        <v>1.7930771451401852E-2</v>
      </c>
      <c r="DP124" s="398"/>
      <c r="DQ124" s="398"/>
      <c r="DR124" s="398"/>
      <c r="DS124" s="398"/>
      <c r="DT124" s="398"/>
      <c r="DU124" s="398"/>
      <c r="DV124" s="398"/>
      <c r="DW124" s="398"/>
      <c r="DX124" s="398"/>
      <c r="EC124"/>
    </row>
    <row r="125" spans="1:133" s="126" customFormat="1" ht="21" customHeight="1" x14ac:dyDescent="0.4">
      <c r="A125" s="233" t="s">
        <v>188</v>
      </c>
      <c r="B125" s="126" t="s">
        <v>188</v>
      </c>
      <c r="C125" s="126">
        <v>4058516</v>
      </c>
      <c r="D125" s="126" t="s">
        <v>189</v>
      </c>
      <c r="G125" s="127" t="s">
        <v>176</v>
      </c>
      <c r="H125" s="128">
        <v>2020</v>
      </c>
      <c r="I125" s="129"/>
      <c r="J125" s="125">
        <f>IFERROR(INDEX('Labor Expenditures'!$E$7:$W$91,MATCH($C125,'Labor Expenditures'!$C$7:$C$91,0),MATCH($G125,'Labor Expenditures'!$E$5:$W$5,0)),"NA")</f>
        <v>13876.030263034538</v>
      </c>
      <c r="K125" s="125">
        <f t="shared" ca="1" si="242"/>
        <v>90.60418062706195</v>
      </c>
      <c r="L125" s="47"/>
      <c r="M125" s="131">
        <f t="shared" ca="1" si="249"/>
        <v>-1.0670274566309933E-2</v>
      </c>
      <c r="N125" s="59"/>
      <c r="O125" s="59"/>
      <c r="P125" s="59">
        <f t="shared" ca="1" si="251"/>
        <v>-4.1696822994808135E-5</v>
      </c>
      <c r="Q125" s="61"/>
      <c r="R125" s="387"/>
      <c r="S125" s="49">
        <f t="shared" ca="1" si="256"/>
        <v>100.24969153828464</v>
      </c>
      <c r="T125" s="61">
        <f ca="1">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</f>
        <v>-2.7028329660278846E-2</v>
      </c>
      <c r="U125" s="61"/>
      <c r="V125" s="125">
        <f>IFERROR(INDEX('Non-Labor Expenditures'!$E$7:$AA$91,MATCH($C125,'Non-Labor Expenditures'!$C$7:$C$91,0),MATCH($G125,'Non-Labor Expenditures'!$E$5:$AA$5,0)),"NA")</f>
        <v>20095.083505831426</v>
      </c>
      <c r="W125" s="125">
        <f t="shared" si="243"/>
        <v>176.85753329723229</v>
      </c>
      <c r="X125" s="131">
        <f t="shared" si="252"/>
        <v>7.2946516966526729E-4</v>
      </c>
      <c r="Y125" s="131">
        <f t="shared" si="253"/>
        <v>2.8505714516893761E-6</v>
      </c>
      <c r="Z125" s="131"/>
      <c r="AA125" s="131"/>
      <c r="AB125" s="131"/>
      <c r="AC125" s="125">
        <f t="shared" si="223"/>
        <v>11367.038203395492</v>
      </c>
      <c r="AD125" s="129"/>
      <c r="AE125" s="133">
        <v>894.9997627286549</v>
      </c>
      <c r="AF125" s="134">
        <v>5.1908559564788515E-2</v>
      </c>
      <c r="AG125" s="59">
        <f t="shared" si="244"/>
        <v>2.0284595364793471E-4</v>
      </c>
      <c r="AH125" s="134"/>
      <c r="AI125" s="134"/>
      <c r="AJ125" s="129">
        <f t="shared" si="216"/>
        <v>45338.151972261461</v>
      </c>
      <c r="AK125" s="134">
        <f t="shared" si="254"/>
        <v>2.6134698019850099E-2</v>
      </c>
      <c r="AL125" s="129"/>
      <c r="AM125" s="129"/>
      <c r="AN125" s="129"/>
      <c r="AO125" s="129"/>
      <c r="AP125" s="133">
        <f t="shared" si="255"/>
        <v>264.95565565032763</v>
      </c>
      <c r="AQ125" s="134">
        <f>+BB125/Outputs!$B$28</f>
        <v>4.5109804422862419E-3</v>
      </c>
      <c r="AR125" s="93">
        <f t="shared" si="245"/>
        <v>0.30605637105641392</v>
      </c>
      <c r="AS125" s="93">
        <f t="shared" si="246"/>
        <v>0.44322678873470384</v>
      </c>
      <c r="AT125" s="93">
        <f t="shared" si="247"/>
        <v>0.25071684020888213</v>
      </c>
      <c r="AU125" s="93">
        <f t="shared" ca="1" si="250"/>
        <v>9.7801565447277888E-3</v>
      </c>
      <c r="AV125" s="132">
        <f t="shared" ca="1" si="258"/>
        <v>126.86792127059104</v>
      </c>
      <c r="AW125" s="134">
        <f t="shared" ca="1" si="259"/>
        <v>9.7801565447278877E-3</v>
      </c>
      <c r="AX125" s="56">
        <f>+AJ125/$AL$25</f>
        <v>3.9077553942670484E-3</v>
      </c>
      <c r="AY125" s="135">
        <f t="shared" ca="1" si="257"/>
        <v>3.8218459494436578E-5</v>
      </c>
      <c r="AZ125" s="93"/>
      <c r="BA125" s="93"/>
      <c r="BB125" s="234">
        <v>171116</v>
      </c>
      <c r="BC125" s="411">
        <f t="shared" si="171"/>
        <v>0</v>
      </c>
      <c r="BD125" s="92"/>
      <c r="BE125" s="281" t="str">
        <f t="shared" si="167"/>
        <v>BLACK HILLS ENERGY ARKANSAS, INC.</v>
      </c>
      <c r="BF125" s="290">
        <f t="shared" si="168"/>
        <v>4058516</v>
      </c>
      <c r="BG125" s="46" t="str">
        <f t="shared" si="169"/>
        <v>AR</v>
      </c>
      <c r="BH125" s="46"/>
      <c r="BI125" s="46" t="str">
        <f t="shared" si="170"/>
        <v>2020 Y</v>
      </c>
      <c r="BJ125" s="129"/>
      <c r="BK125" s="129"/>
      <c r="BL125" s="129">
        <f>INDEX('Dist. Plant Gas Additions'!$E$7:$AD$91,MATCH($C125,'Dist. Plant Gas Additions'!$C$7:$C$91,0),MATCH(Calculation!$G125,'Dist. Plant Gas Additions'!$E$5:$AD$5,0))</f>
        <v>23450</v>
      </c>
      <c r="BM125" s="129">
        <f>INDEX('Gen. Plant Additions'!$E$7:$AD$91,MATCH($C125,'Gen. Plant Additions'!$C$7:$C$91,0),MATCH(Calculation!$G125,'Gen. Plant Additions'!$E$5:$AD$5,0))</f>
        <v>19625</v>
      </c>
      <c r="BN125" s="393">
        <f t="shared" si="224"/>
        <v>0.85054998903890544</v>
      </c>
      <c r="BO125" s="46">
        <f t="shared" si="260"/>
        <v>16692.043534888518</v>
      </c>
      <c r="BP125" s="46">
        <f t="shared" si="261"/>
        <v>-2932.9564651114815</v>
      </c>
      <c r="BQ125" s="129">
        <f>INDEX('Dist Plant Depreciation'!$D$7:$AC$94,MATCH($C125,'Dist Plant Depreciation'!$C$7:$C$94,0),MATCH(Calculation!$G125,'Dist Plant Depreciation'!$D$5:$AC$5,0))</f>
        <v>90953</v>
      </c>
      <c r="BR125" s="129">
        <f>INDEX('Gen. Plant Depreciation'!$D$7:$AC$94,MATCH($C125,'Gen. Plant Depreciation'!$C$7:$C$94,0),MATCH(Calculation!$G125,'Gen. Plant Depreciation'!$D$5:$AC$5,0))</f>
        <v>8181</v>
      </c>
      <c r="BS125" s="129"/>
      <c r="BT125" s="129"/>
      <c r="BU125" s="129"/>
      <c r="BV125" s="129"/>
      <c r="BW125" s="129"/>
      <c r="BX125" s="129"/>
      <c r="BY125" s="129">
        <f>INDEX('Gross Dx Plant'!$D$7:$AC$91,MATCH($C125,'Gross Dx Plant'!$C$7:$C$91,0),MATCH(Calculation!$G125,'Gross Dx Plant'!$D$5:$AC$5,0))</f>
        <v>329788</v>
      </c>
      <c r="BZ125" s="129">
        <f>INDEX('Gross Gen Plant'!$D$7:$AC$91,MATCH($C125,'Gross Gen Plant'!$C$7:$C$91,0),MATCH(Calculation!$G125,'Gross Gen Plant'!$D$5:$AC$5,0))</f>
        <v>57947</v>
      </c>
      <c r="CA125" s="129">
        <f t="shared" si="172"/>
        <v>288601</v>
      </c>
      <c r="CB125" s="129"/>
      <c r="CC125" s="133">
        <v>2020</v>
      </c>
      <c r="CD125" s="129"/>
      <c r="CE125" s="129"/>
      <c r="CF125" s="129"/>
      <c r="CG125" s="137"/>
      <c r="CH125" s="129">
        <f t="shared" si="225"/>
        <v>43075</v>
      </c>
      <c r="CI125" s="46">
        <f t="shared" si="234"/>
        <v>40142.043534888522</v>
      </c>
      <c r="CJ125" s="46">
        <f t="shared" si="226"/>
        <v>49.370339344518136</v>
      </c>
      <c r="CK125" s="443">
        <v>0.72499999999999998</v>
      </c>
      <c r="CL125" s="46">
        <f>CL103*CK125+CJ104*CK124+CJ105*CK123+CJ106*CK122+CJ107*CK121+CJ108*CK120+CJ109*CK119+CJ110*CK118+CJ111*CK117+CJ112*CK116+CJ113*CK115+CJ114*CK114+CJ115*CK113+CJ116*CK112+CJ117*CK111+CJ118*CK110+CJ119*CK109+CJ120*CK108+CJ121*CK107+CJ122*CK106+CJ123*CK105+CJ124*CK104+CJ125</f>
        <v>801.78766789675751</v>
      </c>
      <c r="CM125" s="134">
        <f t="shared" si="227"/>
        <v>4.7331849240099977E-2</v>
      </c>
      <c r="CN125" s="135">
        <f t="shared" si="228"/>
        <v>1.608999271998263E-2</v>
      </c>
      <c r="CO125" s="135">
        <f t="shared" si="238"/>
        <v>1.5769280394719368E-2</v>
      </c>
      <c r="CP125" s="134">
        <f>VLOOKUP($H125,RoR!$E:$F,2,FALSE)</f>
        <v>2.4766666666666666E-2</v>
      </c>
      <c r="CQ125" s="135">
        <v>1.1618796630994188E-2</v>
      </c>
      <c r="CR125" s="135">
        <f t="shared" si="235"/>
        <v>1.3147870035672478E-2</v>
      </c>
      <c r="CS125" s="135">
        <f t="shared" si="239"/>
        <v>1.5132661213814257E-2</v>
      </c>
      <c r="CT125" s="135">
        <v>4.5144642961987357E-2</v>
      </c>
      <c r="CU125" s="139">
        <f t="shared" si="229"/>
        <v>0.90666749999999996</v>
      </c>
      <c r="CV125" s="335">
        <f t="shared" si="230"/>
        <v>2.0706077233668081</v>
      </c>
      <c r="CW125" s="335">
        <f t="shared" si="231"/>
        <v>-3.4421265141318998E-2</v>
      </c>
      <c r="CX125" s="335">
        <f t="shared" si="232"/>
        <v>0.62416226176410472</v>
      </c>
      <c r="CY125" s="335">
        <f t="shared" si="233"/>
        <v>-4.4485877841158712E-2</v>
      </c>
      <c r="CZ125" s="336">
        <f>INDEX('State Tax Lookup'!$D$7:$Z$91,MATCH(Calculation!$C125,'State Tax Lookup'!$B$7:$B$91,0),MATCH($H125,'State Tax Lookup'!$D$6:$Z$6,0))</f>
        <v>0.25224999999999997</v>
      </c>
      <c r="DA125" s="303">
        <v>0.37</v>
      </c>
      <c r="DB125" s="57">
        <f t="shared" si="237"/>
        <v>14.864281053939859</v>
      </c>
      <c r="DC125" s="56">
        <f t="shared" si="240"/>
        <v>3.1099378174050913E-2</v>
      </c>
      <c r="DD125" s="303">
        <f>VLOOKUP($H125,RoR!$E:$F,2,FALSE)</f>
        <v>2.4766666666666666E-2</v>
      </c>
      <c r="DE125" s="304">
        <f>HLOOKUP($H125,'GDP-PI'!$D$8:$CQ$11,3,FALSE)</f>
        <v>1.1618796630994188E-2</v>
      </c>
      <c r="DF125" s="303">
        <f>VLOOKUP(H125,'HW Dx Data'!$E:$F,2,FALSE)</f>
        <v>813.080162458833</v>
      </c>
      <c r="DG125" s="89">
        <f ca="1">VLOOKUP(CC125,'ECI - Input Price'!M$13:N$33,2,FALSE)</f>
        <v>153.15</v>
      </c>
      <c r="DH125" s="89"/>
      <c r="DI125" s="89"/>
      <c r="DJ125" s="56">
        <f t="shared" ca="1" si="248"/>
        <v>2.2951556467368479E-2</v>
      </c>
      <c r="DK125" s="53">
        <f>HLOOKUP(H125,'GDP-PI'!$8:$9,2,FALSE)</f>
        <v>113.623</v>
      </c>
      <c r="DL125" s="355">
        <f t="shared" si="241"/>
        <v>1.1551816731392881E-2</v>
      </c>
      <c r="DP125" s="398"/>
      <c r="DQ125" s="398"/>
      <c r="DR125" s="398"/>
      <c r="DS125" s="398"/>
      <c r="DT125" s="398"/>
      <c r="DU125" s="398"/>
      <c r="DV125" s="398"/>
      <c r="DW125" s="398"/>
      <c r="DX125" s="398"/>
      <c r="EC125"/>
    </row>
    <row r="126" spans="1:133" s="126" customFormat="1" ht="21" customHeight="1" x14ac:dyDescent="0.4">
      <c r="A126" s="233" t="s">
        <v>188</v>
      </c>
      <c r="B126" s="126" t="s">
        <v>188</v>
      </c>
      <c r="C126" s="126">
        <v>4058516</v>
      </c>
      <c r="D126" s="126" t="s">
        <v>189</v>
      </c>
      <c r="G126" s="127" t="s">
        <v>177</v>
      </c>
      <c r="H126" s="128">
        <v>2021</v>
      </c>
      <c r="I126" s="129"/>
      <c r="J126" s="125">
        <v>14319.025296046017</v>
      </c>
      <c r="K126" s="125">
        <f t="shared" ca="1" si="242"/>
        <v>91.058984394569265</v>
      </c>
      <c r="L126" s="47"/>
      <c r="M126" s="130">
        <f t="shared" ca="1" si="249"/>
        <v>5.0071209280250053E-3</v>
      </c>
      <c r="N126" s="59"/>
      <c r="O126" s="59"/>
      <c r="P126" s="59">
        <f t="shared" ca="1" si="251"/>
        <v>1.7212422355472191E-5</v>
      </c>
      <c r="Q126" s="61"/>
      <c r="R126" s="387"/>
      <c r="S126" s="132">
        <f ca="1">+S125*EXP(T126)</f>
        <v>105.27453426546431</v>
      </c>
      <c r="T126" s="134">
        <f ca="1">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</f>
        <v>4.8907560800710952E-2</v>
      </c>
      <c r="U126" s="134"/>
      <c r="V126" s="125">
        <f>IFERROR(INDEX('Non-Labor Expenditures'!$D$7:$AA$91,MATCH($C126,'Non-Labor Expenditures'!$C$7:$C$91,0),MATCH($G126,'Non-Labor Expenditures'!$D$5:$AA$5,0)),"NA")</f>
        <v>20184.650116113062</v>
      </c>
      <c r="W126" s="125">
        <f t="shared" si="243"/>
        <v>170.34897557695217</v>
      </c>
      <c r="X126" s="131">
        <f t="shared" si="252"/>
        <v>-3.7495381392826668E-2</v>
      </c>
      <c r="Y126" s="131">
        <f t="shared" si="253"/>
        <v>-1.2889369963097939E-4</v>
      </c>
      <c r="Z126" s="131"/>
      <c r="AA126" s="131"/>
      <c r="AB126" s="131"/>
      <c r="AC126" s="125">
        <f t="shared" si="223"/>
        <v>9652.7534644729531</v>
      </c>
      <c r="AD126" s="129"/>
      <c r="AE126" s="133">
        <v>955.05270720709757</v>
      </c>
      <c r="AF126" s="134">
        <v>6.4943076583374684E-2</v>
      </c>
      <c r="AG126" s="59">
        <f t="shared" si="244"/>
        <v>2.2324758664411443E-4</v>
      </c>
      <c r="AH126" s="134"/>
      <c r="AI126" s="134"/>
      <c r="AJ126" s="129">
        <f t="shared" si="216"/>
        <v>44156.428876632031</v>
      </c>
      <c r="AK126" s="134">
        <f t="shared" si="254"/>
        <v>-2.6410354055985456E-2</v>
      </c>
      <c r="AL126" s="129"/>
      <c r="AM126" s="134"/>
      <c r="AN126" s="134"/>
      <c r="AO126" s="134"/>
      <c r="AP126" s="133">
        <f t="shared" si="255"/>
        <v>246.89223242306099</v>
      </c>
      <c r="AQ126" s="134">
        <f>+BB126/Outputs!$B$29</f>
        <v>4.6326406073806886E-3</v>
      </c>
      <c r="AR126" s="93">
        <f t="shared" si="245"/>
        <v>0.3242795139990084</v>
      </c>
      <c r="AS126" s="93">
        <f t="shared" si="246"/>
        <v>0.45711690527571069</v>
      </c>
      <c r="AT126" s="93">
        <f t="shared" si="247"/>
        <v>0.21860358072528085</v>
      </c>
      <c r="AU126" s="93">
        <f t="shared" ca="1" si="250"/>
        <v>-6.1725075465882129E-5</v>
      </c>
      <c r="AV126" s="132">
        <f t="shared" ca="1" si="258"/>
        <v>126.86009058025388</v>
      </c>
      <c r="AW126" s="134">
        <f t="shared" ca="1" si="259"/>
        <v>-6.1725075465838015E-5</v>
      </c>
      <c r="AX126" s="56">
        <f>+AJ126/$AL$26</f>
        <v>3.4375887067423817E-3</v>
      </c>
      <c r="AY126" s="135">
        <f t="shared" ca="1" si="257"/>
        <v>-2.1218542234418603E-7</v>
      </c>
      <c r="AZ126" s="93"/>
      <c r="BA126" s="93"/>
      <c r="BB126" s="234">
        <f>INDEX('Total Customers'!$D$7:$D$91,MATCH(Calculation!$C126,'Total Customers'!$C$7:$C$91,0))</f>
        <v>178849</v>
      </c>
      <c r="BC126" s="411">
        <f t="shared" si="171"/>
        <v>4.4200185319917158E-2</v>
      </c>
      <c r="BD126" s="91"/>
      <c r="BE126" s="281" t="str">
        <f t="shared" si="167"/>
        <v>BLACK HILLS ENERGY ARKANSAS, INC.</v>
      </c>
      <c r="BF126" s="290">
        <f t="shared" si="168"/>
        <v>4058516</v>
      </c>
      <c r="BG126" s="46" t="str">
        <f t="shared" si="169"/>
        <v>AR</v>
      </c>
      <c r="BH126" s="46"/>
      <c r="BI126" s="46" t="str">
        <f t="shared" si="170"/>
        <v>2021 Y</v>
      </c>
      <c r="BJ126" s="129"/>
      <c r="BK126" s="129"/>
      <c r="BL126" s="129">
        <f>INDEX('Dist. Plant Gas Additions'!$D$7:$AD$91,MATCH($C126,'Dist. Plant Gas Additions'!$C$7:$C$91,0),MATCH(Calculation!$G126,'Dist. Plant Gas Additions'!$D$5:$AD$5,0))</f>
        <v>58721</v>
      </c>
      <c r="BM126" s="129">
        <f>INDEX('Gen. Plant Additions'!$D$7:$AD$91,MATCH($C126,'Gen. Plant Additions'!$C$7:$C$91,0),MATCH(Calculation!$G126,'Gen. Plant Additions'!$D$5:$AD$5,0))</f>
        <v>14220</v>
      </c>
      <c r="BN126" s="343">
        <v>0.85054998903890544</v>
      </c>
      <c r="BO126" s="46">
        <f t="shared" si="260"/>
        <v>12094.820844133235</v>
      </c>
      <c r="BP126" s="46">
        <f t="shared" si="261"/>
        <v>-2125.1791558667646</v>
      </c>
      <c r="BQ126" s="129"/>
      <c r="BR126" s="129"/>
      <c r="BS126" s="137"/>
      <c r="BT126" s="137"/>
      <c r="BU126" s="333"/>
      <c r="BV126" s="93"/>
      <c r="BW126" s="334"/>
      <c r="BX126" s="334"/>
      <c r="BY126" s="129"/>
      <c r="BZ126" s="129"/>
      <c r="CA126" s="129"/>
      <c r="CB126" s="129"/>
      <c r="CC126" s="133">
        <v>2021</v>
      </c>
      <c r="CD126" s="129"/>
      <c r="CE126" s="129"/>
      <c r="CF126" s="129"/>
      <c r="CG126" s="137"/>
      <c r="CH126" s="129">
        <f t="shared" si="225"/>
        <v>72941</v>
      </c>
      <c r="CI126" s="46">
        <f t="shared" si="234"/>
        <v>70815.820844133239</v>
      </c>
      <c r="CJ126" s="46">
        <f t="shared" si="226"/>
        <v>75.89937102651956</v>
      </c>
      <c r="CK126" s="443">
        <v>0.70886075949367089</v>
      </c>
      <c r="CL126" s="129">
        <f>CL103*CK126+CJ104*CK125+CJ105*CK124+CJ106*CK123+CJ107*CK122+CJ108*CK121+CJ109*CK120+CJ110*CK119+CJ111*CK118+CJ112*CK117+CJ113*CK116+CJ114*CK115+CJ115*CK114+CJ116*CK113+CJ117*CK112+CJ108*CK111+CJ119*CK110+CJ120*CK109+CJ121*CK108+CJ122*CK107+CJ123*CK106+CJ124*CK105+CJ126+CJ125*CK104</f>
        <v>854.71370302871844</v>
      </c>
      <c r="CM126" s="134">
        <f t="shared" si="227"/>
        <v>6.3922743035836838E-2</v>
      </c>
      <c r="CN126" s="135">
        <f t="shared" si="228"/>
        <v>2.8652643105402314E-2</v>
      </c>
      <c r="CO126" s="135">
        <f t="shared" si="238"/>
        <v>2.0180642633145649E-2</v>
      </c>
      <c r="CP126" s="134">
        <f>VLOOKUP($H126,RoR!$E:$F,2,FALSE)</f>
        <v>2.7033333333333336E-2</v>
      </c>
      <c r="CQ126" s="135"/>
      <c r="CR126" s="135"/>
      <c r="CS126" s="135">
        <f t="shared" si="239"/>
        <v>1.0721298975387976E-2</v>
      </c>
      <c r="CT126" s="135">
        <v>7.433422950153494E-2</v>
      </c>
      <c r="CU126" s="139">
        <f t="shared" si="229"/>
        <v>0.90666749999999996</v>
      </c>
      <c r="CV126" s="335">
        <f t="shared" si="230"/>
        <v>1.8969932656739068</v>
      </c>
      <c r="CW126" s="335">
        <f t="shared" si="231"/>
        <v>5.0215782983970621E-2</v>
      </c>
      <c r="CX126" s="335">
        <f t="shared" si="232"/>
        <v>0.655952481704143</v>
      </c>
      <c r="CY126" s="335">
        <f t="shared" si="233"/>
        <v>6.2485378865697057E-2</v>
      </c>
      <c r="CZ126" s="336">
        <f>CZ125</f>
        <v>0.25224999999999997</v>
      </c>
      <c r="DA126" s="303">
        <v>0.37</v>
      </c>
      <c r="DB126" s="141">
        <f t="shared" si="237"/>
        <v>12.039039574896396</v>
      </c>
      <c r="DC126" s="135">
        <f t="shared" si="240"/>
        <v>-0.21080642308585021</v>
      </c>
      <c r="DD126" s="336">
        <f>VLOOKUP($H126,RoR!$E:$F,2,FALSE)</f>
        <v>2.7033333333333336E-2</v>
      </c>
      <c r="DE126" s="342">
        <f>HLOOKUP($H126,'GDP-PI'!$D$8:$CR$11,3,FALSE)</f>
        <v>4.2834637353352578E-2</v>
      </c>
      <c r="DF126" s="336">
        <f>VLOOKUP(H126,'HW Dx Data'!$E:$F,2,FALSE)</f>
        <v>933.02249921662576</v>
      </c>
      <c r="DG126" s="89">
        <f ca="1">VLOOKUP(CC126,'ECI - Input Price'!M$13:N$33,2,FALSE)</f>
        <v>157.25</v>
      </c>
      <c r="DH126" s="89"/>
      <c r="DI126" s="89"/>
      <c r="DJ126" s="135">
        <f t="shared" ca="1" si="248"/>
        <v>2.6419062301765574E-2</v>
      </c>
      <c r="DK126" s="137">
        <f>HLOOKUP(H126,'GDP-PI'!$8:$9,2,FALSE)</f>
        <v>118.49</v>
      </c>
      <c r="DL126" s="356">
        <f t="shared" si="241"/>
        <v>4.194261824609434E-2</v>
      </c>
      <c r="DP126" s="398"/>
      <c r="DQ126" s="398"/>
      <c r="DR126" s="398"/>
      <c r="DS126" s="398"/>
      <c r="DT126" s="398"/>
      <c r="DU126" s="398"/>
      <c r="DV126" s="398"/>
      <c r="DW126" s="398"/>
      <c r="DX126" s="398"/>
      <c r="EC126"/>
    </row>
    <row r="127" spans="1:133" s="126" customFormat="1" ht="21" customHeight="1" thickBot="1" x14ac:dyDescent="0.45">
      <c r="A127" s="235"/>
      <c r="B127" s="236"/>
      <c r="C127" s="236"/>
      <c r="D127" s="236"/>
      <c r="E127" s="236"/>
      <c r="F127" s="236"/>
      <c r="G127" s="237" t="s">
        <v>178</v>
      </c>
      <c r="H127" s="238"/>
      <c r="I127" s="239"/>
      <c r="J127" s="240">
        <v>16214</v>
      </c>
      <c r="K127" s="240">
        <f t="shared" ca="1" si="242"/>
        <v>99.747769916948627</v>
      </c>
      <c r="L127" s="47"/>
      <c r="M127" s="241">
        <f t="shared" ref="M127" ca="1" si="262">LN(K127/K126)</f>
        <v>9.1137222098815376E-2</v>
      </c>
      <c r="N127" s="59"/>
      <c r="O127" s="59"/>
      <c r="P127" s="242">
        <f t="shared" ca="1" si="251"/>
        <v>3.7377726464434853E-4</v>
      </c>
      <c r="Q127" s="61"/>
      <c r="R127" s="387"/>
      <c r="S127" s="206">
        <f ca="1">+S126*EXP(T127)</f>
        <v>105.27963721866391</v>
      </c>
      <c r="T127" s="243">
        <f ca="1">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</f>
        <v>4.847164190211671E-5</v>
      </c>
      <c r="U127" s="243"/>
      <c r="V127" s="239">
        <v>22856</v>
      </c>
      <c r="W127" s="240">
        <f t="shared" si="243"/>
        <v>179.61493123772101</v>
      </c>
      <c r="X127" s="244">
        <f t="shared" ref="X127" si="263">LN(W127/W126)</f>
        <v>5.2966158027994391E-2</v>
      </c>
      <c r="Y127" s="244">
        <f t="shared" si="253"/>
        <v>2.1722788132557509E-4</v>
      </c>
      <c r="Z127" s="206"/>
      <c r="AA127" s="243"/>
      <c r="AB127" s="243"/>
      <c r="AC127" s="240">
        <f t="shared" si="223"/>
        <v>15200.397432166877</v>
      </c>
      <c r="AD127" s="244">
        <f>LN(AC127/AC126)</f>
        <v>0.45407836660634054</v>
      </c>
      <c r="AE127" s="245">
        <v>1034.0662934664135</v>
      </c>
      <c r="AF127" s="243">
        <v>7.9487636866519856E-2</v>
      </c>
      <c r="AG127" s="242">
        <f t="shared" si="244"/>
        <v>3.2599930957734617E-4</v>
      </c>
      <c r="AH127" s="206"/>
      <c r="AI127" s="243"/>
      <c r="AJ127" s="239">
        <f t="shared" si="216"/>
        <v>54270.397432166879</v>
      </c>
      <c r="AK127" s="243">
        <f t="shared" si="254"/>
        <v>0.20624038041827708</v>
      </c>
      <c r="AL127" s="239"/>
      <c r="AM127" s="243"/>
      <c r="AN127" s="243"/>
      <c r="AO127" s="243"/>
      <c r="AP127" s="245">
        <f t="shared" si="255"/>
        <v>301.28628611809802</v>
      </c>
      <c r="AQ127" s="243"/>
      <c r="AR127" s="207">
        <f t="shared" si="245"/>
        <v>0.29876324418419903</v>
      </c>
      <c r="AS127" s="207">
        <f t="shared" si="246"/>
        <v>0.421150407615274</v>
      </c>
      <c r="AT127" s="207">
        <f t="shared" si="247"/>
        <v>0.28008634820052697</v>
      </c>
      <c r="AU127" s="207"/>
      <c r="AV127" s="206"/>
      <c r="AW127" s="243"/>
      <c r="AX127" s="248">
        <f>+AJ127/$AL$27</f>
        <v>4.1012580374578589E-3</v>
      </c>
      <c r="AY127" s="249"/>
      <c r="AZ127" s="206"/>
      <c r="BA127" s="243"/>
      <c r="BB127" s="250">
        <v>180129</v>
      </c>
      <c r="BC127" s="412">
        <f t="shared" si="171"/>
        <v>7.1313864621630266E-3</v>
      </c>
      <c r="BD127" s="91"/>
      <c r="BE127" s="401">
        <f t="shared" si="167"/>
        <v>0</v>
      </c>
      <c r="BF127" s="402">
        <f t="shared" si="168"/>
        <v>0</v>
      </c>
      <c r="BG127" s="313">
        <f t="shared" si="169"/>
        <v>0</v>
      </c>
      <c r="BH127" s="313"/>
      <c r="BI127" s="313" t="str">
        <f t="shared" si="170"/>
        <v>2022Y</v>
      </c>
      <c r="BJ127" s="239"/>
      <c r="BK127" s="239"/>
      <c r="BL127" s="239"/>
      <c r="BM127" s="239"/>
      <c r="BN127" s="337">
        <v>0.85054998903890544</v>
      </c>
      <c r="BO127" s="313">
        <f t="shared" si="260"/>
        <v>0</v>
      </c>
      <c r="BP127" s="313">
        <f t="shared" si="261"/>
        <v>0</v>
      </c>
      <c r="BQ127" s="239"/>
      <c r="BR127" s="239"/>
      <c r="BS127" s="310"/>
      <c r="BT127" s="310"/>
      <c r="BU127" s="311"/>
      <c r="BV127" s="207"/>
      <c r="BW127" s="312"/>
      <c r="BX127" s="312"/>
      <c r="BY127" s="239"/>
      <c r="BZ127" s="239"/>
      <c r="CA127" s="239"/>
      <c r="CB127" s="239"/>
      <c r="CC127" s="245">
        <v>2022</v>
      </c>
      <c r="CD127" s="239"/>
      <c r="CE127" s="239"/>
      <c r="CF127" s="239"/>
      <c r="CG127" s="310"/>
      <c r="CH127" s="239">
        <v>60589</v>
      </c>
      <c r="CI127" s="313">
        <f t="shared" si="234"/>
        <v>60589</v>
      </c>
      <c r="CJ127" s="313">
        <f t="shared" si="226"/>
        <v>58.778048330924229</v>
      </c>
      <c r="CK127" s="443">
        <v>0.69230769230769229</v>
      </c>
      <c r="CL127" s="239">
        <f>+CL103*CK127+CJ104*CK126+CJ105*CK125+CJ106*CK124+CJ107*CK123+CJ108*CK122+CJ109*CK121+CJ110*CK120+CJ111*CK119+CJ112*CK118+CJ113*CK117+CJ114*CK116+CJ115*CK115+CJ116*CK114+CJ117*CK113+CJ118*CK112+CJ119*CK111+CJ120*CK110+CJ121*CK109+CJ122*CK108+CJ123*CK107+CJ124*CK106+CJ125*CK105+CJ126*CK104+CJ127*CK103</f>
        <v>909.23285309038181</v>
      </c>
      <c r="CM127" s="243">
        <f t="shared" ref="CM127" si="264">LN(CL127/CL126)</f>
        <v>6.183466278581564E-2</v>
      </c>
      <c r="CN127" s="249">
        <f t="shared" si="228"/>
        <v>4.9828360703347259E-3</v>
      </c>
      <c r="CO127" s="249">
        <f t="shared" si="238"/>
        <v>1.6575157298573225E-2</v>
      </c>
      <c r="CP127" s="243"/>
      <c r="CQ127" s="249"/>
      <c r="CR127" s="249"/>
      <c r="CS127" s="248">
        <f t="shared" si="239"/>
        <v>1.43267843099604E-2</v>
      </c>
      <c r="CT127" s="249">
        <v>0.10114668178709289</v>
      </c>
      <c r="CU127" s="314">
        <f t="shared" si="229"/>
        <v>0.90666749999999996</v>
      </c>
      <c r="CV127" s="315"/>
      <c r="CW127" s="315"/>
      <c r="CX127" s="315"/>
      <c r="CY127" s="315"/>
      <c r="CZ127" s="316">
        <f>CZ126</f>
        <v>0.25224999999999997</v>
      </c>
      <c r="DA127" s="360">
        <v>0.37</v>
      </c>
      <c r="DB127" s="318">
        <f t="shared" si="237"/>
        <v>17.784197653908613</v>
      </c>
      <c r="DC127" s="249">
        <f t="shared" si="240"/>
        <v>0.39015562357050376</v>
      </c>
      <c r="DD127" s="316">
        <v>0.04</v>
      </c>
      <c r="DE127" s="319">
        <v>7.0000000000000001E-3</v>
      </c>
      <c r="DF127" s="316">
        <v>1030.81</v>
      </c>
      <c r="DG127" s="89">
        <f ca="1">VLOOKUP(CC127,'ECI - Input Price'!M$13:N$33,2,FALSE)</f>
        <v>162.55000000000001</v>
      </c>
      <c r="DH127" s="89"/>
      <c r="DI127" s="89"/>
      <c r="DJ127" s="249">
        <f t="shared" ca="1" si="248"/>
        <v>3.3148751169364422E-2</v>
      </c>
      <c r="DK127" s="310">
        <v>127.25</v>
      </c>
      <c r="DL127" s="357">
        <f t="shared" si="241"/>
        <v>7.1325086601983473E-2</v>
      </c>
      <c r="DP127" s="398"/>
      <c r="DQ127" s="398"/>
      <c r="DR127" s="398"/>
      <c r="DS127" s="398"/>
      <c r="DT127" s="398"/>
      <c r="DU127" s="398"/>
      <c r="DV127" s="398"/>
      <c r="DW127" s="398"/>
      <c r="DX127" s="398"/>
      <c r="EC127"/>
    </row>
    <row r="128" spans="1:133" s="126" customFormat="1" ht="21" customHeight="1" x14ac:dyDescent="0.4">
      <c r="A128" s="251" t="s">
        <v>190</v>
      </c>
      <c r="B128" s="252" t="s">
        <v>190</v>
      </c>
      <c r="C128" s="252">
        <v>4058793</v>
      </c>
      <c r="D128" s="252" t="s">
        <v>191</v>
      </c>
      <c r="E128" s="252"/>
      <c r="F128" s="252"/>
      <c r="G128" s="252" t="s">
        <v>150</v>
      </c>
      <c r="H128" s="253">
        <v>1998</v>
      </c>
      <c r="I128" s="254"/>
      <c r="J128" s="255"/>
      <c r="K128" s="255"/>
      <c r="L128" s="47"/>
      <c r="M128" s="255"/>
      <c r="N128" s="255"/>
      <c r="O128" s="255"/>
      <c r="P128" s="219"/>
      <c r="Q128" s="218"/>
      <c r="R128" s="385"/>
      <c r="S128" s="257"/>
      <c r="T128" s="258"/>
      <c r="U128" s="258"/>
      <c r="V128" s="259"/>
      <c r="W128" s="259"/>
      <c r="X128" s="259"/>
      <c r="Y128" s="255"/>
      <c r="Z128" s="259"/>
      <c r="AA128" s="259"/>
      <c r="AB128" s="259"/>
      <c r="AC128" s="255"/>
      <c r="AD128" s="254"/>
      <c r="AE128" s="260">
        <v>15.486856498899712</v>
      </c>
      <c r="AF128" s="256"/>
      <c r="AG128" s="225"/>
      <c r="AH128" s="256"/>
      <c r="AI128" s="256"/>
      <c r="AJ128" s="254">
        <f t="shared" si="216"/>
        <v>0</v>
      </c>
      <c r="AK128" s="254"/>
      <c r="AL128" s="254"/>
      <c r="AM128" s="256"/>
      <c r="AN128" s="256"/>
      <c r="AO128" s="256"/>
      <c r="AP128" s="226">
        <f>+(AP125+AP126+AP127)/3</f>
        <v>271.04472473049555</v>
      </c>
      <c r="AQ128" s="256"/>
      <c r="AR128" s="261"/>
      <c r="AS128" s="261"/>
      <c r="AT128" s="261"/>
      <c r="AU128" s="261"/>
      <c r="AV128" s="261"/>
      <c r="AW128" s="256">
        <f ca="1">AVERAGE(AW137:AW151)</f>
        <v>-1.0276844368799394E-2</v>
      </c>
      <c r="AX128" s="223"/>
      <c r="AY128" s="261"/>
      <c r="AZ128" s="261"/>
      <c r="BA128" s="261"/>
      <c r="BB128" s="262">
        <f>IFERROR(INDEX('Total Customers'!$E$7:$AA$91,MATCH($C128,'Total Customers'!$C$7:$C$91,0),MATCH($G128,'Total Customers'!$E$5:$AA$5,0)),"NA")</f>
        <v>4192</v>
      </c>
      <c r="BC128" s="413"/>
      <c r="BD128" s="92"/>
      <c r="BE128" s="407" t="str">
        <f t="shared" si="167"/>
        <v>BLUEFIELD GAS COMPANY</v>
      </c>
      <c r="BF128" s="408">
        <f t="shared" si="168"/>
        <v>4058793</v>
      </c>
      <c r="BG128" s="218" t="str">
        <f t="shared" si="169"/>
        <v>WV</v>
      </c>
      <c r="BH128" s="218"/>
      <c r="BI128" s="218" t="str">
        <f t="shared" si="170"/>
        <v>1998 Y</v>
      </c>
      <c r="BJ128" s="254">
        <f>INDEX('Gross Dx Plant'!$D$7:$AC$91,MATCH($C128,'Gross Dx Plant'!$C$7:$C$91,0),MATCH(Calculation!$G128,'Gross Dx Plant'!$D$5:$AC$5,0))</f>
        <v>3722</v>
      </c>
      <c r="BK128" s="254">
        <f>INDEX('Gross Gen Plant'!$D$7:$AC$91,MATCH($C128,'Gross Gen Plant'!$C$7:$C$91,0),MATCH(Calculation!$G128,'Gross Gen Plant'!$D$5:$AC$5,0))</f>
        <v>803</v>
      </c>
      <c r="BL128" s="254">
        <f>INDEX('Dist. Plant Gas Additions'!$E$7:$AD$91,MATCH($C128,'Dist. Plant Gas Additions'!$C$7:$C$91,0),MATCH(Calculation!$G128,'Dist. Plant Gas Additions'!$E$5:$AD$5,0))</f>
        <v>440</v>
      </c>
      <c r="BM128" s="254">
        <f>INDEX('Gen. Plant Additions'!$E$7:$AD$91,MATCH($C128,'Gen. Plant Additions'!$C$7:$C$91,0),MATCH(Calculation!$G128,'Gen. Plant Additions'!$E$5:$AD$5,0))</f>
        <v>83</v>
      </c>
      <c r="BN128" s="409">
        <f>+(BY128/(BY128+BZ128))</f>
        <v>0.82254143646408839</v>
      </c>
      <c r="BO128" s="218">
        <f t="shared" si="260"/>
        <v>68.270939226519332</v>
      </c>
      <c r="BP128" s="218">
        <f t="shared" si="261"/>
        <v>-14.729060773480668</v>
      </c>
      <c r="BQ128" s="254">
        <f>INDEX('Dist Plant Depreciation'!$D$7:$AC$94,MATCH($C128,'Dist Plant Depreciation'!$C$7:$C$94,0),MATCH(Calculation!$G128,'Dist Plant Depreciation'!$D$5:$AC$5,0))</f>
        <v>1227</v>
      </c>
      <c r="BR128" s="254">
        <f>INDEX('Gen. Plant Depreciation'!$D$7:$AC$94,MATCH($C128,'Gen. Plant Depreciation'!$C$7:$C$94,0),MATCH(Calculation!$G128,'Gen. Plant Depreciation'!$D$5:$AC$5,0))</f>
        <v>174</v>
      </c>
      <c r="BS128" s="254"/>
      <c r="BT128" s="254"/>
      <c r="BU128" s="254"/>
      <c r="BV128" s="254"/>
      <c r="BW128" s="254"/>
      <c r="BX128" s="254"/>
      <c r="BY128" s="254">
        <f>INDEX('Gross Dx Plant'!$D$7:$AC$91,MATCH($C128,'Gross Dx Plant'!$C$7:$C$91,0),MATCH(Calculation!$G128,'Gross Dx Plant'!$D$5:$AC$5,0))</f>
        <v>3722</v>
      </c>
      <c r="BZ128" s="254">
        <f>INDEX('Gross Gen Plant'!$D$7:$AC$91,MATCH($C128,'Gross Gen Plant'!$C$7:$C$91,0),MATCH(Calculation!$G128,'Gross Gen Plant'!$D$5:$AC$5,0))</f>
        <v>803</v>
      </c>
      <c r="CA128" s="254">
        <f t="shared" si="172"/>
        <v>3124</v>
      </c>
      <c r="CB128" s="254"/>
      <c r="CC128" s="260">
        <v>1998</v>
      </c>
      <c r="CD128" s="254">
        <f>BJ128+BK128</f>
        <v>4525</v>
      </c>
      <c r="CE128" s="254">
        <f>1227+174</f>
        <v>1401</v>
      </c>
      <c r="CF128" s="254">
        <f>+CD128-CE128</f>
        <v>3124</v>
      </c>
      <c r="CG128" s="254">
        <f>CF128/$BX$3</f>
        <v>15.486856498899712</v>
      </c>
      <c r="CH128" s="323"/>
      <c r="CI128" s="344"/>
      <c r="CJ128" s="344"/>
      <c r="CK128" s="443">
        <v>1</v>
      </c>
      <c r="CL128" s="254">
        <f>+CG128</f>
        <v>15.486856498899712</v>
      </c>
      <c r="CM128" s="256"/>
      <c r="CN128" s="325"/>
      <c r="CO128" s="325"/>
      <c r="CP128" s="256" t="e">
        <f>VLOOKUP($H128,RoR!$E:$F,2,FALSE)</f>
        <v>#N/A</v>
      </c>
      <c r="CQ128" s="325">
        <v>1.1028127770464469E-2</v>
      </c>
      <c r="CR128" s="325"/>
      <c r="CS128" s="325"/>
      <c r="CT128" s="325"/>
      <c r="CU128" s="327"/>
      <c r="CV128" s="331" t="e">
        <f>2/(DD128*39)</f>
        <v>#N/A</v>
      </c>
      <c r="CW128" s="328" t="e">
        <f>+(DD128*40-(1+DD128))/(DD128*40)</f>
        <v>#N/A</v>
      </c>
      <c r="CX128" s="328" t="e">
        <f>+(1-(1/(1+DD128)^40))</f>
        <v>#N/A</v>
      </c>
      <c r="CY128" s="328" t="e">
        <f>+CX128*CW128*CV128</f>
        <v>#N/A</v>
      </c>
      <c r="CZ128" s="329">
        <f>INDEX('State Tax Lookup'!$D$7:$Z$91,MATCH(Calculation!$C128,'State Tax Lookup'!$B$7:$B$91,0),MATCH($H128,'State Tax Lookup'!$D$6:$Z$6,0))</f>
        <v>0.40200000000000002</v>
      </c>
      <c r="DA128" s="351">
        <v>0.37</v>
      </c>
      <c r="DB128" s="344"/>
      <c r="DC128" s="326"/>
      <c r="DD128" s="351" t="e">
        <f>VLOOKUP($H128,RoR!$E:$F,2,FALSE)</f>
        <v>#N/A</v>
      </c>
      <c r="DE128" s="354">
        <f>HLOOKUP($H128,'GDP-PI'!$D$8:$CQ$11,3,FALSE)</f>
        <v>1.1028127770464469E-2</v>
      </c>
      <c r="DF128" s="351">
        <f>VLOOKUP(H128,'HW Dx Data'!$E:$F,2,FALSE)</f>
        <v>329.24564746449528</v>
      </c>
      <c r="DG128" s="351"/>
      <c r="DH128" s="351"/>
      <c r="DI128" s="351"/>
      <c r="DJ128" s="326"/>
      <c r="DK128" s="344">
        <f>HLOOKUP(H128,'GDP-PI'!$8:$9,2,FALSE)</f>
        <v>75.266999999999996</v>
      </c>
      <c r="DL128" s="292"/>
      <c r="DP128" s="398"/>
      <c r="DQ128" s="398"/>
      <c r="DR128" s="398"/>
      <c r="DS128" s="398"/>
      <c r="DT128" s="398"/>
      <c r="DU128" s="398"/>
      <c r="DV128" s="398"/>
      <c r="DW128" s="398"/>
      <c r="DX128" s="398"/>
      <c r="EC128"/>
    </row>
    <row r="129" spans="1:133" s="126" customFormat="1" ht="21" customHeight="1" x14ac:dyDescent="0.4">
      <c r="A129" s="233" t="s">
        <v>190</v>
      </c>
      <c r="B129" s="127" t="s">
        <v>190</v>
      </c>
      <c r="C129" s="127">
        <v>4058793</v>
      </c>
      <c r="D129" s="127" t="s">
        <v>191</v>
      </c>
      <c r="E129" s="127"/>
      <c r="F129" s="127"/>
      <c r="G129" s="127" t="s">
        <v>155</v>
      </c>
      <c r="H129" s="128">
        <v>1999</v>
      </c>
      <c r="I129" s="129"/>
      <c r="J129" s="125"/>
      <c r="K129" s="125"/>
      <c r="L129" s="47"/>
      <c r="M129" s="125"/>
      <c r="N129" s="125"/>
      <c r="O129" s="125"/>
      <c r="P129" s="47"/>
      <c r="Q129" s="47"/>
      <c r="R129" s="386"/>
      <c r="S129" s="119"/>
      <c r="T129" s="47"/>
      <c r="U129" s="46"/>
      <c r="V129" s="135"/>
      <c r="W129" s="135"/>
      <c r="X129" s="135"/>
      <c r="Y129" s="143"/>
      <c r="Z129" s="135"/>
      <c r="AA129" s="135"/>
      <c r="AB129" s="135"/>
      <c r="AC129" s="125">
        <f t="shared" ref="AC129:AC152" si="265">+CL128*DB129</f>
        <v>0</v>
      </c>
      <c r="AD129" s="129"/>
      <c r="AE129" s="133">
        <v>17.10965094032149</v>
      </c>
      <c r="AF129" s="134">
        <v>9.965099039546424E-2</v>
      </c>
      <c r="AG129" s="61"/>
      <c r="AH129" s="134"/>
      <c r="AI129" s="134"/>
      <c r="AJ129" s="129">
        <f t="shared" si="216"/>
        <v>0</v>
      </c>
      <c r="AK129" s="134"/>
      <c r="AL129" s="129"/>
      <c r="AM129" s="134"/>
      <c r="AN129" s="134"/>
      <c r="AO129" s="134"/>
      <c r="AP129" s="133"/>
      <c r="AQ129" s="134"/>
      <c r="AR129" s="93"/>
      <c r="AS129" s="93"/>
      <c r="AT129" s="93"/>
      <c r="AU129" s="93"/>
      <c r="AV129" s="93"/>
      <c r="AW129" s="134"/>
      <c r="AX129" s="62"/>
      <c r="AY129" s="93"/>
      <c r="AZ129" s="93"/>
      <c r="BA129" s="93"/>
      <c r="BB129" s="234">
        <f>IFERROR(INDEX('Total Customers'!$E$7:$AA$91,MATCH($C129,'Total Customers'!$C$7:$C$91,0),MATCH($G129,'Total Customers'!$E$5:$AA$5,0)),"NA")</f>
        <v>4194</v>
      </c>
      <c r="BC129" s="411">
        <f t="shared" si="171"/>
        <v>4.7698546098713239E-4</v>
      </c>
      <c r="BD129" s="92"/>
      <c r="BE129" s="281" t="str">
        <f t="shared" si="167"/>
        <v>BLUEFIELD GAS COMPANY</v>
      </c>
      <c r="BF129" s="290">
        <f t="shared" si="168"/>
        <v>4058793</v>
      </c>
      <c r="BG129" s="46" t="str">
        <f t="shared" si="169"/>
        <v>WV</v>
      </c>
      <c r="BH129" s="46"/>
      <c r="BI129" s="46" t="str">
        <f t="shared" si="170"/>
        <v>1999 Y</v>
      </c>
      <c r="BJ129" s="129"/>
      <c r="BK129" s="129"/>
      <c r="BL129" s="129">
        <f>INDEX('Dist. Plant Gas Additions'!$E$7:$AD$91,MATCH($C129,'Dist. Plant Gas Additions'!$C$7:$C$91,0),MATCH(Calculation!$G129,'Dist. Plant Gas Additions'!$E$5:$AD$5,0))</f>
        <v>483</v>
      </c>
      <c r="BM129" s="129">
        <f>INDEX('Gen. Plant Additions'!$E$7:$AD$91,MATCH($C129,'Gen. Plant Additions'!$C$7:$C$91,0),MATCH(Calculation!$G129,'Gen. Plant Additions'!$E$5:$AD$5,0))</f>
        <v>87</v>
      </c>
      <c r="BN129" s="393">
        <f t="shared" ref="BN129:BN150" si="266">+(BY129/(BY129+BZ129))</f>
        <v>0.83487903225806448</v>
      </c>
      <c r="BO129" s="46">
        <f t="shared" si="260"/>
        <v>72.634475806451604</v>
      </c>
      <c r="BP129" s="46">
        <f t="shared" si="261"/>
        <v>-14.365524193548396</v>
      </c>
      <c r="BQ129" s="129">
        <f>INDEX('Dist Plant Depreciation'!$D$7:$AC$94,MATCH($C129,'Dist Plant Depreciation'!$C$7:$C$94,0),MATCH(Calculation!$G129,'Dist Plant Depreciation'!$D$5:$AC$5,0))</f>
        <v>1315</v>
      </c>
      <c r="BR129" s="129">
        <f>INDEX('Gen. Plant Depreciation'!$D$7:$AC$94,MATCH($C129,'Gen. Plant Depreciation'!$C$7:$C$94,0),MATCH(Calculation!$G129,'Gen. Plant Depreciation'!$D$5:$AC$5,0))</f>
        <v>191</v>
      </c>
      <c r="BS129" s="129"/>
      <c r="BT129" s="129"/>
      <c r="BU129" s="129"/>
      <c r="BV129" s="129"/>
      <c r="BW129" s="129"/>
      <c r="BX129" s="129"/>
      <c r="BY129" s="129">
        <f>INDEX('Gross Dx Plant'!$D$7:$AC$91,MATCH($C129,'Gross Dx Plant'!$C$7:$C$91,0),MATCH(Calculation!$G129,'Gross Dx Plant'!$D$5:$AC$5,0))</f>
        <v>4141</v>
      </c>
      <c r="BZ129" s="129">
        <f>INDEX('Gross Gen Plant'!$D$7:$AC$91,MATCH($C129,'Gross Gen Plant'!$C$7:$C$91,0),MATCH(Calculation!$G129,'Gross Gen Plant'!$D$5:$AC$5,0))</f>
        <v>819</v>
      </c>
      <c r="CA129" s="129">
        <f t="shared" si="172"/>
        <v>3454</v>
      </c>
      <c r="CB129" s="129"/>
      <c r="CC129" s="133">
        <v>1999</v>
      </c>
      <c r="CD129" s="129"/>
      <c r="CE129" s="129"/>
      <c r="CF129" s="129"/>
      <c r="CG129" s="137"/>
      <c r="CH129" s="129">
        <f t="shared" ref="CH129:CH151" si="267">+BM129+BL129</f>
        <v>570</v>
      </c>
      <c r="CI129" s="46">
        <f>+CH129+BP129</f>
        <v>555.63447580645163</v>
      </c>
      <c r="CJ129" s="46">
        <f t="shared" ref="CJ129:CJ152" si="268">+CI129/$DF129</f>
        <v>1.6570028776438825</v>
      </c>
      <c r="CK129" s="443">
        <v>0.99009900990099009</v>
      </c>
      <c r="CL129" s="46">
        <f>+CL128*CK129+CJ129</f>
        <v>16.990524163683201</v>
      </c>
      <c r="CM129" s="134">
        <f t="shared" ref="CM129:CM150" si="269">LN(CL129/CL128)</f>
        <v>9.2664090129410695E-2</v>
      </c>
      <c r="CN129" s="135">
        <f t="shared" ref="CN129:CN152" si="270">+(CL128-CL129+CJ129)/CL128</f>
        <v>9.9009900990099375E-3</v>
      </c>
      <c r="CO129" s="135"/>
      <c r="CP129" s="134">
        <f>VLOOKUP($H129,RoR!$E:$F,2,FALSE)</f>
        <v>7.0416666666666669E-2</v>
      </c>
      <c r="CQ129" s="135">
        <v>1.4335631817396832E-2</v>
      </c>
      <c r="CR129" s="135">
        <f>+CP129-CQ129</f>
        <v>5.6081034849269837E-2</v>
      </c>
      <c r="CS129" s="135"/>
      <c r="CT129" s="135"/>
      <c r="CU129" s="139">
        <f t="shared" ref="CU129:CU152" si="271">1-CZ129*DA129</f>
        <v>0.85126000000000002</v>
      </c>
      <c r="CV129" s="335">
        <f t="shared" ref="CV129:CV151" si="272">2/(DD129*39)</f>
        <v>0.72826581702321336</v>
      </c>
      <c r="CW129" s="335">
        <f t="shared" ref="CW129:CW151" si="273">+(DD129*40-(1+DD129))/(DD129*40)</f>
        <v>0.61997041420118348</v>
      </c>
      <c r="CX129" s="335">
        <f t="shared" ref="CX129:CX151" si="274">+(1-(1/(1+DD129)^40))</f>
        <v>0.93425155319585029</v>
      </c>
      <c r="CY129" s="335">
        <f t="shared" ref="CY129:CY151" si="275">+CX129*CW129*CV129</f>
        <v>0.42181762214141483</v>
      </c>
      <c r="CZ129" s="336">
        <f>INDEX('State Tax Lookup'!$D$7:$Z$91,MATCH(Calculation!$C129,'State Tax Lookup'!$B$7:$B$91,0),MATCH($H129,'State Tax Lookup'!$D$6:$Z$6,0))</f>
        <v>0.40200000000000002</v>
      </c>
      <c r="DA129" s="303">
        <v>0.37</v>
      </c>
      <c r="DB129" s="57"/>
      <c r="DC129" s="56"/>
      <c r="DD129" s="303">
        <f>VLOOKUP($H129,RoR!$E:$F,2,FALSE)</f>
        <v>7.0416666666666669E-2</v>
      </c>
      <c r="DE129" s="304">
        <f>HLOOKUP($H129,'GDP-PI'!$D$8:$CQ$11,3,FALSE)</f>
        <v>1.4335631817396832E-2</v>
      </c>
      <c r="DF129" s="303">
        <f>VLOOKUP(H129,'HW Dx Data'!$E:$F,2,FALSE)</f>
        <v>335.32499146683239</v>
      </c>
      <c r="DG129" s="89"/>
      <c r="DH129" s="89"/>
      <c r="DI129" s="89"/>
      <c r="DJ129" s="56"/>
      <c r="DK129" s="53">
        <f>HLOOKUP(H129,'GDP-PI'!$8:$9,2,FALSE)</f>
        <v>76.346000000000004</v>
      </c>
      <c r="DL129" s="298"/>
      <c r="DP129" s="398"/>
      <c r="DQ129" s="398"/>
      <c r="DR129" s="398"/>
      <c r="DS129" s="398"/>
      <c r="DT129" s="398"/>
      <c r="DU129" s="398"/>
      <c r="DV129" s="398"/>
      <c r="DW129" s="398"/>
      <c r="DX129" s="398"/>
      <c r="EC129"/>
    </row>
    <row r="130" spans="1:133" s="126" customFormat="1" ht="21" customHeight="1" x14ac:dyDescent="0.4">
      <c r="A130" s="233" t="s">
        <v>190</v>
      </c>
      <c r="B130" s="127" t="s">
        <v>190</v>
      </c>
      <c r="C130" s="127">
        <v>4058793</v>
      </c>
      <c r="D130" s="127" t="s">
        <v>191</v>
      </c>
      <c r="E130" s="127"/>
      <c r="F130" s="127"/>
      <c r="G130" s="127" t="s">
        <v>156</v>
      </c>
      <c r="H130" s="128">
        <v>2000</v>
      </c>
      <c r="I130" s="129"/>
      <c r="J130" s="125"/>
      <c r="K130" s="125"/>
      <c r="L130" s="47"/>
      <c r="M130" s="125"/>
      <c r="N130" s="125"/>
      <c r="O130" s="125"/>
      <c r="P130" s="47"/>
      <c r="Q130" s="47"/>
      <c r="R130" s="386"/>
      <c r="S130" s="119"/>
      <c r="T130" s="47"/>
      <c r="U130" s="47"/>
      <c r="V130" s="125"/>
      <c r="W130" s="125"/>
      <c r="X130" s="125"/>
      <c r="Y130" s="125"/>
      <c r="Z130" s="125"/>
      <c r="AA130" s="125"/>
      <c r="AB130" s="125"/>
      <c r="AC130" s="125">
        <f t="shared" si="265"/>
        <v>0</v>
      </c>
      <c r="AD130" s="129"/>
      <c r="AE130" s="133">
        <v>18.554128573946432</v>
      </c>
      <c r="AF130" s="134">
        <v>8.1049642143176781E-2</v>
      </c>
      <c r="AG130" s="61"/>
      <c r="AH130" s="134"/>
      <c r="AI130" s="134"/>
      <c r="AJ130" s="129">
        <f t="shared" si="216"/>
        <v>0</v>
      </c>
      <c r="AK130" s="134"/>
      <c r="AL130" s="129"/>
      <c r="AM130" s="129"/>
      <c r="AN130" s="129"/>
      <c r="AO130" s="129"/>
      <c r="AP130" s="133"/>
      <c r="AQ130" s="134"/>
      <c r="AR130" s="93"/>
      <c r="AS130" s="93"/>
      <c r="AT130" s="93"/>
      <c r="AU130" s="93"/>
      <c r="AV130" s="93"/>
      <c r="AW130" s="134"/>
      <c r="AX130" s="62"/>
      <c r="AY130" s="93"/>
      <c r="AZ130" s="93"/>
      <c r="BA130" s="93"/>
      <c r="BB130" s="234">
        <f>IFERROR(INDEX('Total Customers'!$E$7:$AA$91,MATCH($C130,'Total Customers'!$C$7:$C$91,0),MATCH($G130,'Total Customers'!$E$5:$AA$5,0)),"NA")</f>
        <v>4288</v>
      </c>
      <c r="BC130" s="411">
        <f t="shared" si="171"/>
        <v>2.2165491288772619E-2</v>
      </c>
      <c r="BD130" s="92"/>
      <c r="BE130" s="281" t="str">
        <f t="shared" si="167"/>
        <v>BLUEFIELD GAS COMPANY</v>
      </c>
      <c r="BF130" s="290">
        <f t="shared" si="168"/>
        <v>4058793</v>
      </c>
      <c r="BG130" s="46" t="str">
        <f t="shared" si="169"/>
        <v>WV</v>
      </c>
      <c r="BH130" s="46"/>
      <c r="BI130" s="46" t="str">
        <f t="shared" si="170"/>
        <v>2000 Y</v>
      </c>
      <c r="BJ130" s="129"/>
      <c r="BK130" s="129"/>
      <c r="BL130" s="129">
        <f>INDEX('Dist. Plant Gas Additions'!$E$7:$AD$91,MATCH($C130,'Dist. Plant Gas Additions'!$C$7:$C$91,0),MATCH(Calculation!$G130,'Dist. Plant Gas Additions'!$E$5:$AD$5,0))</f>
        <v>409</v>
      </c>
      <c r="BM130" s="129">
        <f>INDEX('Gen. Plant Additions'!$E$7:$AD$91,MATCH($C130,'Gen. Plant Additions'!$C$7:$C$91,0),MATCH(Calculation!$G130,'Gen. Plant Additions'!$E$5:$AD$5,0))</f>
        <v>122</v>
      </c>
      <c r="BN130" s="393">
        <f t="shared" si="266"/>
        <v>0.82748974263334574</v>
      </c>
      <c r="BO130" s="46">
        <f t="shared" si="260"/>
        <v>100.95374860126817</v>
      </c>
      <c r="BP130" s="46">
        <f t="shared" si="261"/>
        <v>-21.046251398731826</v>
      </c>
      <c r="BQ130" s="129"/>
      <c r="BR130" s="129"/>
      <c r="BS130" s="129"/>
      <c r="BT130" s="129"/>
      <c r="BU130" s="129"/>
      <c r="BV130" s="129"/>
      <c r="BW130" s="129"/>
      <c r="BX130" s="129"/>
      <c r="BY130" s="129">
        <f>INDEX('Gross Dx Plant'!$D$7:$AC$91,MATCH($C130,'Gross Dx Plant'!$C$7:$C$91,0),MATCH(Calculation!$G130,'Gross Dx Plant'!$D$5:$AC$5,0))</f>
        <v>4437</v>
      </c>
      <c r="BZ130" s="129">
        <f>INDEX('Gross Gen Plant'!$D$7:$AC$91,MATCH($C130,'Gross Gen Plant'!$C$7:$C$91,0),MATCH(Calculation!$G130,'Gross Gen Plant'!$D$5:$AC$5,0))</f>
        <v>925</v>
      </c>
      <c r="CA130" s="129">
        <f t="shared" si="172"/>
        <v>5362</v>
      </c>
      <c r="CB130" s="129"/>
      <c r="CC130" s="133">
        <v>2000</v>
      </c>
      <c r="CD130" s="129"/>
      <c r="CE130" s="129"/>
      <c r="CF130" s="129"/>
      <c r="CG130" s="137"/>
      <c r="CH130" s="129">
        <f t="shared" si="267"/>
        <v>531</v>
      </c>
      <c r="CI130" s="46">
        <f t="shared" ref="CI130:CI152" si="276">+CH130+BP130</f>
        <v>509.95374860126816</v>
      </c>
      <c r="CJ130" s="46">
        <f t="shared" si="268"/>
        <v>1.4715847906723496</v>
      </c>
      <c r="CK130" s="443">
        <v>0.98</v>
      </c>
      <c r="CL130" s="46">
        <f>+CL128*CK130+CJ129*CK129+CJ130</f>
        <v>18.289301068152366</v>
      </c>
      <c r="CM130" s="134">
        <f t="shared" si="269"/>
        <v>7.3660461279954792E-2</v>
      </c>
      <c r="CN130" s="135">
        <f t="shared" si="270"/>
        <v>1.0170839024057734E-2</v>
      </c>
      <c r="CO130" s="135"/>
      <c r="CP130" s="134">
        <f>VLOOKUP($H130,RoR!$E:$F,2,FALSE)</f>
        <v>7.6225000000000001E-2</v>
      </c>
      <c r="CQ130" s="135">
        <v>2.2568307442433211E-2</v>
      </c>
      <c r="CR130" s="135">
        <f t="shared" ref="CR130:CR150" si="277">+CP130-CQ130</f>
        <v>5.365669255756679E-2</v>
      </c>
      <c r="CS130" s="135"/>
      <c r="CT130" s="135"/>
      <c r="CU130" s="139">
        <f t="shared" si="271"/>
        <v>0.85126000000000002</v>
      </c>
      <c r="CV130" s="335">
        <f t="shared" si="272"/>
        <v>0.67277207323124022</v>
      </c>
      <c r="CW130" s="335">
        <f t="shared" si="273"/>
        <v>0.6470236142997704</v>
      </c>
      <c r="CX130" s="335">
        <f t="shared" si="274"/>
        <v>0.94704866037543145</v>
      </c>
      <c r="CY130" s="335">
        <f t="shared" si="275"/>
        <v>0.41224973107878493</v>
      </c>
      <c r="CZ130" s="336">
        <f>INDEX('State Tax Lookup'!$D$7:$Z$91,MATCH(Calculation!$C130,'State Tax Lookup'!$B$7:$B$91,0),MATCH($H130,'State Tax Lookup'!$D$6:$Z$6,0))</f>
        <v>0.40200000000000002</v>
      </c>
      <c r="DA130" s="303">
        <v>0.37</v>
      </c>
      <c r="DB130" s="57"/>
      <c r="DC130" s="56"/>
      <c r="DD130" s="303">
        <f>VLOOKUP($H130,RoR!$E:$F,2,FALSE)</f>
        <v>7.6225000000000001E-2</v>
      </c>
      <c r="DE130" s="304">
        <f>HLOOKUP($H130,'GDP-PI'!$D$8:$CQ$11,3,FALSE)</f>
        <v>2.2568307442433211E-2</v>
      </c>
      <c r="DF130" s="303">
        <f>VLOOKUP(H130,'HW Dx Data'!$E:$F,2,FALSE)</f>
        <v>346.53371782150339</v>
      </c>
      <c r="DG130" s="89"/>
      <c r="DH130" s="89"/>
      <c r="DI130" s="89"/>
      <c r="DJ130" s="56"/>
      <c r="DK130" s="53">
        <f>HLOOKUP(H130,'GDP-PI'!$8:$9,2,FALSE)</f>
        <v>78.069000000000003</v>
      </c>
      <c r="DL130" s="298"/>
      <c r="DP130" s="398"/>
      <c r="DQ130" s="398"/>
      <c r="DR130" s="398"/>
      <c r="DS130" s="398"/>
      <c r="DT130" s="398"/>
      <c r="DU130" s="398"/>
      <c r="DV130" s="398"/>
      <c r="DW130" s="398"/>
      <c r="DX130" s="398"/>
      <c r="EC130"/>
    </row>
    <row r="131" spans="1:133" s="126" customFormat="1" ht="21" customHeight="1" x14ac:dyDescent="0.4">
      <c r="A131" s="233" t="s">
        <v>190</v>
      </c>
      <c r="B131" s="127" t="s">
        <v>190</v>
      </c>
      <c r="C131" s="127">
        <v>4058793</v>
      </c>
      <c r="D131" s="127" t="s">
        <v>191</v>
      </c>
      <c r="E131" s="127"/>
      <c r="F131" s="127"/>
      <c r="G131" s="127" t="s">
        <v>157</v>
      </c>
      <c r="H131" s="128">
        <v>2001</v>
      </c>
      <c r="I131" s="129"/>
      <c r="J131" s="125"/>
      <c r="K131" s="125"/>
      <c r="L131" s="47"/>
      <c r="M131" s="125"/>
      <c r="N131" s="125"/>
      <c r="O131" s="125"/>
      <c r="P131" s="47"/>
      <c r="Q131" s="47"/>
      <c r="R131" s="386"/>
      <c r="S131" s="119"/>
      <c r="T131" s="47"/>
      <c r="U131" s="47"/>
      <c r="V131" s="125"/>
      <c r="W131" s="125"/>
      <c r="X131" s="125"/>
      <c r="Y131" s="125"/>
      <c r="Z131" s="125"/>
      <c r="AA131" s="125"/>
      <c r="AB131" s="125"/>
      <c r="AC131" s="125">
        <f t="shared" si="265"/>
        <v>192.60263908076391</v>
      </c>
      <c r="AD131" s="129"/>
      <c r="AE131" s="133">
        <v>20.291300882453839</v>
      </c>
      <c r="AF131" s="134">
        <v>8.9499937322616532E-2</v>
      </c>
      <c r="AG131" s="61"/>
      <c r="AH131" s="134"/>
      <c r="AI131" s="134"/>
      <c r="AJ131" s="129">
        <f t="shared" si="216"/>
        <v>192.60263908076391</v>
      </c>
      <c r="AK131" s="134"/>
      <c r="AL131" s="129"/>
      <c r="AM131" s="129"/>
      <c r="AN131" s="129"/>
      <c r="AO131" s="129"/>
      <c r="AP131" s="133"/>
      <c r="AQ131" s="134"/>
      <c r="AR131" s="93"/>
      <c r="AS131" s="93"/>
      <c r="AT131" s="93"/>
      <c r="AU131" s="93"/>
      <c r="AV131" s="93"/>
      <c r="AW131" s="134"/>
      <c r="AX131" s="62"/>
      <c r="AY131" s="93"/>
      <c r="AZ131" s="93"/>
      <c r="BA131" s="93"/>
      <c r="BB131" s="234">
        <f>IFERROR(INDEX('Total Customers'!$E$7:$AA$91,MATCH($C131,'Total Customers'!$C$7:$C$91,0),MATCH($G131,'Total Customers'!$E$5:$AA$5,0)),"NA")</f>
        <v>4236</v>
      </c>
      <c r="BC131" s="411">
        <f t="shared" si="171"/>
        <v>-1.2200996029340832E-2</v>
      </c>
      <c r="BD131" s="92"/>
      <c r="BE131" s="281" t="str">
        <f t="shared" ref="BE131:BE194" si="278">A131</f>
        <v>BLUEFIELD GAS COMPANY</v>
      </c>
      <c r="BF131" s="290">
        <f t="shared" ref="BF131:BF194" si="279">C131</f>
        <v>4058793</v>
      </c>
      <c r="BG131" s="46" t="str">
        <f t="shared" ref="BG131:BG194" si="280">D131</f>
        <v>WV</v>
      </c>
      <c r="BH131" s="46"/>
      <c r="BI131" s="46" t="str">
        <f t="shared" ref="BI131:BI194" si="281">G131</f>
        <v>2001 Y</v>
      </c>
      <c r="BJ131" s="129"/>
      <c r="BK131" s="129"/>
      <c r="BL131" s="129">
        <f>INDEX('Dist. Plant Gas Additions'!$E$7:$AD$91,MATCH($C131,'Dist. Plant Gas Additions'!$C$7:$C$91,0),MATCH(Calculation!$G131,'Dist. Plant Gas Additions'!$E$5:$AD$5,0))</f>
        <v>613</v>
      </c>
      <c r="BM131" s="129">
        <f>INDEX('Gen. Plant Additions'!$E$7:$AD$91,MATCH($C131,'Gen. Plant Additions'!$C$7:$C$91,0),MATCH(Calculation!$G131,'Gen. Plant Additions'!$E$5:$AD$5,0))</f>
        <v>33</v>
      </c>
      <c r="BN131" s="393">
        <f t="shared" si="266"/>
        <v>0.83696763202725721</v>
      </c>
      <c r="BO131" s="46">
        <f t="shared" si="260"/>
        <v>27.619931856899488</v>
      </c>
      <c r="BP131" s="46">
        <f t="shared" si="261"/>
        <v>-5.3800681431005124</v>
      </c>
      <c r="BQ131" s="129"/>
      <c r="BR131" s="129"/>
      <c r="BS131" s="129"/>
      <c r="BT131" s="129"/>
      <c r="BU131" s="129"/>
      <c r="BV131" s="129"/>
      <c r="BW131" s="129"/>
      <c r="BX131" s="129"/>
      <c r="BY131" s="129">
        <f>INDEX('Gross Dx Plant'!$D$7:$AC$91,MATCH($C131,'Gross Dx Plant'!$C$7:$C$91,0),MATCH(Calculation!$G131,'Gross Dx Plant'!$D$5:$AC$5,0))</f>
        <v>4913</v>
      </c>
      <c r="BZ131" s="129">
        <f>INDEX('Gross Gen Plant'!$D$7:$AC$91,MATCH($C131,'Gross Gen Plant'!$C$7:$C$91,0),MATCH(Calculation!$G131,'Gross Gen Plant'!$D$5:$AC$5,0))</f>
        <v>957</v>
      </c>
      <c r="CA131" s="129">
        <f t="shared" si="172"/>
        <v>5870</v>
      </c>
      <c r="CB131" s="129"/>
      <c r="CC131" s="133">
        <v>2001</v>
      </c>
      <c r="CD131" s="129"/>
      <c r="CE131" s="129"/>
      <c r="CF131" s="129"/>
      <c r="CG131" s="137"/>
      <c r="CH131" s="129">
        <f t="shared" si="267"/>
        <v>646</v>
      </c>
      <c r="CI131" s="46">
        <f t="shared" si="276"/>
        <v>640.61993185689948</v>
      </c>
      <c r="CJ131" s="46">
        <f t="shared" si="268"/>
        <v>1.8124902539665715</v>
      </c>
      <c r="CK131" s="443">
        <v>0.96969696969696972</v>
      </c>
      <c r="CL131" s="46">
        <f>+CL128*CK131+CJ129*CK130+CJ130*CK128+CJ131</f>
        <v>19.925495681844801</v>
      </c>
      <c r="CM131" s="134">
        <f t="shared" si="269"/>
        <v>8.5683853955700079E-2</v>
      </c>
      <c r="CN131" s="135">
        <f t="shared" si="270"/>
        <v>9.6392770624310203E-3</v>
      </c>
      <c r="CO131" s="135">
        <f>+(CN131+CN130+CN129)/3</f>
        <v>9.9037020618328985E-3</v>
      </c>
      <c r="CP131" s="134">
        <f>VLOOKUP($H131,RoR!$E:$F,2,FALSE)</f>
        <v>7.0824999999999999E-2</v>
      </c>
      <c r="CQ131" s="135">
        <v>2.2454495382290052E-2</v>
      </c>
      <c r="CR131" s="135">
        <f t="shared" si="277"/>
        <v>4.8370504617709947E-2</v>
      </c>
      <c r="CS131" s="135">
        <f>+$CR$2-CO131</f>
        <v>2.0998239546700728E-2</v>
      </c>
      <c r="CT131" s="135">
        <f>+((DF129/DF128-1)+(DF130/DF129-1)+(DF131/DF130-1))/3</f>
        <v>2.3947275901631187E-2</v>
      </c>
      <c r="CU131" s="139">
        <f t="shared" si="271"/>
        <v>0.85126000000000002</v>
      </c>
      <c r="CV131" s="335">
        <f t="shared" si="272"/>
        <v>0.72406708481540816</v>
      </c>
      <c r="CW131" s="335">
        <f t="shared" si="273"/>
        <v>0.62201729615248857</v>
      </c>
      <c r="CX131" s="335">
        <f t="shared" si="274"/>
        <v>0.9352469954311422</v>
      </c>
      <c r="CY131" s="335">
        <f t="shared" si="275"/>
        <v>0.42121864641655071</v>
      </c>
      <c r="CZ131" s="336">
        <f>INDEX('State Tax Lookup'!$D$7:$Z$91,MATCH(Calculation!$C131,'State Tax Lookup'!$B$7:$B$91,0),MATCH($H131,'State Tax Lookup'!$D$6:$Z$6,0))</f>
        <v>0.40200000000000002</v>
      </c>
      <c r="DA131" s="303">
        <v>0.37</v>
      </c>
      <c r="DB131" s="57">
        <f t="shared" ref="DB131:DB152" si="282">+(DF131*CS131-CT131)*CU131/(1-CZ131)</f>
        <v>10.530891167631763</v>
      </c>
      <c r="DC131" s="56"/>
      <c r="DD131" s="303">
        <f>VLOOKUP($H131,RoR!$E:$F,2,FALSE)</f>
        <v>7.0824999999999999E-2</v>
      </c>
      <c r="DE131" s="304">
        <f>HLOOKUP($H131,'GDP-PI'!$D$8:$CQ$11,3,FALSE)</f>
        <v>2.2454495382290052E-2</v>
      </c>
      <c r="DF131" s="303">
        <f>VLOOKUP(H131,'HW Dx Data'!$E:$F,2,FALSE)</f>
        <v>353.44738017483138</v>
      </c>
      <c r="DG131" s="89"/>
      <c r="DH131" s="89"/>
      <c r="DI131" s="89"/>
      <c r="DJ131" s="56"/>
      <c r="DK131" s="53">
        <f>HLOOKUP(H131,'GDP-PI'!$8:$9,2,FALSE)</f>
        <v>79.822000000000003</v>
      </c>
      <c r="DL131" s="298"/>
      <c r="DP131" s="398"/>
      <c r="DQ131" s="398"/>
      <c r="DR131" s="398"/>
      <c r="DS131" s="398"/>
      <c r="DT131" s="398"/>
      <c r="DU131" s="398"/>
      <c r="DV131" s="398"/>
      <c r="DW131" s="398"/>
      <c r="DX131" s="398"/>
      <c r="EC131"/>
    </row>
    <row r="132" spans="1:133" s="126" customFormat="1" ht="21" customHeight="1" x14ac:dyDescent="0.4">
      <c r="A132" s="233" t="s">
        <v>190</v>
      </c>
      <c r="B132" s="127" t="s">
        <v>190</v>
      </c>
      <c r="C132" s="127">
        <v>4058793</v>
      </c>
      <c r="D132" s="127" t="s">
        <v>191</v>
      </c>
      <c r="E132" s="127"/>
      <c r="F132" s="127"/>
      <c r="G132" s="127" t="s">
        <v>158</v>
      </c>
      <c r="H132" s="128">
        <v>2002</v>
      </c>
      <c r="I132" s="129"/>
      <c r="J132" s="125"/>
      <c r="K132" s="125"/>
      <c r="L132" s="47"/>
      <c r="M132" s="125"/>
      <c r="N132" s="125"/>
      <c r="O132" s="125"/>
      <c r="P132" s="47"/>
      <c r="Q132" s="47"/>
      <c r="R132" s="386"/>
      <c r="S132" s="119"/>
      <c r="T132" s="47"/>
      <c r="U132" s="47"/>
      <c r="V132" s="125"/>
      <c r="W132" s="125"/>
      <c r="X132" s="125"/>
      <c r="Y132" s="125"/>
      <c r="Z132" s="125"/>
      <c r="AA132" s="125"/>
      <c r="AB132" s="125"/>
      <c r="AC132" s="125">
        <f t="shared" si="265"/>
        <v>209.36087357645781</v>
      </c>
      <c r="AD132" s="129"/>
      <c r="AE132" s="133">
        <v>21.645629297505831</v>
      </c>
      <c r="AF132" s="134">
        <v>6.4611287799700781E-2</v>
      </c>
      <c r="AG132" s="61"/>
      <c r="AH132" s="134"/>
      <c r="AI132" s="134"/>
      <c r="AJ132" s="129">
        <f t="shared" si="216"/>
        <v>209.36087357645781</v>
      </c>
      <c r="AK132" s="134"/>
      <c r="AL132" s="129"/>
      <c r="AM132" s="129"/>
      <c r="AN132" s="129"/>
      <c r="AO132" s="129"/>
      <c r="AP132" s="133"/>
      <c r="AQ132" s="134"/>
      <c r="AR132" s="93"/>
      <c r="AS132" s="93"/>
      <c r="AT132" s="93"/>
      <c r="AU132" s="93"/>
      <c r="AV132" s="93"/>
      <c r="AW132" s="134"/>
      <c r="AX132" s="62"/>
      <c r="AY132" s="93"/>
      <c r="AZ132" s="93"/>
      <c r="BA132" s="93"/>
      <c r="BB132" s="234">
        <f>IFERROR(INDEX('Total Customers'!$E$7:$AA$91,MATCH($C132,'Total Customers'!$C$7:$C$91,0),MATCH($G132,'Total Customers'!$E$5:$AA$5,0)),"NA")</f>
        <v>4175</v>
      </c>
      <c r="BC132" s="411">
        <f t="shared" ref="BC132:BC195" si="283">LN(BB132/BB131)</f>
        <v>-1.4505069436341188E-2</v>
      </c>
      <c r="BD132" s="92"/>
      <c r="BE132" s="281" t="str">
        <f t="shared" si="278"/>
        <v>BLUEFIELD GAS COMPANY</v>
      </c>
      <c r="BF132" s="290">
        <f t="shared" si="279"/>
        <v>4058793</v>
      </c>
      <c r="BG132" s="46" t="str">
        <f t="shared" si="280"/>
        <v>WV</v>
      </c>
      <c r="BH132" s="46"/>
      <c r="BI132" s="46" t="str">
        <f t="shared" si="281"/>
        <v>2002 Y</v>
      </c>
      <c r="BJ132" s="129"/>
      <c r="BK132" s="129"/>
      <c r="BL132" s="129">
        <f>INDEX('Dist. Plant Gas Additions'!$E$7:$AD$91,MATCH($C132,'Dist. Plant Gas Additions'!$C$7:$C$91,0),MATCH(Calculation!$G132,'Dist. Plant Gas Additions'!$E$5:$AD$5,0))</f>
        <v>475</v>
      </c>
      <c r="BM132" s="129">
        <f>INDEX('Gen. Plant Additions'!$E$7:$AD$91,MATCH($C132,'Gen. Plant Additions'!$C$7:$C$91,0),MATCH(Calculation!$G132,'Gen. Plant Additions'!$E$5:$AD$5,0))</f>
        <v>57</v>
      </c>
      <c r="BN132" s="393">
        <f t="shared" si="266"/>
        <v>0.8413552881570614</v>
      </c>
      <c r="BO132" s="46">
        <f t="shared" si="260"/>
        <v>47.957251424952503</v>
      </c>
      <c r="BP132" s="46">
        <f t="shared" si="261"/>
        <v>-9.0427485750474972</v>
      </c>
      <c r="BQ132" s="129"/>
      <c r="BR132" s="129"/>
      <c r="BS132" s="129"/>
      <c r="BT132" s="129"/>
      <c r="BU132" s="129"/>
      <c r="BV132" s="129"/>
      <c r="BW132" s="129"/>
      <c r="BX132" s="129"/>
      <c r="BY132" s="129">
        <f>INDEX('Gross Dx Plant'!$D$7:$AC$91,MATCH($C132,'Gross Dx Plant'!$C$7:$C$91,0),MATCH(Calculation!$G132,'Gross Dx Plant'!$D$5:$AC$5,0))</f>
        <v>5314</v>
      </c>
      <c r="BZ132" s="129">
        <f>INDEX('Gross Gen Plant'!$D$7:$AC$91,MATCH($C132,'Gross Gen Plant'!$C$7:$C$91,0),MATCH(Calculation!$G132,'Gross Gen Plant'!$D$5:$AC$5,0))</f>
        <v>1002</v>
      </c>
      <c r="CA132" s="129">
        <f t="shared" si="172"/>
        <v>6316</v>
      </c>
      <c r="CB132" s="129"/>
      <c r="CC132" s="133">
        <v>2002</v>
      </c>
      <c r="CD132" s="129"/>
      <c r="CE132" s="129"/>
      <c r="CF132" s="129"/>
      <c r="CG132" s="137"/>
      <c r="CH132" s="129">
        <f t="shared" si="267"/>
        <v>532</v>
      </c>
      <c r="CI132" s="46">
        <f t="shared" si="276"/>
        <v>522.95725142495246</v>
      </c>
      <c r="CJ132" s="46">
        <f t="shared" si="268"/>
        <v>1.4472392584655356</v>
      </c>
      <c r="CK132" s="443">
        <v>0.95918367346938771</v>
      </c>
      <c r="CL132" s="46">
        <f>+CL128*CK132+CJ129*CK131+CJ130*CK130+CJ131*CK129+CJ132</f>
        <v>21.145467735570254</v>
      </c>
      <c r="CM132" s="134">
        <f t="shared" si="269"/>
        <v>5.942548931692556E-2</v>
      </c>
      <c r="CN132" s="135">
        <f t="shared" si="270"/>
        <v>1.1405849488961936E-2</v>
      </c>
      <c r="CO132" s="135">
        <f t="shared" ref="CO132:CO152" si="284">+(CN132+CN131+CN130)/3</f>
        <v>1.0405321858483564E-2</v>
      </c>
      <c r="CP132" s="134">
        <f>VLOOKUP($H132,RoR!$E:$F,2,FALSE)</f>
        <v>6.4916666666666664E-2</v>
      </c>
      <c r="CQ132" s="135">
        <v>1.5246423291824351E-2</v>
      </c>
      <c r="CR132" s="135">
        <f t="shared" si="277"/>
        <v>4.9670243374842313E-2</v>
      </c>
      <c r="CS132" s="135">
        <f t="shared" ref="CS132:CS152" si="285">+$CR$2-CO132</f>
        <v>2.0496619750050061E-2</v>
      </c>
      <c r="CT132" s="135">
        <f t="shared" ref="CT132:CT152" si="286">+((DF130/DF129-1)+(DF131/DF130-1)+(DF132/DF131-1))/3</f>
        <v>2.5243621214759093E-2</v>
      </c>
      <c r="CU132" s="139">
        <f t="shared" si="271"/>
        <v>0.85126000000000002</v>
      </c>
      <c r="CV132" s="335">
        <f t="shared" si="272"/>
        <v>0.78996741384417901</v>
      </c>
      <c r="CW132" s="335">
        <f t="shared" si="273"/>
        <v>0.58989088575096271</v>
      </c>
      <c r="CX132" s="335">
        <f t="shared" si="274"/>
        <v>0.91920675783645744</v>
      </c>
      <c r="CY132" s="335">
        <f t="shared" si="275"/>
        <v>0.42834536472275586</v>
      </c>
      <c r="CZ132" s="336">
        <f>INDEX('State Tax Lookup'!$D$7:$Z$91,MATCH(Calculation!$C132,'State Tax Lookup'!$B$7:$B$91,0),MATCH($H132,'State Tax Lookup'!$D$6:$Z$6,0))</f>
        <v>0.40200000000000002</v>
      </c>
      <c r="DA132" s="303">
        <v>0.37</v>
      </c>
      <c r="DB132" s="57">
        <f t="shared" si="282"/>
        <v>10.507185212321611</v>
      </c>
      <c r="DC132" s="56">
        <f t="shared" ref="DC132:DC152" si="287">LN(DB132/DB131)</f>
        <v>-2.2536248005962812E-3</v>
      </c>
      <c r="DD132" s="303">
        <f>VLOOKUP($H132,RoR!$E:$F,2,FALSE)</f>
        <v>6.4916666666666664E-2</v>
      </c>
      <c r="DE132" s="304">
        <f>HLOOKUP($H132,'GDP-PI'!$D$8:$CQ$11,3,FALSE)</f>
        <v>1.5246423291824351E-2</v>
      </c>
      <c r="DF132" s="303">
        <f>VLOOKUP(H132,'HW Dx Data'!$E:$F,2,FALSE)</f>
        <v>361.34816573413599</v>
      </c>
      <c r="DG132" s="89"/>
      <c r="DH132" s="89"/>
      <c r="DI132" s="89"/>
      <c r="DJ132" s="56"/>
      <c r="DK132" s="53">
        <f>HLOOKUP(H132,'GDP-PI'!$8:$9,2,FALSE)</f>
        <v>81.039000000000001</v>
      </c>
      <c r="DL132" s="355">
        <f>LN(DK132/DK131)</f>
        <v>1.513136459537477E-2</v>
      </c>
      <c r="DP132" s="398"/>
      <c r="DQ132" s="398"/>
      <c r="DR132" s="398"/>
      <c r="DS132" s="398"/>
      <c r="DT132" s="398"/>
      <c r="DU132" s="398"/>
      <c r="DV132" s="398"/>
      <c r="DW132" s="398"/>
      <c r="DX132" s="398"/>
      <c r="EC132"/>
    </row>
    <row r="133" spans="1:133" s="126" customFormat="1" ht="21" customHeight="1" x14ac:dyDescent="0.4">
      <c r="A133" s="233" t="s">
        <v>190</v>
      </c>
      <c r="B133" s="127" t="s">
        <v>190</v>
      </c>
      <c r="C133" s="127">
        <v>4058793</v>
      </c>
      <c r="D133" s="127" t="s">
        <v>191</v>
      </c>
      <c r="E133" s="127"/>
      <c r="F133" s="127"/>
      <c r="G133" s="127" t="s">
        <v>159</v>
      </c>
      <c r="H133" s="128">
        <v>2003</v>
      </c>
      <c r="I133" s="129"/>
      <c r="J133" s="125"/>
      <c r="K133" s="125"/>
      <c r="L133" s="47"/>
      <c r="M133" s="131"/>
      <c r="N133" s="131"/>
      <c r="O133" s="131"/>
      <c r="P133" s="59"/>
      <c r="Q133" s="59"/>
      <c r="R133" s="386"/>
      <c r="S133" s="119"/>
      <c r="T133" s="59"/>
      <c r="U133" s="59"/>
      <c r="V133" s="125"/>
      <c r="W133" s="125"/>
      <c r="X133" s="125"/>
      <c r="Y133" s="125"/>
      <c r="Z133" s="125"/>
      <c r="AA133" s="125"/>
      <c r="AB133" s="125"/>
      <c r="AC133" s="125">
        <f t="shared" si="265"/>
        <v>224.30052656116189</v>
      </c>
      <c r="AD133" s="129"/>
      <c r="AE133" s="133">
        <v>23.152213919952004</v>
      </c>
      <c r="AF133" s="134">
        <v>6.7286855605705825E-2</v>
      </c>
      <c r="AG133" s="61"/>
      <c r="AH133" s="134"/>
      <c r="AI133" s="134"/>
      <c r="AJ133" s="129">
        <f t="shared" si="216"/>
        <v>224.30052656116189</v>
      </c>
      <c r="AK133" s="134"/>
      <c r="AL133" s="129"/>
      <c r="AM133" s="129"/>
      <c r="AN133" s="129"/>
      <c r="AO133" s="129"/>
      <c r="AP133" s="133"/>
      <c r="AQ133" s="134"/>
      <c r="AR133" s="93"/>
      <c r="AS133" s="93"/>
      <c r="AT133" s="93"/>
      <c r="AU133" s="93"/>
      <c r="AV133" s="93"/>
      <c r="AW133" s="134"/>
      <c r="AX133" s="62"/>
      <c r="AY133" s="93"/>
      <c r="AZ133" s="93"/>
      <c r="BA133" s="93"/>
      <c r="BB133" s="234">
        <f>IFERROR(INDEX('Total Customers'!$E$7:$AA$91,MATCH($C133,'Total Customers'!$C$7:$C$91,0),MATCH($G133,'Total Customers'!$E$5:$AA$5,0)),"NA")</f>
        <v>4136</v>
      </c>
      <c r="BC133" s="411">
        <f t="shared" si="283"/>
        <v>-9.3852210966907778E-3</v>
      </c>
      <c r="BD133" s="92"/>
      <c r="BE133" s="281" t="str">
        <f t="shared" si="278"/>
        <v>BLUEFIELD GAS COMPANY</v>
      </c>
      <c r="BF133" s="290">
        <f t="shared" si="279"/>
        <v>4058793</v>
      </c>
      <c r="BG133" s="46" t="str">
        <f t="shared" si="280"/>
        <v>WV</v>
      </c>
      <c r="BH133" s="46"/>
      <c r="BI133" s="46" t="str">
        <f t="shared" si="281"/>
        <v>2003 Y</v>
      </c>
      <c r="BJ133" s="129"/>
      <c r="BK133" s="129"/>
      <c r="BL133" s="129">
        <f>INDEX('Dist. Plant Gas Additions'!$E$7:$AD$91,MATCH($C133,'Dist. Plant Gas Additions'!$C$7:$C$91,0),MATCH(Calculation!$G133,'Dist. Plant Gas Additions'!$E$5:$AD$5,0))</f>
        <v>391</v>
      </c>
      <c r="BM133" s="129">
        <f>INDEX('Gen. Plant Additions'!$E$7:$AD$91,MATCH($C133,'Gen. Plant Additions'!$C$7:$C$91,0),MATCH(Calculation!$G133,'Gen. Plant Additions'!$E$5:$AD$5,0))</f>
        <v>210</v>
      </c>
      <c r="BN133" s="393">
        <f t="shared" si="266"/>
        <v>0.83416937149601655</v>
      </c>
      <c r="BO133" s="46">
        <f t="shared" si="260"/>
        <v>175.17556801416347</v>
      </c>
      <c r="BP133" s="46">
        <f t="shared" si="261"/>
        <v>-34.824431985836526</v>
      </c>
      <c r="BQ133" s="129">
        <f>INDEX('Dist Plant Depreciation'!$D$7:$AC$94,MATCH($C133,'Dist Plant Depreciation'!$C$7:$C$94,0),MATCH(Calculation!$G133,'Dist Plant Depreciation'!$D$5:$AC$5,0))</f>
        <v>1719</v>
      </c>
      <c r="BR133" s="129">
        <f>INDEX('Gen. Plant Depreciation'!$D$7:$AC$94,MATCH($C133,'Gen. Plant Depreciation'!$C$7:$C$94,0),MATCH(Calculation!$G133,'Gen. Plant Depreciation'!$D$5:$AC$5,0))</f>
        <v>353</v>
      </c>
      <c r="BS133" s="129"/>
      <c r="BT133" s="129"/>
      <c r="BU133" s="129"/>
      <c r="BV133" s="129"/>
      <c r="BW133" s="129"/>
      <c r="BX133" s="129"/>
      <c r="BY133" s="129">
        <f>INDEX('Gross Dx Plant'!$D$7:$AC$91,MATCH($C133,'Gross Dx Plant'!$C$7:$C$91,0),MATCH(Calculation!$G133,'Gross Dx Plant'!$D$5:$AC$5,0))</f>
        <v>5654</v>
      </c>
      <c r="BZ133" s="129">
        <f>INDEX('Gross Gen Plant'!$D$7:$AC$91,MATCH($C133,'Gross Gen Plant'!$C$7:$C$91,0),MATCH(Calculation!$G133,'Gross Gen Plant'!$D$5:$AC$5,0))</f>
        <v>1124</v>
      </c>
      <c r="CA133" s="129">
        <f t="shared" si="172"/>
        <v>4706</v>
      </c>
      <c r="CB133" s="129"/>
      <c r="CC133" s="133">
        <v>2003</v>
      </c>
      <c r="CD133" s="129"/>
      <c r="CE133" s="129"/>
      <c r="CF133" s="129"/>
      <c r="CG133" s="137"/>
      <c r="CH133" s="129">
        <f t="shared" si="267"/>
        <v>601</v>
      </c>
      <c r="CI133" s="46">
        <f t="shared" si="276"/>
        <v>566.17556801416345</v>
      </c>
      <c r="CJ133" s="46">
        <f t="shared" si="268"/>
        <v>1.5333828536859688</v>
      </c>
      <c r="CK133" s="443">
        <v>0.94845360824742264</v>
      </c>
      <c r="CL133" s="46">
        <f>+CL128*CK133+CJ129*CK132+CJ130*CK131+CJ131*CK130+CJ132*CK129+CJ133</f>
        <v>22.447459805556186</v>
      </c>
      <c r="CM133" s="134">
        <f t="shared" si="269"/>
        <v>5.9751867747245314E-2</v>
      </c>
      <c r="CN133" s="135">
        <f t="shared" si="270"/>
        <v>1.0942807536519914E-2</v>
      </c>
      <c r="CO133" s="135">
        <f t="shared" si="284"/>
        <v>1.0662644695970955E-2</v>
      </c>
      <c r="CP133" s="134">
        <f>VLOOKUP($H133,RoR!$E:$F,2,FALSE)</f>
        <v>5.6666666666666671E-2</v>
      </c>
      <c r="CQ133" s="135">
        <v>1.8855119140166909E-2</v>
      </c>
      <c r="CR133" s="135">
        <f t="shared" si="277"/>
        <v>3.7811547526499761E-2</v>
      </c>
      <c r="CS133" s="135">
        <f t="shared" si="285"/>
        <v>2.0239296912562668E-2</v>
      </c>
      <c r="CT133" s="135">
        <f t="shared" si="286"/>
        <v>2.1375012817671957E-2</v>
      </c>
      <c r="CU133" s="139">
        <f t="shared" si="271"/>
        <v>0.85126000000000002</v>
      </c>
      <c r="CV133" s="335">
        <f t="shared" si="272"/>
        <v>0.90497737556561086</v>
      </c>
      <c r="CW133" s="335">
        <f t="shared" si="273"/>
        <v>0.5338235294117647</v>
      </c>
      <c r="CX133" s="335">
        <f t="shared" si="274"/>
        <v>0.88972433127405692</v>
      </c>
      <c r="CY133" s="335">
        <f t="shared" si="275"/>
        <v>0.42982423775949252</v>
      </c>
      <c r="CZ133" s="336">
        <f>INDEX('State Tax Lookup'!$D$7:$Z$91,MATCH(Calculation!$C133,'State Tax Lookup'!$B$7:$B$91,0),MATCH($H133,'State Tax Lookup'!$D$6:$Z$6,0))</f>
        <v>0.40200000000000002</v>
      </c>
      <c r="DA133" s="303">
        <v>0.37</v>
      </c>
      <c r="DB133" s="57">
        <f t="shared" si="282"/>
        <v>10.607498938595265</v>
      </c>
      <c r="DC133" s="56">
        <f t="shared" si="287"/>
        <v>9.5018689642920144E-3</v>
      </c>
      <c r="DD133" s="303">
        <f>VLOOKUP($H133,RoR!$E:$F,2,FALSE)</f>
        <v>5.6666666666666671E-2</v>
      </c>
      <c r="DE133" s="304">
        <f>HLOOKUP($H133,'GDP-PI'!$D$8:$CQ$11,3,FALSE)</f>
        <v>1.8855119140166909E-2</v>
      </c>
      <c r="DF133" s="303">
        <f>VLOOKUP(H133,'HW Dx Data'!$E:$F,2,FALSE)</f>
        <v>369.23301095560191</v>
      </c>
      <c r="DG133" s="89">
        <f ca="1">VLOOKUP(CC133,'ECI - Input Price'!M$13:N$33,2,FALSE)</f>
        <v>89.25</v>
      </c>
      <c r="DH133" s="89"/>
      <c r="DI133" s="89"/>
      <c r="DJ133" s="56"/>
      <c r="DK133" s="53">
        <f>HLOOKUP(H133,'GDP-PI'!$8:$9,2,FALSE)</f>
        <v>82.566999999999993</v>
      </c>
      <c r="DL133" s="355">
        <f t="shared" ref="DL133:DL152" si="288">LN(DK133/DK132)</f>
        <v>1.8679564681853753E-2</v>
      </c>
      <c r="DP133" s="398"/>
      <c r="DQ133" s="398"/>
      <c r="DR133" s="398"/>
      <c r="DS133" s="398"/>
      <c r="DT133" s="398"/>
      <c r="DU133" s="398"/>
      <c r="DV133" s="398"/>
      <c r="DW133" s="398"/>
      <c r="DX133" s="398"/>
      <c r="EC133"/>
    </row>
    <row r="134" spans="1:133" s="126" customFormat="1" ht="21" customHeight="1" x14ac:dyDescent="0.4">
      <c r="A134" s="233" t="s">
        <v>190</v>
      </c>
      <c r="B134" s="127" t="s">
        <v>190</v>
      </c>
      <c r="C134" s="127">
        <v>4058793</v>
      </c>
      <c r="D134" s="127" t="s">
        <v>191</v>
      </c>
      <c r="E134" s="127"/>
      <c r="F134" s="127"/>
      <c r="G134" s="127" t="s">
        <v>160</v>
      </c>
      <c r="H134" s="128">
        <v>2004</v>
      </c>
      <c r="I134" s="129"/>
      <c r="J134" s="125">
        <f>IFERROR(INDEX('Labor Expenditures'!$E$7:$W$91,MATCH($C134,'Labor Expenditures'!$C$7:$C$91,0),MATCH($G134,'Labor Expenditures'!$E$5:$W$5,0)),"NA")</f>
        <v>389.36101945422627</v>
      </c>
      <c r="K134" s="125">
        <f t="shared" ref="K134:K152" ca="1" si="289">+J134/DG134</f>
        <v>4.1267728612000667</v>
      </c>
      <c r="L134" s="47"/>
      <c r="M134" s="131"/>
      <c r="N134" s="131"/>
      <c r="O134" s="131"/>
      <c r="P134" s="59"/>
      <c r="Q134" s="59"/>
      <c r="R134" s="386"/>
      <c r="S134" s="119"/>
      <c r="T134" s="59"/>
      <c r="U134" s="59"/>
      <c r="V134" s="125">
        <f>IFERROR(INDEX('Non-Labor Expenditures'!$E$7:$AA$91,MATCH($C134,'Non-Labor Expenditures'!$C$7:$C$91,0),MATCH($G134,'Non-Labor Expenditures'!$E$5:$AA$5,0)),"NA")</f>
        <v>563.86747877683388</v>
      </c>
      <c r="W134" s="125">
        <f t="shared" ref="W134:W152" si="290">+V134/DK134</f>
        <v>6.6511061687800357</v>
      </c>
      <c r="X134" s="125"/>
      <c r="Y134" s="125"/>
      <c r="Z134" s="125"/>
      <c r="AA134" s="125"/>
      <c r="AB134" s="125"/>
      <c r="AC134" s="125">
        <f t="shared" si="265"/>
        <v>259.64603692674638</v>
      </c>
      <c r="AD134" s="129"/>
      <c r="AE134" s="133">
        <v>24.822036081006072</v>
      </c>
      <c r="AF134" s="134">
        <v>6.9641400645210766E-2</v>
      </c>
      <c r="AG134" s="59">
        <f t="shared" ref="AG134:AG152" si="291">+AF134*$AX134</f>
        <v>0</v>
      </c>
      <c r="AH134" s="134"/>
      <c r="AI134" s="134"/>
      <c r="AJ134" s="129">
        <f t="shared" si="216"/>
        <v>1212.8745351578066</v>
      </c>
      <c r="AK134" s="134"/>
      <c r="AL134" s="129"/>
      <c r="AM134" s="129"/>
      <c r="AN134" s="129"/>
      <c r="AO134" s="129"/>
      <c r="AP134" s="133"/>
      <c r="AQ134" s="134"/>
      <c r="AR134" s="93">
        <f t="shared" ref="AR134:AR152" si="292">+J134/AJ134</f>
        <v>0.32102332777855436</v>
      </c>
      <c r="AS134" s="93">
        <f t="shared" ref="AS134:AS152" si="293">+V134/AJ134</f>
        <v>0.46490173751027702</v>
      </c>
      <c r="AT134" s="93">
        <f t="shared" ref="AT134:AT152" si="294">+AC134/AJ134</f>
        <v>0.21407493471116856</v>
      </c>
      <c r="AU134" s="93"/>
      <c r="AV134" s="93"/>
      <c r="AW134" s="134"/>
      <c r="AX134" s="62"/>
      <c r="AY134" s="93"/>
      <c r="AZ134" s="93"/>
      <c r="BA134" s="93"/>
      <c r="BB134" s="234">
        <f>IFERROR(INDEX('Total Customers'!$E$7:$AA$91,MATCH($C134,'Total Customers'!$C$7:$C$91,0),MATCH($G134,'Total Customers'!$E$5:$AA$5,0)),"NA")</f>
        <v>3980</v>
      </c>
      <c r="BC134" s="411">
        <f t="shared" si="283"/>
        <v>-3.8447317909781682E-2</v>
      </c>
      <c r="BD134" s="92"/>
      <c r="BE134" s="281" t="str">
        <f t="shared" si="278"/>
        <v>BLUEFIELD GAS COMPANY</v>
      </c>
      <c r="BF134" s="290">
        <f t="shared" si="279"/>
        <v>4058793</v>
      </c>
      <c r="BG134" s="46" t="str">
        <f t="shared" si="280"/>
        <v>WV</v>
      </c>
      <c r="BH134" s="46"/>
      <c r="BI134" s="46" t="str">
        <f t="shared" si="281"/>
        <v>2004 Y</v>
      </c>
      <c r="BJ134" s="129"/>
      <c r="BK134" s="129"/>
      <c r="BL134" s="129">
        <f>INDEX('Dist. Plant Gas Additions'!$E$7:$AD$91,MATCH($C134,'Dist. Plant Gas Additions'!$C$7:$C$91,0),MATCH(Calculation!$G134,'Dist. Plant Gas Additions'!$E$5:$AD$5,0))</f>
        <v>748</v>
      </c>
      <c r="BM134" s="129">
        <f>INDEX('Gen. Plant Additions'!$E$7:$AD$91,MATCH($C134,'Gen. Plant Additions'!$C$7:$C$91,0),MATCH(Calculation!$G134,'Gen. Plant Additions'!$E$5:$AD$5,0))</f>
        <v>0</v>
      </c>
      <c r="BN134" s="393">
        <f t="shared" si="266"/>
        <v>0.85772801747678862</v>
      </c>
      <c r="BO134" s="46">
        <f t="shared" si="260"/>
        <v>0</v>
      </c>
      <c r="BP134" s="46">
        <f t="shared" si="261"/>
        <v>0</v>
      </c>
      <c r="BQ134" s="129">
        <f>INDEX('Dist Plant Depreciation'!$D$7:$AC$94,MATCH($C134,'Dist Plant Depreciation'!$C$7:$C$94,0),MATCH(Calculation!$G134,'Dist Plant Depreciation'!$D$5:$AC$5,0))</f>
        <v>1782</v>
      </c>
      <c r="BR134" s="129">
        <f>INDEX('Gen. Plant Depreciation'!$D$7:$AC$94,MATCH($C134,'Gen. Plant Depreciation'!$C$7:$C$94,0),MATCH(Calculation!$G134,'Gen. Plant Depreciation'!$D$5:$AC$5,0))</f>
        <v>347</v>
      </c>
      <c r="BS134" s="129"/>
      <c r="BT134" s="129"/>
      <c r="BU134" s="129"/>
      <c r="BV134" s="129"/>
      <c r="BW134" s="129"/>
      <c r="BX134" s="129"/>
      <c r="BY134" s="129">
        <f>INDEX('Gross Dx Plant'!$D$7:$AC$91,MATCH($C134,'Gross Dx Plant'!$C$7:$C$91,0),MATCH(Calculation!$G134,'Gross Dx Plant'!$D$5:$AC$5,0))</f>
        <v>6282</v>
      </c>
      <c r="BZ134" s="129">
        <f>INDEX('Gross Gen Plant'!$D$7:$AC$91,MATCH($C134,'Gross Gen Plant'!$C$7:$C$91,0),MATCH(Calculation!$G134,'Gross Gen Plant'!$D$5:$AC$5,0))</f>
        <v>1042</v>
      </c>
      <c r="CA134" s="129">
        <f t="shared" si="172"/>
        <v>5195</v>
      </c>
      <c r="CB134" s="129"/>
      <c r="CC134" s="133">
        <v>2004</v>
      </c>
      <c r="CD134" s="129"/>
      <c r="CE134" s="129"/>
      <c r="CF134" s="129"/>
      <c r="CG134" s="137"/>
      <c r="CH134" s="129">
        <f t="shared" si="267"/>
        <v>748</v>
      </c>
      <c r="CI134" s="46">
        <f t="shared" si="276"/>
        <v>748</v>
      </c>
      <c r="CJ134" s="46">
        <f t="shared" si="268"/>
        <v>1.80289971729898</v>
      </c>
      <c r="CK134" s="443">
        <v>0.9375</v>
      </c>
      <c r="CL134" s="46">
        <f>+CL128*CK134+CJ129*CK133+CJ130*CK132+CJ131*CK131+CJ132*CK130+CJ133*CK129+CJ134</f>
        <v>23.998999773940479</v>
      </c>
      <c r="CM134" s="134">
        <f t="shared" si="269"/>
        <v>6.6834694580223189E-2</v>
      </c>
      <c r="CN134" s="135">
        <f t="shared" si="270"/>
        <v>1.1197692348800638E-2</v>
      </c>
      <c r="CO134" s="135">
        <f t="shared" si="284"/>
        <v>1.1182116458094164E-2</v>
      </c>
      <c r="CP134" s="134">
        <f>VLOOKUP($H134,RoR!$E:$F,2,FALSE)</f>
        <v>5.6283333333333331E-2</v>
      </c>
      <c r="CQ134" s="135">
        <v>2.6778252812867276E-2</v>
      </c>
      <c r="CR134" s="135">
        <f t="shared" si="277"/>
        <v>2.9505080520466055E-2</v>
      </c>
      <c r="CS134" s="135">
        <f t="shared" si="285"/>
        <v>1.9719825150439463E-2</v>
      </c>
      <c r="CT134" s="135">
        <f t="shared" si="286"/>
        <v>5.5940039414565046E-2</v>
      </c>
      <c r="CU134" s="139">
        <f t="shared" si="271"/>
        <v>0.85126000000000002</v>
      </c>
      <c r="CV134" s="335">
        <f t="shared" si="272"/>
        <v>0.91114097628755619</v>
      </c>
      <c r="CW134" s="335">
        <f t="shared" si="273"/>
        <v>0.53081877405981637</v>
      </c>
      <c r="CX134" s="335">
        <f t="shared" si="274"/>
        <v>0.88811215519385678</v>
      </c>
      <c r="CY134" s="335">
        <f t="shared" si="275"/>
        <v>0.42953609753547711</v>
      </c>
      <c r="CZ134" s="336">
        <f>INDEX('State Tax Lookup'!$D$7:$Z$91,MATCH(Calculation!$C134,'State Tax Lookup'!$B$7:$B$91,0),MATCH($H134,'State Tax Lookup'!$D$6:$Z$6,0))</f>
        <v>0.40200000000000002</v>
      </c>
      <c r="DA134" s="303">
        <v>0.37</v>
      </c>
      <c r="DB134" s="57">
        <f t="shared" si="282"/>
        <v>11.566833805510543</v>
      </c>
      <c r="DC134" s="56">
        <f t="shared" si="287"/>
        <v>8.6580650191828007E-2</v>
      </c>
      <c r="DD134" s="303">
        <f>VLOOKUP($H134,RoR!$E:$F,2,FALSE)</f>
        <v>5.6283333333333331E-2</v>
      </c>
      <c r="DE134" s="304">
        <f>HLOOKUP($H134,'GDP-PI'!$D$8:$CQ$11,3,FALSE)</f>
        <v>2.6778252812867276E-2</v>
      </c>
      <c r="DF134" s="303">
        <f>VLOOKUP(H134,'HW Dx Data'!$E:$F,2,FALSE)</f>
        <v>414.88719135228365</v>
      </c>
      <c r="DG134" s="89">
        <f ca="1">VLOOKUP(CC134,'ECI - Input Price'!M$13:N$33,2,FALSE)</f>
        <v>94.35</v>
      </c>
      <c r="DH134" s="89"/>
      <c r="DI134" s="89"/>
      <c r="DJ134" s="56">
        <f t="shared" ref="DJ134:DJ152" ca="1" si="295">LN(DG134/DG133)</f>
        <v>5.5569851154810786E-2</v>
      </c>
      <c r="DK134" s="53">
        <f>HLOOKUP(H134,'GDP-PI'!$8:$9,2,FALSE)</f>
        <v>84.778000000000006</v>
      </c>
      <c r="DL134" s="355">
        <f t="shared" si="288"/>
        <v>2.6425990216022755E-2</v>
      </c>
      <c r="DP134" s="398"/>
      <c r="DQ134" s="398"/>
      <c r="DR134" s="398"/>
      <c r="DS134" s="398"/>
      <c r="DT134" s="398"/>
      <c r="DU134" s="398"/>
      <c r="DV134" s="398"/>
      <c r="DW134" s="398"/>
      <c r="DX134" s="398"/>
      <c r="EC134"/>
    </row>
    <row r="135" spans="1:133" s="126" customFormat="1" ht="21" customHeight="1" x14ac:dyDescent="0.4">
      <c r="A135" s="233" t="s">
        <v>190</v>
      </c>
      <c r="B135" s="127" t="s">
        <v>190</v>
      </c>
      <c r="C135" s="127">
        <v>4058793</v>
      </c>
      <c r="D135" s="127" t="s">
        <v>191</v>
      </c>
      <c r="E135" s="127"/>
      <c r="F135" s="127"/>
      <c r="G135" s="127" t="s">
        <v>161</v>
      </c>
      <c r="H135" s="128">
        <v>2005</v>
      </c>
      <c r="I135" s="129"/>
      <c r="J135" s="125">
        <f>IFERROR(INDEX('Labor Expenditures'!$E$7:$W$91,MATCH($C135,'Labor Expenditures'!$C$7:$C$91,0),MATCH($G135,'Labor Expenditures'!$E$5:$W$5,0)),"NA")</f>
        <v>362.92232194645453</v>
      </c>
      <c r="K135" s="125">
        <f t="shared" ca="1" si="289"/>
        <v>3.6575693821764128</v>
      </c>
      <c r="L135" s="47"/>
      <c r="M135" s="131">
        <f t="shared" ref="M135:M151" ca="1" si="296">LN(K135/K134)</f>
        <v>-0.12069688842051822</v>
      </c>
      <c r="N135" s="59"/>
      <c r="O135" s="59"/>
      <c r="P135" s="59"/>
      <c r="Q135" s="61"/>
      <c r="R135" s="387"/>
      <c r="S135" s="49">
        <v>100</v>
      </c>
      <c r="T135" s="46"/>
      <c r="U135" s="46"/>
      <c r="V135" s="125">
        <f>IFERROR(INDEX('Non-Labor Expenditures'!$E$7:$AA$91,MATCH($C135,'Non-Labor Expenditures'!$C$7:$C$91,0),MATCH($G135,'Non-Labor Expenditures'!$E$5:$AA$5,0)),"NA")</f>
        <v>525.57930671804058</v>
      </c>
      <c r="W135" s="125">
        <f t="shared" si="290"/>
        <v>6.0130116205571706</v>
      </c>
      <c r="X135" s="131">
        <f>LN(W135/W134)</f>
        <v>-0.10085745737668182</v>
      </c>
      <c r="Y135" s="131"/>
      <c r="Z135" s="131"/>
      <c r="AA135" s="131"/>
      <c r="AB135" s="131"/>
      <c r="AC135" s="125">
        <f t="shared" si="265"/>
        <v>312.78857901634115</v>
      </c>
      <c r="AD135" s="129"/>
      <c r="AE135" s="133">
        <v>26.101505183343161</v>
      </c>
      <c r="AF135" s="134">
        <v>5.026117222962128E-2</v>
      </c>
      <c r="AG135" s="59">
        <f t="shared" si="291"/>
        <v>0</v>
      </c>
      <c r="AH135" s="134"/>
      <c r="AI135" s="134"/>
      <c r="AJ135" s="129">
        <f t="shared" si="216"/>
        <v>1201.2902076808364</v>
      </c>
      <c r="AK135" s="134">
        <f>LN(AJ135/AJ134)</f>
        <v>-9.5970388300600628E-3</v>
      </c>
      <c r="AL135" s="129"/>
      <c r="AM135" s="129"/>
      <c r="AN135" s="129"/>
      <c r="AO135" s="129"/>
      <c r="AP135" s="133"/>
      <c r="AQ135" s="134"/>
      <c r="AR135" s="93">
        <f t="shared" si="292"/>
        <v>0.30211044727243558</v>
      </c>
      <c r="AS135" s="93">
        <f t="shared" si="293"/>
        <v>0.43751235409860145</v>
      </c>
      <c r="AT135" s="93">
        <f t="shared" si="294"/>
        <v>0.26037719862896286</v>
      </c>
      <c r="AU135" s="93">
        <f t="shared" ref="AU135:AU151" ca="1" si="297">+(((AR135+AR134)/2)*M135+((AS134+AS135)/2)*X135+((AT134+AT135)/2)*AF135)</f>
        <v>-7.1189489055212773E-2</v>
      </c>
      <c r="AV135" s="132">
        <v>100</v>
      </c>
      <c r="AW135" s="134"/>
      <c r="AX135" s="15"/>
      <c r="AY135" s="93"/>
      <c r="AZ135" s="93"/>
      <c r="BA135" s="93"/>
      <c r="BB135" s="234">
        <f>IFERROR(INDEX('Total Customers'!$E$7:$AA$91,MATCH($C135,'Total Customers'!$C$7:$C$91,0),MATCH($G135,'Total Customers'!$E$5:$AA$5,0)),"NA")</f>
        <v>3886</v>
      </c>
      <c r="BC135" s="411">
        <f t="shared" si="283"/>
        <v>-2.3901468341097951E-2</v>
      </c>
      <c r="BD135" s="92"/>
      <c r="BE135" s="281" t="str">
        <f t="shared" si="278"/>
        <v>BLUEFIELD GAS COMPANY</v>
      </c>
      <c r="BF135" s="290">
        <f t="shared" si="279"/>
        <v>4058793</v>
      </c>
      <c r="BG135" s="46" t="str">
        <f t="shared" si="280"/>
        <v>WV</v>
      </c>
      <c r="BH135" s="46"/>
      <c r="BI135" s="46" t="str">
        <f t="shared" si="281"/>
        <v>2005 Y</v>
      </c>
      <c r="BJ135" s="129"/>
      <c r="BK135" s="129"/>
      <c r="BL135" s="129">
        <f>INDEX('Dist. Plant Gas Additions'!$E$7:$AD$91,MATCH($C135,'Dist. Plant Gas Additions'!$C$7:$C$91,0),MATCH(Calculation!$G135,'Dist. Plant Gas Additions'!$E$5:$AD$5,0))</f>
        <v>652</v>
      </c>
      <c r="BM135" s="129">
        <f>INDEX('Gen. Plant Additions'!$E$7:$AD$91,MATCH($C135,'Gen. Plant Additions'!$C$7:$C$91,0),MATCH(Calculation!$G135,'Gen. Plant Additions'!$E$5:$AD$5,0))</f>
        <v>17</v>
      </c>
      <c r="BN135" s="393">
        <f t="shared" si="266"/>
        <v>0.87143966856551014</v>
      </c>
      <c r="BO135" s="46">
        <f t="shared" si="260"/>
        <v>14.814474365613673</v>
      </c>
      <c r="BP135" s="46">
        <f t="shared" si="261"/>
        <v>-2.1855256343863267</v>
      </c>
      <c r="BQ135" s="129">
        <f>INDEX('Dist Plant Depreciation'!$D$7:$AC$94,MATCH($C135,'Dist Plant Depreciation'!$C$7:$C$94,0),MATCH(Calculation!$G135,'Dist Plant Depreciation'!$D$5:$AC$5,0))</f>
        <v>1749</v>
      </c>
      <c r="BR135" s="129">
        <f>INDEX('Gen. Plant Depreciation'!$D$7:$AC$94,MATCH($C135,'Gen. Plant Depreciation'!$C$7:$C$94,0),MATCH(Calculation!$G135,'Gen. Plant Depreciation'!$D$5:$AC$5,0))</f>
        <v>349</v>
      </c>
      <c r="BS135" s="129"/>
      <c r="BT135" s="129"/>
      <c r="BU135" s="129"/>
      <c r="BV135" s="129"/>
      <c r="BW135" s="129"/>
      <c r="BX135" s="129"/>
      <c r="BY135" s="129">
        <f>INDEX('Gross Dx Plant'!$D$7:$AC$91,MATCH($C135,'Gross Dx Plant'!$C$7:$C$91,0),MATCH(Calculation!$G135,'Gross Dx Plant'!$D$5:$AC$5,0))</f>
        <v>6731</v>
      </c>
      <c r="BZ135" s="129">
        <f>INDEX('Gross Gen Plant'!$D$7:$AC$91,MATCH($C135,'Gross Gen Plant'!$C$7:$C$91,0),MATCH(Calculation!$G135,'Gross Gen Plant'!$D$5:$AC$5,0))</f>
        <v>993</v>
      </c>
      <c r="CA135" s="129">
        <f t="shared" si="172"/>
        <v>5626</v>
      </c>
      <c r="CB135" s="129"/>
      <c r="CC135" s="133">
        <v>2005</v>
      </c>
      <c r="CD135" s="129"/>
      <c r="CE135" s="129"/>
      <c r="CF135" s="129"/>
      <c r="CG135" s="137"/>
      <c r="CH135" s="129">
        <f t="shared" si="267"/>
        <v>669</v>
      </c>
      <c r="CI135" s="46">
        <f t="shared" si="276"/>
        <v>666.81447436561371</v>
      </c>
      <c r="CJ135" s="46">
        <f t="shared" si="268"/>
        <v>1.4211576494432998</v>
      </c>
      <c r="CK135" s="443">
        <v>0.9263157894736842</v>
      </c>
      <c r="CL135" s="46">
        <f>+CL128*CK135+CJ129*CK134+CJ130*CK133+CJ131*CK132+CJ132*CK131+CJ133*CK130+CJ134*CK129+CJ135</f>
        <v>25.145706460981987</v>
      </c>
      <c r="CM135" s="134">
        <f t="shared" si="269"/>
        <v>4.6675011321061138E-2</v>
      </c>
      <c r="CN135" s="135">
        <f t="shared" si="270"/>
        <v>1.1435933371681873E-2</v>
      </c>
      <c r="CO135" s="135">
        <f t="shared" si="284"/>
        <v>1.1192144419000807E-2</v>
      </c>
      <c r="CP135" s="134">
        <f>VLOOKUP($H135,RoR!$E:$F,2,FALSE)</f>
        <v>5.2350000000000001E-2</v>
      </c>
      <c r="CQ135" s="135">
        <v>3.1010403642454332E-2</v>
      </c>
      <c r="CR135" s="135">
        <f t="shared" si="277"/>
        <v>2.1339596357545669E-2</v>
      </c>
      <c r="CS135" s="135">
        <f t="shared" si="285"/>
        <v>1.9709797189532818E-2</v>
      </c>
      <c r="CT135" s="135">
        <f t="shared" si="286"/>
        <v>9.2129610649277341E-2</v>
      </c>
      <c r="CU135" s="139">
        <f t="shared" si="271"/>
        <v>0.85126000000000002</v>
      </c>
      <c r="CV135" s="335">
        <f t="shared" si="272"/>
        <v>0.97959983346802826</v>
      </c>
      <c r="CW135" s="335">
        <f t="shared" si="273"/>
        <v>0.49744508118433622</v>
      </c>
      <c r="CX135" s="335">
        <f t="shared" si="274"/>
        <v>0.87010519444335932</v>
      </c>
      <c r="CY135" s="335">
        <f t="shared" si="275"/>
        <v>0.42399975420741998</v>
      </c>
      <c r="CZ135" s="336">
        <f>INDEX('State Tax Lookup'!$D$7:$Z$91,MATCH(Calculation!$C135,'State Tax Lookup'!$B$7:$B$91,0),MATCH($H135,'State Tax Lookup'!$D$6:$Z$6,0))</f>
        <v>0.40200000000000002</v>
      </c>
      <c r="DA135" s="303">
        <v>0.37</v>
      </c>
      <c r="DB135" s="57">
        <f t="shared" si="282"/>
        <v>13.033400640137732</v>
      </c>
      <c r="DC135" s="56">
        <f t="shared" si="287"/>
        <v>0.11937349429037489</v>
      </c>
      <c r="DD135" s="303">
        <f>VLOOKUP($H135,RoR!$E:$F,2,FALSE)</f>
        <v>5.2350000000000001E-2</v>
      </c>
      <c r="DE135" s="304">
        <f>HLOOKUP($H135,'GDP-PI'!$D$8:$CQ$11,3,FALSE)</f>
        <v>3.1010403642454332E-2</v>
      </c>
      <c r="DF135" s="303">
        <f>VLOOKUP(H135,'HW Dx Data'!$E:$F,2,FALSE)</f>
        <v>469.20514034936258</v>
      </c>
      <c r="DG135" s="89">
        <f ca="1">VLOOKUP(CC135,'ECI - Input Price'!M$13:N$33,2,FALSE)</f>
        <v>99.224999999999994</v>
      </c>
      <c r="DH135" s="89"/>
      <c r="DI135" s="89"/>
      <c r="DJ135" s="56">
        <f t="shared" ca="1" si="295"/>
        <v>5.0378726854569796E-2</v>
      </c>
      <c r="DK135" s="53">
        <f>HLOOKUP(H135,'GDP-PI'!$8:$9,2,FALSE)</f>
        <v>87.406999999999996</v>
      </c>
      <c r="DL135" s="355">
        <f t="shared" si="288"/>
        <v>3.0539295810733648E-2</v>
      </c>
      <c r="DP135" s="398"/>
      <c r="DQ135" s="398"/>
      <c r="DR135" s="398"/>
      <c r="DS135" s="398"/>
      <c r="DT135" s="398"/>
      <c r="DU135" s="398"/>
      <c r="DV135" s="398"/>
      <c r="DW135" s="398"/>
      <c r="DX135" s="398"/>
      <c r="EC135"/>
    </row>
    <row r="136" spans="1:133" s="126" customFormat="1" ht="21" customHeight="1" x14ac:dyDescent="0.4">
      <c r="A136" s="233" t="s">
        <v>190</v>
      </c>
      <c r="B136" s="127" t="s">
        <v>190</v>
      </c>
      <c r="C136" s="127">
        <v>4058793</v>
      </c>
      <c r="D136" s="127" t="s">
        <v>191</v>
      </c>
      <c r="E136" s="127"/>
      <c r="F136" s="127"/>
      <c r="G136" s="127" t="s">
        <v>162</v>
      </c>
      <c r="H136" s="128">
        <v>2006</v>
      </c>
      <c r="I136" s="129"/>
      <c r="J136" s="125">
        <f>IFERROR(INDEX('Labor Expenditures'!$E$7:$W$91,MATCH($C136,'Labor Expenditures'!$C$7:$C$91,0),MATCH($G136,'Labor Expenditures'!$E$5:$W$5,0)),"NA")</f>
        <v>391.12473505935804</v>
      </c>
      <c r="K136" s="125">
        <f t="shared" ca="1" si="289"/>
        <v>3.5751803935955944</v>
      </c>
      <c r="L136" s="47"/>
      <c r="M136" s="131">
        <f t="shared" ca="1" si="296"/>
        <v>-2.278318894861692E-2</v>
      </c>
      <c r="N136" s="59"/>
      <c r="O136" s="59"/>
      <c r="P136" s="59">
        <f t="shared" ref="P136:P152" ca="1" si="298">+M136*$AX136</f>
        <v>-3.9745979587545552E-6</v>
      </c>
      <c r="Q136" s="61"/>
      <c r="R136" s="387"/>
      <c r="S136" s="49">
        <f ca="1">+S135*EXP(T136)</f>
        <v>105.03345510485624</v>
      </c>
      <c r="T136" s="61">
        <f ca="1">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</f>
        <v>4.9108733467094462E-2</v>
      </c>
      <c r="U136" s="61"/>
      <c r="V136" s="125">
        <f>IFERROR(INDEX('Non-Labor Expenditures'!$E$7:$AA$91,MATCH($C136,'Non-Labor Expenditures'!$C$7:$C$91,0),MATCH($G136,'Non-Labor Expenditures'!$E$5:$AA$5,0)),"NA")</f>
        <v>566.42166838970024</v>
      </c>
      <c r="W136" s="125">
        <f t="shared" si="290"/>
        <v>6.2884036280136364</v>
      </c>
      <c r="X136" s="131">
        <f t="shared" ref="X136:X151" si="299">LN(W136/W135)</f>
        <v>4.4781518644680586E-2</v>
      </c>
      <c r="Y136" s="131">
        <f t="shared" ref="Y136:Y152" si="300">+X136*AX136</f>
        <v>7.8122747871904696E-6</v>
      </c>
      <c r="Z136" s="131"/>
      <c r="AA136" s="131"/>
      <c r="AB136" s="131"/>
      <c r="AC136" s="125">
        <f t="shared" si="265"/>
        <v>318.28914459828411</v>
      </c>
      <c r="AD136" s="129"/>
      <c r="AE136" s="133">
        <v>27.005991348313799</v>
      </c>
      <c r="AF136" s="134">
        <v>3.4065760651471932E-2</v>
      </c>
      <c r="AG136" s="59">
        <f t="shared" si="291"/>
        <v>5.9428775775913075E-6</v>
      </c>
      <c r="AH136" s="134"/>
      <c r="AI136" s="134"/>
      <c r="AJ136" s="129">
        <f t="shared" si="216"/>
        <v>1275.8355480473424</v>
      </c>
      <c r="AK136" s="134">
        <f t="shared" ref="AK136:AK152" si="301">LN(AJ136/AJ135)</f>
        <v>6.0205143499387152E-2</v>
      </c>
      <c r="AL136" s="129"/>
      <c r="AM136" s="129"/>
      <c r="AN136" s="129"/>
      <c r="AO136" s="129"/>
      <c r="AP136" s="133">
        <f t="shared" ref="AP136:AP152" si="302">+(AJ136*1000)/BB136</f>
        <v>341.58916949058698</v>
      </c>
      <c r="AQ136" s="134">
        <f>+BB136/Outputs!$B$14</f>
        <v>1.0769446224694937E-4</v>
      </c>
      <c r="AR136" s="93">
        <f t="shared" si="292"/>
        <v>0.30656359721123289</v>
      </c>
      <c r="AS136" s="93">
        <f t="shared" si="293"/>
        <v>0.44396134694365957</v>
      </c>
      <c r="AT136" s="93">
        <f t="shared" si="294"/>
        <v>0.24947505584510751</v>
      </c>
      <c r="AU136" s="93">
        <f t="shared" ca="1" si="297"/>
        <v>2.1487350041478184E-2</v>
      </c>
      <c r="AV136" s="132">
        <f ca="1">+AV135*EXP(AU136)</f>
        <v>102.1719865541713</v>
      </c>
      <c r="AW136" s="134">
        <f ca="1">LN(AV136/AV135)</f>
        <v>2.1487350041478118E-2</v>
      </c>
      <c r="AX136" s="56">
        <f>+AJ136/$AL$11</f>
        <v>1.7445310082440577E-4</v>
      </c>
      <c r="AY136" s="135">
        <f ca="1">+AX136*AW136</f>
        <v>3.7485348432352817E-6</v>
      </c>
      <c r="AZ136" s="93"/>
      <c r="BA136" s="93"/>
      <c r="BB136" s="234">
        <f>IFERROR(INDEX('Total Customers'!$E$7:$AA$91,MATCH($C136,'Total Customers'!$C$7:$C$91,0),MATCH($G136,'Total Customers'!$E$5:$AA$5,0)),"NA")</f>
        <v>3735</v>
      </c>
      <c r="BC136" s="411">
        <f t="shared" si="283"/>
        <v>-3.9632532370467745E-2</v>
      </c>
      <c r="BD136" s="92"/>
      <c r="BE136" s="281" t="str">
        <f t="shared" si="278"/>
        <v>BLUEFIELD GAS COMPANY</v>
      </c>
      <c r="BF136" s="290">
        <f t="shared" si="279"/>
        <v>4058793</v>
      </c>
      <c r="BG136" s="46" t="str">
        <f t="shared" si="280"/>
        <v>WV</v>
      </c>
      <c r="BH136" s="46"/>
      <c r="BI136" s="46" t="str">
        <f t="shared" si="281"/>
        <v>2006 Y</v>
      </c>
      <c r="BJ136" s="129"/>
      <c r="BK136" s="129"/>
      <c r="BL136" s="129">
        <f>INDEX('Dist. Plant Gas Additions'!$E$7:$AD$91,MATCH($C136,'Dist. Plant Gas Additions'!$C$7:$C$91,0),MATCH(Calculation!$G136,'Dist. Plant Gas Additions'!$E$5:$AD$5,0))</f>
        <v>466</v>
      </c>
      <c r="BM136" s="129">
        <f>INDEX('Gen. Plant Additions'!$E$7:$AD$91,MATCH($C136,'Gen. Plant Additions'!$C$7:$C$91,0),MATCH(Calculation!$G136,'Gen. Plant Additions'!$E$5:$AD$5,0))</f>
        <v>24</v>
      </c>
      <c r="BN136" s="393">
        <f t="shared" si="266"/>
        <v>0.87459078317804084</v>
      </c>
      <c r="BO136" s="46">
        <f t="shared" si="260"/>
        <v>20.990178796272978</v>
      </c>
      <c r="BP136" s="46">
        <f t="shared" si="261"/>
        <v>-3.0098212037270216</v>
      </c>
      <c r="BQ136" s="129">
        <f>INDEX('Dist Plant Depreciation'!$D$7:$AC$94,MATCH($C136,'Dist Plant Depreciation'!$C$7:$C$94,0),MATCH(Calculation!$G136,'Dist Plant Depreciation'!$D$5:$AC$5,0))</f>
        <v>1757</v>
      </c>
      <c r="BR136" s="129">
        <f>INDEX('Gen. Plant Depreciation'!$D$7:$AC$94,MATCH($C136,'Gen. Plant Depreciation'!$C$7:$C$94,0),MATCH(Calculation!$G136,'Gen. Plant Depreciation'!$D$5:$AC$5,0))</f>
        <v>393</v>
      </c>
      <c r="BS136" s="129"/>
      <c r="BT136" s="129"/>
      <c r="BU136" s="129"/>
      <c r="BV136" s="129"/>
      <c r="BW136" s="129"/>
      <c r="BX136" s="129"/>
      <c r="BY136" s="129">
        <f>INDEX('Gross Dx Plant'!$D$7:$AC$91,MATCH($C136,'Gross Dx Plant'!$C$7:$C$91,0),MATCH(Calculation!$G136,'Gross Dx Plant'!$D$5:$AC$5,0))</f>
        <v>6946</v>
      </c>
      <c r="BZ136" s="129">
        <f>INDEX('Gross Gen Plant'!$D$7:$AC$91,MATCH($C136,'Gross Gen Plant'!$C$7:$C$91,0),MATCH(Calculation!$G136,'Gross Gen Plant'!$D$5:$AC$5,0))</f>
        <v>996</v>
      </c>
      <c r="CA136" s="129">
        <f t="shared" si="172"/>
        <v>5792</v>
      </c>
      <c r="CB136" s="134"/>
      <c r="CC136" s="133">
        <v>2006</v>
      </c>
      <c r="CD136" s="129"/>
      <c r="CE136" s="129"/>
      <c r="CF136" s="129"/>
      <c r="CG136" s="137"/>
      <c r="CH136" s="129">
        <f t="shared" si="267"/>
        <v>490</v>
      </c>
      <c r="CI136" s="46">
        <f t="shared" si="276"/>
        <v>486.99017879627297</v>
      </c>
      <c r="CJ136" s="46">
        <f t="shared" si="268"/>
        <v>1.0561815462909419</v>
      </c>
      <c r="CK136" s="443">
        <v>0.91489361702127658</v>
      </c>
      <c r="CL136" s="46">
        <f>+CL128*CK136+CJ129*CK135+CJ130*CK134+CJ131*CK133+CJ132*CK132+CJ133*CK131+CJ134*CK130+CJ135*CK129+CJ136</f>
        <v>25.907602775675521</v>
      </c>
      <c r="CM136" s="134">
        <f t="shared" si="269"/>
        <v>2.9849304377693509E-2</v>
      </c>
      <c r="CN136" s="135">
        <f t="shared" si="270"/>
        <v>1.1703199989789265E-2</v>
      </c>
      <c r="CO136" s="135">
        <f t="shared" si="284"/>
        <v>1.1445608570090591E-2</v>
      </c>
      <c r="CP136" s="134">
        <f>VLOOKUP($H136,RoR!$E:$F,2,FALSE)</f>
        <v>5.5874999999999994E-2</v>
      </c>
      <c r="CQ136" s="135">
        <v>3.0512430354548314E-2</v>
      </c>
      <c r="CR136" s="135">
        <f t="shared" si="277"/>
        <v>2.536256964545168E-2</v>
      </c>
      <c r="CS136" s="135">
        <f t="shared" si="285"/>
        <v>1.9456333038443033E-2</v>
      </c>
      <c r="CT136" s="135">
        <f t="shared" si="286"/>
        <v>7.9087823893859641E-2</v>
      </c>
      <c r="CU136" s="139">
        <f t="shared" si="271"/>
        <v>0.85126000000000002</v>
      </c>
      <c r="CV136" s="335">
        <f t="shared" si="272"/>
        <v>0.91779957551769631</v>
      </c>
      <c r="CW136" s="335">
        <f t="shared" si="273"/>
        <v>0.52757270693512304</v>
      </c>
      <c r="CX136" s="335">
        <f t="shared" si="274"/>
        <v>0.88636824549024895</v>
      </c>
      <c r="CY136" s="335">
        <f t="shared" si="275"/>
        <v>0.42918482841932087</v>
      </c>
      <c r="CZ136" s="336">
        <f>INDEX('State Tax Lookup'!$D$7:$Z$91,MATCH(Calculation!$C136,'State Tax Lookup'!$B$7:$B$91,0),MATCH($H136,'State Tax Lookup'!$D$6:$Z$6,0))</f>
        <v>0.40200000000000002</v>
      </c>
      <c r="DA136" s="303">
        <v>0.37</v>
      </c>
      <c r="DB136" s="57">
        <f t="shared" si="282"/>
        <v>12.657792895664555</v>
      </c>
      <c r="DC136" s="56">
        <f t="shared" si="287"/>
        <v>-2.9242277832562624E-2</v>
      </c>
      <c r="DD136" s="303">
        <f>VLOOKUP($H136,RoR!$E:$F,2,FALSE)</f>
        <v>5.5874999999999994E-2</v>
      </c>
      <c r="DE136" s="304">
        <f>HLOOKUP($H136,'GDP-PI'!$D$8:$CQ$11,3,FALSE)</f>
        <v>3.0512430354548314E-2</v>
      </c>
      <c r="DF136" s="303">
        <f>VLOOKUP(H136,'HW Dx Data'!$E:$F,2,FALSE)</f>
        <v>461.08567272971823</v>
      </c>
      <c r="DG136" s="89">
        <f ca="1">VLOOKUP(CC136,'ECI - Input Price'!M$13:N$33,2,FALSE)</f>
        <v>109.4</v>
      </c>
      <c r="DH136" s="89"/>
      <c r="DI136" s="89"/>
      <c r="DJ136" s="56">
        <f t="shared" ca="1" si="295"/>
        <v>9.7620891318751846E-2</v>
      </c>
      <c r="DK136" s="53">
        <f>HLOOKUP(H136,'GDP-PI'!$8:$9,2,FALSE)</f>
        <v>90.073999999999998</v>
      </c>
      <c r="DL136" s="355">
        <f t="shared" si="288"/>
        <v>3.005618372545445E-2</v>
      </c>
      <c r="DP136" s="398"/>
      <c r="DQ136" s="398"/>
      <c r="DR136" s="398"/>
      <c r="DS136" s="398"/>
      <c r="DT136" s="398"/>
      <c r="DU136" s="398"/>
      <c r="DV136" s="398"/>
      <c r="DW136" s="398"/>
      <c r="DX136" s="398"/>
      <c r="EC136"/>
    </row>
    <row r="137" spans="1:133" s="126" customFormat="1" ht="21" customHeight="1" x14ac:dyDescent="0.4">
      <c r="A137" s="233" t="s">
        <v>190</v>
      </c>
      <c r="B137" s="127" t="s">
        <v>190</v>
      </c>
      <c r="C137" s="127">
        <v>4058793</v>
      </c>
      <c r="D137" s="127" t="s">
        <v>191</v>
      </c>
      <c r="E137" s="127"/>
      <c r="F137" s="127"/>
      <c r="G137" s="127" t="s">
        <v>163</v>
      </c>
      <c r="H137" s="128">
        <v>2007</v>
      </c>
      <c r="I137" s="129"/>
      <c r="J137" s="125">
        <f>IFERROR(INDEX('Labor Expenditures'!$E$7:$W$91,MATCH($C137,'Labor Expenditures'!$C$7:$C$91,0),MATCH($G137,'Labor Expenditures'!$E$5:$W$5,0)),"NA")</f>
        <v>391.40797931382116</v>
      </c>
      <c r="K137" s="125">
        <f t="shared" ca="1" si="289"/>
        <v>3.744635056817232</v>
      </c>
      <c r="L137" s="47"/>
      <c r="M137" s="131">
        <f t="shared" ca="1" si="296"/>
        <v>4.6308529487978048E-2</v>
      </c>
      <c r="N137" s="59"/>
      <c r="O137" s="59"/>
      <c r="P137" s="59">
        <f t="shared" ca="1" si="298"/>
        <v>7.9036768156871492E-6</v>
      </c>
      <c r="Q137" s="61"/>
      <c r="R137" s="387"/>
      <c r="S137" s="49">
        <f t="shared" ref="S137:S150" ca="1" si="303">+S136*EXP(T137)</f>
        <v>116.90334848037926</v>
      </c>
      <c r="T137" s="61">
        <f ca="1">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</f>
        <v>0.10706859258505502</v>
      </c>
      <c r="U137" s="61"/>
      <c r="V137" s="125">
        <f>IFERROR(INDEX('Non-Labor Expenditures'!$E$7:$AA$91,MATCH($C137,'Non-Labor Expenditures'!$C$7:$C$91,0),MATCH($G137,'Non-Labor Expenditures'!$E$5:$AA$5,0)),"NA")</f>
        <v>566.83185897289218</v>
      </c>
      <c r="W137" s="125">
        <f t="shared" si="290"/>
        <v>6.1280444871553135</v>
      </c>
      <c r="X137" s="131">
        <f t="shared" si="299"/>
        <v>-2.5831551207312006E-2</v>
      </c>
      <c r="Y137" s="131">
        <f t="shared" si="300"/>
        <v>-4.4087824564472393E-6</v>
      </c>
      <c r="Z137" s="131"/>
      <c r="AA137" s="131"/>
      <c r="AB137" s="131"/>
      <c r="AC137" s="125">
        <f t="shared" si="265"/>
        <v>350.04121074514597</v>
      </c>
      <c r="AD137" s="129"/>
      <c r="AE137" s="133">
        <v>27.797040981906356</v>
      </c>
      <c r="AF137" s="134">
        <v>2.8870832354565928E-2</v>
      </c>
      <c r="AG137" s="59">
        <f t="shared" si="291"/>
        <v>4.9275097018490177E-6</v>
      </c>
      <c r="AH137" s="134"/>
      <c r="AI137" s="134"/>
      <c r="AJ137" s="129">
        <f t="shared" si="216"/>
        <v>1308.2810490318593</v>
      </c>
      <c r="AK137" s="134">
        <f t="shared" si="301"/>
        <v>2.51128034682114E-2</v>
      </c>
      <c r="AL137" s="129"/>
      <c r="AM137" s="129"/>
      <c r="AN137" s="129"/>
      <c r="AO137" s="129"/>
      <c r="AP137" s="133">
        <f t="shared" si="302"/>
        <v>355.99484327397533</v>
      </c>
      <c r="AQ137" s="134">
        <f>+BB137/Outputs!$B$15</f>
        <v>1.051666169736516E-4</v>
      </c>
      <c r="AR137" s="93">
        <f t="shared" si="292"/>
        <v>0.29917729038685292</v>
      </c>
      <c r="AS137" s="93">
        <f t="shared" si="293"/>
        <v>0.43326459509014004</v>
      </c>
      <c r="AT137" s="93">
        <f t="shared" si="294"/>
        <v>0.26755811452300704</v>
      </c>
      <c r="AU137" s="93">
        <f t="shared" ca="1" si="297"/>
        <v>1.0159020448414454E-2</v>
      </c>
      <c r="AV137" s="132">
        <f ca="1">+AV136*EXP(AU137)</f>
        <v>103.21524411980651</v>
      </c>
      <c r="AW137" s="134">
        <f ca="1">LN(AV137/AV136)</f>
        <v>1.0159020448414532E-2</v>
      </c>
      <c r="AX137" s="56">
        <f>+AJ137/$AL$12</f>
        <v>1.7067432075853299E-4</v>
      </c>
      <c r="AY137" s="135">
        <f t="shared" ref="AY137:AY151" ca="1" si="304">+AX137*AW137</f>
        <v>1.7338839146051975E-6</v>
      </c>
      <c r="AZ137" s="93"/>
      <c r="BA137" s="93"/>
      <c r="BB137" s="234">
        <f>IFERROR(INDEX('Total Customers'!$E$7:$AA$91,MATCH($C137,'Total Customers'!$C$7:$C$91,0),MATCH($G137,'Total Customers'!$E$5:$AA$5,0)),"NA")</f>
        <v>3675</v>
      </c>
      <c r="BC137" s="411">
        <f t="shared" si="283"/>
        <v>-1.6194685919980606E-2</v>
      </c>
      <c r="BD137" s="92"/>
      <c r="BE137" s="281" t="str">
        <f t="shared" si="278"/>
        <v>BLUEFIELD GAS COMPANY</v>
      </c>
      <c r="BF137" s="290">
        <f t="shared" si="279"/>
        <v>4058793</v>
      </c>
      <c r="BG137" s="46" t="str">
        <f t="shared" si="280"/>
        <v>WV</v>
      </c>
      <c r="BH137" s="46"/>
      <c r="BI137" s="46" t="str">
        <f t="shared" si="281"/>
        <v>2007 Y</v>
      </c>
      <c r="BJ137" s="129"/>
      <c r="BK137" s="129"/>
      <c r="BL137" s="129">
        <f>INDEX('Dist. Plant Gas Additions'!$E$7:$AD$91,MATCH($C137,'Dist. Plant Gas Additions'!$C$7:$C$91,0),MATCH(Calculation!$G137,'Dist. Plant Gas Additions'!$E$5:$AD$5,0))</f>
        <v>374</v>
      </c>
      <c r="BM137" s="129">
        <f>INDEX('Gen. Plant Additions'!$E$7:$AD$91,MATCH($C137,'Gen. Plant Additions'!$C$7:$C$91,0),MATCH(Calculation!$G137,'Gen. Plant Additions'!$E$5:$AD$5,0))</f>
        <v>104</v>
      </c>
      <c r="BN137" s="393">
        <f t="shared" si="266"/>
        <v>0.87220678825945164</v>
      </c>
      <c r="BO137" s="46">
        <f t="shared" si="260"/>
        <v>90.709505978982975</v>
      </c>
      <c r="BP137" s="46">
        <f t="shared" si="261"/>
        <v>-13.290494021017025</v>
      </c>
      <c r="BQ137" s="129">
        <f>INDEX('Dist Plant Depreciation'!$D$7:$AC$94,MATCH($C137,'Dist Plant Depreciation'!$C$7:$C$94,0),MATCH(Calculation!$G137,'Dist Plant Depreciation'!$D$5:$AC$5,0))</f>
        <v>1878</v>
      </c>
      <c r="BR137" s="129">
        <f>INDEX('Gen. Plant Depreciation'!$D$7:$AC$94,MATCH($C137,'Gen. Plant Depreciation'!$C$7:$C$94,0),MATCH(Calculation!$G137,'Gen. Plant Depreciation'!$D$5:$AC$5,0))</f>
        <v>498</v>
      </c>
      <c r="BS137" s="129"/>
      <c r="BT137" s="129"/>
      <c r="BU137" s="129"/>
      <c r="BV137" s="129"/>
      <c r="BW137" s="129"/>
      <c r="BX137" s="129"/>
      <c r="BY137" s="129">
        <f>INDEX('Gross Dx Plant'!$D$7:$AC$91,MATCH($C137,'Gross Dx Plant'!$C$7:$C$91,0),MATCH(Calculation!$G137,'Gross Dx Plant'!$D$5:$AC$5,0))</f>
        <v>7221</v>
      </c>
      <c r="BZ137" s="129">
        <f>INDEX('Gross Gen Plant'!$D$7:$AC$91,MATCH($C137,'Gross Gen Plant'!$C$7:$C$91,0),MATCH(Calculation!$G137,'Gross Gen Plant'!$D$5:$AC$5,0))</f>
        <v>1058</v>
      </c>
      <c r="CA137" s="129">
        <f t="shared" si="172"/>
        <v>5903</v>
      </c>
      <c r="CB137" s="129"/>
      <c r="CC137" s="133">
        <v>2007</v>
      </c>
      <c r="CD137" s="129"/>
      <c r="CE137" s="129"/>
      <c r="CF137" s="129"/>
      <c r="CG137" s="137"/>
      <c r="CH137" s="129">
        <f t="shared" si="267"/>
        <v>478</v>
      </c>
      <c r="CI137" s="46">
        <f t="shared" si="276"/>
        <v>464.70950597898297</v>
      </c>
      <c r="CJ137" s="46">
        <f t="shared" si="268"/>
        <v>0.93310980559905943</v>
      </c>
      <c r="CK137" s="443">
        <v>0.90322580645161288</v>
      </c>
      <c r="CL137" s="46">
        <f>+CL128*CK137+CJ129*CK136+CJ130*CK135+CJ131*CK134+CJ132*CK133+CJ133*CK132+CJ134*CK131+CJ135*CK130+CJ136*CK129+CJ137</f>
        <v>26.529741739970792</v>
      </c>
      <c r="CM137" s="134">
        <f t="shared" si="269"/>
        <v>2.3729964368720463E-2</v>
      </c>
      <c r="CN137" s="135">
        <f t="shared" si="270"/>
        <v>1.2003072765796652E-2</v>
      </c>
      <c r="CO137" s="135">
        <f t="shared" si="284"/>
        <v>1.1714068709089262E-2</v>
      </c>
      <c r="CP137" s="134">
        <f>VLOOKUP($H137,RoR!$E:$F,2,FALSE)</f>
        <v>5.5558333333333321E-2</v>
      </c>
      <c r="CQ137" s="135">
        <v>2.691120634145272E-2</v>
      </c>
      <c r="CR137" s="135">
        <f t="shared" si="277"/>
        <v>2.86471269918806E-2</v>
      </c>
      <c r="CS137" s="135">
        <f t="shared" si="285"/>
        <v>1.9187872899444361E-2</v>
      </c>
      <c r="CT137" s="135">
        <f t="shared" si="286"/>
        <v>6.4575155250632399E-2</v>
      </c>
      <c r="CU137" s="139">
        <f t="shared" si="271"/>
        <v>0.85126000000000002</v>
      </c>
      <c r="CV137" s="335">
        <f t="shared" si="272"/>
        <v>0.92303077153834634</v>
      </c>
      <c r="CW137" s="335">
        <f t="shared" si="273"/>
        <v>0.52502249887505614</v>
      </c>
      <c r="CX137" s="335">
        <f t="shared" si="274"/>
        <v>0.88499666072084604</v>
      </c>
      <c r="CY137" s="335">
        <f t="shared" si="275"/>
        <v>0.42887993290280618</v>
      </c>
      <c r="CZ137" s="336">
        <f>INDEX('State Tax Lookup'!$D$7:$Z$91,MATCH(Calculation!$C137,'State Tax Lookup'!$B$7:$B$91,0),MATCH($H137,'State Tax Lookup'!$D$6:$Z$6,0))</f>
        <v>0.40200000000000002</v>
      </c>
      <c r="DA137" s="303">
        <v>0.37</v>
      </c>
      <c r="DB137" s="57">
        <f t="shared" si="282"/>
        <v>13.511138555582511</v>
      </c>
      <c r="DC137" s="56">
        <f t="shared" si="287"/>
        <v>6.5241358763525006E-2</v>
      </c>
      <c r="DD137" s="303">
        <f>VLOOKUP($H137,RoR!$E:$F,2,FALSE)</f>
        <v>5.5558333333333321E-2</v>
      </c>
      <c r="DE137" s="304">
        <f>HLOOKUP($H137,'GDP-PI'!$D$8:$CQ$11,3,FALSE)</f>
        <v>2.691120634145272E-2</v>
      </c>
      <c r="DF137" s="303">
        <f>VLOOKUP(H137,'HW Dx Data'!$E:$F,2,FALSE)</f>
        <v>498.0223154772637</v>
      </c>
      <c r="DG137" s="89">
        <f ca="1">VLOOKUP(CC137,'ECI - Input Price'!M$13:N$33,2,FALSE)</f>
        <v>104.52499999999999</v>
      </c>
      <c r="DH137" s="89"/>
      <c r="DI137" s="89"/>
      <c r="DJ137" s="56">
        <f t="shared" ca="1" si="295"/>
        <v>-4.5584612745252218E-2</v>
      </c>
      <c r="DK137" s="53">
        <f>HLOOKUP(H137,'GDP-PI'!$8:$9,2,FALSE)</f>
        <v>92.498000000000005</v>
      </c>
      <c r="DL137" s="355">
        <f t="shared" si="288"/>
        <v>2.6555467950038037E-2</v>
      </c>
      <c r="DP137" s="398"/>
      <c r="DQ137" s="398"/>
      <c r="DR137" s="398"/>
      <c r="DS137" s="398"/>
      <c r="DT137" s="398"/>
      <c r="DU137" s="398"/>
      <c r="DV137" s="398"/>
      <c r="DW137" s="398"/>
      <c r="DX137" s="398"/>
      <c r="EC137"/>
    </row>
    <row r="138" spans="1:133" s="126" customFormat="1" ht="21" customHeight="1" x14ac:dyDescent="0.4">
      <c r="A138" s="233" t="s">
        <v>190</v>
      </c>
      <c r="B138" s="127" t="s">
        <v>190</v>
      </c>
      <c r="C138" s="127">
        <v>4058793</v>
      </c>
      <c r="D138" s="127" t="s">
        <v>191</v>
      </c>
      <c r="E138" s="127"/>
      <c r="F138" s="127"/>
      <c r="G138" s="127" t="s">
        <v>164</v>
      </c>
      <c r="H138" s="128">
        <v>2008</v>
      </c>
      <c r="I138" s="129"/>
      <c r="J138" s="125">
        <f>IFERROR(INDEX('Labor Expenditures'!$E$7:$W$91,MATCH($C138,'Labor Expenditures'!$C$7:$C$91,0),MATCH($G138,'Labor Expenditures'!$E$5:$W$5,0)),"NA")</f>
        <v>314.41990659111622</v>
      </c>
      <c r="K138" s="125">
        <f t="shared" ca="1" si="289"/>
        <v>2.9139935735969993</v>
      </c>
      <c r="L138" s="47"/>
      <c r="M138" s="131">
        <f t="shared" ca="1" si="296"/>
        <v>-0.25079966169183282</v>
      </c>
      <c r="N138" s="59"/>
      <c r="O138" s="59"/>
      <c r="P138" s="59">
        <f t="shared" ca="1" si="298"/>
        <v>-3.6389539697172329E-5</v>
      </c>
      <c r="Q138" s="61"/>
      <c r="R138" s="387"/>
      <c r="S138" s="49">
        <f t="shared" ca="1" si="303"/>
        <v>109.84585032897438</v>
      </c>
      <c r="T138" s="61">
        <f ca="1">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</f>
        <v>-6.2269489717643005E-2</v>
      </c>
      <c r="U138" s="61"/>
      <c r="V138" s="125">
        <f>IFERROR(INDEX('Non-Labor Expenditures'!$E$7:$AA$91,MATCH($C138,'Non-Labor Expenditures'!$C$7:$C$91,0),MATCH($G138,'Non-Labor Expenditures'!$E$5:$AA$5,0)),"NA")</f>
        <v>455.33875028191636</v>
      </c>
      <c r="W138" s="125">
        <f t="shared" si="290"/>
        <v>4.8304628520104851</v>
      </c>
      <c r="X138" s="131">
        <f t="shared" si="299"/>
        <v>-0.23793340041840497</v>
      </c>
      <c r="Y138" s="131">
        <f t="shared" si="300"/>
        <v>-3.4522721687111031E-5</v>
      </c>
      <c r="Z138" s="131"/>
      <c r="AA138" s="131"/>
      <c r="AB138" s="131"/>
      <c r="AC138" s="125">
        <f t="shared" si="265"/>
        <v>404.0080165102151</v>
      </c>
      <c r="AD138" s="129"/>
      <c r="AE138" s="133">
        <v>28.418024489231243</v>
      </c>
      <c r="AF138" s="134">
        <v>2.2094033434472485E-2</v>
      </c>
      <c r="AG138" s="59">
        <f t="shared" si="291"/>
        <v>3.2057128837848462E-6</v>
      </c>
      <c r="AH138" s="134"/>
      <c r="AI138" s="134"/>
      <c r="AJ138" s="129">
        <f t="shared" si="216"/>
        <v>1173.7666733832477</v>
      </c>
      <c r="AK138" s="134">
        <f t="shared" si="301"/>
        <v>-0.10849614257953304</v>
      </c>
      <c r="AL138" s="129"/>
      <c r="AM138" s="129"/>
      <c r="AN138" s="129"/>
      <c r="AO138" s="129"/>
      <c r="AP138" s="133">
        <f t="shared" si="302"/>
        <v>328.69411184073027</v>
      </c>
      <c r="AQ138" s="134">
        <f>+BB138/Outputs!$B$16</f>
        <v>1.0164410405703433E-4</v>
      </c>
      <c r="AR138" s="93">
        <f t="shared" si="292"/>
        <v>0.26787257955180899</v>
      </c>
      <c r="AS138" s="93">
        <f t="shared" si="293"/>
        <v>0.38792952688753263</v>
      </c>
      <c r="AT138" s="93">
        <f t="shared" si="294"/>
        <v>0.34419789356065833</v>
      </c>
      <c r="AU138" s="93">
        <f t="shared" ca="1" si="297"/>
        <v>-0.16204463384621418</v>
      </c>
      <c r="AV138" s="132">
        <f t="shared" ref="AV138:AV151" ca="1" si="305">+AV137*EXP(AU138)</f>
        <v>87.774578731681132</v>
      </c>
      <c r="AW138" s="134">
        <f t="shared" ref="AW138:AW151" ca="1" si="306">LN(AV138/AV137)</f>
        <v>-0.16204463384621418</v>
      </c>
      <c r="AX138" s="56">
        <f>+AJ138/$AL$13</f>
        <v>1.4509405416138701E-4</v>
      </c>
      <c r="AY138" s="135">
        <f t="shared" ca="1" si="304"/>
        <v>-2.3511712879844727E-5</v>
      </c>
      <c r="AZ138" s="93"/>
      <c r="BA138" s="93"/>
      <c r="BB138" s="234">
        <f>IFERROR(INDEX('Total Customers'!$E$7:$AA$91,MATCH($C138,'Total Customers'!$C$7:$C$91,0),MATCH($G138,'Total Customers'!$E$5:$AA$5,0)),"NA")</f>
        <v>3571</v>
      </c>
      <c r="BC138" s="411">
        <f t="shared" si="283"/>
        <v>-2.8707464052488574E-2</v>
      </c>
      <c r="BD138" s="92"/>
      <c r="BE138" s="281" t="str">
        <f t="shared" si="278"/>
        <v>BLUEFIELD GAS COMPANY</v>
      </c>
      <c r="BF138" s="290">
        <f t="shared" si="279"/>
        <v>4058793</v>
      </c>
      <c r="BG138" s="46" t="str">
        <f t="shared" si="280"/>
        <v>WV</v>
      </c>
      <c r="BH138" s="46"/>
      <c r="BI138" s="46" t="str">
        <f t="shared" si="281"/>
        <v>2008 Y</v>
      </c>
      <c r="BJ138" s="129"/>
      <c r="BK138" s="129"/>
      <c r="BL138" s="129">
        <f>INDEX('Dist. Plant Gas Additions'!$E$7:$AD$91,MATCH($C138,'Dist. Plant Gas Additions'!$C$7:$C$91,0),MATCH(Calculation!$G138,'Dist. Plant Gas Additions'!$E$5:$AD$5,0))</f>
        <v>366</v>
      </c>
      <c r="BM138" s="129">
        <f>INDEX('Gen. Plant Additions'!$E$7:$AD$91,MATCH($C138,'Gen. Plant Additions'!$C$7:$C$91,0),MATCH(Calculation!$G138,'Gen. Plant Additions'!$E$5:$AD$5,0))</f>
        <v>90</v>
      </c>
      <c r="BN138" s="393">
        <f t="shared" si="266"/>
        <v>0.86740586740586745</v>
      </c>
      <c r="BO138" s="46">
        <f t="shared" si="260"/>
        <v>78.066528066528065</v>
      </c>
      <c r="BP138" s="46">
        <f t="shared" si="261"/>
        <v>-11.933471933471935</v>
      </c>
      <c r="BQ138" s="129"/>
      <c r="BR138" s="129"/>
      <c r="BS138" s="129"/>
      <c r="BT138" s="129"/>
      <c r="BU138" s="129"/>
      <c r="BV138" s="129"/>
      <c r="BW138" s="129"/>
      <c r="BX138" s="129"/>
      <c r="BY138" s="129">
        <f>INDEX('Gross Dx Plant'!$D$7:$AC$91,MATCH($C138,'Gross Dx Plant'!$C$7:$C$91,0),MATCH(Calculation!$G138,'Gross Dx Plant'!$D$5:$AC$5,0))</f>
        <v>7510</v>
      </c>
      <c r="BZ138" s="129">
        <f>INDEX('Gross Gen Plant'!$D$7:$AC$91,MATCH($C138,'Gross Gen Plant'!$C$7:$C$91,0),MATCH(Calculation!$G138,'Gross Gen Plant'!$D$5:$AC$5,0))</f>
        <v>1148</v>
      </c>
      <c r="CA138" s="129">
        <f t="shared" si="172"/>
        <v>8658</v>
      </c>
      <c r="CB138" s="129"/>
      <c r="CC138" s="133">
        <v>2008</v>
      </c>
      <c r="CD138" s="129"/>
      <c r="CE138" s="129"/>
      <c r="CF138" s="129"/>
      <c r="CG138" s="137"/>
      <c r="CH138" s="129">
        <f t="shared" si="267"/>
        <v>456</v>
      </c>
      <c r="CI138" s="46">
        <f t="shared" si="276"/>
        <v>444.06652806652806</v>
      </c>
      <c r="CJ138" s="46">
        <f t="shared" si="268"/>
        <v>0.77922648697253083</v>
      </c>
      <c r="CK138" s="443">
        <v>0.89130434782608692</v>
      </c>
      <c r="CL138" s="46">
        <f>+CL128*CK138+CJ129*CK137+CJ130*CK136+CJ131*CK135+CJ132*CK134+CJ133*CK133+CJ134*CK132+CJ135*CK131+CJ136*CK130+CJ137*CK129+CJ138</f>
        <v>26.982121206556073</v>
      </c>
      <c r="CM138" s="134">
        <f t="shared" si="269"/>
        <v>1.6908035671857925E-2</v>
      </c>
      <c r="CN138" s="135">
        <f t="shared" si="270"/>
        <v>1.2320022697198315E-2</v>
      </c>
      <c r="CO138" s="135">
        <f t="shared" si="284"/>
        <v>1.2008765150928075E-2</v>
      </c>
      <c r="CP138" s="134">
        <f>VLOOKUP($H138,RoR!$E:$F,2,FALSE)</f>
        <v>5.6316666666666668E-2</v>
      </c>
      <c r="CQ138" s="135">
        <v>1.9092304698479889E-2</v>
      </c>
      <c r="CR138" s="135">
        <f t="shared" si="277"/>
        <v>3.7224361968186778E-2</v>
      </c>
      <c r="CS138" s="135">
        <f t="shared" si="285"/>
        <v>1.8893176457605548E-2</v>
      </c>
      <c r="CT138" s="135">
        <f t="shared" si="286"/>
        <v>6.9030581091053131E-2</v>
      </c>
      <c r="CU138" s="139">
        <f t="shared" si="271"/>
        <v>0.85126000000000002</v>
      </c>
      <c r="CV138" s="335">
        <f t="shared" si="272"/>
        <v>0.91060168006009956</v>
      </c>
      <c r="CW138" s="335">
        <f t="shared" si="273"/>
        <v>0.53108168097070152</v>
      </c>
      <c r="CX138" s="335">
        <f t="shared" si="274"/>
        <v>0.88825329850328805</v>
      </c>
      <c r="CY138" s="335">
        <f t="shared" si="275"/>
        <v>0.4295627335323573</v>
      </c>
      <c r="CZ138" s="336">
        <f>INDEX('State Tax Lookup'!$D$7:$Z$91,MATCH(Calculation!$C138,'State Tax Lookup'!$B$7:$B$91,0),MATCH($H138,'State Tax Lookup'!$D$6:$Z$6,0))</f>
        <v>0.40200000000000002</v>
      </c>
      <c r="DA138" s="303">
        <v>0.37</v>
      </c>
      <c r="DB138" s="57">
        <f t="shared" si="282"/>
        <v>15.228494135754067</v>
      </c>
      <c r="DC138" s="56">
        <f t="shared" si="287"/>
        <v>0.11965386370443594</v>
      </c>
      <c r="DD138" s="303">
        <f>VLOOKUP($H138,RoR!$E:$F,2,FALSE)</f>
        <v>5.6316666666666668E-2</v>
      </c>
      <c r="DE138" s="304">
        <f>HLOOKUP($H138,'GDP-PI'!$D$8:$CQ$11,3,FALSE)</f>
        <v>1.9092304698479889E-2</v>
      </c>
      <c r="DF138" s="303">
        <f>VLOOKUP(H138,'HW Dx Data'!$E:$F,2,FALSE)</f>
        <v>569.88120333515076</v>
      </c>
      <c r="DG138" s="89">
        <f ca="1">VLOOKUP(CC138,'ECI - Input Price'!M$13:N$33,2,FALSE)</f>
        <v>107.9</v>
      </c>
      <c r="DH138" s="89"/>
      <c r="DI138" s="89"/>
      <c r="DJ138" s="56">
        <f t="shared" ca="1" si="295"/>
        <v>3.1778595021460486E-2</v>
      </c>
      <c r="DK138" s="53">
        <f>HLOOKUP(H138,'GDP-PI'!$8:$9,2,FALSE)</f>
        <v>94.263999999999996</v>
      </c>
      <c r="DL138" s="355">
        <f t="shared" si="288"/>
        <v>1.8912333748032254E-2</v>
      </c>
      <c r="DP138" s="398"/>
      <c r="DQ138" s="398"/>
      <c r="DR138" s="398"/>
      <c r="DS138" s="398"/>
      <c r="DT138" s="398"/>
      <c r="DU138" s="398"/>
      <c r="DV138" s="398"/>
      <c r="DW138" s="398"/>
      <c r="DX138" s="398"/>
      <c r="EC138"/>
    </row>
    <row r="139" spans="1:133" s="126" customFormat="1" ht="21" customHeight="1" x14ac:dyDescent="0.4">
      <c r="A139" s="233" t="s">
        <v>190</v>
      </c>
      <c r="B139" s="127" t="s">
        <v>190</v>
      </c>
      <c r="C139" s="127">
        <v>4058793</v>
      </c>
      <c r="D139" s="127" t="s">
        <v>191</v>
      </c>
      <c r="E139" s="127"/>
      <c r="F139" s="127"/>
      <c r="G139" s="127" t="s">
        <v>165</v>
      </c>
      <c r="H139" s="128">
        <v>2009</v>
      </c>
      <c r="I139" s="129"/>
      <c r="J139" s="125">
        <f>IFERROR(INDEX('Labor Expenditures'!$E$7:$W$91,MATCH($C139,'Labor Expenditures'!$C$7:$C$91,0),MATCH($G139,'Labor Expenditures'!$E$5:$W$5,0)),"NA")</f>
        <v>324.0143888387704</v>
      </c>
      <c r="K139" s="125">
        <f t="shared" ca="1" si="289"/>
        <v>2.9210222117536211</v>
      </c>
      <c r="L139" s="47"/>
      <c r="M139" s="131">
        <f t="shared" ca="1" si="296"/>
        <v>2.4091251213810335E-3</v>
      </c>
      <c r="N139" s="59"/>
      <c r="O139" s="59"/>
      <c r="P139" s="59">
        <f t="shared" ca="1" si="298"/>
        <v>3.3724851815791405E-7</v>
      </c>
      <c r="Q139" s="61"/>
      <c r="R139" s="387"/>
      <c r="S139" s="49">
        <f t="shared" ca="1" si="303"/>
        <v>118.43634503295223</v>
      </c>
      <c r="T139" s="61">
        <f ca="1">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</f>
        <v>7.5297621205932336E-2</v>
      </c>
      <c r="U139" s="61"/>
      <c r="V139" s="125">
        <f>IFERROR(INDEX('Non-Labor Expenditures'!$E$7:$AA$91,MATCH($C139,'Non-Labor Expenditures'!$C$7:$C$91,0),MATCH($G139,'Non-Labor Expenditures'!$E$5:$AA$5,0)),"NA")</f>
        <v>469.23335257861572</v>
      </c>
      <c r="W139" s="125">
        <f t="shared" si="290"/>
        <v>4.9393504413584957</v>
      </c>
      <c r="X139" s="131">
        <f t="shared" si="299"/>
        <v>2.2291541303955612E-2</v>
      </c>
      <c r="Y139" s="131">
        <f t="shared" si="300"/>
        <v>3.120547457454341E-6</v>
      </c>
      <c r="Z139" s="131"/>
      <c r="AA139" s="131"/>
      <c r="AB139" s="131"/>
      <c r="AC139" s="125">
        <f t="shared" si="265"/>
        <v>390.60582962510756</v>
      </c>
      <c r="AD139" s="129"/>
      <c r="AE139" s="133">
        <v>29.031028209874897</v>
      </c>
      <c r="AF139" s="134">
        <v>2.1341587315812371E-2</v>
      </c>
      <c r="AG139" s="59">
        <f t="shared" si="291"/>
        <v>2.9875653337878642E-6</v>
      </c>
      <c r="AH139" s="134"/>
      <c r="AI139" s="134"/>
      <c r="AJ139" s="129">
        <f t="shared" si="216"/>
        <v>1183.8535710424937</v>
      </c>
      <c r="AK139" s="134">
        <f t="shared" si="301"/>
        <v>8.5568990428764331E-3</v>
      </c>
      <c r="AL139" s="129"/>
      <c r="AM139" s="129"/>
      <c r="AN139" s="129"/>
      <c r="AO139" s="129"/>
      <c r="AP139" s="133">
        <f t="shared" si="302"/>
        <v>338.53404948312658</v>
      </c>
      <c r="AQ139" s="134">
        <f>+BB139/Outputs!$B$17</f>
        <v>9.9410897333303391E-5</v>
      </c>
      <c r="AR139" s="93">
        <f t="shared" si="292"/>
        <v>0.27369465005156463</v>
      </c>
      <c r="AS139" s="93">
        <f t="shared" si="293"/>
        <v>0.39636097238395107</v>
      </c>
      <c r="AT139" s="93">
        <f t="shared" si="294"/>
        <v>0.32994437756448425</v>
      </c>
      <c r="AU139" s="93">
        <f t="shared" ca="1" si="297"/>
        <v>1.6587506709530877E-2</v>
      </c>
      <c r="AV139" s="132">
        <f t="shared" ca="1" si="305"/>
        <v>89.242682574815305</v>
      </c>
      <c r="AW139" s="134">
        <f t="shared" ca="1" si="306"/>
        <v>1.6587506709530901E-2</v>
      </c>
      <c r="AX139" s="56">
        <f>+AJ139/$AL$14</f>
        <v>1.3998796291849963E-4</v>
      </c>
      <c r="AY139" s="135">
        <f t="shared" ca="1" si="304"/>
        <v>2.3220512741641756E-6</v>
      </c>
      <c r="AZ139" s="93"/>
      <c r="BA139" s="93"/>
      <c r="BB139" s="234">
        <f>IFERROR(INDEX('Total Customers'!$E$7:$AA$91,MATCH($C139,'Total Customers'!$C$7:$C$91,0),MATCH($G139,'Total Customers'!$E$5:$AA$5,0)),"NA")</f>
        <v>3497</v>
      </c>
      <c r="BC139" s="411">
        <f t="shared" si="283"/>
        <v>-2.0940210531072614E-2</v>
      </c>
      <c r="BD139" s="92"/>
      <c r="BE139" s="281" t="str">
        <f t="shared" si="278"/>
        <v>BLUEFIELD GAS COMPANY</v>
      </c>
      <c r="BF139" s="290">
        <f t="shared" si="279"/>
        <v>4058793</v>
      </c>
      <c r="BG139" s="46" t="str">
        <f t="shared" si="280"/>
        <v>WV</v>
      </c>
      <c r="BH139" s="46"/>
      <c r="BI139" s="46" t="str">
        <f t="shared" si="281"/>
        <v>2009 Y</v>
      </c>
      <c r="BJ139" s="129"/>
      <c r="BK139" s="129"/>
      <c r="BL139" s="129">
        <f>INDEX('Dist. Plant Gas Additions'!$E$7:$AD$91,MATCH($C139,'Dist. Plant Gas Additions'!$C$7:$C$91,0),MATCH(Calculation!$G139,'Dist. Plant Gas Additions'!$E$5:$AD$5,0))</f>
        <v>440</v>
      </c>
      <c r="BM139" s="129">
        <f>INDEX('Gen. Plant Additions'!$E$7:$AD$91,MATCH($C139,'Gen. Plant Additions'!$C$7:$C$91,0),MATCH(Calculation!$G139,'Gen. Plant Additions'!$E$5:$AD$5,0))</f>
        <v>2</v>
      </c>
      <c r="BN139" s="393">
        <f t="shared" si="266"/>
        <v>0.87458745874587462</v>
      </c>
      <c r="BO139" s="46">
        <f t="shared" si="260"/>
        <v>1.7491749174917492</v>
      </c>
      <c r="BP139" s="46">
        <f t="shared" si="261"/>
        <v>-0.25082508250825075</v>
      </c>
      <c r="BQ139" s="129"/>
      <c r="BR139" s="129"/>
      <c r="BS139" s="129"/>
      <c r="BT139" s="129"/>
      <c r="BU139" s="129"/>
      <c r="BV139" s="129"/>
      <c r="BW139" s="129"/>
      <c r="BX139" s="129"/>
      <c r="BY139" s="129">
        <f>INDEX('Gross Dx Plant'!$D$7:$AC$91,MATCH($C139,'Gross Dx Plant'!$C$7:$C$91,0),MATCH(Calculation!$G139,'Gross Dx Plant'!$D$5:$AC$5,0))</f>
        <v>7950</v>
      </c>
      <c r="BZ139" s="129">
        <f>INDEX('Gross Gen Plant'!$D$7:$AC$91,MATCH($C139,'Gross Gen Plant'!$C$7:$C$91,0),MATCH(Calculation!$G139,'Gross Gen Plant'!$D$5:$AC$5,0))</f>
        <v>1140</v>
      </c>
      <c r="CA139" s="129">
        <f t="shared" si="172"/>
        <v>9090</v>
      </c>
      <c r="CB139" s="129"/>
      <c r="CC139" s="133">
        <v>2009</v>
      </c>
      <c r="CD139" s="129"/>
      <c r="CE139" s="129"/>
      <c r="CF139" s="129"/>
      <c r="CG139" s="137"/>
      <c r="CH139" s="129">
        <f t="shared" si="267"/>
        <v>442</v>
      </c>
      <c r="CI139" s="46">
        <f t="shared" si="276"/>
        <v>441.74917491749176</v>
      </c>
      <c r="CJ139" s="46">
        <f t="shared" si="268"/>
        <v>0.80180902517146624</v>
      </c>
      <c r="CK139" s="443">
        <v>0.87912087912087911</v>
      </c>
      <c r="CL139" s="46">
        <f>+CL128*CK139+CJ129*CK138+CJ130*CK137+CJ131*CK136+CJ132*CK135+CJ133*CK134+CJ134*CK133+CJ135*CK132+CJ136*CK131+CJ137*CK130+CJ138*CK129+CJ139</f>
        <v>27.442330904253083</v>
      </c>
      <c r="CM139" s="134">
        <f t="shared" si="269"/>
        <v>1.6912275607300221E-2</v>
      </c>
      <c r="CN139" s="135">
        <f t="shared" si="270"/>
        <v>1.2660210250314002E-2</v>
      </c>
      <c r="CO139" s="135">
        <f t="shared" si="284"/>
        <v>1.2327768571102989E-2</v>
      </c>
      <c r="CP139" s="134">
        <f>VLOOKUP($H139,RoR!$E:$F,2,FALSE)</f>
        <v>5.3133333333333324E-2</v>
      </c>
      <c r="CQ139" s="135">
        <v>7.7972502758210105E-3</v>
      </c>
      <c r="CR139" s="135">
        <f t="shared" si="277"/>
        <v>4.5336083057512314E-2</v>
      </c>
      <c r="CS139" s="135">
        <f t="shared" si="285"/>
        <v>1.8574173037430634E-2</v>
      </c>
      <c r="CT139" s="135">
        <f t="shared" si="286"/>
        <v>6.3720160300892073E-2</v>
      </c>
      <c r="CU139" s="139">
        <f t="shared" si="271"/>
        <v>0.85126000000000002</v>
      </c>
      <c r="CV139" s="335">
        <f t="shared" si="272"/>
        <v>0.96515780330083989</v>
      </c>
      <c r="CW139" s="335">
        <f t="shared" si="273"/>
        <v>0.50448557089084056</v>
      </c>
      <c r="CX139" s="335">
        <f t="shared" si="274"/>
        <v>0.87391435735465484</v>
      </c>
      <c r="CY139" s="335">
        <f t="shared" si="275"/>
        <v>0.42551605393279146</v>
      </c>
      <c r="CZ139" s="336">
        <f>INDEX('State Tax Lookup'!$D$7:$Z$91,MATCH(Calculation!$C139,'State Tax Lookup'!$B$7:$B$91,0),MATCH($H139,'State Tax Lookup'!$D$6:$Z$6,0))</f>
        <v>0.40200000000000002</v>
      </c>
      <c r="DA139" s="303">
        <v>0.37</v>
      </c>
      <c r="DB139" s="57">
        <f t="shared" si="282"/>
        <v>14.47646857098095</v>
      </c>
      <c r="DC139" s="56">
        <f t="shared" si="287"/>
        <v>-5.0643813156541109E-2</v>
      </c>
      <c r="DD139" s="303">
        <f>VLOOKUP($H139,RoR!$E:$F,2,FALSE)</f>
        <v>5.3133333333333324E-2</v>
      </c>
      <c r="DE139" s="304">
        <f>HLOOKUP($H139,'GDP-PI'!$D$8:$CQ$11,3,FALSE)</f>
        <v>7.7972502758210105E-3</v>
      </c>
      <c r="DF139" s="303">
        <f>VLOOKUP(H139,'HW Dx Data'!$E:$F,2,FALSE)</f>
        <v>550.94063679692806</v>
      </c>
      <c r="DG139" s="89">
        <f ca="1">VLOOKUP(CC139,'ECI - Input Price'!M$13:N$33,2,FALSE)</f>
        <v>110.925</v>
      </c>
      <c r="DH139" s="89"/>
      <c r="DI139" s="89"/>
      <c r="DJ139" s="56">
        <f t="shared" ca="1" si="295"/>
        <v>2.7649425000884052E-2</v>
      </c>
      <c r="DK139" s="53">
        <f>HLOOKUP(H139,'GDP-PI'!$8:$9,2,FALSE)</f>
        <v>94.998999999999995</v>
      </c>
      <c r="DL139" s="355">
        <f t="shared" si="288"/>
        <v>7.7670088183096342E-3</v>
      </c>
      <c r="DP139" s="398"/>
      <c r="DQ139" s="398"/>
      <c r="DR139" s="398"/>
      <c r="DS139" s="398"/>
      <c r="DT139" s="398"/>
      <c r="DU139" s="398"/>
      <c r="DV139" s="398"/>
      <c r="DW139" s="398"/>
      <c r="DX139" s="398"/>
      <c r="EC139"/>
    </row>
    <row r="140" spans="1:133" s="126" customFormat="1" ht="21" customHeight="1" x14ac:dyDescent="0.4">
      <c r="A140" s="233" t="s">
        <v>190</v>
      </c>
      <c r="B140" s="127" t="s">
        <v>190</v>
      </c>
      <c r="C140" s="127">
        <v>4058793</v>
      </c>
      <c r="D140" s="127" t="s">
        <v>191</v>
      </c>
      <c r="E140" s="127"/>
      <c r="F140" s="127"/>
      <c r="G140" s="127" t="s">
        <v>166</v>
      </c>
      <c r="H140" s="128">
        <v>2010</v>
      </c>
      <c r="I140" s="129"/>
      <c r="J140" s="125">
        <f>IFERROR(INDEX('Labor Expenditures'!$E$7:$W$91,MATCH($C140,'Labor Expenditures'!$C$7:$C$91,0),MATCH($G140,'Labor Expenditures'!$E$5:$W$5,0)),"NA")</f>
        <v>343.59380139919244</v>
      </c>
      <c r="K140" s="125">
        <f t="shared" ca="1" si="289"/>
        <v>2.9385828642223002</v>
      </c>
      <c r="L140" s="47"/>
      <c r="M140" s="131">
        <f t="shared" ca="1" si="296"/>
        <v>5.993818632627745E-3</v>
      </c>
      <c r="N140" s="59"/>
      <c r="O140" s="59"/>
      <c r="P140" s="59">
        <f t="shared" ca="1" si="298"/>
        <v>8.5581679452622405E-7</v>
      </c>
      <c r="Q140" s="61"/>
      <c r="R140" s="387"/>
      <c r="S140" s="49">
        <f t="shared" ca="1" si="303"/>
        <v>97.495209222992571</v>
      </c>
      <c r="T140" s="61">
        <f ca="1">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</f>
        <v>-0.19457240290638525</v>
      </c>
      <c r="U140" s="61"/>
      <c r="V140" s="125">
        <f>IFERROR(INDEX('Non-Labor Expenditures'!$E$7:$AA$91,MATCH($C140,'Non-Labor Expenditures'!$C$7:$C$91,0),MATCH($G140,'Non-Labor Expenditures'!$E$5:$AA$5,0)),"NA")</f>
        <v>497.58799889593797</v>
      </c>
      <c r="W140" s="125">
        <f t="shared" si="290"/>
        <v>5.1773298951808675</v>
      </c>
      <c r="X140" s="131">
        <f t="shared" si="299"/>
        <v>4.7055626172453943E-2</v>
      </c>
      <c r="Y140" s="131">
        <f t="shared" si="300"/>
        <v>6.7187543740673135E-6</v>
      </c>
      <c r="Z140" s="131"/>
      <c r="AA140" s="131"/>
      <c r="AB140" s="131"/>
      <c r="AC140" s="125">
        <f t="shared" si="265"/>
        <v>403.53786662702134</v>
      </c>
      <c r="AD140" s="129"/>
      <c r="AE140" s="133">
        <v>29.217892483788013</v>
      </c>
      <c r="AF140" s="134">
        <v>6.41608162784416E-3</v>
      </c>
      <c r="AG140" s="59">
        <f t="shared" si="291"/>
        <v>9.1610886960603375E-7</v>
      </c>
      <c r="AH140" s="134"/>
      <c r="AI140" s="134"/>
      <c r="AJ140" s="129">
        <f t="shared" si="216"/>
        <v>1244.7196669221516</v>
      </c>
      <c r="AK140" s="134">
        <f t="shared" si="301"/>
        <v>5.0135481724281783E-2</v>
      </c>
      <c r="AL140" s="129"/>
      <c r="AM140" s="129"/>
      <c r="AN140" s="129"/>
      <c r="AO140" s="129"/>
      <c r="AP140" s="133">
        <f t="shared" si="302"/>
        <v>355.93928136178198</v>
      </c>
      <c r="AQ140" s="134">
        <f>+BB140/Outputs!$B$18</f>
        <v>9.88669793279522E-5</v>
      </c>
      <c r="AR140" s="93">
        <f t="shared" si="292"/>
        <v>0.27604111233238976</v>
      </c>
      <c r="AS140" s="93">
        <f t="shared" si="293"/>
        <v>0.3997590880252867</v>
      </c>
      <c r="AT140" s="93">
        <f t="shared" si="294"/>
        <v>0.32419979964232359</v>
      </c>
      <c r="AU140" s="93">
        <f t="shared" ca="1" si="297"/>
        <v>2.2476993421972569E-2</v>
      </c>
      <c r="AV140" s="132">
        <f t="shared" ca="1" si="305"/>
        <v>91.27130300122262</v>
      </c>
      <c r="AW140" s="134">
        <f t="shared" ca="1" si="306"/>
        <v>2.2476993421972676E-2</v>
      </c>
      <c r="AX140" s="56">
        <f>+AJ140/$AL$15</f>
        <v>1.4278323168931558E-4</v>
      </c>
      <c r="AY140" s="135">
        <f t="shared" ca="1" si="304"/>
        <v>3.2093377594487468E-6</v>
      </c>
      <c r="AZ140" s="93"/>
      <c r="BA140" s="93"/>
      <c r="BB140" s="234">
        <f>IFERROR(INDEX('Total Customers'!$E$7:$AA$91,MATCH($C140,'Total Customers'!$C$7:$C$91,0),MATCH($G140,'Total Customers'!$E$5:$AA$5,0)),"NA")</f>
        <v>3497</v>
      </c>
      <c r="BC140" s="411">
        <f t="shared" si="283"/>
        <v>0</v>
      </c>
      <c r="BD140" s="92"/>
      <c r="BE140" s="281" t="str">
        <f t="shared" si="278"/>
        <v>BLUEFIELD GAS COMPANY</v>
      </c>
      <c r="BF140" s="290">
        <f t="shared" si="279"/>
        <v>4058793</v>
      </c>
      <c r="BG140" s="46" t="str">
        <f t="shared" si="280"/>
        <v>WV</v>
      </c>
      <c r="BH140" s="46"/>
      <c r="BI140" s="46" t="str">
        <f t="shared" si="281"/>
        <v>2010 Y</v>
      </c>
      <c r="BJ140" s="129"/>
      <c r="BK140" s="129"/>
      <c r="BL140" s="129">
        <f>INDEX('Dist. Plant Gas Additions'!$E$7:$AD$91,MATCH($C140,'Dist. Plant Gas Additions'!$C$7:$C$91,0),MATCH(Calculation!$G140,'Dist. Plant Gas Additions'!$E$5:$AD$5,0))</f>
        <v>202</v>
      </c>
      <c r="BM140" s="129">
        <f>INDEX('Gen. Plant Additions'!$E$7:$AD$91,MATCH($C140,'Gen. Plant Additions'!$C$7:$C$91,0),MATCH(Calculation!$G140,'Gen. Plant Additions'!$E$5:$AD$5,0))</f>
        <v>18</v>
      </c>
      <c r="BN140" s="393">
        <f t="shared" si="266"/>
        <v>0.87721941246099211</v>
      </c>
      <c r="BO140" s="46">
        <f t="shared" si="260"/>
        <v>15.789949424297857</v>
      </c>
      <c r="BP140" s="46">
        <f t="shared" si="261"/>
        <v>-2.2100505757021427</v>
      </c>
      <c r="BQ140" s="129"/>
      <c r="BR140" s="129"/>
      <c r="BS140" s="129"/>
      <c r="BT140" s="129"/>
      <c r="BU140" s="129"/>
      <c r="BV140" s="129"/>
      <c r="BW140" s="129"/>
      <c r="BX140" s="129"/>
      <c r="BY140" s="129">
        <f>INDEX('Gross Dx Plant'!$D$7:$AC$91,MATCH($C140,'Gross Dx Plant'!$C$7:$C$91,0),MATCH(Calculation!$G140,'Gross Dx Plant'!$D$5:$AC$5,0))</f>
        <v>8152</v>
      </c>
      <c r="BZ140" s="129">
        <f>INDEX('Gross Gen Plant'!$D$7:$AC$91,MATCH($C140,'Gross Gen Plant'!$C$7:$C$91,0),MATCH(Calculation!$G140,'Gross Gen Plant'!$D$5:$AC$5,0))</f>
        <v>1141</v>
      </c>
      <c r="CA140" s="129">
        <f t="shared" si="172"/>
        <v>9293</v>
      </c>
      <c r="CB140" s="129"/>
      <c r="CC140" s="133">
        <v>2010</v>
      </c>
      <c r="CD140" s="129"/>
      <c r="CE140" s="129"/>
      <c r="CF140" s="129"/>
      <c r="CG140" s="137"/>
      <c r="CH140" s="129">
        <f t="shared" si="267"/>
        <v>220</v>
      </c>
      <c r="CI140" s="46">
        <f t="shared" si="276"/>
        <v>217.78994942429784</v>
      </c>
      <c r="CJ140" s="46">
        <f t="shared" si="268"/>
        <v>0.38276619940742473</v>
      </c>
      <c r="CK140" s="443">
        <v>0.8666666666666667</v>
      </c>
      <c r="CL140" s="46">
        <f>+CL128*CK140+CJ129*CK139+CJ130*CK138+CJ131*CK137+CJ132*CK136+CJ133*CK135+CJ134*CK134+CJ135*CK133+CJ136*CK132+CJ137*CK131+CJ138*CK130+CJ139*CK129+CJ140</f>
        <v>27.468137637911468</v>
      </c>
      <c r="CM140" s="134">
        <f t="shared" si="269"/>
        <v>9.3995685134712977E-4</v>
      </c>
      <c r="CN140" s="135">
        <f t="shared" si="270"/>
        <v>1.3007621947074376E-2</v>
      </c>
      <c r="CO140" s="135">
        <f t="shared" si="284"/>
        <v>1.2662618298195564E-2</v>
      </c>
      <c r="CP140" s="134">
        <f>VLOOKUP($H140,RoR!$E:$F,2,FALSE)</f>
        <v>4.9433333333333322E-2</v>
      </c>
      <c r="CQ140" s="135">
        <v>1.1684333519300205E-2</v>
      </c>
      <c r="CR140" s="135">
        <f t="shared" si="277"/>
        <v>3.7748999814033117E-2</v>
      </c>
      <c r="CS140" s="135">
        <f t="shared" si="285"/>
        <v>1.8239323310338063E-2</v>
      </c>
      <c r="CT140" s="135">
        <f t="shared" si="286"/>
        <v>4.7937530248493419E-2</v>
      </c>
      <c r="CU140" s="139">
        <f t="shared" si="271"/>
        <v>0.85126000000000002</v>
      </c>
      <c r="CV140" s="335">
        <f t="shared" si="272"/>
        <v>1.037398205301105</v>
      </c>
      <c r="CW140" s="335">
        <f t="shared" si="273"/>
        <v>0.46926837491571133</v>
      </c>
      <c r="CX140" s="335">
        <f t="shared" si="274"/>
        <v>0.8548537519972772</v>
      </c>
      <c r="CY140" s="335">
        <f t="shared" si="275"/>
        <v>0.41615833911547367</v>
      </c>
      <c r="CZ140" s="336">
        <f>INDEX('State Tax Lookup'!$D$7:$Z$91,MATCH(Calculation!$C140,'State Tax Lookup'!$B$7:$B$91,0),MATCH($H140,'State Tax Lookup'!$D$6:$Z$6,0))</f>
        <v>0.40200000000000002</v>
      </c>
      <c r="DA140" s="303">
        <v>0.37</v>
      </c>
      <c r="DB140" s="57">
        <f t="shared" si="282"/>
        <v>14.704941356292734</v>
      </c>
      <c r="DC140" s="56">
        <f t="shared" si="287"/>
        <v>1.5659109992957436E-2</v>
      </c>
      <c r="DD140" s="303">
        <f>VLOOKUP($H140,RoR!$E:$F,2,FALSE)</f>
        <v>4.9433333333333322E-2</v>
      </c>
      <c r="DE140" s="304">
        <f>HLOOKUP($H140,'GDP-PI'!$D$8:$CQ$11,3,FALSE)</f>
        <v>1.1684333519300205E-2</v>
      </c>
      <c r="DF140" s="303">
        <f>VLOOKUP(H140,'HW Dx Data'!$E:$F,2,FALSE)</f>
        <v>568.98950262971744</v>
      </c>
      <c r="DG140" s="89">
        <f ca="1">VLOOKUP(CC140,'ECI - Input Price'!M$13:N$33,2,FALSE)</f>
        <v>116.925</v>
      </c>
      <c r="DH140" s="89"/>
      <c r="DI140" s="89"/>
      <c r="DJ140" s="56">
        <f t="shared" ca="1" si="295"/>
        <v>5.2678406346976722E-2</v>
      </c>
      <c r="DK140" s="53">
        <f>HLOOKUP(H140,'GDP-PI'!$8:$9,2,FALSE)</f>
        <v>96.108999999999995</v>
      </c>
      <c r="DL140" s="355">
        <f t="shared" si="288"/>
        <v>1.1616598807150427E-2</v>
      </c>
      <c r="DP140" s="398"/>
      <c r="DQ140" s="398"/>
      <c r="DR140" s="398"/>
      <c r="DS140" s="398"/>
      <c r="DT140" s="398"/>
      <c r="DU140" s="398"/>
      <c r="DV140" s="398"/>
      <c r="DW140" s="398"/>
      <c r="DX140" s="398"/>
      <c r="EC140"/>
    </row>
    <row r="141" spans="1:133" s="126" customFormat="1" ht="21" customHeight="1" x14ac:dyDescent="0.4">
      <c r="A141" s="233" t="s">
        <v>190</v>
      </c>
      <c r="B141" s="127" t="s">
        <v>190</v>
      </c>
      <c r="C141" s="127">
        <v>4058793</v>
      </c>
      <c r="D141" s="127" t="s">
        <v>191</v>
      </c>
      <c r="E141" s="127"/>
      <c r="F141" s="127"/>
      <c r="G141" s="127" t="s">
        <v>167</v>
      </c>
      <c r="H141" s="128">
        <v>2011</v>
      </c>
      <c r="I141" s="129"/>
      <c r="J141" s="125">
        <f>IFERROR(INDEX('Labor Expenditures'!$E$7:$W$91,MATCH($C141,'Labor Expenditures'!$C$7:$C$91,0),MATCH($G141,'Labor Expenditures'!$E$5:$W$5,0)),"NA")</f>
        <v>356.69351114804113</v>
      </c>
      <c r="K141" s="125">
        <f t="shared" ca="1" si="289"/>
        <v>2.9509287375225739</v>
      </c>
      <c r="L141" s="47"/>
      <c r="M141" s="131">
        <f t="shared" ca="1" si="296"/>
        <v>4.192500913078847E-3</v>
      </c>
      <c r="N141" s="59"/>
      <c r="O141" s="59"/>
      <c r="P141" s="59">
        <f t="shared" ca="1" si="298"/>
        <v>6.0060099368156667E-7</v>
      </c>
      <c r="Q141" s="61"/>
      <c r="R141" s="387"/>
      <c r="S141" s="49">
        <f t="shared" ca="1" si="303"/>
        <v>116.9640767185538</v>
      </c>
      <c r="T141" s="61">
        <f ca="1">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</f>
        <v>0.18206361043666844</v>
      </c>
      <c r="U141" s="61"/>
      <c r="V141" s="125">
        <f>IFERROR(INDEX('Non-Labor Expenditures'!$E$7:$AA$91,MATCH($C141,'Non-Labor Expenditures'!$C$7:$C$91,0),MATCH($G141,'Non-Labor Expenditures'!$E$5:$AA$5,0)),"NA")</f>
        <v>516.55882530055703</v>
      </c>
      <c r="W141" s="125">
        <f t="shared" si="290"/>
        <v>5.264991288533075</v>
      </c>
      <c r="X141" s="131">
        <f t="shared" si="299"/>
        <v>1.6790031861738341E-2</v>
      </c>
      <c r="Y141" s="131">
        <f t="shared" si="300"/>
        <v>2.4052731362912798E-6</v>
      </c>
      <c r="Z141" s="131"/>
      <c r="AA141" s="131"/>
      <c r="AB141" s="131"/>
      <c r="AC141" s="125">
        <f t="shared" si="265"/>
        <v>426.46393909910063</v>
      </c>
      <c r="AD141" s="129"/>
      <c r="AE141" s="133">
        <v>29.422844072895522</v>
      </c>
      <c r="AF141" s="134">
        <v>6.9901040015011599E-3</v>
      </c>
      <c r="AG141" s="59">
        <f t="shared" si="291"/>
        <v>1.0013744770197351E-6</v>
      </c>
      <c r="AH141" s="134"/>
      <c r="AI141" s="134"/>
      <c r="AJ141" s="129">
        <f t="shared" si="216"/>
        <v>1299.7162755476988</v>
      </c>
      <c r="AK141" s="134">
        <f t="shared" si="301"/>
        <v>4.3235653636948077E-2</v>
      </c>
      <c r="AL141" s="129"/>
      <c r="AM141" s="129"/>
      <c r="AN141" s="129"/>
      <c r="AO141" s="129"/>
      <c r="AP141" s="133">
        <f t="shared" si="302"/>
        <v>378.37446158593855</v>
      </c>
      <c r="AQ141" s="134">
        <f>+BB141/Outputs!$B$19</f>
        <v>9.6645544292934299E-5</v>
      </c>
      <c r="AR141" s="93">
        <f t="shared" si="292"/>
        <v>0.27443952026970725</v>
      </c>
      <c r="AS141" s="93">
        <f t="shared" si="293"/>
        <v>0.39743968358238785</v>
      </c>
      <c r="AT141" s="93">
        <f t="shared" si="294"/>
        <v>0.32812079614790485</v>
      </c>
      <c r="AU141" s="93">
        <f t="shared" ca="1" si="297"/>
        <v>1.0126336068571466E-2</v>
      </c>
      <c r="AV141" s="132">
        <f t="shared" ca="1" si="305"/>
        <v>92.200242326747599</v>
      </c>
      <c r="AW141" s="134">
        <f t="shared" ca="1" si="306"/>
        <v>1.0126336068571383E-2</v>
      </c>
      <c r="AX141" s="56">
        <f>+AJ141/$AL$16</f>
        <v>1.4325601976804422E-4</v>
      </c>
      <c r="AY141" s="135">
        <f t="shared" ca="1" si="304"/>
        <v>1.4506586000171212E-6</v>
      </c>
      <c r="AZ141" s="93"/>
      <c r="BA141" s="93"/>
      <c r="BB141" s="234">
        <f>IFERROR(INDEX('Total Customers'!$E$7:$AA$91,MATCH($C141,'Total Customers'!$C$7:$C$91,0),MATCH($G141,'Total Customers'!$E$5:$AA$5,0)),"NA")</f>
        <v>3435</v>
      </c>
      <c r="BC141" s="411">
        <f t="shared" si="283"/>
        <v>-1.7888532406926099E-2</v>
      </c>
      <c r="BD141" s="92"/>
      <c r="BE141" s="281" t="str">
        <f t="shared" si="278"/>
        <v>BLUEFIELD GAS COMPANY</v>
      </c>
      <c r="BF141" s="290">
        <f t="shared" si="279"/>
        <v>4058793</v>
      </c>
      <c r="BG141" s="46" t="str">
        <f t="shared" si="280"/>
        <v>WV</v>
      </c>
      <c r="BH141" s="46"/>
      <c r="BI141" s="46" t="str">
        <f t="shared" si="281"/>
        <v>2011 Y</v>
      </c>
      <c r="BJ141" s="129"/>
      <c r="BK141" s="129"/>
      <c r="BL141" s="129">
        <f>INDEX('Dist. Plant Gas Additions'!$E$7:$AD$91,MATCH($C141,'Dist. Plant Gas Additions'!$C$7:$C$91,0),MATCH(Calculation!$G141,'Dist. Plant Gas Additions'!$E$5:$AD$5,0))</f>
        <v>226</v>
      </c>
      <c r="BM141" s="129">
        <f>INDEX('Gen. Plant Additions'!$E$7:$AD$91,MATCH($C141,'Gen. Plant Additions'!$C$7:$C$91,0),MATCH(Calculation!$G141,'Gen. Plant Additions'!$E$5:$AD$5,0))</f>
        <v>27</v>
      </c>
      <c r="BN141" s="393">
        <f t="shared" si="266"/>
        <v>0.8777498428661219</v>
      </c>
      <c r="BO141" s="46">
        <f t="shared" si="260"/>
        <v>23.699245757385292</v>
      </c>
      <c r="BP141" s="46">
        <f t="shared" si="261"/>
        <v>-3.3007542426147083</v>
      </c>
      <c r="BQ141" s="129"/>
      <c r="BR141" s="129"/>
      <c r="BS141" s="129"/>
      <c r="BT141" s="129"/>
      <c r="BU141" s="129"/>
      <c r="BV141" s="129"/>
      <c r="BW141" s="129"/>
      <c r="BX141" s="129"/>
      <c r="BY141" s="129">
        <f>INDEX('Gross Dx Plant'!$D$7:$AC$91,MATCH($C141,'Gross Dx Plant'!$C$7:$C$91,0),MATCH(Calculation!$G141,'Gross Dx Plant'!$D$5:$AC$5,0))</f>
        <v>8379</v>
      </c>
      <c r="BZ141" s="129">
        <f>INDEX('Gross Gen Plant'!$D$7:$AC$91,MATCH($C141,'Gross Gen Plant'!$C$7:$C$91,0),MATCH(Calculation!$G141,'Gross Gen Plant'!$D$5:$AC$5,0))</f>
        <v>1167</v>
      </c>
      <c r="CA141" s="129">
        <f t="shared" si="172"/>
        <v>9546</v>
      </c>
      <c r="CB141" s="129"/>
      <c r="CC141" s="133">
        <v>2011</v>
      </c>
      <c r="CD141" s="129"/>
      <c r="CE141" s="129"/>
      <c r="CF141" s="129"/>
      <c r="CG141" s="137"/>
      <c r="CH141" s="129">
        <f t="shared" si="267"/>
        <v>253</v>
      </c>
      <c r="CI141" s="46">
        <f t="shared" si="276"/>
        <v>249.69924575738528</v>
      </c>
      <c r="CJ141" s="46">
        <f t="shared" si="268"/>
        <v>0.40826474100992655</v>
      </c>
      <c r="CK141" s="443">
        <v>0.8539325842696629</v>
      </c>
      <c r="CL141" s="46">
        <f>+CL128*CK141+CJ129*CK140+CJ130*CK139+CJ131*CK138+CJ132*CK137+CJ133*CK136+CJ134*CK135+CJ135*CK134+CJ136*CK133+CJ137*CK132+CJ138*CK131+CJ139*CK130+CJ140*CK129+CJ141</f>
        <v>27.507828188029563</v>
      </c>
      <c r="CM141" s="134">
        <f t="shared" si="269"/>
        <v>1.4439239554140621E-3</v>
      </c>
      <c r="CN141" s="135">
        <f t="shared" si="270"/>
        <v>1.341824464950714E-2</v>
      </c>
      <c r="CO141" s="135">
        <f t="shared" si="284"/>
        <v>1.3028692282298505E-2</v>
      </c>
      <c r="CP141" s="134">
        <f>VLOOKUP($H141,RoR!$E:$F,2,FALSE)</f>
        <v>4.6391666666666664E-2</v>
      </c>
      <c r="CQ141" s="135">
        <v>2.0840920205183799E-2</v>
      </c>
      <c r="CR141" s="135">
        <f t="shared" si="277"/>
        <v>2.5550746461482865E-2</v>
      </c>
      <c r="CS141" s="135">
        <f t="shared" si="285"/>
        <v>1.787324932623512E-2</v>
      </c>
      <c r="CT141" s="135">
        <f t="shared" si="286"/>
        <v>2.4810540821321614E-2</v>
      </c>
      <c r="CU141" s="139">
        <f t="shared" si="271"/>
        <v>0.85126000000000002</v>
      </c>
      <c r="CV141" s="335">
        <f t="shared" si="272"/>
        <v>1.1054151524782025</v>
      </c>
      <c r="CW141" s="335">
        <f t="shared" si="273"/>
        <v>0.43611011316687626</v>
      </c>
      <c r="CX141" s="335">
        <f t="shared" si="274"/>
        <v>0.83698442246886229</v>
      </c>
      <c r="CY141" s="335">
        <f t="shared" si="275"/>
        <v>0.40349573304423936</v>
      </c>
      <c r="CZ141" s="336">
        <f>INDEX('State Tax Lookup'!$D$7:$Z$91,MATCH(Calculation!$C141,'State Tax Lookup'!$B$7:$B$91,0),MATCH($H141,'State Tax Lookup'!$D$6:$Z$6,0))</f>
        <v>0.40200000000000002</v>
      </c>
      <c r="DA141" s="303">
        <v>0.37</v>
      </c>
      <c r="DB141" s="57">
        <f t="shared" si="282"/>
        <v>15.525768245405031</v>
      </c>
      <c r="DC141" s="56">
        <f t="shared" si="287"/>
        <v>5.4317527014719445E-2</v>
      </c>
      <c r="DD141" s="303">
        <f>VLOOKUP($H141,RoR!$E:$F,2,FALSE)</f>
        <v>4.6391666666666664E-2</v>
      </c>
      <c r="DE141" s="304">
        <f>HLOOKUP($H141,'GDP-PI'!$D$8:$CQ$11,3,FALSE)</f>
        <v>2.0840920205183799E-2</v>
      </c>
      <c r="DF141" s="303">
        <f>VLOOKUP(H141,'HW Dx Data'!$E:$F,2,FALSE)</f>
        <v>611.61109612283201</v>
      </c>
      <c r="DG141" s="89">
        <f ca="1">VLOOKUP(CC141,'ECI - Input Price'!M$13:N$33,2,FALSE)</f>
        <v>120.875</v>
      </c>
      <c r="DH141" s="89"/>
      <c r="DI141" s="89"/>
      <c r="DJ141" s="56">
        <f t="shared" ca="1" si="295"/>
        <v>3.3224250161508609E-2</v>
      </c>
      <c r="DK141" s="53">
        <f>HLOOKUP(H141,'GDP-PI'!$8:$9,2,FALSE)</f>
        <v>98.111999999999995</v>
      </c>
      <c r="DL141" s="355">
        <f t="shared" si="288"/>
        <v>2.0626719212849295E-2</v>
      </c>
      <c r="DP141" s="398"/>
      <c r="DQ141" s="398"/>
      <c r="DR141" s="398"/>
      <c r="DS141" s="398"/>
      <c r="DT141" s="398"/>
      <c r="DU141" s="398"/>
      <c r="DV141" s="398"/>
      <c r="DW141" s="398"/>
      <c r="DX141" s="398"/>
      <c r="EC141"/>
    </row>
    <row r="142" spans="1:133" s="126" customFormat="1" ht="21" customHeight="1" x14ac:dyDescent="0.4">
      <c r="A142" s="233" t="s">
        <v>190</v>
      </c>
      <c r="B142" s="127" t="s">
        <v>190</v>
      </c>
      <c r="C142" s="127">
        <v>4058793</v>
      </c>
      <c r="D142" s="127" t="s">
        <v>191</v>
      </c>
      <c r="E142" s="127"/>
      <c r="F142" s="127"/>
      <c r="G142" s="127" t="s">
        <v>168</v>
      </c>
      <c r="H142" s="128">
        <v>2012</v>
      </c>
      <c r="I142" s="129"/>
      <c r="J142" s="125">
        <f>IFERROR(INDEX('Labor Expenditures'!$E$7:$W$91,MATCH($C142,'Labor Expenditures'!$C$7:$C$91,0),MATCH($G142,'Labor Expenditures'!$E$5:$W$5,0)),"NA")</f>
        <v>371.48257582712938</v>
      </c>
      <c r="K142" s="125">
        <f t="shared" ca="1" si="289"/>
        <v>2.9766232037430238</v>
      </c>
      <c r="L142" s="47"/>
      <c r="M142" s="131">
        <f t="shared" ca="1" si="296"/>
        <v>8.6695578243752344E-3</v>
      </c>
      <c r="N142" s="59"/>
      <c r="O142" s="59"/>
      <c r="P142" s="59">
        <f t="shared" ca="1" si="298"/>
        <v>1.2601845317027395E-6</v>
      </c>
      <c r="Q142" s="61"/>
      <c r="R142" s="387"/>
      <c r="S142" s="49">
        <f t="shared" ca="1" si="303"/>
        <v>114.32187531343136</v>
      </c>
      <c r="T142" s="61">
        <f ca="1">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</f>
        <v>-2.2848913500443765E-2</v>
      </c>
      <c r="U142" s="61"/>
      <c r="V142" s="125">
        <f>IFERROR(INDEX('Non-Labor Expenditures'!$E$7:$AA$91,MATCH($C142,'Non-Labor Expenditures'!$C$7:$C$91,0),MATCH($G142,'Non-Labor Expenditures'!$E$5:$AA$5,0)),"NA")</f>
        <v>537.97615317214024</v>
      </c>
      <c r="W142" s="125">
        <f t="shared" si="290"/>
        <v>5.3797615317214023</v>
      </c>
      <c r="X142" s="131">
        <f t="shared" si="299"/>
        <v>2.1564557247501843E-2</v>
      </c>
      <c r="Y142" s="131">
        <f t="shared" si="300"/>
        <v>3.1345683397963144E-6</v>
      </c>
      <c r="Z142" s="131"/>
      <c r="AA142" s="131"/>
      <c r="AB142" s="131"/>
      <c r="AC142" s="125">
        <f t="shared" si="265"/>
        <v>455.2090737562558</v>
      </c>
      <c r="AD142" s="129"/>
      <c r="AE142" s="133">
        <v>29.899793126747984</v>
      </c>
      <c r="AF142" s="134">
        <v>1.6080179623480795E-2</v>
      </c>
      <c r="AG142" s="59">
        <f t="shared" si="291"/>
        <v>2.3373733746302557E-6</v>
      </c>
      <c r="AH142" s="134"/>
      <c r="AI142" s="134"/>
      <c r="AJ142" s="129">
        <f t="shared" si="216"/>
        <v>1364.6678027555254</v>
      </c>
      <c r="AK142" s="134">
        <f t="shared" si="301"/>
        <v>4.8765040004576543E-2</v>
      </c>
      <c r="AL142" s="129"/>
      <c r="AM142" s="129"/>
      <c r="AN142" s="129"/>
      <c r="AO142" s="129"/>
      <c r="AP142" s="133">
        <f t="shared" si="302"/>
        <v>399.72694866887093</v>
      </c>
      <c r="AQ142" s="134">
        <f>+BB142/Outputs!$B$20</f>
        <v>9.5594373417103194E-5</v>
      </c>
      <c r="AR142" s="93">
        <f t="shared" si="292"/>
        <v>0.27221465552058527</v>
      </c>
      <c r="AS142" s="93">
        <f t="shared" si="293"/>
        <v>0.39421766387824458</v>
      </c>
      <c r="AT142" s="93">
        <f t="shared" si="294"/>
        <v>0.3335676806011702</v>
      </c>
      <c r="AU142" s="93">
        <f t="shared" ca="1" si="297"/>
        <v>1.6225529868791454E-2</v>
      </c>
      <c r="AV142" s="132">
        <f t="shared" ca="1" si="305"/>
        <v>93.708442699387135</v>
      </c>
      <c r="AW142" s="134">
        <f t="shared" ca="1" si="306"/>
        <v>1.6225529868791409E-2</v>
      </c>
      <c r="AX142" s="56">
        <f>+AJ142/$AL$17</f>
        <v>1.4535741697917031E-4</v>
      </c>
      <c r="AY142" s="135">
        <f t="shared" ca="1" si="304"/>
        <v>2.3585011108458953E-6</v>
      </c>
      <c r="AZ142" s="93"/>
      <c r="BA142" s="93"/>
      <c r="BB142" s="234">
        <f>IFERROR(INDEX('Total Customers'!$E$7:$AA$91,MATCH($C142,'Total Customers'!$C$7:$C$91,0),MATCH($G142,'Total Customers'!$E$5:$AA$5,0)),"NA")</f>
        <v>3414</v>
      </c>
      <c r="BC142" s="411">
        <f t="shared" si="283"/>
        <v>-6.1323013020638294E-3</v>
      </c>
      <c r="BD142" s="92"/>
      <c r="BE142" s="281" t="str">
        <f t="shared" si="278"/>
        <v>BLUEFIELD GAS COMPANY</v>
      </c>
      <c r="BF142" s="290">
        <f t="shared" si="279"/>
        <v>4058793</v>
      </c>
      <c r="BG142" s="46" t="str">
        <f t="shared" si="280"/>
        <v>WV</v>
      </c>
      <c r="BH142" s="46"/>
      <c r="BI142" s="46" t="str">
        <f t="shared" si="281"/>
        <v>2012 Y</v>
      </c>
      <c r="BJ142" s="129"/>
      <c r="BK142" s="129"/>
      <c r="BL142" s="129">
        <f>INDEX('Dist. Plant Gas Additions'!$E$7:$AD$91,MATCH($C142,'Dist. Plant Gas Additions'!$C$7:$C$91,0),MATCH(Calculation!$G142,'Dist. Plant Gas Additions'!$E$5:$AD$5,0))</f>
        <v>420</v>
      </c>
      <c r="BM142" s="129">
        <f>INDEX('Gen. Plant Additions'!$E$7:$AD$91,MATCH($C142,'Gen. Plant Additions'!$C$7:$C$91,0),MATCH(Calculation!$G142,'Gen. Plant Additions'!$E$5:$AD$5,0))</f>
        <v>45</v>
      </c>
      <c r="BN142" s="393">
        <f t="shared" si="266"/>
        <v>0.87893317350913991</v>
      </c>
      <c r="BO142" s="46">
        <f>+BN142*BM142</f>
        <v>39.551992807911297</v>
      </c>
      <c r="BP142" s="46">
        <f>+BO142-BM142</f>
        <v>-5.4480071920887028</v>
      </c>
      <c r="BQ142" s="129"/>
      <c r="BR142" s="129"/>
      <c r="BS142" s="129"/>
      <c r="BT142" s="129"/>
      <c r="BU142" s="129"/>
      <c r="BV142" s="129"/>
      <c r="BW142" s="129"/>
      <c r="BX142" s="129"/>
      <c r="BY142" s="129">
        <f>INDEX('Gross Dx Plant'!$D$7:$AC$91,MATCH($C142,'Gross Dx Plant'!$C$7:$C$91,0),MATCH(Calculation!$G142,'Gross Dx Plant'!$D$5:$AC$5,0))</f>
        <v>8799</v>
      </c>
      <c r="BZ142" s="129">
        <f>INDEX('Gross Gen Plant'!$D$7:$AC$91,MATCH($C142,'Gross Gen Plant'!$C$7:$C$91,0),MATCH(Calculation!$G142,'Gross Gen Plant'!$D$5:$AC$5,0))</f>
        <v>1212</v>
      </c>
      <c r="CA142" s="129">
        <f t="shared" ref="CA142:CA211" si="307">IF(OR(BQ142="NA",BR142="NA"),"NA",(SUM(BY142:BZ142)-SUM(BQ142:BR142)))</f>
        <v>10011</v>
      </c>
      <c r="CB142" s="129"/>
      <c r="CC142" s="133">
        <v>2012</v>
      </c>
      <c r="CD142" s="129"/>
      <c r="CE142" s="129"/>
      <c r="CF142" s="129"/>
      <c r="CG142" s="137"/>
      <c r="CH142" s="129">
        <f t="shared" si="267"/>
        <v>465</v>
      </c>
      <c r="CI142" s="46">
        <f t="shared" si="276"/>
        <v>459.55199280791129</v>
      </c>
      <c r="CJ142" s="46">
        <f t="shared" si="268"/>
        <v>0.68700660545508874</v>
      </c>
      <c r="CK142" s="443">
        <v>0.84090909090909094</v>
      </c>
      <c r="CL142" s="46">
        <f>+CL128*CK142+CJ129*CK141+CJ130*CK140+CJ131*CK139+CJ132*CK138+CJ133*CK137+CJ134*CK136+CJ135*CK135+CJ136*CK134+CJ137*CK133+CJ138*CK132+CJ139*CK131+CJ140*CK130+CJ141*CK129+CJ142</f>
        <v>27.814057165832381</v>
      </c>
      <c r="CM142" s="134">
        <f t="shared" si="269"/>
        <v>1.1070920797120043E-2</v>
      </c>
      <c r="CN142" s="135">
        <f t="shared" si="270"/>
        <v>1.3842518756823281E-2</v>
      </c>
      <c r="CO142" s="135">
        <f t="shared" si="284"/>
        <v>1.3422795117801598E-2</v>
      </c>
      <c r="CP142" s="134">
        <f>VLOOKUP($H142,RoR!$E:$F,2,FALSE)</f>
        <v>3.6733333333333333E-2</v>
      </c>
      <c r="CQ142" s="135">
        <v>1.924331376386168E-2</v>
      </c>
      <c r="CR142" s="135">
        <f t="shared" si="277"/>
        <v>1.7490019569471653E-2</v>
      </c>
      <c r="CS142" s="135">
        <f t="shared" si="285"/>
        <v>1.7479146490732025E-2</v>
      </c>
      <c r="CT142" s="135">
        <f t="shared" si="286"/>
        <v>6.7122682943869583E-2</v>
      </c>
      <c r="CU142" s="139">
        <f t="shared" si="271"/>
        <v>0.85126000000000002</v>
      </c>
      <c r="CV142" s="335">
        <f t="shared" si="272"/>
        <v>1.3960631020522127</v>
      </c>
      <c r="CW142" s="335">
        <f t="shared" si="273"/>
        <v>0.29441923774954631</v>
      </c>
      <c r="CX142" s="335">
        <f t="shared" si="274"/>
        <v>0.76377954189366437</v>
      </c>
      <c r="CY142" s="335">
        <f t="shared" si="275"/>
        <v>0.31393465103033691</v>
      </c>
      <c r="CZ142" s="336">
        <f>INDEX('State Tax Lookup'!$D$7:$Z$91,MATCH(Calculation!$C142,'State Tax Lookup'!$B$7:$B$91,0),MATCH($H142,'State Tax Lookup'!$D$6:$Z$6,0))</f>
        <v>0.40200000000000002</v>
      </c>
      <c r="DA142" s="303">
        <v>0.37</v>
      </c>
      <c r="DB142" s="57">
        <f t="shared" si="282"/>
        <v>16.548346552286041</v>
      </c>
      <c r="DC142" s="56">
        <f t="shared" si="287"/>
        <v>6.3785079624482224E-2</v>
      </c>
      <c r="DD142" s="303">
        <f>VLOOKUP($H142,RoR!$E:$F,2,FALSE)</f>
        <v>3.6733333333333333E-2</v>
      </c>
      <c r="DE142" s="304">
        <f>HLOOKUP($H142,'GDP-PI'!$D$8:$CQ$11,3,FALSE)</f>
        <v>1.924331376386168E-2</v>
      </c>
      <c r="DF142" s="303">
        <f>VLOOKUP(H142,'HW Dx Data'!$E:$F,2,FALSE)</f>
        <v>668.91932211262167</v>
      </c>
      <c r="DG142" s="89">
        <f ca="1">VLOOKUP(CC142,'ECI - Input Price'!M$13:N$33,2,FALSE)</f>
        <v>124.80000000000001</v>
      </c>
      <c r="DH142" s="89"/>
      <c r="DI142" s="89"/>
      <c r="DJ142" s="56">
        <f t="shared" ca="1" si="295"/>
        <v>3.1955502161869064E-2</v>
      </c>
      <c r="DK142" s="53">
        <f>HLOOKUP(H142,'GDP-PI'!$8:$9,2,FALSE)</f>
        <v>100</v>
      </c>
      <c r="DL142" s="355">
        <f t="shared" si="288"/>
        <v>1.9060502738742411E-2</v>
      </c>
      <c r="DP142" s="398"/>
      <c r="DQ142" s="398"/>
      <c r="DR142" s="398"/>
      <c r="DS142" s="398"/>
      <c r="DT142" s="398"/>
      <c r="DU142" s="398"/>
      <c r="DV142" s="398"/>
      <c r="DW142" s="398"/>
      <c r="DX142" s="398"/>
      <c r="EC142"/>
    </row>
    <row r="143" spans="1:133" s="126" customFormat="1" ht="21" customHeight="1" x14ac:dyDescent="0.4">
      <c r="A143" s="233" t="s">
        <v>190</v>
      </c>
      <c r="B143" s="127" t="s">
        <v>190</v>
      </c>
      <c r="C143" s="127">
        <v>4058793</v>
      </c>
      <c r="D143" s="127" t="s">
        <v>191</v>
      </c>
      <c r="E143" s="127"/>
      <c r="F143" s="127"/>
      <c r="G143" s="127" t="s">
        <v>169</v>
      </c>
      <c r="H143" s="128">
        <v>2013</v>
      </c>
      <c r="I143" s="129"/>
      <c r="J143" s="125">
        <f>IFERROR(INDEX('Labor Expenditures'!$E$7:$W$91,MATCH($C143,'Labor Expenditures'!$C$7:$C$91,0),MATCH($G143,'Labor Expenditures'!$E$5:$W$5,0)),"NA")</f>
        <v>349.83340447168922</v>
      </c>
      <c r="K143" s="125">
        <f t="shared" ca="1" si="289"/>
        <v>2.7589385210701045</v>
      </c>
      <c r="L143" s="47"/>
      <c r="M143" s="131">
        <f t="shared" ca="1" si="296"/>
        <v>-7.5943492968838067E-2</v>
      </c>
      <c r="N143" s="59"/>
      <c r="O143" s="59"/>
      <c r="P143" s="59">
        <f t="shared" ca="1" si="298"/>
        <v>-1.0165978591545857E-5</v>
      </c>
      <c r="Q143" s="61"/>
      <c r="R143" s="387"/>
      <c r="S143" s="49">
        <f t="shared" ca="1" si="303"/>
        <v>108.35386126717536</v>
      </c>
      <c r="T143" s="61">
        <f ca="1">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</f>
        <v>-5.361557322736251E-2</v>
      </c>
      <c r="U143" s="61"/>
      <c r="V143" s="125">
        <f>IFERROR(INDEX('Non-Labor Expenditures'!$E$7:$AA$91,MATCH($C143,'Non-Labor Expenditures'!$C$7:$C$91,0),MATCH($G143,'Non-Labor Expenditures'!$E$5:$AA$5,0)),"NA")</f>
        <v>506.62410954201306</v>
      </c>
      <c r="W143" s="125">
        <f t="shared" si="290"/>
        <v>4.9779814837138838</v>
      </c>
      <c r="X143" s="131">
        <f t="shared" si="299"/>
        <v>-7.7619563917550385E-2</v>
      </c>
      <c r="Y143" s="131">
        <f t="shared" si="300"/>
        <v>-1.0390341479219632E-5</v>
      </c>
      <c r="Z143" s="131"/>
      <c r="AA143" s="131"/>
      <c r="AB143" s="131"/>
      <c r="AC143" s="125">
        <f t="shared" si="265"/>
        <v>446.10113439236267</v>
      </c>
      <c r="AD143" s="129"/>
      <c r="AE143" s="133">
        <v>29.926544797024413</v>
      </c>
      <c r="AF143" s="134">
        <v>8.94310866678646E-4</v>
      </c>
      <c r="AG143" s="59">
        <f t="shared" si="291"/>
        <v>1.1971460317966249E-7</v>
      </c>
      <c r="AH143" s="134"/>
      <c r="AI143" s="134"/>
      <c r="AJ143" s="129">
        <f t="shared" si="216"/>
        <v>1302.558648406065</v>
      </c>
      <c r="AK143" s="134">
        <f t="shared" si="301"/>
        <v>-4.6580509874758209E-2</v>
      </c>
      <c r="AL143" s="129"/>
      <c r="AM143" s="129"/>
      <c r="AN143" s="129"/>
      <c r="AO143" s="129"/>
      <c r="AP143" s="133">
        <f t="shared" si="302"/>
        <v>380.30909442512848</v>
      </c>
      <c r="AQ143" s="134">
        <f>+BB143/Outputs!$B$21</f>
        <v>9.5291164169231316E-5</v>
      </c>
      <c r="AR143" s="93">
        <f t="shared" si="292"/>
        <v>0.26857401384557905</v>
      </c>
      <c r="AS143" s="93">
        <f t="shared" si="293"/>
        <v>0.38894533475476645</v>
      </c>
      <c r="AT143" s="93">
        <f t="shared" si="294"/>
        <v>0.3424806513996545</v>
      </c>
      <c r="AU143" s="93">
        <f t="shared" ca="1" si="297"/>
        <v>-5.0626776785091858E-2</v>
      </c>
      <c r="AV143" s="132">
        <f t="shared" ca="1" si="305"/>
        <v>89.082375753089664</v>
      </c>
      <c r="AW143" s="134">
        <f t="shared" ca="1" si="306"/>
        <v>-5.0626776785091872E-2</v>
      </c>
      <c r="AX143" s="56">
        <f>+AJ143/$AL$18</f>
        <v>1.3386240471869354E-4</v>
      </c>
      <c r="AY143" s="135">
        <f t="shared" ca="1" si="304"/>
        <v>-6.7770220836089263E-6</v>
      </c>
      <c r="AZ143" s="93"/>
      <c r="BA143" s="93"/>
      <c r="BB143" s="234">
        <f>IFERROR(INDEX('Total Customers'!$E$7:$AA$91,MATCH($C143,'Total Customers'!$C$7:$C$91,0),MATCH($G143,'Total Customers'!$E$5:$AA$5,0)),"NA")</f>
        <v>3425</v>
      </c>
      <c r="BC143" s="411">
        <f t="shared" si="283"/>
        <v>3.2168473419397748E-3</v>
      </c>
      <c r="BD143" s="92"/>
      <c r="BE143" s="281" t="str">
        <f t="shared" si="278"/>
        <v>BLUEFIELD GAS COMPANY</v>
      </c>
      <c r="BF143" s="290">
        <f t="shared" si="279"/>
        <v>4058793</v>
      </c>
      <c r="BG143" s="46" t="str">
        <f t="shared" si="280"/>
        <v>WV</v>
      </c>
      <c r="BH143" s="46"/>
      <c r="BI143" s="46" t="str">
        <f t="shared" si="281"/>
        <v>2013 Y</v>
      </c>
      <c r="BJ143" s="129"/>
      <c r="BK143" s="129"/>
      <c r="BL143" s="129">
        <f>INDEX('Dist. Plant Gas Additions'!$E$7:$AD$91,MATCH($C143,'Dist. Plant Gas Additions'!$C$7:$C$91,0),MATCH(Calculation!$G143,'Dist. Plant Gas Additions'!$E$5:$AD$5,0))</f>
        <v>56</v>
      </c>
      <c r="BM143" s="129">
        <f>INDEX('Gen. Plant Additions'!$E$7:$AD$91,MATCH($C143,'Gen. Plant Additions'!$C$7:$C$91,0),MATCH(Calculation!$G143,'Gen. Plant Additions'!$E$5:$AD$5,0))</f>
        <v>114</v>
      </c>
      <c r="BN143" s="393">
        <f t="shared" si="266"/>
        <v>0.86957804662142224</v>
      </c>
      <c r="BO143" s="46">
        <f t="shared" ref="BO143:BO161" si="308">+BN143*BM143</f>
        <v>99.131897314842135</v>
      </c>
      <c r="BP143" s="46">
        <f t="shared" ref="BP143:BP161" si="309">+BO143-BM143</f>
        <v>-14.868102685157865</v>
      </c>
      <c r="BQ143" s="129"/>
      <c r="BR143" s="129"/>
      <c r="BS143" s="129"/>
      <c r="BT143" s="129"/>
      <c r="BU143" s="129"/>
      <c r="BV143" s="129"/>
      <c r="BW143" s="129"/>
      <c r="BX143" s="129"/>
      <c r="BY143" s="129">
        <f>INDEX('Gross Dx Plant'!$D$7:$AC$91,MATCH($C143,'Gross Dx Plant'!$C$7:$C$91,0),MATCH(Calculation!$G143,'Gross Dx Plant'!$D$5:$AC$5,0))</f>
        <v>8841</v>
      </c>
      <c r="BZ143" s="129">
        <f>INDEX('Gross Gen Plant'!$D$7:$AC$91,MATCH($C143,'Gross Gen Plant'!$C$7:$C$91,0),MATCH(Calculation!$G143,'Gross Gen Plant'!$D$5:$AC$5,0))</f>
        <v>1326</v>
      </c>
      <c r="CA143" s="129">
        <f t="shared" si="307"/>
        <v>10167</v>
      </c>
      <c r="CB143" s="129"/>
      <c r="CC143" s="133">
        <v>2013</v>
      </c>
      <c r="CD143" s="129"/>
      <c r="CE143" s="129"/>
      <c r="CF143" s="129"/>
      <c r="CG143" s="137"/>
      <c r="CH143" s="129">
        <f t="shared" si="267"/>
        <v>170</v>
      </c>
      <c r="CI143" s="46">
        <f t="shared" si="276"/>
        <v>155.13189731484215</v>
      </c>
      <c r="CJ143" s="46">
        <f t="shared" si="268"/>
        <v>0.23389712818178629</v>
      </c>
      <c r="CK143" s="443">
        <v>0.82758620689655171</v>
      </c>
      <c r="CL143" s="46">
        <f>+CL128*CK143+CJ129*CK142+CJ130*CK141+CJ131*CK140+CJ132*CK139+CJ133*CK138+CJ134*CK137+CJ135*CK136+CJ136*CK135+CJ137*CK134+CJ138*CK133+CJ139*CK132+CJ140*CK131+CJ141*CK130+CJ142*CK129+CJ143</f>
        <v>27.651858110049758</v>
      </c>
      <c r="CM143" s="134">
        <f t="shared" si="269"/>
        <v>-5.848619546932254E-3</v>
      </c>
      <c r="CN143" s="135">
        <f t="shared" si="270"/>
        <v>1.4240863229798241E-2</v>
      </c>
      <c r="CO143" s="135">
        <f t="shared" si="284"/>
        <v>1.3833875545376221E-2</v>
      </c>
      <c r="CP143" s="134">
        <f>VLOOKUP($H143,RoR!$E:$F,2,FALSE)</f>
        <v>4.2350000000000006E-2</v>
      </c>
      <c r="CQ143" s="135">
        <v>1.7730000000000024E-2</v>
      </c>
      <c r="CR143" s="135">
        <f t="shared" si="277"/>
        <v>2.4619999999999982E-2</v>
      </c>
      <c r="CS143" s="135">
        <f t="shared" si="285"/>
        <v>1.7068066063157403E-2</v>
      </c>
      <c r="CT143" s="135">
        <f t="shared" si="286"/>
        <v>5.3376742735721204E-2</v>
      </c>
      <c r="CU143" s="139">
        <f t="shared" si="271"/>
        <v>0.85126000000000002</v>
      </c>
      <c r="CV143" s="335">
        <f t="shared" si="272"/>
        <v>1.2109103018193925</v>
      </c>
      <c r="CW143" s="335">
        <f t="shared" si="273"/>
        <v>0.38468122786304604</v>
      </c>
      <c r="CX143" s="335">
        <f t="shared" si="274"/>
        <v>0.80969194503422559</v>
      </c>
      <c r="CY143" s="335">
        <f t="shared" si="275"/>
        <v>0.37716621754800816</v>
      </c>
      <c r="CZ143" s="336">
        <f>INDEX('State Tax Lookup'!$D$7:$Z$91,MATCH(Calculation!$C143,'State Tax Lookup'!$B$7:$B$91,0),MATCH($H143,'State Tax Lookup'!$D$6:$Z$6,0))</f>
        <v>0.40200000000000002</v>
      </c>
      <c r="DA143" s="303">
        <v>0.37</v>
      </c>
      <c r="DB143" s="57">
        <f t="shared" si="282"/>
        <v>16.038693374815043</v>
      </c>
      <c r="DC143" s="56">
        <f t="shared" si="287"/>
        <v>-3.1282051928547217E-2</v>
      </c>
      <c r="DD143" s="303">
        <f>VLOOKUP($H143,RoR!$E:$F,2,FALSE)</f>
        <v>4.2350000000000006E-2</v>
      </c>
      <c r="DE143" s="304">
        <f>HLOOKUP($H143,'GDP-PI'!$D$8:$CQ$11,3,FALSE)</f>
        <v>1.7730000000000024E-2</v>
      </c>
      <c r="DF143" s="303">
        <f>VLOOKUP(H143,'HW Dx Data'!$E:$F,2,FALSE)</f>
        <v>663.24840548821396</v>
      </c>
      <c r="DG143" s="89">
        <f ca="1">VLOOKUP(CC143,'ECI - Input Price'!M$13:N$33,2,FALSE)</f>
        <v>126.8</v>
      </c>
      <c r="DH143" s="89"/>
      <c r="DI143" s="89"/>
      <c r="DJ143" s="56">
        <f t="shared" ca="1" si="295"/>
        <v>1.5898586067798204E-2</v>
      </c>
      <c r="DK143" s="53">
        <f>HLOOKUP(H143,'GDP-PI'!$8:$9,2,FALSE)</f>
        <v>101.773</v>
      </c>
      <c r="DL143" s="355">
        <f t="shared" si="288"/>
        <v>1.7574657016510519E-2</v>
      </c>
      <c r="DP143" s="398"/>
      <c r="DQ143" s="398"/>
      <c r="DR143" s="398"/>
      <c r="DS143" s="398"/>
      <c r="DT143" s="398"/>
      <c r="DU143" s="398"/>
      <c r="DV143" s="398"/>
      <c r="DW143" s="398"/>
      <c r="DX143" s="398"/>
      <c r="EC143"/>
    </row>
    <row r="144" spans="1:133" s="126" customFormat="1" ht="21" customHeight="1" x14ac:dyDescent="0.4">
      <c r="A144" s="233" t="s">
        <v>190</v>
      </c>
      <c r="B144" s="127" t="s">
        <v>190</v>
      </c>
      <c r="C144" s="127">
        <v>4058793</v>
      </c>
      <c r="D144" s="127" t="s">
        <v>191</v>
      </c>
      <c r="E144" s="127"/>
      <c r="F144" s="127"/>
      <c r="G144" s="127" t="s">
        <v>170</v>
      </c>
      <c r="H144" s="128">
        <v>2014</v>
      </c>
      <c r="I144" s="129"/>
      <c r="J144" s="125">
        <f>IFERROR(INDEX('Labor Expenditures'!$E$7:$W$91,MATCH($C144,'Labor Expenditures'!$C$7:$C$91,0),MATCH($G144,'Labor Expenditures'!$E$5:$W$5,0)),"NA")</f>
        <v>319.63122605974127</v>
      </c>
      <c r="K144" s="125">
        <f t="shared" ca="1" si="289"/>
        <v>2.4701022106626063</v>
      </c>
      <c r="L144" s="47"/>
      <c r="M144" s="131">
        <f t="shared" ca="1" si="296"/>
        <v>-0.1105864813199243</v>
      </c>
      <c r="N144" s="59"/>
      <c r="O144" s="59"/>
      <c r="P144" s="59">
        <f t="shared" ca="1" si="298"/>
        <v>-1.3716065770575357E-5</v>
      </c>
      <c r="Q144" s="61"/>
      <c r="R144" s="387"/>
      <c r="S144" s="49">
        <f t="shared" ca="1" si="303"/>
        <v>121.9252804159652</v>
      </c>
      <c r="T144" s="61">
        <f ca="1">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</f>
        <v>0.11800603716785885</v>
      </c>
      <c r="U144" s="61"/>
      <c r="V144" s="125">
        <f>IFERROR(INDEX('Non-Labor Expenditures'!$E$7:$AA$91,MATCH($C144,'Non-Labor Expenditures'!$C$7:$C$91,0),MATCH($G144,'Non-Labor Expenditures'!$E$5:$AA$5,0)),"NA")</f>
        <v>462.88571421270024</v>
      </c>
      <c r="W144" s="125">
        <f t="shared" si="290"/>
        <v>4.4659827511910644</v>
      </c>
      <c r="X144" s="131">
        <f t="shared" si="299"/>
        <v>-0.10853519315450544</v>
      </c>
      <c r="Y144" s="131">
        <f t="shared" si="300"/>
        <v>-1.3461644045103395E-5</v>
      </c>
      <c r="Z144" s="131"/>
      <c r="AA144" s="131"/>
      <c r="AB144" s="131"/>
      <c r="AC144" s="125">
        <f t="shared" si="265"/>
        <v>446.52544046584876</v>
      </c>
      <c r="AD144" s="129"/>
      <c r="AE144" s="133">
        <v>29.906409481867019</v>
      </c>
      <c r="AF144" s="134">
        <v>-6.7305103550941196E-4</v>
      </c>
      <c r="AG144" s="59">
        <f t="shared" si="291"/>
        <v>-8.3478669000183574E-8</v>
      </c>
      <c r="AH144" s="134"/>
      <c r="AI144" s="134"/>
      <c r="AJ144" s="129">
        <f t="shared" si="216"/>
        <v>1229.0423807382904</v>
      </c>
      <c r="AK144" s="134">
        <f t="shared" si="301"/>
        <v>-5.8095207288873227E-2</v>
      </c>
      <c r="AL144" s="129"/>
      <c r="AM144" s="129"/>
      <c r="AN144" s="129"/>
      <c r="AO144" s="129"/>
      <c r="AP144" s="133">
        <f t="shared" si="302"/>
        <v>362.54937484905327</v>
      </c>
      <c r="AQ144" s="134">
        <f>+BB144/Outputs!$B$22</f>
        <v>9.3813381108973784E-5</v>
      </c>
      <c r="AR144" s="93">
        <f t="shared" si="292"/>
        <v>0.26006525980636858</v>
      </c>
      <c r="AS144" s="93">
        <f t="shared" si="293"/>
        <v>0.37662306968995085</v>
      </c>
      <c r="AT144" s="93">
        <f t="shared" si="294"/>
        <v>0.36331167050368046</v>
      </c>
      <c r="AU144" s="93">
        <f t="shared" ca="1" si="297"/>
        <v>-7.1013253031597501E-2</v>
      </c>
      <c r="AV144" s="132">
        <f t="shared" ca="1" si="305"/>
        <v>82.975738586821635</v>
      </c>
      <c r="AW144" s="134">
        <f t="shared" ca="1" si="306"/>
        <v>-7.1013253031597529E-2</v>
      </c>
      <c r="AX144" s="56">
        <f>+AJ144/$AL$19</f>
        <v>1.2403022147793161E-4</v>
      </c>
      <c r="AY144" s="135">
        <f t="shared" ca="1" si="304"/>
        <v>-8.8077895013774401E-6</v>
      </c>
      <c r="AZ144" s="93"/>
      <c r="BA144" s="93"/>
      <c r="BB144" s="234">
        <f>IFERROR(INDEX('Total Customers'!$E$7:$AA$91,MATCH($C144,'Total Customers'!$C$7:$C$91,0),MATCH($G144,'Total Customers'!$E$5:$AA$5,0)),"NA")</f>
        <v>3390</v>
      </c>
      <c r="BC144" s="411">
        <f t="shared" si="283"/>
        <v>-1.0271550321829685E-2</v>
      </c>
      <c r="BD144" s="92"/>
      <c r="BE144" s="281" t="str">
        <f t="shared" si="278"/>
        <v>BLUEFIELD GAS COMPANY</v>
      </c>
      <c r="BF144" s="290">
        <f t="shared" si="279"/>
        <v>4058793</v>
      </c>
      <c r="BG144" s="46" t="str">
        <f t="shared" si="280"/>
        <v>WV</v>
      </c>
      <c r="BH144" s="46"/>
      <c r="BI144" s="46" t="str">
        <f t="shared" si="281"/>
        <v>2014 Y</v>
      </c>
      <c r="BJ144" s="129"/>
      <c r="BK144" s="129"/>
      <c r="BL144" s="129">
        <f>INDEX('Dist. Plant Gas Additions'!$E$7:$AD$91,MATCH($C144,'Dist. Plant Gas Additions'!$C$7:$C$91,0),MATCH(Calculation!$G144,'Dist. Plant Gas Additions'!$E$5:$AD$5,0))</f>
        <v>103</v>
      </c>
      <c r="BM144" s="129">
        <f>INDEX('Gen. Plant Additions'!$E$7:$AD$91,MATCH($C144,'Gen. Plant Additions'!$C$7:$C$91,0),MATCH(Calculation!$G144,'Gen. Plant Additions'!$E$5:$AD$5,0))</f>
        <v>47</v>
      </c>
      <c r="BN144" s="393">
        <f t="shared" si="266"/>
        <v>0.87089864667510464</v>
      </c>
      <c r="BO144" s="46">
        <f t="shared" si="308"/>
        <v>40.932236393729916</v>
      </c>
      <c r="BP144" s="46">
        <f t="shared" si="309"/>
        <v>-6.0677636062700842</v>
      </c>
      <c r="BQ144" s="129"/>
      <c r="BR144" s="129"/>
      <c r="BS144" s="129"/>
      <c r="BT144" s="129"/>
      <c r="BU144" s="129"/>
      <c r="BV144" s="129"/>
      <c r="BW144" s="129"/>
      <c r="BX144" s="129"/>
      <c r="BY144" s="129">
        <f>INDEX('Gross Dx Plant'!$D$7:$AC$91,MATCH($C144,'Gross Dx Plant'!$C$7:$C$91,0),MATCH(Calculation!$G144,'Gross Dx Plant'!$D$5:$AC$5,0))</f>
        <v>8945</v>
      </c>
      <c r="BZ144" s="129">
        <f>INDEX('Gross Gen Plant'!$D$7:$AC$91,MATCH($C144,'Gross Gen Plant'!$C$7:$C$91,0),MATCH(Calculation!$G144,'Gross Gen Plant'!$D$5:$AC$5,0))</f>
        <v>1326</v>
      </c>
      <c r="CA144" s="129">
        <f t="shared" si="307"/>
        <v>10271</v>
      </c>
      <c r="CB144" s="129"/>
      <c r="CC144" s="133">
        <v>2014</v>
      </c>
      <c r="CD144" s="129"/>
      <c r="CE144" s="129"/>
      <c r="CF144" s="129"/>
      <c r="CG144" s="137"/>
      <c r="CH144" s="129">
        <f t="shared" si="267"/>
        <v>150</v>
      </c>
      <c r="CI144" s="46">
        <f t="shared" si="276"/>
        <v>143.93223639372991</v>
      </c>
      <c r="CJ144" s="46">
        <f t="shared" si="268"/>
        <v>0.21028301698792898</v>
      </c>
      <c r="CK144" s="443">
        <v>0.81395348837209303</v>
      </c>
      <c r="CL144" s="46">
        <f>+CL128*CK144+CJ129*CK143+CJ130*CK142+CJ131*CK141+CJ132*CK140+CJ133*CK139+CJ134*CK138+CJ135*CK137+CJ136*CK136+CJ137*CK135+CJ138*CK134+CJ139*CK133+CJ140*CK132+CJ141*CK131+CJ142*CK130+CJ143*CK129+CJ144</f>
        <v>27.454787212404369</v>
      </c>
      <c r="CM144" s="134">
        <f t="shared" si="269"/>
        <v>-7.1523765096857287E-3</v>
      </c>
      <c r="CN144" s="135">
        <f t="shared" si="270"/>
        <v>1.473152050079665E-2</v>
      </c>
      <c r="CO144" s="135">
        <f t="shared" si="284"/>
        <v>1.4271634162472723E-2</v>
      </c>
      <c r="CP144" s="134">
        <f>VLOOKUP($H144,RoR!$E:$F,2,FALSE)</f>
        <v>4.1625000000000002E-2</v>
      </c>
      <c r="CQ144" s="135">
        <v>1.841352814597208E-2</v>
      </c>
      <c r="CR144" s="135">
        <f t="shared" si="277"/>
        <v>2.3211471854027922E-2</v>
      </c>
      <c r="CS144" s="135">
        <f t="shared" si="285"/>
        <v>1.66303074460609E-2</v>
      </c>
      <c r="CT144" s="135">
        <f t="shared" si="286"/>
        <v>3.9072621432650924E-2</v>
      </c>
      <c r="CU144" s="139">
        <f t="shared" si="271"/>
        <v>0.85126000000000002</v>
      </c>
      <c r="CV144" s="335">
        <f t="shared" si="272"/>
        <v>1.2320012320012319</v>
      </c>
      <c r="CW144" s="335">
        <f t="shared" si="273"/>
        <v>0.37439939939939942</v>
      </c>
      <c r="CX144" s="335">
        <f t="shared" si="274"/>
        <v>0.80432100613819935</v>
      </c>
      <c r="CY144" s="335">
        <f t="shared" si="275"/>
        <v>0.37100152660040037</v>
      </c>
      <c r="CZ144" s="336">
        <f>INDEX('State Tax Lookup'!$D$7:$Z$91,MATCH(Calculation!$C144,'State Tax Lookup'!$B$7:$B$91,0),MATCH($H144,'State Tax Lookup'!$D$6:$Z$6,0))</f>
        <v>0.40200000000000002</v>
      </c>
      <c r="DA144" s="303">
        <v>0.37</v>
      </c>
      <c r="DB144" s="57">
        <f t="shared" si="282"/>
        <v>16.14811701581689</v>
      </c>
      <c r="DC144" s="56">
        <f t="shared" si="287"/>
        <v>6.7993107259647747E-3</v>
      </c>
      <c r="DD144" s="303">
        <f>VLOOKUP($H144,RoR!$E:$F,2,FALSE)</f>
        <v>4.1625000000000002E-2</v>
      </c>
      <c r="DE144" s="304">
        <f>HLOOKUP($H144,'GDP-PI'!$D$8:$CQ$11,3,FALSE)</f>
        <v>1.841352814597208E-2</v>
      </c>
      <c r="DF144" s="303">
        <f>VLOOKUP(H144,'HW Dx Data'!$E:$F,2,FALSE)</f>
        <v>684.46914285042885</v>
      </c>
      <c r="DG144" s="89">
        <f ca="1">VLOOKUP(CC144,'ECI - Input Price'!M$13:N$33,2,FALSE)</f>
        <v>129.4</v>
      </c>
      <c r="DH144" s="89"/>
      <c r="DI144" s="89"/>
      <c r="DJ144" s="56">
        <f t="shared" ca="1" si="295"/>
        <v>2.0297340063674733E-2</v>
      </c>
      <c r="DK144" s="53">
        <f>HLOOKUP(H144,'GDP-PI'!$8:$9,2,FALSE)</f>
        <v>103.64700000000001</v>
      </c>
      <c r="DL144" s="355">
        <f t="shared" si="288"/>
        <v>1.8246051898256087E-2</v>
      </c>
      <c r="DP144" s="398"/>
      <c r="DQ144" s="398"/>
      <c r="DR144" s="398"/>
      <c r="DS144" s="398"/>
      <c r="DT144" s="398"/>
      <c r="DU144" s="398"/>
      <c r="DV144" s="398"/>
      <c r="DW144" s="398"/>
      <c r="DX144" s="398"/>
      <c r="EC144"/>
    </row>
    <row r="145" spans="1:133" s="126" customFormat="1" ht="21" customHeight="1" x14ac:dyDescent="0.4">
      <c r="A145" s="233" t="s">
        <v>190</v>
      </c>
      <c r="B145" s="127" t="s">
        <v>190</v>
      </c>
      <c r="C145" s="127">
        <v>4058793</v>
      </c>
      <c r="D145" s="127" t="s">
        <v>191</v>
      </c>
      <c r="E145" s="127"/>
      <c r="F145" s="127"/>
      <c r="G145" s="127" t="s">
        <v>171</v>
      </c>
      <c r="H145" s="128">
        <v>2015</v>
      </c>
      <c r="I145" s="129"/>
      <c r="J145" s="125">
        <f>IFERROR(INDEX('Labor Expenditures'!$E$7:$W$91,MATCH($C145,'Labor Expenditures'!$C$7:$C$91,0),MATCH($G145,'Labor Expenditures'!$E$5:$W$5,0)),"NA")</f>
        <v>310.39871495196576</v>
      </c>
      <c r="K145" s="125">
        <f t="shared" ca="1" si="289"/>
        <v>2.3250840071308296</v>
      </c>
      <c r="L145" s="47"/>
      <c r="M145" s="131">
        <f t="shared" ca="1" si="296"/>
        <v>-6.0503360132933316E-2</v>
      </c>
      <c r="N145" s="59"/>
      <c r="O145" s="59"/>
      <c r="P145" s="59">
        <f t="shared" ca="1" si="298"/>
        <v>-7.2070766221375405E-6</v>
      </c>
      <c r="Q145" s="61"/>
      <c r="R145" s="387"/>
      <c r="S145" s="49">
        <f t="shared" ca="1" si="303"/>
        <v>119.40768381606657</v>
      </c>
      <c r="T145" s="61">
        <f ca="1">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</f>
        <v>-2.0864849042569515E-2</v>
      </c>
      <c r="U145" s="61"/>
      <c r="V145" s="125">
        <f>IFERROR(INDEX('Non-Labor Expenditures'!$E$7:$AA$91,MATCH($C145,'Non-Labor Expenditures'!$C$7:$C$91,0),MATCH($G145,'Non-Labor Expenditures'!$E$5:$AA$5,0)),"NA")</f>
        <v>449.51531373342846</v>
      </c>
      <c r="W145" s="125">
        <f t="shared" si="290"/>
        <v>4.2958678287581922</v>
      </c>
      <c r="X145" s="131">
        <f t="shared" si="299"/>
        <v>-3.8835700544872474E-2</v>
      </c>
      <c r="Y145" s="131">
        <f t="shared" si="300"/>
        <v>-4.6260549643247534E-6</v>
      </c>
      <c r="Z145" s="131"/>
      <c r="AA145" s="131"/>
      <c r="AB145" s="131"/>
      <c r="AC145" s="125">
        <f t="shared" si="265"/>
        <v>426.57482193735427</v>
      </c>
      <c r="AD145" s="129"/>
      <c r="AE145" s="133">
        <v>30.146999381159588</v>
      </c>
      <c r="AF145" s="134">
        <v>8.0125738414871528E-3</v>
      </c>
      <c r="AG145" s="59">
        <f t="shared" si="291"/>
        <v>9.5444671980622362E-7</v>
      </c>
      <c r="AH145" s="134"/>
      <c r="AI145" s="134"/>
      <c r="AJ145" s="129">
        <f t="shared" si="216"/>
        <v>1186.4888506227485</v>
      </c>
      <c r="AK145" s="134">
        <f t="shared" si="301"/>
        <v>-3.5236913922718986E-2</v>
      </c>
      <c r="AL145" s="129"/>
      <c r="AM145" s="129"/>
      <c r="AN145" s="129"/>
      <c r="AO145" s="129"/>
      <c r="AP145" s="133">
        <f t="shared" si="302"/>
        <v>340.94507201803117</v>
      </c>
      <c r="AQ145" s="134">
        <f>+BB145/Outputs!$B$23</f>
        <v>9.5520925011462508E-5</v>
      </c>
      <c r="AR145" s="93">
        <f t="shared" si="292"/>
        <v>0.26161115192026274</v>
      </c>
      <c r="AS145" s="93">
        <f t="shared" si="293"/>
        <v>0.3788618102036887</v>
      </c>
      <c r="AT145" s="93">
        <f t="shared" si="294"/>
        <v>0.35952703787604862</v>
      </c>
      <c r="AU145" s="93">
        <f t="shared" ca="1" si="297"/>
        <v>-2.7555580923451665E-2</v>
      </c>
      <c r="AV145" s="132">
        <f t="shared" ca="1" si="305"/>
        <v>80.720508692193093</v>
      </c>
      <c r="AW145" s="134">
        <f t="shared" ca="1" si="306"/>
        <v>-2.7555580923451693E-2</v>
      </c>
      <c r="AX145" s="56">
        <f>+AJ145/$AL$20</f>
        <v>1.1911861764871748E-4</v>
      </c>
      <c r="AY145" s="135">
        <f t="shared" ca="1" si="304"/>
        <v>-3.2823827081089357E-6</v>
      </c>
      <c r="AZ145" s="93"/>
      <c r="BA145" s="93"/>
      <c r="BB145" s="234">
        <f>IFERROR(INDEX('Total Customers'!$E$7:$AA$91,MATCH($C145,'Total Customers'!$C$7:$C$91,0),MATCH($G145,'Total Customers'!$E$5:$AA$5,0)),"NA")</f>
        <v>3480</v>
      </c>
      <c r="BC145" s="411">
        <f t="shared" si="283"/>
        <v>2.6202372394024117E-2</v>
      </c>
      <c r="BD145" s="92"/>
      <c r="BE145" s="281" t="str">
        <f t="shared" si="278"/>
        <v>BLUEFIELD GAS COMPANY</v>
      </c>
      <c r="BF145" s="290">
        <f t="shared" si="279"/>
        <v>4058793</v>
      </c>
      <c r="BG145" s="46" t="str">
        <f t="shared" si="280"/>
        <v>WV</v>
      </c>
      <c r="BH145" s="46"/>
      <c r="BI145" s="46" t="str">
        <f t="shared" si="281"/>
        <v>2015 Y</v>
      </c>
      <c r="BJ145" s="129"/>
      <c r="BK145" s="129"/>
      <c r="BL145" s="129">
        <f>INDEX('Dist. Plant Gas Additions'!$E$7:$AD$91,MATCH($C145,'Dist. Plant Gas Additions'!$C$7:$C$91,0),MATCH(Calculation!$G145,'Dist. Plant Gas Additions'!$E$5:$AD$5,0))</f>
        <v>270</v>
      </c>
      <c r="BM145" s="129">
        <f>INDEX('Gen. Plant Additions'!$E$7:$AD$91,MATCH($C145,'Gen. Plant Additions'!$C$7:$C$91,0),MATCH(Calculation!$G145,'Gen. Plant Additions'!$E$5:$AD$5,0))</f>
        <v>61</v>
      </c>
      <c r="BN145" s="393">
        <f t="shared" si="266"/>
        <v>0.86924528301886794</v>
      </c>
      <c r="BO145" s="46">
        <f t="shared" si="308"/>
        <v>53.023962264150946</v>
      </c>
      <c r="BP145" s="46">
        <f t="shared" si="309"/>
        <v>-7.9760377358490544</v>
      </c>
      <c r="BQ145" s="129"/>
      <c r="BR145" s="129"/>
      <c r="BS145" s="129"/>
      <c r="BT145" s="129"/>
      <c r="BU145" s="129"/>
      <c r="BV145" s="129"/>
      <c r="BW145" s="129"/>
      <c r="BX145" s="129"/>
      <c r="BY145" s="129">
        <f>INDEX('Gross Dx Plant'!$D$7:$AC$91,MATCH($C145,'Gross Dx Plant'!$C$7:$C$91,0),MATCH(Calculation!$G145,'Gross Dx Plant'!$D$5:$AC$5,0))</f>
        <v>9214</v>
      </c>
      <c r="BZ145" s="129">
        <f>INDEX('Gross Gen Plant'!$D$7:$AC$91,MATCH($C145,'Gross Gen Plant'!$C$7:$C$91,0),MATCH(Calculation!$G145,'Gross Gen Plant'!$D$5:$AC$5,0))</f>
        <v>1386</v>
      </c>
      <c r="CA145" s="129">
        <f t="shared" si="307"/>
        <v>10600</v>
      </c>
      <c r="CB145" s="129"/>
      <c r="CC145" s="133">
        <v>2015</v>
      </c>
      <c r="CD145" s="129"/>
      <c r="CE145" s="129"/>
      <c r="CF145" s="129"/>
      <c r="CG145" s="137"/>
      <c r="CH145" s="129">
        <f t="shared" si="267"/>
        <v>331</v>
      </c>
      <c r="CI145" s="46">
        <f t="shared" si="276"/>
        <v>323.02396226415095</v>
      </c>
      <c r="CJ145" s="46">
        <f t="shared" si="268"/>
        <v>0.47811865884011756</v>
      </c>
      <c r="CK145" s="443">
        <v>0.8</v>
      </c>
      <c r="CL145" s="46">
        <f>+CL128*CK145+CJ129*CK144+CJ130*CK143+CJ131*CK142+CJ132*CK141+CJ133*CK140+CJ134*CK139+CJ135*CK138+CJ136*CK137+CJ137*CK136+CJ138*CK135+CJ139*CK134+CJ140*CK133+CJ141*CK132+CJ142*CK131+CJ143*CK130+CJ144*CK129+CJ145</f>
        <v>27.514174946713176</v>
      </c>
      <c r="CM145" s="134">
        <f t="shared" si="269"/>
        <v>2.1607741926580395E-3</v>
      </c>
      <c r="CN145" s="135">
        <f t="shared" si="270"/>
        <v>1.5251654339616359E-2</v>
      </c>
      <c r="CO145" s="135">
        <f t="shared" si="284"/>
        <v>1.4741346023403752E-2</v>
      </c>
      <c r="CP145" s="134">
        <f>VLOOKUP($H145,RoR!$E:$F,2,FALSE)</f>
        <v>3.8866666666666674E-2</v>
      </c>
      <c r="CQ145" s="135">
        <v>9.5709475431029478E-3</v>
      </c>
      <c r="CR145" s="135">
        <f t="shared" si="277"/>
        <v>2.9295719123563727E-2</v>
      </c>
      <c r="CS145" s="135">
        <f t="shared" si="285"/>
        <v>1.6160595585129875E-2</v>
      </c>
      <c r="CT145" s="135">
        <f t="shared" si="286"/>
        <v>3.5270373279175926E-3</v>
      </c>
      <c r="CU145" s="139">
        <f t="shared" si="271"/>
        <v>0.85126000000000002</v>
      </c>
      <c r="CV145" s="335">
        <f t="shared" si="272"/>
        <v>1.3194352816994324</v>
      </c>
      <c r="CW145" s="335">
        <f t="shared" si="273"/>
        <v>0.33177530017152673</v>
      </c>
      <c r="CX145" s="335">
        <f t="shared" si="274"/>
        <v>0.78242572977668579</v>
      </c>
      <c r="CY145" s="335">
        <f t="shared" si="275"/>
        <v>0.34251158643433932</v>
      </c>
      <c r="CZ145" s="336">
        <f>INDEX('State Tax Lookup'!$D$7:$Z$91,MATCH(Calculation!$C145,'State Tax Lookup'!$B$7:$B$91,0),MATCH($H145,'State Tax Lookup'!$D$6:$Z$6,0))</f>
        <v>0.40200000000000002</v>
      </c>
      <c r="DA145" s="303">
        <v>0.37</v>
      </c>
      <c r="DB145" s="57">
        <f t="shared" si="282"/>
        <v>15.537356696198438</v>
      </c>
      <c r="DC145" s="56">
        <f t="shared" si="287"/>
        <v>-3.8556215721572681E-2</v>
      </c>
      <c r="DD145" s="303">
        <f>VLOOKUP($H145,RoR!$E:$F,2,FALSE)</f>
        <v>3.8866666666666674E-2</v>
      </c>
      <c r="DE145" s="304">
        <f>HLOOKUP($H145,'GDP-PI'!$D$8:$CQ$11,3,FALSE)</f>
        <v>9.5709475431029478E-3</v>
      </c>
      <c r="DF145" s="303">
        <f>VLOOKUP(H145,'HW Dx Data'!$E:$F,2,FALSE)</f>
        <v>675.61463308665782</v>
      </c>
      <c r="DG145" s="89">
        <f ca="1">VLOOKUP(CC145,'ECI - Input Price'!M$13:N$33,2,FALSE)</f>
        <v>133.5</v>
      </c>
      <c r="DH145" s="89"/>
      <c r="DI145" s="89"/>
      <c r="DJ145" s="56">
        <f t="shared" ca="1" si="295"/>
        <v>3.1193095773504077E-2</v>
      </c>
      <c r="DK145" s="53">
        <f>HLOOKUP(H145,'GDP-PI'!$8:$9,2,FALSE)</f>
        <v>104.639</v>
      </c>
      <c r="DL145" s="355">
        <f t="shared" si="288"/>
        <v>9.5254361854427965E-3</v>
      </c>
      <c r="DP145" s="398"/>
      <c r="DQ145" s="398"/>
      <c r="DR145" s="398"/>
      <c r="DS145" s="398"/>
      <c r="DT145" s="398"/>
      <c r="DU145" s="398"/>
      <c r="DV145" s="398"/>
      <c r="DW145" s="398"/>
      <c r="DX145" s="398"/>
      <c r="EC145"/>
    </row>
    <row r="146" spans="1:133" s="126" customFormat="1" ht="21" customHeight="1" x14ac:dyDescent="0.4">
      <c r="A146" s="233" t="s">
        <v>190</v>
      </c>
      <c r="B146" s="127" t="s">
        <v>190</v>
      </c>
      <c r="C146" s="127">
        <v>4058793</v>
      </c>
      <c r="D146" s="127" t="s">
        <v>191</v>
      </c>
      <c r="E146" s="127"/>
      <c r="F146" s="127"/>
      <c r="G146" s="127" t="s">
        <v>172</v>
      </c>
      <c r="H146" s="128">
        <v>2016</v>
      </c>
      <c r="I146" s="129"/>
      <c r="J146" s="125">
        <f>IFERROR(INDEX('Labor Expenditures'!$E$7:$W$91,MATCH($C146,'Labor Expenditures'!$C$7:$C$91,0),MATCH($G146,'Labor Expenditures'!$E$5:$W$5,0)),"NA")</f>
        <v>379.30064563295048</v>
      </c>
      <c r="K146" s="125">
        <f t="shared" ca="1" si="289"/>
        <v>2.7696286647166888</v>
      </c>
      <c r="L146" s="47"/>
      <c r="M146" s="131">
        <f t="shared" ca="1" si="296"/>
        <v>0.17495708466812088</v>
      </c>
      <c r="N146" s="59"/>
      <c r="O146" s="59"/>
      <c r="P146" s="59">
        <f t="shared" ca="1" si="298"/>
        <v>2.2804737168555006E-5</v>
      </c>
      <c r="Q146" s="61"/>
      <c r="R146" s="387"/>
      <c r="S146" s="49">
        <f t="shared" ca="1" si="303"/>
        <v>300.50679960689479</v>
      </c>
      <c r="T146" s="61">
        <f ca="1">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</f>
        <v>0.92292682890654132</v>
      </c>
      <c r="U146" s="61"/>
      <c r="V146" s="125">
        <f>IFERROR(INDEX('Non-Labor Expenditures'!$E$7:$AA$91,MATCH($C146,'Non-Labor Expenditures'!$C$7:$C$91,0),MATCH($G146,'Non-Labor Expenditures'!$E$5:$AA$5,0)),"NA")</f>
        <v>549.2981784649877</v>
      </c>
      <c r="W146" s="125">
        <f t="shared" si="290"/>
        <v>5.1949967699268713</v>
      </c>
      <c r="X146" s="131">
        <f t="shared" si="299"/>
        <v>0.19004241216969867</v>
      </c>
      <c r="Y146" s="131">
        <f t="shared" si="300"/>
        <v>2.4771030385132246E-5</v>
      </c>
      <c r="Z146" s="131"/>
      <c r="AA146" s="131"/>
      <c r="AB146" s="131"/>
      <c r="AC146" s="125">
        <f t="shared" si="265"/>
        <v>411.67726758604311</v>
      </c>
      <c r="AD146" s="129"/>
      <c r="AE146" s="133">
        <v>30.829934757970936</v>
      </c>
      <c r="AF146" s="134">
        <v>2.2400730501841694E-2</v>
      </c>
      <c r="AG146" s="59">
        <f t="shared" si="291"/>
        <v>2.9198175795347733E-6</v>
      </c>
      <c r="AH146" s="134"/>
      <c r="AI146" s="134"/>
      <c r="AJ146" s="129">
        <f t="shared" si="216"/>
        <v>1340.2760916839813</v>
      </c>
      <c r="AK146" s="134">
        <f t="shared" si="301"/>
        <v>0.1218772313228056</v>
      </c>
      <c r="AL146" s="129"/>
      <c r="AM146" s="129"/>
      <c r="AN146" s="129"/>
      <c r="AO146" s="129"/>
      <c r="AP146" s="133">
        <f t="shared" si="302"/>
        <v>407.87464749968996</v>
      </c>
      <c r="AQ146" s="134">
        <f>+BB146/Outputs!$B$24</f>
        <v>8.9416489108086578E-5</v>
      </c>
      <c r="AR146" s="93">
        <f t="shared" si="292"/>
        <v>0.28300187400670601</v>
      </c>
      <c r="AS146" s="93">
        <f t="shared" si="293"/>
        <v>0.40983957102064361</v>
      </c>
      <c r="AT146" s="93">
        <f t="shared" si="294"/>
        <v>0.30715855497265032</v>
      </c>
      <c r="AU146" s="93">
        <f t="shared" ca="1" si="297"/>
        <v>0.13005243227638782</v>
      </c>
      <c r="AV146" s="132">
        <f t="shared" ca="1" si="305"/>
        <v>91.93162647315495</v>
      </c>
      <c r="AW146" s="134">
        <f t="shared" ca="1" si="306"/>
        <v>0.13005243227638777</v>
      </c>
      <c r="AX146" s="56">
        <f>+AJ146/$AL$21</f>
        <v>1.3034474832393159E-4</v>
      </c>
      <c r="AY146" s="135">
        <f t="shared" ca="1" si="304"/>
        <v>1.6951651553980922E-5</v>
      </c>
      <c r="AZ146" s="93"/>
      <c r="BA146" s="93"/>
      <c r="BB146" s="234">
        <f>IFERROR(INDEX('Total Customers'!$E$7:$AA$91,MATCH($C146,'Total Customers'!$C$7:$C$91,0),MATCH($G146,'Total Customers'!$E$5:$AA$5,0)),"NA")</f>
        <v>3286</v>
      </c>
      <c r="BC146" s="411">
        <f t="shared" si="283"/>
        <v>-5.7361274171306612E-2</v>
      </c>
      <c r="BD146" s="92"/>
      <c r="BE146" s="281" t="str">
        <f t="shared" si="278"/>
        <v>BLUEFIELD GAS COMPANY</v>
      </c>
      <c r="BF146" s="290">
        <f t="shared" si="279"/>
        <v>4058793</v>
      </c>
      <c r="BG146" s="46" t="str">
        <f t="shared" si="280"/>
        <v>WV</v>
      </c>
      <c r="BH146" s="46"/>
      <c r="BI146" s="46" t="str">
        <f t="shared" si="281"/>
        <v>2016 Y</v>
      </c>
      <c r="BJ146" s="129"/>
      <c r="BK146" s="129"/>
      <c r="BL146" s="129">
        <f>INDEX('Dist. Plant Gas Additions'!$E$7:$AD$91,MATCH($C146,'Dist. Plant Gas Additions'!$C$7:$C$91,0),MATCH(Calculation!$G146,'Dist. Plant Gas Additions'!$E$5:$AD$5,0))</f>
        <v>465</v>
      </c>
      <c r="BM146" s="129">
        <f>INDEX('Gen. Plant Additions'!$E$7:$AD$91,MATCH($C146,'Gen. Plant Additions'!$C$7:$C$91,0),MATCH(Calculation!$G146,'Gen. Plant Additions'!$E$5:$AD$5,0))</f>
        <v>169</v>
      </c>
      <c r="BN146" s="393">
        <f t="shared" si="266"/>
        <v>0.86158091507922374</v>
      </c>
      <c r="BO146" s="46">
        <f t="shared" si="308"/>
        <v>145.60717464838882</v>
      </c>
      <c r="BP146" s="46">
        <f t="shared" si="309"/>
        <v>-23.392825351611179</v>
      </c>
      <c r="BQ146" s="129"/>
      <c r="BR146" s="129"/>
      <c r="BS146" s="129"/>
      <c r="BT146" s="129"/>
      <c r="BU146" s="129"/>
      <c r="BV146" s="129"/>
      <c r="BW146" s="129"/>
      <c r="BX146" s="129"/>
      <c r="BY146" s="129">
        <f>INDEX('Gross Dx Plant'!$D$7:$AC$91,MATCH($C146,'Gross Dx Plant'!$C$7:$C$91,0),MATCH(Calculation!$G146,'Gross Dx Plant'!$D$5:$AC$5,0))</f>
        <v>9679</v>
      </c>
      <c r="BZ146" s="129">
        <f>INDEX('Gross Gen Plant'!$D$7:$AC$91,MATCH($C146,'Gross Gen Plant'!$C$7:$C$91,0),MATCH(Calculation!$G146,'Gross Gen Plant'!$D$5:$AC$5,0))</f>
        <v>1555</v>
      </c>
      <c r="CA146" s="129">
        <f t="shared" si="307"/>
        <v>11234</v>
      </c>
      <c r="CB146" s="129"/>
      <c r="CC146" s="133">
        <v>2016</v>
      </c>
      <c r="CD146" s="129"/>
      <c r="CE146" s="129"/>
      <c r="CF146" s="129"/>
      <c r="CG146" s="137"/>
      <c r="CH146" s="129">
        <f t="shared" si="267"/>
        <v>634</v>
      </c>
      <c r="CI146" s="46">
        <f t="shared" si="276"/>
        <v>610.60717464838876</v>
      </c>
      <c r="CJ146" s="46">
        <f t="shared" si="268"/>
        <v>0.90937725849694317</v>
      </c>
      <c r="CK146" s="443">
        <v>0.7857142857142857</v>
      </c>
      <c r="CL146" s="46">
        <f>+CL128*CK146+CJ129*CK145+CJ130*CK144+CJ131*CK143+CJ132*CK142+CJ133*CK141+CJ134*CK140+CJ135*CK139+CJ136*CK138+CJ137*CK137+CJ138*CK136+CJ139*CK135+CJ140*CK134+CJ141*CK133+CJ142*CK132+CJ143*CK131+CJ144*CK130+CJ145*CK129+CJ146</f>
        <v>27.990428405555864</v>
      </c>
      <c r="CM146" s="134">
        <f t="shared" si="269"/>
        <v>1.7161284594749446E-2</v>
      </c>
      <c r="CN146" s="135">
        <f t="shared" si="270"/>
        <v>1.574184217746263E-2</v>
      </c>
      <c r="CO146" s="135">
        <f t="shared" si="284"/>
        <v>1.5241672339291879E-2</v>
      </c>
      <c r="CP146" s="134">
        <f>VLOOKUP($H146,RoR!$E:$F,2,FALSE)</f>
        <v>3.6658333333333334E-2</v>
      </c>
      <c r="CQ146" s="135">
        <v>1.0483662879041455E-2</v>
      </c>
      <c r="CR146" s="135">
        <f t="shared" si="277"/>
        <v>2.6174670454291879E-2</v>
      </c>
      <c r="CS146" s="135">
        <f t="shared" si="285"/>
        <v>1.5660269269241744E-2</v>
      </c>
      <c r="CT146" s="135">
        <f t="shared" si="286"/>
        <v>4.301363574220729E-3</v>
      </c>
      <c r="CU146" s="139">
        <f t="shared" si="271"/>
        <v>0.85126000000000002</v>
      </c>
      <c r="CV146" s="335">
        <f t="shared" si="272"/>
        <v>1.3989193348138562</v>
      </c>
      <c r="CW146" s="335">
        <f t="shared" si="273"/>
        <v>0.29302682427824522</v>
      </c>
      <c r="CX146" s="335">
        <f t="shared" si="274"/>
        <v>0.76309497491941802</v>
      </c>
      <c r="CY146" s="335">
        <f t="shared" si="275"/>
        <v>0.31280857135128509</v>
      </c>
      <c r="CZ146" s="336">
        <f>INDEX('State Tax Lookup'!$D$7:$Z$91,MATCH(Calculation!$C146,'State Tax Lookup'!$B$7:$B$91,0),MATCH($H146,'State Tax Lookup'!$D$6:$Z$6,0))</f>
        <v>0.40200000000000002</v>
      </c>
      <c r="DA146" s="303">
        <v>0.37</v>
      </c>
      <c r="DB146" s="57">
        <f t="shared" si="282"/>
        <v>14.962370065006139</v>
      </c>
      <c r="DC146" s="56">
        <f t="shared" si="287"/>
        <v>-3.7708846898324558E-2</v>
      </c>
      <c r="DD146" s="303">
        <f>VLOOKUP($H146,RoR!$E:$F,2,FALSE)</f>
        <v>3.6658333333333334E-2</v>
      </c>
      <c r="DE146" s="304">
        <f>HLOOKUP($H146,'GDP-PI'!$D$8:$CQ$11,3,FALSE)</f>
        <v>1.0483662879041455E-2</v>
      </c>
      <c r="DF146" s="303">
        <f>VLOOKUP(H146,'HW Dx Data'!$E:$F,2,FALSE)</f>
        <v>671.45639385971219</v>
      </c>
      <c r="DG146" s="89">
        <f ca="1">VLOOKUP(CC146,'ECI - Input Price'!M$13:N$33,2,FALSE)</f>
        <v>136.94999999999999</v>
      </c>
      <c r="DH146" s="89"/>
      <c r="DI146" s="89"/>
      <c r="DJ146" s="56">
        <f t="shared" ca="1" si="295"/>
        <v>2.5514417868782811E-2</v>
      </c>
      <c r="DK146" s="53">
        <f>HLOOKUP(H146,'GDP-PI'!$8:$9,2,FALSE)</f>
        <v>105.736</v>
      </c>
      <c r="DL146" s="355">
        <f t="shared" si="288"/>
        <v>1.0429090367205095E-2</v>
      </c>
      <c r="DP146" s="398"/>
      <c r="DQ146" s="398"/>
      <c r="DR146" s="398"/>
      <c r="DS146" s="398"/>
      <c r="DT146" s="398"/>
      <c r="DU146" s="398"/>
      <c r="DV146" s="398"/>
      <c r="DW146" s="398"/>
      <c r="DX146" s="398"/>
      <c r="EC146"/>
    </row>
    <row r="147" spans="1:133" s="126" customFormat="1" ht="21" customHeight="1" x14ac:dyDescent="0.4">
      <c r="A147" s="233" t="s">
        <v>190</v>
      </c>
      <c r="B147" s="127" t="s">
        <v>190</v>
      </c>
      <c r="C147" s="127">
        <v>4058793</v>
      </c>
      <c r="D147" s="127" t="s">
        <v>191</v>
      </c>
      <c r="E147" s="127"/>
      <c r="F147" s="127"/>
      <c r="G147" s="127" t="s">
        <v>173</v>
      </c>
      <c r="H147" s="128">
        <v>2017</v>
      </c>
      <c r="I147" s="129"/>
      <c r="J147" s="125">
        <f>IFERROR(INDEX('Labor Expenditures'!$E$7:$W$91,MATCH($C147,'Labor Expenditures'!$C$7:$C$91,0),MATCH($G147,'Labor Expenditures'!$E$5:$W$5,0)),"NA")</f>
        <v>335.69612530334604</v>
      </c>
      <c r="K147" s="125">
        <f t="shared" ca="1" si="289"/>
        <v>2.3901468515724176</v>
      </c>
      <c r="L147" s="47"/>
      <c r="M147" s="131">
        <f t="shared" ca="1" si="296"/>
        <v>-0.14735844692561029</v>
      </c>
      <c r="N147" s="59"/>
      <c r="O147" s="59"/>
      <c r="P147" s="59">
        <f t="shared" ca="1" si="298"/>
        <v>-1.7086847862178366E-5</v>
      </c>
      <c r="Q147" s="61"/>
      <c r="R147" s="387"/>
      <c r="S147" s="49">
        <f t="shared" ca="1" si="303"/>
        <v>170.02102523794306</v>
      </c>
      <c r="T147" s="61">
        <f ca="1">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</f>
        <v>-0.56954827408979991</v>
      </c>
      <c r="U147" s="61"/>
      <c r="V147" s="125">
        <f>IFERROR(INDEX('Non-Labor Expenditures'!$E$7:$AA$91,MATCH($C147,'Non-Labor Expenditures'!$C$7:$C$91,0),MATCH($G147,'Non-Labor Expenditures'!$E$5:$AA$5,0)),"NA")</f>
        <v>486.15068882672989</v>
      </c>
      <c r="W147" s="125">
        <f t="shared" si="290"/>
        <v>4.5117974666288934</v>
      </c>
      <c r="X147" s="131">
        <f t="shared" si="299"/>
        <v>-0.14100037731218976</v>
      </c>
      <c r="Y147" s="131">
        <f t="shared" si="300"/>
        <v>-1.6349602251572149E-5</v>
      </c>
      <c r="Z147" s="131"/>
      <c r="AA147" s="131"/>
      <c r="AB147" s="131"/>
      <c r="AC147" s="125">
        <f t="shared" si="265"/>
        <v>370.06235006568556</v>
      </c>
      <c r="AD147" s="129"/>
      <c r="AE147" s="133">
        <v>30.712428749694521</v>
      </c>
      <c r="AF147" s="134">
        <v>-3.8187077770033876E-3</v>
      </c>
      <c r="AG147" s="59">
        <f t="shared" si="291"/>
        <v>-4.4279564678578405E-7</v>
      </c>
      <c r="AH147" s="134"/>
      <c r="AI147" s="134"/>
      <c r="AJ147" s="129">
        <f t="shared" si="216"/>
        <v>1191.9091641957616</v>
      </c>
      <c r="AK147" s="134">
        <f t="shared" si="301"/>
        <v>-0.11731927010423625</v>
      </c>
      <c r="AL147" s="129"/>
      <c r="AM147" s="129"/>
      <c r="AN147" s="129"/>
      <c r="AO147" s="129"/>
      <c r="AP147" s="133">
        <f t="shared" si="302"/>
        <v>359.87595537311643</v>
      </c>
      <c r="AQ147" s="134">
        <f>+BB147/Outputs!$B$25</f>
        <v>8.9446868344148333E-5</v>
      </c>
      <c r="AR147" s="93">
        <f t="shared" si="292"/>
        <v>0.28164572887553585</v>
      </c>
      <c r="AS147" s="93">
        <f t="shared" si="293"/>
        <v>0.40787561957773782</v>
      </c>
      <c r="AT147" s="93">
        <f t="shared" si="294"/>
        <v>0.31047865154672621</v>
      </c>
      <c r="AU147" s="93">
        <f t="shared" ca="1" si="297"/>
        <v>-0.10043116011658952</v>
      </c>
      <c r="AV147" s="132">
        <f t="shared" ca="1" si="305"/>
        <v>83.147317996879735</v>
      </c>
      <c r="AW147" s="134">
        <f t="shared" ca="1" si="306"/>
        <v>-0.10043116011658954</v>
      </c>
      <c r="AX147" s="56">
        <f>+AJ147/$AL$22</f>
        <v>1.1595431560705967E-4</v>
      </c>
      <c r="AY147" s="135">
        <f t="shared" ca="1" si="304"/>
        <v>-1.1645426436942168E-5</v>
      </c>
      <c r="AZ147" s="93"/>
      <c r="BA147" s="93"/>
      <c r="BB147" s="234">
        <f>IFERROR(INDEX('Total Customers'!$E$7:$AA$91,MATCH($C147,'Total Customers'!$C$7:$C$91,0),MATCH($G147,'Total Customers'!$E$5:$AA$5,0)),"NA")</f>
        <v>3312</v>
      </c>
      <c r="BC147" s="411">
        <f t="shared" si="283"/>
        <v>7.8812169079368766E-3</v>
      </c>
      <c r="BD147" s="92"/>
      <c r="BE147" s="281" t="str">
        <f t="shared" si="278"/>
        <v>BLUEFIELD GAS COMPANY</v>
      </c>
      <c r="BF147" s="290">
        <f t="shared" si="279"/>
        <v>4058793</v>
      </c>
      <c r="BG147" s="46" t="str">
        <f t="shared" si="280"/>
        <v>WV</v>
      </c>
      <c r="BH147" s="46"/>
      <c r="BI147" s="46" t="str">
        <f t="shared" si="281"/>
        <v>2017 Y</v>
      </c>
      <c r="BJ147" s="129"/>
      <c r="BK147" s="129"/>
      <c r="BL147" s="129">
        <f>INDEX('Dist. Plant Gas Additions'!$E$7:$AD$91,MATCH($C147,'Dist. Plant Gas Additions'!$C$7:$C$91,0),MATCH(Calculation!$G147,'Dist. Plant Gas Additions'!$E$5:$AD$5,0))</f>
        <v>68</v>
      </c>
      <c r="BM147" s="129">
        <f>INDEX('Gen. Plant Additions'!$E$7:$AD$91,MATCH($C147,'Gen. Plant Additions'!$C$7:$C$91,0),MATCH(Calculation!$G147,'Gen. Plant Additions'!$E$5:$AD$5,0))</f>
        <v>45</v>
      </c>
      <c r="BN147" s="393">
        <f t="shared" si="266"/>
        <v>0.85293579659776841</v>
      </c>
      <c r="BO147" s="46">
        <f t="shared" si="308"/>
        <v>38.382110846899579</v>
      </c>
      <c r="BP147" s="46">
        <f t="shared" si="309"/>
        <v>-6.6178891531004211</v>
      </c>
      <c r="BQ147" s="129"/>
      <c r="BR147" s="129"/>
      <c r="BS147" s="129"/>
      <c r="BT147" s="129"/>
      <c r="BU147" s="129"/>
      <c r="BV147" s="129"/>
      <c r="BW147" s="129"/>
      <c r="BX147" s="129"/>
      <c r="BY147" s="129">
        <f>INDEX('Gross Dx Plant'!$D$7:$AC$91,MATCH($C147,'Gross Dx Plant'!$C$7:$C$91,0),MATCH(Calculation!$G147,'Gross Dx Plant'!$D$5:$AC$5,0))</f>
        <v>9326</v>
      </c>
      <c r="BZ147" s="129">
        <f>INDEX('Gross Gen Plant'!$D$7:$AC$91,MATCH($C147,'Gross Gen Plant'!$C$7:$C$91,0),MATCH(Calculation!$G147,'Gross Gen Plant'!$D$5:$AC$5,0))</f>
        <v>1608</v>
      </c>
      <c r="CA147" s="129">
        <f t="shared" si="307"/>
        <v>10934</v>
      </c>
      <c r="CB147" s="129"/>
      <c r="CC147" s="133">
        <v>2017</v>
      </c>
      <c r="CD147" s="129"/>
      <c r="CE147" s="129"/>
      <c r="CF147" s="129"/>
      <c r="CG147" s="137"/>
      <c r="CH147" s="129">
        <f t="shared" si="267"/>
        <v>113</v>
      </c>
      <c r="CI147" s="46">
        <f t="shared" si="276"/>
        <v>106.38211084689958</v>
      </c>
      <c r="CJ147" s="46">
        <f t="shared" si="268"/>
        <v>0.14932319292140236</v>
      </c>
      <c r="CK147" s="443">
        <v>0.77108433734939763</v>
      </c>
      <c r="CL147" s="46">
        <f>+CL128*CK147+CJ129*CK146+CJ130*CK145+CJ131*CK144+CJ132*CK143+CJ133*CK142+CJ134*CK141+CJ135*CK140+CJ136*CK139+CJ137*CK138+CJ138*CK137+CJ139*CK136+CJ140*CK135+CJ141*CK134+CJ142*CK133+CJ143*CK132+CJ144*CK131+CJ145*CK130+CJ146*CK129+CJ147</f>
        <v>27.687531601487624</v>
      </c>
      <c r="CM147" s="134">
        <f t="shared" si="269"/>
        <v>-1.0880419907277025E-2</v>
      </c>
      <c r="CN147" s="135">
        <f t="shared" si="270"/>
        <v>1.6156237069236159E-2</v>
      </c>
      <c r="CO147" s="135">
        <f t="shared" si="284"/>
        <v>1.5716577862105049E-2</v>
      </c>
      <c r="CP147" s="134">
        <f>VLOOKUP($H147,RoR!$E:$F,2,FALSE)</f>
        <v>3.7433333333333339E-2</v>
      </c>
      <c r="CQ147" s="135">
        <v>1.9056896421275615E-2</v>
      </c>
      <c r="CR147" s="135">
        <f t="shared" si="277"/>
        <v>1.8376436912057724E-2</v>
      </c>
      <c r="CS147" s="135">
        <f t="shared" si="285"/>
        <v>1.5185363746428576E-2</v>
      </c>
      <c r="CT147" s="135">
        <f t="shared" si="286"/>
        <v>1.3976271617800498E-2</v>
      </c>
      <c r="CU147" s="139">
        <f t="shared" si="271"/>
        <v>0.90305999999999997</v>
      </c>
      <c r="CV147" s="335">
        <f t="shared" si="272"/>
        <v>1.3699568463593395</v>
      </c>
      <c r="CW147" s="335">
        <f t="shared" si="273"/>
        <v>0.30714603739982199</v>
      </c>
      <c r="CX147" s="335">
        <f t="shared" si="274"/>
        <v>0.77007188472689425</v>
      </c>
      <c r="CY147" s="335">
        <f t="shared" si="275"/>
        <v>0.32402839633793828</v>
      </c>
      <c r="CZ147" s="336">
        <f>INDEX('State Tax Lookup'!$D$7:$Z$91,MATCH(Calculation!$C147,'State Tax Lookup'!$B$7:$B$91,0),MATCH($H147,'State Tax Lookup'!$D$6:$Z$6,0))</f>
        <v>0.26200000000000001</v>
      </c>
      <c r="DA147" s="303">
        <v>0.37</v>
      </c>
      <c r="DB147" s="57">
        <f t="shared" si="282"/>
        <v>13.22103201508096</v>
      </c>
      <c r="DC147" s="56">
        <f t="shared" si="287"/>
        <v>-0.12372949074584251</v>
      </c>
      <c r="DD147" s="303">
        <f>VLOOKUP($H147,RoR!$E:$F,2,FALSE)</f>
        <v>3.7433333333333339E-2</v>
      </c>
      <c r="DE147" s="304">
        <f>HLOOKUP($H147,'GDP-PI'!$D$8:$CQ$11,3,FALSE)</f>
        <v>1.9056896421275615E-2</v>
      </c>
      <c r="DF147" s="303">
        <f>VLOOKUP(H147,'HW Dx Data'!$E:$F,2,FALSE)</f>
        <v>712.42858370229726</v>
      </c>
      <c r="DG147" s="89">
        <f ca="1">VLOOKUP(CC147,'ECI - Input Price'!M$13:N$33,2,FALSE)</f>
        <v>140.44999999999999</v>
      </c>
      <c r="DH147" s="89"/>
      <c r="DI147" s="89"/>
      <c r="DJ147" s="56">
        <f t="shared" ca="1" si="295"/>
        <v>2.5235657841165486E-2</v>
      </c>
      <c r="DK147" s="53">
        <f>HLOOKUP(H147,'GDP-PI'!$8:$9,2,FALSE)</f>
        <v>107.751</v>
      </c>
      <c r="DL147" s="355">
        <f t="shared" si="288"/>
        <v>1.8877588227745139E-2</v>
      </c>
      <c r="DP147" s="398"/>
      <c r="DQ147" s="398"/>
      <c r="DR147" s="398"/>
      <c r="DS147" s="398"/>
      <c r="DT147" s="398"/>
      <c r="DU147" s="398"/>
      <c r="DV147" s="398"/>
      <c r="DW147" s="398"/>
      <c r="DX147" s="398"/>
      <c r="EC147"/>
    </row>
    <row r="148" spans="1:133" s="126" customFormat="1" ht="21" customHeight="1" x14ac:dyDescent="0.4">
      <c r="A148" s="233" t="s">
        <v>190</v>
      </c>
      <c r="B148" s="127" t="s">
        <v>190</v>
      </c>
      <c r="C148" s="127">
        <v>4058793</v>
      </c>
      <c r="D148" s="127" t="s">
        <v>191</v>
      </c>
      <c r="E148" s="127"/>
      <c r="F148" s="127"/>
      <c r="G148" s="127" t="s">
        <v>174</v>
      </c>
      <c r="H148" s="128">
        <v>2018</v>
      </c>
      <c r="I148" s="129"/>
      <c r="J148" s="125">
        <f>IFERROR(INDEX('Labor Expenditures'!$E$7:$W$91,MATCH($C148,'Labor Expenditures'!$C$7:$C$91,0),MATCH($G148,'Labor Expenditures'!$E$5:$W$5,0)),"NA")</f>
        <v>336.69365941473939</v>
      </c>
      <c r="K148" s="125">
        <f t="shared" ca="1" si="289"/>
        <v>2.3308664549306988</v>
      </c>
      <c r="L148" s="47"/>
      <c r="M148" s="131">
        <f t="shared" ca="1" si="296"/>
        <v>-2.5114740707950018E-2</v>
      </c>
      <c r="N148" s="59"/>
      <c r="O148" s="59"/>
      <c r="P148" s="59">
        <f t="shared" ca="1" si="298"/>
        <v>-2.7050042990897109E-6</v>
      </c>
      <c r="Q148" s="61"/>
      <c r="R148" s="387"/>
      <c r="S148" s="49">
        <f t="shared" ca="1" si="303"/>
        <v>123.91846906159289</v>
      </c>
      <c r="T148" s="61">
        <f ca="1">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</f>
        <v>-0.31629826548869827</v>
      </c>
      <c r="U148" s="61"/>
      <c r="V148" s="125">
        <f>IFERROR(INDEX('Non-Labor Expenditures'!$E$7:$AA$91,MATCH($C148,'Non-Labor Expenditures'!$C$7:$C$91,0),MATCH($G148,'Non-Labor Expenditures'!$E$5:$AA$5,0)),"NA")</f>
        <v>487.59530453369939</v>
      </c>
      <c r="W148" s="125">
        <f t="shared" si="290"/>
        <v>4.41974678245227</v>
      </c>
      <c r="X148" s="131">
        <f t="shared" si="299"/>
        <v>-2.0613220062467436E-2</v>
      </c>
      <c r="Y148" s="131">
        <f t="shared" si="300"/>
        <v>-2.2201642268759858E-6</v>
      </c>
      <c r="Z148" s="131"/>
      <c r="AA148" s="131"/>
      <c r="AB148" s="131"/>
      <c r="AC148" s="125">
        <f t="shared" si="265"/>
        <v>374.25598161083042</v>
      </c>
      <c r="AD148" s="129"/>
      <c r="AE148" s="133">
        <v>32.646747980812613</v>
      </c>
      <c r="AF148" s="134">
        <v>6.1077830404107851E-2</v>
      </c>
      <c r="AG148" s="59">
        <f t="shared" si="291"/>
        <v>6.5784391622201896E-6</v>
      </c>
      <c r="AH148" s="134"/>
      <c r="AI148" s="134"/>
      <c r="AJ148" s="129">
        <f t="shared" si="216"/>
        <v>1198.5449455592693</v>
      </c>
      <c r="AK148" s="134">
        <f t="shared" si="301"/>
        <v>5.5519144930614682E-3</v>
      </c>
      <c r="AL148" s="129"/>
      <c r="AM148" s="129"/>
      <c r="AN148" s="129"/>
      <c r="AO148" s="129"/>
      <c r="AP148" s="133">
        <f t="shared" si="302"/>
        <v>362.86556026620326</v>
      </c>
      <c r="AQ148" s="134">
        <f>+BB148/Outputs!$B$26</f>
        <v>8.8422570258598672E-5</v>
      </c>
      <c r="AR148" s="93">
        <f t="shared" si="292"/>
        <v>0.28091867615163169</v>
      </c>
      <c r="AS148" s="93">
        <f t="shared" si="293"/>
        <v>0.40682271143880711</v>
      </c>
      <c r="AT148" s="93">
        <f t="shared" si="294"/>
        <v>0.31225861240956115</v>
      </c>
      <c r="AU148" s="93">
        <f t="shared" ca="1" si="297"/>
        <v>3.5566129243458991E-3</v>
      </c>
      <c r="AV148" s="132">
        <f t="shared" ca="1" si="305"/>
        <v>83.443567332516452</v>
      </c>
      <c r="AW148" s="134">
        <f t="shared" ca="1" si="306"/>
        <v>3.5566129243458054E-3</v>
      </c>
      <c r="AX148" s="56">
        <f>+AJ148/$AL$23</f>
        <v>1.077058421803036E-4</v>
      </c>
      <c r="AY148" s="135">
        <f t="shared" ca="1" si="304"/>
        <v>3.8306799032601739E-7</v>
      </c>
      <c r="AZ148" s="93"/>
      <c r="BA148" s="93"/>
      <c r="BB148" s="234">
        <f>IFERROR(INDEX('Total Customers'!$E$7:$AA$91,MATCH($C148,'Total Customers'!$C$7:$C$91,0),MATCH($G148,'Total Customers'!$E$5:$AA$5,0)),"NA")</f>
        <v>3303</v>
      </c>
      <c r="BC148" s="411">
        <f t="shared" si="283"/>
        <v>-2.7210901143606132E-3</v>
      </c>
      <c r="BD148" s="92"/>
      <c r="BE148" s="281" t="str">
        <f t="shared" si="278"/>
        <v>BLUEFIELD GAS COMPANY</v>
      </c>
      <c r="BF148" s="290">
        <f t="shared" si="279"/>
        <v>4058793</v>
      </c>
      <c r="BG148" s="46" t="str">
        <f t="shared" si="280"/>
        <v>WV</v>
      </c>
      <c r="BH148" s="46"/>
      <c r="BI148" s="46" t="str">
        <f t="shared" si="281"/>
        <v>2018 Y</v>
      </c>
      <c r="BJ148" s="129"/>
      <c r="BK148" s="129"/>
      <c r="BL148" s="129">
        <f>INDEX('Dist. Plant Gas Additions'!$E$7:$AD$91,MATCH($C148,'Dist. Plant Gas Additions'!$C$7:$C$91,0),MATCH(Calculation!$G148,'Dist. Plant Gas Additions'!$E$5:$AD$5,0))</f>
        <v>1603</v>
      </c>
      <c r="BM148" s="129">
        <f>INDEX('Gen. Plant Additions'!$E$7:$AD$91,MATCH($C148,'Gen. Plant Additions'!$C$7:$C$91,0),MATCH(Calculation!$G148,'Gen. Plant Additions'!$E$5:$AD$5,0))</f>
        <v>75</v>
      </c>
      <c r="BN148" s="393">
        <f t="shared" si="266"/>
        <v>0.87782363977485933</v>
      </c>
      <c r="BO148" s="46">
        <f t="shared" si="308"/>
        <v>65.836772983114443</v>
      </c>
      <c r="BP148" s="46">
        <f t="shared" si="309"/>
        <v>-9.163227016885557</v>
      </c>
      <c r="BQ148" s="129"/>
      <c r="BR148" s="129"/>
      <c r="BS148" s="129"/>
      <c r="BT148" s="129"/>
      <c r="BU148" s="129"/>
      <c r="BV148" s="129"/>
      <c r="BW148" s="129"/>
      <c r="BX148" s="129"/>
      <c r="BY148" s="129">
        <f>INDEX('Gross Dx Plant'!$D$7:$AC$91,MATCH($C148,'Gross Dx Plant'!$C$7:$C$91,0),MATCH(Calculation!$G148,'Gross Dx Plant'!$D$5:$AC$5,0))</f>
        <v>11697</v>
      </c>
      <c r="BZ148" s="129">
        <f>INDEX('Gross Gen Plant'!$D$7:$AC$91,MATCH($C148,'Gross Gen Plant'!$C$7:$C$91,0),MATCH(Calculation!$G148,'Gross Gen Plant'!$D$5:$AC$5,0))</f>
        <v>1628</v>
      </c>
      <c r="CA148" s="129">
        <f t="shared" si="307"/>
        <v>13325</v>
      </c>
      <c r="CB148" s="129"/>
      <c r="CC148" s="133">
        <v>2018</v>
      </c>
      <c r="CD148" s="129"/>
      <c r="CE148" s="129"/>
      <c r="CF148" s="129"/>
      <c r="CG148" s="137"/>
      <c r="CH148" s="129">
        <f t="shared" si="267"/>
        <v>1678</v>
      </c>
      <c r="CI148" s="46">
        <f t="shared" si="276"/>
        <v>1668.8367729831145</v>
      </c>
      <c r="CJ148" s="46">
        <f t="shared" si="268"/>
        <v>2.2099796517480113</v>
      </c>
      <c r="CK148" s="443">
        <v>0.75609756097560976</v>
      </c>
      <c r="CL148" s="46">
        <f>+CL128*CK148++CJ129*CK147+CJ130*CK146+CJ131*CK145+CJ132*CK144+CJ133*CK143+CJ134*CK142+CJ135*CK141+CJ136*CK140+CJ137*CK139+CJ138*CK138+CJ139*CK137+CJ140*CK136+CJ141*CK135+CJ142*CK134+CJ143*CK133+CJ144*CK132+CJ145*CK131+CJ146*CK130+CJ147*CK129+CJ148</f>
        <v>29.433182586893231</v>
      </c>
      <c r="CM148" s="134">
        <f t="shared" si="269"/>
        <v>6.1140508137895296E-2</v>
      </c>
      <c r="CN148" s="135">
        <f t="shared" si="270"/>
        <v>1.6770316437939744E-2</v>
      </c>
      <c r="CO148" s="135">
        <f t="shared" si="284"/>
        <v>1.6222798561546178E-2</v>
      </c>
      <c r="CP148" s="134">
        <f>VLOOKUP($H148,RoR!$E:$F,2,FALSE)</f>
        <v>3.9299999999999995E-2</v>
      </c>
      <c r="CQ148" s="135">
        <v>2.386056741932796E-2</v>
      </c>
      <c r="CR148" s="135">
        <f t="shared" si="277"/>
        <v>1.5439432580672034E-2</v>
      </c>
      <c r="CS148" s="135">
        <f t="shared" si="285"/>
        <v>1.4679143046987447E-2</v>
      </c>
      <c r="CT148" s="135">
        <f t="shared" si="286"/>
        <v>3.8270792163076606E-2</v>
      </c>
      <c r="CU148" s="139">
        <f t="shared" si="271"/>
        <v>0.90305999999999997</v>
      </c>
      <c r="CV148" s="335">
        <f t="shared" si="272"/>
        <v>1.3048868010700074</v>
      </c>
      <c r="CW148" s="335">
        <f t="shared" si="273"/>
        <v>0.33886768447837151</v>
      </c>
      <c r="CX148" s="335">
        <f t="shared" si="274"/>
        <v>0.78602506232557801</v>
      </c>
      <c r="CY148" s="335">
        <f t="shared" si="275"/>
        <v>0.34756768162358759</v>
      </c>
      <c r="CZ148" s="336">
        <f>INDEX('State Tax Lookup'!$D$7:$Z$91,MATCH(Calculation!$C148,'State Tax Lookup'!$B$7:$B$91,0),MATCH($H148,'State Tax Lookup'!$D$6:$Z$6,0))</f>
        <v>0.26200000000000001</v>
      </c>
      <c r="DA148" s="303">
        <v>0.37</v>
      </c>
      <c r="DB148" s="57">
        <f t="shared" si="282"/>
        <v>13.517130634741092</v>
      </c>
      <c r="DC148" s="56">
        <f t="shared" si="287"/>
        <v>2.214892087488473E-2</v>
      </c>
      <c r="DD148" s="303">
        <f>VLOOKUP($H148,RoR!$E:$F,2,FALSE)</f>
        <v>3.9299999999999995E-2</v>
      </c>
      <c r="DE148" s="304">
        <f>HLOOKUP($H148,'GDP-PI'!$D$8:$CQ$11,3,FALSE)</f>
        <v>2.386056741932796E-2</v>
      </c>
      <c r="DF148" s="303">
        <f>VLOOKUP(H148,'HW Dx Data'!$E:$F,2,FALSE)</f>
        <v>755.13671434174842</v>
      </c>
      <c r="DG148" s="89">
        <f ca="1">VLOOKUP(CC148,'ECI - Input Price'!M$13:N$33,2,FALSE)</f>
        <v>144.44999999999999</v>
      </c>
      <c r="DH148" s="89"/>
      <c r="DI148" s="89"/>
      <c r="DJ148" s="56">
        <f t="shared" ca="1" si="295"/>
        <v>2.80818733619915E-2</v>
      </c>
      <c r="DK148" s="53">
        <f>HLOOKUP(H148,'GDP-PI'!$8:$9,2,FALSE)</f>
        <v>110.322</v>
      </c>
      <c r="DL148" s="355">
        <f t="shared" si="288"/>
        <v>2.3580352716508712E-2</v>
      </c>
      <c r="DP148" s="398"/>
      <c r="DQ148" s="398"/>
      <c r="DR148" s="398"/>
      <c r="DS148" s="398"/>
      <c r="DT148" s="398"/>
      <c r="DU148" s="398"/>
      <c r="DV148" s="398"/>
      <c r="DW148" s="398"/>
      <c r="DX148" s="398"/>
      <c r="EC148"/>
    </row>
    <row r="149" spans="1:133" s="126" customFormat="1" ht="21" customHeight="1" x14ac:dyDescent="0.4">
      <c r="A149" s="233" t="s">
        <v>190</v>
      </c>
      <c r="B149" s="127" t="s">
        <v>190</v>
      </c>
      <c r="C149" s="127">
        <v>4058793</v>
      </c>
      <c r="D149" s="127" t="s">
        <v>191</v>
      </c>
      <c r="E149" s="127"/>
      <c r="F149" s="127"/>
      <c r="G149" s="127" t="s">
        <v>175</v>
      </c>
      <c r="H149" s="128">
        <v>2019</v>
      </c>
      <c r="I149" s="129"/>
      <c r="J149" s="125">
        <f>IFERROR(INDEX('Labor Expenditures'!$E$7:$W$91,MATCH($C149,'Labor Expenditures'!$C$7:$C$91,0),MATCH($G149,'Labor Expenditures'!$E$5:$W$5,0)),"NA")</f>
        <v>388.22007731561581</v>
      </c>
      <c r="K149" s="125">
        <f t="shared" ca="1" si="289"/>
        <v>2.5937536483421799</v>
      </c>
      <c r="L149" s="47"/>
      <c r="M149" s="131">
        <f t="shared" ca="1" si="296"/>
        <v>0.10686604406522518</v>
      </c>
      <c r="N149" s="59"/>
      <c r="O149" s="59"/>
      <c r="P149" s="59">
        <f t="shared" ca="1" si="298"/>
        <v>1.2634219199808539E-5</v>
      </c>
      <c r="Q149" s="61"/>
      <c r="R149" s="387"/>
      <c r="S149" s="49">
        <f t="shared" ca="1" si="303"/>
        <v>121.95902076409757</v>
      </c>
      <c r="T149" s="61">
        <f ca="1">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</f>
        <v>-1.593874885282006E-2</v>
      </c>
      <c r="U149" s="61"/>
      <c r="V149" s="125">
        <f>IFERROR(INDEX('Non-Labor Expenditures'!$E$7:$AA$91,MATCH($C149,'Non-Labor Expenditures'!$C$7:$C$91,0),MATCH($G149,'Non-Labor Expenditures'!$E$5:$AA$5,0)),"NA")</f>
        <v>562.21518146152926</v>
      </c>
      <c r="W149" s="125">
        <f t="shared" si="290"/>
        <v>5.0055661733785257</v>
      </c>
      <c r="X149" s="131">
        <f t="shared" si="299"/>
        <v>0.12446812251299511</v>
      </c>
      <c r="Y149" s="131">
        <f t="shared" si="300"/>
        <v>1.4715221817867621E-5</v>
      </c>
      <c r="Z149" s="131"/>
      <c r="AA149" s="131"/>
      <c r="AB149" s="131"/>
      <c r="AC149" s="125">
        <f t="shared" si="265"/>
        <v>396.5134883645041</v>
      </c>
      <c r="AD149" s="129"/>
      <c r="AE149" s="133">
        <v>34.365957223596006</v>
      </c>
      <c r="AF149" s="134">
        <v>5.1321210456957769E-2</v>
      </c>
      <c r="AG149" s="59">
        <f t="shared" si="291"/>
        <v>6.06744104906663E-6</v>
      </c>
      <c r="AH149" s="134"/>
      <c r="AI149" s="134"/>
      <c r="AJ149" s="129">
        <f t="shared" si="216"/>
        <v>1346.9487471416492</v>
      </c>
      <c r="AK149" s="134">
        <f t="shared" si="301"/>
        <v>0.11673357137056747</v>
      </c>
      <c r="AL149" s="129"/>
      <c r="AM149" s="129"/>
      <c r="AN149" s="129"/>
      <c r="AO149" s="129"/>
      <c r="AP149" s="133">
        <f t="shared" si="302"/>
        <v>407.05613392011156</v>
      </c>
      <c r="AQ149" s="134">
        <f>+BB149/Outputs!$B$27</f>
        <v>8.7852630809288402E-5</v>
      </c>
      <c r="AR149" s="93">
        <f t="shared" si="292"/>
        <v>0.28822186303632935</v>
      </c>
      <c r="AS149" s="93">
        <f t="shared" si="293"/>
        <v>0.41739909009500348</v>
      </c>
      <c r="AT149" s="93">
        <f t="shared" si="294"/>
        <v>0.29437904686866717</v>
      </c>
      <c r="AU149" s="93">
        <f t="shared" ca="1" si="297"/>
        <v>9.727225854714637E-2</v>
      </c>
      <c r="AV149" s="132">
        <f t="shared" ca="1" si="305"/>
        <v>91.968195996453289</v>
      </c>
      <c r="AW149" s="134">
        <f t="shared" ca="1" si="306"/>
        <v>9.7272258547146356E-2</v>
      </c>
      <c r="AX149" s="56">
        <f>+AJ149/$AL$24</f>
        <v>1.1822482351922097E-4</v>
      </c>
      <c r="AY149" s="135">
        <f t="shared" ca="1" si="304"/>
        <v>1.1499995600052412E-5</v>
      </c>
      <c r="AZ149" s="93"/>
      <c r="BA149" s="93"/>
      <c r="BB149" s="234">
        <f>IFERROR(INDEX('Total Customers'!$E$7:$AA$91,MATCH($C149,'Total Customers'!$C$7:$C$91,0),MATCH($G149,'Total Customers'!$E$5:$AA$5,0)),"NA")</f>
        <v>3309</v>
      </c>
      <c r="BC149" s="411">
        <f t="shared" si="283"/>
        <v>1.8148825308225342E-3</v>
      </c>
      <c r="BD149" s="92"/>
      <c r="BE149" s="281" t="str">
        <f t="shared" si="278"/>
        <v>BLUEFIELD GAS COMPANY</v>
      </c>
      <c r="BF149" s="290">
        <f t="shared" si="279"/>
        <v>4058793</v>
      </c>
      <c r="BG149" s="46" t="str">
        <f t="shared" si="280"/>
        <v>WV</v>
      </c>
      <c r="BH149" s="46"/>
      <c r="BI149" s="46" t="str">
        <f t="shared" si="281"/>
        <v>2019 Y</v>
      </c>
      <c r="BJ149" s="129"/>
      <c r="BK149" s="129"/>
      <c r="BL149" s="129">
        <f>INDEX('Dist. Plant Gas Additions'!$E$7:$AD$91,MATCH($C149,'Dist. Plant Gas Additions'!$C$7:$C$91,0),MATCH(Calculation!$G149,'Dist. Plant Gas Additions'!$E$5:$AD$5,0))</f>
        <v>1570</v>
      </c>
      <c r="BM149" s="129">
        <f>INDEX('Gen. Plant Additions'!$E$7:$AD$91,MATCH($C149,'Gen. Plant Additions'!$C$7:$C$91,0),MATCH(Calculation!$G149,'Gen. Plant Additions'!$E$5:$AD$5,0))</f>
        <v>0</v>
      </c>
      <c r="BN149" s="393">
        <f t="shared" si="266"/>
        <v>0.88227343380414947</v>
      </c>
      <c r="BO149" s="46">
        <f t="shared" si="308"/>
        <v>0</v>
      </c>
      <c r="BP149" s="46">
        <f t="shared" si="309"/>
        <v>0</v>
      </c>
      <c r="BQ149" s="129"/>
      <c r="BR149" s="129"/>
      <c r="BS149" s="129"/>
      <c r="BT149" s="129"/>
      <c r="BU149" s="129"/>
      <c r="BV149" s="129"/>
      <c r="BW149" s="129"/>
      <c r="BX149" s="129"/>
      <c r="BY149" s="129">
        <f>INDEX('Gross Dx Plant'!$D$7:$AC$91,MATCH($C149,'Gross Dx Plant'!$C$7:$C$91,0),MATCH(Calculation!$G149,'Gross Dx Plant'!$D$5:$AC$5,0))</f>
        <v>13055</v>
      </c>
      <c r="BZ149" s="129">
        <f>INDEX('Gross Gen Plant'!$D$7:$AC$91,MATCH($C149,'Gross Gen Plant'!$C$7:$C$91,0),MATCH(Calculation!$G149,'Gross Gen Plant'!$D$5:$AC$5,0))</f>
        <v>1742</v>
      </c>
      <c r="CA149" s="129">
        <f t="shared" si="307"/>
        <v>14797</v>
      </c>
      <c r="CB149" s="129"/>
      <c r="CC149" s="133">
        <v>2019</v>
      </c>
      <c r="CD149" s="129"/>
      <c r="CE149" s="129"/>
      <c r="CF149" s="129"/>
      <c r="CG149" s="137"/>
      <c r="CH149" s="129">
        <f t="shared" si="267"/>
        <v>1570</v>
      </c>
      <c r="CI149" s="46">
        <f t="shared" si="276"/>
        <v>1570</v>
      </c>
      <c r="CJ149" s="46">
        <f t="shared" si="268"/>
        <v>2.0296318547516403</v>
      </c>
      <c r="CK149" s="443">
        <v>0.7407407407407407</v>
      </c>
      <c r="CL149" s="46">
        <f>CL128*CK149+CJ129*CK148+CJ130*CK147+CJ131*CK146+CJ132*CK145+CJ133*CK144+CJ134*CK143+CJ135*CK142+CJ136*CK141+CJ137*CK140+CJ138*CK139+CJ139*CK138+CJ140*CK137+CJ141*CK136+CJ142*CK135+CJ143*CK134+CJ144*CK133+CJ145*CK132+CJ146*CK131+CJ147*CK130+CJ148*CK129+CJ149</f>
        <v>30.965564716235718</v>
      </c>
      <c r="CM149" s="134">
        <f t="shared" si="269"/>
        <v>5.0753074161346161E-2</v>
      </c>
      <c r="CN149" s="135">
        <f t="shared" si="270"/>
        <v>1.6894188181694678E-2</v>
      </c>
      <c r="CO149" s="135">
        <f t="shared" si="284"/>
        <v>1.6606913896290196E-2</v>
      </c>
      <c r="CP149" s="134">
        <f>VLOOKUP($H149,RoR!$E:$F,2,FALSE)</f>
        <v>3.3875000000000009E-2</v>
      </c>
      <c r="CQ149" s="135">
        <v>1.8092492884465461E-2</v>
      </c>
      <c r="CR149" s="135">
        <f t="shared" si="277"/>
        <v>1.5782507115534548E-2</v>
      </c>
      <c r="CS149" s="135">
        <f t="shared" si="285"/>
        <v>1.4295027712243429E-2</v>
      </c>
      <c r="CT149" s="135">
        <f t="shared" si="286"/>
        <v>4.8445665544254078E-2</v>
      </c>
      <c r="CU149" s="139">
        <f t="shared" si="271"/>
        <v>0.90305999999999997</v>
      </c>
      <c r="CV149" s="335">
        <f t="shared" si="272"/>
        <v>1.513861292459078</v>
      </c>
      <c r="CW149" s="335">
        <f t="shared" si="273"/>
        <v>0.23699261992619944</v>
      </c>
      <c r="CX149" s="335">
        <f t="shared" si="274"/>
        <v>0.73619765810468829</v>
      </c>
      <c r="CY149" s="335">
        <f t="shared" si="275"/>
        <v>0.26412854465362851</v>
      </c>
      <c r="CZ149" s="336">
        <f>INDEX('State Tax Lookup'!$D$7:$Z$91,MATCH(Calculation!$C149,'State Tax Lookup'!$B$7:$B$91,0),MATCH($H149,'State Tax Lookup'!$D$6:$Z$6,0))</f>
        <v>0.26200000000000001</v>
      </c>
      <c r="DA149" s="303">
        <v>0.37</v>
      </c>
      <c r="DB149" s="57">
        <f t="shared" si="282"/>
        <v>13.471648442838589</v>
      </c>
      <c r="DC149" s="56">
        <f t="shared" si="287"/>
        <v>-3.3704551679132068E-3</v>
      </c>
      <c r="DD149" s="303">
        <f>VLOOKUP($H149,RoR!$E:$F,2,FALSE)</f>
        <v>3.3875000000000009E-2</v>
      </c>
      <c r="DE149" s="304">
        <f>HLOOKUP($H149,'GDP-PI'!$D$8:$CQ$11,3,FALSE)</f>
        <v>1.8092492884465461E-2</v>
      </c>
      <c r="DF149" s="303">
        <f>VLOOKUP(H149,'HW Dx Data'!$E:$F,2,FALSE)</f>
        <v>773.53929793938721</v>
      </c>
      <c r="DG149" s="89">
        <f ca="1">VLOOKUP(CC149,'ECI - Input Price'!M$13:N$33,2,FALSE)</f>
        <v>149.67500000000001</v>
      </c>
      <c r="DH149" s="89"/>
      <c r="DI149" s="89"/>
      <c r="DJ149" s="56">
        <f t="shared" ca="1" si="295"/>
        <v>3.5532849899171604E-2</v>
      </c>
      <c r="DK149" s="53">
        <f>HLOOKUP(H149,'GDP-PI'!$8:$9,2,FALSE)</f>
        <v>112.318</v>
      </c>
      <c r="DL149" s="355">
        <f t="shared" si="288"/>
        <v>1.7930771451401852E-2</v>
      </c>
      <c r="DP149" s="398"/>
      <c r="DQ149" s="398"/>
      <c r="DR149" s="398"/>
      <c r="DS149" s="398"/>
      <c r="DT149" s="398"/>
      <c r="DU149" s="398"/>
      <c r="DV149" s="398"/>
      <c r="DW149" s="398"/>
      <c r="DX149" s="398"/>
      <c r="EC149"/>
    </row>
    <row r="150" spans="1:133" s="126" customFormat="1" ht="21" customHeight="1" x14ac:dyDescent="0.4">
      <c r="A150" s="233" t="s">
        <v>190</v>
      </c>
      <c r="B150" s="126" t="s">
        <v>190</v>
      </c>
      <c r="C150" s="126">
        <v>4058793</v>
      </c>
      <c r="D150" s="126" t="s">
        <v>191</v>
      </c>
      <c r="G150" s="127" t="s">
        <v>176</v>
      </c>
      <c r="H150" s="128">
        <v>2020</v>
      </c>
      <c r="I150" s="129"/>
      <c r="J150" s="125">
        <v>368</v>
      </c>
      <c r="K150" s="125">
        <f t="shared" ca="1" si="289"/>
        <v>2.4028730003264771</v>
      </c>
      <c r="L150" s="47"/>
      <c r="M150" s="131">
        <f t="shared" ca="1" si="296"/>
        <v>-7.6441006695491628E-2</v>
      </c>
      <c r="N150" s="59"/>
      <c r="O150" s="59"/>
      <c r="P150" s="59">
        <f t="shared" ca="1" si="298"/>
        <v>-8.9545244025937563E-6</v>
      </c>
      <c r="Q150" s="61"/>
      <c r="R150" s="387"/>
      <c r="S150" s="49">
        <f t="shared" ca="1" si="303"/>
        <v>118.71177069498383</v>
      </c>
      <c r="T150" s="61">
        <f ca="1">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</f>
        <v>-2.6986632837284041E-2</v>
      </c>
      <c r="U150" s="61"/>
      <c r="V150" s="125">
        <v>562</v>
      </c>
      <c r="W150" s="125">
        <f t="shared" si="290"/>
        <v>4.9461816709645055</v>
      </c>
      <c r="X150" s="131">
        <f t="shared" si="299"/>
        <v>-1.1934628612437333E-2</v>
      </c>
      <c r="Y150" s="131">
        <f t="shared" si="300"/>
        <v>-1.3980575055962302E-6</v>
      </c>
      <c r="Z150" s="131"/>
      <c r="AA150" s="131"/>
      <c r="AB150" s="131"/>
      <c r="AC150" s="125">
        <f t="shared" si="265"/>
        <v>429.10361944548282</v>
      </c>
      <c r="AD150" s="129"/>
      <c r="AE150" s="133">
        <v>37.098930846674051</v>
      </c>
      <c r="AF150" s="134">
        <v>7.652169225578527E-2</v>
      </c>
      <c r="AG150" s="59">
        <f t="shared" si="291"/>
        <v>8.9639761464916939E-6</v>
      </c>
      <c r="AH150" s="134"/>
      <c r="AI150" s="134"/>
      <c r="AJ150" s="129">
        <f t="shared" si="216"/>
        <v>1359.1036194454828</v>
      </c>
      <c r="AK150" s="134">
        <f t="shared" si="301"/>
        <v>8.9835320256325766E-3</v>
      </c>
      <c r="AL150" s="129"/>
      <c r="AM150" s="129"/>
      <c r="AN150" s="129"/>
      <c r="AO150" s="129"/>
      <c r="AP150" s="133">
        <f t="shared" si="302"/>
        <v>398.44726456918283</v>
      </c>
      <c r="AQ150" s="134">
        <f>+BB150/Outputs!$B$28</f>
        <v>8.9921189652857541E-5</v>
      </c>
      <c r="AR150" s="93">
        <f t="shared" si="292"/>
        <v>0.27076669853189322</v>
      </c>
      <c r="AS150" s="93">
        <f t="shared" si="293"/>
        <v>0.41350783851881523</v>
      </c>
      <c r="AT150" s="93">
        <f t="shared" si="294"/>
        <v>0.31572546294929155</v>
      </c>
      <c r="AU150" s="93">
        <f t="shared" ca="1" si="297"/>
        <v>-2.9799922189450399E-3</v>
      </c>
      <c r="AV150" s="132">
        <f t="shared" ca="1" si="305"/>
        <v>91.694539437715193</v>
      </c>
      <c r="AW150" s="134">
        <f t="shared" ca="1" si="306"/>
        <v>-2.9799922189449931E-3</v>
      </c>
      <c r="AX150" s="56">
        <f>+AJ150/$AL$25</f>
        <v>1.1714294185403343E-4</v>
      </c>
      <c r="AY150" s="135">
        <f t="shared" ca="1" si="304"/>
        <v>-3.4908505522934536E-7</v>
      </c>
      <c r="AZ150" s="93"/>
      <c r="BA150" s="93"/>
      <c r="BB150" s="234">
        <f>IFERROR(INDEX('Total Customers'!$E$7:$AA$91,MATCH($C150,'Total Customers'!$C$7:$C$91,0),MATCH($G150,'Total Customers'!$E$5:$AA$5,0)),"NA")</f>
        <v>3411</v>
      </c>
      <c r="BC150" s="411">
        <f t="shared" si="283"/>
        <v>3.0359474497033561E-2</v>
      </c>
      <c r="BD150" s="92"/>
      <c r="BE150" s="281" t="str">
        <f t="shared" si="278"/>
        <v>BLUEFIELD GAS COMPANY</v>
      </c>
      <c r="BF150" s="290">
        <f t="shared" si="279"/>
        <v>4058793</v>
      </c>
      <c r="BG150" s="46" t="str">
        <f t="shared" si="280"/>
        <v>WV</v>
      </c>
      <c r="BH150" s="46"/>
      <c r="BI150" s="46" t="str">
        <f t="shared" si="281"/>
        <v>2020 Y</v>
      </c>
      <c r="BJ150" s="129"/>
      <c r="BK150" s="129"/>
      <c r="BL150" s="129">
        <f>INDEX('Dist. Plant Gas Additions'!$E$7:$AD$91,MATCH($C150,'Dist. Plant Gas Additions'!$C$7:$C$91,0),MATCH(Calculation!$G150,'Dist. Plant Gas Additions'!$E$5:$AD$5,0))</f>
        <v>2423</v>
      </c>
      <c r="BM150" s="129">
        <f>INDEX('Gen. Plant Additions'!$E$7:$AD$91,MATCH($C150,'Gen. Plant Additions'!$C$7:$C$91,0),MATCH(Calculation!$G150,'Gen. Plant Additions'!$E$5:$AD$5,0))</f>
        <v>70</v>
      </c>
      <c r="BN150" s="393">
        <f t="shared" si="266"/>
        <v>0.8948049655821616</v>
      </c>
      <c r="BO150" s="46">
        <f t="shared" si="308"/>
        <v>62.636347590751313</v>
      </c>
      <c r="BP150" s="46">
        <f t="shared" si="309"/>
        <v>-7.3636524092486866</v>
      </c>
      <c r="BQ150" s="129"/>
      <c r="BR150" s="129"/>
      <c r="BS150" s="129"/>
      <c r="BT150" s="129"/>
      <c r="BU150" s="129"/>
      <c r="BV150" s="129"/>
      <c r="BW150" s="129"/>
      <c r="BX150" s="129"/>
      <c r="BY150" s="129">
        <f>INDEX('Gross Dx Plant'!$D$7:$AC$91,MATCH($C150,'Gross Dx Plant'!$C$7:$C$91,0),MATCH(Calculation!$G150,'Gross Dx Plant'!$D$5:$AC$5,0))</f>
        <v>15209</v>
      </c>
      <c r="BZ150" s="129">
        <f>INDEX('Gross Gen Plant'!$D$7:$AC$91,MATCH($C150,'Gross Gen Plant'!$C$7:$C$91,0),MATCH(Calculation!$G150,'Gross Gen Plant'!$D$5:$AC$5,0))</f>
        <v>1788</v>
      </c>
      <c r="CA150" s="129">
        <f t="shared" si="307"/>
        <v>16997</v>
      </c>
      <c r="CB150" s="129"/>
      <c r="CC150" s="133">
        <v>2020</v>
      </c>
      <c r="CD150" s="129"/>
      <c r="CE150" s="129"/>
      <c r="CF150" s="129"/>
      <c r="CG150" s="137"/>
      <c r="CH150" s="129">
        <f t="shared" si="267"/>
        <v>2493</v>
      </c>
      <c r="CI150" s="46">
        <f t="shared" si="276"/>
        <v>2485.6363475907515</v>
      </c>
      <c r="CJ150" s="46">
        <f t="shared" si="268"/>
        <v>3.0570618523934305</v>
      </c>
      <c r="CK150" s="443">
        <v>0.72499999999999998</v>
      </c>
      <c r="CL150" s="46">
        <f>CL128*CK150+CJ129*CK149+CJ130*CK148+CJ131*CK147+CJ132*CK146+CJ133*CK145+CJ134*CK144+CJ135*CK143+CJ136*CK142+CJ137*CK141+CJ138*CK140+CJ139*CK139+CJ140*CK138+CJ141*CK137+CJ142*CK136+CJ143*CK135+CJ144*CK134+CJ145*CK133+CJ146*CK132+CJ147*CK131+CJ148*CK130+CJ149*CK129+CJ150</f>
        <v>33.493404205046623</v>
      </c>
      <c r="CM150" s="134">
        <f t="shared" si="269"/>
        <v>7.847275857723586E-2</v>
      </c>
      <c r="CN150" s="135">
        <f t="shared" si="270"/>
        <v>1.7090673734913232E-2</v>
      </c>
      <c r="CO150" s="135">
        <f t="shared" si="284"/>
        <v>1.6918392784849218E-2</v>
      </c>
      <c r="CP150" s="134">
        <f>VLOOKUP($H150,RoR!$E:$F,2,FALSE)</f>
        <v>2.4766666666666666E-2</v>
      </c>
      <c r="CQ150" s="135">
        <v>1.1618796630994188E-2</v>
      </c>
      <c r="CR150" s="135">
        <f t="shared" si="277"/>
        <v>1.3147870035672478E-2</v>
      </c>
      <c r="CS150" s="135">
        <f t="shared" si="285"/>
        <v>1.3983548823684407E-2</v>
      </c>
      <c r="CT150" s="135">
        <f t="shared" si="286"/>
        <v>4.5144642961987357E-2</v>
      </c>
      <c r="CU150" s="139">
        <f t="shared" si="271"/>
        <v>0.90305999999999997</v>
      </c>
      <c r="CV150" s="335">
        <f t="shared" si="272"/>
        <v>2.0706077233668081</v>
      </c>
      <c r="CW150" s="335">
        <f t="shared" si="273"/>
        <v>-3.4421265141318998E-2</v>
      </c>
      <c r="CX150" s="335">
        <f t="shared" si="274"/>
        <v>0.62416226176410472</v>
      </c>
      <c r="CY150" s="335">
        <f t="shared" si="275"/>
        <v>-4.4485877841158712E-2</v>
      </c>
      <c r="CZ150" s="336">
        <f>INDEX('State Tax Lookup'!$D$7:$Z$91,MATCH(Calculation!$C150,'State Tax Lookup'!$B$7:$B$91,0),MATCH($H150,'State Tax Lookup'!$D$6:$Z$6,0))</f>
        <v>0.26200000000000001</v>
      </c>
      <c r="DA150" s="303">
        <v>0.37</v>
      </c>
      <c r="DB150" s="57">
        <f t="shared" si="282"/>
        <v>13.857445306673101</v>
      </c>
      <c r="DC150" s="56">
        <f t="shared" si="287"/>
        <v>2.8235293700157791E-2</v>
      </c>
      <c r="DD150" s="303">
        <f>VLOOKUP($H150,RoR!$E:$F,2,FALSE)</f>
        <v>2.4766666666666666E-2</v>
      </c>
      <c r="DE150" s="304">
        <f>HLOOKUP($H150,'GDP-PI'!$D$8:$CQ$11,3,FALSE)</f>
        <v>1.1618796630994188E-2</v>
      </c>
      <c r="DF150" s="303">
        <f>VLOOKUP(H150,'HW Dx Data'!$E:$F,2,FALSE)</f>
        <v>813.080162458833</v>
      </c>
      <c r="DG150" s="89">
        <f ca="1">VLOOKUP(CC150,'ECI - Input Price'!M$13:N$33,2,FALSE)</f>
        <v>153.15</v>
      </c>
      <c r="DH150" s="89"/>
      <c r="DI150" s="89"/>
      <c r="DJ150" s="56">
        <f t="shared" ca="1" si="295"/>
        <v>2.2951556467368479E-2</v>
      </c>
      <c r="DK150" s="53">
        <f>HLOOKUP(H150,'GDP-PI'!$8:$9,2,FALSE)</f>
        <v>113.623</v>
      </c>
      <c r="DL150" s="355">
        <f t="shared" si="288"/>
        <v>1.1551816731392881E-2</v>
      </c>
      <c r="DP150" s="398"/>
      <c r="DQ150" s="398"/>
      <c r="DR150" s="398"/>
      <c r="DS150" s="398"/>
      <c r="DT150" s="398"/>
      <c r="DU150" s="398"/>
      <c r="DV150" s="398"/>
      <c r="DW150" s="398"/>
      <c r="DX150" s="398"/>
      <c r="EC150"/>
    </row>
    <row r="151" spans="1:133" s="126" customFormat="1" ht="21" customHeight="1" x14ac:dyDescent="0.4">
      <c r="A151" s="233" t="s">
        <v>190</v>
      </c>
      <c r="B151" s="126" t="s">
        <v>190</v>
      </c>
      <c r="C151" s="126">
        <v>4058793</v>
      </c>
      <c r="D151" s="126" t="s">
        <v>191</v>
      </c>
      <c r="G151" s="127" t="s">
        <v>177</v>
      </c>
      <c r="H151" s="128">
        <v>2021</v>
      </c>
      <c r="I151" s="129"/>
      <c r="J151" s="125">
        <f>IFERROR(INDEX('Labor Expenditures'!$D$7:$W$91,MATCH($C151,'Labor Expenditures'!$C$7:$C$91,0),MATCH($G151,'Labor Expenditures'!$D$5:$W$5,0)),"NA")</f>
        <v>369.55714928415188</v>
      </c>
      <c r="K151" s="125">
        <f t="shared" ca="1" si="289"/>
        <v>2.3501249557020789</v>
      </c>
      <c r="L151" s="47"/>
      <c r="M151" s="130">
        <f t="shared" ca="1" si="296"/>
        <v>-2.219660550851113E-2</v>
      </c>
      <c r="N151" s="59"/>
      <c r="O151" s="59"/>
      <c r="P151" s="59">
        <f t="shared" ca="1" si="298"/>
        <v>-3.232469437244399E-6</v>
      </c>
      <c r="Q151" s="61"/>
      <c r="R151" s="387"/>
      <c r="S151" s="132">
        <f ca="1">+S150*EXP(T151)</f>
        <v>124.65984755236776</v>
      </c>
      <c r="T151" s="134">
        <f ca="1">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</f>
        <v>4.8890348378355479E-2</v>
      </c>
      <c r="U151" s="134"/>
      <c r="V151" s="125">
        <f>IFERROR(INDEX('Non-Labor Expenditures'!$D$7:$AA$91,MATCH($C151,'Non-Labor Expenditures'!$C$7:$C$91,0),MATCH($G151,'Non-Labor Expenditures'!$D$5:$AA$5,0)),"NA")</f>
        <v>520.942005617419</v>
      </c>
      <c r="W151" s="125">
        <f t="shared" si="290"/>
        <v>4.3965060816728752</v>
      </c>
      <c r="X151" s="131">
        <f t="shared" si="299"/>
        <v>-0.11780574617644199</v>
      </c>
      <c r="Y151" s="131">
        <f t="shared" si="300"/>
        <v>-1.7155932870055449E-5</v>
      </c>
      <c r="Z151" s="131"/>
      <c r="AA151" s="131"/>
      <c r="AB151" s="131"/>
      <c r="AC151" s="125">
        <f t="shared" si="265"/>
        <v>980.13083519426164</v>
      </c>
      <c r="AD151" s="129"/>
      <c r="AE151" s="133">
        <v>40.60130670366874</v>
      </c>
      <c r="AF151" s="134"/>
      <c r="AG151" s="59">
        <f t="shared" si="291"/>
        <v>0</v>
      </c>
      <c r="AH151" s="134"/>
      <c r="AI151" s="134"/>
      <c r="AJ151" s="129">
        <f t="shared" si="216"/>
        <v>1870.6299900958325</v>
      </c>
      <c r="AK151" s="134">
        <f t="shared" si="301"/>
        <v>0.31944988813518349</v>
      </c>
      <c r="AL151" s="129"/>
      <c r="AM151" s="134"/>
      <c r="AN151" s="134"/>
      <c r="AO151" s="134"/>
      <c r="AP151" s="133">
        <f t="shared" si="302"/>
        <v>541.89744788407654</v>
      </c>
      <c r="AQ151" s="134">
        <f>+BB151/Outputs!$B$29</f>
        <v>8.9415514633451329E-5</v>
      </c>
      <c r="AR151" s="93">
        <f t="shared" si="292"/>
        <v>0.19755758821402167</v>
      </c>
      <c r="AS151" s="93">
        <f t="shared" si="293"/>
        <v>0.27848479302458479</v>
      </c>
      <c r="AT151" s="93">
        <f t="shared" si="294"/>
        <v>0.52395761876139357</v>
      </c>
      <c r="AU151" s="93">
        <f t="shared" ca="1" si="297"/>
        <v>-4.5957958875261926E-2</v>
      </c>
      <c r="AV151" s="132">
        <f t="shared" ca="1" si="305"/>
        <v>87.575814575121854</v>
      </c>
      <c r="AW151" s="134">
        <f t="shared" ca="1" si="306"/>
        <v>-4.5957958875261974E-2</v>
      </c>
      <c r="AX151" s="56">
        <f>+AJ151/$AL$26</f>
        <v>1.4562899881267574E-4</v>
      </c>
      <c r="AY151" s="135">
        <f t="shared" ca="1" si="304"/>
        <v>-6.6928115384785269E-6</v>
      </c>
      <c r="AZ151" s="93"/>
      <c r="BA151" s="93"/>
      <c r="BB151" s="234">
        <f>INDEX('Total Customers'!$D$7:$D$91,MATCH(Calculation!$C151,'Total Customers'!$C$7:$C$91,0))</f>
        <v>3452</v>
      </c>
      <c r="BC151" s="411">
        <f t="shared" si="283"/>
        <v>1.1948269784672744E-2</v>
      </c>
      <c r="BD151" s="91"/>
      <c r="BE151" s="281" t="str">
        <f t="shared" si="278"/>
        <v>BLUEFIELD GAS COMPANY</v>
      </c>
      <c r="BF151" s="290">
        <f t="shared" si="279"/>
        <v>4058793</v>
      </c>
      <c r="BG151" s="46" t="str">
        <f t="shared" si="280"/>
        <v>WV</v>
      </c>
      <c r="BH151" s="46"/>
      <c r="BI151" s="46" t="str">
        <f t="shared" si="281"/>
        <v>2021 Y</v>
      </c>
      <c r="BJ151" s="129"/>
      <c r="BK151" s="129"/>
      <c r="BL151" s="129">
        <f>INDEX('Dist. Plant Gas Additions'!$D$7:$AD$91,MATCH($C151,'Dist. Plant Gas Additions'!$C$7:$C$91,0),MATCH(Calculation!$G151,'Dist. Plant Gas Additions'!$D$5:$AD$5,0))</f>
        <v>2314</v>
      </c>
      <c r="BM151" s="129">
        <f>INDEX('Gen. Plant Additions'!$D$7:$AD$91,MATCH($C151,'Gen. Plant Additions'!$C$7:$C$91,0),MATCH(Calculation!$G151,'Gen. Plant Additions'!$D$5:$AD$5,0))</f>
        <v>69</v>
      </c>
      <c r="BN151" s="343">
        <v>0.8948049655821616</v>
      </c>
      <c r="BO151" s="46">
        <f t="shared" si="308"/>
        <v>61.741542625169153</v>
      </c>
      <c r="BP151" s="46">
        <f t="shared" si="309"/>
        <v>-7.2584573748308472</v>
      </c>
      <c r="BQ151" s="129"/>
      <c r="BR151" s="129"/>
      <c r="BS151" s="137"/>
      <c r="BT151" s="137"/>
      <c r="BU151" s="333"/>
      <c r="BV151" s="93"/>
      <c r="BW151" s="334"/>
      <c r="BX151" s="334"/>
      <c r="BY151" s="129"/>
      <c r="BZ151" s="129"/>
      <c r="CA151" s="129"/>
      <c r="CB151" s="129"/>
      <c r="CC151" s="133">
        <v>2021</v>
      </c>
      <c r="CD151" s="129"/>
      <c r="CE151" s="129"/>
      <c r="CF151" s="129"/>
      <c r="CG151" s="137"/>
      <c r="CH151" s="129">
        <f t="shared" si="267"/>
        <v>2383</v>
      </c>
      <c r="CI151" s="46">
        <f t="shared" si="276"/>
        <v>2375.7415426251691</v>
      </c>
      <c r="CJ151" s="46">
        <f t="shared" si="268"/>
        <v>2.5462853732036081</v>
      </c>
      <c r="CK151" s="443">
        <v>0.70886075949367089</v>
      </c>
      <c r="CL151" s="129">
        <f>CL128*CK151+CJ129*CK150+CJ130*CK149+CJ131*CK148+CJ132*CK147+CJ133*CK146+CJ134*CK145+CJ135*CK144+CJ136*CK143+CJ137*CK142+CJ138*CK141+CJ139*CK140+CJ140*CK139+CJ141*CK138+CJ142*CK137+CJ133*CK136+CJ144*CK135+CJ145*CK134+CJ146*CK133+CJ147*CK132+CJ148*CK131+CJ149*CK130+CJ151+CJ150*CK129</f>
        <v>36.656378878621531</v>
      </c>
      <c r="CM151" s="134"/>
      <c r="CN151" s="135">
        <f t="shared" si="270"/>
        <v>-1.8412261011031543E-2</v>
      </c>
      <c r="CO151" s="135">
        <f t="shared" si="284"/>
        <v>5.1908669685254557E-3</v>
      </c>
      <c r="CP151" s="134">
        <f>VLOOKUP($H151,RoR!$E:$F,2,FALSE)</f>
        <v>2.7033333333333336E-2</v>
      </c>
      <c r="CQ151" s="135"/>
      <c r="CR151" s="135"/>
      <c r="CS151" s="135">
        <f t="shared" si="285"/>
        <v>2.5711074640008168E-2</v>
      </c>
      <c r="CT151" s="135">
        <f t="shared" si="286"/>
        <v>7.433422950153494E-2</v>
      </c>
      <c r="CU151" s="139">
        <f t="shared" si="271"/>
        <v>0.90305999999999997</v>
      </c>
      <c r="CV151" s="335">
        <f t="shared" si="272"/>
        <v>1.8969932656739068</v>
      </c>
      <c r="CW151" s="335">
        <f t="shared" si="273"/>
        <v>5.0215782983970621E-2</v>
      </c>
      <c r="CX151" s="335">
        <f t="shared" si="274"/>
        <v>0.655952481704143</v>
      </c>
      <c r="CY151" s="335">
        <f t="shared" si="275"/>
        <v>6.2485378865697057E-2</v>
      </c>
      <c r="CZ151" s="336">
        <f>CZ150</f>
        <v>0.26200000000000001</v>
      </c>
      <c r="DA151" s="303">
        <v>0.37</v>
      </c>
      <c r="DB151" s="141">
        <f t="shared" si="282"/>
        <v>29.263398524494573</v>
      </c>
      <c r="DC151" s="135">
        <f t="shared" si="287"/>
        <v>0.74751488254504028</v>
      </c>
      <c r="DD151" s="336">
        <f>VLOOKUP($H151,RoR!$E:$F,2,FALSE)</f>
        <v>2.7033333333333336E-2</v>
      </c>
      <c r="DE151" s="342">
        <f>HLOOKUP($H151,'GDP-PI'!$D$8:$CR$11,3,FALSE)</f>
        <v>4.2834637353352578E-2</v>
      </c>
      <c r="DF151" s="336">
        <f>VLOOKUP(H151,'HW Dx Data'!$E:$F,2,FALSE)</f>
        <v>933.02249921662576</v>
      </c>
      <c r="DG151" s="89">
        <f ca="1">VLOOKUP(CC151,'ECI - Input Price'!M$13:N$33,2,FALSE)</f>
        <v>157.25</v>
      </c>
      <c r="DH151" s="89"/>
      <c r="DI151" s="89"/>
      <c r="DJ151" s="135">
        <f t="shared" ca="1" si="295"/>
        <v>2.6419062301765574E-2</v>
      </c>
      <c r="DK151" s="137">
        <f>HLOOKUP(H151,'GDP-PI'!$8:$9,2,FALSE)</f>
        <v>118.49</v>
      </c>
      <c r="DL151" s="356">
        <f t="shared" si="288"/>
        <v>4.194261824609434E-2</v>
      </c>
      <c r="DP151" s="398"/>
      <c r="DQ151" s="398"/>
      <c r="DR151" s="398"/>
      <c r="DS151" s="398"/>
      <c r="DT151" s="398"/>
      <c r="DU151" s="398"/>
      <c r="DV151" s="398"/>
      <c r="DW151" s="398"/>
      <c r="DX151" s="398"/>
      <c r="EC151"/>
    </row>
    <row r="152" spans="1:133" s="126" customFormat="1" ht="21" customHeight="1" thickBot="1" x14ac:dyDescent="0.45">
      <c r="A152" s="235"/>
      <c r="B152" s="236"/>
      <c r="C152" s="236"/>
      <c r="D152" s="236"/>
      <c r="E152" s="236"/>
      <c r="F152" s="236"/>
      <c r="G152" s="237" t="s">
        <v>178</v>
      </c>
      <c r="H152" s="238"/>
      <c r="I152" s="239"/>
      <c r="J152" s="240">
        <v>388</v>
      </c>
      <c r="K152" s="240">
        <f t="shared" ca="1" si="289"/>
        <v>2.3869578591202707</v>
      </c>
      <c r="L152" s="47"/>
      <c r="M152" s="241">
        <f t="shared" ref="M152" ca="1" si="310">LN(K152/K151)</f>
        <v>1.5551193491723573E-2</v>
      </c>
      <c r="N152" s="59"/>
      <c r="O152" s="59"/>
      <c r="P152" s="242">
        <f t="shared" ca="1" si="298"/>
        <v>1.9059525572020339E-6</v>
      </c>
      <c r="Q152" s="61"/>
      <c r="R152" s="387"/>
      <c r="S152" s="206">
        <f ca="1">+S151*EXP(T152)</f>
        <v>124.61930159829977</v>
      </c>
      <c r="T152" s="243">
        <f ca="1">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</f>
        <v>-3.2530562274223361E-4</v>
      </c>
      <c r="U152" s="243"/>
      <c r="V152" s="239">
        <v>546</v>
      </c>
      <c r="W152" s="240">
        <f t="shared" si="290"/>
        <v>4.2907662082514735</v>
      </c>
      <c r="X152" s="244">
        <f t="shared" ref="X152" si="311">LN(W152/W151)</f>
        <v>-2.4344832820422102E-2</v>
      </c>
      <c r="Y152" s="244">
        <f t="shared" si="300"/>
        <v>-2.9837000223445156E-6</v>
      </c>
      <c r="Z152" s="206"/>
      <c r="AA152" s="243"/>
      <c r="AB152" s="243"/>
      <c r="AC152" s="240">
        <f t="shared" si="265"/>
        <v>687.7886941195319</v>
      </c>
      <c r="AD152" s="244">
        <f>LN(AC152/AC151)</f>
        <v>-0.35420440793499114</v>
      </c>
      <c r="AE152" s="245">
        <v>38.900981240840672</v>
      </c>
      <c r="AF152" s="243">
        <v>-4.2780775902656325E-2</v>
      </c>
      <c r="AG152" s="242">
        <f t="shared" si="291"/>
        <v>-5.2432071708290424E-6</v>
      </c>
      <c r="AH152" s="206"/>
      <c r="AI152" s="243"/>
      <c r="AJ152" s="239">
        <f t="shared" si="216"/>
        <v>1621.788694119532</v>
      </c>
      <c r="AK152" s="243">
        <f t="shared" si="301"/>
        <v>-0.14274559491890262</v>
      </c>
      <c r="AL152" s="239"/>
      <c r="AM152" s="243"/>
      <c r="AN152" s="243"/>
      <c r="AO152" s="243"/>
      <c r="AP152" s="245">
        <f t="shared" si="302"/>
        <v>473.23860347812433</v>
      </c>
      <c r="AQ152" s="243"/>
      <c r="AR152" s="207">
        <f t="shared" si="292"/>
        <v>0.2392420180303729</v>
      </c>
      <c r="AS152" s="207">
        <f t="shared" si="293"/>
        <v>0.33666531403243199</v>
      </c>
      <c r="AT152" s="207">
        <f t="shared" si="294"/>
        <v>0.42409266793719508</v>
      </c>
      <c r="AU152" s="207"/>
      <c r="AV152" s="206"/>
      <c r="AW152" s="243"/>
      <c r="AX152" s="248">
        <f>+AJ152/$AL$27</f>
        <v>1.2255988958123322E-4</v>
      </c>
      <c r="AY152" s="249"/>
      <c r="AZ152" s="206"/>
      <c r="BA152" s="243"/>
      <c r="BB152" s="250">
        <v>3427</v>
      </c>
      <c r="BC152" s="412">
        <f t="shared" si="283"/>
        <v>-7.268530328709717E-3</v>
      </c>
      <c r="BD152" s="91"/>
      <c r="BE152" s="401">
        <f t="shared" si="278"/>
        <v>0</v>
      </c>
      <c r="BF152" s="402">
        <f t="shared" si="279"/>
        <v>0</v>
      </c>
      <c r="BG152" s="313">
        <f t="shared" si="280"/>
        <v>0</v>
      </c>
      <c r="BH152" s="313"/>
      <c r="BI152" s="313" t="str">
        <f t="shared" si="281"/>
        <v>2022Y</v>
      </c>
      <c r="BJ152" s="239"/>
      <c r="BK152" s="239"/>
      <c r="BL152" s="239"/>
      <c r="BM152" s="239"/>
      <c r="BN152" s="337">
        <v>0.8948049655821616</v>
      </c>
      <c r="BO152" s="313">
        <f t="shared" si="308"/>
        <v>0</v>
      </c>
      <c r="BP152" s="313">
        <f t="shared" si="309"/>
        <v>0</v>
      </c>
      <c r="BQ152" s="239"/>
      <c r="BR152" s="239"/>
      <c r="BS152" s="310"/>
      <c r="BT152" s="310"/>
      <c r="BU152" s="311"/>
      <c r="BV152" s="207"/>
      <c r="BW152" s="312"/>
      <c r="BX152" s="312"/>
      <c r="BY152" s="239"/>
      <c r="BZ152" s="239"/>
      <c r="CA152" s="239"/>
      <c r="CB152" s="239"/>
      <c r="CC152" s="245">
        <v>2022</v>
      </c>
      <c r="CD152" s="239"/>
      <c r="CE152" s="239"/>
      <c r="CF152" s="239"/>
      <c r="CG152" s="310"/>
      <c r="CH152" s="239">
        <v>1962</v>
      </c>
      <c r="CI152" s="313">
        <f t="shared" si="276"/>
        <v>1962</v>
      </c>
      <c r="CJ152" s="313">
        <f t="shared" si="268"/>
        <v>1.9033575537683958</v>
      </c>
      <c r="CK152" s="443">
        <v>0.69230769230769229</v>
      </c>
      <c r="CL152" s="239">
        <f>+CL128*CK152+CJ129*CK151+CJ130*CK150+CJ131*CK149+CJ132*CK148+CJ133*CK147+CJ134*CK146+CJ135*CK145+CJ136*CK144+CJ137*CK143+CJ138*CK142+CJ139*CK141+CJ140*CK140+CJ141*CK139+CJ142*CK138+CJ143*CK137+CJ144*CK136+CJ145*CK135+CJ146*CK134+CJ147*CK133+CJ148*CK132+CJ149*CK131+CJ150*CK130+CJ151*CK129+CJ152*CK128</f>
        <v>36.759649725902236</v>
      </c>
      <c r="CM152" s="243">
        <f t="shared" ref="CM152" si="312">LN(CL152/CL151)</f>
        <v>2.8133070490673298E-3</v>
      </c>
      <c r="CN152" s="249">
        <f t="shared" si="270"/>
        <v>4.9107052075389936E-2</v>
      </c>
      <c r="CO152" s="249">
        <f t="shared" si="284"/>
        <v>1.5928488266423874E-2</v>
      </c>
      <c r="CP152" s="243"/>
      <c r="CQ152" s="249"/>
      <c r="CR152" s="249"/>
      <c r="CS152" s="248">
        <f t="shared" si="285"/>
        <v>1.4973453342109751E-2</v>
      </c>
      <c r="CT152" s="249">
        <f t="shared" si="286"/>
        <v>0.10114668178709289</v>
      </c>
      <c r="CU152" s="314">
        <f t="shared" si="271"/>
        <v>0.90305999999999997</v>
      </c>
      <c r="CV152" s="315"/>
      <c r="CW152" s="315"/>
      <c r="CX152" s="315"/>
      <c r="CY152" s="315"/>
      <c r="CZ152" s="316">
        <f>CZ151</f>
        <v>0.26200000000000001</v>
      </c>
      <c r="DA152" s="360">
        <v>0.37</v>
      </c>
      <c r="DB152" s="318">
        <f t="shared" si="282"/>
        <v>18.763137962889701</v>
      </c>
      <c r="DC152" s="249">
        <f t="shared" si="287"/>
        <v>-0.4444433396087179</v>
      </c>
      <c r="DD152" s="316">
        <v>0.04</v>
      </c>
      <c r="DE152" s="319">
        <v>7.0000000000000001E-3</v>
      </c>
      <c r="DF152" s="316">
        <v>1030.81</v>
      </c>
      <c r="DG152" s="89">
        <f ca="1">VLOOKUP(CC152,'ECI - Input Price'!M$13:N$33,2,FALSE)</f>
        <v>162.55000000000001</v>
      </c>
      <c r="DH152" s="89"/>
      <c r="DI152" s="89"/>
      <c r="DJ152" s="249">
        <f t="shared" ca="1" si="295"/>
        <v>3.3148751169364422E-2</v>
      </c>
      <c r="DK152" s="310">
        <v>127.25</v>
      </c>
      <c r="DL152" s="357">
        <f t="shared" si="288"/>
        <v>7.1325086601983473E-2</v>
      </c>
      <c r="DP152" s="398"/>
      <c r="DQ152" s="398"/>
      <c r="DR152" s="398"/>
      <c r="DS152" s="398"/>
      <c r="DT152" s="398"/>
      <c r="DU152" s="398"/>
      <c r="DV152" s="398"/>
      <c r="DW152" s="398"/>
      <c r="DX152" s="398"/>
      <c r="EC152"/>
    </row>
    <row r="153" spans="1:133" s="126" customFormat="1" ht="21" customHeight="1" x14ac:dyDescent="0.4">
      <c r="A153" s="251" t="s">
        <v>192</v>
      </c>
      <c r="B153" s="252" t="s">
        <v>192</v>
      </c>
      <c r="C153" s="252">
        <v>4057111</v>
      </c>
      <c r="D153" s="252" t="s">
        <v>187</v>
      </c>
      <c r="E153" s="252" t="s">
        <v>15</v>
      </c>
      <c r="F153" s="252"/>
      <c r="G153" s="252" t="s">
        <v>150</v>
      </c>
      <c r="H153" s="253">
        <v>1998</v>
      </c>
      <c r="I153" s="254"/>
      <c r="J153" s="255"/>
      <c r="K153" s="255"/>
      <c r="L153" s="47"/>
      <c r="M153" s="255"/>
      <c r="N153" s="255"/>
      <c r="O153" s="255"/>
      <c r="P153" s="219"/>
      <c r="Q153" s="61"/>
      <c r="R153" s="387"/>
      <c r="S153" s="257"/>
      <c r="T153" s="258"/>
      <c r="U153" s="258"/>
      <c r="V153" s="255"/>
      <c r="W153" s="255"/>
      <c r="X153" s="255"/>
      <c r="Y153" s="255"/>
      <c r="Z153" s="255"/>
      <c r="AA153" s="255"/>
      <c r="AB153" s="255"/>
      <c r="AC153" s="255"/>
      <c r="AD153" s="254"/>
      <c r="AE153" s="260">
        <v>2515.325262156442</v>
      </c>
      <c r="AF153" s="256"/>
      <c r="AG153" s="255"/>
      <c r="AH153" s="256"/>
      <c r="AI153" s="256"/>
      <c r="AJ153" s="254">
        <f t="shared" si="216"/>
        <v>0</v>
      </c>
      <c r="AK153" s="254"/>
      <c r="AL153" s="254"/>
      <c r="AM153" s="256"/>
      <c r="AN153" s="256"/>
      <c r="AO153" s="256"/>
      <c r="AP153" s="226">
        <f>+(AP150+AP151+AP152)/3</f>
        <v>471.19443864379463</v>
      </c>
      <c r="AQ153" s="256"/>
      <c r="AR153" s="261"/>
      <c r="AS153" s="261"/>
      <c r="AT153" s="261"/>
      <c r="AU153" s="261"/>
      <c r="AV153" s="261"/>
      <c r="AW153" s="256">
        <f ca="1">AVERAGE(AW162:AW176)</f>
        <v>2.2941567617639592E-2</v>
      </c>
      <c r="AX153" s="223"/>
      <c r="AY153" s="261"/>
      <c r="AZ153" s="261"/>
      <c r="BA153" s="261"/>
      <c r="BB153" s="262">
        <f>IFERROR(INDEX('Total Customers'!$E$7:$AA$91,MATCH($C153,'Total Customers'!$C$7:$C$91,0),MATCH($G153,'Total Customers'!$E$5:$AA$5,0)),"NA")</f>
        <v>535211</v>
      </c>
      <c r="BC153" s="413"/>
      <c r="BD153" s="92"/>
      <c r="BE153" s="407" t="str">
        <f t="shared" si="278"/>
        <v>BOSTON GAS COMPANY</v>
      </c>
      <c r="BF153" s="408">
        <f t="shared" si="279"/>
        <v>4057111</v>
      </c>
      <c r="BG153" s="218" t="str">
        <f t="shared" si="280"/>
        <v>MA</v>
      </c>
      <c r="BH153" s="218"/>
      <c r="BI153" s="218" t="str">
        <f t="shared" si="281"/>
        <v>1998 Y</v>
      </c>
      <c r="BJ153" s="254">
        <f>INDEX('Gross Dx Plant'!$D$7:$AC$91,MATCH($C153,'Gross Dx Plant'!$C$7:$C$91,0),MATCH(Calculation!$G153,'Gross Dx Plant'!$D$5:$AC$5,0))</f>
        <v>770899</v>
      </c>
      <c r="BK153" s="254">
        <f>INDEX('Gross Gen Plant'!$D$7:$AC$91,MATCH($C153,'Gross Gen Plant'!$C$7:$C$91,0),MATCH(Calculation!$G153,'Gross Gen Plant'!$D$5:$AC$5,0))</f>
        <v>40673</v>
      </c>
      <c r="BL153" s="254">
        <f>INDEX('Dist. Plant Gas Additions'!$E$7:$AD$91,MATCH($C153,'Dist. Plant Gas Additions'!$C$7:$C$91,0),MATCH(Calculation!$G153,'Dist. Plant Gas Additions'!$E$5:$AD$5,0))</f>
        <v>49200</v>
      </c>
      <c r="BM153" s="254">
        <f>INDEX('Gen. Plant Additions'!$E$7:$AD$91,MATCH($C153,'Gen. Plant Additions'!$C$7:$C$91,0),MATCH(Calculation!$G153,'Gen. Plant Additions'!$E$5:$AD$5,0))</f>
        <v>801</v>
      </c>
      <c r="BN153" s="409">
        <f>+(BY153/(BY153+BZ153))</f>
        <v>0.94988368253217215</v>
      </c>
      <c r="BO153" s="218">
        <f t="shared" si="308"/>
        <v>760.85682970826986</v>
      </c>
      <c r="BP153" s="218">
        <f t="shared" si="309"/>
        <v>-40.143170291730144</v>
      </c>
      <c r="BQ153" s="254"/>
      <c r="BR153" s="254"/>
      <c r="BS153" s="254"/>
      <c r="BT153" s="254"/>
      <c r="BU153" s="254"/>
      <c r="BV153" s="254"/>
      <c r="BW153" s="254"/>
      <c r="BX153" s="254"/>
      <c r="BY153" s="254">
        <f>INDEX('Gross Dx Plant'!$D$7:$AC$91,MATCH($C153,'Gross Dx Plant'!$C$7:$C$91,0),MATCH(Calculation!$G153,'Gross Dx Plant'!$D$5:$AC$5,0))</f>
        <v>770899</v>
      </c>
      <c r="BZ153" s="254">
        <f>INDEX('Gross Gen Plant'!$D$7:$AC$91,MATCH($C153,'Gross Gen Plant'!$C$7:$C$91,0),MATCH(Calculation!$G153,'Gross Gen Plant'!$D$5:$AC$5,0))</f>
        <v>40673</v>
      </c>
      <c r="CA153" s="254">
        <f t="shared" si="307"/>
        <v>811572</v>
      </c>
      <c r="CB153" s="254"/>
      <c r="CC153" s="260">
        <v>1998</v>
      </c>
      <c r="CD153" s="254">
        <f>BJ153+BK153</f>
        <v>811572</v>
      </c>
      <c r="CE153" s="254">
        <v>304182</v>
      </c>
      <c r="CF153" s="254">
        <f>+CD153-CE153</f>
        <v>507390</v>
      </c>
      <c r="CG153" s="254">
        <f>CF153/$BX$3</f>
        <v>2515.325262156442</v>
      </c>
      <c r="CH153" s="323"/>
      <c r="CI153" s="344"/>
      <c r="CJ153" s="344"/>
      <c r="CK153" s="443">
        <v>1</v>
      </c>
      <c r="CL153" s="254">
        <f>+CG153</f>
        <v>2515.325262156442</v>
      </c>
      <c r="CM153" s="256"/>
      <c r="CN153" s="325"/>
      <c r="CO153" s="325"/>
      <c r="CP153" s="256" t="e">
        <f>VLOOKUP($H153,RoR!$E:$F,2,FALSE)</f>
        <v>#N/A</v>
      </c>
      <c r="CQ153" s="325">
        <v>1.1028127770464469E-2</v>
      </c>
      <c r="CR153" s="325"/>
      <c r="CS153" s="325"/>
      <c r="CT153" s="325"/>
      <c r="CU153" s="327"/>
      <c r="CV153" s="331" t="e">
        <f>2/(DD153*39)</f>
        <v>#N/A</v>
      </c>
      <c r="CW153" s="328" t="e">
        <f>+(DD153*40-(1+DD153))/(DD153*40)</f>
        <v>#N/A</v>
      </c>
      <c r="CX153" s="328" t="e">
        <f>+(1-(1/(1+DD153)^40))</f>
        <v>#N/A</v>
      </c>
      <c r="CY153" s="328" t="e">
        <f>+CX153*CW153*CV153</f>
        <v>#N/A</v>
      </c>
      <c r="CZ153" s="329">
        <f>INDEX('State Tax Lookup'!$D$7:$Z$91,MATCH(Calculation!$C153,'State Tax Lookup'!$B$7:$B$91,0),MATCH($H153,'State Tax Lookup'!$D$6:$Z$6,0))</f>
        <v>0.40700500000000001</v>
      </c>
      <c r="DA153" s="351">
        <v>0.37</v>
      </c>
      <c r="DB153" s="344"/>
      <c r="DC153" s="326"/>
      <c r="DD153" s="351" t="e">
        <f>VLOOKUP($H153,RoR!$E:$F,2,FALSE)</f>
        <v>#N/A</v>
      </c>
      <c r="DE153" s="354">
        <f>HLOOKUP($H153,'GDP-PI'!$D$8:$CQ$11,3,FALSE)</f>
        <v>1.1028127770464469E-2</v>
      </c>
      <c r="DF153" s="351">
        <f>VLOOKUP(H153,'HW Dx Data'!$E:$F,2,FALSE)</f>
        <v>329.24564746449528</v>
      </c>
      <c r="DG153" s="351"/>
      <c r="DH153" s="351"/>
      <c r="DI153" s="351"/>
      <c r="DJ153" s="326"/>
      <c r="DK153" s="344">
        <f>HLOOKUP(H153,'GDP-PI'!$8:$9,2,FALSE)</f>
        <v>75.266999999999996</v>
      </c>
      <c r="DL153" s="292"/>
      <c r="DP153" s="398"/>
      <c r="DQ153" s="398"/>
      <c r="DR153" s="398"/>
      <c r="DS153" s="398"/>
      <c r="DT153" s="398"/>
      <c r="DU153" s="398"/>
      <c r="DV153" s="398"/>
      <c r="DW153" s="398"/>
      <c r="DX153" s="398"/>
      <c r="EC153"/>
    </row>
    <row r="154" spans="1:133" s="126" customFormat="1" ht="21" customHeight="1" x14ac:dyDescent="0.4">
      <c r="A154" s="233" t="s">
        <v>192</v>
      </c>
      <c r="B154" s="127" t="s">
        <v>192</v>
      </c>
      <c r="C154" s="127">
        <v>4057111</v>
      </c>
      <c r="D154" s="127" t="s">
        <v>187</v>
      </c>
      <c r="E154" s="127" t="s">
        <v>15</v>
      </c>
      <c r="F154" s="127"/>
      <c r="G154" s="127" t="s">
        <v>155</v>
      </c>
      <c r="H154" s="128">
        <v>1999</v>
      </c>
      <c r="I154" s="129"/>
      <c r="J154" s="125"/>
      <c r="K154" s="125"/>
      <c r="L154" s="47"/>
      <c r="M154" s="125"/>
      <c r="N154" s="125"/>
      <c r="O154" s="125"/>
      <c r="P154" s="47"/>
      <c r="Q154" s="47"/>
      <c r="R154" s="386"/>
      <c r="S154" s="119"/>
      <c r="T154" s="47"/>
      <c r="U154" s="47"/>
      <c r="V154" s="125"/>
      <c r="W154" s="125"/>
      <c r="X154" s="125"/>
      <c r="Y154" s="143"/>
      <c r="Z154" s="125"/>
      <c r="AA154" s="125"/>
      <c r="AB154" s="125"/>
      <c r="AC154" s="125">
        <f t="shared" ref="AC154:AC177" si="313">+CL153*DB154</f>
        <v>0</v>
      </c>
      <c r="AD154" s="129"/>
      <c r="AE154" s="133">
        <v>2638.4587157284459</v>
      </c>
      <c r="AF154" s="134">
        <v>4.7792802790570472E-2</v>
      </c>
      <c r="AG154" s="61"/>
      <c r="AH154" s="134"/>
      <c r="AI154" s="134"/>
      <c r="AJ154" s="129">
        <f t="shared" si="216"/>
        <v>0</v>
      </c>
      <c r="AK154" s="134"/>
      <c r="AL154" s="129"/>
      <c r="AM154" s="134"/>
      <c r="AN154" s="134"/>
      <c r="AO154" s="134"/>
      <c r="AP154" s="133"/>
      <c r="AQ154" s="134"/>
      <c r="AR154" s="93"/>
      <c r="AS154" s="93"/>
      <c r="AT154" s="93"/>
      <c r="AU154" s="93"/>
      <c r="AV154" s="93"/>
      <c r="AW154" s="134"/>
      <c r="AX154" s="62"/>
      <c r="AY154" s="93"/>
      <c r="AZ154" s="93"/>
      <c r="BA154" s="93"/>
      <c r="BB154" s="234">
        <f>IFERROR(INDEX('Total Customers'!$E$7:$AA$91,MATCH($C154,'Total Customers'!$C$7:$C$91,0),MATCH($G154,'Total Customers'!$E$5:$AA$5,0)),"NA")</f>
        <v>536252</v>
      </c>
      <c r="BC154" s="411">
        <f t="shared" si="283"/>
        <v>1.9431381719188948E-3</v>
      </c>
      <c r="BD154" s="92"/>
      <c r="BE154" s="281" t="str">
        <f t="shared" si="278"/>
        <v>BOSTON GAS COMPANY</v>
      </c>
      <c r="BF154" s="290">
        <f t="shared" si="279"/>
        <v>4057111</v>
      </c>
      <c r="BG154" s="46" t="str">
        <f t="shared" si="280"/>
        <v>MA</v>
      </c>
      <c r="BH154" s="46"/>
      <c r="BI154" s="46" t="str">
        <f t="shared" si="281"/>
        <v>1999 Y</v>
      </c>
      <c r="BJ154" s="129"/>
      <c r="BK154" s="129"/>
      <c r="BL154" s="129">
        <f>INDEX('Dist. Plant Gas Additions'!$E$7:$AD$91,MATCH($C154,'Dist. Plant Gas Additions'!$C$7:$C$91,0),MATCH(Calculation!$G154,'Dist. Plant Gas Additions'!$E$5:$AD$5,0))</f>
        <v>44686</v>
      </c>
      <c r="BM154" s="129">
        <f>INDEX('Gen. Plant Additions'!$E$7:$AD$91,MATCH($C154,'Gen. Plant Additions'!$C$7:$C$91,0),MATCH(Calculation!$G154,'Gen. Plant Additions'!$E$5:$AD$5,0))</f>
        <v>800</v>
      </c>
      <c r="BN154" s="393">
        <f t="shared" ref="BN154:BN175" si="314">+(BY154/(BY154+BZ154))</f>
        <v>0.95889250875717591</v>
      </c>
      <c r="BO154" s="46">
        <f t="shared" si="308"/>
        <v>767.11400700574075</v>
      </c>
      <c r="BP154" s="46">
        <f t="shared" si="309"/>
        <v>-32.885992994259254</v>
      </c>
      <c r="BQ154" s="129"/>
      <c r="BR154" s="129"/>
      <c r="BS154" s="129"/>
      <c r="BT154" s="129"/>
      <c r="BU154" s="129"/>
      <c r="BV154" s="129"/>
      <c r="BW154" s="129"/>
      <c r="BX154" s="129"/>
      <c r="BY154" s="129">
        <f>INDEX('Gross Dx Plant'!$D$7:$AC$91,MATCH($C154,'Gross Dx Plant'!$C$7:$C$91,0),MATCH(Calculation!$G154,'Gross Dx Plant'!$D$5:$AC$5,0))</f>
        <v>814117</v>
      </c>
      <c r="BZ154" s="129">
        <f>INDEX('Gross Gen Plant'!$D$7:$AC$91,MATCH($C154,'Gross Gen Plant'!$C$7:$C$91,0),MATCH(Calculation!$G154,'Gross Gen Plant'!$D$5:$AC$5,0))</f>
        <v>34901</v>
      </c>
      <c r="CA154" s="129">
        <f t="shared" si="307"/>
        <v>849018</v>
      </c>
      <c r="CB154" s="129"/>
      <c r="CC154" s="133">
        <v>1999</v>
      </c>
      <c r="CD154" s="129"/>
      <c r="CE154" s="129"/>
      <c r="CF154" s="129"/>
      <c r="CG154" s="137"/>
      <c r="CH154" s="129">
        <f t="shared" ref="CH154:CH176" si="315">+BM154+BL154</f>
        <v>45486</v>
      </c>
      <c r="CI154" s="46">
        <f>+CH154+BP154</f>
        <v>45453.114007005737</v>
      </c>
      <c r="CJ154" s="46">
        <f t="shared" ref="CJ154:CJ177" si="316">+CI154/$DF154</f>
        <v>135.54943760134736</v>
      </c>
      <c r="CK154" s="443">
        <v>0.99009900990099009</v>
      </c>
      <c r="CL154" s="46">
        <f>+CL153*CK154+CJ154</f>
        <v>2625.9704892413893</v>
      </c>
      <c r="CM154" s="134">
        <f t="shared" ref="CM154:CM175" si="317">LN(CL154/CL153)</f>
        <v>4.3048413826127695E-2</v>
      </c>
      <c r="CN154" s="135">
        <f t="shared" ref="CN154:CN177" si="318">+(CL153-CL154+CJ154)/CL153</f>
        <v>9.9009900990097866E-3</v>
      </c>
      <c r="CO154" s="135"/>
      <c r="CP154" s="134">
        <f>VLOOKUP($H154,RoR!$E:$F,2,FALSE)</f>
        <v>7.0416666666666669E-2</v>
      </c>
      <c r="CQ154" s="135">
        <v>1.4335631817396832E-2</v>
      </c>
      <c r="CR154" s="135">
        <f>+CP154-CQ154</f>
        <v>5.6081034849269837E-2</v>
      </c>
      <c r="CS154" s="135"/>
      <c r="CT154" s="135"/>
      <c r="CU154" s="139">
        <f t="shared" ref="CU154:CU177" si="319">1-CZ154*DA154</f>
        <v>0.84940815000000003</v>
      </c>
      <c r="CV154" s="335">
        <f t="shared" ref="CV154:CV176" si="320">2/(DD154*39)</f>
        <v>0.72826581702321336</v>
      </c>
      <c r="CW154" s="335">
        <f t="shared" ref="CW154:CW176" si="321">+(DD154*40-(1+DD154))/(DD154*40)</f>
        <v>0.61997041420118348</v>
      </c>
      <c r="CX154" s="335">
        <f t="shared" ref="CX154:CX176" si="322">+(1-(1/(1+DD154)^40))</f>
        <v>0.93425155319585029</v>
      </c>
      <c r="CY154" s="335">
        <f t="shared" ref="CY154:CY176" si="323">+CX154*CW154*CV154</f>
        <v>0.42181762214141483</v>
      </c>
      <c r="CZ154" s="336">
        <f>INDEX('State Tax Lookup'!$D$7:$Z$91,MATCH(Calculation!$C154,'State Tax Lookup'!$B$7:$B$91,0),MATCH($H154,'State Tax Lookup'!$D$6:$Z$6,0))</f>
        <v>0.40700500000000001</v>
      </c>
      <c r="DA154" s="303">
        <v>0.37</v>
      </c>
      <c r="DB154" s="57"/>
      <c r="DC154" s="56"/>
      <c r="DD154" s="303">
        <f>VLOOKUP($H154,RoR!$E:$F,2,FALSE)</f>
        <v>7.0416666666666669E-2</v>
      </c>
      <c r="DE154" s="304">
        <f>HLOOKUP($H154,'GDP-PI'!$D$8:$CQ$11,3,FALSE)</f>
        <v>1.4335631817396832E-2</v>
      </c>
      <c r="DF154" s="303">
        <f>VLOOKUP(H154,'HW Dx Data'!$E:$F,2,FALSE)</f>
        <v>335.32499146683239</v>
      </c>
      <c r="DG154" s="89"/>
      <c r="DH154" s="89"/>
      <c r="DI154" s="89"/>
      <c r="DJ154" s="56"/>
      <c r="DK154" s="53">
        <f>HLOOKUP(H154,'GDP-PI'!$8:$9,2,FALSE)</f>
        <v>76.346000000000004</v>
      </c>
      <c r="DL154" s="298"/>
      <c r="DP154" s="398"/>
      <c r="DQ154" s="398"/>
      <c r="DR154" s="398"/>
      <c r="DS154" s="398"/>
      <c r="DT154" s="398"/>
      <c r="DU154" s="398"/>
      <c r="DV154" s="398"/>
      <c r="DW154" s="398"/>
      <c r="DX154" s="398"/>
      <c r="EC154"/>
    </row>
    <row r="155" spans="1:133" s="126" customFormat="1" ht="21" customHeight="1" x14ac:dyDescent="0.4">
      <c r="A155" s="233" t="s">
        <v>192</v>
      </c>
      <c r="B155" s="127" t="s">
        <v>192</v>
      </c>
      <c r="C155" s="127">
        <v>4057111</v>
      </c>
      <c r="D155" s="127" t="s">
        <v>187</v>
      </c>
      <c r="E155" s="127" t="s">
        <v>15</v>
      </c>
      <c r="F155" s="127"/>
      <c r="G155" s="127" t="s">
        <v>156</v>
      </c>
      <c r="H155" s="128">
        <v>2000</v>
      </c>
      <c r="I155" s="129"/>
      <c r="J155" s="125"/>
      <c r="K155" s="125"/>
      <c r="L155" s="47"/>
      <c r="M155" s="125"/>
      <c r="N155" s="125"/>
      <c r="O155" s="125"/>
      <c r="P155" s="47"/>
      <c r="Q155" s="47"/>
      <c r="R155" s="386"/>
      <c r="S155" s="119"/>
      <c r="T155" s="47"/>
      <c r="U155" s="47"/>
      <c r="V155" s="125"/>
      <c r="W155" s="125"/>
      <c r="X155" s="125"/>
      <c r="Y155" s="125"/>
      <c r="Z155" s="125"/>
      <c r="AA155" s="125"/>
      <c r="AB155" s="125"/>
      <c r="AC155" s="125">
        <f t="shared" si="313"/>
        <v>0</v>
      </c>
      <c r="AD155" s="129"/>
      <c r="AE155" s="133">
        <v>2799.0063956168315</v>
      </c>
      <c r="AF155" s="134">
        <v>5.9069568626378778E-2</v>
      </c>
      <c r="AG155" s="61"/>
      <c r="AH155" s="134"/>
      <c r="AI155" s="134"/>
      <c r="AJ155" s="129">
        <f t="shared" si="216"/>
        <v>0</v>
      </c>
      <c r="AK155" s="134"/>
      <c r="AL155" s="129"/>
      <c r="AM155" s="129"/>
      <c r="AN155" s="129"/>
      <c r="AO155" s="129"/>
      <c r="AP155" s="133"/>
      <c r="AQ155" s="134"/>
      <c r="AR155" s="93"/>
      <c r="AS155" s="93"/>
      <c r="AT155" s="93"/>
      <c r="AU155" s="93"/>
      <c r="AV155" s="93"/>
      <c r="AW155" s="134"/>
      <c r="AX155" s="62"/>
      <c r="AY155" s="93"/>
      <c r="AZ155" s="93"/>
      <c r="BA155" s="93"/>
      <c r="BB155" s="234">
        <f>IFERROR(INDEX('Total Customers'!$E$7:$AA$91,MATCH($C155,'Total Customers'!$C$7:$C$91,0),MATCH($G155,'Total Customers'!$E$5:$AA$5,0)),"NA")</f>
        <v>542792</v>
      </c>
      <c r="BC155" s="411">
        <f t="shared" si="283"/>
        <v>1.2121989619586463E-2</v>
      </c>
      <c r="BD155" s="92"/>
      <c r="BE155" s="281" t="str">
        <f t="shared" si="278"/>
        <v>BOSTON GAS COMPANY</v>
      </c>
      <c r="BF155" s="290">
        <f t="shared" si="279"/>
        <v>4057111</v>
      </c>
      <c r="BG155" s="46" t="str">
        <f t="shared" si="280"/>
        <v>MA</v>
      </c>
      <c r="BH155" s="46"/>
      <c r="BI155" s="46" t="str">
        <f t="shared" si="281"/>
        <v>2000 Y</v>
      </c>
      <c r="BJ155" s="129"/>
      <c r="BK155" s="129"/>
      <c r="BL155" s="129">
        <f>INDEX('Dist. Plant Gas Additions'!$E$7:$AD$91,MATCH($C155,'Dist. Plant Gas Additions'!$C$7:$C$91,0),MATCH(Calculation!$G155,'Dist. Plant Gas Additions'!$E$5:$AD$5,0))</f>
        <v>59222</v>
      </c>
      <c r="BM155" s="129">
        <f>INDEX('Gen. Plant Additions'!$E$7:$AD$91,MATCH($C155,'Gen. Plant Additions'!$C$7:$C$91,0),MATCH(Calculation!$G155,'Gen. Plant Additions'!$E$5:$AD$5,0))</f>
        <v>1115</v>
      </c>
      <c r="BN155" s="393">
        <f t="shared" si="314"/>
        <v>0.97268126766610608</v>
      </c>
      <c r="BO155" s="46">
        <f t="shared" si="308"/>
        <v>1084.5396134477082</v>
      </c>
      <c r="BP155" s="46">
        <f t="shared" si="309"/>
        <v>-30.460386552291766</v>
      </c>
      <c r="BQ155" s="129"/>
      <c r="BR155" s="129"/>
      <c r="BS155" s="129"/>
      <c r="BT155" s="129"/>
      <c r="BU155" s="129"/>
      <c r="BV155" s="129"/>
      <c r="BW155" s="129"/>
      <c r="BX155" s="129"/>
      <c r="BY155" s="129">
        <f>INDEX('Gross Dx Plant'!$D$7:$AC$91,MATCH($C155,'Gross Dx Plant'!$C$7:$C$91,0),MATCH(Calculation!$G155,'Gross Dx Plant'!$D$5:$AC$5,0))</f>
        <v>869935</v>
      </c>
      <c r="BZ155" s="129">
        <f>INDEX('Gross Gen Plant'!$D$7:$AC$91,MATCH($C155,'Gross Gen Plant'!$C$7:$C$91,0),MATCH(Calculation!$G155,'Gross Gen Plant'!$D$5:$AC$5,0))</f>
        <v>24433</v>
      </c>
      <c r="CA155" s="129">
        <f t="shared" si="307"/>
        <v>894368</v>
      </c>
      <c r="CB155" s="129"/>
      <c r="CC155" s="133">
        <v>2000</v>
      </c>
      <c r="CD155" s="129"/>
      <c r="CE155" s="129"/>
      <c r="CF155" s="129"/>
      <c r="CG155" s="137"/>
      <c r="CH155" s="129">
        <f t="shared" si="315"/>
        <v>60337</v>
      </c>
      <c r="CI155" s="46">
        <f t="shared" ref="CI155:CI177" si="324">+CH155+BP155</f>
        <v>60306.539613447705</v>
      </c>
      <c r="CJ155" s="46">
        <f t="shared" si="316"/>
        <v>174.02791276002498</v>
      </c>
      <c r="CK155" s="443">
        <v>0.98</v>
      </c>
      <c r="CL155" s="46">
        <f>+CL153*CK155+CJ154*CK154+CJ155</f>
        <v>2773.2540336350685</v>
      </c>
      <c r="CM155" s="134">
        <f t="shared" si="317"/>
        <v>5.4570834210188594E-2</v>
      </c>
      <c r="CN155" s="135">
        <f t="shared" si="318"/>
        <v>1.0184565468621041E-2</v>
      </c>
      <c r="CO155" s="135"/>
      <c r="CP155" s="134">
        <f>VLOOKUP($H155,RoR!$E:$F,2,FALSE)</f>
        <v>7.6225000000000001E-2</v>
      </c>
      <c r="CQ155" s="135">
        <v>2.2568307442433211E-2</v>
      </c>
      <c r="CR155" s="135">
        <f t="shared" ref="CR155:CR175" si="325">+CP155-CQ155</f>
        <v>5.365669255756679E-2</v>
      </c>
      <c r="CS155" s="135"/>
      <c r="CT155" s="135"/>
      <c r="CU155" s="139">
        <f t="shared" si="319"/>
        <v>0.84940815000000003</v>
      </c>
      <c r="CV155" s="335">
        <f t="shared" si="320"/>
        <v>0.67277207323124022</v>
      </c>
      <c r="CW155" s="335">
        <f t="shared" si="321"/>
        <v>0.6470236142997704</v>
      </c>
      <c r="CX155" s="335">
        <f t="shared" si="322"/>
        <v>0.94704866037543145</v>
      </c>
      <c r="CY155" s="335">
        <f t="shared" si="323"/>
        <v>0.41224973107878493</v>
      </c>
      <c r="CZ155" s="336">
        <f>INDEX('State Tax Lookup'!$D$7:$Z$91,MATCH(Calculation!$C155,'State Tax Lookup'!$B$7:$B$91,0),MATCH($H155,'State Tax Lookup'!$D$6:$Z$6,0))</f>
        <v>0.40700500000000001</v>
      </c>
      <c r="DA155" s="303">
        <v>0.37</v>
      </c>
      <c r="DB155" s="57"/>
      <c r="DC155" s="56"/>
      <c r="DD155" s="303">
        <f>VLOOKUP($H155,RoR!$E:$F,2,FALSE)</f>
        <v>7.6225000000000001E-2</v>
      </c>
      <c r="DE155" s="304">
        <f>HLOOKUP($H155,'GDP-PI'!$D$8:$CQ$11,3,FALSE)</f>
        <v>2.2568307442433211E-2</v>
      </c>
      <c r="DF155" s="303">
        <f>VLOOKUP(H155,'HW Dx Data'!$E:$F,2,FALSE)</f>
        <v>346.53371782150339</v>
      </c>
      <c r="DG155" s="89"/>
      <c r="DH155" s="89"/>
      <c r="DI155" s="89"/>
      <c r="DJ155" s="56"/>
      <c r="DK155" s="53">
        <f>HLOOKUP(H155,'GDP-PI'!$8:$9,2,FALSE)</f>
        <v>78.069000000000003</v>
      </c>
      <c r="DL155" s="298"/>
      <c r="DP155" s="398"/>
      <c r="DQ155" s="398"/>
      <c r="DR155" s="398"/>
      <c r="DS155" s="398"/>
      <c r="DT155" s="398"/>
      <c r="DU155" s="398"/>
      <c r="DV155" s="398"/>
      <c r="DW155" s="398"/>
      <c r="DX155" s="398"/>
      <c r="EC155"/>
    </row>
    <row r="156" spans="1:133" s="126" customFormat="1" ht="21" customHeight="1" x14ac:dyDescent="0.4">
      <c r="A156" s="233" t="s">
        <v>192</v>
      </c>
      <c r="B156" s="127" t="s">
        <v>192</v>
      </c>
      <c r="C156" s="127">
        <v>4057111</v>
      </c>
      <c r="D156" s="127" t="s">
        <v>187</v>
      </c>
      <c r="E156" s="127" t="s">
        <v>15</v>
      </c>
      <c r="F156" s="127"/>
      <c r="G156" s="127" t="s">
        <v>157</v>
      </c>
      <c r="H156" s="128">
        <v>2001</v>
      </c>
      <c r="I156" s="129"/>
      <c r="J156" s="125"/>
      <c r="K156" s="125"/>
      <c r="L156" s="47"/>
      <c r="M156" s="125"/>
      <c r="N156" s="125"/>
      <c r="O156" s="125"/>
      <c r="P156" s="47"/>
      <c r="Q156" s="47"/>
      <c r="R156" s="386"/>
      <c r="S156" s="119"/>
      <c r="T156" s="47"/>
      <c r="U156" s="47"/>
      <c r="V156" s="125"/>
      <c r="W156" s="125"/>
      <c r="X156" s="125"/>
      <c r="Y156" s="125"/>
      <c r="Z156" s="125"/>
      <c r="AA156" s="125"/>
      <c r="AB156" s="125"/>
      <c r="AC156" s="125">
        <f t="shared" si="313"/>
        <v>29287.644889711672</v>
      </c>
      <c r="AD156" s="129"/>
      <c r="AE156" s="133">
        <v>3076.6911035640669</v>
      </c>
      <c r="AF156" s="134">
        <v>9.4590206973018121E-2</v>
      </c>
      <c r="AG156" s="61"/>
      <c r="AH156" s="134"/>
      <c r="AI156" s="134"/>
      <c r="AJ156" s="129">
        <f t="shared" si="216"/>
        <v>29287.644889711672</v>
      </c>
      <c r="AK156" s="134"/>
      <c r="AL156" s="129"/>
      <c r="AM156" s="129"/>
      <c r="AN156" s="129"/>
      <c r="AO156" s="129"/>
      <c r="AP156" s="133"/>
      <c r="AQ156" s="134"/>
      <c r="AR156" s="93"/>
      <c r="AS156" s="93"/>
      <c r="AT156" s="93"/>
      <c r="AU156" s="93"/>
      <c r="AV156" s="93"/>
      <c r="AW156" s="134"/>
      <c r="AX156" s="62"/>
      <c r="AY156" s="93"/>
      <c r="AZ156" s="93"/>
      <c r="BA156" s="93"/>
      <c r="BB156" s="234">
        <f>IFERROR(INDEX('Total Customers'!$E$7:$AA$91,MATCH($C156,'Total Customers'!$C$7:$C$91,0),MATCH($G156,'Total Customers'!$E$5:$AA$5,0)),"NA")</f>
        <v>549389</v>
      </c>
      <c r="BC156" s="411">
        <f t="shared" si="283"/>
        <v>1.2080562160136553E-2</v>
      </c>
      <c r="BD156" s="92"/>
      <c r="BE156" s="281" t="str">
        <f t="shared" si="278"/>
        <v>BOSTON GAS COMPANY</v>
      </c>
      <c r="BF156" s="290">
        <f t="shared" si="279"/>
        <v>4057111</v>
      </c>
      <c r="BG156" s="46" t="str">
        <f t="shared" si="280"/>
        <v>MA</v>
      </c>
      <c r="BH156" s="46"/>
      <c r="BI156" s="46" t="str">
        <f t="shared" si="281"/>
        <v>2001 Y</v>
      </c>
      <c r="BJ156" s="129"/>
      <c r="BK156" s="129"/>
      <c r="BL156" s="129">
        <f>INDEX('Dist. Plant Gas Additions'!$E$7:$AD$91,MATCH($C156,'Dist. Plant Gas Additions'!$C$7:$C$91,0),MATCH(Calculation!$G156,'Dist. Plant Gas Additions'!$E$5:$AD$5,0))</f>
        <v>95946</v>
      </c>
      <c r="BM156" s="129">
        <f>INDEX('Gen. Plant Additions'!$E$7:$AD$91,MATCH($C156,'Gen. Plant Additions'!$C$7:$C$91,0),MATCH(Calculation!$G156,'Gen. Plant Additions'!$E$5:$AD$5,0))</f>
        <v>7144</v>
      </c>
      <c r="BN156" s="393">
        <f t="shared" si="314"/>
        <v>0.96945651856821957</v>
      </c>
      <c r="BO156" s="46">
        <f t="shared" si="308"/>
        <v>6925.7973686513606</v>
      </c>
      <c r="BP156" s="46">
        <f t="shared" si="309"/>
        <v>-218.20263134863944</v>
      </c>
      <c r="BQ156" s="129"/>
      <c r="BR156" s="129"/>
      <c r="BS156" s="129"/>
      <c r="BT156" s="129"/>
      <c r="BU156" s="129"/>
      <c r="BV156" s="129"/>
      <c r="BW156" s="129"/>
      <c r="BX156" s="129"/>
      <c r="BY156" s="129">
        <f>INDEX('Gross Dx Plant'!$D$7:$AC$91,MATCH($C156,'Gross Dx Plant'!$C$7:$C$91,0),MATCH(Calculation!$G156,'Gross Dx Plant'!$D$5:$AC$5,0))</f>
        <v>963728</v>
      </c>
      <c r="BZ156" s="129">
        <f>INDEX('Gross Gen Plant'!$D$7:$AC$91,MATCH($C156,'Gross Gen Plant'!$C$7:$C$91,0),MATCH(Calculation!$G156,'Gross Gen Plant'!$D$5:$AC$5,0))</f>
        <v>30363</v>
      </c>
      <c r="CA156" s="129">
        <f t="shared" si="307"/>
        <v>994091</v>
      </c>
      <c r="CB156" s="129"/>
      <c r="CC156" s="133">
        <v>2001</v>
      </c>
      <c r="CD156" s="129"/>
      <c r="CE156" s="129"/>
      <c r="CF156" s="129"/>
      <c r="CG156" s="137"/>
      <c r="CH156" s="129">
        <f t="shared" si="315"/>
        <v>103090</v>
      </c>
      <c r="CI156" s="46">
        <f t="shared" si="324"/>
        <v>102871.79736865136</v>
      </c>
      <c r="CJ156" s="46">
        <f t="shared" si="316"/>
        <v>291.05265207445086</v>
      </c>
      <c r="CK156" s="443">
        <v>0.96969696969696972</v>
      </c>
      <c r="CL156" s="46">
        <f>+CL153*CK156+CJ154*CK155+CJ155*CK153+CJ156</f>
        <v>3037.0222981991337</v>
      </c>
      <c r="CM156" s="134">
        <f t="shared" si="317"/>
        <v>9.0856156101155078E-2</v>
      </c>
      <c r="CN156" s="135">
        <f t="shared" si="318"/>
        <v>9.8384018122646879E-3</v>
      </c>
      <c r="CO156" s="135">
        <f>+(CN156+CN155+CN154)/3</f>
        <v>9.9746524599651706E-3</v>
      </c>
      <c r="CP156" s="134">
        <f>VLOOKUP($H156,RoR!$E:$F,2,FALSE)</f>
        <v>7.0824999999999999E-2</v>
      </c>
      <c r="CQ156" s="135">
        <v>2.2454495382290052E-2</v>
      </c>
      <c r="CR156" s="135">
        <f t="shared" si="325"/>
        <v>4.8370504617709947E-2</v>
      </c>
      <c r="CS156" s="135">
        <f>+$CR$2-CO156</f>
        <v>2.0927289148568454E-2</v>
      </c>
      <c r="CT156" s="135">
        <f>+((DF154/DF153-1)+(DF155/DF154-1)+(DF156/DF155-1))/3</f>
        <v>2.3947275901631187E-2</v>
      </c>
      <c r="CU156" s="139">
        <f t="shared" si="319"/>
        <v>0.84940815000000003</v>
      </c>
      <c r="CV156" s="335">
        <f t="shared" si="320"/>
        <v>0.72406708481540816</v>
      </c>
      <c r="CW156" s="335">
        <f t="shared" si="321"/>
        <v>0.62201729615248857</v>
      </c>
      <c r="CX156" s="335">
        <f t="shared" si="322"/>
        <v>0.9352469954311422</v>
      </c>
      <c r="CY156" s="335">
        <f t="shared" si="323"/>
        <v>0.42121864641655071</v>
      </c>
      <c r="CZ156" s="336">
        <f>INDEX('State Tax Lookup'!$D$7:$Z$91,MATCH(Calculation!$C156,'State Tax Lookup'!$B$7:$B$91,0),MATCH($H156,'State Tax Lookup'!$D$6:$Z$6,0))</f>
        <v>0.40700500000000001</v>
      </c>
      <c r="DA156" s="303">
        <v>0.37</v>
      </c>
      <c r="DB156" s="57">
        <f t="shared" ref="DB156:DB177" si="326">+(DF156*CS156-CT156)*CU156/(1-CZ156)</f>
        <v>10.560750848822392</v>
      </c>
      <c r="DC156" s="56"/>
      <c r="DD156" s="303">
        <f>VLOOKUP($H156,RoR!$E:$F,2,FALSE)</f>
        <v>7.0824999999999999E-2</v>
      </c>
      <c r="DE156" s="304">
        <f>HLOOKUP($H156,'GDP-PI'!$D$8:$CQ$11,3,FALSE)</f>
        <v>2.2454495382290052E-2</v>
      </c>
      <c r="DF156" s="303">
        <f>VLOOKUP(H156,'HW Dx Data'!$E:$F,2,FALSE)</f>
        <v>353.44738017483138</v>
      </c>
      <c r="DG156" s="89"/>
      <c r="DH156" s="89"/>
      <c r="DI156" s="89"/>
      <c r="DJ156" s="56"/>
      <c r="DK156" s="53">
        <f>HLOOKUP(H156,'GDP-PI'!$8:$9,2,FALSE)</f>
        <v>79.822000000000003</v>
      </c>
      <c r="DL156" s="298"/>
      <c r="DP156" s="398"/>
      <c r="DQ156" s="398"/>
      <c r="DR156" s="398"/>
      <c r="DS156" s="398"/>
      <c r="DT156" s="398"/>
      <c r="DU156" s="398"/>
      <c r="DV156" s="398"/>
      <c r="DW156" s="398"/>
      <c r="DX156" s="398"/>
      <c r="EC156"/>
    </row>
    <row r="157" spans="1:133" s="126" customFormat="1" ht="21" customHeight="1" x14ac:dyDescent="0.4">
      <c r="A157" s="233" t="s">
        <v>192</v>
      </c>
      <c r="B157" s="127" t="s">
        <v>192</v>
      </c>
      <c r="C157" s="127">
        <v>4057111</v>
      </c>
      <c r="D157" s="127" t="s">
        <v>187</v>
      </c>
      <c r="E157" s="127" t="s">
        <v>15</v>
      </c>
      <c r="F157" s="127"/>
      <c r="G157" s="127" t="s">
        <v>158</v>
      </c>
      <c r="H157" s="128">
        <v>2002</v>
      </c>
      <c r="I157" s="129"/>
      <c r="J157" s="125"/>
      <c r="K157" s="125"/>
      <c r="L157" s="47"/>
      <c r="M157" s="125"/>
      <c r="N157" s="125"/>
      <c r="O157" s="125"/>
      <c r="P157" s="47"/>
      <c r="Q157" s="47"/>
      <c r="R157" s="386"/>
      <c r="S157" s="119"/>
      <c r="T157" s="47"/>
      <c r="U157" s="47"/>
      <c r="V157" s="125"/>
      <c r="W157" s="125"/>
      <c r="X157" s="125"/>
      <c r="Y157" s="125"/>
      <c r="Z157" s="125"/>
      <c r="AA157" s="125"/>
      <c r="AB157" s="125"/>
      <c r="AC157" s="125">
        <f t="shared" si="313"/>
        <v>32073.683319905369</v>
      </c>
      <c r="AD157" s="129"/>
      <c r="AE157" s="133">
        <v>3335.5017844404128</v>
      </c>
      <c r="AF157" s="134">
        <v>8.076842568302274E-2</v>
      </c>
      <c r="AG157" s="61"/>
      <c r="AH157" s="134"/>
      <c r="AI157" s="134"/>
      <c r="AJ157" s="129">
        <f t="shared" si="216"/>
        <v>32073.683319905369</v>
      </c>
      <c r="AK157" s="134"/>
      <c r="AL157" s="129"/>
      <c r="AM157" s="129"/>
      <c r="AN157" s="129"/>
      <c r="AO157" s="129"/>
      <c r="AP157" s="133"/>
      <c r="AQ157" s="134"/>
      <c r="AR157" s="93"/>
      <c r="AS157" s="93"/>
      <c r="AT157" s="93"/>
      <c r="AU157" s="93"/>
      <c r="AV157" s="93"/>
      <c r="AW157" s="134"/>
      <c r="AX157" s="62"/>
      <c r="AY157" s="93"/>
      <c r="AZ157" s="93"/>
      <c r="BA157" s="93"/>
      <c r="BB157" s="234">
        <f>IFERROR(INDEX('Total Customers'!$E$7:$AA$91,MATCH($C157,'Total Customers'!$C$7:$C$91,0),MATCH($G157,'Total Customers'!$E$5:$AA$5,0)),"NA")</f>
        <v>553551</v>
      </c>
      <c r="BC157" s="411">
        <f t="shared" si="283"/>
        <v>7.5471372066625931E-3</v>
      </c>
      <c r="BD157" s="92"/>
      <c r="BE157" s="281" t="str">
        <f t="shared" si="278"/>
        <v>BOSTON GAS COMPANY</v>
      </c>
      <c r="BF157" s="290">
        <f t="shared" si="279"/>
        <v>4057111</v>
      </c>
      <c r="BG157" s="46" t="str">
        <f t="shared" si="280"/>
        <v>MA</v>
      </c>
      <c r="BH157" s="46"/>
      <c r="BI157" s="46" t="str">
        <f t="shared" si="281"/>
        <v>2002 Y</v>
      </c>
      <c r="BJ157" s="129"/>
      <c r="BK157" s="129"/>
      <c r="BL157" s="129">
        <f>INDEX('Dist. Plant Gas Additions'!$E$7:$AD$91,MATCH($C157,'Dist. Plant Gas Additions'!$C$7:$C$91,0),MATCH(Calculation!$G157,'Dist. Plant Gas Additions'!$E$5:$AD$5,0))</f>
        <v>96693</v>
      </c>
      <c r="BM157" s="129">
        <f>INDEX('Gen. Plant Additions'!$E$7:$AD$91,MATCH($C157,'Gen. Plant Additions'!$C$7:$C$91,0),MATCH(Calculation!$G157,'Gen. Plant Additions'!$E$5:$AD$5,0))</f>
        <v>3199</v>
      </c>
      <c r="BN157" s="393">
        <f t="shared" si="314"/>
        <v>0.96922035664107353</v>
      </c>
      <c r="BO157" s="46">
        <f t="shared" si="308"/>
        <v>3100.5359208947943</v>
      </c>
      <c r="BP157" s="46">
        <f t="shared" si="309"/>
        <v>-98.464079105205656</v>
      </c>
      <c r="BQ157" s="129"/>
      <c r="BR157" s="129"/>
      <c r="BS157" s="129"/>
      <c r="BT157" s="129"/>
      <c r="BU157" s="129"/>
      <c r="BV157" s="129"/>
      <c r="BW157" s="129"/>
      <c r="BX157" s="129"/>
      <c r="BY157" s="129">
        <f>INDEX('Gross Dx Plant'!$D$7:$AC$91,MATCH($C157,'Gross Dx Plant'!$C$7:$C$91,0),MATCH(Calculation!$G157,'Gross Dx Plant'!$D$5:$AC$5,0))</f>
        <v>1056834</v>
      </c>
      <c r="BZ157" s="129">
        <f>INDEX('Gross Gen Plant'!$D$7:$AC$91,MATCH($C157,'Gross Gen Plant'!$C$7:$C$91,0),MATCH(Calculation!$G157,'Gross Gen Plant'!$D$5:$AC$5,0))</f>
        <v>33562</v>
      </c>
      <c r="CA157" s="129">
        <f t="shared" si="307"/>
        <v>1090396</v>
      </c>
      <c r="CB157" s="129"/>
      <c r="CC157" s="133">
        <v>2002</v>
      </c>
      <c r="CD157" s="129"/>
      <c r="CE157" s="129"/>
      <c r="CF157" s="129"/>
      <c r="CG157" s="137"/>
      <c r="CH157" s="129">
        <f t="shared" si="315"/>
        <v>99892</v>
      </c>
      <c r="CI157" s="46">
        <f t="shared" si="324"/>
        <v>99793.535920894792</v>
      </c>
      <c r="CJ157" s="46">
        <f t="shared" si="316"/>
        <v>276.17003594898131</v>
      </c>
      <c r="CK157" s="443">
        <v>0.95918367346938771</v>
      </c>
      <c r="CL157" s="46">
        <f>+CL153*CK157+CJ154*CK156+CJ155*CK155+CJ156*CK154+CJ157</f>
        <v>3278.9891369134984</v>
      </c>
      <c r="CM157" s="134">
        <f t="shared" si="317"/>
        <v>7.6657656714212929E-2</v>
      </c>
      <c r="CN157" s="135">
        <f t="shared" si="318"/>
        <v>1.1262083012988776E-2</v>
      </c>
      <c r="CO157" s="135">
        <f t="shared" ref="CO157:CO176" si="327">+(CN157+CN156+CN155)/3</f>
        <v>1.0428350097958167E-2</v>
      </c>
      <c r="CP157" s="134">
        <f>VLOOKUP($H157,RoR!$E:$F,2,FALSE)</f>
        <v>6.4916666666666664E-2</v>
      </c>
      <c r="CQ157" s="135">
        <v>1.5246423291824351E-2</v>
      </c>
      <c r="CR157" s="135">
        <f t="shared" si="325"/>
        <v>4.9670243374842313E-2</v>
      </c>
      <c r="CS157" s="135">
        <f t="shared" ref="CS157:CS177" si="328">+$CR$2-CO157</f>
        <v>2.0473591510575456E-2</v>
      </c>
      <c r="CT157" s="135">
        <f t="shared" ref="CT157:CT177" si="329">+((DF155/DF154-1)+(DF156/DF155-1)+(DF157/DF156-1))/3</f>
        <v>2.5243621214759093E-2</v>
      </c>
      <c r="CU157" s="139">
        <f t="shared" si="319"/>
        <v>0.84940815000000003</v>
      </c>
      <c r="CV157" s="335">
        <f t="shared" si="320"/>
        <v>0.78996741384417901</v>
      </c>
      <c r="CW157" s="335">
        <f t="shared" si="321"/>
        <v>0.58989088575096271</v>
      </c>
      <c r="CX157" s="335">
        <f t="shared" si="322"/>
        <v>0.91920675783645744</v>
      </c>
      <c r="CY157" s="335">
        <f t="shared" si="323"/>
        <v>0.42834536472275586</v>
      </c>
      <c r="CZ157" s="336">
        <f>INDEX('State Tax Lookup'!$D$7:$Z$91,MATCH(Calculation!$C157,'State Tax Lookup'!$B$7:$B$91,0),MATCH($H157,'State Tax Lookup'!$D$6:$Z$6,0))</f>
        <v>0.40700500000000001</v>
      </c>
      <c r="DA157" s="303">
        <v>0.37</v>
      </c>
      <c r="DB157" s="57">
        <f t="shared" si="326"/>
        <v>10.56089819917494</v>
      </c>
      <c r="DC157" s="56">
        <f t="shared" ref="DC157:DC177" si="330">LN(DB157/DB156)</f>
        <v>1.3952542456806111E-5</v>
      </c>
      <c r="DD157" s="303">
        <f>VLOOKUP($H157,RoR!$E:$F,2,FALSE)</f>
        <v>6.4916666666666664E-2</v>
      </c>
      <c r="DE157" s="304">
        <f>HLOOKUP($H157,'GDP-PI'!$D$8:$CQ$11,3,FALSE)</f>
        <v>1.5246423291824351E-2</v>
      </c>
      <c r="DF157" s="303">
        <f>VLOOKUP(H157,'HW Dx Data'!$E:$F,2,FALSE)</f>
        <v>361.34816573413599</v>
      </c>
      <c r="DG157" s="89"/>
      <c r="DH157" s="89"/>
      <c r="DI157" s="89"/>
      <c r="DJ157" s="56"/>
      <c r="DK157" s="53">
        <f>HLOOKUP(H157,'GDP-PI'!$8:$9,2,FALSE)</f>
        <v>81.039000000000001</v>
      </c>
      <c r="DL157" s="355">
        <f>LN(DK157/DK156)</f>
        <v>1.513136459537477E-2</v>
      </c>
      <c r="DP157" s="398"/>
      <c r="DQ157" s="398"/>
      <c r="DR157" s="398"/>
      <c r="DS157" s="398"/>
      <c r="DT157" s="398"/>
      <c r="DU157" s="398"/>
      <c r="DV157" s="398"/>
      <c r="DW157" s="398"/>
      <c r="DX157" s="398"/>
      <c r="EC157"/>
    </row>
    <row r="158" spans="1:133" s="126" customFormat="1" ht="21" customHeight="1" x14ac:dyDescent="0.4">
      <c r="A158" s="233" t="s">
        <v>192</v>
      </c>
      <c r="B158" s="127" t="s">
        <v>192</v>
      </c>
      <c r="C158" s="127">
        <v>4057111</v>
      </c>
      <c r="D158" s="127" t="s">
        <v>187</v>
      </c>
      <c r="E158" s="127" t="s">
        <v>15</v>
      </c>
      <c r="F158" s="127"/>
      <c r="G158" s="127" t="s">
        <v>159</v>
      </c>
      <c r="H158" s="128">
        <v>2003</v>
      </c>
      <c r="I158" s="129"/>
      <c r="J158" s="125"/>
      <c r="K158" s="125"/>
      <c r="L158" s="47"/>
      <c r="M158" s="131"/>
      <c r="N158" s="131"/>
      <c r="O158" s="131"/>
      <c r="P158" s="59"/>
      <c r="Q158" s="59"/>
      <c r="R158" s="386"/>
      <c r="S158" s="119"/>
      <c r="T158" s="59"/>
      <c r="U158" s="59"/>
      <c r="V158" s="125"/>
      <c r="W158" s="125"/>
      <c r="X158" s="125"/>
      <c r="Y158" s="125"/>
      <c r="Z158" s="125"/>
      <c r="AA158" s="125"/>
      <c r="AB158" s="125"/>
      <c r="AC158" s="125">
        <f t="shared" si="313"/>
        <v>34967.127099561345</v>
      </c>
      <c r="AD158" s="129"/>
      <c r="AE158" s="133">
        <v>3433.9016362813663</v>
      </c>
      <c r="AF158" s="134">
        <v>2.9073989848528627E-2</v>
      </c>
      <c r="AG158" s="61"/>
      <c r="AH158" s="134"/>
      <c r="AI158" s="134"/>
      <c r="AJ158" s="129">
        <f t="shared" ref="AJ158:AJ221" si="331">+J158+V158+AC158</f>
        <v>34967.127099561345</v>
      </c>
      <c r="AK158" s="134"/>
      <c r="AL158" s="129"/>
      <c r="AM158" s="129"/>
      <c r="AN158" s="129"/>
      <c r="AO158" s="129"/>
      <c r="AP158" s="133"/>
      <c r="AQ158" s="134"/>
      <c r="AR158" s="93"/>
      <c r="AS158" s="93"/>
      <c r="AT158" s="93"/>
      <c r="AU158" s="93"/>
      <c r="AV158" s="93"/>
      <c r="AW158" s="134"/>
      <c r="AX158" s="62"/>
      <c r="AY158" s="93"/>
      <c r="AZ158" s="93"/>
      <c r="BA158" s="93"/>
      <c r="BB158" s="234">
        <f>IFERROR(INDEX('Total Customers'!$E$7:$AA$91,MATCH($C158,'Total Customers'!$C$7:$C$91,0),MATCH($G158,'Total Customers'!$E$5:$AA$5,0)),"NA")</f>
        <v>565136</v>
      </c>
      <c r="BC158" s="411">
        <f t="shared" si="283"/>
        <v>2.0712521320141862E-2</v>
      </c>
      <c r="BD158" s="92"/>
      <c r="BE158" s="281" t="str">
        <f t="shared" si="278"/>
        <v>BOSTON GAS COMPANY</v>
      </c>
      <c r="BF158" s="290">
        <f t="shared" si="279"/>
        <v>4057111</v>
      </c>
      <c r="BG158" s="46" t="str">
        <f t="shared" si="280"/>
        <v>MA</v>
      </c>
      <c r="BH158" s="46"/>
      <c r="BI158" s="46" t="str">
        <f t="shared" si="281"/>
        <v>2003 Y</v>
      </c>
      <c r="BJ158" s="129"/>
      <c r="BK158" s="129"/>
      <c r="BL158" s="129">
        <f>INDEX('Dist. Plant Gas Additions'!$E$7:$AD$91,MATCH($C158,'Dist. Plant Gas Additions'!$C$7:$C$91,0),MATCH(Calculation!$G158,'Dist. Plant Gas Additions'!$E$5:$AD$5,0))</f>
        <v>42717</v>
      </c>
      <c r="BM158" s="129">
        <f>INDEX('Gen. Plant Additions'!$E$7:$AD$91,MATCH($C158,'Gen. Plant Additions'!$C$7:$C$91,0),MATCH(Calculation!$G158,'Gen. Plant Additions'!$E$5:$AD$5,0))</f>
        <v>509</v>
      </c>
      <c r="BN158" s="393">
        <f t="shared" si="314"/>
        <v>0.94043503136199147</v>
      </c>
      <c r="BO158" s="46">
        <f t="shared" si="308"/>
        <v>478.68143096325366</v>
      </c>
      <c r="BP158" s="46">
        <f t="shared" si="309"/>
        <v>-30.318569036746339</v>
      </c>
      <c r="BQ158" s="129"/>
      <c r="BR158" s="129"/>
      <c r="BS158" s="129"/>
      <c r="BT158" s="129"/>
      <c r="BU158" s="129"/>
      <c r="BV158" s="129"/>
      <c r="BW158" s="129"/>
      <c r="BX158" s="129"/>
      <c r="BY158" s="129">
        <f>INDEX('Gross Dx Plant'!$D$7:$AC$91,MATCH($C158,'Gross Dx Plant'!$C$7:$C$91,0),MATCH(Calculation!$G158,'Gross Dx Plant'!$D$5:$AC$5,0))</f>
        <v>535858</v>
      </c>
      <c r="BZ158" s="129">
        <f>INDEX('Gross Gen Plant'!$D$7:$AC$91,MATCH($C158,'Gross Gen Plant'!$C$7:$C$91,0),MATCH(Calculation!$G158,'Gross Gen Plant'!$D$5:$AC$5,0))</f>
        <v>33940</v>
      </c>
      <c r="CA158" s="129">
        <f t="shared" si="307"/>
        <v>569798</v>
      </c>
      <c r="CB158" s="129"/>
      <c r="CC158" s="133">
        <v>2003</v>
      </c>
      <c r="CD158" s="129"/>
      <c r="CE158" s="129"/>
      <c r="CF158" s="129"/>
      <c r="CG158" s="137"/>
      <c r="CH158" s="129">
        <f t="shared" si="315"/>
        <v>43226</v>
      </c>
      <c r="CI158" s="46">
        <f t="shared" si="324"/>
        <v>43195.681430963254</v>
      </c>
      <c r="CJ158" s="46">
        <f t="shared" si="316"/>
        <v>116.98759360429254</v>
      </c>
      <c r="CK158" s="443">
        <v>0.94845360824742264</v>
      </c>
      <c r="CL158" s="46">
        <f>+CL153*CK158+CJ154*CK157+CJ155*CK156+CJ156*CK155+CJ157*CK154+CJ158</f>
        <v>3360.0953397440881</v>
      </c>
      <c r="CM158" s="134">
        <f t="shared" si="317"/>
        <v>2.4434163566019448E-2</v>
      </c>
      <c r="CN158" s="135">
        <f t="shared" si="318"/>
        <v>1.0942820874203313E-2</v>
      </c>
      <c r="CO158" s="135">
        <f t="shared" si="327"/>
        <v>1.0681101899818926E-2</v>
      </c>
      <c r="CP158" s="134">
        <f>VLOOKUP($H158,RoR!$E:$F,2,FALSE)</f>
        <v>5.6666666666666671E-2</v>
      </c>
      <c r="CQ158" s="135">
        <v>1.8855119140166909E-2</v>
      </c>
      <c r="CR158" s="135">
        <f t="shared" si="325"/>
        <v>3.7811547526499761E-2</v>
      </c>
      <c r="CS158" s="135">
        <f t="shared" si="328"/>
        <v>2.0220839708714699E-2</v>
      </c>
      <c r="CT158" s="135">
        <f t="shared" si="329"/>
        <v>2.1375012817671957E-2</v>
      </c>
      <c r="CU158" s="139">
        <f t="shared" si="319"/>
        <v>0.84940815000000003</v>
      </c>
      <c r="CV158" s="335">
        <f t="shared" si="320"/>
        <v>0.90497737556561086</v>
      </c>
      <c r="CW158" s="335">
        <f t="shared" si="321"/>
        <v>0.5338235294117647</v>
      </c>
      <c r="CX158" s="335">
        <f t="shared" si="322"/>
        <v>0.88972433127405692</v>
      </c>
      <c r="CY158" s="335">
        <f t="shared" si="323"/>
        <v>0.42982423775949252</v>
      </c>
      <c r="CZ158" s="336">
        <f>INDEX('State Tax Lookup'!$D$7:$Z$91,MATCH(Calculation!$C158,'State Tax Lookup'!$B$7:$B$91,0),MATCH($H158,'State Tax Lookup'!$D$6:$Z$6,0))</f>
        <v>0.40700500000000001</v>
      </c>
      <c r="DA158" s="303">
        <v>0.37</v>
      </c>
      <c r="DB158" s="57">
        <f t="shared" si="326"/>
        <v>10.663996018137402</v>
      </c>
      <c r="DC158" s="56">
        <f t="shared" si="330"/>
        <v>9.7148780823239373E-3</v>
      </c>
      <c r="DD158" s="303">
        <f>VLOOKUP($H158,RoR!$E:$F,2,FALSE)</f>
        <v>5.6666666666666671E-2</v>
      </c>
      <c r="DE158" s="304">
        <f>HLOOKUP($H158,'GDP-PI'!$D$8:$CQ$11,3,FALSE)</f>
        <v>1.8855119140166909E-2</v>
      </c>
      <c r="DF158" s="303">
        <f>VLOOKUP(H158,'HW Dx Data'!$E:$F,2,FALSE)</f>
        <v>369.23301095560191</v>
      </c>
      <c r="DG158" s="89">
        <f ca="1">VLOOKUP(CC158,'ECI - Input Price'!M$13:N$33,2,FALSE)</f>
        <v>89.25</v>
      </c>
      <c r="DH158" s="89"/>
      <c r="DI158" s="89"/>
      <c r="DJ158" s="56"/>
      <c r="DK158" s="53">
        <f>HLOOKUP(H158,'GDP-PI'!$8:$9,2,FALSE)</f>
        <v>82.566999999999993</v>
      </c>
      <c r="DL158" s="355">
        <f t="shared" ref="DL158:DL177" si="332">LN(DK158/DK157)</f>
        <v>1.8679564681853753E-2</v>
      </c>
      <c r="DP158" s="398"/>
      <c r="DQ158" s="398"/>
      <c r="DR158" s="398"/>
      <c r="DS158" s="398"/>
      <c r="DT158" s="398"/>
      <c r="DU158" s="398"/>
      <c r="DV158" s="398"/>
      <c r="DW158" s="398"/>
      <c r="DX158" s="398"/>
      <c r="EC158"/>
    </row>
    <row r="159" spans="1:133" s="126" customFormat="1" ht="21" customHeight="1" x14ac:dyDescent="0.4">
      <c r="A159" s="233" t="s">
        <v>192</v>
      </c>
      <c r="B159" s="127" t="s">
        <v>192</v>
      </c>
      <c r="C159" s="127">
        <v>4057111</v>
      </c>
      <c r="D159" s="127" t="s">
        <v>187</v>
      </c>
      <c r="E159" s="127" t="s">
        <v>15</v>
      </c>
      <c r="F159" s="127"/>
      <c r="G159" s="127" t="s">
        <v>160</v>
      </c>
      <c r="H159" s="128">
        <v>2004</v>
      </c>
      <c r="I159" s="129"/>
      <c r="J159" s="125"/>
      <c r="K159" s="125">
        <f t="shared" ref="K159:K177" ca="1" si="333">+J159/DG159</f>
        <v>0</v>
      </c>
      <c r="L159" s="47"/>
      <c r="M159" s="131"/>
      <c r="N159" s="131"/>
      <c r="O159" s="131"/>
      <c r="P159" s="59"/>
      <c r="Q159" s="59"/>
      <c r="R159" s="386"/>
      <c r="S159" s="119"/>
      <c r="T159" s="59"/>
      <c r="U159" s="59"/>
      <c r="V159" s="125"/>
      <c r="W159" s="125">
        <f t="shared" ref="W159:W177" si="334">+V159/DK159</f>
        <v>0</v>
      </c>
      <c r="X159" s="125"/>
      <c r="Y159" s="125"/>
      <c r="Z159" s="125"/>
      <c r="AA159" s="125"/>
      <c r="AB159" s="125"/>
      <c r="AC159" s="125">
        <f t="shared" si="313"/>
        <v>39173.079788925323</v>
      </c>
      <c r="AD159" s="129"/>
      <c r="AE159" s="133">
        <v>3565.8921775069389</v>
      </c>
      <c r="AF159" s="134">
        <v>3.7717164726453284E-2</v>
      </c>
      <c r="AG159" s="61"/>
      <c r="AH159" s="134"/>
      <c r="AI159" s="134"/>
      <c r="AJ159" s="129">
        <f t="shared" si="331"/>
        <v>39173.079788925323</v>
      </c>
      <c r="AK159" s="134"/>
      <c r="AL159" s="129"/>
      <c r="AM159" s="129"/>
      <c r="AN159" s="129"/>
      <c r="AO159" s="129"/>
      <c r="AP159" s="133"/>
      <c r="AQ159" s="134"/>
      <c r="AR159" s="93">
        <f t="shared" ref="AR159:AR177" si="335">+J159/AJ159</f>
        <v>0</v>
      </c>
      <c r="AS159" s="93">
        <f t="shared" ref="AS159:AS177" si="336">+V159/AJ159</f>
        <v>0</v>
      </c>
      <c r="AT159" s="93">
        <f t="shared" ref="AT159:AT177" si="337">+AC159/AJ159</f>
        <v>1</v>
      </c>
      <c r="AU159" s="93"/>
      <c r="AV159" s="93"/>
      <c r="AW159" s="134"/>
      <c r="AX159" s="62"/>
      <c r="AY159" s="93"/>
      <c r="AZ159" s="93"/>
      <c r="BA159" s="93"/>
      <c r="BB159" s="234">
        <f>IFERROR(INDEX('Total Customers'!$E$7:$AA$91,MATCH($C159,'Total Customers'!$C$7:$C$91,0),MATCH($G159,'Total Customers'!$E$5:$AA$5,0)),"NA")</f>
        <v>587513</v>
      </c>
      <c r="BC159" s="411">
        <f t="shared" si="283"/>
        <v>3.8831963287546789E-2</v>
      </c>
      <c r="BD159" s="92"/>
      <c r="BE159" s="281" t="str">
        <f t="shared" si="278"/>
        <v>BOSTON GAS COMPANY</v>
      </c>
      <c r="BF159" s="290">
        <f t="shared" si="279"/>
        <v>4057111</v>
      </c>
      <c r="BG159" s="46" t="str">
        <f t="shared" si="280"/>
        <v>MA</v>
      </c>
      <c r="BH159" s="46"/>
      <c r="BI159" s="46" t="str">
        <f t="shared" si="281"/>
        <v>2004 Y</v>
      </c>
      <c r="BJ159" s="129"/>
      <c r="BK159" s="129"/>
      <c r="BL159" s="129">
        <f>INDEX('Dist. Plant Gas Additions'!$E$7:$AD$91,MATCH($C159,'Dist. Plant Gas Additions'!$C$7:$C$91,0),MATCH(Calculation!$G159,'Dist. Plant Gas Additions'!$E$5:$AD$5,0))</f>
        <v>57010</v>
      </c>
      <c r="BM159" s="129">
        <f>INDEX('Gen. Plant Additions'!$E$7:$AD$91,MATCH($C159,'Gen. Plant Additions'!$C$7:$C$91,0),MATCH(Calculation!$G159,'Gen. Plant Additions'!$E$5:$AD$5,0))</f>
        <v>5986</v>
      </c>
      <c r="BN159" s="393">
        <f t="shared" si="314"/>
        <v>0.95546352053342987</v>
      </c>
      <c r="BO159" s="46">
        <f t="shared" si="308"/>
        <v>5719.404633913111</v>
      </c>
      <c r="BP159" s="46">
        <f t="shared" si="309"/>
        <v>-266.59536608688904</v>
      </c>
      <c r="BQ159" s="129"/>
      <c r="BR159" s="129"/>
      <c r="BS159" s="129"/>
      <c r="BT159" s="129"/>
      <c r="BU159" s="129"/>
      <c r="BV159" s="129"/>
      <c r="BW159" s="129"/>
      <c r="BX159" s="129"/>
      <c r="BY159" s="129">
        <f>INDEX('Gross Dx Plant'!$D$7:$AC$91,MATCH($C159,'Gross Dx Plant'!$C$7:$C$91,0),MATCH(Calculation!$G159,'Gross Dx Plant'!$D$5:$AC$5,0))</f>
        <v>591516</v>
      </c>
      <c r="BZ159" s="129">
        <f>INDEX('Gross Gen Plant'!$D$7:$AC$91,MATCH($C159,'Gross Gen Plant'!$C$7:$C$91,0),MATCH(Calculation!$G159,'Gross Gen Plant'!$D$5:$AC$5,0))</f>
        <v>27572</v>
      </c>
      <c r="CA159" s="129">
        <f t="shared" si="307"/>
        <v>619088</v>
      </c>
      <c r="CB159" s="129"/>
      <c r="CC159" s="133">
        <v>2004</v>
      </c>
      <c r="CD159" s="129"/>
      <c r="CE159" s="129"/>
      <c r="CF159" s="129"/>
      <c r="CG159" s="137"/>
      <c r="CH159" s="129">
        <f t="shared" si="315"/>
        <v>62996</v>
      </c>
      <c r="CI159" s="46">
        <f t="shared" si="324"/>
        <v>62729.404633913109</v>
      </c>
      <c r="CJ159" s="46">
        <f t="shared" si="316"/>
        <v>151.1962912845124</v>
      </c>
      <c r="CK159" s="443">
        <v>0.9375</v>
      </c>
      <c r="CL159" s="46">
        <f>+CL153*CK159+CJ154*CK158+CJ155*CK157+CJ156*CK156+CJ157*CK155+CJ158*CK154+CJ159</f>
        <v>3473.5096209596277</v>
      </c>
      <c r="CM159" s="134">
        <f t="shared" si="317"/>
        <v>3.3196152467654685E-2</v>
      </c>
      <c r="CN159" s="135">
        <f t="shared" si="318"/>
        <v>1.1244326796944495E-2</v>
      </c>
      <c r="CO159" s="135">
        <f t="shared" si="327"/>
        <v>1.1149743561378862E-2</v>
      </c>
      <c r="CP159" s="134">
        <f>VLOOKUP($H159,RoR!$E:$F,2,FALSE)</f>
        <v>5.6283333333333331E-2</v>
      </c>
      <c r="CQ159" s="135">
        <v>2.6778252812867276E-2</v>
      </c>
      <c r="CR159" s="135">
        <f t="shared" si="325"/>
        <v>2.9505080520466055E-2</v>
      </c>
      <c r="CS159" s="135">
        <f t="shared" si="328"/>
        <v>1.9752198047154765E-2</v>
      </c>
      <c r="CT159" s="135">
        <f t="shared" si="329"/>
        <v>5.5940039414565046E-2</v>
      </c>
      <c r="CU159" s="139">
        <f t="shared" si="319"/>
        <v>0.84940815000000003</v>
      </c>
      <c r="CV159" s="335">
        <f t="shared" si="320"/>
        <v>0.91114097628755619</v>
      </c>
      <c r="CW159" s="335">
        <f t="shared" si="321"/>
        <v>0.53081877405981637</v>
      </c>
      <c r="CX159" s="335">
        <f t="shared" si="322"/>
        <v>0.88811215519385678</v>
      </c>
      <c r="CY159" s="335">
        <f t="shared" si="323"/>
        <v>0.42953609753547711</v>
      </c>
      <c r="CZ159" s="336">
        <f>INDEX('State Tax Lookup'!$D$7:$Z$91,MATCH(Calculation!$C159,'State Tax Lookup'!$B$7:$B$91,0),MATCH($H159,'State Tax Lookup'!$D$6:$Z$6,0))</f>
        <v>0.40700500000000001</v>
      </c>
      <c r="DA159" s="303">
        <v>0.37</v>
      </c>
      <c r="DB159" s="57">
        <f t="shared" si="326"/>
        <v>11.658323895032344</v>
      </c>
      <c r="DC159" s="56">
        <f t="shared" si="330"/>
        <v>8.914721282424054E-2</v>
      </c>
      <c r="DD159" s="303">
        <f>VLOOKUP($H159,RoR!$E:$F,2,FALSE)</f>
        <v>5.6283333333333331E-2</v>
      </c>
      <c r="DE159" s="304">
        <f>HLOOKUP($H159,'GDP-PI'!$D$8:$CQ$11,3,FALSE)</f>
        <v>2.6778252812867276E-2</v>
      </c>
      <c r="DF159" s="303">
        <f>VLOOKUP(H159,'HW Dx Data'!$E:$F,2,FALSE)</f>
        <v>414.88719135228365</v>
      </c>
      <c r="DG159" s="89">
        <f ca="1">VLOOKUP(CC159,'ECI - Input Price'!M$13:N$33,2,FALSE)</f>
        <v>94.35</v>
      </c>
      <c r="DH159" s="89"/>
      <c r="DI159" s="89"/>
      <c r="DJ159" s="56">
        <f t="shared" ref="DJ159:DJ177" ca="1" si="338">LN(DG159/DG158)</f>
        <v>5.5569851154810786E-2</v>
      </c>
      <c r="DK159" s="53">
        <f>HLOOKUP(H159,'GDP-PI'!$8:$9,2,FALSE)</f>
        <v>84.778000000000006</v>
      </c>
      <c r="DL159" s="355">
        <f t="shared" si="332"/>
        <v>2.6425990216022755E-2</v>
      </c>
      <c r="DP159" s="398"/>
      <c r="DQ159" s="398"/>
      <c r="DR159" s="398"/>
      <c r="DS159" s="398"/>
      <c r="DT159" s="398"/>
      <c r="DU159" s="398"/>
      <c r="DV159" s="398"/>
      <c r="DW159" s="398"/>
      <c r="DX159" s="398"/>
      <c r="EC159"/>
    </row>
    <row r="160" spans="1:133" s="126" customFormat="1" ht="21" customHeight="1" x14ac:dyDescent="0.4">
      <c r="A160" s="233" t="s">
        <v>192</v>
      </c>
      <c r="B160" s="127" t="s">
        <v>192</v>
      </c>
      <c r="C160" s="127">
        <v>4057111</v>
      </c>
      <c r="D160" s="127" t="s">
        <v>187</v>
      </c>
      <c r="E160" s="127" t="s">
        <v>15</v>
      </c>
      <c r="F160" s="127"/>
      <c r="G160" s="127" t="s">
        <v>161</v>
      </c>
      <c r="H160" s="128">
        <v>2005</v>
      </c>
      <c r="I160" s="129"/>
      <c r="J160" s="125">
        <f>IFERROR(INDEX('Labor Expenditures'!$E$7:$W$91,MATCH($C160,'Labor Expenditures'!$C$7:$C$91,0),MATCH($G160,'Labor Expenditures'!$E$5:$W$5,0)),"NA")</f>
        <v>48453.794659181673</v>
      </c>
      <c r="K160" s="125">
        <f t="shared" ca="1" si="333"/>
        <v>488.32244554478888</v>
      </c>
      <c r="L160" s="47"/>
      <c r="M160" s="131"/>
      <c r="N160" s="59"/>
      <c r="O160" s="59"/>
      <c r="P160" s="59"/>
      <c r="Q160" s="61"/>
      <c r="R160" s="387"/>
      <c r="S160" s="49">
        <v>100</v>
      </c>
      <c r="T160" s="46"/>
      <c r="U160" s="46"/>
      <c r="V160" s="125">
        <f>IFERROR(INDEX('Non-Labor Expenditures'!$E$7:$AA$91,MATCH($C160,'Non-Labor Expenditures'!$C$7:$C$91,0),MATCH($G160,'Non-Labor Expenditures'!$E$5:$AA$5,0)),"NA")</f>
        <v>70170.144586995928</v>
      </c>
      <c r="W160" s="125">
        <f t="shared" si="334"/>
        <v>802.79776890862206</v>
      </c>
      <c r="X160" s="131"/>
      <c r="Y160" s="131"/>
      <c r="Z160" s="131"/>
      <c r="AA160" s="131"/>
      <c r="AB160" s="131"/>
      <c r="AC160" s="125">
        <f t="shared" si="313"/>
        <v>45440.848665510057</v>
      </c>
      <c r="AD160" s="129"/>
      <c r="AE160" s="133">
        <v>3612.2238545530709</v>
      </c>
      <c r="AF160" s="134">
        <v>1.2909326143874363E-2</v>
      </c>
      <c r="AG160" s="59">
        <f t="shared" ref="AG160:AG177" si="339">+AF160*$AX160</f>
        <v>0</v>
      </c>
      <c r="AH160" s="134"/>
      <c r="AI160" s="134"/>
      <c r="AJ160" s="129">
        <f t="shared" si="331"/>
        <v>164064.78791168766</v>
      </c>
      <c r="AK160" s="134">
        <f>LN(AJ160/AJ159)</f>
        <v>1.4322716272511848</v>
      </c>
      <c r="AL160" s="129"/>
      <c r="AM160" s="129"/>
      <c r="AN160" s="129"/>
      <c r="AO160" s="129"/>
      <c r="AP160" s="133"/>
      <c r="AQ160" s="134"/>
      <c r="AR160" s="93">
        <f t="shared" si="335"/>
        <v>0.29533329653443519</v>
      </c>
      <c r="AS160" s="93">
        <f t="shared" si="336"/>
        <v>0.42769777403282244</v>
      </c>
      <c r="AT160" s="93">
        <f t="shared" si="337"/>
        <v>0.27696892943274232</v>
      </c>
      <c r="AU160" s="93">
        <f t="shared" ref="AU160:AU176" si="340">+(((AR160+AR159)/2)*M160+((AS159+AS160)/2)*X160+((AT159+AT160)/2)*AF160)</f>
        <v>8.2424041928206796E-3</v>
      </c>
      <c r="AV160" s="132">
        <v>100</v>
      </c>
      <c r="AW160" s="134"/>
      <c r="AX160" s="15"/>
      <c r="AY160" s="93"/>
      <c r="AZ160" s="93"/>
      <c r="BA160" s="93"/>
      <c r="BB160" s="234">
        <f>IFERROR(INDEX('Total Customers'!$E$7:$AA$91,MATCH($C160,'Total Customers'!$C$7:$C$91,0),MATCH($G160,'Total Customers'!$E$5:$AA$5,0)),"NA")</f>
        <v>583896</v>
      </c>
      <c r="BC160" s="411">
        <f t="shared" si="283"/>
        <v>-6.1754886551454733E-3</v>
      </c>
      <c r="BD160" s="92"/>
      <c r="BE160" s="281" t="str">
        <f t="shared" si="278"/>
        <v>BOSTON GAS COMPANY</v>
      </c>
      <c r="BF160" s="290">
        <f t="shared" si="279"/>
        <v>4057111</v>
      </c>
      <c r="BG160" s="46" t="str">
        <f t="shared" si="280"/>
        <v>MA</v>
      </c>
      <c r="BH160" s="46"/>
      <c r="BI160" s="46" t="str">
        <f t="shared" si="281"/>
        <v>2005 Y</v>
      </c>
      <c r="BJ160" s="129"/>
      <c r="BK160" s="129"/>
      <c r="BL160" s="129">
        <f>INDEX('Dist. Plant Gas Additions'!$E$7:$AD$91,MATCH($C160,'Dist. Plant Gas Additions'!$C$7:$C$91,0),MATCH(Calculation!$G160,'Dist. Plant Gas Additions'!$E$5:$AD$5,0))</f>
        <v>26478</v>
      </c>
      <c r="BM160" s="129">
        <f>INDEX('Gen. Plant Additions'!$E$7:$AD$91,MATCH($C160,'Gen. Plant Additions'!$C$7:$C$91,0),MATCH(Calculation!$G160,'Gen. Plant Additions'!$E$5:$AD$5,0))</f>
        <v>5230</v>
      </c>
      <c r="BN160" s="393">
        <f t="shared" si="314"/>
        <v>0.94970211842620411</v>
      </c>
      <c r="BO160" s="46">
        <f t="shared" si="308"/>
        <v>4966.9420793690479</v>
      </c>
      <c r="BP160" s="46">
        <f t="shared" si="309"/>
        <v>-263.05792063095214</v>
      </c>
      <c r="BQ160" s="129"/>
      <c r="BR160" s="129"/>
      <c r="BS160" s="129"/>
      <c r="BT160" s="129"/>
      <c r="BU160" s="129"/>
      <c r="BV160" s="129"/>
      <c r="BW160" s="129"/>
      <c r="BX160" s="129"/>
      <c r="BY160" s="129">
        <f>INDEX('Gross Dx Plant'!$D$7:$AC$91,MATCH($C160,'Gross Dx Plant'!$C$7:$C$91,0),MATCH(Calculation!$G160,'Gross Dx Plant'!$D$5:$AC$5,0))</f>
        <v>604002</v>
      </c>
      <c r="BZ160" s="129">
        <f>INDEX('Gross Gen Plant'!$D$7:$AC$91,MATCH($C160,'Gross Gen Plant'!$C$7:$C$91,0),MATCH(Calculation!$G160,'Gross Gen Plant'!$D$5:$AC$5,0))</f>
        <v>31989</v>
      </c>
      <c r="CA160" s="129">
        <f t="shared" si="307"/>
        <v>635991</v>
      </c>
      <c r="CB160" s="129"/>
      <c r="CC160" s="133">
        <v>2005</v>
      </c>
      <c r="CD160" s="129"/>
      <c r="CE160" s="129"/>
      <c r="CF160" s="129"/>
      <c r="CG160" s="137"/>
      <c r="CH160" s="129">
        <f t="shared" si="315"/>
        <v>31708</v>
      </c>
      <c r="CI160" s="46">
        <f t="shared" si="324"/>
        <v>31444.942079369048</v>
      </c>
      <c r="CJ160" s="46">
        <f t="shared" si="316"/>
        <v>67.017471411237423</v>
      </c>
      <c r="CK160" s="443">
        <v>0.9263157894736842</v>
      </c>
      <c r="CL160" s="46">
        <f>+CL153*CK160+CJ154*CK159+CJ155*CK158+CJ156*CK157+CJ157*CK156+CJ158*CK155+CJ159*CK154+CJ160</f>
        <v>3500.4593159573742</v>
      </c>
      <c r="CM160" s="134">
        <f t="shared" si="317"/>
        <v>7.7286920516896913E-3</v>
      </c>
      <c r="CN160" s="135">
        <f t="shared" si="318"/>
        <v>1.1535242675510819E-2</v>
      </c>
      <c r="CO160" s="135">
        <f t="shared" si="327"/>
        <v>1.1240796782219542E-2</v>
      </c>
      <c r="CP160" s="134">
        <f>VLOOKUP($H160,RoR!$E:$F,2,FALSE)</f>
        <v>5.2350000000000001E-2</v>
      </c>
      <c r="CQ160" s="135">
        <v>3.1010403642454332E-2</v>
      </c>
      <c r="CR160" s="135">
        <f t="shared" si="325"/>
        <v>2.1339596357545669E-2</v>
      </c>
      <c r="CS160" s="135">
        <f t="shared" si="328"/>
        <v>1.9661144826314085E-2</v>
      </c>
      <c r="CT160" s="135">
        <f t="shared" si="329"/>
        <v>9.2129610649277341E-2</v>
      </c>
      <c r="CU160" s="139">
        <f t="shared" si="319"/>
        <v>0.84940815000000003</v>
      </c>
      <c r="CV160" s="335">
        <f t="shared" si="320"/>
        <v>0.97959983346802826</v>
      </c>
      <c r="CW160" s="335">
        <f t="shared" si="321"/>
        <v>0.49744508118433622</v>
      </c>
      <c r="CX160" s="335">
        <f t="shared" si="322"/>
        <v>0.87010519444335932</v>
      </c>
      <c r="CY160" s="335">
        <f t="shared" si="323"/>
        <v>0.42399975420741998</v>
      </c>
      <c r="CZ160" s="336">
        <f>INDEX('State Tax Lookup'!$D$7:$Z$91,MATCH(Calculation!$C160,'State Tax Lookup'!$B$7:$B$91,0),MATCH($H160,'State Tax Lookup'!$D$6:$Z$6,0))</f>
        <v>0.40700500000000001</v>
      </c>
      <c r="DA160" s="303">
        <v>0.37</v>
      </c>
      <c r="DB160" s="57">
        <f t="shared" si="326"/>
        <v>13.082113949336376</v>
      </c>
      <c r="DC160" s="56">
        <f t="shared" si="330"/>
        <v>0.11522552758457461</v>
      </c>
      <c r="DD160" s="303">
        <f>VLOOKUP($H160,RoR!$E:$F,2,FALSE)</f>
        <v>5.2350000000000001E-2</v>
      </c>
      <c r="DE160" s="304">
        <f>HLOOKUP($H160,'GDP-PI'!$D$8:$CQ$11,3,FALSE)</f>
        <v>3.1010403642454332E-2</v>
      </c>
      <c r="DF160" s="303">
        <f>VLOOKUP(H160,'HW Dx Data'!$E:$F,2,FALSE)</f>
        <v>469.20514034936258</v>
      </c>
      <c r="DG160" s="89">
        <f ca="1">VLOOKUP(CC160,'ECI - Input Price'!M$13:N$33,2,FALSE)</f>
        <v>99.224999999999994</v>
      </c>
      <c r="DH160" s="89"/>
      <c r="DI160" s="89"/>
      <c r="DJ160" s="56">
        <f t="shared" ca="1" si="338"/>
        <v>5.0378726854569796E-2</v>
      </c>
      <c r="DK160" s="53">
        <f>HLOOKUP(H160,'GDP-PI'!$8:$9,2,FALSE)</f>
        <v>87.406999999999996</v>
      </c>
      <c r="DL160" s="355">
        <f t="shared" si="332"/>
        <v>3.0539295810733648E-2</v>
      </c>
      <c r="DP160" s="398"/>
      <c r="DQ160" s="398"/>
      <c r="DR160" s="398"/>
      <c r="DS160" s="398"/>
      <c r="DT160" s="398"/>
      <c r="DU160" s="398"/>
      <c r="DV160" s="398"/>
      <c r="DW160" s="398"/>
      <c r="DX160" s="398"/>
      <c r="EC160"/>
    </row>
    <row r="161" spans="1:133" s="126" customFormat="1" ht="21" customHeight="1" x14ac:dyDescent="0.4">
      <c r="A161" s="233" t="s">
        <v>192</v>
      </c>
      <c r="B161" s="127" t="s">
        <v>192</v>
      </c>
      <c r="C161" s="127">
        <v>4057111</v>
      </c>
      <c r="D161" s="127" t="s">
        <v>187</v>
      </c>
      <c r="E161" s="127" t="s">
        <v>15</v>
      </c>
      <c r="F161" s="127"/>
      <c r="G161" s="127" t="s">
        <v>162</v>
      </c>
      <c r="H161" s="128">
        <v>2006</v>
      </c>
      <c r="I161" s="129"/>
      <c r="J161" s="125">
        <f>IFERROR(INDEX('Labor Expenditures'!$E$7:$W$91,MATCH($C161,'Labor Expenditures'!$C$7:$C$91,0),MATCH($G161,'Labor Expenditures'!$E$5:$W$5,0)),"NA")</f>
        <v>47097.487617277686</v>
      </c>
      <c r="K161" s="125">
        <f t="shared" ca="1" si="333"/>
        <v>430.50719942666984</v>
      </c>
      <c r="L161" s="47"/>
      <c r="M161" s="131">
        <f t="shared" ref="M161:M176" ca="1" si="341">LN(K161/K160)</f>
        <v>-0.1260118895869341</v>
      </c>
      <c r="N161" s="59"/>
      <c r="O161" s="59"/>
      <c r="P161" s="59">
        <f t="shared" ref="P161:P177" ca="1" si="342">+M161*$AX161</f>
        <v>-2.7506945685833555E-3</v>
      </c>
      <c r="Q161" s="61"/>
      <c r="R161" s="387"/>
      <c r="S161" s="49">
        <f ca="1">+S160*EXP(T161)</f>
        <v>105.03387257144215</v>
      </c>
      <c r="T161" s="61">
        <f ca="1">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</f>
        <v>4.9112708065053218E-2</v>
      </c>
      <c r="U161" s="61"/>
      <c r="V161" s="125">
        <f>IFERROR(INDEX('Non-Labor Expenditures'!$E$7:$AA$91,MATCH($C161,'Non-Labor Expenditures'!$C$7:$C$91,0),MATCH($G161,'Non-Labor Expenditures'!$E$5:$AA$5,0)),"NA")</f>
        <v>68205.95866710681</v>
      </c>
      <c r="W161" s="125">
        <f t="shared" si="334"/>
        <v>757.22138094352215</v>
      </c>
      <c r="X161" s="131">
        <f t="shared" ref="X161:X176" si="343">LN(W161/W160)</f>
        <v>-5.8447181993636507E-2</v>
      </c>
      <c r="Y161" s="131">
        <f t="shared" ref="Y161:Y177" si="344">+X161*AX161</f>
        <v>-1.2758347373878977E-3</v>
      </c>
      <c r="Z161" s="131"/>
      <c r="AA161" s="131"/>
      <c r="AB161" s="131"/>
      <c r="AC161" s="125">
        <f t="shared" si="313"/>
        <v>44338.440209521163</v>
      </c>
      <c r="AD161" s="129"/>
      <c r="AE161" s="133">
        <v>3726.6993623883318</v>
      </c>
      <c r="AF161" s="134">
        <v>3.1199343599289622E-2</v>
      </c>
      <c r="AG161" s="59">
        <f t="shared" si="339"/>
        <v>6.8104577483322115E-4</v>
      </c>
      <c r="AH161" s="134"/>
      <c r="AI161" s="134"/>
      <c r="AJ161" s="129">
        <f t="shared" si="331"/>
        <v>159641.88649390565</v>
      </c>
      <c r="AK161" s="134">
        <f t="shared" ref="AK161:AK177" si="345">LN(AJ161/AJ160)</f>
        <v>-2.7328300768918078E-2</v>
      </c>
      <c r="AL161" s="129"/>
      <c r="AM161" s="129"/>
      <c r="AN161" s="129"/>
      <c r="AO161" s="129"/>
      <c r="AP161" s="133">
        <f t="shared" ref="AP161:AP177" si="346">+(AJ161*1000)/BB161</f>
        <v>274.85272980406501</v>
      </c>
      <c r="AQ161" s="134">
        <f>+BB161/Outputs!$B$14</f>
        <v>1.6747483647525801E-2</v>
      </c>
      <c r="AR161" s="93">
        <f t="shared" si="335"/>
        <v>0.2950196132834827</v>
      </c>
      <c r="AS161" s="93">
        <f t="shared" si="336"/>
        <v>0.42724350209749357</v>
      </c>
      <c r="AT161" s="93">
        <f t="shared" si="337"/>
        <v>0.27773688461902379</v>
      </c>
      <c r="AU161" s="93">
        <f t="shared" ca="1" si="340"/>
        <v>-5.3526968380018226E-2</v>
      </c>
      <c r="AV161" s="132">
        <f ca="1">+AV160*EXP(AU161)</f>
        <v>94.788037786086448</v>
      </c>
      <c r="AW161" s="134">
        <f ca="1">LN(AV161/AV160)</f>
        <v>-5.3526968380018247E-2</v>
      </c>
      <c r="AX161" s="56">
        <f>+AJ161/$AL$11</f>
        <v>2.1828849464920405E-2</v>
      </c>
      <c r="AY161" s="135">
        <f ca="1">+AX161*AW161</f>
        <v>-1.1684321350809727E-3</v>
      </c>
      <c r="AZ161" s="93"/>
      <c r="BA161" s="93"/>
      <c r="BB161" s="234">
        <f>IFERROR(INDEX('Total Customers'!$E$7:$AA$91,MATCH($C161,'Total Customers'!$C$7:$C$91,0),MATCH($G161,'Total Customers'!$E$5:$AA$5,0)),"NA")</f>
        <v>580827</v>
      </c>
      <c r="BC161" s="411">
        <f t="shared" si="283"/>
        <v>-5.2699347445529241E-3</v>
      </c>
      <c r="BD161" s="92"/>
      <c r="BE161" s="281" t="str">
        <f t="shared" si="278"/>
        <v>BOSTON GAS COMPANY</v>
      </c>
      <c r="BF161" s="290">
        <f t="shared" si="279"/>
        <v>4057111</v>
      </c>
      <c r="BG161" s="46" t="str">
        <f t="shared" si="280"/>
        <v>MA</v>
      </c>
      <c r="BH161" s="46"/>
      <c r="BI161" s="46" t="str">
        <f t="shared" si="281"/>
        <v>2006 Y</v>
      </c>
      <c r="BJ161" s="129"/>
      <c r="BK161" s="129"/>
      <c r="BL161" s="129">
        <f>INDEX('Dist. Plant Gas Additions'!$E$7:$AD$91,MATCH($C161,'Dist. Plant Gas Additions'!$C$7:$C$91,0),MATCH(Calculation!$G161,'Dist. Plant Gas Additions'!$E$5:$AD$5,0))</f>
        <v>50191</v>
      </c>
      <c r="BM161" s="129">
        <f>INDEX('Gen. Plant Additions'!$E$7:$AD$91,MATCH($C161,'Gen. Plant Additions'!$C$7:$C$91,0),MATCH(Calculation!$G161,'Gen. Plant Additions'!$E$5:$AD$5,0))</f>
        <v>12865</v>
      </c>
      <c r="BN161" s="393">
        <f t="shared" si="314"/>
        <v>0.93849414771304651</v>
      </c>
      <c r="BO161" s="46">
        <f t="shared" si="308"/>
        <v>12073.727210328343</v>
      </c>
      <c r="BP161" s="46">
        <f t="shared" si="309"/>
        <v>-791.27278967165694</v>
      </c>
      <c r="BQ161" s="129"/>
      <c r="BR161" s="129"/>
      <c r="BS161" s="129"/>
      <c r="BT161" s="129"/>
      <c r="BU161" s="129"/>
      <c r="BV161" s="129"/>
      <c r="BW161" s="129"/>
      <c r="BX161" s="129"/>
      <c r="BY161" s="129">
        <f>INDEX('Gross Dx Plant'!$D$7:$AC$91,MATCH($C161,'Gross Dx Plant'!$C$7:$C$91,0),MATCH(Calculation!$G161,'Gross Dx Plant'!$D$5:$AC$5,0))</f>
        <v>652199</v>
      </c>
      <c r="BZ161" s="129">
        <f>INDEX('Gross Gen Plant'!$D$7:$AC$91,MATCH($C161,'Gross Gen Plant'!$C$7:$C$91,0),MATCH(Calculation!$G161,'Gross Gen Plant'!$D$5:$AC$5,0))</f>
        <v>42743</v>
      </c>
      <c r="CA161" s="129">
        <f t="shared" si="307"/>
        <v>694942</v>
      </c>
      <c r="CB161" s="134"/>
      <c r="CC161" s="133">
        <v>2006</v>
      </c>
      <c r="CD161" s="129"/>
      <c r="CE161" s="129"/>
      <c r="CF161" s="129"/>
      <c r="CG161" s="137"/>
      <c r="CH161" s="129">
        <f t="shared" si="315"/>
        <v>63056</v>
      </c>
      <c r="CI161" s="46">
        <f t="shared" si="324"/>
        <v>62264.727210328347</v>
      </c>
      <c r="CJ161" s="46">
        <f t="shared" si="316"/>
        <v>135.03938832388539</v>
      </c>
      <c r="CK161" s="443">
        <v>0.91489361702127658</v>
      </c>
      <c r="CL161" s="46">
        <f>+CL153*CK161+CJ154*CK160+CJ155*CK159+CJ156*CK158+CJ157*CK157+CJ158*CK156+CJ159*CK155+CJ160*CK154+CJ161</f>
        <v>3593.9237081132037</v>
      </c>
      <c r="CM161" s="134">
        <f t="shared" si="317"/>
        <v>2.6350367550266755E-2</v>
      </c>
      <c r="CN161" s="135">
        <f t="shared" si="318"/>
        <v>1.187701167630487E-2</v>
      </c>
      <c r="CO161" s="135">
        <f t="shared" si="327"/>
        <v>1.1552193716253394E-2</v>
      </c>
      <c r="CP161" s="134">
        <f>VLOOKUP($H161,RoR!$E:$F,2,FALSE)</f>
        <v>5.5874999999999994E-2</v>
      </c>
      <c r="CQ161" s="135">
        <v>3.0512430354548314E-2</v>
      </c>
      <c r="CR161" s="135">
        <f t="shared" si="325"/>
        <v>2.536256964545168E-2</v>
      </c>
      <c r="CS161" s="135">
        <f t="shared" si="328"/>
        <v>1.9349747892280229E-2</v>
      </c>
      <c r="CT161" s="135">
        <f t="shared" si="329"/>
        <v>7.9087823893859641E-2</v>
      </c>
      <c r="CU161" s="139">
        <f t="shared" si="319"/>
        <v>0.84940815000000003</v>
      </c>
      <c r="CV161" s="335">
        <f t="shared" si="320"/>
        <v>0.91779957551769631</v>
      </c>
      <c r="CW161" s="335">
        <f t="shared" si="321"/>
        <v>0.52757270693512304</v>
      </c>
      <c r="CX161" s="335">
        <f t="shared" si="322"/>
        <v>0.88636824549024895</v>
      </c>
      <c r="CY161" s="335">
        <f t="shared" si="323"/>
        <v>0.42918482841932087</v>
      </c>
      <c r="CZ161" s="336">
        <f>INDEX('State Tax Lookup'!$D$7:$Z$91,MATCH(Calculation!$C161,'State Tax Lookup'!$B$7:$B$91,0),MATCH($H161,'State Tax Lookup'!$D$6:$Z$6,0))</f>
        <v>0.40700500000000001</v>
      </c>
      <c r="DA161" s="303">
        <v>0.37</v>
      </c>
      <c r="DB161" s="57">
        <f t="shared" si="326"/>
        <v>12.666463514487274</v>
      </c>
      <c r="DC161" s="56">
        <f t="shared" si="330"/>
        <v>-3.2288117292477506E-2</v>
      </c>
      <c r="DD161" s="303">
        <f>VLOOKUP($H161,RoR!$E:$F,2,FALSE)</f>
        <v>5.5874999999999994E-2</v>
      </c>
      <c r="DE161" s="304">
        <f>HLOOKUP($H161,'GDP-PI'!$D$8:$CQ$11,3,FALSE)</f>
        <v>3.0512430354548314E-2</v>
      </c>
      <c r="DF161" s="303">
        <f>VLOOKUP(H161,'HW Dx Data'!$E:$F,2,FALSE)</f>
        <v>461.08567272971823</v>
      </c>
      <c r="DG161" s="89">
        <f ca="1">VLOOKUP(CC161,'ECI - Input Price'!M$13:N$33,2,FALSE)</f>
        <v>109.4</v>
      </c>
      <c r="DH161" s="89"/>
      <c r="DI161" s="89"/>
      <c r="DJ161" s="56">
        <f t="shared" ca="1" si="338"/>
        <v>9.7620891318751846E-2</v>
      </c>
      <c r="DK161" s="53">
        <f>HLOOKUP(H161,'GDP-PI'!$8:$9,2,FALSE)</f>
        <v>90.073999999999998</v>
      </c>
      <c r="DL161" s="355">
        <f t="shared" si="332"/>
        <v>3.005618372545445E-2</v>
      </c>
      <c r="DP161" s="398"/>
      <c r="DQ161" s="398"/>
      <c r="DR161" s="398"/>
      <c r="DS161" s="398"/>
      <c r="DT161" s="398"/>
      <c r="DU161" s="398"/>
      <c r="DV161" s="398"/>
      <c r="DW161" s="398"/>
      <c r="DX161" s="398"/>
      <c r="EC161"/>
    </row>
    <row r="162" spans="1:133" s="126" customFormat="1" ht="21" customHeight="1" x14ac:dyDescent="0.4">
      <c r="A162" s="233" t="s">
        <v>192</v>
      </c>
      <c r="B162" s="127" t="s">
        <v>192</v>
      </c>
      <c r="C162" s="127">
        <v>4057111</v>
      </c>
      <c r="D162" s="127" t="s">
        <v>187</v>
      </c>
      <c r="E162" s="127" t="s">
        <v>15</v>
      </c>
      <c r="F162" s="127"/>
      <c r="G162" s="127" t="s">
        <v>163</v>
      </c>
      <c r="H162" s="128">
        <v>2007</v>
      </c>
      <c r="I162" s="129"/>
      <c r="J162" s="125">
        <f>IFERROR(INDEX('Labor Expenditures'!$E$7:$W$91,MATCH($C162,'Labor Expenditures'!$C$7:$C$91,0),MATCH($G162,'Labor Expenditures'!$E$5:$W$5,0)),"NA")</f>
        <v>51194.205229452702</v>
      </c>
      <c r="K162" s="125">
        <f t="shared" ca="1" si="333"/>
        <v>489.77952862427844</v>
      </c>
      <c r="L162" s="47"/>
      <c r="M162" s="131">
        <f t="shared" ca="1" si="341"/>
        <v>0.12899130113263016</v>
      </c>
      <c r="N162" s="59"/>
      <c r="O162" s="59"/>
      <c r="P162" s="59">
        <f t="shared" ca="1" si="342"/>
        <v>2.9247482797725498E-3</v>
      </c>
      <c r="Q162" s="61"/>
      <c r="R162" s="387"/>
      <c r="S162" s="49">
        <f t="shared" ref="S162:S175" ca="1" si="347">+S161*EXP(T162)</f>
        <v>116.90288915880681</v>
      </c>
      <c r="T162" s="61">
        <f ca="1">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</f>
        <v>0.10706068890823933</v>
      </c>
      <c r="U162" s="61"/>
      <c r="V162" s="125">
        <f>IFERROR(INDEX('Non-Labor Expenditures'!$E$7:$AA$91,MATCH($C162,'Non-Labor Expenditures'!$C$7:$C$91,0),MATCH($G162,'Non-Labor Expenditures'!$E$5:$AA$5,0)),"NA")</f>
        <v>74138.770930840226</v>
      </c>
      <c r="W162" s="125">
        <f t="shared" si="334"/>
        <v>801.5175563886811</v>
      </c>
      <c r="X162" s="131">
        <f t="shared" si="343"/>
        <v>5.6851220437339929E-2</v>
      </c>
      <c r="Y162" s="131">
        <f t="shared" si="344"/>
        <v>1.2890443597131703E-3</v>
      </c>
      <c r="Z162" s="131"/>
      <c r="AA162" s="131"/>
      <c r="AB162" s="131"/>
      <c r="AC162" s="125">
        <f t="shared" si="313"/>
        <v>48471.492398151131</v>
      </c>
      <c r="AD162" s="129"/>
      <c r="AE162" s="133">
        <v>3804.3092696265567</v>
      </c>
      <c r="AF162" s="134">
        <v>2.061149007222203E-2</v>
      </c>
      <c r="AG162" s="59">
        <f t="shared" si="339"/>
        <v>4.6734484886152395E-4</v>
      </c>
      <c r="AH162" s="134"/>
      <c r="AI162" s="134"/>
      <c r="AJ162" s="129">
        <f t="shared" si="331"/>
        <v>173804.46855844406</v>
      </c>
      <c r="AK162" s="134">
        <f t="shared" si="345"/>
        <v>8.4997826137658702E-2</v>
      </c>
      <c r="AL162" s="129"/>
      <c r="AM162" s="129"/>
      <c r="AN162" s="129"/>
      <c r="AO162" s="129"/>
      <c r="AP162" s="133">
        <f t="shared" si="346"/>
        <v>295.07146311012951</v>
      </c>
      <c r="AQ162" s="134">
        <f>+BB162/Outputs!$B$15</f>
        <v>1.6855990901470785E-2</v>
      </c>
      <c r="AR162" s="93">
        <f t="shared" si="335"/>
        <v>0.29455056969515125</v>
      </c>
      <c r="AS162" s="93">
        <f t="shared" si="336"/>
        <v>0.42656423937633159</v>
      </c>
      <c r="AT162" s="93">
        <f t="shared" si="337"/>
        <v>0.27888519092851716</v>
      </c>
      <c r="AU162" s="93">
        <f t="shared" ca="1" si="340"/>
        <v>6.803112375859019E-2</v>
      </c>
      <c r="AV162" s="132">
        <f ca="1">+AV161*EXP(AU162)</f>
        <v>101.46098510306727</v>
      </c>
      <c r="AW162" s="134">
        <f ca="1">LN(AV162/AV161)</f>
        <v>6.8031123758590106E-2</v>
      </c>
      <c r="AX162" s="56">
        <f>+AJ162/$AL$12</f>
        <v>2.2673996262471172E-2</v>
      </c>
      <c r="AY162" s="135">
        <f t="shared" ref="AY162:AY176" ca="1" si="348">+AX162*AW162</f>
        <v>1.5425374458339857E-3</v>
      </c>
      <c r="AZ162" s="93"/>
      <c r="BA162" s="93"/>
      <c r="BB162" s="234">
        <f>IFERROR(INDEX('Total Customers'!$E$7:$AA$91,MATCH($C162,'Total Customers'!$C$7:$C$91,0),MATCH($G162,'Total Customers'!$E$5:$AA$5,0)),"NA")</f>
        <v>589025</v>
      </c>
      <c r="BC162" s="411">
        <f t="shared" si="283"/>
        <v>1.401567753918552E-2</v>
      </c>
      <c r="BD162" s="92"/>
      <c r="BE162" s="281" t="str">
        <f t="shared" si="278"/>
        <v>BOSTON GAS COMPANY</v>
      </c>
      <c r="BF162" s="290">
        <f t="shared" si="279"/>
        <v>4057111</v>
      </c>
      <c r="BG162" s="46" t="str">
        <f t="shared" si="280"/>
        <v>MA</v>
      </c>
      <c r="BH162" s="46"/>
      <c r="BI162" s="46" t="str">
        <f t="shared" si="281"/>
        <v>2007 Y</v>
      </c>
      <c r="BJ162" s="129"/>
      <c r="BK162" s="129"/>
      <c r="BL162" s="129">
        <f>INDEX('Dist. Plant Gas Additions'!$E$7:$AD$91,MATCH($C162,'Dist. Plant Gas Additions'!$C$7:$C$91,0),MATCH(Calculation!$G162,'Dist. Plant Gas Additions'!$E$5:$AD$5,0))</f>
        <v>48309</v>
      </c>
      <c r="BM162" s="129">
        <f>INDEX('Gen. Plant Additions'!$E$7:$AD$91,MATCH($C162,'Gen. Plant Additions'!$C$7:$C$91,0),MATCH(Calculation!$G162,'Gen. Plant Additions'!$E$5:$AD$5,0))</f>
        <v>2147</v>
      </c>
      <c r="BN162" s="393">
        <f t="shared" si="314"/>
        <v>0.94660397314760014</v>
      </c>
      <c r="BO162" s="46">
        <f>+BN162*BM162</f>
        <v>2032.3587303478976</v>
      </c>
      <c r="BP162" s="46">
        <f>+BO162-BM162</f>
        <v>-114.64126965210244</v>
      </c>
      <c r="BQ162" s="129"/>
      <c r="BR162" s="129"/>
      <c r="BS162" s="129"/>
      <c r="BT162" s="129"/>
      <c r="BU162" s="129"/>
      <c r="BV162" s="129"/>
      <c r="BW162" s="129"/>
      <c r="BX162" s="129"/>
      <c r="BY162" s="129">
        <f>INDEX('Gross Dx Plant'!$D$7:$AC$91,MATCH($C162,'Gross Dx Plant'!$C$7:$C$91,0),MATCH(Calculation!$G162,'Gross Dx Plant'!$D$5:$AC$5,0))</f>
        <v>698979</v>
      </c>
      <c r="BZ162" s="129">
        <f>INDEX('Gross Gen Plant'!$D$7:$AC$91,MATCH($C162,'Gross Gen Plant'!$C$7:$C$91,0),MATCH(Calculation!$G162,'Gross Gen Plant'!$D$5:$AC$5,0))</f>
        <v>39428</v>
      </c>
      <c r="CA162" s="129">
        <f t="shared" si="307"/>
        <v>738407</v>
      </c>
      <c r="CB162" s="129"/>
      <c r="CC162" s="133">
        <v>2007</v>
      </c>
      <c r="CD162" s="129"/>
      <c r="CE162" s="129"/>
      <c r="CF162" s="129"/>
      <c r="CG162" s="137"/>
      <c r="CH162" s="129">
        <f t="shared" si="315"/>
        <v>50456</v>
      </c>
      <c r="CI162" s="46">
        <f t="shared" si="324"/>
        <v>50341.3587303479</v>
      </c>
      <c r="CJ162" s="46">
        <f t="shared" si="316"/>
        <v>101.08253619540095</v>
      </c>
      <c r="CK162" s="443">
        <v>0.90322580645161288</v>
      </c>
      <c r="CL162" s="46">
        <f>+CL153*CK162+CJ154*CK161+CJ155*CK160+CJ156*CK159+CJ157*CK158+CJ158*CK157+CJ159*CK156+CJ160*CK155+CJ161*CK154+CJ162</f>
        <v>3651.2103335831011</v>
      </c>
      <c r="CM162" s="134">
        <f t="shared" si="317"/>
        <v>1.5814150303800456E-2</v>
      </c>
      <c r="CN162" s="135">
        <f t="shared" si="318"/>
        <v>1.2186099172510312E-2</v>
      </c>
      <c r="CO162" s="135">
        <f t="shared" si="327"/>
        <v>1.1866117841442E-2</v>
      </c>
      <c r="CP162" s="134">
        <f>VLOOKUP($H162,RoR!$E:$F,2,FALSE)</f>
        <v>5.5558333333333321E-2</v>
      </c>
      <c r="CQ162" s="135">
        <v>2.691120634145272E-2</v>
      </c>
      <c r="CR162" s="135">
        <f t="shared" si="325"/>
        <v>2.86471269918806E-2</v>
      </c>
      <c r="CS162" s="135">
        <f t="shared" si="328"/>
        <v>1.9035823767091627E-2</v>
      </c>
      <c r="CT162" s="135">
        <f t="shared" si="329"/>
        <v>6.4575155250632399E-2</v>
      </c>
      <c r="CU162" s="139">
        <f t="shared" si="319"/>
        <v>0.84940815000000003</v>
      </c>
      <c r="CV162" s="335">
        <f t="shared" si="320"/>
        <v>0.92303077153834634</v>
      </c>
      <c r="CW162" s="335">
        <f t="shared" si="321"/>
        <v>0.52502249887505614</v>
      </c>
      <c r="CX162" s="335">
        <f t="shared" si="322"/>
        <v>0.88499666072084604</v>
      </c>
      <c r="CY162" s="335">
        <f t="shared" si="323"/>
        <v>0.42887993290280618</v>
      </c>
      <c r="CZ162" s="336">
        <f>INDEX('State Tax Lookup'!$D$7:$Z$91,MATCH(Calculation!$C162,'State Tax Lookup'!$B$7:$B$91,0),MATCH($H162,'State Tax Lookup'!$D$6:$Z$6,0))</f>
        <v>0.40700500000000001</v>
      </c>
      <c r="DA162" s="303">
        <v>0.37</v>
      </c>
      <c r="DB162" s="57">
        <f t="shared" si="326"/>
        <v>13.487067710627191</v>
      </c>
      <c r="DC162" s="56">
        <f t="shared" si="330"/>
        <v>6.2773446358918045E-2</v>
      </c>
      <c r="DD162" s="303">
        <f>VLOOKUP($H162,RoR!$E:$F,2,FALSE)</f>
        <v>5.5558333333333321E-2</v>
      </c>
      <c r="DE162" s="304">
        <f>HLOOKUP($H162,'GDP-PI'!$D$8:$CQ$11,3,FALSE)</f>
        <v>2.691120634145272E-2</v>
      </c>
      <c r="DF162" s="303">
        <f>VLOOKUP(H162,'HW Dx Data'!$E:$F,2,FALSE)</f>
        <v>498.0223154772637</v>
      </c>
      <c r="DG162" s="89">
        <f ca="1">VLOOKUP(CC162,'ECI - Input Price'!M$13:N$33,2,FALSE)</f>
        <v>104.52499999999999</v>
      </c>
      <c r="DH162" s="89"/>
      <c r="DI162" s="89"/>
      <c r="DJ162" s="56">
        <f t="shared" ca="1" si="338"/>
        <v>-4.5584612745252218E-2</v>
      </c>
      <c r="DK162" s="53">
        <f>HLOOKUP(H162,'GDP-PI'!$8:$9,2,FALSE)</f>
        <v>92.498000000000005</v>
      </c>
      <c r="DL162" s="355">
        <f t="shared" si="332"/>
        <v>2.6555467950038037E-2</v>
      </c>
      <c r="DP162" s="398"/>
      <c r="DQ162" s="398"/>
      <c r="DR162" s="398"/>
      <c r="DS162" s="398"/>
      <c r="DT162" s="398"/>
      <c r="DU162" s="398"/>
      <c r="DV162" s="398"/>
      <c r="DW162" s="398"/>
      <c r="DX162" s="398"/>
      <c r="EC162"/>
    </row>
    <row r="163" spans="1:133" s="126" customFormat="1" ht="21" customHeight="1" x14ac:dyDescent="0.4">
      <c r="A163" s="233" t="s">
        <v>192</v>
      </c>
      <c r="B163" s="127" t="s">
        <v>192</v>
      </c>
      <c r="C163" s="127">
        <v>4057111</v>
      </c>
      <c r="D163" s="127" t="s">
        <v>187</v>
      </c>
      <c r="E163" s="127" t="s">
        <v>15</v>
      </c>
      <c r="F163" s="127"/>
      <c r="G163" s="127" t="s">
        <v>164</v>
      </c>
      <c r="H163" s="128">
        <v>2008</v>
      </c>
      <c r="I163" s="129"/>
      <c r="J163" s="125">
        <f>IFERROR(INDEX('Labor Expenditures'!$E$7:$W$91,MATCH($C163,'Labor Expenditures'!$C$7:$C$91,0),MATCH($G163,'Labor Expenditures'!$E$5:$W$5,0)),"NA")</f>
        <v>61066.144356486991</v>
      </c>
      <c r="K163" s="125">
        <f t="shared" ca="1" si="333"/>
        <v>565.95129153370704</v>
      </c>
      <c r="L163" s="47"/>
      <c r="M163" s="131">
        <f t="shared" ca="1" si="341"/>
        <v>0.14455266887161461</v>
      </c>
      <c r="N163" s="59"/>
      <c r="O163" s="59"/>
      <c r="P163" s="59">
        <f t="shared" ca="1" si="342"/>
        <v>3.6611568584655123E-3</v>
      </c>
      <c r="Q163" s="61"/>
      <c r="R163" s="387"/>
      <c r="S163" s="49">
        <f t="shared" ca="1" si="347"/>
        <v>109.84941603376936</v>
      </c>
      <c r="T163" s="61">
        <f ca="1">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</f>
        <v>-6.2233100177945831E-2</v>
      </c>
      <c r="U163" s="61"/>
      <c r="V163" s="125">
        <f>IFERROR(INDEX('Non-Labor Expenditures'!$E$7:$AA$91,MATCH($C163,'Non-Labor Expenditures'!$C$7:$C$91,0),MATCH($G163,'Non-Labor Expenditures'!$E$5:$AA$5,0)),"NA")</f>
        <v>88435.182610678661</v>
      </c>
      <c r="W163" s="125">
        <f t="shared" si="334"/>
        <v>938.16496871211348</v>
      </c>
      <c r="X163" s="131">
        <f t="shared" si="343"/>
        <v>0.15741893014504249</v>
      </c>
      <c r="Y163" s="131">
        <f t="shared" si="344"/>
        <v>3.9870270141100037E-3</v>
      </c>
      <c r="Z163" s="131"/>
      <c r="AA163" s="131"/>
      <c r="AB163" s="131"/>
      <c r="AC163" s="125">
        <f t="shared" si="313"/>
        <v>55390.379928867507</v>
      </c>
      <c r="AD163" s="129"/>
      <c r="AE163" s="133">
        <v>3917.651439884808</v>
      </c>
      <c r="AF163" s="134">
        <v>2.9357909236375216E-2</v>
      </c>
      <c r="AG163" s="59">
        <f t="shared" si="339"/>
        <v>7.4356227103925465E-4</v>
      </c>
      <c r="AH163" s="134"/>
      <c r="AI163" s="134"/>
      <c r="AJ163" s="129">
        <f t="shared" si="331"/>
        <v>204891.70689603317</v>
      </c>
      <c r="AK163" s="134">
        <f t="shared" si="345"/>
        <v>0.16455065709277622</v>
      </c>
      <c r="AL163" s="129"/>
      <c r="AM163" s="129"/>
      <c r="AN163" s="129"/>
      <c r="AO163" s="129"/>
      <c r="AP163" s="133">
        <f t="shared" si="346"/>
        <v>344.31877394033779</v>
      </c>
      <c r="AQ163" s="134">
        <f>+BB163/Outputs!$B$16</f>
        <v>1.693776172965418E-2</v>
      </c>
      <c r="AR163" s="93">
        <f t="shared" si="335"/>
        <v>0.29804107389994744</v>
      </c>
      <c r="AS163" s="93">
        <f t="shared" si="336"/>
        <v>0.43161914140113411</v>
      </c>
      <c r="AT163" s="93">
        <f t="shared" si="337"/>
        <v>0.27033978469891845</v>
      </c>
      <c r="AU163" s="93">
        <f t="shared" ca="1" si="340"/>
        <v>0.11843955514387654</v>
      </c>
      <c r="AV163" s="132">
        <f t="shared" ref="AV163:AV176" ca="1" si="349">+AV162*EXP(AU163)</f>
        <v>114.21857034848335</v>
      </c>
      <c r="AW163" s="134">
        <f t="shared" ref="AW163:AW176" ca="1" si="350">LN(AV163/AV162)</f>
        <v>0.11843955514387652</v>
      </c>
      <c r="AX163" s="56">
        <f>+AJ163/$AL$13</f>
        <v>2.5327494034144693E-2</v>
      </c>
      <c r="AY163" s="135">
        <f t="shared" ca="1" si="348"/>
        <v>2.999777126313284E-3</v>
      </c>
      <c r="AZ163" s="93"/>
      <c r="BA163" s="93"/>
      <c r="BB163" s="234">
        <f>IFERROR(INDEX('Total Customers'!$E$7:$AA$91,MATCH($C163,'Total Customers'!$C$7:$C$91,0),MATCH($G163,'Total Customers'!$E$5:$AA$5,0)),"NA")</f>
        <v>595064</v>
      </c>
      <c r="BC163" s="411">
        <f t="shared" si="283"/>
        <v>1.0200335213790006E-2</v>
      </c>
      <c r="BD163" s="92"/>
      <c r="BE163" s="281" t="str">
        <f t="shared" si="278"/>
        <v>BOSTON GAS COMPANY</v>
      </c>
      <c r="BF163" s="290">
        <f t="shared" si="279"/>
        <v>4057111</v>
      </c>
      <c r="BG163" s="46" t="str">
        <f t="shared" si="280"/>
        <v>MA</v>
      </c>
      <c r="BH163" s="46"/>
      <c r="BI163" s="46" t="str">
        <f t="shared" si="281"/>
        <v>2008 Y</v>
      </c>
      <c r="BJ163" s="129"/>
      <c r="BK163" s="129"/>
      <c r="BL163" s="129">
        <f>INDEX('Dist. Plant Gas Additions'!$E$7:$AD$91,MATCH($C163,'Dist. Plant Gas Additions'!$C$7:$C$91,0),MATCH(Calculation!$G163,'Dist. Plant Gas Additions'!$E$5:$AD$5,0))</f>
        <v>71787</v>
      </c>
      <c r="BM163" s="129">
        <f>INDEX('Gen. Plant Additions'!$E$7:$AD$91,MATCH($C163,'Gen. Plant Additions'!$C$7:$C$91,0),MATCH(Calculation!$G163,'Gen. Plant Additions'!$E$5:$AD$5,0))</f>
        <v>7056</v>
      </c>
      <c r="BN163" s="393">
        <f t="shared" si="314"/>
        <v>0.94364348836183443</v>
      </c>
      <c r="BO163" s="46">
        <f t="shared" ref="BO163:BO181" si="351">+BN163*BM163</f>
        <v>6658.3484538811035</v>
      </c>
      <c r="BP163" s="46">
        <f t="shared" ref="BP163:BP181" si="352">+BO163-BM163</f>
        <v>-397.65154611889648</v>
      </c>
      <c r="BQ163" s="129"/>
      <c r="BR163" s="129"/>
      <c r="BS163" s="129"/>
      <c r="BT163" s="129"/>
      <c r="BU163" s="129"/>
      <c r="BV163" s="129"/>
      <c r="BW163" s="129"/>
      <c r="BX163" s="129"/>
      <c r="BY163" s="129">
        <f>INDEX('Gross Dx Plant'!$D$7:$AC$91,MATCH($C163,'Gross Dx Plant'!$C$7:$C$91,0),MATCH(Calculation!$G163,'Gross Dx Plant'!$D$5:$AC$5,0))</f>
        <v>770115</v>
      </c>
      <c r="BZ163" s="129">
        <f>INDEX('Gross Gen Plant'!$D$7:$AC$91,MATCH($C163,'Gross Gen Plant'!$C$7:$C$91,0),MATCH(Calculation!$G163,'Gross Gen Plant'!$D$5:$AC$5,0))</f>
        <v>45993</v>
      </c>
      <c r="CA163" s="129">
        <f t="shared" si="307"/>
        <v>816108</v>
      </c>
      <c r="CB163" s="129"/>
      <c r="CC163" s="133">
        <v>2008</v>
      </c>
      <c r="CD163" s="129"/>
      <c r="CE163" s="129"/>
      <c r="CF163" s="129"/>
      <c r="CG163" s="137"/>
      <c r="CH163" s="129">
        <f t="shared" si="315"/>
        <v>78843</v>
      </c>
      <c r="CI163" s="46">
        <f t="shared" si="324"/>
        <v>78445.348453881103</v>
      </c>
      <c r="CJ163" s="46">
        <f t="shared" si="316"/>
        <v>137.65210713178567</v>
      </c>
      <c r="CK163" s="443">
        <v>0.89130434782608692</v>
      </c>
      <c r="CL163" s="46">
        <f>+CL153*CK163+CJ154*CK162+CJ155*CK161+CJ156*CK160+CJ157*CK159+CJ158*CK158+CJ159*CK157+CJ160*CK156+CJ161*CK155+CJ162*CK154+CJ163</f>
        <v>3743.1265799051466</v>
      </c>
      <c r="CM163" s="134">
        <f t="shared" si="317"/>
        <v>2.4862535248556982E-2</v>
      </c>
      <c r="CN163" s="135">
        <f t="shared" si="318"/>
        <v>1.2526219152337214E-2</v>
      </c>
      <c r="CO163" s="135">
        <f t="shared" si="327"/>
        <v>1.2196443333717466E-2</v>
      </c>
      <c r="CP163" s="134">
        <f>VLOOKUP($H163,RoR!$E:$F,2,FALSE)</f>
        <v>5.6316666666666668E-2</v>
      </c>
      <c r="CQ163" s="135">
        <v>1.9092304698479889E-2</v>
      </c>
      <c r="CR163" s="135">
        <f t="shared" si="325"/>
        <v>3.7224361968186778E-2</v>
      </c>
      <c r="CS163" s="135">
        <f t="shared" si="328"/>
        <v>1.8705498274816157E-2</v>
      </c>
      <c r="CT163" s="135">
        <f t="shared" si="329"/>
        <v>6.9030581091053131E-2</v>
      </c>
      <c r="CU163" s="139">
        <f t="shared" si="319"/>
        <v>0.84940815000000003</v>
      </c>
      <c r="CV163" s="335">
        <f t="shared" si="320"/>
        <v>0.91060168006009956</v>
      </c>
      <c r="CW163" s="335">
        <f t="shared" si="321"/>
        <v>0.53108168097070152</v>
      </c>
      <c r="CX163" s="335">
        <f t="shared" si="322"/>
        <v>0.88825329850328805</v>
      </c>
      <c r="CY163" s="335">
        <f t="shared" si="323"/>
        <v>0.4295627335323573</v>
      </c>
      <c r="CZ163" s="336">
        <f>INDEX('State Tax Lookup'!$D$7:$Z$91,MATCH(Calculation!$C163,'State Tax Lookup'!$B$7:$B$91,0),MATCH($H163,'State Tax Lookup'!$D$6:$Z$6,0))</f>
        <v>0.40700500000000001</v>
      </c>
      <c r="DA163" s="303">
        <v>0.37</v>
      </c>
      <c r="DB163" s="57">
        <f t="shared" si="326"/>
        <v>15.17041607255487</v>
      </c>
      <c r="DC163" s="56">
        <f t="shared" si="330"/>
        <v>0.11761594135297394</v>
      </c>
      <c r="DD163" s="303">
        <f>VLOOKUP($H163,RoR!$E:$F,2,FALSE)</f>
        <v>5.6316666666666668E-2</v>
      </c>
      <c r="DE163" s="304">
        <f>HLOOKUP($H163,'GDP-PI'!$D$8:$CQ$11,3,FALSE)</f>
        <v>1.9092304698479889E-2</v>
      </c>
      <c r="DF163" s="303">
        <f>VLOOKUP(H163,'HW Dx Data'!$E:$F,2,FALSE)</f>
        <v>569.88120333515076</v>
      </c>
      <c r="DG163" s="89">
        <f ca="1">VLOOKUP(CC163,'ECI - Input Price'!M$13:N$33,2,FALSE)</f>
        <v>107.9</v>
      </c>
      <c r="DH163" s="89"/>
      <c r="DI163" s="89"/>
      <c r="DJ163" s="56">
        <f t="shared" ca="1" si="338"/>
        <v>3.1778595021460486E-2</v>
      </c>
      <c r="DK163" s="53">
        <f>HLOOKUP(H163,'GDP-PI'!$8:$9,2,FALSE)</f>
        <v>94.263999999999996</v>
      </c>
      <c r="DL163" s="355">
        <f t="shared" si="332"/>
        <v>1.8912333748032254E-2</v>
      </c>
      <c r="DP163" s="398"/>
      <c r="DQ163" s="398"/>
      <c r="DR163" s="398"/>
      <c r="DS163" s="398"/>
      <c r="DT163" s="398"/>
      <c r="DU163" s="398"/>
      <c r="DV163" s="398"/>
      <c r="DW163" s="398"/>
      <c r="DX163" s="398"/>
      <c r="EC163"/>
    </row>
    <row r="164" spans="1:133" s="126" customFormat="1" ht="21" customHeight="1" x14ac:dyDescent="0.4">
      <c r="A164" s="233" t="s">
        <v>192</v>
      </c>
      <c r="B164" s="127" t="s">
        <v>192</v>
      </c>
      <c r="C164" s="127">
        <v>4057111</v>
      </c>
      <c r="D164" s="127" t="s">
        <v>187</v>
      </c>
      <c r="E164" s="127" t="s">
        <v>15</v>
      </c>
      <c r="F164" s="127"/>
      <c r="G164" s="127" t="s">
        <v>165</v>
      </c>
      <c r="H164" s="128">
        <v>2009</v>
      </c>
      <c r="I164" s="129"/>
      <c r="J164" s="125">
        <f>IFERROR(INDEX('Labor Expenditures'!$E$7:$W$91,MATCH($C164,'Labor Expenditures'!$C$7:$C$91,0),MATCH($G164,'Labor Expenditures'!$E$5:$W$5,0)),"NA")</f>
        <v>62815.012135447134</v>
      </c>
      <c r="K164" s="125">
        <f t="shared" ca="1" si="333"/>
        <v>566.28363430648756</v>
      </c>
      <c r="L164" s="47"/>
      <c r="M164" s="131">
        <f t="shared" ca="1" si="341"/>
        <v>5.8705622789119775E-4</v>
      </c>
      <c r="N164" s="59"/>
      <c r="O164" s="59"/>
      <c r="P164" s="59">
        <f t="shared" ca="1" si="342"/>
        <v>1.4420996255318704E-5</v>
      </c>
      <c r="Q164" s="61"/>
      <c r="R164" s="387"/>
      <c r="S164" s="49">
        <f t="shared" ca="1" si="347"/>
        <v>118.44014964991831</v>
      </c>
      <c r="T164" s="61">
        <f ca="1">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</f>
        <v>7.5297283957414196E-2</v>
      </c>
      <c r="U164" s="61"/>
      <c r="V164" s="125">
        <f>IFERROR(INDEX('Non-Labor Expenditures'!$E$7:$AA$91,MATCH($C164,'Non-Labor Expenditures'!$C$7:$C$91,0),MATCH($G164,'Non-Labor Expenditures'!$E$5:$AA$5,0)),"NA")</f>
        <v>90967.869798057029</v>
      </c>
      <c r="W164" s="125">
        <f t="shared" si="334"/>
        <v>957.56660383853546</v>
      </c>
      <c r="X164" s="131">
        <f t="shared" si="343"/>
        <v>2.0469472410465785E-2</v>
      </c>
      <c r="Y164" s="131">
        <f t="shared" si="344"/>
        <v>5.0283119564210768E-4</v>
      </c>
      <c r="Z164" s="131"/>
      <c r="AA164" s="131"/>
      <c r="AB164" s="131"/>
      <c r="AC164" s="125">
        <f t="shared" si="313"/>
        <v>53958.424799357039</v>
      </c>
      <c r="AD164" s="129"/>
      <c r="AE164" s="133">
        <v>4091.4353268694053</v>
      </c>
      <c r="AF164" s="134">
        <v>4.3403492377666955E-2</v>
      </c>
      <c r="AG164" s="59">
        <f t="shared" si="339"/>
        <v>1.0662038341616817E-3</v>
      </c>
      <c r="AH164" s="134"/>
      <c r="AI164" s="134"/>
      <c r="AJ164" s="129">
        <f t="shared" si="331"/>
        <v>207741.30673286121</v>
      </c>
      <c r="AK164" s="134">
        <f t="shared" si="345"/>
        <v>1.3812007495496274E-2</v>
      </c>
      <c r="AL164" s="129"/>
      <c r="AM164" s="129"/>
      <c r="AN164" s="129"/>
      <c r="AO164" s="129"/>
      <c r="AP164" s="133">
        <f t="shared" si="346"/>
        <v>332.09809530433006</v>
      </c>
      <c r="AQ164" s="134">
        <f>+BB164/Outputs!$B$17</f>
        <v>1.7782582653608599E-2</v>
      </c>
      <c r="AR164" s="93">
        <f t="shared" si="335"/>
        <v>0.30237131518683591</v>
      </c>
      <c r="AS164" s="93">
        <f t="shared" si="336"/>
        <v>0.43789013956205863</v>
      </c>
      <c r="AT164" s="93">
        <f t="shared" si="337"/>
        <v>0.2597385452511054</v>
      </c>
      <c r="AU164" s="93">
        <f t="shared" ca="1" si="340"/>
        <v>2.0579061411594365E-2</v>
      </c>
      <c r="AV164" s="132">
        <f t="shared" ca="1" si="349"/>
        <v>116.593433739964</v>
      </c>
      <c r="AW164" s="134">
        <f t="shared" ca="1" si="350"/>
        <v>2.0579061411594282E-2</v>
      </c>
      <c r="AX164" s="56">
        <f>+AJ164/$AL$14</f>
        <v>2.4564931892676257E-2</v>
      </c>
      <c r="AY164" s="135">
        <f t="shared" ca="1" si="348"/>
        <v>5.0552324199101568E-4</v>
      </c>
      <c r="AZ164" s="93"/>
      <c r="BA164" s="93"/>
      <c r="BB164" s="234">
        <f>IFERROR(INDEX('Total Customers'!$E$7:$AA$91,MATCH($C164,'Total Customers'!$C$7:$C$91,0),MATCH($G164,'Total Customers'!$E$5:$AA$5,0)),"NA")</f>
        <v>625542</v>
      </c>
      <c r="BC164" s="411">
        <f t="shared" si="283"/>
        <v>4.9949511149376291E-2</v>
      </c>
      <c r="BD164" s="92"/>
      <c r="BE164" s="281" t="str">
        <f t="shared" si="278"/>
        <v>BOSTON GAS COMPANY</v>
      </c>
      <c r="BF164" s="290">
        <f t="shared" si="279"/>
        <v>4057111</v>
      </c>
      <c r="BG164" s="46" t="str">
        <f t="shared" si="280"/>
        <v>MA</v>
      </c>
      <c r="BH164" s="46"/>
      <c r="BI164" s="46" t="str">
        <f t="shared" si="281"/>
        <v>2009 Y</v>
      </c>
      <c r="BJ164" s="129"/>
      <c r="BK164" s="129"/>
      <c r="BL164" s="129">
        <f>INDEX('Dist. Plant Gas Additions'!$E$7:$AD$91,MATCH($C164,'Dist. Plant Gas Additions'!$C$7:$C$91,0),MATCH(Calculation!$G164,'Dist. Plant Gas Additions'!$E$5:$AD$5,0))</f>
        <v>102421</v>
      </c>
      <c r="BM164" s="129">
        <f>INDEX('Gen. Plant Additions'!$E$7:$AD$91,MATCH($C164,'Gen. Plant Additions'!$C$7:$C$91,0),MATCH(Calculation!$G164,'Gen. Plant Additions'!$E$5:$AD$5,0))</f>
        <v>7953</v>
      </c>
      <c r="BN164" s="393">
        <f t="shared" si="314"/>
        <v>0.94644588071596958</v>
      </c>
      <c r="BO164" s="46">
        <f t="shared" si="351"/>
        <v>7527.0840893341065</v>
      </c>
      <c r="BP164" s="46">
        <f t="shared" si="352"/>
        <v>-425.91591066589353</v>
      </c>
      <c r="BQ164" s="129"/>
      <c r="BR164" s="129"/>
      <c r="BS164" s="129"/>
      <c r="BT164" s="129"/>
      <c r="BU164" s="129"/>
      <c r="BV164" s="129"/>
      <c r="BW164" s="129"/>
      <c r="BX164" s="129"/>
      <c r="BY164" s="129">
        <f>INDEX('Gross Dx Plant'!$D$7:$AC$91,MATCH($C164,'Gross Dx Plant'!$C$7:$C$91,0),MATCH(Calculation!$G164,'Gross Dx Plant'!$D$5:$AC$5,0))</f>
        <v>869974</v>
      </c>
      <c r="BZ164" s="129">
        <f>INDEX('Gross Gen Plant'!$D$7:$AC$91,MATCH($C164,'Gross Gen Plant'!$C$7:$C$91,0),MATCH(Calculation!$G164,'Gross Gen Plant'!$D$5:$AC$5,0))</f>
        <v>49227</v>
      </c>
      <c r="CA164" s="129">
        <f t="shared" si="307"/>
        <v>919201</v>
      </c>
      <c r="CB164" s="129"/>
      <c r="CC164" s="133">
        <v>2009</v>
      </c>
      <c r="CD164" s="129"/>
      <c r="CE164" s="129"/>
      <c r="CF164" s="129"/>
      <c r="CG164" s="137"/>
      <c r="CH164" s="129">
        <f t="shared" si="315"/>
        <v>110374</v>
      </c>
      <c r="CI164" s="46">
        <f t="shared" si="324"/>
        <v>109948.08408933411</v>
      </c>
      <c r="CJ164" s="46">
        <f t="shared" si="316"/>
        <v>199.56430284132412</v>
      </c>
      <c r="CK164" s="443">
        <v>0.87912087912087911</v>
      </c>
      <c r="CL164" s="46">
        <f>+CL153*CK164+CJ154*CK163+CJ155*CK162+CJ156*CK161+CJ157*CK160+CJ158*CK159+CJ159*CK158+CJ160*CK157+CJ161*CK156+CJ162*CK155+CJ163*CK154+CJ164</f>
        <v>3894.6024295317352</v>
      </c>
      <c r="CM164" s="134">
        <f t="shared" si="317"/>
        <v>3.967035598739644E-2</v>
      </c>
      <c r="CN164" s="135">
        <f t="shared" si="318"/>
        <v>1.284713519251442E-2</v>
      </c>
      <c r="CO164" s="135">
        <f t="shared" si="327"/>
        <v>1.2519817839120649E-2</v>
      </c>
      <c r="CP164" s="134">
        <f>VLOOKUP($H164,RoR!$E:$F,2,FALSE)</f>
        <v>5.3133333333333324E-2</v>
      </c>
      <c r="CQ164" s="135">
        <v>7.7972502758210105E-3</v>
      </c>
      <c r="CR164" s="135">
        <f t="shared" si="325"/>
        <v>4.5336083057512314E-2</v>
      </c>
      <c r="CS164" s="135">
        <f t="shared" si="328"/>
        <v>1.8382123769412978E-2</v>
      </c>
      <c r="CT164" s="135">
        <f t="shared" si="329"/>
        <v>6.3720160300892073E-2</v>
      </c>
      <c r="CU164" s="139">
        <f t="shared" si="319"/>
        <v>0.84940815000000003</v>
      </c>
      <c r="CV164" s="335">
        <f t="shared" si="320"/>
        <v>0.96515780330083989</v>
      </c>
      <c r="CW164" s="335">
        <f t="shared" si="321"/>
        <v>0.50448557089084056</v>
      </c>
      <c r="CX164" s="335">
        <f t="shared" si="322"/>
        <v>0.87391435735465484</v>
      </c>
      <c r="CY164" s="335">
        <f t="shared" si="323"/>
        <v>0.42551605393279146</v>
      </c>
      <c r="CZ164" s="336">
        <f>INDEX('State Tax Lookup'!$D$7:$Z$91,MATCH(Calculation!$C164,'State Tax Lookup'!$B$7:$B$91,0),MATCH($H164,'State Tax Lookup'!$D$6:$Z$6,0))</f>
        <v>0.40700500000000001</v>
      </c>
      <c r="DA164" s="303">
        <v>0.37</v>
      </c>
      <c r="DB164" s="57">
        <f t="shared" si="326"/>
        <v>14.41533532128758</v>
      </c>
      <c r="DC164" s="56">
        <f t="shared" si="330"/>
        <v>-5.1054627522482222E-2</v>
      </c>
      <c r="DD164" s="303">
        <f>VLOOKUP($H164,RoR!$E:$F,2,FALSE)</f>
        <v>5.3133333333333324E-2</v>
      </c>
      <c r="DE164" s="304">
        <f>HLOOKUP($H164,'GDP-PI'!$D$8:$CQ$11,3,FALSE)</f>
        <v>7.7972502758210105E-3</v>
      </c>
      <c r="DF164" s="303">
        <f>VLOOKUP(H164,'HW Dx Data'!$E:$F,2,FALSE)</f>
        <v>550.94063679692806</v>
      </c>
      <c r="DG164" s="89">
        <f ca="1">VLOOKUP(CC164,'ECI - Input Price'!M$13:N$33,2,FALSE)</f>
        <v>110.925</v>
      </c>
      <c r="DH164" s="89"/>
      <c r="DI164" s="89"/>
      <c r="DJ164" s="56">
        <f t="shared" ca="1" si="338"/>
        <v>2.7649425000884052E-2</v>
      </c>
      <c r="DK164" s="53">
        <f>HLOOKUP(H164,'GDP-PI'!$8:$9,2,FALSE)</f>
        <v>94.998999999999995</v>
      </c>
      <c r="DL164" s="355">
        <f t="shared" si="332"/>
        <v>7.7670088183096342E-3</v>
      </c>
      <c r="DP164" s="398"/>
      <c r="DQ164" s="398"/>
      <c r="DR164" s="398"/>
      <c r="DS164" s="398"/>
      <c r="DT164" s="398"/>
      <c r="DU164" s="398"/>
      <c r="DV164" s="398"/>
      <c r="DW164" s="398"/>
      <c r="DX164" s="398"/>
      <c r="EC164"/>
    </row>
    <row r="165" spans="1:133" s="126" customFormat="1" ht="21" customHeight="1" x14ac:dyDescent="0.4">
      <c r="A165" s="233" t="s">
        <v>192</v>
      </c>
      <c r="B165" s="127" t="s">
        <v>192</v>
      </c>
      <c r="C165" s="127">
        <v>4057111</v>
      </c>
      <c r="D165" s="127" t="s">
        <v>187</v>
      </c>
      <c r="E165" s="127" t="s">
        <v>15</v>
      </c>
      <c r="F165" s="127"/>
      <c r="G165" s="127" t="s">
        <v>166</v>
      </c>
      <c r="H165" s="128">
        <v>2010</v>
      </c>
      <c r="I165" s="129"/>
      <c r="J165" s="125">
        <f>IFERROR(INDEX('Labor Expenditures'!$E$7:$W$91,MATCH($C165,'Labor Expenditures'!$C$7:$C$91,0),MATCH($G165,'Labor Expenditures'!$E$5:$W$5,0)),"NA")</f>
        <v>60317.766891114254</v>
      </c>
      <c r="K165" s="125">
        <f t="shared" ca="1" si="333"/>
        <v>515.8671532274044</v>
      </c>
      <c r="L165" s="47"/>
      <c r="M165" s="131">
        <f t="shared" ca="1" si="341"/>
        <v>-9.3245796018297272E-2</v>
      </c>
      <c r="N165" s="59"/>
      <c r="O165" s="59"/>
      <c r="P165" s="59">
        <f t="shared" ca="1" si="342"/>
        <v>-2.1901536510177439E-3</v>
      </c>
      <c r="Q165" s="61"/>
      <c r="R165" s="387"/>
      <c r="S165" s="49">
        <f t="shared" ca="1" si="347"/>
        <v>97.498257691919974</v>
      </c>
      <c r="T165" s="61">
        <f ca="1">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</f>
        <v>-0.19457325872317977</v>
      </c>
      <c r="U165" s="61"/>
      <c r="V165" s="125">
        <f>IFERROR(INDEX('Non-Labor Expenditures'!$E$7:$AA$91,MATCH($C165,'Non-Labor Expenditures'!$C$7:$C$91,0),MATCH($G165,'Non-Labor Expenditures'!$E$5:$AA$5,0)),"NA")</f>
        <v>87351.392263189264</v>
      </c>
      <c r="W165" s="125">
        <f t="shared" si="334"/>
        <v>908.87838041379337</v>
      </c>
      <c r="X165" s="131">
        <f t="shared" si="343"/>
        <v>-5.2183988478471097E-2</v>
      </c>
      <c r="Y165" s="131">
        <f t="shared" si="344"/>
        <v>-1.2256955034022604E-3</v>
      </c>
      <c r="Z165" s="131"/>
      <c r="AA165" s="131"/>
      <c r="AB165" s="131"/>
      <c r="AC165" s="125">
        <f t="shared" si="313"/>
        <v>57088.269689799272</v>
      </c>
      <c r="AD165" s="129"/>
      <c r="AE165" s="133">
        <v>4210.5832305694585</v>
      </c>
      <c r="AF165" s="134">
        <v>2.8705328520246123E-2</v>
      </c>
      <c r="AG165" s="59">
        <f t="shared" si="339"/>
        <v>6.7422964623460623E-4</v>
      </c>
      <c r="AH165" s="134"/>
      <c r="AI165" s="134"/>
      <c r="AJ165" s="129">
        <f t="shared" si="331"/>
        <v>204757.42884410277</v>
      </c>
      <c r="AK165" s="134">
        <f t="shared" si="345"/>
        <v>-1.4467583426332515E-2</v>
      </c>
      <c r="AL165" s="129"/>
      <c r="AM165" s="129"/>
      <c r="AN165" s="129"/>
      <c r="AO165" s="129"/>
      <c r="AP165" s="133">
        <f t="shared" si="346"/>
        <v>312.21494375623683</v>
      </c>
      <c r="AQ165" s="134">
        <f>+BB165/Outputs!$B$18</f>
        <v>1.8541361200119035E-2</v>
      </c>
      <c r="AR165" s="93">
        <f t="shared" si="335"/>
        <v>0.29458157992909112</v>
      </c>
      <c r="AS165" s="93">
        <f t="shared" si="336"/>
        <v>0.42660914798698923</v>
      </c>
      <c r="AT165" s="93">
        <f t="shared" si="337"/>
        <v>0.27880927208391965</v>
      </c>
      <c r="AU165" s="93">
        <f t="shared" ca="1" si="340"/>
        <v>-4.2658588365577163E-2</v>
      </c>
      <c r="AV165" s="132">
        <f t="shared" ca="1" si="349"/>
        <v>111.72431565709188</v>
      </c>
      <c r="AW165" s="134">
        <f t="shared" ca="1" si="350"/>
        <v>-4.2658588365577184E-2</v>
      </c>
      <c r="AX165" s="56">
        <f>+AJ165/$AL$15</f>
        <v>2.3487961329516437E-2</v>
      </c>
      <c r="AY165" s="135">
        <f t="shared" ca="1" si="348"/>
        <v>-1.0019632739024366E-3</v>
      </c>
      <c r="AZ165" s="93"/>
      <c r="BA165" s="93"/>
      <c r="BB165" s="234">
        <f>IFERROR(INDEX('Total Customers'!$E$7:$AA$91,MATCH($C165,'Total Customers'!$C$7:$C$91,0),MATCH($G165,'Total Customers'!$E$5:$AA$5,0)),"NA")</f>
        <v>655822</v>
      </c>
      <c r="BC165" s="411">
        <f t="shared" si="283"/>
        <v>4.727093672519015E-2</v>
      </c>
      <c r="BD165" s="92"/>
      <c r="BE165" s="281" t="str">
        <f t="shared" si="278"/>
        <v>BOSTON GAS COMPANY</v>
      </c>
      <c r="BF165" s="290">
        <f t="shared" si="279"/>
        <v>4057111</v>
      </c>
      <c r="BG165" s="46" t="str">
        <f t="shared" si="280"/>
        <v>MA</v>
      </c>
      <c r="BH165" s="46"/>
      <c r="BI165" s="46" t="str">
        <f t="shared" si="281"/>
        <v>2010 Y</v>
      </c>
      <c r="BJ165" s="129"/>
      <c r="BK165" s="129"/>
      <c r="BL165" s="129">
        <f>INDEX('Dist. Plant Gas Additions'!$E$7:$AD$91,MATCH($C165,'Dist. Plant Gas Additions'!$C$7:$C$91,0),MATCH(Calculation!$G165,'Dist. Plant Gas Additions'!$E$5:$AD$5,0))</f>
        <v>82414</v>
      </c>
      <c r="BM165" s="129">
        <f>INDEX('Gen. Plant Additions'!$E$7:$AD$91,MATCH($C165,'Gen. Plant Additions'!$C$7:$C$91,0),MATCH(Calculation!$G165,'Gen. Plant Additions'!$E$5:$AD$5,0))</f>
        <v>1581</v>
      </c>
      <c r="BN165" s="393">
        <f t="shared" si="314"/>
        <v>0.9517965346146523</v>
      </c>
      <c r="BO165" s="46">
        <f t="shared" si="351"/>
        <v>1504.7903212257652</v>
      </c>
      <c r="BP165" s="46">
        <f t="shared" si="352"/>
        <v>-76.209678774234817</v>
      </c>
      <c r="BQ165" s="129"/>
      <c r="BR165" s="129"/>
      <c r="BS165" s="129"/>
      <c r="BT165" s="129"/>
      <c r="BU165" s="129"/>
      <c r="BV165" s="129"/>
      <c r="BW165" s="129"/>
      <c r="BX165" s="129"/>
      <c r="BY165" s="129">
        <f>INDEX('Gross Dx Plant'!$D$7:$AC$91,MATCH($C165,'Gross Dx Plant'!$C$7:$C$91,0),MATCH(Calculation!$G165,'Gross Dx Plant'!$D$5:$AC$5,0))</f>
        <v>1019751</v>
      </c>
      <c r="BZ165" s="129">
        <f>INDEX('Gross Gen Plant'!$D$7:$AC$91,MATCH($C165,'Gross Gen Plant'!$C$7:$C$91,0),MATCH(Calculation!$G165,'Gross Gen Plant'!$D$5:$AC$5,0))</f>
        <v>51645</v>
      </c>
      <c r="CA165" s="129">
        <f t="shared" si="307"/>
        <v>1071396</v>
      </c>
      <c r="CB165" s="129"/>
      <c r="CC165" s="133">
        <v>2010</v>
      </c>
      <c r="CD165" s="129"/>
      <c r="CE165" s="129"/>
      <c r="CF165" s="129"/>
      <c r="CG165" s="137"/>
      <c r="CH165" s="129">
        <f t="shared" si="315"/>
        <v>83995</v>
      </c>
      <c r="CI165" s="46">
        <f t="shared" si="324"/>
        <v>83918.790321225766</v>
      </c>
      <c r="CJ165" s="46">
        <f t="shared" si="316"/>
        <v>147.48741397402858</v>
      </c>
      <c r="CK165" s="443">
        <v>0.8666666666666667</v>
      </c>
      <c r="CL165" s="46">
        <f>+CL153*CK165+CJ154*CK164+CJ155*CK163+CJ156*CK162+CJ157*CK161+CJ158*CK160+CJ159*CK159+CJ160*CK158+CJ161*CK157+CJ162*CK156+CJ163*CK155+CJ164*CK154+CJ165</f>
        <v>3990.9760500567222</v>
      </c>
      <c r="CM165" s="134">
        <f t="shared" si="317"/>
        <v>2.4444222954795179E-2</v>
      </c>
      <c r="CN165" s="135">
        <f t="shared" si="318"/>
        <v>1.3124264767427672E-2</v>
      </c>
      <c r="CO165" s="135">
        <f t="shared" si="327"/>
        <v>1.2832539704093102E-2</v>
      </c>
      <c r="CP165" s="134">
        <f>VLOOKUP($H165,RoR!$E:$F,2,FALSE)</f>
        <v>4.9433333333333322E-2</v>
      </c>
      <c r="CQ165" s="135">
        <v>1.1684333519300205E-2</v>
      </c>
      <c r="CR165" s="135">
        <f t="shared" si="325"/>
        <v>3.7748999814033117E-2</v>
      </c>
      <c r="CS165" s="135">
        <f t="shared" si="328"/>
        <v>1.8069401904440521E-2</v>
      </c>
      <c r="CT165" s="135">
        <f t="shared" si="329"/>
        <v>4.7937530248493419E-2</v>
      </c>
      <c r="CU165" s="139">
        <f t="shared" si="319"/>
        <v>0.84940815000000003</v>
      </c>
      <c r="CV165" s="335">
        <f t="shared" si="320"/>
        <v>1.037398205301105</v>
      </c>
      <c r="CW165" s="335">
        <f t="shared" si="321"/>
        <v>0.46926837491571133</v>
      </c>
      <c r="CX165" s="335">
        <f t="shared" si="322"/>
        <v>0.8548537519972772</v>
      </c>
      <c r="CY165" s="335">
        <f t="shared" si="323"/>
        <v>0.41615833911547367</v>
      </c>
      <c r="CZ165" s="336">
        <f>INDEX('State Tax Lookup'!$D$7:$Z$91,MATCH(Calculation!$C165,'State Tax Lookup'!$B$7:$B$91,0),MATCH($H165,'State Tax Lookup'!$D$6:$Z$6,0))</f>
        <v>0.40700500000000001</v>
      </c>
      <c r="DA165" s="303">
        <v>0.37</v>
      </c>
      <c r="DB165" s="57">
        <f t="shared" si="326"/>
        <v>14.658304852098405</v>
      </c>
      <c r="DC165" s="56">
        <f t="shared" si="330"/>
        <v>1.6714466158143641E-2</v>
      </c>
      <c r="DD165" s="303">
        <f>VLOOKUP($H165,RoR!$E:$F,2,FALSE)</f>
        <v>4.9433333333333322E-2</v>
      </c>
      <c r="DE165" s="304">
        <f>HLOOKUP($H165,'GDP-PI'!$D$8:$CQ$11,3,FALSE)</f>
        <v>1.1684333519300205E-2</v>
      </c>
      <c r="DF165" s="303">
        <f>VLOOKUP(H165,'HW Dx Data'!$E:$F,2,FALSE)</f>
        <v>568.98950262971744</v>
      </c>
      <c r="DG165" s="89">
        <f ca="1">VLOOKUP(CC165,'ECI - Input Price'!M$13:N$33,2,FALSE)</f>
        <v>116.925</v>
      </c>
      <c r="DH165" s="89"/>
      <c r="DI165" s="89"/>
      <c r="DJ165" s="56">
        <f t="shared" ca="1" si="338"/>
        <v>5.2678406346976722E-2</v>
      </c>
      <c r="DK165" s="53">
        <f>HLOOKUP(H165,'GDP-PI'!$8:$9,2,FALSE)</f>
        <v>96.108999999999995</v>
      </c>
      <c r="DL165" s="355">
        <f t="shared" si="332"/>
        <v>1.1616598807150427E-2</v>
      </c>
      <c r="DP165" s="398"/>
      <c r="DQ165" s="398"/>
      <c r="DR165" s="398"/>
      <c r="DS165" s="398"/>
      <c r="DT165" s="398"/>
      <c r="DU165" s="398"/>
      <c r="DV165" s="398"/>
      <c r="DW165" s="398"/>
      <c r="DX165" s="398"/>
      <c r="EC165"/>
    </row>
    <row r="166" spans="1:133" s="126" customFormat="1" ht="21" customHeight="1" x14ac:dyDescent="0.4">
      <c r="A166" s="233" t="s">
        <v>192</v>
      </c>
      <c r="B166" s="127" t="s">
        <v>192</v>
      </c>
      <c r="C166" s="127">
        <v>4057111</v>
      </c>
      <c r="D166" s="127" t="s">
        <v>187</v>
      </c>
      <c r="E166" s="127" t="s">
        <v>15</v>
      </c>
      <c r="F166" s="127"/>
      <c r="G166" s="127" t="s">
        <v>167</v>
      </c>
      <c r="H166" s="128">
        <v>2011</v>
      </c>
      <c r="I166" s="129"/>
      <c r="J166" s="125">
        <f>IFERROR(INDEX('Labor Expenditures'!$E$7:$W$91,MATCH($C166,'Labor Expenditures'!$C$7:$C$91,0),MATCH($G166,'Labor Expenditures'!$E$5:$W$5,0)),"NA")</f>
        <v>63731.618385797934</v>
      </c>
      <c r="K166" s="125">
        <f t="shared" ca="1" si="333"/>
        <v>527.25227206451234</v>
      </c>
      <c r="L166" s="47"/>
      <c r="M166" s="131">
        <f t="shared" ca="1" si="341"/>
        <v>2.1829851274523731E-2</v>
      </c>
      <c r="N166" s="59"/>
      <c r="O166" s="59"/>
      <c r="P166" s="59">
        <f t="shared" ca="1" si="342"/>
        <v>5.2448464098725077E-4</v>
      </c>
      <c r="Q166" s="61"/>
      <c r="R166" s="387"/>
      <c r="S166" s="49">
        <f t="shared" ca="1" si="347"/>
        <v>116.96766368686248</v>
      </c>
      <c r="T166" s="61">
        <f ca="1">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</f>
        <v>0.18206300983567475</v>
      </c>
      <c r="U166" s="61"/>
      <c r="V166" s="125">
        <f>IFERROR(INDEX('Non-Labor Expenditures'!$E$7:$AA$91,MATCH($C166,'Non-Labor Expenditures'!$C$7:$C$91,0),MATCH($G166,'Non-Labor Expenditures'!$E$5:$AA$5,0)),"NA")</f>
        <v>92295.286846997522</v>
      </c>
      <c r="W166" s="125">
        <f t="shared" si="334"/>
        <v>940.71354010719915</v>
      </c>
      <c r="X166" s="131">
        <f t="shared" si="343"/>
        <v>3.442738222318318E-2</v>
      </c>
      <c r="Y166" s="131">
        <f t="shared" si="344"/>
        <v>8.2715328558055135E-4</v>
      </c>
      <c r="Z166" s="131"/>
      <c r="AA166" s="131"/>
      <c r="AB166" s="131"/>
      <c r="AC166" s="125">
        <f t="shared" si="313"/>
        <v>61953.610001960427</v>
      </c>
      <c r="AD166" s="129"/>
      <c r="AE166" s="133">
        <v>4330.5744381541699</v>
      </c>
      <c r="AF166" s="134">
        <v>2.809902523961727E-2</v>
      </c>
      <c r="AG166" s="59">
        <f t="shared" si="339"/>
        <v>6.7510799682321228E-4</v>
      </c>
      <c r="AH166" s="134"/>
      <c r="AI166" s="134"/>
      <c r="AJ166" s="129">
        <f t="shared" si="331"/>
        <v>217980.51523475588</v>
      </c>
      <c r="AK166" s="134">
        <f t="shared" si="345"/>
        <v>6.2579674551541439E-2</v>
      </c>
      <c r="AL166" s="129"/>
      <c r="AM166" s="129"/>
      <c r="AN166" s="129"/>
      <c r="AO166" s="129"/>
      <c r="AP166" s="133">
        <f t="shared" si="346"/>
        <v>329.49370616020246</v>
      </c>
      <c r="AQ166" s="134">
        <f>+BB166/Outputs!$B$19</f>
        <v>1.8613397255756101E-2</v>
      </c>
      <c r="AR166" s="93">
        <f t="shared" si="335"/>
        <v>0.29237300552832279</v>
      </c>
      <c r="AS166" s="93">
        <f t="shared" si="336"/>
        <v>0.42341071974987932</v>
      </c>
      <c r="AT166" s="93">
        <f t="shared" si="337"/>
        <v>0.28421627472179789</v>
      </c>
      <c r="AU166" s="93">
        <f t="shared" ca="1" si="340"/>
        <v>2.8948779619777515E-2</v>
      </c>
      <c r="AV166" s="132">
        <f t="shared" ca="1" si="349"/>
        <v>115.00586754318685</v>
      </c>
      <c r="AW166" s="134">
        <f t="shared" ca="1" si="350"/>
        <v>2.894877961977756E-2</v>
      </c>
      <c r="AX166" s="56">
        <f>+AJ166/$AL$16</f>
        <v>2.4026029054964034E-2</v>
      </c>
      <c r="AY166" s="135">
        <f t="shared" ca="1" si="348"/>
        <v>6.9552422025052636E-4</v>
      </c>
      <c r="AZ166" s="93"/>
      <c r="BA166" s="93"/>
      <c r="BB166" s="234">
        <f>IFERROR(INDEX('Total Customers'!$E$7:$AA$91,MATCH($C166,'Total Customers'!$C$7:$C$91,0),MATCH($G166,'Total Customers'!$E$5:$AA$5,0)),"NA")</f>
        <v>661562</v>
      </c>
      <c r="BC166" s="411">
        <f t="shared" si="283"/>
        <v>8.7142948814895125E-3</v>
      </c>
      <c r="BD166" s="92"/>
      <c r="BE166" s="281" t="str">
        <f t="shared" si="278"/>
        <v>BOSTON GAS COMPANY</v>
      </c>
      <c r="BF166" s="290">
        <f t="shared" si="279"/>
        <v>4057111</v>
      </c>
      <c r="BG166" s="46" t="str">
        <f t="shared" si="280"/>
        <v>MA</v>
      </c>
      <c r="BH166" s="46"/>
      <c r="BI166" s="46" t="str">
        <f t="shared" si="281"/>
        <v>2011 Y</v>
      </c>
      <c r="BJ166" s="129"/>
      <c r="BK166" s="129"/>
      <c r="BL166" s="129">
        <f>INDEX('Dist. Plant Gas Additions'!$E$7:$AD$91,MATCH($C166,'Dist. Plant Gas Additions'!$C$7:$C$91,0),MATCH(Calculation!$G166,'Dist. Plant Gas Additions'!$E$5:$AD$5,0))</f>
        <v>88772</v>
      </c>
      <c r="BM166" s="129">
        <f>INDEX('Gen. Plant Additions'!$E$7:$AD$91,MATCH($C166,'Gen. Plant Additions'!$C$7:$C$91,0),MATCH(Calculation!$G166,'Gen. Plant Additions'!$E$5:$AD$5,0))</f>
        <v>3093</v>
      </c>
      <c r="BN166" s="393">
        <f t="shared" si="314"/>
        <v>0.95394548720026473</v>
      </c>
      <c r="BO166" s="46">
        <f t="shared" si="351"/>
        <v>2950.5533919104187</v>
      </c>
      <c r="BP166" s="46">
        <f t="shared" si="352"/>
        <v>-142.44660808958133</v>
      </c>
      <c r="BQ166" s="129"/>
      <c r="BR166" s="129"/>
      <c r="BS166" s="129"/>
      <c r="BT166" s="129"/>
      <c r="BU166" s="129"/>
      <c r="BV166" s="129"/>
      <c r="BW166" s="129"/>
      <c r="BX166" s="129"/>
      <c r="BY166" s="129">
        <f>INDEX('Gross Dx Plant'!$D$7:$AC$91,MATCH($C166,'Gross Dx Plant'!$C$7:$C$91,0),MATCH(Calculation!$G166,'Gross Dx Plant'!$D$5:$AC$5,0))</f>
        <v>1104252</v>
      </c>
      <c r="BZ166" s="129">
        <f>INDEX('Gross Gen Plant'!$D$7:$AC$91,MATCH($C166,'Gross Gen Plant'!$C$7:$C$91,0),MATCH(Calculation!$G166,'Gross Gen Plant'!$D$5:$AC$5,0))</f>
        <v>53311</v>
      </c>
      <c r="CA166" s="129">
        <f t="shared" si="307"/>
        <v>1157563</v>
      </c>
      <c r="CB166" s="129"/>
      <c r="CC166" s="133">
        <v>2011</v>
      </c>
      <c r="CD166" s="129"/>
      <c r="CE166" s="129"/>
      <c r="CF166" s="129"/>
      <c r="CG166" s="137"/>
      <c r="CH166" s="129">
        <f t="shared" si="315"/>
        <v>91865</v>
      </c>
      <c r="CI166" s="46">
        <f t="shared" si="324"/>
        <v>91722.55339191042</v>
      </c>
      <c r="CJ166" s="46">
        <f t="shared" si="316"/>
        <v>149.96875297613872</v>
      </c>
      <c r="CK166" s="443">
        <v>0.8539325842696629</v>
      </c>
      <c r="CL166" s="46">
        <f>+CL153*CK166+CJ154*CK165+CJ155*CK164+CJ156*CK163+CJ157*CK162+CJ158*CK161+CJ159*CK160+CJ160*CK159+CJ161*CK158+CJ162*CK157+CJ163*CK156+CJ164*CK155+CJ165*CK154+CJ166</f>
        <v>4087.2470009858271</v>
      </c>
      <c r="CM166" s="134">
        <f t="shared" si="317"/>
        <v>2.3835813463916607E-2</v>
      </c>
      <c r="CN166" s="135">
        <f t="shared" si="318"/>
        <v>1.345480438206856E-2</v>
      </c>
      <c r="CO166" s="135">
        <f t="shared" si="327"/>
        <v>1.3142068114003549E-2</v>
      </c>
      <c r="CP166" s="134">
        <f>VLOOKUP($H166,RoR!$E:$F,2,FALSE)</f>
        <v>4.6391666666666664E-2</v>
      </c>
      <c r="CQ166" s="135">
        <v>2.0840920205183799E-2</v>
      </c>
      <c r="CR166" s="135">
        <f t="shared" si="325"/>
        <v>2.5550746461482865E-2</v>
      </c>
      <c r="CS166" s="135">
        <f t="shared" si="328"/>
        <v>1.7759873494530076E-2</v>
      </c>
      <c r="CT166" s="135">
        <f t="shared" si="329"/>
        <v>2.4810540821321614E-2</v>
      </c>
      <c r="CU166" s="139">
        <f t="shared" si="319"/>
        <v>0.84940815000000003</v>
      </c>
      <c r="CV166" s="335">
        <f t="shared" si="320"/>
        <v>1.1054151524782025</v>
      </c>
      <c r="CW166" s="335">
        <f t="shared" si="321"/>
        <v>0.43611011316687626</v>
      </c>
      <c r="CX166" s="335">
        <f t="shared" si="322"/>
        <v>0.83698442246886229</v>
      </c>
      <c r="CY166" s="335">
        <f t="shared" si="323"/>
        <v>0.40349573304423936</v>
      </c>
      <c r="CZ166" s="336">
        <f>INDEX('State Tax Lookup'!$D$7:$Z$91,MATCH(Calculation!$C166,'State Tax Lookup'!$B$7:$B$91,0),MATCH($H166,'State Tax Lookup'!$D$6:$Z$6,0))</f>
        <v>0.40700500000000001</v>
      </c>
      <c r="DA166" s="303">
        <v>0.37</v>
      </c>
      <c r="DB166" s="57">
        <f t="shared" si="326"/>
        <v>15.523423148850995</v>
      </c>
      <c r="DC166" s="56">
        <f t="shared" si="330"/>
        <v>5.734299520183643E-2</v>
      </c>
      <c r="DD166" s="303">
        <f>VLOOKUP($H166,RoR!$E:$F,2,FALSE)</f>
        <v>4.6391666666666664E-2</v>
      </c>
      <c r="DE166" s="304">
        <f>HLOOKUP($H166,'GDP-PI'!$D$8:$CQ$11,3,FALSE)</f>
        <v>2.0840920205183799E-2</v>
      </c>
      <c r="DF166" s="303">
        <f>VLOOKUP(H166,'HW Dx Data'!$E:$F,2,FALSE)</f>
        <v>611.61109612283201</v>
      </c>
      <c r="DG166" s="89">
        <f ca="1">VLOOKUP(CC166,'ECI - Input Price'!M$13:N$33,2,FALSE)</f>
        <v>120.875</v>
      </c>
      <c r="DH166" s="89"/>
      <c r="DI166" s="89"/>
      <c r="DJ166" s="56">
        <f t="shared" ca="1" si="338"/>
        <v>3.3224250161508609E-2</v>
      </c>
      <c r="DK166" s="53">
        <f>HLOOKUP(H166,'GDP-PI'!$8:$9,2,FALSE)</f>
        <v>98.111999999999995</v>
      </c>
      <c r="DL166" s="355">
        <f t="shared" si="332"/>
        <v>2.0626719212849295E-2</v>
      </c>
      <c r="DP166" s="398"/>
      <c r="DQ166" s="398"/>
      <c r="DR166" s="398"/>
      <c r="DS166" s="398"/>
      <c r="DT166" s="398"/>
      <c r="DU166" s="398"/>
      <c r="DV166" s="398"/>
      <c r="DW166" s="398"/>
      <c r="DX166" s="398"/>
      <c r="EC166"/>
    </row>
    <row r="167" spans="1:133" s="126" customFormat="1" ht="21" customHeight="1" x14ac:dyDescent="0.4">
      <c r="A167" s="233" t="s">
        <v>192</v>
      </c>
      <c r="B167" s="127" t="s">
        <v>192</v>
      </c>
      <c r="C167" s="127">
        <v>4057111</v>
      </c>
      <c r="D167" s="127" t="s">
        <v>187</v>
      </c>
      <c r="E167" s="127" t="s">
        <v>15</v>
      </c>
      <c r="F167" s="127"/>
      <c r="G167" s="127" t="s">
        <v>168</v>
      </c>
      <c r="H167" s="128">
        <v>2012</v>
      </c>
      <c r="I167" s="129"/>
      <c r="J167" s="125">
        <f>IFERROR(INDEX('Labor Expenditures'!$E$7:$W$91,MATCH($C167,'Labor Expenditures'!$C$7:$C$91,0),MATCH($G167,'Labor Expenditures'!$E$5:$W$5,0)),"NA")</f>
        <v>55368.13265334582</v>
      </c>
      <c r="K167" s="125">
        <f t="shared" ca="1" si="333"/>
        <v>443.65490908129658</v>
      </c>
      <c r="L167" s="47"/>
      <c r="M167" s="131">
        <f t="shared" ca="1" si="341"/>
        <v>-0.1726321001911004</v>
      </c>
      <c r="N167" s="59"/>
      <c r="O167" s="59"/>
      <c r="P167" s="59">
        <f t="shared" ca="1" si="342"/>
        <v>-3.7415042625543798E-3</v>
      </c>
      <c r="Q167" s="61"/>
      <c r="R167" s="387"/>
      <c r="S167" s="49">
        <f t="shared" ca="1" si="347"/>
        <v>114.32523718166372</v>
      </c>
      <c r="T167" s="61">
        <f ca="1">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</f>
        <v>-2.285017368497547E-2</v>
      </c>
      <c r="U167" s="61"/>
      <c r="V167" s="125">
        <f>IFERROR(INDEX('Non-Labor Expenditures'!$E$7:$AA$91,MATCH($C167,'Non-Labor Expenditures'!$C$7:$C$91,0),MATCH($G167,'Non-Labor Expenditures'!$E$5:$AA$5,0)),"NA")</f>
        <v>80183.397422745067</v>
      </c>
      <c r="W167" s="125">
        <f t="shared" si="334"/>
        <v>801.83397422745065</v>
      </c>
      <c r="X167" s="131">
        <f t="shared" si="343"/>
        <v>-0.15973710076797396</v>
      </c>
      <c r="Y167" s="131">
        <f t="shared" si="344"/>
        <v>-3.4620272982247118E-3</v>
      </c>
      <c r="Z167" s="131"/>
      <c r="AA167" s="131"/>
      <c r="AB167" s="131"/>
      <c r="AC167" s="125">
        <f t="shared" si="313"/>
        <v>67925.054167597322</v>
      </c>
      <c r="AD167" s="129"/>
      <c r="AE167" s="133">
        <v>4438.9822870043772</v>
      </c>
      <c r="AF167" s="134">
        <v>2.4724937615842064E-2</v>
      </c>
      <c r="AG167" s="59">
        <f t="shared" si="339"/>
        <v>5.3587055581586006E-4</v>
      </c>
      <c r="AH167" s="134"/>
      <c r="AI167" s="134"/>
      <c r="AJ167" s="129">
        <f t="shared" si="331"/>
        <v>203476.58424368821</v>
      </c>
      <c r="AK167" s="134">
        <f t="shared" si="345"/>
        <v>-6.8854746016839136E-2</v>
      </c>
      <c r="AL167" s="129"/>
      <c r="AM167" s="129"/>
      <c r="AN167" s="129"/>
      <c r="AO167" s="129"/>
      <c r="AP167" s="133">
        <f t="shared" si="346"/>
        <v>304.10898404505247</v>
      </c>
      <c r="AQ167" s="134">
        <f>+BB167/Outputs!$B$20</f>
        <v>1.8735013152906561E-2</v>
      </c>
      <c r="AR167" s="93">
        <f t="shared" si="335"/>
        <v>0.27211058638096497</v>
      </c>
      <c r="AS167" s="93">
        <f t="shared" si="336"/>
        <v>0.39406695232664019</v>
      </c>
      <c r="AT167" s="93">
        <f t="shared" si="337"/>
        <v>0.33382246129239485</v>
      </c>
      <c r="AU167" s="93">
        <f t="shared" ca="1" si="340"/>
        <v>-0.10637426604132369</v>
      </c>
      <c r="AV167" s="132">
        <f t="shared" ca="1" si="349"/>
        <v>103.40040543846941</v>
      </c>
      <c r="AW167" s="134">
        <f t="shared" ca="1" si="350"/>
        <v>-0.10637426604132366</v>
      </c>
      <c r="AX167" s="56">
        <f>+AJ167/$AL$17</f>
        <v>2.1673282422055962E-2</v>
      </c>
      <c r="AY167" s="135">
        <f t="shared" ca="1" si="348"/>
        <v>-2.3054795103525246E-3</v>
      </c>
      <c r="AZ167" s="93"/>
      <c r="BA167" s="93"/>
      <c r="BB167" s="234">
        <f>IFERROR(INDEX('Total Customers'!$E$7:$AA$91,MATCH($C167,'Total Customers'!$C$7:$C$91,0),MATCH($G167,'Total Customers'!$E$5:$AA$5,0)),"NA")</f>
        <v>669091</v>
      </c>
      <c r="BC167" s="411">
        <f t="shared" si="283"/>
        <v>1.1316369251699036E-2</v>
      </c>
      <c r="BD167" s="92"/>
      <c r="BE167" s="281" t="str">
        <f t="shared" si="278"/>
        <v>BOSTON GAS COMPANY</v>
      </c>
      <c r="BF167" s="290">
        <f t="shared" si="279"/>
        <v>4057111</v>
      </c>
      <c r="BG167" s="46" t="str">
        <f t="shared" si="280"/>
        <v>MA</v>
      </c>
      <c r="BH167" s="46"/>
      <c r="BI167" s="46" t="str">
        <f t="shared" si="281"/>
        <v>2012 Y</v>
      </c>
      <c r="BJ167" s="129"/>
      <c r="BK167" s="129"/>
      <c r="BL167" s="129">
        <f>INDEX('Dist. Plant Gas Additions'!$E$7:$AD$91,MATCH($C167,'Dist. Plant Gas Additions'!$C$7:$C$91,0),MATCH(Calculation!$G167,'Dist. Plant Gas Additions'!$E$5:$AD$5,0))</f>
        <v>91463</v>
      </c>
      <c r="BM167" s="129">
        <f>INDEX('Gen. Plant Additions'!$E$7:$AD$91,MATCH($C167,'Gen. Plant Additions'!$C$7:$C$91,0),MATCH(Calculation!$G167,'Gen. Plant Additions'!$E$5:$AD$5,0))</f>
        <v>2483</v>
      </c>
      <c r="BN167" s="393">
        <f t="shared" si="314"/>
        <v>0.95544564358915474</v>
      </c>
      <c r="BO167" s="46">
        <f t="shared" si="351"/>
        <v>2372.3715330318714</v>
      </c>
      <c r="BP167" s="46">
        <f t="shared" si="352"/>
        <v>-110.62846696812858</v>
      </c>
      <c r="BQ167" s="129"/>
      <c r="BR167" s="129"/>
      <c r="BS167" s="129"/>
      <c r="BT167" s="129"/>
      <c r="BU167" s="129"/>
      <c r="BV167" s="129"/>
      <c r="BW167" s="129"/>
      <c r="BX167" s="129"/>
      <c r="BY167" s="129">
        <f>INDEX('Gross Dx Plant'!$D$7:$AC$91,MATCH($C167,'Gross Dx Plant'!$C$7:$C$91,0),MATCH(Calculation!$G167,'Gross Dx Plant'!$D$5:$AC$5,0))</f>
        <v>1194008</v>
      </c>
      <c r="BZ167" s="129">
        <f>INDEX('Gross Gen Plant'!$D$7:$AC$91,MATCH($C167,'Gross Gen Plant'!$C$7:$C$91,0),MATCH(Calculation!$G167,'Gross Gen Plant'!$D$5:$AC$5,0))</f>
        <v>55679</v>
      </c>
      <c r="CA167" s="129">
        <f t="shared" si="307"/>
        <v>1249687</v>
      </c>
      <c r="CB167" s="129"/>
      <c r="CC167" s="133">
        <v>2012</v>
      </c>
      <c r="CD167" s="129"/>
      <c r="CE167" s="129"/>
      <c r="CF167" s="129"/>
      <c r="CG167" s="137"/>
      <c r="CH167" s="129">
        <f t="shared" si="315"/>
        <v>93946</v>
      </c>
      <c r="CI167" s="46">
        <f t="shared" si="324"/>
        <v>93835.371533031866</v>
      </c>
      <c r="CJ167" s="46">
        <f t="shared" si="316"/>
        <v>140.27905672791047</v>
      </c>
      <c r="CK167" s="443">
        <v>0.84090909090909094</v>
      </c>
      <c r="CL167" s="46">
        <f>+CL153*CK167+CJ154*CK166+CJ155*CK165+CJ156*CK164+CJ157*CK163+CJ158*CK162+CJ159*CK161+CJ160*CK160+CJ161*CK159+CJ162*CK158+CJ163*CK157+CJ164*CK156+CJ165*CK155+CJ166*CK154+CJ167</f>
        <v>4171.1529591232902</v>
      </c>
      <c r="CM167" s="134">
        <f t="shared" si="317"/>
        <v>2.032084806859711E-2</v>
      </c>
      <c r="CN167" s="135">
        <f t="shared" si="318"/>
        <v>1.37924374467338E-2</v>
      </c>
      <c r="CO167" s="135">
        <f t="shared" si="327"/>
        <v>1.3457168865410011E-2</v>
      </c>
      <c r="CP167" s="134">
        <f>VLOOKUP($H167,RoR!$E:$F,2,FALSE)</f>
        <v>3.6733333333333333E-2</v>
      </c>
      <c r="CQ167" s="135">
        <v>1.924331376386168E-2</v>
      </c>
      <c r="CR167" s="135">
        <f t="shared" si="325"/>
        <v>1.7490019569471653E-2</v>
      </c>
      <c r="CS167" s="135">
        <f t="shared" si="328"/>
        <v>1.7444772743123615E-2</v>
      </c>
      <c r="CT167" s="135">
        <f t="shared" si="329"/>
        <v>6.7122682943869583E-2</v>
      </c>
      <c r="CU167" s="139">
        <f t="shared" si="319"/>
        <v>0.84940815000000003</v>
      </c>
      <c r="CV167" s="335">
        <f t="shared" si="320"/>
        <v>1.3960631020522127</v>
      </c>
      <c r="CW167" s="335">
        <f t="shared" si="321"/>
        <v>0.29441923774954631</v>
      </c>
      <c r="CX167" s="335">
        <f t="shared" si="322"/>
        <v>0.76377954189366437</v>
      </c>
      <c r="CY167" s="335">
        <f t="shared" si="323"/>
        <v>0.31393465103033691</v>
      </c>
      <c r="CZ167" s="336">
        <f>INDEX('State Tax Lookup'!$D$7:$Z$91,MATCH(Calculation!$C167,'State Tax Lookup'!$B$7:$B$91,0),MATCH($H167,'State Tax Lookup'!$D$6:$Z$6,0))</f>
        <v>0.40700500000000001</v>
      </c>
      <c r="DA167" s="303">
        <v>0.37</v>
      </c>
      <c r="DB167" s="57">
        <f t="shared" si="326"/>
        <v>16.61877888740614</v>
      </c>
      <c r="DC167" s="56">
        <f t="shared" si="330"/>
        <v>6.8183260100397131E-2</v>
      </c>
      <c r="DD167" s="303">
        <f>VLOOKUP($H167,RoR!$E:$F,2,FALSE)</f>
        <v>3.6733333333333333E-2</v>
      </c>
      <c r="DE167" s="304">
        <f>HLOOKUP($H167,'GDP-PI'!$D$8:$CQ$11,3,FALSE)</f>
        <v>1.924331376386168E-2</v>
      </c>
      <c r="DF167" s="303">
        <f>VLOOKUP(H167,'HW Dx Data'!$E:$F,2,FALSE)</f>
        <v>668.91932211262167</v>
      </c>
      <c r="DG167" s="89">
        <f ca="1">VLOOKUP(CC167,'ECI - Input Price'!M$13:N$33,2,FALSE)</f>
        <v>124.80000000000001</v>
      </c>
      <c r="DH167" s="89"/>
      <c r="DI167" s="89"/>
      <c r="DJ167" s="56">
        <f t="shared" ca="1" si="338"/>
        <v>3.1955502161869064E-2</v>
      </c>
      <c r="DK167" s="53">
        <f>HLOOKUP(H167,'GDP-PI'!$8:$9,2,FALSE)</f>
        <v>100</v>
      </c>
      <c r="DL167" s="355">
        <f t="shared" si="332"/>
        <v>1.9060502738742411E-2</v>
      </c>
      <c r="DP167" s="398"/>
      <c r="DQ167" s="398"/>
      <c r="DR167" s="398"/>
      <c r="DS167" s="398"/>
      <c r="DT167" s="398"/>
      <c r="DU167" s="398"/>
      <c r="DV167" s="398"/>
      <c r="DW167" s="398"/>
      <c r="DX167" s="398"/>
      <c r="EC167"/>
    </row>
    <row r="168" spans="1:133" s="126" customFormat="1" ht="21" customHeight="1" x14ac:dyDescent="0.4">
      <c r="A168" s="233" t="s">
        <v>192</v>
      </c>
      <c r="B168" s="127" t="s">
        <v>192</v>
      </c>
      <c r="C168" s="127">
        <v>4057111</v>
      </c>
      <c r="D168" s="127" t="s">
        <v>187</v>
      </c>
      <c r="E168" s="127" t="s">
        <v>15</v>
      </c>
      <c r="F168" s="127"/>
      <c r="G168" s="127" t="s">
        <v>169</v>
      </c>
      <c r="H168" s="128">
        <v>2013</v>
      </c>
      <c r="I168" s="129"/>
      <c r="J168" s="125">
        <f>IFERROR(INDEX('Labor Expenditures'!$E$7:$W$91,MATCH($C168,'Labor Expenditures'!$C$7:$C$91,0),MATCH($G168,'Labor Expenditures'!$E$5:$W$5,0)),"NA")</f>
        <v>68025.816273212113</v>
      </c>
      <c r="K168" s="125">
        <f t="shared" ca="1" si="333"/>
        <v>536.48120089283998</v>
      </c>
      <c r="L168" s="47"/>
      <c r="M168" s="131">
        <f t="shared" ca="1" si="341"/>
        <v>0.18998449275042043</v>
      </c>
      <c r="N168" s="59"/>
      <c r="O168" s="59"/>
      <c r="P168" s="59">
        <f t="shared" ca="1" si="342"/>
        <v>4.5686382453933886E-3</v>
      </c>
      <c r="Q168" s="61"/>
      <c r="R168" s="387"/>
      <c r="S168" s="49">
        <f t="shared" ca="1" si="347"/>
        <v>108.35814919479145</v>
      </c>
      <c r="T168" s="61">
        <f ca="1">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</f>
        <v>-5.3605407248770963E-2</v>
      </c>
      <c r="U168" s="61"/>
      <c r="V168" s="125">
        <f>IFERROR(INDEX('Non-Labor Expenditures'!$E$7:$AA$91,MATCH($C168,'Non-Labor Expenditures'!$C$7:$C$91,0),MATCH($G168,'Non-Labor Expenditures'!$E$5:$AA$5,0)),"NA")</f>
        <v>98514.087433504872</v>
      </c>
      <c r="W168" s="125">
        <f t="shared" si="334"/>
        <v>967.9786135173855</v>
      </c>
      <c r="X168" s="131">
        <f t="shared" si="343"/>
        <v>0.18830842180170834</v>
      </c>
      <c r="Y168" s="131">
        <f t="shared" si="344"/>
        <v>4.5283330513882225E-3</v>
      </c>
      <c r="Z168" s="131"/>
      <c r="AA168" s="131"/>
      <c r="AB168" s="131"/>
      <c r="AC168" s="125">
        <f t="shared" si="313"/>
        <v>67455.475704946744</v>
      </c>
      <c r="AD168" s="129"/>
      <c r="AE168" s="133">
        <v>4501.5645900790933</v>
      </c>
      <c r="AF168" s="134">
        <v>1.3999887499719064E-2</v>
      </c>
      <c r="AG168" s="59">
        <f t="shared" si="339"/>
        <v>3.3666127448857166E-4</v>
      </c>
      <c r="AH168" s="134"/>
      <c r="AI168" s="134"/>
      <c r="AJ168" s="129">
        <f t="shared" si="331"/>
        <v>233995.37941166374</v>
      </c>
      <c r="AK168" s="134">
        <f t="shared" si="345"/>
        <v>0.13975043593817632</v>
      </c>
      <c r="AL168" s="129"/>
      <c r="AM168" s="129"/>
      <c r="AN168" s="129"/>
      <c r="AO168" s="129"/>
      <c r="AP168" s="133">
        <f t="shared" si="346"/>
        <v>345.57395120172578</v>
      </c>
      <c r="AQ168" s="134">
        <f>+BB168/Outputs!$B$21</f>
        <v>1.8839021422900462E-2</v>
      </c>
      <c r="AR168" s="93">
        <f t="shared" si="335"/>
        <v>0.29071435702811699</v>
      </c>
      <c r="AS168" s="93">
        <f t="shared" si="336"/>
        <v>0.42100868692877419</v>
      </c>
      <c r="AT168" s="93">
        <f t="shared" si="337"/>
        <v>0.28827695604310877</v>
      </c>
      <c r="AU168" s="93">
        <f t="shared" ca="1" si="340"/>
        <v>0.134561470257201</v>
      </c>
      <c r="AV168" s="132">
        <f t="shared" ca="1" si="349"/>
        <v>118.29368086762904</v>
      </c>
      <c r="AW168" s="134">
        <f t="shared" ca="1" si="350"/>
        <v>0.13456147025720094</v>
      </c>
      <c r="AX168" s="56">
        <f>+AJ168/$AL$18</f>
        <v>2.4047427130777118E-2</v>
      </c>
      <c r="AY168" s="135">
        <f t="shared" ca="1" si="348"/>
        <v>3.2358571506202723E-3</v>
      </c>
      <c r="AZ168" s="93"/>
      <c r="BA168" s="93"/>
      <c r="BB168" s="234">
        <f>IFERROR(INDEX('Total Customers'!$E$7:$AA$91,MATCH($C168,'Total Customers'!$C$7:$C$91,0),MATCH($G168,'Total Customers'!$E$5:$AA$5,0)),"NA")</f>
        <v>677121</v>
      </c>
      <c r="BC168" s="411">
        <f t="shared" si="283"/>
        <v>1.1929911837727489E-2</v>
      </c>
      <c r="BD168" s="92"/>
      <c r="BE168" s="281" t="str">
        <f t="shared" si="278"/>
        <v>BOSTON GAS COMPANY</v>
      </c>
      <c r="BF168" s="290">
        <f t="shared" si="279"/>
        <v>4057111</v>
      </c>
      <c r="BG168" s="46" t="str">
        <f t="shared" si="280"/>
        <v>MA</v>
      </c>
      <c r="BH168" s="46"/>
      <c r="BI168" s="46" t="str">
        <f t="shared" si="281"/>
        <v>2013 Y</v>
      </c>
      <c r="BJ168" s="129"/>
      <c r="BK168" s="129"/>
      <c r="BL168" s="129">
        <f>INDEX('Dist. Plant Gas Additions'!$E$7:$AD$91,MATCH($C168,'Dist. Plant Gas Additions'!$C$7:$C$91,0),MATCH(Calculation!$G168,'Dist. Plant Gas Additions'!$E$5:$AD$5,0))</f>
        <v>56659</v>
      </c>
      <c r="BM168" s="129">
        <f>INDEX('Gen. Plant Additions'!$E$7:$AD$91,MATCH($C168,'Gen. Plant Additions'!$C$7:$C$91,0),MATCH(Calculation!$G168,'Gen. Plant Additions'!$E$5:$AD$5,0))</f>
        <v>7330</v>
      </c>
      <c r="BN168" s="393">
        <f t="shared" si="314"/>
        <v>0.95173462613287219</v>
      </c>
      <c r="BO168" s="46">
        <f t="shared" si="351"/>
        <v>6976.2148095539533</v>
      </c>
      <c r="BP168" s="46">
        <f t="shared" si="352"/>
        <v>-353.78519044604673</v>
      </c>
      <c r="BQ168" s="129"/>
      <c r="BR168" s="129"/>
      <c r="BS168" s="129"/>
      <c r="BT168" s="129"/>
      <c r="BU168" s="129"/>
      <c r="BV168" s="129"/>
      <c r="BW168" s="129"/>
      <c r="BX168" s="129"/>
      <c r="BY168" s="129">
        <f>INDEX('Gross Dx Plant'!$D$7:$AC$91,MATCH($C168,'Gross Dx Plant'!$C$7:$C$91,0),MATCH(Calculation!$G168,'Gross Dx Plant'!$D$5:$AC$5,0))</f>
        <v>1232858</v>
      </c>
      <c r="BZ168" s="129">
        <f>INDEX('Gross Gen Plant'!$D$7:$AC$91,MATCH($C168,'Gross Gen Plant'!$C$7:$C$91,0),MATCH(Calculation!$G168,'Gross Gen Plant'!$D$5:$AC$5,0))</f>
        <v>62522</v>
      </c>
      <c r="CA168" s="129">
        <f t="shared" si="307"/>
        <v>1295380</v>
      </c>
      <c r="CB168" s="129"/>
      <c r="CC168" s="133">
        <v>2013</v>
      </c>
      <c r="CD168" s="129"/>
      <c r="CE168" s="129"/>
      <c r="CF168" s="129"/>
      <c r="CG168" s="137"/>
      <c r="CH168" s="129">
        <f t="shared" si="315"/>
        <v>63989</v>
      </c>
      <c r="CI168" s="46">
        <f t="shared" si="324"/>
        <v>63635.214809553952</v>
      </c>
      <c r="CJ168" s="46">
        <f t="shared" si="316"/>
        <v>95.944768631162219</v>
      </c>
      <c r="CK168" s="443">
        <v>0.82758620689655171</v>
      </c>
      <c r="CL168" s="46">
        <f>+CL153*CK168+CJ154*CK167+CJ155*CK166+CJ156*CK165+CJ157*CK164+CJ158*CK163+CJ159*CK162+CJ160*CK161+CJ161*CK160+CJ162*CK159+CJ163*CK158+CJ164*CK157+CJ165*CK156+CJ166*CK155+CJ167*CK154+CJ168</f>
        <v>4208.0754830004753</v>
      </c>
      <c r="CM168" s="134">
        <f t="shared" si="317"/>
        <v>8.8129266568612811E-3</v>
      </c>
      <c r="CN168" s="135">
        <f t="shared" si="318"/>
        <v>1.4150103180676133E-2</v>
      </c>
      <c r="CO168" s="135">
        <f t="shared" si="327"/>
        <v>1.3799115003159496E-2</v>
      </c>
      <c r="CP168" s="134">
        <f>VLOOKUP($H168,RoR!$E:$F,2,FALSE)</f>
        <v>4.2350000000000006E-2</v>
      </c>
      <c r="CQ168" s="135">
        <v>1.7730000000000024E-2</v>
      </c>
      <c r="CR168" s="135">
        <f t="shared" si="325"/>
        <v>2.4619999999999982E-2</v>
      </c>
      <c r="CS168" s="135">
        <f t="shared" si="328"/>
        <v>1.7102826605374127E-2</v>
      </c>
      <c r="CT168" s="135">
        <f t="shared" si="329"/>
        <v>5.3376742735721204E-2</v>
      </c>
      <c r="CU168" s="139">
        <f t="shared" si="319"/>
        <v>0.84940815000000003</v>
      </c>
      <c r="CV168" s="335">
        <f t="shared" si="320"/>
        <v>1.2109103018193925</v>
      </c>
      <c r="CW168" s="335">
        <f t="shared" si="321"/>
        <v>0.38468122786304604</v>
      </c>
      <c r="CX168" s="335">
        <f t="shared" si="322"/>
        <v>0.80969194503422559</v>
      </c>
      <c r="CY168" s="335">
        <f t="shared" si="323"/>
        <v>0.37716621754800816</v>
      </c>
      <c r="CZ168" s="336">
        <f>INDEX('State Tax Lookup'!$D$7:$Z$91,MATCH(Calculation!$C168,'State Tax Lookup'!$B$7:$B$91,0),MATCH($H168,'State Tax Lookup'!$D$6:$Z$6,0))</f>
        <v>0.40700500000000001</v>
      </c>
      <c r="DA168" s="303">
        <v>0.37</v>
      </c>
      <c r="DB168" s="57">
        <f t="shared" si="326"/>
        <v>16.171901717822596</v>
      </c>
      <c r="DC168" s="56">
        <f t="shared" si="330"/>
        <v>-2.7258039794496609E-2</v>
      </c>
      <c r="DD168" s="303">
        <f>VLOOKUP($H168,RoR!$E:$F,2,FALSE)</f>
        <v>4.2350000000000006E-2</v>
      </c>
      <c r="DE168" s="304">
        <f>HLOOKUP($H168,'GDP-PI'!$D$8:$CQ$11,3,FALSE)</f>
        <v>1.7730000000000024E-2</v>
      </c>
      <c r="DF168" s="303">
        <f>VLOOKUP(H168,'HW Dx Data'!$E:$F,2,FALSE)</f>
        <v>663.24840548821396</v>
      </c>
      <c r="DG168" s="89">
        <f ca="1">VLOOKUP(CC168,'ECI - Input Price'!M$13:N$33,2,FALSE)</f>
        <v>126.8</v>
      </c>
      <c r="DH168" s="89"/>
      <c r="DI168" s="89"/>
      <c r="DJ168" s="56">
        <f t="shared" ca="1" si="338"/>
        <v>1.5898586067798204E-2</v>
      </c>
      <c r="DK168" s="53">
        <f>HLOOKUP(H168,'GDP-PI'!$8:$9,2,FALSE)</f>
        <v>101.773</v>
      </c>
      <c r="DL168" s="355">
        <f t="shared" si="332"/>
        <v>1.7574657016510519E-2</v>
      </c>
      <c r="DP168" s="398"/>
      <c r="DQ168" s="398"/>
      <c r="DR168" s="398"/>
      <c r="DS168" s="398"/>
      <c r="DT168" s="398"/>
      <c r="DU168" s="398"/>
      <c r="DV168" s="398"/>
      <c r="DW168" s="398"/>
      <c r="DX168" s="398"/>
      <c r="EC168"/>
    </row>
    <row r="169" spans="1:133" s="126" customFormat="1" ht="21" customHeight="1" x14ac:dyDescent="0.4">
      <c r="A169" s="233" t="s">
        <v>192</v>
      </c>
      <c r="B169" s="127" t="s">
        <v>192</v>
      </c>
      <c r="C169" s="127">
        <v>4057111</v>
      </c>
      <c r="D169" s="127" t="s">
        <v>187</v>
      </c>
      <c r="E169" s="127" t="s">
        <v>15</v>
      </c>
      <c r="F169" s="127"/>
      <c r="G169" s="127" t="s">
        <v>170</v>
      </c>
      <c r="H169" s="128">
        <v>2014</v>
      </c>
      <c r="I169" s="129"/>
      <c r="J169" s="125">
        <f>IFERROR(INDEX('Labor Expenditures'!$E$7:$W$91,MATCH($C169,'Labor Expenditures'!$C$7:$C$91,0),MATCH($G169,'Labor Expenditures'!$E$5:$W$5,0)),"NA")</f>
        <v>69294.100166773147</v>
      </c>
      <c r="K169" s="125">
        <f t="shared" ca="1" si="333"/>
        <v>535.50309247892687</v>
      </c>
      <c r="L169" s="47"/>
      <c r="M169" s="131">
        <f t="shared" ca="1" si="341"/>
        <v>-1.8248563740983121E-3</v>
      </c>
      <c r="N169" s="59"/>
      <c r="O169" s="59"/>
      <c r="P169" s="59">
        <f t="shared" ca="1" si="342"/>
        <v>-4.3910599903300028E-5</v>
      </c>
      <c r="Q169" s="61"/>
      <c r="R169" s="387"/>
      <c r="S169" s="49">
        <f t="shared" ca="1" si="347"/>
        <v>121.93177782320905</v>
      </c>
      <c r="T169" s="61">
        <f ca="1">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</f>
        <v>0.11801975323362941</v>
      </c>
      <c r="U169" s="61"/>
      <c r="V169" s="125">
        <f>IFERROR(INDEX('Non-Labor Expenditures'!$E$7:$AA$91,MATCH($C169,'Non-Labor Expenditures'!$C$7:$C$91,0),MATCH($G169,'Non-Labor Expenditures'!$E$5:$AA$5,0)),"NA")</f>
        <v>100350.79939413707</v>
      </c>
      <c r="W169" s="125">
        <f t="shared" si="334"/>
        <v>968.19781946546505</v>
      </c>
      <c r="X169" s="131">
        <f t="shared" si="343"/>
        <v>2.2643179132015491E-4</v>
      </c>
      <c r="Y169" s="131">
        <f t="shared" si="344"/>
        <v>5.4485141598936543E-6</v>
      </c>
      <c r="Z169" s="131"/>
      <c r="AA169" s="131"/>
      <c r="AB169" s="131"/>
      <c r="AC169" s="125">
        <f t="shared" si="313"/>
        <v>68795.598972921172</v>
      </c>
      <c r="AD169" s="129"/>
      <c r="AE169" s="133">
        <v>4595.4399361425276</v>
      </c>
      <c r="AF169" s="134">
        <v>2.0639470552770975E-2</v>
      </c>
      <c r="AG169" s="59">
        <f t="shared" si="339"/>
        <v>4.9663718554644092E-4</v>
      </c>
      <c r="AH169" s="134"/>
      <c r="AI169" s="134"/>
      <c r="AJ169" s="129">
        <f t="shared" si="331"/>
        <v>238440.49853383139</v>
      </c>
      <c r="AK169" s="134">
        <f t="shared" si="345"/>
        <v>1.8818428105388901E-2</v>
      </c>
      <c r="AL169" s="129"/>
      <c r="AM169" s="129"/>
      <c r="AN169" s="129"/>
      <c r="AO169" s="129"/>
      <c r="AP169" s="133">
        <f t="shared" si="346"/>
        <v>346.00421190585087</v>
      </c>
      <c r="AQ169" s="134">
        <f>+BB169/Outputs!$B$22</f>
        <v>1.9070572292065685E-2</v>
      </c>
      <c r="AR169" s="93">
        <f t="shared" si="335"/>
        <v>0.29061380341369014</v>
      </c>
      <c r="AS169" s="93">
        <f t="shared" si="336"/>
        <v>0.42086306651425948</v>
      </c>
      <c r="AT169" s="93">
        <f t="shared" si="337"/>
        <v>0.28852313007205038</v>
      </c>
      <c r="AU169" s="93">
        <f t="shared" ca="1" si="340"/>
        <v>5.517317261189229E-3</v>
      </c>
      <c r="AV169" s="132">
        <f t="shared" ca="1" si="349"/>
        <v>118.9481484273434</v>
      </c>
      <c r="AW169" s="134">
        <f t="shared" ca="1" si="350"/>
        <v>5.5173172611892481E-3</v>
      </c>
      <c r="AX169" s="56">
        <f>+AJ169/$AL$19</f>
        <v>2.4062496384131538E-2</v>
      </c>
      <c r="AY169" s="135">
        <f t="shared" ca="1" si="348"/>
        <v>1.327604266474728E-4</v>
      </c>
      <c r="AZ169" s="93"/>
      <c r="BA169" s="93"/>
      <c r="BB169" s="234">
        <f>IFERROR(INDEX('Total Customers'!$E$7:$AA$91,MATCH($C169,'Total Customers'!$C$7:$C$91,0),MATCH($G169,'Total Customers'!$E$5:$AA$5,0)),"NA")</f>
        <v>689126</v>
      </c>
      <c r="BC169" s="411">
        <f t="shared" si="283"/>
        <v>1.7574141392504988E-2</v>
      </c>
      <c r="BD169" s="92"/>
      <c r="BE169" s="281" t="str">
        <f t="shared" si="278"/>
        <v>BOSTON GAS COMPANY</v>
      </c>
      <c r="BF169" s="290">
        <f t="shared" si="279"/>
        <v>4057111</v>
      </c>
      <c r="BG169" s="46" t="str">
        <f t="shared" si="280"/>
        <v>MA</v>
      </c>
      <c r="BH169" s="46"/>
      <c r="BI169" s="46" t="str">
        <f t="shared" si="281"/>
        <v>2014 Y</v>
      </c>
      <c r="BJ169" s="129"/>
      <c r="BK169" s="129"/>
      <c r="BL169" s="129">
        <f>INDEX('Dist. Plant Gas Additions'!$E$7:$AD$91,MATCH($C169,'Dist. Plant Gas Additions'!$C$7:$C$91,0),MATCH(Calculation!$G169,'Dist. Plant Gas Additions'!$E$5:$AD$5,0))</f>
        <v>85068</v>
      </c>
      <c r="BM169" s="129">
        <f>INDEX('Gen. Plant Additions'!$E$7:$AD$91,MATCH($C169,'Gen. Plant Additions'!$C$7:$C$91,0),MATCH(Calculation!$G169,'Gen. Plant Additions'!$E$5:$AD$5,0))</f>
        <v>3569</v>
      </c>
      <c r="BN169" s="393">
        <f t="shared" si="314"/>
        <v>0.95213999701234775</v>
      </c>
      <c r="BO169" s="46">
        <f t="shared" si="351"/>
        <v>3398.1876493370692</v>
      </c>
      <c r="BP169" s="46">
        <f t="shared" si="352"/>
        <v>-170.81235066293084</v>
      </c>
      <c r="BQ169" s="129"/>
      <c r="BR169" s="129"/>
      <c r="BS169" s="129"/>
      <c r="BT169" s="129"/>
      <c r="BU169" s="129"/>
      <c r="BV169" s="129"/>
      <c r="BW169" s="129"/>
      <c r="BX169" s="129"/>
      <c r="BY169" s="129">
        <f>INDEX('Gross Dx Plant'!$D$7:$AC$91,MATCH($C169,'Gross Dx Plant'!$C$7:$C$91,0),MATCH(Calculation!$G169,'Gross Dx Plant'!$D$5:$AC$5,0))</f>
        <v>1306636</v>
      </c>
      <c r="BZ169" s="129">
        <f>INDEX('Gross Gen Plant'!$D$7:$AC$91,MATCH($C169,'Gross Gen Plant'!$C$7:$C$91,0),MATCH(Calculation!$G169,'Gross Gen Plant'!$D$5:$AC$5,0))</f>
        <v>65679</v>
      </c>
      <c r="CA169" s="129">
        <f t="shared" si="307"/>
        <v>1372315</v>
      </c>
      <c r="CB169" s="129"/>
      <c r="CC169" s="133">
        <v>2014</v>
      </c>
      <c r="CD169" s="129"/>
      <c r="CE169" s="129"/>
      <c r="CF169" s="129"/>
      <c r="CG169" s="137"/>
      <c r="CH169" s="129">
        <f t="shared" si="315"/>
        <v>88637</v>
      </c>
      <c r="CI169" s="46">
        <f t="shared" si="324"/>
        <v>88466.187649337066</v>
      </c>
      <c r="CJ169" s="46">
        <f t="shared" si="316"/>
        <v>129.24788293731572</v>
      </c>
      <c r="CK169" s="443">
        <v>0.81395348837209303</v>
      </c>
      <c r="CL169" s="46">
        <f>+CL153*CK169+CJ154*CK168+CJ155*CK167+CJ156*CK166+CJ157*CK165+CJ158*CK164+CJ159*CK163+CJ160*CK162+CJ161*CK161+CJ162*CK160+CJ163*CK159+CJ164*CK158+CJ165*CK157+CJ166*CK156+CJ167*CK155+CJ168*CK154+CJ169</f>
        <v>4276.0203368530219</v>
      </c>
      <c r="CM169" s="134">
        <f t="shared" si="317"/>
        <v>1.6017335947641691E-2</v>
      </c>
      <c r="CN169" s="135">
        <f t="shared" si="318"/>
        <v>1.4567949014321933E-2</v>
      </c>
      <c r="CO169" s="135">
        <f t="shared" si="327"/>
        <v>1.4170163213910623E-2</v>
      </c>
      <c r="CP169" s="134">
        <f>VLOOKUP($H169,RoR!$E:$F,2,FALSE)</f>
        <v>4.1625000000000002E-2</v>
      </c>
      <c r="CQ169" s="135">
        <v>1.841352814597208E-2</v>
      </c>
      <c r="CR169" s="135">
        <f t="shared" si="325"/>
        <v>2.3211471854027922E-2</v>
      </c>
      <c r="CS169" s="135">
        <f t="shared" si="328"/>
        <v>1.6731778394623004E-2</v>
      </c>
      <c r="CT169" s="135">
        <f t="shared" si="329"/>
        <v>3.9072621432650924E-2</v>
      </c>
      <c r="CU169" s="139">
        <f t="shared" si="319"/>
        <v>0.84940815000000003</v>
      </c>
      <c r="CV169" s="335">
        <f t="shared" si="320"/>
        <v>1.2320012320012319</v>
      </c>
      <c r="CW169" s="335">
        <f t="shared" si="321"/>
        <v>0.37439939939939942</v>
      </c>
      <c r="CX169" s="335">
        <f t="shared" si="322"/>
        <v>0.80432100613819935</v>
      </c>
      <c r="CY169" s="335">
        <f t="shared" si="323"/>
        <v>0.37100152660040037</v>
      </c>
      <c r="CZ169" s="336">
        <f>INDEX('State Tax Lookup'!$D$7:$Z$91,MATCH(Calculation!$C169,'State Tax Lookup'!$B$7:$B$91,0),MATCH($H169,'State Tax Lookup'!$D$6:$Z$6,0))</f>
        <v>0.40700500000000001</v>
      </c>
      <c r="DA169" s="303">
        <v>0.37</v>
      </c>
      <c r="DB169" s="57">
        <f t="shared" si="326"/>
        <v>16.348470756011245</v>
      </c>
      <c r="DC169" s="56">
        <f t="shared" si="330"/>
        <v>1.0859086771465604E-2</v>
      </c>
      <c r="DD169" s="303">
        <f>VLOOKUP($H169,RoR!$E:$F,2,FALSE)</f>
        <v>4.1625000000000002E-2</v>
      </c>
      <c r="DE169" s="304">
        <f>HLOOKUP($H169,'GDP-PI'!$D$8:$CQ$11,3,FALSE)</f>
        <v>1.841352814597208E-2</v>
      </c>
      <c r="DF169" s="303">
        <f>VLOOKUP(H169,'HW Dx Data'!$E:$F,2,FALSE)</f>
        <v>684.46914285042885</v>
      </c>
      <c r="DG169" s="89">
        <f ca="1">VLOOKUP(CC169,'ECI - Input Price'!M$13:N$33,2,FALSE)</f>
        <v>129.4</v>
      </c>
      <c r="DH169" s="89"/>
      <c r="DI169" s="89"/>
      <c r="DJ169" s="56">
        <f t="shared" ca="1" si="338"/>
        <v>2.0297340063674733E-2</v>
      </c>
      <c r="DK169" s="53">
        <f>HLOOKUP(H169,'GDP-PI'!$8:$9,2,FALSE)</f>
        <v>103.64700000000001</v>
      </c>
      <c r="DL169" s="355">
        <f t="shared" si="332"/>
        <v>1.8246051898256087E-2</v>
      </c>
      <c r="DP169" s="398"/>
      <c r="DQ169" s="398"/>
      <c r="DR169" s="398"/>
      <c r="DS169" s="398"/>
      <c r="DT169" s="398"/>
      <c r="DU169" s="398"/>
      <c r="DV169" s="398"/>
      <c r="DW169" s="398"/>
      <c r="DX169" s="398"/>
      <c r="EC169"/>
    </row>
    <row r="170" spans="1:133" s="126" customFormat="1" ht="21" customHeight="1" x14ac:dyDescent="0.4">
      <c r="A170" s="233" t="s">
        <v>192</v>
      </c>
      <c r="B170" s="127" t="s">
        <v>192</v>
      </c>
      <c r="C170" s="127">
        <v>4057111</v>
      </c>
      <c r="D170" s="127" t="s">
        <v>187</v>
      </c>
      <c r="E170" s="127" t="s">
        <v>15</v>
      </c>
      <c r="F170" s="127"/>
      <c r="G170" s="127" t="s">
        <v>171</v>
      </c>
      <c r="H170" s="128">
        <v>2015</v>
      </c>
      <c r="I170" s="129"/>
      <c r="J170" s="125">
        <f>IFERROR(INDEX('Labor Expenditures'!$E$7:$W$91,MATCH($C170,'Labor Expenditures'!$C$7:$C$91,0),MATCH($G170,'Labor Expenditures'!$E$5:$W$5,0)),"NA")</f>
        <v>63080.933254042786</v>
      </c>
      <c r="K170" s="125">
        <f t="shared" ca="1" si="333"/>
        <v>472.5163539628673</v>
      </c>
      <c r="L170" s="47"/>
      <c r="M170" s="131">
        <f t="shared" ca="1" si="341"/>
        <v>-0.12513430691197855</v>
      </c>
      <c r="N170" s="59"/>
      <c r="O170" s="59"/>
      <c r="P170" s="59">
        <f t="shared" ca="1" si="342"/>
        <v>-2.7894471308713563E-3</v>
      </c>
      <c r="Q170" s="61"/>
      <c r="R170" s="387"/>
      <c r="S170" s="49">
        <f t="shared" ca="1" si="347"/>
        <v>119.41490768968895</v>
      </c>
      <c r="T170" s="61">
        <f ca="1">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</f>
        <v>-2.0857641965947374E-2</v>
      </c>
      <c r="U170" s="61"/>
      <c r="V170" s="125">
        <f>IFERROR(INDEX('Non-Labor Expenditures'!$E$7:$AA$91,MATCH($C170,'Non-Labor Expenditures'!$C$7:$C$91,0),MATCH($G170,'Non-Labor Expenditures'!$E$5:$AA$5,0)),"NA")</f>
        <v>91352.973244997411</v>
      </c>
      <c r="W170" s="125">
        <f t="shared" si="334"/>
        <v>873.02987648006399</v>
      </c>
      <c r="X170" s="131">
        <f t="shared" si="343"/>
        <v>-0.10346664732391737</v>
      </c>
      <c r="Y170" s="131">
        <f t="shared" si="344"/>
        <v>-2.3064397737192566E-3</v>
      </c>
      <c r="Z170" s="131"/>
      <c r="AA170" s="131"/>
      <c r="AB170" s="131"/>
      <c r="AC170" s="125">
        <f t="shared" si="313"/>
        <v>67603.302020689953</v>
      </c>
      <c r="AD170" s="129"/>
      <c r="AE170" s="133">
        <v>4681.349254950188</v>
      </c>
      <c r="AF170" s="134">
        <v>1.8521877133926265E-2</v>
      </c>
      <c r="AG170" s="59">
        <f t="shared" si="339"/>
        <v>4.1288275217702639E-4</v>
      </c>
      <c r="AH170" s="134"/>
      <c r="AI170" s="134"/>
      <c r="AJ170" s="129">
        <f t="shared" si="331"/>
        <v>222037.20851973013</v>
      </c>
      <c r="AK170" s="134">
        <f t="shared" si="345"/>
        <v>-7.1274823391429626E-2</v>
      </c>
      <c r="AL170" s="129"/>
      <c r="AM170" s="129"/>
      <c r="AN170" s="129"/>
      <c r="AO170" s="129"/>
      <c r="AP170" s="133">
        <f t="shared" si="346"/>
        <v>322.76884686127937</v>
      </c>
      <c r="AQ170" s="134">
        <f>+BB170/Outputs!$B$23</f>
        <v>1.8882236094349202E-2</v>
      </c>
      <c r="AR170" s="93">
        <f t="shared" si="335"/>
        <v>0.28410073101976258</v>
      </c>
      <c r="AS170" s="93">
        <f t="shared" si="336"/>
        <v>0.41143092121372904</v>
      </c>
      <c r="AT170" s="93">
        <f t="shared" si="337"/>
        <v>0.3044683477665085</v>
      </c>
      <c r="AU170" s="93">
        <f t="shared" ca="1" si="340"/>
        <v>-7.352392907132399E-2</v>
      </c>
      <c r="AV170" s="132">
        <f t="shared" ca="1" si="349"/>
        <v>110.51637959284855</v>
      </c>
      <c r="AW170" s="134">
        <f t="shared" ca="1" si="350"/>
        <v>-7.3523929071324004E-2</v>
      </c>
      <c r="AX170" s="56">
        <f>+AJ170/$AL$20</f>
        <v>2.2291625691693785E-2</v>
      </c>
      <c r="AY170" s="135">
        <f t="shared" ca="1" si="348"/>
        <v>-1.6389679062405976E-3</v>
      </c>
      <c r="AZ170" s="93"/>
      <c r="BA170" s="93"/>
      <c r="BB170" s="234">
        <f>IFERROR(INDEX('Total Customers'!$E$7:$AA$91,MATCH($C170,'Total Customers'!$C$7:$C$91,0),MATCH($G170,'Total Customers'!$E$5:$AA$5,0)),"NA")</f>
        <v>687914</v>
      </c>
      <c r="BC170" s="411">
        <f t="shared" si="283"/>
        <v>-1.7602979041473302E-3</v>
      </c>
      <c r="BD170" s="92"/>
      <c r="BE170" s="281" t="str">
        <f t="shared" si="278"/>
        <v>BOSTON GAS COMPANY</v>
      </c>
      <c r="BF170" s="290">
        <f t="shared" si="279"/>
        <v>4057111</v>
      </c>
      <c r="BG170" s="46" t="str">
        <f t="shared" si="280"/>
        <v>MA</v>
      </c>
      <c r="BH170" s="46"/>
      <c r="BI170" s="46" t="str">
        <f t="shared" si="281"/>
        <v>2015 Y</v>
      </c>
      <c r="BJ170" s="129"/>
      <c r="BK170" s="129"/>
      <c r="BL170" s="129">
        <f>INDEX('Dist. Plant Gas Additions'!$E$7:$AD$91,MATCH($C170,'Dist. Plant Gas Additions'!$C$7:$C$91,0),MATCH(Calculation!$G170,'Dist. Plant Gas Additions'!$E$5:$AD$5,0))</f>
        <v>80387</v>
      </c>
      <c r="BM170" s="129">
        <f>INDEX('Gen. Plant Additions'!$E$7:$AD$91,MATCH($C170,'Gen. Plant Additions'!$C$7:$C$91,0),MATCH(Calculation!$G170,'Gen. Plant Additions'!$E$5:$AD$5,0))</f>
        <v>3056</v>
      </c>
      <c r="BN170" s="393">
        <f t="shared" si="314"/>
        <v>0.94803847885052972</v>
      </c>
      <c r="BO170" s="46">
        <f t="shared" si="351"/>
        <v>2897.2055913672189</v>
      </c>
      <c r="BP170" s="46">
        <f t="shared" si="352"/>
        <v>-158.79440863278114</v>
      </c>
      <c r="BQ170" s="129"/>
      <c r="BR170" s="129"/>
      <c r="BS170" s="129"/>
      <c r="BT170" s="129"/>
      <c r="BU170" s="129"/>
      <c r="BV170" s="129"/>
      <c r="BW170" s="129"/>
      <c r="BX170" s="129"/>
      <c r="BY170" s="129">
        <f>INDEX('Gross Dx Plant'!$D$7:$AC$91,MATCH($C170,'Gross Dx Plant'!$C$7:$C$91,0),MATCH(Calculation!$G170,'Gross Dx Plant'!$D$5:$AC$5,0))</f>
        <v>1371149</v>
      </c>
      <c r="BZ170" s="129">
        <f>INDEX('Gross Gen Plant'!$D$7:$AC$91,MATCH($C170,'Gross Gen Plant'!$C$7:$C$91,0),MATCH(Calculation!$G170,'Gross Gen Plant'!$D$5:$AC$5,0))</f>
        <v>75152</v>
      </c>
      <c r="CA170" s="129">
        <f t="shared" si="307"/>
        <v>1446301</v>
      </c>
      <c r="CB170" s="129"/>
      <c r="CC170" s="133">
        <v>2015</v>
      </c>
      <c r="CD170" s="129"/>
      <c r="CE170" s="129"/>
      <c r="CF170" s="129"/>
      <c r="CG170" s="137"/>
      <c r="CH170" s="129">
        <f t="shared" si="315"/>
        <v>83443</v>
      </c>
      <c r="CI170" s="46">
        <f t="shared" si="324"/>
        <v>83284.205591367223</v>
      </c>
      <c r="CJ170" s="46">
        <f t="shared" si="316"/>
        <v>123.27176101984274</v>
      </c>
      <c r="CK170" s="443">
        <v>0.8</v>
      </c>
      <c r="CL170" s="46">
        <f>+CL153*CK170+CJ154*CK169+CJ155*CK168+CJ156*CK167+CJ157*CK166+CJ158*CK165+CJ159*CK164+CJ160*CK163+CJ161*CK162+CJ162*CK161+CJ163*CK160+CJ164*CK159+CJ165*CK158+CJ166*CK157+CJ167*CK156+CJ168*CK155+CJ169*CK154+CJ170</f>
        <v>4335.3139315853459</v>
      </c>
      <c r="CM170" s="134">
        <f t="shared" si="317"/>
        <v>1.3771276310317673E-2</v>
      </c>
      <c r="CN170" s="135">
        <f t="shared" si="318"/>
        <v>1.4962081853568569E-2</v>
      </c>
      <c r="CO170" s="135">
        <f t="shared" si="327"/>
        <v>1.4560044682855544E-2</v>
      </c>
      <c r="CP170" s="134">
        <f>VLOOKUP($H170,RoR!$E:$F,2,FALSE)</f>
        <v>3.8866666666666674E-2</v>
      </c>
      <c r="CQ170" s="135">
        <v>9.5709475431029478E-3</v>
      </c>
      <c r="CR170" s="135">
        <f t="shared" si="325"/>
        <v>2.9295719123563727E-2</v>
      </c>
      <c r="CS170" s="135">
        <f t="shared" si="328"/>
        <v>1.6341896925678081E-2</v>
      </c>
      <c r="CT170" s="135">
        <f t="shared" si="329"/>
        <v>3.5270373279175926E-3</v>
      </c>
      <c r="CU170" s="139">
        <f t="shared" si="319"/>
        <v>0.84940815000000003</v>
      </c>
      <c r="CV170" s="335">
        <f t="shared" si="320"/>
        <v>1.3194352816994324</v>
      </c>
      <c r="CW170" s="335">
        <f t="shared" si="321"/>
        <v>0.33177530017152673</v>
      </c>
      <c r="CX170" s="335">
        <f t="shared" si="322"/>
        <v>0.78242572977668579</v>
      </c>
      <c r="CY170" s="335">
        <f t="shared" si="323"/>
        <v>0.34251158643433932</v>
      </c>
      <c r="CZ170" s="336">
        <f>INDEX('State Tax Lookup'!$D$7:$Z$91,MATCH(Calculation!$C170,'State Tax Lookup'!$B$7:$B$91,0),MATCH($H170,'State Tax Lookup'!$D$6:$Z$6,0))</f>
        <v>0.40700500000000001</v>
      </c>
      <c r="DA170" s="303">
        <v>0.37</v>
      </c>
      <c r="DB170" s="57">
        <f t="shared" si="326"/>
        <v>15.809864475631388</v>
      </c>
      <c r="DC170" s="56">
        <f t="shared" si="330"/>
        <v>-3.3500282108150398E-2</v>
      </c>
      <c r="DD170" s="303">
        <f>VLOOKUP($H170,RoR!$E:$F,2,FALSE)</f>
        <v>3.8866666666666674E-2</v>
      </c>
      <c r="DE170" s="304">
        <f>HLOOKUP($H170,'GDP-PI'!$D$8:$CQ$11,3,FALSE)</f>
        <v>9.5709475431029478E-3</v>
      </c>
      <c r="DF170" s="303">
        <f>VLOOKUP(H170,'HW Dx Data'!$E:$F,2,FALSE)</f>
        <v>675.61463308665782</v>
      </c>
      <c r="DG170" s="89">
        <f ca="1">VLOOKUP(CC170,'ECI - Input Price'!M$13:N$33,2,FALSE)</f>
        <v>133.5</v>
      </c>
      <c r="DH170" s="89"/>
      <c r="DI170" s="89"/>
      <c r="DJ170" s="56">
        <f t="shared" ca="1" si="338"/>
        <v>3.1193095773504077E-2</v>
      </c>
      <c r="DK170" s="53">
        <f>HLOOKUP(H170,'GDP-PI'!$8:$9,2,FALSE)</f>
        <v>104.639</v>
      </c>
      <c r="DL170" s="355">
        <f t="shared" si="332"/>
        <v>9.5254361854427965E-3</v>
      </c>
      <c r="DP170" s="398"/>
      <c r="DQ170" s="398"/>
      <c r="DR170" s="398"/>
      <c r="DS170" s="398"/>
      <c r="DT170" s="398"/>
      <c r="DU170" s="398"/>
      <c r="DV170" s="398"/>
      <c r="DW170" s="398"/>
      <c r="DX170" s="398"/>
      <c r="EC170"/>
    </row>
    <row r="171" spans="1:133" s="126" customFormat="1" ht="21" customHeight="1" x14ac:dyDescent="0.4">
      <c r="A171" s="233" t="s">
        <v>192</v>
      </c>
      <c r="B171" s="127" t="s">
        <v>192</v>
      </c>
      <c r="C171" s="127">
        <v>4057111</v>
      </c>
      <c r="D171" s="127" t="s">
        <v>187</v>
      </c>
      <c r="E171" s="127" t="s">
        <v>15</v>
      </c>
      <c r="F171" s="127"/>
      <c r="G171" s="127" t="s">
        <v>172</v>
      </c>
      <c r="H171" s="128">
        <v>2016</v>
      </c>
      <c r="I171" s="129"/>
      <c r="J171" s="125">
        <f>IFERROR(INDEX('Labor Expenditures'!$E$7:$W$91,MATCH($C171,'Labor Expenditures'!$C$7:$C$91,0),MATCH($G171,'Labor Expenditures'!$E$5:$W$5,0)),"NA")</f>
        <v>73469.788829246812</v>
      </c>
      <c r="K171" s="125">
        <f t="shared" ca="1" si="333"/>
        <v>536.47162343371167</v>
      </c>
      <c r="L171" s="47"/>
      <c r="M171" s="131">
        <f t="shared" ca="1" si="341"/>
        <v>0.12694131076001722</v>
      </c>
      <c r="N171" s="59"/>
      <c r="O171" s="59"/>
      <c r="P171" s="59">
        <f t="shared" ca="1" si="342"/>
        <v>3.0403451871958364E-3</v>
      </c>
      <c r="Q171" s="61"/>
      <c r="R171" s="387"/>
      <c r="S171" s="49">
        <f t="shared" ca="1" si="347"/>
        <v>300.51812622027529</v>
      </c>
      <c r="T171" s="61">
        <f ca="1">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</f>
        <v>0.92290402416937278</v>
      </c>
      <c r="U171" s="61"/>
      <c r="V171" s="125">
        <f>IFERROR(INDEX('Non-Labor Expenditures'!$E$7:$AA$91,MATCH($C171,'Non-Labor Expenditures'!$C$7:$C$91,0),MATCH($G171,'Non-Labor Expenditures'!$E$5:$AA$5,0)),"NA")</f>
        <v>106397.97648846057</v>
      </c>
      <c r="W171" s="125">
        <f t="shared" si="334"/>
        <v>1006.2606537835795</v>
      </c>
      <c r="X171" s="131">
        <f t="shared" si="343"/>
        <v>0.14202663826159531</v>
      </c>
      <c r="Y171" s="131">
        <f t="shared" si="344"/>
        <v>3.4016507589761931E-3</v>
      </c>
      <c r="Z171" s="131"/>
      <c r="AA171" s="131"/>
      <c r="AB171" s="131"/>
      <c r="AC171" s="125">
        <f t="shared" si="313"/>
        <v>66407.416616934803</v>
      </c>
      <c r="AD171" s="129"/>
      <c r="AE171" s="133">
        <v>4796.6957139007873</v>
      </c>
      <c r="AF171" s="134">
        <v>2.4340917207089707E-2</v>
      </c>
      <c r="AG171" s="59">
        <f t="shared" si="339"/>
        <v>5.8298429439108046E-4</v>
      </c>
      <c r="AH171" s="134"/>
      <c r="AI171" s="134"/>
      <c r="AJ171" s="129">
        <f t="shared" si="331"/>
        <v>246275.1819346422</v>
      </c>
      <c r="AK171" s="134">
        <f t="shared" si="345"/>
        <v>0.10360456271464968</v>
      </c>
      <c r="AL171" s="129"/>
      <c r="AM171" s="129"/>
      <c r="AN171" s="129"/>
      <c r="AO171" s="129"/>
      <c r="AP171" s="133">
        <f t="shared" si="346"/>
        <v>341.64742807013175</v>
      </c>
      <c r="AQ171" s="134">
        <f>+BB171/Outputs!$B$24</f>
        <v>1.961519126829208E-2</v>
      </c>
      <c r="AR171" s="93">
        <f t="shared" si="335"/>
        <v>0.29832396529807298</v>
      </c>
      <c r="AS171" s="93">
        <f t="shared" si="336"/>
        <v>0.43202882098244483</v>
      </c>
      <c r="AT171" s="93">
        <f t="shared" si="337"/>
        <v>0.26964721371948208</v>
      </c>
      <c r="AU171" s="93">
        <f t="shared" ca="1" si="340"/>
        <v>0.10385100270606888</v>
      </c>
      <c r="AV171" s="132">
        <f t="shared" ca="1" si="349"/>
        <v>122.61075504008127</v>
      </c>
      <c r="AW171" s="134">
        <f t="shared" ca="1" si="350"/>
        <v>0.10385100270606883</v>
      </c>
      <c r="AX171" s="56">
        <f>+AJ171/$AL$21</f>
        <v>2.3950794024363075E-2</v>
      </c>
      <c r="AY171" s="135">
        <f t="shared" ca="1" si="348"/>
        <v>2.4873139750366266E-3</v>
      </c>
      <c r="AZ171" s="93"/>
      <c r="BA171" s="93"/>
      <c r="BB171" s="234">
        <f>IFERROR(INDEX('Total Customers'!$E$7:$AA$91,MATCH($C171,'Total Customers'!$C$7:$C$91,0),MATCH($G171,'Total Customers'!$E$5:$AA$5,0)),"NA")</f>
        <v>720846</v>
      </c>
      <c r="BC171" s="411">
        <f t="shared" si="283"/>
        <v>4.6761692117677223E-2</v>
      </c>
      <c r="BD171" s="92"/>
      <c r="BE171" s="281" t="str">
        <f t="shared" si="278"/>
        <v>BOSTON GAS COMPANY</v>
      </c>
      <c r="BF171" s="290">
        <f t="shared" si="279"/>
        <v>4057111</v>
      </c>
      <c r="BG171" s="46" t="str">
        <f t="shared" si="280"/>
        <v>MA</v>
      </c>
      <c r="BH171" s="46"/>
      <c r="BI171" s="46" t="str">
        <f t="shared" si="281"/>
        <v>2016 Y</v>
      </c>
      <c r="BJ171" s="129"/>
      <c r="BK171" s="129"/>
      <c r="BL171" s="129">
        <f>INDEX('Dist. Plant Gas Additions'!$E$7:$AD$91,MATCH($C171,'Dist. Plant Gas Additions'!$C$7:$C$91,0),MATCH(Calculation!$G171,'Dist. Plant Gas Additions'!$E$5:$AD$5,0))</f>
        <v>86820</v>
      </c>
      <c r="BM171" s="129">
        <f>INDEX('Gen. Plant Additions'!$E$7:$AD$91,MATCH($C171,'Gen. Plant Additions'!$C$7:$C$91,0),MATCH(Calculation!$G171,'Gen. Plant Additions'!$E$5:$AD$5,0))</f>
        <v>17246</v>
      </c>
      <c r="BN171" s="393">
        <f t="shared" si="314"/>
        <v>0.94167225472287097</v>
      </c>
      <c r="BO171" s="46">
        <f t="shared" si="351"/>
        <v>16240.079704950633</v>
      </c>
      <c r="BP171" s="46">
        <f t="shared" si="352"/>
        <v>-1005.9202950493673</v>
      </c>
      <c r="BQ171" s="129"/>
      <c r="BR171" s="129"/>
      <c r="BS171" s="129"/>
      <c r="BT171" s="129"/>
      <c r="BU171" s="129"/>
      <c r="BV171" s="129"/>
      <c r="BW171" s="129"/>
      <c r="BX171" s="129"/>
      <c r="BY171" s="129">
        <f>INDEX('Gross Dx Plant'!$D$7:$AC$91,MATCH($C171,'Gross Dx Plant'!$C$7:$C$91,0),MATCH(Calculation!$G171,'Gross Dx Plant'!$D$5:$AC$5,0))</f>
        <v>1384633</v>
      </c>
      <c r="BZ171" s="129">
        <f>INDEX('Gross Gen Plant'!$D$7:$AC$91,MATCH($C171,'Gross Gen Plant'!$C$7:$C$91,0),MATCH(Calculation!$G171,'Gross Gen Plant'!$D$5:$AC$5,0))</f>
        <v>85765</v>
      </c>
      <c r="CA171" s="129">
        <f t="shared" si="307"/>
        <v>1470398</v>
      </c>
      <c r="CB171" s="129"/>
      <c r="CC171" s="133">
        <v>2016</v>
      </c>
      <c r="CD171" s="129"/>
      <c r="CE171" s="129"/>
      <c r="CF171" s="129"/>
      <c r="CG171" s="137"/>
      <c r="CH171" s="129">
        <f t="shared" si="315"/>
        <v>104066</v>
      </c>
      <c r="CI171" s="46">
        <f t="shared" si="324"/>
        <v>103060.07970495064</v>
      </c>
      <c r="CJ171" s="46">
        <f t="shared" si="316"/>
        <v>153.48737557257223</v>
      </c>
      <c r="CK171" s="443">
        <v>0.7857142857142857</v>
      </c>
      <c r="CL171" s="46">
        <f>+CL153*CK171+CJ154*CK170+CJ155*CK169+CJ156*CK168+CJ157*CK167+CJ158*CK166+CJ159*CK165+CJ160*CK164+CJ161*CK163+CJ162*CK162+CJ163*CK161+CJ164*CK160+CJ165*CK159+CJ166*CK158+CJ167*CK157+CJ168*CK156+CJ169*CK155+CJ170*CK154+CJ171</f>
        <v>4422.1332702912805</v>
      </c>
      <c r="CM171" s="134">
        <f t="shared" si="317"/>
        <v>1.9828194485732118E-2</v>
      </c>
      <c r="CN171" s="135">
        <f t="shared" si="318"/>
        <v>1.5377902942834492E-2</v>
      </c>
      <c r="CO171" s="135">
        <f t="shared" si="327"/>
        <v>1.4969311270241667E-2</v>
      </c>
      <c r="CP171" s="134">
        <f>VLOOKUP($H171,RoR!$E:$F,2,FALSE)</f>
        <v>3.6658333333333334E-2</v>
      </c>
      <c r="CQ171" s="135">
        <v>1.0483662879041455E-2</v>
      </c>
      <c r="CR171" s="135">
        <f t="shared" si="325"/>
        <v>2.6174670454291879E-2</v>
      </c>
      <c r="CS171" s="135">
        <f t="shared" si="328"/>
        <v>1.593263033829196E-2</v>
      </c>
      <c r="CT171" s="135">
        <f t="shared" si="329"/>
        <v>4.301363574220729E-3</v>
      </c>
      <c r="CU171" s="139">
        <f t="shared" si="319"/>
        <v>0.84940815000000003</v>
      </c>
      <c r="CV171" s="335">
        <f t="shared" si="320"/>
        <v>1.3989193348138562</v>
      </c>
      <c r="CW171" s="335">
        <f t="shared" si="321"/>
        <v>0.29302682427824522</v>
      </c>
      <c r="CX171" s="335">
        <f t="shared" si="322"/>
        <v>0.76309497491941802</v>
      </c>
      <c r="CY171" s="335">
        <f t="shared" si="323"/>
        <v>0.31280857135128509</v>
      </c>
      <c r="CZ171" s="336">
        <f>INDEX('State Tax Lookup'!$D$7:$Z$91,MATCH(Calculation!$C171,'State Tax Lookup'!$B$7:$B$91,0),MATCH($H171,'State Tax Lookup'!$D$6:$Z$6,0))</f>
        <v>0.40700500000000001</v>
      </c>
      <c r="DA171" s="303">
        <v>0.37</v>
      </c>
      <c r="DB171" s="57">
        <f t="shared" si="326"/>
        <v>15.317787284818566</v>
      </c>
      <c r="DC171" s="56">
        <f t="shared" si="330"/>
        <v>-3.1619358343172359E-2</v>
      </c>
      <c r="DD171" s="303">
        <f>VLOOKUP($H171,RoR!$E:$F,2,FALSE)</f>
        <v>3.6658333333333334E-2</v>
      </c>
      <c r="DE171" s="304">
        <f>HLOOKUP($H171,'GDP-PI'!$D$8:$CQ$11,3,FALSE)</f>
        <v>1.0483662879041455E-2</v>
      </c>
      <c r="DF171" s="303">
        <f>VLOOKUP(H171,'HW Dx Data'!$E:$F,2,FALSE)</f>
        <v>671.45639385971219</v>
      </c>
      <c r="DG171" s="89">
        <f ca="1">VLOOKUP(CC171,'ECI - Input Price'!M$13:N$33,2,FALSE)</f>
        <v>136.94999999999999</v>
      </c>
      <c r="DH171" s="89"/>
      <c r="DI171" s="89"/>
      <c r="DJ171" s="56">
        <f t="shared" ca="1" si="338"/>
        <v>2.5514417868782811E-2</v>
      </c>
      <c r="DK171" s="53">
        <f>HLOOKUP(H171,'GDP-PI'!$8:$9,2,FALSE)</f>
        <v>105.736</v>
      </c>
      <c r="DL171" s="355">
        <f t="shared" si="332"/>
        <v>1.0429090367205095E-2</v>
      </c>
      <c r="DP171" s="398"/>
      <c r="DQ171" s="398"/>
      <c r="DR171" s="398"/>
      <c r="DS171" s="398"/>
      <c r="DT171" s="398"/>
      <c r="DU171" s="398"/>
      <c r="DV171" s="398"/>
      <c r="DW171" s="398"/>
      <c r="DX171" s="398"/>
      <c r="EC171"/>
    </row>
    <row r="172" spans="1:133" s="126" customFormat="1" ht="21" customHeight="1" x14ac:dyDescent="0.4">
      <c r="A172" s="233" t="s">
        <v>192</v>
      </c>
      <c r="B172" s="127" t="s">
        <v>192</v>
      </c>
      <c r="C172" s="127">
        <v>4057111</v>
      </c>
      <c r="D172" s="127" t="s">
        <v>187</v>
      </c>
      <c r="E172" s="127" t="s">
        <v>15</v>
      </c>
      <c r="F172" s="127"/>
      <c r="G172" s="127" t="s">
        <v>173</v>
      </c>
      <c r="H172" s="128">
        <v>2017</v>
      </c>
      <c r="I172" s="129"/>
      <c r="J172" s="125">
        <f>IFERROR(INDEX('Labor Expenditures'!$E$7:$W$91,MATCH($C172,'Labor Expenditures'!$C$7:$C$91,0),MATCH($G172,'Labor Expenditures'!$E$5:$W$5,0)),"NA")</f>
        <v>74726.142015534642</v>
      </c>
      <c r="K172" s="125">
        <f t="shared" ca="1" si="333"/>
        <v>532.04800295859491</v>
      </c>
      <c r="L172" s="47"/>
      <c r="M172" s="131">
        <f t="shared" ca="1" si="341"/>
        <v>-8.2799522602325839E-3</v>
      </c>
      <c r="N172" s="59"/>
      <c r="O172" s="59"/>
      <c r="P172" s="59">
        <f t="shared" ca="1" si="342"/>
        <v>-1.9576412915188972E-4</v>
      </c>
      <c r="Q172" s="61"/>
      <c r="R172" s="387"/>
      <c r="S172" s="49">
        <f t="shared" ca="1" si="347"/>
        <v>170.03033887783403</v>
      </c>
      <c r="T172" s="61">
        <f ca="1">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</f>
        <v>-0.56953118724193774</v>
      </c>
      <c r="U172" s="61"/>
      <c r="V172" s="125">
        <f>IFERROR(INDEX('Non-Labor Expenditures'!$E$7:$AA$91,MATCH($C172,'Non-Labor Expenditures'!$C$7:$C$91,0),MATCH($G172,'Non-Labor Expenditures'!$E$5:$AA$5,0)),"NA")</f>
        <v>108217.41055661241</v>
      </c>
      <c r="W172" s="125">
        <f t="shared" si="334"/>
        <v>1004.3285960836781</v>
      </c>
      <c r="X172" s="131">
        <f t="shared" si="343"/>
        <v>-1.9218826468126776E-3</v>
      </c>
      <c r="Y172" s="131">
        <f t="shared" si="344"/>
        <v>-4.5439354100194319E-5</v>
      </c>
      <c r="Z172" s="131"/>
      <c r="AA172" s="131"/>
      <c r="AB172" s="131"/>
      <c r="AC172" s="125">
        <f t="shared" si="313"/>
        <v>60087.364685494584</v>
      </c>
      <c r="AD172" s="129"/>
      <c r="AE172" s="133">
        <v>4897.0739708988322</v>
      </c>
      <c r="AF172" s="134">
        <v>2.0710590030776181E-2</v>
      </c>
      <c r="AG172" s="59">
        <f t="shared" si="339"/>
        <v>4.896635263308656E-4</v>
      </c>
      <c r="AH172" s="134"/>
      <c r="AI172" s="134"/>
      <c r="AJ172" s="129">
        <f t="shared" si="331"/>
        <v>243030.91725764162</v>
      </c>
      <c r="AK172" s="134">
        <f t="shared" si="345"/>
        <v>-1.3260869727117999E-2</v>
      </c>
      <c r="AL172" s="129"/>
      <c r="AM172" s="129"/>
      <c r="AN172" s="129"/>
      <c r="AO172" s="129"/>
      <c r="AP172" s="133">
        <f t="shared" si="346"/>
        <v>332.97425635980977</v>
      </c>
      <c r="AQ172" s="134">
        <f>+BB172/Outputs!$B$25</f>
        <v>1.9711772590627612E-2</v>
      </c>
      <c r="AR172" s="93">
        <f t="shared" si="335"/>
        <v>0.30747586709848962</v>
      </c>
      <c r="AS172" s="93">
        <f t="shared" si="336"/>
        <v>0.44528248412891891</v>
      </c>
      <c r="AT172" s="93">
        <f t="shared" si="337"/>
        <v>0.24724164877259153</v>
      </c>
      <c r="AU172" s="93">
        <f t="shared" ca="1" si="340"/>
        <v>2.0014951289505146E-3</v>
      </c>
      <c r="AV172" s="132">
        <f t="shared" ca="1" si="349"/>
        <v>122.85640562126576</v>
      </c>
      <c r="AW172" s="134">
        <f t="shared" ca="1" si="350"/>
        <v>2.0014951289504487E-3</v>
      </c>
      <c r="AX172" s="56">
        <f>+AJ172/$AL$22</f>
        <v>2.3643147085776882E-2</v>
      </c>
      <c r="AY172" s="135">
        <f t="shared" ca="1" si="348"/>
        <v>4.7321643725241423E-5</v>
      </c>
      <c r="AZ172" s="93"/>
      <c r="BA172" s="93"/>
      <c r="BB172" s="234">
        <f>IFERROR(INDEX('Total Customers'!$E$7:$AA$91,MATCH($C172,'Total Customers'!$C$7:$C$91,0),MATCH($G172,'Total Customers'!$E$5:$AA$5,0)),"NA")</f>
        <v>729879</v>
      </c>
      <c r="BC172" s="411">
        <f t="shared" si="283"/>
        <v>1.2453244741292495E-2</v>
      </c>
      <c r="BD172" s="92"/>
      <c r="BE172" s="281" t="str">
        <f t="shared" si="278"/>
        <v>BOSTON GAS COMPANY</v>
      </c>
      <c r="BF172" s="290">
        <f t="shared" si="279"/>
        <v>4057111</v>
      </c>
      <c r="BG172" s="46" t="str">
        <f t="shared" si="280"/>
        <v>MA</v>
      </c>
      <c r="BH172" s="46"/>
      <c r="BI172" s="46" t="str">
        <f t="shared" si="281"/>
        <v>2017 Y</v>
      </c>
      <c r="BJ172" s="129"/>
      <c r="BK172" s="129"/>
      <c r="BL172" s="129">
        <f>INDEX('Dist. Plant Gas Additions'!$E$7:$AD$91,MATCH($C172,'Dist. Plant Gas Additions'!$C$7:$C$91,0),MATCH(Calculation!$G172,'Dist. Plant Gas Additions'!$E$5:$AD$5,0))</f>
        <v>99053</v>
      </c>
      <c r="BM172" s="129">
        <f>INDEX('Gen. Plant Additions'!$E$7:$AD$91,MATCH($C172,'Gen. Plant Additions'!$C$7:$C$91,0),MATCH(Calculation!$G172,'Gen. Plant Additions'!$E$5:$AD$5,0))</f>
        <v>2338</v>
      </c>
      <c r="BN172" s="393">
        <f t="shared" si="314"/>
        <v>0.95165546128893663</v>
      </c>
      <c r="BO172" s="46">
        <f t="shared" si="351"/>
        <v>2224.9704684935336</v>
      </c>
      <c r="BP172" s="46">
        <f t="shared" si="352"/>
        <v>-113.02953150646636</v>
      </c>
      <c r="BQ172" s="129"/>
      <c r="BR172" s="129"/>
      <c r="BS172" s="129"/>
      <c r="BT172" s="129"/>
      <c r="BU172" s="129"/>
      <c r="BV172" s="129"/>
      <c r="BW172" s="129"/>
      <c r="BX172" s="129"/>
      <c r="BY172" s="129">
        <f>INDEX('Gross Dx Plant'!$D$7:$AC$91,MATCH($C172,'Gross Dx Plant'!$C$7:$C$91,0),MATCH(Calculation!$G172,'Gross Dx Plant'!$D$5:$AC$5,0))</f>
        <v>1490636</v>
      </c>
      <c r="BZ172" s="129">
        <f>INDEX('Gross Gen Plant'!$D$7:$AC$91,MATCH($C172,'Gross Gen Plant'!$C$7:$C$91,0),MATCH(Calculation!$G172,'Gross Gen Plant'!$D$5:$AC$5,0))</f>
        <v>75725</v>
      </c>
      <c r="CA172" s="129">
        <f t="shared" si="307"/>
        <v>1566361</v>
      </c>
      <c r="CB172" s="129"/>
      <c r="CC172" s="133">
        <v>2017</v>
      </c>
      <c r="CD172" s="129"/>
      <c r="CE172" s="129"/>
      <c r="CF172" s="129"/>
      <c r="CG172" s="137"/>
      <c r="CH172" s="129">
        <f t="shared" si="315"/>
        <v>101391</v>
      </c>
      <c r="CI172" s="46">
        <f t="shared" si="324"/>
        <v>101277.97046849353</v>
      </c>
      <c r="CJ172" s="46">
        <f t="shared" si="316"/>
        <v>142.15876901257877</v>
      </c>
      <c r="CK172" s="443">
        <v>0.77108433734939763</v>
      </c>
      <c r="CL172" s="46">
        <f>+CL153*CK172+CJ154*CK171+CJ155*CK170+CJ156*CK169+CJ157*CK168+CJ158*CK167+CJ159*CK166+CJ160*CK165+CJ161*CK164+CJ162*CK163+CJ163*CK162+CJ164*CK161+CJ165*CK160+CJ166*CK159+CJ167*CK158+CJ168*CK157+CJ169*CK156+CJ170*CK155+CJ171*CK154+CJ172</f>
        <v>4494.5592112957293</v>
      </c>
      <c r="CM172" s="134">
        <f t="shared" si="317"/>
        <v>1.6245381118401184E-2</v>
      </c>
      <c r="CN172" s="135">
        <f t="shared" si="318"/>
        <v>1.5769047142158335E-2</v>
      </c>
      <c r="CO172" s="135">
        <f t="shared" si="327"/>
        <v>1.5369677312853797E-2</v>
      </c>
      <c r="CP172" s="134">
        <f>VLOOKUP($H172,RoR!$E:$F,2,FALSE)</f>
        <v>3.7433333333333339E-2</v>
      </c>
      <c r="CQ172" s="135">
        <v>1.9056896421275615E-2</v>
      </c>
      <c r="CR172" s="135">
        <f t="shared" si="325"/>
        <v>1.8376436912057724E-2</v>
      </c>
      <c r="CS172" s="135">
        <f t="shared" si="328"/>
        <v>1.5532264295679828E-2</v>
      </c>
      <c r="CT172" s="135">
        <f t="shared" si="329"/>
        <v>1.3976271617800498E-2</v>
      </c>
      <c r="CU172" s="139">
        <f t="shared" si="319"/>
        <v>0.90120814999999999</v>
      </c>
      <c r="CV172" s="335">
        <f t="shared" si="320"/>
        <v>1.3699568463593395</v>
      </c>
      <c r="CW172" s="335">
        <f t="shared" si="321"/>
        <v>0.30714603739982199</v>
      </c>
      <c r="CX172" s="335">
        <f t="shared" si="322"/>
        <v>0.77007188472689425</v>
      </c>
      <c r="CY172" s="335">
        <f t="shared" si="323"/>
        <v>0.32402839633793828</v>
      </c>
      <c r="CZ172" s="336">
        <f>INDEX('State Tax Lookup'!$D$7:$Z$91,MATCH(Calculation!$C172,'State Tax Lookup'!$B$7:$B$91,0),MATCH($H172,'State Tax Lookup'!$D$6:$Z$6,0))</f>
        <v>0.26700499999999999</v>
      </c>
      <c r="DA172" s="303">
        <v>0.37</v>
      </c>
      <c r="DB172" s="57">
        <f t="shared" si="326"/>
        <v>13.587868346070154</v>
      </c>
      <c r="DC172" s="56">
        <f t="shared" si="330"/>
        <v>-0.11983735950886565</v>
      </c>
      <c r="DD172" s="303">
        <f>VLOOKUP($H172,RoR!$E:$F,2,FALSE)</f>
        <v>3.7433333333333339E-2</v>
      </c>
      <c r="DE172" s="304">
        <f>HLOOKUP($H172,'GDP-PI'!$D$8:$CQ$11,3,FALSE)</f>
        <v>1.9056896421275615E-2</v>
      </c>
      <c r="DF172" s="303">
        <f>VLOOKUP(H172,'HW Dx Data'!$E:$F,2,FALSE)</f>
        <v>712.42858370229726</v>
      </c>
      <c r="DG172" s="89">
        <f ca="1">VLOOKUP(CC172,'ECI - Input Price'!M$13:N$33,2,FALSE)</f>
        <v>140.44999999999999</v>
      </c>
      <c r="DH172" s="89"/>
      <c r="DI172" s="89"/>
      <c r="DJ172" s="56">
        <f t="shared" ca="1" si="338"/>
        <v>2.5235657841165486E-2</v>
      </c>
      <c r="DK172" s="53">
        <f>HLOOKUP(H172,'GDP-PI'!$8:$9,2,FALSE)</f>
        <v>107.751</v>
      </c>
      <c r="DL172" s="355">
        <f t="shared" si="332"/>
        <v>1.8877588227745139E-2</v>
      </c>
      <c r="DP172" s="398"/>
      <c r="DQ172" s="398"/>
      <c r="DR172" s="398"/>
      <c r="DS172" s="398"/>
      <c r="DT172" s="398"/>
      <c r="DU172" s="398"/>
      <c r="DV172" s="398"/>
      <c r="DW172" s="398"/>
      <c r="DX172" s="398"/>
      <c r="EC172"/>
    </row>
    <row r="173" spans="1:133" s="126" customFormat="1" ht="21" customHeight="1" x14ac:dyDescent="0.4">
      <c r="A173" s="233" t="s">
        <v>192</v>
      </c>
      <c r="B173" s="127" t="s">
        <v>192</v>
      </c>
      <c r="C173" s="127">
        <v>4057111</v>
      </c>
      <c r="D173" s="127" t="s">
        <v>187</v>
      </c>
      <c r="E173" s="127" t="s">
        <v>15</v>
      </c>
      <c r="F173" s="127"/>
      <c r="G173" s="127" t="s">
        <v>174</v>
      </c>
      <c r="H173" s="128">
        <v>2018</v>
      </c>
      <c r="I173" s="129"/>
      <c r="J173" s="125">
        <f>IFERROR(INDEX('Labor Expenditures'!$E$7:$W$91,MATCH($C173,'Labor Expenditures'!$C$7:$C$91,0),MATCH($G173,'Labor Expenditures'!$E$5:$W$5,0)),"NA")</f>
        <v>182044.14521314992</v>
      </c>
      <c r="K173" s="125">
        <f t="shared" ca="1" si="333"/>
        <v>1260.2571492776042</v>
      </c>
      <c r="L173" s="47"/>
      <c r="M173" s="131">
        <f t="shared" ca="1" si="341"/>
        <v>0.86233734945467799</v>
      </c>
      <c r="N173" s="59"/>
      <c r="O173" s="59"/>
      <c r="P173" s="59">
        <f t="shared" ca="1" si="342"/>
        <v>3.941073416586275E-2</v>
      </c>
      <c r="Q173" s="61"/>
      <c r="R173" s="387"/>
      <c r="S173" s="49">
        <f t="shared" ca="1" si="347"/>
        <v>123.92559245259834</v>
      </c>
      <c r="T173" s="61">
        <f ca="1">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</f>
        <v>-0.31629556048439916</v>
      </c>
      <c r="U173" s="61"/>
      <c r="V173" s="125">
        <f>IFERROR(INDEX('Non-Labor Expenditures'!$E$7:$AA$91,MATCH($C173,'Non-Labor Expenditures'!$C$7:$C$91,0),MATCH($G173,'Non-Labor Expenditures'!$E$5:$AA$5,0)),"NA")</f>
        <v>263633.92342486454</v>
      </c>
      <c r="W173" s="125">
        <f t="shared" si="334"/>
        <v>2389.6767954248885</v>
      </c>
      <c r="X173" s="131">
        <f t="shared" si="343"/>
        <v>0.86683887010016125</v>
      </c>
      <c r="Y173" s="131">
        <f t="shared" si="344"/>
        <v>3.9616463667911418E-2</v>
      </c>
      <c r="Z173" s="131"/>
      <c r="AA173" s="131"/>
      <c r="AB173" s="131"/>
      <c r="AC173" s="125">
        <f t="shared" si="313"/>
        <v>62893.868716476223</v>
      </c>
      <c r="AD173" s="129"/>
      <c r="AE173" s="133">
        <v>4983.1797237835572</v>
      </c>
      <c r="AF173" s="134">
        <v>1.7430308078606516E-2</v>
      </c>
      <c r="AG173" s="59">
        <f t="shared" si="339"/>
        <v>7.9660383323238511E-4</v>
      </c>
      <c r="AH173" s="134"/>
      <c r="AI173" s="134"/>
      <c r="AJ173" s="129">
        <f t="shared" si="331"/>
        <v>508571.93735449074</v>
      </c>
      <c r="AK173" s="134">
        <f t="shared" si="345"/>
        <v>0.73841800844616134</v>
      </c>
      <c r="AL173" s="129"/>
      <c r="AM173" s="129"/>
      <c r="AN173" s="129"/>
      <c r="AO173" s="129"/>
      <c r="AP173" s="133">
        <f t="shared" si="346"/>
        <v>690.07375669214548</v>
      </c>
      <c r="AQ173" s="134">
        <f>+BB173/Outputs!$B$26</f>
        <v>1.9729289335247521E-2</v>
      </c>
      <c r="AR173" s="93">
        <f t="shared" si="335"/>
        <v>0.35795161282416454</v>
      </c>
      <c r="AS173" s="93">
        <f t="shared" si="336"/>
        <v>0.51838079150856364</v>
      </c>
      <c r="AT173" s="93">
        <f t="shared" si="337"/>
        <v>0.12366759566727176</v>
      </c>
      <c r="AU173" s="93">
        <f t="shared" ca="1" si="340"/>
        <v>0.70781440835060649</v>
      </c>
      <c r="AV173" s="132">
        <f t="shared" ca="1" si="349"/>
        <v>249.34329650874818</v>
      </c>
      <c r="AW173" s="134">
        <f t="shared" ca="1" si="350"/>
        <v>0.70781440835060649</v>
      </c>
      <c r="AX173" s="56">
        <f>+AJ173/$AL$23</f>
        <v>4.570222337091763E-2</v>
      </c>
      <c r="AY173" s="135">
        <f t="shared" ca="1" si="348"/>
        <v>3.2348692195593325E-2</v>
      </c>
      <c r="AZ173" s="93"/>
      <c r="BA173" s="93"/>
      <c r="BB173" s="234">
        <f>IFERROR(INDEX('Total Customers'!$E$7:$AA$91,MATCH($C173,'Total Customers'!$C$7:$C$91,0),MATCH($G173,'Total Customers'!$E$5:$AA$5,0)),"NA")</f>
        <v>736982</v>
      </c>
      <c r="BC173" s="411">
        <f t="shared" si="283"/>
        <v>9.6847015740635523E-3</v>
      </c>
      <c r="BD173" s="92"/>
      <c r="BE173" s="281" t="str">
        <f t="shared" si="278"/>
        <v>BOSTON GAS COMPANY</v>
      </c>
      <c r="BF173" s="290">
        <f t="shared" si="279"/>
        <v>4057111</v>
      </c>
      <c r="BG173" s="46" t="str">
        <f t="shared" si="280"/>
        <v>MA</v>
      </c>
      <c r="BH173" s="46"/>
      <c r="BI173" s="46" t="str">
        <f t="shared" si="281"/>
        <v>2018 Y</v>
      </c>
      <c r="BJ173" s="129"/>
      <c r="BK173" s="129"/>
      <c r="BL173" s="129">
        <f>INDEX('Dist. Plant Gas Additions'!$E$7:$AD$91,MATCH($C173,'Dist. Plant Gas Additions'!$C$7:$C$91,0),MATCH(Calculation!$G173,'Dist. Plant Gas Additions'!$E$5:$AD$5,0))</f>
        <v>90088</v>
      </c>
      <c r="BM173" s="129">
        <f>INDEX('Gen. Plant Additions'!$E$7:$AD$91,MATCH($C173,'Gen. Plant Additions'!$C$7:$C$91,0),MATCH(Calculation!$G173,'Gen. Plant Additions'!$E$5:$AD$5,0))</f>
        <v>8379</v>
      </c>
      <c r="BN173" s="393">
        <f t="shared" si="314"/>
        <v>0.95284649381586328</v>
      </c>
      <c r="BO173" s="46">
        <f t="shared" si="351"/>
        <v>7983.9007716831184</v>
      </c>
      <c r="BP173" s="46">
        <f t="shared" si="352"/>
        <v>-395.09922831688164</v>
      </c>
      <c r="BQ173" s="129"/>
      <c r="BR173" s="129"/>
      <c r="BS173" s="129"/>
      <c r="BT173" s="129"/>
      <c r="BU173" s="129"/>
      <c r="BV173" s="129"/>
      <c r="BW173" s="129"/>
      <c r="BX173" s="129"/>
      <c r="BY173" s="129">
        <f>INDEX('Gross Dx Plant'!$D$7:$AC$91,MATCH($C173,'Gross Dx Plant'!$C$7:$C$91,0),MATCH(Calculation!$G173,'Gross Dx Plant'!$D$5:$AC$5,0))</f>
        <v>1553580</v>
      </c>
      <c r="BZ173" s="129">
        <f>INDEX('Gross Gen Plant'!$D$7:$AC$91,MATCH($C173,'Gross Gen Plant'!$C$7:$C$91,0),MATCH(Calculation!$G173,'Gross Gen Plant'!$D$5:$AC$5,0))</f>
        <v>76882</v>
      </c>
      <c r="CA173" s="129">
        <f t="shared" si="307"/>
        <v>1630462</v>
      </c>
      <c r="CB173" s="129"/>
      <c r="CC173" s="133">
        <v>2018</v>
      </c>
      <c r="CD173" s="129"/>
      <c r="CE173" s="129"/>
      <c r="CF173" s="129"/>
      <c r="CG173" s="137"/>
      <c r="CH173" s="129">
        <f t="shared" si="315"/>
        <v>98467</v>
      </c>
      <c r="CI173" s="46">
        <f t="shared" si="324"/>
        <v>98071.900771683111</v>
      </c>
      <c r="CJ173" s="46">
        <f t="shared" si="316"/>
        <v>129.87304008542645</v>
      </c>
      <c r="CK173" s="443">
        <v>0.75609756097560976</v>
      </c>
      <c r="CL173" s="46">
        <f>+CL153*CK173++CJ154*CK172+CJ155*CK171+CJ156*CK170+CJ157*CK169+CJ158*CK168+CJ159*CK167+CJ160*CK166+CJ161*CK165+CJ162*CK164+CJ163*CK163+CJ164*CK162+CJ165*CK161+CJ166*CK160+CJ167*CK159+CJ168*CK158+CJ169*CK157+CJ170*CK156+CJ171*CK155+CJ172*CK154+CJ173</f>
        <v>4551.6618908268201</v>
      </c>
      <c r="CM173" s="134">
        <f t="shared" si="317"/>
        <v>1.2624815894201835E-2</v>
      </c>
      <c r="CN173" s="135">
        <f t="shared" si="318"/>
        <v>1.6190766910234283E-2</v>
      </c>
      <c r="CO173" s="135">
        <f t="shared" si="327"/>
        <v>1.5779238998409037E-2</v>
      </c>
      <c r="CP173" s="134">
        <f>VLOOKUP($H173,RoR!$E:$F,2,FALSE)</f>
        <v>3.9299999999999995E-2</v>
      </c>
      <c r="CQ173" s="135">
        <v>2.386056741932796E-2</v>
      </c>
      <c r="CR173" s="135">
        <f t="shared" si="325"/>
        <v>1.5439432580672034E-2</v>
      </c>
      <c r="CS173" s="135">
        <f t="shared" si="328"/>
        <v>1.5122702610124588E-2</v>
      </c>
      <c r="CT173" s="135">
        <f t="shared" si="329"/>
        <v>3.8270792163076606E-2</v>
      </c>
      <c r="CU173" s="139">
        <f t="shared" si="319"/>
        <v>0.90120814999999999</v>
      </c>
      <c r="CV173" s="335">
        <f t="shared" si="320"/>
        <v>1.3048868010700074</v>
      </c>
      <c r="CW173" s="335">
        <f t="shared" si="321"/>
        <v>0.33886768447837151</v>
      </c>
      <c r="CX173" s="335">
        <f t="shared" si="322"/>
        <v>0.78602506232557801</v>
      </c>
      <c r="CY173" s="335">
        <f t="shared" si="323"/>
        <v>0.34756768162358759</v>
      </c>
      <c r="CZ173" s="336">
        <f>INDEX('State Tax Lookup'!$D$7:$Z$91,MATCH(Calculation!$C173,'State Tax Lookup'!$B$7:$B$91,0),MATCH($H173,'State Tax Lookup'!$D$6:$Z$6,0))</f>
        <v>0.26700499999999999</v>
      </c>
      <c r="DA173" s="303">
        <v>0.37</v>
      </c>
      <c r="DB173" s="57">
        <f t="shared" si="326"/>
        <v>13.99333410902927</v>
      </c>
      <c r="DC173" s="56">
        <f t="shared" si="330"/>
        <v>2.9403719891348823E-2</v>
      </c>
      <c r="DD173" s="303">
        <f>VLOOKUP($H173,RoR!$E:$F,2,FALSE)</f>
        <v>3.9299999999999995E-2</v>
      </c>
      <c r="DE173" s="304">
        <f>HLOOKUP($H173,'GDP-PI'!$D$8:$CQ$11,3,FALSE)</f>
        <v>2.386056741932796E-2</v>
      </c>
      <c r="DF173" s="303">
        <f>VLOOKUP(H173,'HW Dx Data'!$E:$F,2,FALSE)</f>
        <v>755.13671434174842</v>
      </c>
      <c r="DG173" s="89">
        <f ca="1">VLOOKUP(CC173,'ECI - Input Price'!M$13:N$33,2,FALSE)</f>
        <v>144.44999999999999</v>
      </c>
      <c r="DH173" s="89"/>
      <c r="DI173" s="89"/>
      <c r="DJ173" s="56">
        <f t="shared" ca="1" si="338"/>
        <v>2.80818733619915E-2</v>
      </c>
      <c r="DK173" s="53">
        <f>HLOOKUP(H173,'GDP-PI'!$8:$9,2,FALSE)</f>
        <v>110.322</v>
      </c>
      <c r="DL173" s="355">
        <f t="shared" si="332"/>
        <v>2.3580352716508712E-2</v>
      </c>
      <c r="DP173" s="398"/>
      <c r="DQ173" s="398"/>
      <c r="DR173" s="398"/>
      <c r="DS173" s="398"/>
      <c r="DT173" s="398"/>
      <c r="DU173" s="398"/>
      <c r="DV173" s="398"/>
      <c r="DW173" s="398"/>
      <c r="DX173" s="398"/>
      <c r="EC173"/>
    </row>
    <row r="174" spans="1:133" s="126" customFormat="1" ht="21" customHeight="1" x14ac:dyDescent="0.4">
      <c r="A174" s="233" t="s">
        <v>192</v>
      </c>
      <c r="B174" s="127" t="s">
        <v>192</v>
      </c>
      <c r="C174" s="127">
        <v>4057111</v>
      </c>
      <c r="D174" s="127" t="s">
        <v>187</v>
      </c>
      <c r="E174" s="127" t="s">
        <v>15</v>
      </c>
      <c r="F174" s="127"/>
      <c r="G174" s="127" t="s">
        <v>175</v>
      </c>
      <c r="H174" s="128">
        <v>2019</v>
      </c>
      <c r="I174" s="129"/>
      <c r="J174" s="125">
        <f>IFERROR(INDEX('Labor Expenditures'!$E$7:$W$91,MATCH($C174,'Labor Expenditures'!$C$7:$C$91,0),MATCH($G174,'Labor Expenditures'!$E$5:$W$5,0)),"NA")</f>
        <v>106975.1197434819</v>
      </c>
      <c r="K174" s="125">
        <f t="shared" ca="1" si="333"/>
        <v>714.71601632525073</v>
      </c>
      <c r="L174" s="47"/>
      <c r="M174" s="131">
        <f t="shared" ca="1" si="341"/>
        <v>-0.56718578201844816</v>
      </c>
      <c r="N174" s="59"/>
      <c r="O174" s="59"/>
      <c r="P174" s="59">
        <f t="shared" ca="1" si="342"/>
        <v>-1.6192334814094368E-2</v>
      </c>
      <c r="Q174" s="61"/>
      <c r="R174" s="387"/>
      <c r="S174" s="49">
        <f t="shared" ca="1" si="347"/>
        <v>121.96449058135815</v>
      </c>
      <c r="T174" s="61">
        <f ca="1">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</f>
        <v>-1.5951383072019869E-2</v>
      </c>
      <c r="U174" s="61"/>
      <c r="V174" s="125">
        <f>IFERROR(INDEX('Non-Labor Expenditures'!$E$7:$AA$91,MATCH($C174,'Non-Labor Expenditures'!$C$7:$C$91,0),MATCH($G174,'Non-Labor Expenditures'!$E$5:$AA$5,0)),"NA")</f>
        <v>154919.95358487166</v>
      </c>
      <c r="W174" s="125">
        <f t="shared" si="334"/>
        <v>1379.2976511767629</v>
      </c>
      <c r="X174" s="131">
        <f t="shared" si="343"/>
        <v>-0.54958370357067843</v>
      </c>
      <c r="Y174" s="131">
        <f t="shared" si="344"/>
        <v>-1.5689820899454365E-2</v>
      </c>
      <c r="Z174" s="131"/>
      <c r="AA174" s="131"/>
      <c r="AB174" s="131"/>
      <c r="AC174" s="125">
        <f t="shared" si="313"/>
        <v>63361.839792160587</v>
      </c>
      <c r="AD174" s="129"/>
      <c r="AE174" s="133">
        <v>5100.6684479423366</v>
      </c>
      <c r="AF174" s="134">
        <v>2.3303413330900309E-2</v>
      </c>
      <c r="AG174" s="59">
        <f t="shared" si="339"/>
        <v>6.6527879035038057E-4</v>
      </c>
      <c r="AH174" s="134"/>
      <c r="AI174" s="134"/>
      <c r="AJ174" s="129">
        <f t="shared" si="331"/>
        <v>325256.91312051419</v>
      </c>
      <c r="AK174" s="134">
        <f t="shared" si="345"/>
        <v>-0.44699130324945602</v>
      </c>
      <c r="AL174" s="129"/>
      <c r="AM174" s="129"/>
      <c r="AN174" s="129"/>
      <c r="AO174" s="129"/>
      <c r="AP174" s="133">
        <f t="shared" si="346"/>
        <v>436.52728035597084</v>
      </c>
      <c r="AQ174" s="134">
        <f>+BB174/Outputs!$B$27</f>
        <v>1.9782134502457419E-2</v>
      </c>
      <c r="AR174" s="93">
        <f t="shared" si="335"/>
        <v>0.32889422308403166</v>
      </c>
      <c r="AS174" s="93">
        <f t="shared" si="336"/>
        <v>0.47630026399306913</v>
      </c>
      <c r="AT174" s="93">
        <f t="shared" si="337"/>
        <v>0.19480551292289908</v>
      </c>
      <c r="AU174" s="93">
        <f t="shared" ca="1" si="340"/>
        <v>-0.46440409021781515</v>
      </c>
      <c r="AV174" s="132">
        <f t="shared" ca="1" si="349"/>
        <v>156.71463774667794</v>
      </c>
      <c r="AW174" s="134">
        <f t="shared" ca="1" si="350"/>
        <v>-0.4644040902178152</v>
      </c>
      <c r="AX174" s="56">
        <f>+AJ174/$AL$24</f>
        <v>2.8548555565815821E-2</v>
      </c>
      <c r="AY174" s="135">
        <f t="shared" ca="1" si="348"/>
        <v>-1.3258065974575441E-2</v>
      </c>
      <c r="AZ174" s="93"/>
      <c r="BA174" s="93"/>
      <c r="BB174" s="234">
        <f>IFERROR(INDEX('Total Customers'!$E$7:$AA$91,MATCH($C174,'Total Customers'!$C$7:$C$91,0),MATCH($G174,'Total Customers'!$E$5:$AA$5,0)),"NA")</f>
        <v>745101</v>
      </c>
      <c r="BC174" s="411">
        <f t="shared" si="283"/>
        <v>1.0956311107286636E-2</v>
      </c>
      <c r="BD174" s="92"/>
      <c r="BE174" s="281" t="str">
        <f t="shared" si="278"/>
        <v>BOSTON GAS COMPANY</v>
      </c>
      <c r="BF174" s="290">
        <f t="shared" si="279"/>
        <v>4057111</v>
      </c>
      <c r="BG174" s="46" t="str">
        <f t="shared" si="280"/>
        <v>MA</v>
      </c>
      <c r="BH174" s="46"/>
      <c r="BI174" s="46" t="str">
        <f t="shared" si="281"/>
        <v>2019 Y</v>
      </c>
      <c r="BJ174" s="129"/>
      <c r="BK174" s="129"/>
      <c r="BL174" s="129">
        <f>INDEX('Dist. Plant Gas Additions'!$E$7:$AD$91,MATCH($C174,'Dist. Plant Gas Additions'!$C$7:$C$91,0),MATCH(Calculation!$G174,'Dist. Plant Gas Additions'!$E$5:$AD$5,0))</f>
        <v>120908</v>
      </c>
      <c r="BM174" s="129">
        <f>INDEX('Gen. Plant Additions'!$E$7:$AD$91,MATCH($C174,'Gen. Plant Additions'!$C$7:$C$91,0),MATCH(Calculation!$G174,'Gen. Plant Additions'!$E$5:$AD$5,0))</f>
        <v>6101</v>
      </c>
      <c r="BN174" s="393">
        <f t="shared" si="314"/>
        <v>0.95407207721691745</v>
      </c>
      <c r="BO174" s="46">
        <f t="shared" si="351"/>
        <v>5820.7937431004129</v>
      </c>
      <c r="BP174" s="46">
        <f t="shared" si="352"/>
        <v>-280.20625689958706</v>
      </c>
      <c r="BQ174" s="129"/>
      <c r="BR174" s="129"/>
      <c r="BS174" s="129"/>
      <c r="BT174" s="129"/>
      <c r="BU174" s="129"/>
      <c r="BV174" s="129"/>
      <c r="BW174" s="129"/>
      <c r="BX174" s="129"/>
      <c r="BY174" s="129">
        <f>INDEX('Gross Dx Plant'!$D$7:$AC$91,MATCH($C174,'Gross Dx Plant'!$C$7:$C$91,0),MATCH(Calculation!$G174,'Gross Dx Plant'!$D$5:$AC$5,0))</f>
        <v>1697382</v>
      </c>
      <c r="BZ174" s="129">
        <f>INDEX('Gross Gen Plant'!$D$7:$AC$91,MATCH($C174,'Gross Gen Plant'!$C$7:$C$91,0),MATCH(Calculation!$G174,'Gross Gen Plant'!$D$5:$AC$5,0))</f>
        <v>81710</v>
      </c>
      <c r="CA174" s="129">
        <f t="shared" si="307"/>
        <v>1779092</v>
      </c>
      <c r="CB174" s="129"/>
      <c r="CC174" s="133">
        <v>2019</v>
      </c>
      <c r="CD174" s="129"/>
      <c r="CE174" s="129"/>
      <c r="CF174" s="129"/>
      <c r="CG174" s="137"/>
      <c r="CH174" s="129">
        <f t="shared" si="315"/>
        <v>127009</v>
      </c>
      <c r="CI174" s="46">
        <f t="shared" si="324"/>
        <v>126728.79374310041</v>
      </c>
      <c r="CJ174" s="46">
        <f t="shared" si="316"/>
        <v>163.82980681225919</v>
      </c>
      <c r="CK174" s="443">
        <v>0.7407407407407407</v>
      </c>
      <c r="CL174" s="46">
        <f>CL153*CK174+CJ154*CK173+CJ155*CK172+CJ156*CK171+CJ157*CK170+CJ158*CK169+CJ159*CK168+CJ160*CK167+CJ161*CK166+CJ162*CK165+CJ163*CK164+CJ164*CK163+CJ165*CK162+CJ166*CK161+CJ167*CK160+CJ168*CK159+CJ169*CK158+CJ170*CK157+CJ171*CK156+CJ172*CK155+CJ173*CK154+CJ174</f>
        <v>4639.7192594623784</v>
      </c>
      <c r="CM174" s="134">
        <f t="shared" si="317"/>
        <v>1.9161442975267701E-2</v>
      </c>
      <c r="CN174" s="135">
        <f t="shared" si="318"/>
        <v>1.6647202712795666E-2</v>
      </c>
      <c r="CO174" s="135">
        <f t="shared" si="327"/>
        <v>1.6202338921729429E-2</v>
      </c>
      <c r="CP174" s="134">
        <f>VLOOKUP($H174,RoR!$E:$F,2,FALSE)</f>
        <v>3.3875000000000009E-2</v>
      </c>
      <c r="CQ174" s="135">
        <v>1.8092492884465461E-2</v>
      </c>
      <c r="CR174" s="135">
        <f t="shared" si="325"/>
        <v>1.5782507115534548E-2</v>
      </c>
      <c r="CS174" s="135">
        <f t="shared" si="328"/>
        <v>1.4699602686804196E-2</v>
      </c>
      <c r="CT174" s="135">
        <f t="shared" si="329"/>
        <v>4.8445665544254078E-2</v>
      </c>
      <c r="CU174" s="139">
        <f t="shared" si="319"/>
        <v>0.90120814999999999</v>
      </c>
      <c r="CV174" s="335">
        <f t="shared" si="320"/>
        <v>1.513861292459078</v>
      </c>
      <c r="CW174" s="335">
        <f t="shared" si="321"/>
        <v>0.23699261992619944</v>
      </c>
      <c r="CX174" s="335">
        <f t="shared" si="322"/>
        <v>0.73619765810468829</v>
      </c>
      <c r="CY174" s="335">
        <f t="shared" si="323"/>
        <v>0.26412854465362851</v>
      </c>
      <c r="CZ174" s="336">
        <f>INDEX('State Tax Lookup'!$D$7:$Z$91,MATCH(Calculation!$C174,'State Tax Lookup'!$B$7:$B$91,0),MATCH($H174,'State Tax Lookup'!$D$6:$Z$6,0))</f>
        <v>0.26700499999999999</v>
      </c>
      <c r="DA174" s="303">
        <v>0.37</v>
      </c>
      <c r="DB174" s="57">
        <f t="shared" si="326"/>
        <v>13.920594567855909</v>
      </c>
      <c r="DC174" s="56">
        <f t="shared" si="330"/>
        <v>-5.211713955495129E-3</v>
      </c>
      <c r="DD174" s="303">
        <f>VLOOKUP($H174,RoR!$E:$F,2,FALSE)</f>
        <v>3.3875000000000009E-2</v>
      </c>
      <c r="DE174" s="304">
        <f>HLOOKUP($H174,'GDP-PI'!$D$8:$CQ$11,3,FALSE)</f>
        <v>1.8092492884465461E-2</v>
      </c>
      <c r="DF174" s="303">
        <f>VLOOKUP(H174,'HW Dx Data'!$E:$F,2,FALSE)</f>
        <v>773.53929793938721</v>
      </c>
      <c r="DG174" s="89">
        <f ca="1">VLOOKUP(CC174,'ECI - Input Price'!M$13:N$33,2,FALSE)</f>
        <v>149.67500000000001</v>
      </c>
      <c r="DH174" s="89"/>
      <c r="DI174" s="89"/>
      <c r="DJ174" s="56">
        <f t="shared" ca="1" si="338"/>
        <v>3.5532849899171604E-2</v>
      </c>
      <c r="DK174" s="53">
        <f>HLOOKUP(H174,'GDP-PI'!$8:$9,2,FALSE)</f>
        <v>112.318</v>
      </c>
      <c r="DL174" s="355">
        <f t="shared" si="332"/>
        <v>1.7930771451401852E-2</v>
      </c>
      <c r="DP174" s="398"/>
      <c r="DQ174" s="398"/>
      <c r="DR174" s="398"/>
      <c r="DS174" s="398"/>
      <c r="DT174" s="398"/>
      <c r="DU174" s="398"/>
      <c r="DV174" s="398"/>
      <c r="DW174" s="398"/>
      <c r="DX174" s="398"/>
      <c r="EC174"/>
    </row>
    <row r="175" spans="1:133" s="126" customFormat="1" ht="21" customHeight="1" x14ac:dyDescent="0.4">
      <c r="A175" s="233" t="s">
        <v>192</v>
      </c>
      <c r="B175" s="126" t="s">
        <v>192</v>
      </c>
      <c r="C175" s="126">
        <v>4057111</v>
      </c>
      <c r="D175" s="126" t="s">
        <v>187</v>
      </c>
      <c r="E175" s="126" t="s">
        <v>15</v>
      </c>
      <c r="G175" s="127" t="s">
        <v>176</v>
      </c>
      <c r="H175" s="128">
        <v>2020</v>
      </c>
      <c r="I175" s="129"/>
      <c r="J175" s="125">
        <f>IFERROR(INDEX('Labor Expenditures'!$E$7:$W$91,MATCH($C175,'Labor Expenditures'!$C$7:$C$91,0),MATCH($G175,'Labor Expenditures'!$E$5:$W$5,0)),"NA")</f>
        <v>76508.145246526648</v>
      </c>
      <c r="K175" s="125">
        <f t="shared" ca="1" si="333"/>
        <v>499.56346879873746</v>
      </c>
      <c r="L175" s="47"/>
      <c r="M175" s="131">
        <f t="shared" ca="1" si="341"/>
        <v>-0.3581506291537549</v>
      </c>
      <c r="N175" s="59"/>
      <c r="O175" s="59"/>
      <c r="P175" s="59">
        <f t="shared" ca="1" si="342"/>
        <v>-7.8166956014973227E-3</v>
      </c>
      <c r="Q175" s="61"/>
      <c r="R175" s="387"/>
      <c r="S175" s="49">
        <f t="shared" ca="1" si="347"/>
        <v>118.71815793415485</v>
      </c>
      <c r="T175" s="61">
        <f ca="1">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</f>
        <v>-2.6977678312881444E-2</v>
      </c>
      <c r="U175" s="61"/>
      <c r="V175" s="125">
        <f>IFERROR(INDEX('Non-Labor Expenditures'!$E$7:$AA$91,MATCH($C175,'Non-Labor Expenditures'!$C$7:$C$91,0),MATCH($G175,'Non-Labor Expenditures'!$E$5:$AA$5,0)),"NA")</f>
        <v>110798.08406738167</v>
      </c>
      <c r="W175" s="125">
        <f t="shared" si="334"/>
        <v>975.13781600012032</v>
      </c>
      <c r="X175" s="131">
        <f t="shared" si="343"/>
        <v>-0.34675088941777887</v>
      </c>
      <c r="Y175" s="131">
        <f t="shared" si="344"/>
        <v>-7.5678944318247612E-3</v>
      </c>
      <c r="Z175" s="131"/>
      <c r="AA175" s="131"/>
      <c r="AB175" s="131"/>
      <c r="AC175" s="125">
        <f t="shared" si="313"/>
        <v>65911.391641183945</v>
      </c>
      <c r="AD175" s="129"/>
      <c r="AE175" s="133">
        <v>5203.0859992919059</v>
      </c>
      <c r="AF175" s="134">
        <v>1.9880311595515437E-2</v>
      </c>
      <c r="AG175" s="59">
        <f t="shared" si="339"/>
        <v>4.3389102672314127E-4</v>
      </c>
      <c r="AH175" s="134"/>
      <c r="AI175" s="134"/>
      <c r="AJ175" s="129">
        <f t="shared" si="331"/>
        <v>253217.62095509225</v>
      </c>
      <c r="AK175" s="134">
        <f t="shared" si="345"/>
        <v>-0.25036609107881103</v>
      </c>
      <c r="AL175" s="129"/>
      <c r="AM175" s="129"/>
      <c r="AN175" s="129"/>
      <c r="AO175" s="129"/>
      <c r="AP175" s="133">
        <f t="shared" si="346"/>
        <v>336.05434485255813</v>
      </c>
      <c r="AQ175" s="134">
        <f>+BB175/Outputs!$B$28</f>
        <v>1.9863909775962318E-2</v>
      </c>
      <c r="AR175" s="93">
        <f t="shared" si="335"/>
        <v>0.30214384353644663</v>
      </c>
      <c r="AS175" s="93">
        <f t="shared" si="336"/>
        <v>0.43756071812645114</v>
      </c>
      <c r="AT175" s="93">
        <f t="shared" si="337"/>
        <v>0.26029543833710223</v>
      </c>
      <c r="AU175" s="93">
        <f t="shared" ca="1" si="340"/>
        <v>-0.26692062010788881</v>
      </c>
      <c r="AV175" s="132">
        <f t="shared" ca="1" si="349"/>
        <v>120.0017033712837</v>
      </c>
      <c r="AW175" s="134">
        <f t="shared" ca="1" si="350"/>
        <v>-0.26692062010788875</v>
      </c>
      <c r="AX175" s="56">
        <f>+AJ175/$AL$25</f>
        <v>2.1825162278694746E-2</v>
      </c>
      <c r="AY175" s="135">
        <f t="shared" ca="1" si="348"/>
        <v>-5.825585849384504E-3</v>
      </c>
      <c r="AZ175" s="93"/>
      <c r="BA175" s="93"/>
      <c r="BB175" s="234">
        <f>IFERROR(INDEX('Total Customers'!$E$7:$AA$91,MATCH($C175,'Total Customers'!$C$7:$C$91,0),MATCH($G175,'Total Customers'!$E$5:$AA$5,0)),"NA")</f>
        <v>753502</v>
      </c>
      <c r="BC175" s="411">
        <f t="shared" si="283"/>
        <v>1.1211892682541566E-2</v>
      </c>
      <c r="BD175" s="92"/>
      <c r="BE175" s="281" t="str">
        <f t="shared" si="278"/>
        <v>BOSTON GAS COMPANY</v>
      </c>
      <c r="BF175" s="290">
        <f t="shared" si="279"/>
        <v>4057111</v>
      </c>
      <c r="BG175" s="46" t="str">
        <f t="shared" si="280"/>
        <v>MA</v>
      </c>
      <c r="BH175" s="46"/>
      <c r="BI175" s="46" t="str">
        <f t="shared" si="281"/>
        <v>2020 Y</v>
      </c>
      <c r="BJ175" s="129"/>
      <c r="BK175" s="129"/>
      <c r="BL175" s="129">
        <f>INDEX('Dist. Plant Gas Additions'!$E$7:$AD$91,MATCH($C175,'Dist. Plant Gas Additions'!$C$7:$C$91,0),MATCH(Calculation!$G175,'Dist. Plant Gas Additions'!$E$5:$AD$5,0))</f>
        <v>115249</v>
      </c>
      <c r="BM175" s="129">
        <f>INDEX('Gen. Plant Additions'!$E$7:$AD$91,MATCH($C175,'Gen. Plant Additions'!$C$7:$C$91,0),MATCH(Calculation!$G175,'Gen. Plant Additions'!$E$5:$AD$5,0))</f>
        <v>8201</v>
      </c>
      <c r="BN175" s="393">
        <f t="shared" si="314"/>
        <v>0.951717310182012</v>
      </c>
      <c r="BO175" s="46">
        <f t="shared" si="351"/>
        <v>7805.0336608026801</v>
      </c>
      <c r="BP175" s="46">
        <f t="shared" si="352"/>
        <v>-395.96633919731994</v>
      </c>
      <c r="BQ175" s="129"/>
      <c r="BR175" s="129"/>
      <c r="BS175" s="129"/>
      <c r="BT175" s="129"/>
      <c r="BU175" s="129"/>
      <c r="BV175" s="129"/>
      <c r="BW175" s="129"/>
      <c r="BX175" s="129"/>
      <c r="BY175" s="129">
        <f>INDEX('Gross Dx Plant'!$D$7:$AC$91,MATCH($C175,'Gross Dx Plant'!$C$7:$C$91,0),MATCH(Calculation!$G175,'Gross Dx Plant'!$D$5:$AC$5,0))</f>
        <v>1762077</v>
      </c>
      <c r="BZ175" s="129">
        <f>INDEX('Gross Gen Plant'!$D$7:$AC$91,MATCH($C175,'Gross Gen Plant'!$C$7:$C$91,0),MATCH(Calculation!$G175,'Gross Gen Plant'!$D$5:$AC$5,0))</f>
        <v>89394</v>
      </c>
      <c r="CA175" s="129">
        <f t="shared" si="307"/>
        <v>1851471</v>
      </c>
      <c r="CB175" s="129"/>
      <c r="CC175" s="133">
        <v>2020</v>
      </c>
      <c r="CD175" s="129"/>
      <c r="CE175" s="129"/>
      <c r="CF175" s="129"/>
      <c r="CG175" s="137"/>
      <c r="CH175" s="129">
        <f t="shared" si="315"/>
        <v>123450</v>
      </c>
      <c r="CI175" s="46">
        <f t="shared" si="324"/>
        <v>123054.03366080268</v>
      </c>
      <c r="CJ175" s="46">
        <f t="shared" si="316"/>
        <v>151.34305243492275</v>
      </c>
      <c r="CK175" s="443">
        <v>0.72499999999999998</v>
      </c>
      <c r="CL175" s="46">
        <f>CL153*CK175+CJ154*CK174+CJ155*CK173+CJ156*CK172+CJ157*CK171+CJ158*CK170+CJ159*CK169+CJ160*CK168+CJ161*CK167+CJ162*CK166+CJ163*CK165+CJ164*CK164+CJ165*CK163+CJ166*CK162+CJ167*CK161+CJ168*CK160+CJ169*CK159+CJ170*CK158+CJ171*CK157+CJ172*CK156+CJ173*CK155+CJ174*CK154+CJ175</f>
        <v>4711.8641867065562</v>
      </c>
      <c r="CM175" s="134">
        <f t="shared" si="317"/>
        <v>1.5429763097268226E-2</v>
      </c>
      <c r="CN175" s="135">
        <f t="shared" si="318"/>
        <v>1.7069594249528357E-2</v>
      </c>
      <c r="CO175" s="135">
        <f t="shared" si="327"/>
        <v>1.6635854624186101E-2</v>
      </c>
      <c r="CP175" s="134">
        <f>VLOOKUP($H175,RoR!$E:$F,2,FALSE)</f>
        <v>2.4766666666666666E-2</v>
      </c>
      <c r="CQ175" s="135">
        <v>1.1618796630994188E-2</v>
      </c>
      <c r="CR175" s="135">
        <f t="shared" si="325"/>
        <v>1.3147870035672478E-2</v>
      </c>
      <c r="CS175" s="135">
        <f t="shared" si="328"/>
        <v>1.4266086984347524E-2</v>
      </c>
      <c r="CT175" s="135">
        <f t="shared" si="329"/>
        <v>4.5144642961987357E-2</v>
      </c>
      <c r="CU175" s="139">
        <f t="shared" si="319"/>
        <v>0.90120814999999999</v>
      </c>
      <c r="CV175" s="335">
        <f t="shared" si="320"/>
        <v>2.0706077233668081</v>
      </c>
      <c r="CW175" s="335">
        <f t="shared" si="321"/>
        <v>-3.4421265141318998E-2</v>
      </c>
      <c r="CX175" s="335">
        <f t="shared" si="322"/>
        <v>0.62416226176410472</v>
      </c>
      <c r="CY175" s="335">
        <f t="shared" si="323"/>
        <v>-4.4485877841158712E-2</v>
      </c>
      <c r="CZ175" s="336">
        <f>INDEX('State Tax Lookup'!$D$7:$Z$91,MATCH(Calculation!$C175,'State Tax Lookup'!$B$7:$B$91,0),MATCH($H175,'State Tax Lookup'!$D$6:$Z$6,0))</f>
        <v>0.26700499999999999</v>
      </c>
      <c r="DA175" s="303">
        <v>0.37</v>
      </c>
      <c r="DB175" s="57">
        <f t="shared" si="326"/>
        <v>14.205900821857345</v>
      </c>
      <c r="DC175" s="56">
        <f t="shared" si="330"/>
        <v>2.0288061922773219E-2</v>
      </c>
      <c r="DD175" s="303">
        <f>VLOOKUP($H175,RoR!$E:$F,2,FALSE)</f>
        <v>2.4766666666666666E-2</v>
      </c>
      <c r="DE175" s="304">
        <f>HLOOKUP($H175,'GDP-PI'!$D$8:$CQ$11,3,FALSE)</f>
        <v>1.1618796630994188E-2</v>
      </c>
      <c r="DF175" s="303">
        <f>VLOOKUP(H175,'HW Dx Data'!$E:$F,2,FALSE)</f>
        <v>813.080162458833</v>
      </c>
      <c r="DG175" s="89">
        <f ca="1">VLOOKUP(CC175,'ECI - Input Price'!M$13:N$33,2,FALSE)</f>
        <v>153.15</v>
      </c>
      <c r="DH175" s="89"/>
      <c r="DI175" s="89"/>
      <c r="DJ175" s="56">
        <f t="shared" ca="1" si="338"/>
        <v>2.2951556467368479E-2</v>
      </c>
      <c r="DK175" s="53">
        <f>HLOOKUP(H175,'GDP-PI'!$8:$9,2,FALSE)</f>
        <v>113.623</v>
      </c>
      <c r="DL175" s="355">
        <f t="shared" si="332"/>
        <v>1.1551816731392881E-2</v>
      </c>
      <c r="DP175" s="398"/>
      <c r="DQ175" s="398"/>
      <c r="DR175" s="398"/>
      <c r="DS175" s="398"/>
      <c r="DT175" s="398"/>
      <c r="DU175" s="398"/>
      <c r="DV175" s="398"/>
      <c r="DW175" s="398"/>
      <c r="DX175" s="398"/>
      <c r="EC175"/>
    </row>
    <row r="176" spans="1:133" s="126" customFormat="1" ht="21" customHeight="1" x14ac:dyDescent="0.4">
      <c r="A176" s="233" t="s">
        <v>192</v>
      </c>
      <c r="B176" s="126" t="s">
        <v>192</v>
      </c>
      <c r="C176" s="126">
        <v>4057111</v>
      </c>
      <c r="D176" s="126" t="s">
        <v>187</v>
      </c>
      <c r="E176" s="126" t="s">
        <v>15</v>
      </c>
      <c r="G176" s="127" t="s">
        <v>177</v>
      </c>
      <c r="H176" s="128">
        <v>2021</v>
      </c>
      <c r="I176" s="129"/>
      <c r="J176" s="125">
        <v>93296.329716244523</v>
      </c>
      <c r="K176" s="125">
        <f t="shared" ca="1" si="333"/>
        <v>593.29939406196831</v>
      </c>
      <c r="L176" s="47"/>
      <c r="M176" s="130">
        <f t="shared" ca="1" si="341"/>
        <v>0.17196449728411103</v>
      </c>
      <c r="N176" s="59"/>
      <c r="O176" s="59"/>
      <c r="P176" s="59">
        <f t="shared" ca="1" si="342"/>
        <v>4.1024497366435094E-3</v>
      </c>
      <c r="Q176" s="61"/>
      <c r="R176" s="387"/>
      <c r="S176" s="132">
        <f ca="1">+S175*EXP(T176)</f>
        <v>124.66695780690614</v>
      </c>
      <c r="T176" s="134">
        <f ca="1">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</f>
        <v>4.8893580847792724E-2</v>
      </c>
      <c r="U176" s="134"/>
      <c r="V176" s="125">
        <v>131514.10333494714</v>
      </c>
      <c r="W176" s="125">
        <f t="shared" si="334"/>
        <v>1109.9173207439205</v>
      </c>
      <c r="X176" s="131">
        <f t="shared" si="343"/>
        <v>0.1294619949632593</v>
      </c>
      <c r="Y176" s="131">
        <f t="shared" si="344"/>
        <v>3.0884940527281701E-3</v>
      </c>
      <c r="Z176" s="131"/>
      <c r="AA176" s="131"/>
      <c r="AB176" s="131"/>
      <c r="AC176" s="125">
        <f t="shared" si="313"/>
        <v>81628.896335814992</v>
      </c>
      <c r="AD176" s="129"/>
      <c r="AE176" s="133">
        <v>5358.9671506140894</v>
      </c>
      <c r="AF176" s="134"/>
      <c r="AG176" s="59">
        <f t="shared" si="339"/>
        <v>0</v>
      </c>
      <c r="AH176" s="134"/>
      <c r="AI176" s="134"/>
      <c r="AJ176" s="129">
        <f t="shared" si="331"/>
        <v>306439.3293870067</v>
      </c>
      <c r="AK176" s="134">
        <f t="shared" si="345"/>
        <v>0.19077050836908457</v>
      </c>
      <c r="AL176" s="129"/>
      <c r="AM176" s="134"/>
      <c r="AN176" s="134"/>
      <c r="AO176" s="134"/>
      <c r="AP176" s="133">
        <f t="shared" si="346"/>
        <v>311.92071206003772</v>
      </c>
      <c r="AQ176" s="134">
        <f>+BB176/Outputs!$B$29</f>
        <v>2.544733945388114E-2</v>
      </c>
      <c r="AR176" s="93">
        <f t="shared" si="335"/>
        <v>0.30445285826356588</v>
      </c>
      <c r="AS176" s="93">
        <f t="shared" si="336"/>
        <v>0.429168486949846</v>
      </c>
      <c r="AT176" s="93">
        <f t="shared" si="337"/>
        <v>0.26637865478658801</v>
      </c>
      <c r="AU176" s="93">
        <f t="shared" ca="1" si="340"/>
        <v>0.10826079443066813</v>
      </c>
      <c r="AV176" s="132">
        <f t="shared" ca="1" si="349"/>
        <v>133.72249661859951</v>
      </c>
      <c r="AW176" s="134">
        <f t="shared" ca="1" si="350"/>
        <v>0.10826079443066819</v>
      </c>
      <c r="AX176" s="56">
        <f>+AJ176/$AL$26</f>
        <v>2.3856376179006589E-2</v>
      </c>
      <c r="AY176" s="135">
        <f t="shared" ca="1" si="348"/>
        <v>2.582710237376122E-3</v>
      </c>
      <c r="AZ176" s="93"/>
      <c r="BA176" s="93"/>
      <c r="BB176" s="234">
        <f>INDEX('Total Customers'!$D$7:$D$91,MATCH(Calculation!$C176,'Total Customers'!$C$7:$C$91,0))</f>
        <v>982427</v>
      </c>
      <c r="BC176" s="411">
        <f t="shared" si="283"/>
        <v>0.26529436838550857</v>
      </c>
      <c r="BD176" s="91"/>
      <c r="BE176" s="281" t="str">
        <f t="shared" si="278"/>
        <v>BOSTON GAS COMPANY</v>
      </c>
      <c r="BF176" s="290">
        <f t="shared" si="279"/>
        <v>4057111</v>
      </c>
      <c r="BG176" s="46" t="str">
        <f t="shared" si="280"/>
        <v>MA</v>
      </c>
      <c r="BH176" s="46"/>
      <c r="BI176" s="46" t="str">
        <f t="shared" si="281"/>
        <v>2021 Y</v>
      </c>
      <c r="BJ176" s="129"/>
      <c r="BK176" s="129"/>
      <c r="BL176" s="129">
        <f>INDEX('Dist. Plant Gas Additions'!$D$7:$AD$91,MATCH($C176,'Dist. Plant Gas Additions'!$C$7:$C$91,0),MATCH(Calculation!$G176,'Dist. Plant Gas Additions'!$D$5:$AD$5,0))</f>
        <v>170443.24400000001</v>
      </c>
      <c r="BM176" s="129">
        <f>INDEX('Gen. Plant Additions'!$D$7:$AD$91,MATCH($C176,'Gen. Plant Additions'!$C$7:$C$91,0),MATCH(Calculation!$G176,'Gen. Plant Additions'!$D$5:$AD$5,0))</f>
        <v>5346</v>
      </c>
      <c r="BN176" s="393">
        <v>0.951717310182012</v>
      </c>
      <c r="BO176" s="46">
        <f t="shared" si="351"/>
        <v>5087.8807402330358</v>
      </c>
      <c r="BP176" s="46">
        <f t="shared" si="352"/>
        <v>-258.11925976696421</v>
      </c>
      <c r="BQ176" s="129"/>
      <c r="BR176" s="129"/>
      <c r="BS176" s="137"/>
      <c r="BT176" s="137"/>
      <c r="BU176" s="333"/>
      <c r="BV176" s="93"/>
      <c r="BW176" s="334"/>
      <c r="BX176" s="334"/>
      <c r="BY176" s="129"/>
      <c r="BZ176" s="129"/>
      <c r="CA176" s="129"/>
      <c r="CB176" s="129"/>
      <c r="CC176" s="133">
        <v>2021</v>
      </c>
      <c r="CD176" s="129"/>
      <c r="CE176" s="129"/>
      <c r="CF176" s="129"/>
      <c r="CG176" s="137"/>
      <c r="CH176" s="129">
        <f t="shared" si="315"/>
        <v>175789.24400000001</v>
      </c>
      <c r="CI176" s="46">
        <f t="shared" si="324"/>
        <v>175531.12474023303</v>
      </c>
      <c r="CJ176" s="46">
        <f t="shared" si="316"/>
        <v>188.13171696032043</v>
      </c>
      <c r="CK176" s="443">
        <v>0.70886075949367089</v>
      </c>
      <c r="CL176" s="129">
        <f>CL153*CK176+CJ154*CK175+CJ155*CK174+CJ156*CK173+CJ157*CK172+CJ158*CK171+CJ159*CK170+CJ160*CK169+CJ161*CK168+CJ162*CK167+CJ163*CK166+CJ164*CK165+CJ165*CK164+CJ166*CK163+CJ167*CK162+CJ158*CK161+CJ169*CK160+CJ170*CK159+CJ171*CK158+CJ172*CK157+CJ173*CK156+CJ174*CK155+CJ176+CJ175*CK154</f>
        <v>4836.649758144089</v>
      </c>
      <c r="CM176" s="134"/>
      <c r="CN176" s="135">
        <f t="shared" si="318"/>
        <v>1.3443966764047289E-2</v>
      </c>
      <c r="CO176" s="135">
        <f t="shared" si="327"/>
        <v>1.5720254575457105E-2</v>
      </c>
      <c r="CP176" s="134">
        <f>VLOOKUP($H176,RoR!$E:$F,2,FALSE)</f>
        <v>2.7033333333333336E-2</v>
      </c>
      <c r="CQ176" s="135"/>
      <c r="CR176" s="135"/>
      <c r="CS176" s="135">
        <f t="shared" si="328"/>
        <v>1.518168703307652E-2</v>
      </c>
      <c r="CT176" s="135">
        <f t="shared" si="329"/>
        <v>7.433422950153494E-2</v>
      </c>
      <c r="CU176" s="139">
        <f t="shared" si="319"/>
        <v>0.90120814999999999</v>
      </c>
      <c r="CV176" s="335">
        <f t="shared" si="320"/>
        <v>1.8969932656739068</v>
      </c>
      <c r="CW176" s="335">
        <f t="shared" si="321"/>
        <v>5.0215782983970621E-2</v>
      </c>
      <c r="CX176" s="335">
        <f t="shared" si="322"/>
        <v>0.655952481704143</v>
      </c>
      <c r="CY176" s="335">
        <f t="shared" si="323"/>
        <v>6.2485378865697057E-2</v>
      </c>
      <c r="CZ176" s="336">
        <f>CZ175</f>
        <v>0.26700499999999999</v>
      </c>
      <c r="DA176" s="303">
        <v>0.37</v>
      </c>
      <c r="DB176" s="141">
        <f t="shared" si="326"/>
        <v>17.324119096240548</v>
      </c>
      <c r="DC176" s="135">
        <f t="shared" si="330"/>
        <v>0.19844226884253005</v>
      </c>
      <c r="DD176" s="336">
        <f>VLOOKUP($H176,RoR!$E:$F,2,FALSE)</f>
        <v>2.7033333333333336E-2</v>
      </c>
      <c r="DE176" s="342">
        <f>HLOOKUP($H176,'GDP-PI'!$D$8:$CR$11,3,FALSE)</f>
        <v>4.2834637353352578E-2</v>
      </c>
      <c r="DF176" s="336">
        <f>VLOOKUP(H176,'HW Dx Data'!$E:$F,2,FALSE)</f>
        <v>933.02249921662576</v>
      </c>
      <c r="DG176" s="89">
        <f ca="1">VLOOKUP(CC176,'ECI - Input Price'!M$13:N$33,2,FALSE)</f>
        <v>157.25</v>
      </c>
      <c r="DH176" s="89"/>
      <c r="DI176" s="89"/>
      <c r="DJ176" s="135">
        <f t="shared" ca="1" si="338"/>
        <v>2.6419062301765574E-2</v>
      </c>
      <c r="DK176" s="137">
        <f>HLOOKUP(H176,'GDP-PI'!$8:$9,2,FALSE)</f>
        <v>118.49</v>
      </c>
      <c r="DL176" s="356">
        <f t="shared" si="332"/>
        <v>4.194261824609434E-2</v>
      </c>
      <c r="DP176" s="398"/>
      <c r="DQ176" s="398"/>
      <c r="DR176" s="398"/>
      <c r="DS176" s="398"/>
      <c r="DT176" s="398"/>
      <c r="DU176" s="398"/>
      <c r="DV176" s="398"/>
      <c r="DW176" s="398"/>
      <c r="DX176" s="398"/>
      <c r="EC176"/>
    </row>
    <row r="177" spans="1:133" s="126" customFormat="1" ht="21" customHeight="1" thickBot="1" x14ac:dyDescent="0.45">
      <c r="A177" s="235"/>
      <c r="B177" s="236"/>
      <c r="C177" s="236"/>
      <c r="D177" s="236"/>
      <c r="E177" s="236"/>
      <c r="F177" s="236"/>
      <c r="G177" s="237" t="s">
        <v>178</v>
      </c>
      <c r="H177" s="238"/>
      <c r="I177" s="239"/>
      <c r="J177" s="240">
        <v>103174.32733590261</v>
      </c>
      <c r="K177" s="240">
        <f t="shared" ca="1" si="333"/>
        <v>634.72363787082497</v>
      </c>
      <c r="L177" s="47"/>
      <c r="M177" s="241">
        <f t="shared" ref="M177" ca="1" si="353">LN(K177/K176)</f>
        <v>6.7490536244459345E-2</v>
      </c>
      <c r="N177" s="59"/>
      <c r="O177" s="59"/>
      <c r="P177" s="242">
        <f t="shared" ca="1" si="342"/>
        <v>1.6852846374568638E-3</v>
      </c>
      <c r="Q177" s="61"/>
      <c r="R177" s="387"/>
      <c r="S177" s="206">
        <f ca="1">+S176*EXP(T177)</f>
        <v>124.62617200841093</v>
      </c>
      <c r="T177" s="243">
        <f ca="1">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</f>
        <v>-3.2721157529943336E-4</v>
      </c>
      <c r="U177" s="243"/>
      <c r="V177" s="239">
        <v>145438.50961807958</v>
      </c>
      <c r="W177" s="240">
        <f t="shared" si="334"/>
        <v>1142.9352425782286</v>
      </c>
      <c r="X177" s="244">
        <f t="shared" ref="X177" si="354">LN(W177/W176)</f>
        <v>2.9314200811839893E-2</v>
      </c>
      <c r="Y177" s="244">
        <f t="shared" si="344"/>
        <v>7.3199555132553908E-4</v>
      </c>
      <c r="Z177" s="206"/>
      <c r="AA177" s="243"/>
      <c r="AB177" s="243"/>
      <c r="AC177" s="240">
        <f t="shared" si="313"/>
        <v>81814.743727522786</v>
      </c>
      <c r="AD177" s="244">
        <f>LN(AC177/AC176)</f>
        <v>2.2741474887866208E-3</v>
      </c>
      <c r="AE177" s="245">
        <v>5454.4963646306387</v>
      </c>
      <c r="AF177" s="243">
        <v>1.7669028831975579E-2</v>
      </c>
      <c r="AG177" s="242">
        <f t="shared" si="339"/>
        <v>4.4120767897670119E-4</v>
      </c>
      <c r="AH177" s="206"/>
      <c r="AI177" s="243"/>
      <c r="AJ177" s="239">
        <f t="shared" si="331"/>
        <v>330427.58068150497</v>
      </c>
      <c r="AK177" s="243">
        <f t="shared" si="345"/>
        <v>7.5367725554566417E-2</v>
      </c>
      <c r="AL177" s="239"/>
      <c r="AM177" s="243"/>
      <c r="AN177" s="243"/>
      <c r="AO177" s="243"/>
      <c r="AP177" s="245">
        <f t="shared" si="346"/>
        <v>334.49978101558872</v>
      </c>
      <c r="AQ177" s="243"/>
      <c r="AR177" s="207">
        <f t="shared" si="335"/>
        <v>0.31224490135813165</v>
      </c>
      <c r="AS177" s="207">
        <f t="shared" si="336"/>
        <v>0.4401524513120651</v>
      </c>
      <c r="AT177" s="207">
        <f t="shared" si="337"/>
        <v>0.24760264732980325</v>
      </c>
      <c r="AU177" s="207"/>
      <c r="AV177" s="206"/>
      <c r="AW177" s="243"/>
      <c r="AX177" s="248">
        <f>+AJ177/$AL$27</f>
        <v>2.4970680798157351E-2</v>
      </c>
      <c r="AY177" s="249"/>
      <c r="AZ177" s="206"/>
      <c r="BA177" s="243"/>
      <c r="BB177" s="250">
        <v>987826</v>
      </c>
      <c r="BC177" s="412">
        <f t="shared" si="283"/>
        <v>5.4805281492023182E-3</v>
      </c>
      <c r="BD177" s="91"/>
      <c r="BE177" s="401">
        <f t="shared" si="278"/>
        <v>0</v>
      </c>
      <c r="BF177" s="402">
        <f t="shared" si="279"/>
        <v>0</v>
      </c>
      <c r="BG177" s="313">
        <f t="shared" si="280"/>
        <v>0</v>
      </c>
      <c r="BH177" s="313"/>
      <c r="BI177" s="313" t="str">
        <f t="shared" si="281"/>
        <v>2022Y</v>
      </c>
      <c r="BJ177" s="239"/>
      <c r="BK177" s="239"/>
      <c r="BL177" s="239"/>
      <c r="BM177" s="239"/>
      <c r="BN177" s="415">
        <v>0.951717310182012</v>
      </c>
      <c r="BO177" s="313">
        <f t="shared" si="351"/>
        <v>0</v>
      </c>
      <c r="BP177" s="313">
        <f t="shared" si="352"/>
        <v>0</v>
      </c>
      <c r="BQ177" s="239"/>
      <c r="BR177" s="239"/>
      <c r="BS177" s="310"/>
      <c r="BT177" s="310"/>
      <c r="BU177" s="311"/>
      <c r="BV177" s="207"/>
      <c r="BW177" s="312"/>
      <c r="BX177" s="312"/>
      <c r="BY177" s="239"/>
      <c r="BZ177" s="239"/>
      <c r="CA177" s="239"/>
      <c r="CB177" s="239"/>
      <c r="CC177" s="245">
        <v>2022</v>
      </c>
      <c r="CD177" s="239"/>
      <c r="CE177" s="239"/>
      <c r="CF177" s="239"/>
      <c r="CG177" s="310"/>
      <c r="CH177" s="239">
        <v>127009</v>
      </c>
      <c r="CI177" s="313">
        <f t="shared" si="324"/>
        <v>127009</v>
      </c>
      <c r="CJ177" s="313">
        <f t="shared" si="316"/>
        <v>123.21281322455157</v>
      </c>
      <c r="CK177" s="443">
        <v>0.69230769230769229</v>
      </c>
      <c r="CL177" s="239">
        <f>+CL153*CK177+CJ154*CK176+CJ155*CK175+CJ156*CK174+CJ157*CK173+CJ158*CK172+CJ159*CK171+CJ160*CK170+CJ161*CK169+CJ162*CK168+CJ163*CK167+CJ164*CK166+CJ165*CK165+CJ166*CK164+CJ167*CK163+CJ168*CK162+CJ169*CK161+CJ170*CK160+CJ171*CK159+CJ172*CK158+CJ173*CK157+CJ174*CK156+CJ175*CK155+CJ176*CK154+CJ177*CK153</f>
        <v>4854.1486801720648</v>
      </c>
      <c r="CM177" s="243">
        <f t="shared" ref="CM177" si="355">LN(CL177/CL176)</f>
        <v>3.6114549608379609E-3</v>
      </c>
      <c r="CN177" s="249">
        <f t="shared" si="318"/>
        <v>2.1856842335662548E-2</v>
      </c>
      <c r="CO177" s="249">
        <f t="shared" ref="CO177" si="356">+(CN177+CN176+CN175)/3</f>
        <v>1.7456801116412731E-2</v>
      </c>
      <c r="CP177" s="243"/>
      <c r="CQ177" s="249"/>
      <c r="CR177" s="249"/>
      <c r="CS177" s="248">
        <f t="shared" si="328"/>
        <v>1.3445140492120894E-2</v>
      </c>
      <c r="CT177" s="249">
        <f t="shared" si="329"/>
        <v>0.10114668178709289</v>
      </c>
      <c r="CU177" s="314">
        <f t="shared" si="319"/>
        <v>0.90120814999999999</v>
      </c>
      <c r="CV177" s="315"/>
      <c r="CW177" s="315"/>
      <c r="CX177" s="315"/>
      <c r="CY177" s="315"/>
      <c r="CZ177" s="316">
        <f>CZ176</f>
        <v>0.26700499999999999</v>
      </c>
      <c r="DA177" s="360">
        <v>0.37</v>
      </c>
      <c r="DB177" s="318">
        <f t="shared" si="326"/>
        <v>16.915581615096439</v>
      </c>
      <c r="DC177" s="249">
        <f t="shared" si="330"/>
        <v>-2.3864511750287597E-2</v>
      </c>
      <c r="DD177" s="316">
        <v>0.04</v>
      </c>
      <c r="DE177" s="319">
        <v>7.0000000000000001E-3</v>
      </c>
      <c r="DF177" s="316">
        <v>1030.81</v>
      </c>
      <c r="DG177" s="89">
        <f ca="1">VLOOKUP(CC177,'ECI - Input Price'!M$13:N$33,2,FALSE)</f>
        <v>162.55000000000001</v>
      </c>
      <c r="DH177" s="89"/>
      <c r="DI177" s="89"/>
      <c r="DJ177" s="249">
        <f t="shared" ca="1" si="338"/>
        <v>3.3148751169364422E-2</v>
      </c>
      <c r="DK177" s="310">
        <v>127.25</v>
      </c>
      <c r="DL177" s="357">
        <f t="shared" si="332"/>
        <v>7.1325086601983473E-2</v>
      </c>
      <c r="DP177" s="398"/>
      <c r="DQ177" s="398"/>
      <c r="DR177" s="398"/>
      <c r="DS177" s="398"/>
      <c r="DT177" s="398"/>
      <c r="DU177" s="398"/>
      <c r="DV177" s="398"/>
      <c r="DW177" s="398"/>
      <c r="DX177" s="398"/>
      <c r="EC177"/>
    </row>
    <row r="178" spans="1:133" s="126" customFormat="1" ht="21" customHeight="1" x14ac:dyDescent="0.4">
      <c r="A178" s="251" t="s">
        <v>193</v>
      </c>
      <c r="B178" s="252" t="s">
        <v>193</v>
      </c>
      <c r="C178" s="252">
        <v>4018679</v>
      </c>
      <c r="D178" s="252" t="s">
        <v>194</v>
      </c>
      <c r="E178" s="252" t="s">
        <v>15</v>
      </c>
      <c r="F178" s="252"/>
      <c r="G178" s="252" t="s">
        <v>150</v>
      </c>
      <c r="H178" s="253">
        <v>1998</v>
      </c>
      <c r="I178" s="254"/>
      <c r="J178" s="255"/>
      <c r="K178" s="255"/>
      <c r="L178" s="47"/>
      <c r="M178" s="255"/>
      <c r="N178" s="59"/>
      <c r="O178" s="59"/>
      <c r="P178" s="219"/>
      <c r="Q178" s="61"/>
      <c r="R178" s="387"/>
      <c r="S178" s="257"/>
      <c r="T178" s="258"/>
      <c r="U178" s="258"/>
      <c r="V178" s="255"/>
      <c r="W178" s="255"/>
      <c r="X178" s="255"/>
      <c r="Y178" s="255"/>
      <c r="Z178" s="255"/>
      <c r="AA178" s="255"/>
      <c r="AB178" s="255"/>
      <c r="AC178" s="255"/>
      <c r="AD178" s="254"/>
      <c r="AE178" s="260">
        <v>6418.4939657819841</v>
      </c>
      <c r="AF178" s="256"/>
      <c r="AG178" s="225"/>
      <c r="AH178" s="256"/>
      <c r="AI178" s="256"/>
      <c r="AJ178" s="254">
        <f t="shared" si="331"/>
        <v>0</v>
      </c>
      <c r="AK178" s="254"/>
      <c r="AL178" s="254"/>
      <c r="AM178" s="256"/>
      <c r="AN178" s="256"/>
      <c r="AO178" s="256"/>
      <c r="AP178" s="226">
        <f>+(AP175+AP176+AP177)/3</f>
        <v>327.49161264272817</v>
      </c>
      <c r="AQ178" s="256"/>
      <c r="AR178" s="261"/>
      <c r="AS178" s="261"/>
      <c r="AT178" s="261"/>
      <c r="AU178" s="261"/>
      <c r="AV178" s="261"/>
      <c r="AW178" s="256">
        <f ca="1">AVERAGE(AW187:AW201)</f>
        <v>2.2212411123431232E-2</v>
      </c>
      <c r="AX178" s="223"/>
      <c r="AY178" s="261"/>
      <c r="AZ178" s="261"/>
      <c r="BA178" s="261"/>
      <c r="BB178" s="262">
        <f>IFERROR(INDEX('Total Customers'!$E$7:$AA$91,MATCH($C178,'Total Customers'!$C$7:$C$91,0),MATCH($G178,'Total Customers'!$E$5:$AA$5,0)),"NA")</f>
        <v>1172083</v>
      </c>
      <c r="BC178" s="413"/>
      <c r="BD178" s="92"/>
      <c r="BE178" s="407" t="str">
        <f t="shared" si="278"/>
        <v>BROOKLYN UNION GAS COMPANY</v>
      </c>
      <c r="BF178" s="408">
        <f t="shared" si="279"/>
        <v>4018679</v>
      </c>
      <c r="BG178" s="218" t="str">
        <f t="shared" si="280"/>
        <v>NY</v>
      </c>
      <c r="BH178" s="218"/>
      <c r="BI178" s="218" t="str">
        <f t="shared" si="281"/>
        <v>1998 Y</v>
      </c>
      <c r="BJ178" s="254">
        <f>INDEX('Gross Dx Plant'!$D$7:$AC$91,MATCH($C178,'Gross Dx Plant'!$C$7:$C$91,0),MATCH(Calculation!$G178,'Gross Dx Plant'!$D$5:$AC$5,0))</f>
        <v>1518875</v>
      </c>
      <c r="BK178" s="254">
        <f>INDEX('Gross Gen Plant'!$D$7:$AC$91,MATCH($C178,'Gross Gen Plant'!$C$7:$C$91,0),MATCH(Calculation!$G178,'Gross Gen Plant'!$D$5:$AC$5,0))</f>
        <v>168775</v>
      </c>
      <c r="BL178" s="254">
        <f>INDEX('Dist. Plant Gas Additions'!$E$7:$AD$91,MATCH($C178,'Dist. Plant Gas Additions'!$C$7:$C$91,0),MATCH(Calculation!$G178,'Dist. Plant Gas Additions'!$E$5:$AD$5,0))</f>
        <v>72879</v>
      </c>
      <c r="BM178" s="254">
        <f>INDEX('Gen. Plant Additions'!$E$7:$AD$91,MATCH($C178,'Gen. Plant Additions'!$C$7:$C$91,0),MATCH(Calculation!$G178,'Gen. Plant Additions'!$E$5:$AD$5,0))</f>
        <v>7076</v>
      </c>
      <c r="BN178" s="409">
        <f>+(BY178/(BY178+BZ178))</f>
        <v>0.89999407460077618</v>
      </c>
      <c r="BO178" s="218">
        <f t="shared" si="351"/>
        <v>6368.3580718750927</v>
      </c>
      <c r="BP178" s="218">
        <f t="shared" si="352"/>
        <v>-707.64192812490728</v>
      </c>
      <c r="BQ178" s="254">
        <f>INDEX('Dist Plant Depreciation'!$D$7:$AC$94,MATCH($C178,'Dist Plant Depreciation'!$C$7:$C$94,0),MATCH(Calculation!$G178,'Dist Plant Depreciation'!$D$5:$AC$5,0))</f>
        <v>343754</v>
      </c>
      <c r="BR178" s="254">
        <f>INDEX('Gen. Plant Depreciation'!$D$7:$AC$94,MATCH($C178,'Gen. Plant Depreciation'!$C$7:$C$94,0),MATCH(Calculation!$G178,'Gen. Plant Depreciation'!$D$5:$AC$5,0))</f>
        <v>49161</v>
      </c>
      <c r="BS178" s="254"/>
      <c r="BT178" s="254"/>
      <c r="BU178" s="254"/>
      <c r="BV178" s="254"/>
      <c r="BW178" s="254"/>
      <c r="BX178" s="254"/>
      <c r="BY178" s="254">
        <f>INDEX('Gross Dx Plant'!$D$7:$AC$91,MATCH($C178,'Gross Dx Plant'!$C$7:$C$91,0),MATCH(Calculation!$G178,'Gross Dx Plant'!$D$5:$AC$5,0))</f>
        <v>1518875</v>
      </c>
      <c r="BZ178" s="254">
        <f>INDEX('Gross Gen Plant'!$D$7:$AC$91,MATCH($C178,'Gross Gen Plant'!$C$7:$C$91,0),MATCH(Calculation!$G178,'Gross Gen Plant'!$D$5:$AC$5,0))</f>
        <v>168775</v>
      </c>
      <c r="CA178" s="254">
        <f t="shared" si="307"/>
        <v>1294735</v>
      </c>
      <c r="CB178" s="254"/>
      <c r="CC178" s="260">
        <v>1998</v>
      </c>
      <c r="CD178" s="254">
        <f>BJ178+BK178</f>
        <v>1687650</v>
      </c>
      <c r="CE178" s="254">
        <f>343754+49161</f>
        <v>392915</v>
      </c>
      <c r="CF178" s="254">
        <f>+CD178-CE178</f>
        <v>1294735</v>
      </c>
      <c r="CG178" s="254">
        <f>CF178/$BX$3</f>
        <v>6418.4939657819841</v>
      </c>
      <c r="CH178" s="323"/>
      <c r="CI178" s="344"/>
      <c r="CJ178" s="344"/>
      <c r="CK178" s="443">
        <v>1</v>
      </c>
      <c r="CL178" s="254">
        <f>+CG178</f>
        <v>6418.4939657819841</v>
      </c>
      <c r="CM178" s="256"/>
      <c r="CN178" s="325"/>
      <c r="CO178" s="325"/>
      <c r="CP178" s="256" t="e">
        <f>VLOOKUP($H178,RoR!$E:$F,2,FALSE)</f>
        <v>#N/A</v>
      </c>
      <c r="CQ178" s="325">
        <v>1.1028127770464469E-2</v>
      </c>
      <c r="CR178" s="325"/>
      <c r="CS178" s="325"/>
      <c r="CT178" s="325"/>
      <c r="CU178" s="327"/>
      <c r="CV178" s="331" t="e">
        <f>2/(DD178*39)</f>
        <v>#N/A</v>
      </c>
      <c r="CW178" s="328" t="e">
        <f>+(DD178*40-(1+DD178))/(DD178*40)</f>
        <v>#N/A</v>
      </c>
      <c r="CX178" s="328" t="e">
        <f>+(1-(1/(1+DD178)^40))</f>
        <v>#N/A</v>
      </c>
      <c r="CY178" s="328" t="e">
        <f>+CX178*CW178*CV178</f>
        <v>#N/A</v>
      </c>
      <c r="CZ178" s="329">
        <f>INDEX('State Tax Lookup'!$D$7:$Z$91,MATCH(Calculation!$C178,'State Tax Lookup'!$B$7:$B$91,0),MATCH($H178,'State Tax Lookup'!$D$6:$Z$6,0))</f>
        <v>0.39649667</v>
      </c>
      <c r="DA178" s="351">
        <v>0.37</v>
      </c>
      <c r="DB178" s="344"/>
      <c r="DC178" s="326"/>
      <c r="DD178" s="351" t="e">
        <f>VLOOKUP($H178,RoR!$E:$F,2,FALSE)</f>
        <v>#N/A</v>
      </c>
      <c r="DE178" s="354">
        <f>HLOOKUP($H178,'GDP-PI'!$D$8:$CQ$11,3,FALSE)</f>
        <v>1.1028127770464469E-2</v>
      </c>
      <c r="DF178" s="351">
        <f>VLOOKUP(H178,'HW Dx Data'!$E:$F,2,FALSE)</f>
        <v>329.24564746449528</v>
      </c>
      <c r="DG178" s="351"/>
      <c r="DH178" s="351"/>
      <c r="DI178" s="351"/>
      <c r="DJ178" s="326"/>
      <c r="DK178" s="344">
        <f>HLOOKUP(H178,'GDP-PI'!$8:$9,2,FALSE)</f>
        <v>75.266999999999996</v>
      </c>
      <c r="DL178" s="292"/>
      <c r="EC178"/>
    </row>
    <row r="179" spans="1:133" s="126" customFormat="1" ht="21" customHeight="1" x14ac:dyDescent="0.4">
      <c r="A179" s="233" t="s">
        <v>193</v>
      </c>
      <c r="B179" s="127" t="s">
        <v>193</v>
      </c>
      <c r="C179" s="127">
        <v>4018679</v>
      </c>
      <c r="D179" s="127" t="s">
        <v>194</v>
      </c>
      <c r="E179" s="127" t="s">
        <v>15</v>
      </c>
      <c r="F179" s="127"/>
      <c r="G179" s="127" t="s">
        <v>155</v>
      </c>
      <c r="H179" s="128">
        <v>1999</v>
      </c>
      <c r="I179" s="129"/>
      <c r="J179" s="125"/>
      <c r="K179" s="125"/>
      <c r="L179" s="47"/>
      <c r="M179" s="125"/>
      <c r="N179" s="125"/>
      <c r="O179" s="125"/>
      <c r="P179" s="47"/>
      <c r="Q179" s="47"/>
      <c r="R179" s="386"/>
      <c r="S179" s="119"/>
      <c r="T179" s="47"/>
      <c r="U179" s="47"/>
      <c r="V179" s="125"/>
      <c r="W179" s="125"/>
      <c r="X179" s="125"/>
      <c r="Y179" s="143"/>
      <c r="Z179" s="125"/>
      <c r="AA179" s="125"/>
      <c r="AB179" s="125"/>
      <c r="AC179" s="125">
        <f t="shared" ref="AC179:AC202" si="357">+CL178*DB179</f>
        <v>0</v>
      </c>
      <c r="AD179" s="129"/>
      <c r="AE179" s="133">
        <v>6681.3080548307271</v>
      </c>
      <c r="AF179" s="134">
        <v>4.0130279557016618E-2</v>
      </c>
      <c r="AG179" s="61"/>
      <c r="AH179" s="134"/>
      <c r="AI179" s="134"/>
      <c r="AJ179" s="129">
        <f t="shared" si="331"/>
        <v>0</v>
      </c>
      <c r="AK179" s="134"/>
      <c r="AL179" s="129"/>
      <c r="AM179" s="134"/>
      <c r="AN179" s="134"/>
      <c r="AO179" s="134"/>
      <c r="AP179" s="133"/>
      <c r="AQ179" s="134"/>
      <c r="AR179" s="93"/>
      <c r="AS179" s="93"/>
      <c r="AT179" s="93"/>
      <c r="AU179" s="93"/>
      <c r="AV179" s="93"/>
      <c r="AW179" s="134"/>
      <c r="AX179" s="62"/>
      <c r="AY179" s="93"/>
      <c r="AZ179" s="93"/>
      <c r="BA179" s="93"/>
      <c r="BB179" s="234">
        <f>IFERROR(INDEX('Total Customers'!$E$7:$AA$91,MATCH($C179,'Total Customers'!$C$7:$C$91,0),MATCH($G179,'Total Customers'!$E$5:$AA$5,0)),"NA")</f>
        <v>1179802</v>
      </c>
      <c r="BC179" s="411">
        <f t="shared" si="283"/>
        <v>6.5641200280837086E-3</v>
      </c>
      <c r="BD179" s="92"/>
      <c r="BE179" s="281" t="str">
        <f t="shared" si="278"/>
        <v>BROOKLYN UNION GAS COMPANY</v>
      </c>
      <c r="BF179" s="290">
        <f t="shared" si="279"/>
        <v>4018679</v>
      </c>
      <c r="BG179" s="46" t="str">
        <f t="shared" si="280"/>
        <v>NY</v>
      </c>
      <c r="BH179" s="46"/>
      <c r="BI179" s="46" t="str">
        <f t="shared" si="281"/>
        <v>1999 Y</v>
      </c>
      <c r="BJ179" s="129"/>
      <c r="BK179" s="129"/>
      <c r="BL179" s="129">
        <f>INDEX('Dist. Plant Gas Additions'!$E$7:$AD$91,MATCH($C179,'Dist. Plant Gas Additions'!$C$7:$C$91,0),MATCH(Calculation!$G179,'Dist. Plant Gas Additions'!$E$5:$AD$5,0))</f>
        <v>88293</v>
      </c>
      <c r="BM179" s="129">
        <f>INDEX('Gen. Plant Additions'!$E$7:$AD$91,MATCH($C179,'Gen. Plant Additions'!$C$7:$C$91,0),MATCH(Calculation!$G179,'Gen. Plant Additions'!$E$5:$AD$5,0))</f>
        <v>10543</v>
      </c>
      <c r="BN179" s="393">
        <f t="shared" ref="BN179:BN200" si="358">+(BY179/(BY179+BZ179))</f>
        <v>0.90188533229248802</v>
      </c>
      <c r="BO179" s="46">
        <f t="shared" si="351"/>
        <v>9508.5770583597005</v>
      </c>
      <c r="BP179" s="46">
        <f t="shared" si="352"/>
        <v>-1034.4229416402995</v>
      </c>
      <c r="BQ179" s="129">
        <f>INDEX('Dist Plant Depreciation'!$D$7:$AC$94,MATCH($C179,'Dist Plant Depreciation'!$C$7:$C$94,0),MATCH(Calculation!$G179,'Dist Plant Depreciation'!$D$5:$AC$5,0))</f>
        <v>375172</v>
      </c>
      <c r="BR179" s="129">
        <f>INDEX('Gen. Plant Depreciation'!$D$7:$AC$94,MATCH($C179,'Gen. Plant Depreciation'!$C$7:$C$94,0),MATCH(Calculation!$G179,'Gen. Plant Depreciation'!$D$5:$AC$5,0))</f>
        <v>57039</v>
      </c>
      <c r="BS179" s="129"/>
      <c r="BT179" s="129"/>
      <c r="BU179" s="129"/>
      <c r="BV179" s="129"/>
      <c r="BW179" s="129"/>
      <c r="BX179" s="129"/>
      <c r="BY179" s="129">
        <f>INDEX('Gross Dx Plant'!$D$7:$AC$91,MATCH($C179,'Gross Dx Plant'!$C$7:$C$91,0),MATCH(Calculation!$G179,'Gross Dx Plant'!$D$5:$AC$5,0))</f>
        <v>1603590</v>
      </c>
      <c r="BZ179" s="129">
        <f>INDEX('Gross Gen Plant'!$D$7:$AC$91,MATCH($C179,'Gross Gen Plant'!$C$7:$C$91,0),MATCH(Calculation!$G179,'Gross Gen Plant'!$D$5:$AC$5,0))</f>
        <v>174452</v>
      </c>
      <c r="CA179" s="129">
        <f t="shared" si="307"/>
        <v>1345831</v>
      </c>
      <c r="CB179" s="129"/>
      <c r="CC179" s="133">
        <v>1999</v>
      </c>
      <c r="CD179" s="129"/>
      <c r="CE179" s="129"/>
      <c r="CF179" s="129"/>
      <c r="CG179" s="137"/>
      <c r="CH179" s="129">
        <f t="shared" ref="CH179:CH201" si="359">+BM179+BL179</f>
        <v>98836</v>
      </c>
      <c r="CI179" s="46">
        <f>+CH179+BP179</f>
        <v>97801.577058359704</v>
      </c>
      <c r="CJ179" s="46">
        <f t="shared" ref="CJ179:CJ202" si="360">+CI179/$DF179</f>
        <v>291.66205784585384</v>
      </c>
      <c r="CK179" s="443">
        <v>0.99009900990099009</v>
      </c>
      <c r="CL179" s="46">
        <f>+CL178*CK179+CJ179</f>
        <v>6646.6065784220764</v>
      </c>
      <c r="CM179" s="134">
        <f t="shared" ref="CM179:CM200" si="361">LN(CL179/CL178)</f>
        <v>3.4922930053558773E-2</v>
      </c>
      <c r="CN179" s="135">
        <f t="shared" ref="CN179:CN202" si="362">+(CL178-CL179+CJ179)/CL178</f>
        <v>9.9009900990098005E-3</v>
      </c>
      <c r="CO179" s="135"/>
      <c r="CP179" s="134">
        <f>VLOOKUP($H179,RoR!$E:$F,2,FALSE)</f>
        <v>7.0416666666666669E-2</v>
      </c>
      <c r="CQ179" s="135">
        <v>1.4335631817396832E-2</v>
      </c>
      <c r="CR179" s="135">
        <f>+CP179-CQ179</f>
        <v>5.6081034849269837E-2</v>
      </c>
      <c r="CS179" s="135"/>
      <c r="CT179" s="135"/>
      <c r="CU179" s="139">
        <f t="shared" ref="CU179:CU202" si="363">1-CZ179*DA179</f>
        <v>0.85329623209999994</v>
      </c>
      <c r="CV179" s="335">
        <f t="shared" ref="CV179:CV201" si="364">2/(DD179*39)</f>
        <v>0.72826581702321336</v>
      </c>
      <c r="CW179" s="335">
        <f t="shared" ref="CW179:CW201" si="365">+(DD179*40-(1+DD179))/(DD179*40)</f>
        <v>0.61997041420118348</v>
      </c>
      <c r="CX179" s="335">
        <f t="shared" ref="CX179:CX201" si="366">+(1-(1/(1+DD179)^40))</f>
        <v>0.93425155319585029</v>
      </c>
      <c r="CY179" s="335">
        <f t="shared" ref="CY179:CY201" si="367">+CX179*CW179*CV179</f>
        <v>0.42181762214141483</v>
      </c>
      <c r="CZ179" s="336">
        <f>INDEX('State Tax Lookup'!$D$7:$Z$91,MATCH(Calculation!$C179,'State Tax Lookup'!$B$7:$B$91,0),MATCH($H179,'State Tax Lookup'!$D$6:$Z$6,0))</f>
        <v>0.39649667</v>
      </c>
      <c r="DA179" s="303">
        <v>0.37</v>
      </c>
      <c r="DB179" s="57"/>
      <c r="DC179" s="56"/>
      <c r="DD179" s="303">
        <f>VLOOKUP($H179,RoR!$E:$F,2,FALSE)</f>
        <v>7.0416666666666669E-2</v>
      </c>
      <c r="DE179" s="304">
        <f>HLOOKUP($H179,'GDP-PI'!$D$8:$CQ$11,3,FALSE)</f>
        <v>1.4335631817396832E-2</v>
      </c>
      <c r="DF179" s="303">
        <f>VLOOKUP(H179,'HW Dx Data'!$E:$F,2,FALSE)</f>
        <v>335.32499146683239</v>
      </c>
      <c r="DG179" s="89"/>
      <c r="DH179" s="89"/>
      <c r="DI179" s="89"/>
      <c r="DJ179" s="56"/>
      <c r="DK179" s="53">
        <f>HLOOKUP(H179,'GDP-PI'!$8:$9,2,FALSE)</f>
        <v>76.346000000000004</v>
      </c>
      <c r="DL179" s="298"/>
      <c r="EC179"/>
    </row>
    <row r="180" spans="1:133" s="126" customFormat="1" ht="21" customHeight="1" x14ac:dyDescent="0.4">
      <c r="A180" s="233" t="s">
        <v>193</v>
      </c>
      <c r="B180" s="127" t="s">
        <v>193</v>
      </c>
      <c r="C180" s="127">
        <v>4018679</v>
      </c>
      <c r="D180" s="127" t="s">
        <v>194</v>
      </c>
      <c r="E180" s="127" t="s">
        <v>15</v>
      </c>
      <c r="F180" s="127"/>
      <c r="G180" s="127" t="s">
        <v>156</v>
      </c>
      <c r="H180" s="128">
        <v>2000</v>
      </c>
      <c r="I180" s="129"/>
      <c r="J180" s="125"/>
      <c r="K180" s="125"/>
      <c r="L180" s="47"/>
      <c r="M180" s="125"/>
      <c r="N180" s="125"/>
      <c r="O180" s="125"/>
      <c r="P180" s="47"/>
      <c r="Q180" s="47"/>
      <c r="R180" s="386"/>
      <c r="S180" s="119"/>
      <c r="T180" s="47"/>
      <c r="U180" s="47"/>
      <c r="V180" s="125"/>
      <c r="W180" s="125"/>
      <c r="X180" s="125"/>
      <c r="Y180" s="125"/>
      <c r="Z180" s="125"/>
      <c r="AA180" s="125"/>
      <c r="AB180" s="125"/>
      <c r="AC180" s="125">
        <f t="shared" si="357"/>
        <v>0</v>
      </c>
      <c r="AD180" s="129"/>
      <c r="AE180" s="133">
        <v>6960.5614611334922</v>
      </c>
      <c r="AF180" s="134">
        <v>4.094635582537641E-2</v>
      </c>
      <c r="AG180" s="61"/>
      <c r="AH180" s="134"/>
      <c r="AI180" s="134"/>
      <c r="AJ180" s="129">
        <f t="shared" si="331"/>
        <v>0</v>
      </c>
      <c r="AK180" s="134"/>
      <c r="AL180" s="129"/>
      <c r="AM180" s="129"/>
      <c r="AN180" s="129"/>
      <c r="AO180" s="129"/>
      <c r="AP180" s="133"/>
      <c r="AQ180" s="134"/>
      <c r="AR180" s="93"/>
      <c r="AS180" s="93"/>
      <c r="AT180" s="93"/>
      <c r="AU180" s="93"/>
      <c r="AV180" s="93"/>
      <c r="AW180" s="134"/>
      <c r="AX180" s="62"/>
      <c r="AY180" s="93"/>
      <c r="AZ180" s="93"/>
      <c r="BA180" s="93"/>
      <c r="BB180" s="234">
        <f>IFERROR(INDEX('Total Customers'!$E$7:$AA$91,MATCH($C180,'Total Customers'!$C$7:$C$91,0),MATCH($G180,'Total Customers'!$E$5:$AA$5,0)),"NA")</f>
        <v>1191711</v>
      </c>
      <c r="BC180" s="411">
        <f t="shared" si="283"/>
        <v>1.0043461795079421E-2</v>
      </c>
      <c r="BD180" s="92"/>
      <c r="BE180" s="281" t="str">
        <f t="shared" si="278"/>
        <v>BROOKLYN UNION GAS COMPANY</v>
      </c>
      <c r="BF180" s="290">
        <f t="shared" si="279"/>
        <v>4018679</v>
      </c>
      <c r="BG180" s="46" t="str">
        <f t="shared" si="280"/>
        <v>NY</v>
      </c>
      <c r="BH180" s="46"/>
      <c r="BI180" s="46" t="str">
        <f t="shared" si="281"/>
        <v>2000 Y</v>
      </c>
      <c r="BJ180" s="129"/>
      <c r="BK180" s="129"/>
      <c r="BL180" s="129">
        <f>INDEX('Dist. Plant Gas Additions'!$E$7:$AD$91,MATCH($C180,'Dist. Plant Gas Additions'!$C$7:$C$91,0),MATCH(Calculation!$G180,'Dist. Plant Gas Additions'!$E$5:$AD$5,0))</f>
        <v>94562</v>
      </c>
      <c r="BM180" s="129">
        <f>INDEX('Gen. Plant Additions'!$E$7:$AD$91,MATCH($C180,'Gen. Plant Additions'!$C$7:$C$91,0),MATCH(Calculation!$G180,'Gen. Plant Additions'!$E$5:$AD$5,0))</f>
        <v>14118</v>
      </c>
      <c r="BN180" s="393">
        <f t="shared" si="358"/>
        <v>0.90483560053272605</v>
      </c>
      <c r="BO180" s="46">
        <f t="shared" si="351"/>
        <v>12774.469008321026</v>
      </c>
      <c r="BP180" s="46">
        <f t="shared" si="352"/>
        <v>-1343.5309916789738</v>
      </c>
      <c r="BQ180" s="129">
        <f>INDEX('Dist Plant Depreciation'!$D$7:$AC$94,MATCH($C180,'Dist Plant Depreciation'!$C$7:$C$94,0),MATCH(Calculation!$G180,'Dist Plant Depreciation'!$D$5:$AC$5,0))</f>
        <v>400567</v>
      </c>
      <c r="BR180" s="129">
        <f>INDEX('Gen. Plant Depreciation'!$D$7:$AC$94,MATCH($C180,'Gen. Plant Depreciation'!$C$7:$C$94,0),MATCH(Calculation!$G180,'Gen. Plant Depreciation'!$D$5:$AC$5,0))</f>
        <v>58866</v>
      </c>
      <c r="BS180" s="129"/>
      <c r="BT180" s="129"/>
      <c r="BU180" s="129"/>
      <c r="BV180" s="129"/>
      <c r="BW180" s="129"/>
      <c r="BX180" s="129"/>
      <c r="BY180" s="129">
        <f>INDEX('Gross Dx Plant'!$D$7:$AC$91,MATCH($C180,'Gross Dx Plant'!$C$7:$C$91,0),MATCH(Calculation!$G180,'Gross Dx Plant'!$D$5:$AC$5,0))</f>
        <v>1685592</v>
      </c>
      <c r="BZ180" s="129">
        <f>INDEX('Gross Gen Plant'!$D$7:$AC$91,MATCH($C180,'Gross Gen Plant'!$C$7:$C$91,0),MATCH(Calculation!$G180,'Gross Gen Plant'!$D$5:$AC$5,0))</f>
        <v>177279</v>
      </c>
      <c r="CA180" s="129">
        <f t="shared" si="307"/>
        <v>1403438</v>
      </c>
      <c r="CB180" s="129"/>
      <c r="CC180" s="133">
        <v>2000</v>
      </c>
      <c r="CD180" s="129"/>
      <c r="CE180" s="129"/>
      <c r="CF180" s="129"/>
      <c r="CG180" s="137"/>
      <c r="CH180" s="129">
        <f t="shared" si="359"/>
        <v>108680</v>
      </c>
      <c r="CI180" s="46">
        <f t="shared" ref="CI180:CI202" si="368">+CH180+BP180</f>
        <v>107336.46900832103</v>
      </c>
      <c r="CJ180" s="46">
        <f t="shared" si="360"/>
        <v>309.74321830237932</v>
      </c>
      <c r="CK180" s="443">
        <v>0.98</v>
      </c>
      <c r="CL180" s="46">
        <f>+CL178*CK180+CJ179*CK179+CJ180</f>
        <v>6888.6416194675885</v>
      </c>
      <c r="CM180" s="134">
        <f t="shared" si="361"/>
        <v>3.5767477649459138E-2</v>
      </c>
      <c r="CN180" s="135">
        <f t="shared" si="362"/>
        <v>1.0186879042409235E-2</v>
      </c>
      <c r="CO180" s="135"/>
      <c r="CP180" s="134">
        <f>VLOOKUP($H180,RoR!$E:$F,2,FALSE)</f>
        <v>7.6225000000000001E-2</v>
      </c>
      <c r="CQ180" s="135">
        <v>2.2568307442433211E-2</v>
      </c>
      <c r="CR180" s="135">
        <f t="shared" ref="CR180:CR200" si="369">+CP180-CQ180</f>
        <v>5.365669255756679E-2</v>
      </c>
      <c r="CS180" s="135"/>
      <c r="CT180" s="135"/>
      <c r="CU180" s="139">
        <f t="shared" si="363"/>
        <v>0.85329623209999994</v>
      </c>
      <c r="CV180" s="335">
        <f t="shared" si="364"/>
        <v>0.67277207323124022</v>
      </c>
      <c r="CW180" s="335">
        <f t="shared" si="365"/>
        <v>0.6470236142997704</v>
      </c>
      <c r="CX180" s="335">
        <f t="shared" si="366"/>
        <v>0.94704866037543145</v>
      </c>
      <c r="CY180" s="335">
        <f t="shared" si="367"/>
        <v>0.41224973107878493</v>
      </c>
      <c r="CZ180" s="336">
        <f>INDEX('State Tax Lookup'!$D$7:$Z$91,MATCH(Calculation!$C180,'State Tax Lookup'!$B$7:$B$91,0),MATCH($H180,'State Tax Lookup'!$D$6:$Z$6,0))</f>
        <v>0.39649667</v>
      </c>
      <c r="DA180" s="303">
        <v>0.37</v>
      </c>
      <c r="DB180" s="57"/>
      <c r="DC180" s="56"/>
      <c r="DD180" s="303">
        <f>VLOOKUP($H180,RoR!$E:$F,2,FALSE)</f>
        <v>7.6225000000000001E-2</v>
      </c>
      <c r="DE180" s="304">
        <f>HLOOKUP($H180,'GDP-PI'!$D$8:$CQ$11,3,FALSE)</f>
        <v>2.2568307442433211E-2</v>
      </c>
      <c r="DF180" s="303">
        <f>VLOOKUP(H180,'HW Dx Data'!$E:$F,2,FALSE)</f>
        <v>346.53371782150339</v>
      </c>
      <c r="DG180" s="89"/>
      <c r="DH180" s="89"/>
      <c r="DI180" s="89"/>
      <c r="DJ180" s="56"/>
      <c r="DK180" s="53">
        <f>HLOOKUP(H180,'GDP-PI'!$8:$9,2,FALSE)</f>
        <v>78.069000000000003</v>
      </c>
      <c r="DL180" s="298"/>
      <c r="EC180"/>
    </row>
    <row r="181" spans="1:133" s="126" customFormat="1" ht="21" customHeight="1" x14ac:dyDescent="0.4">
      <c r="A181" s="233" t="s">
        <v>193</v>
      </c>
      <c r="B181" s="127" t="s">
        <v>193</v>
      </c>
      <c r="C181" s="127">
        <v>4018679</v>
      </c>
      <c r="D181" s="127" t="s">
        <v>194</v>
      </c>
      <c r="E181" s="127" t="s">
        <v>15</v>
      </c>
      <c r="F181" s="127"/>
      <c r="G181" s="127" t="s">
        <v>157</v>
      </c>
      <c r="H181" s="128">
        <v>2001</v>
      </c>
      <c r="I181" s="129"/>
      <c r="J181" s="125"/>
      <c r="K181" s="125"/>
      <c r="L181" s="47"/>
      <c r="M181" s="125"/>
      <c r="N181" s="125"/>
      <c r="O181" s="125"/>
      <c r="P181" s="47"/>
      <c r="Q181" s="47"/>
      <c r="R181" s="386"/>
      <c r="S181" s="119"/>
      <c r="T181" s="47"/>
      <c r="U181" s="47"/>
      <c r="V181" s="125"/>
      <c r="W181" s="125"/>
      <c r="X181" s="125"/>
      <c r="Y181" s="125"/>
      <c r="Z181" s="125"/>
      <c r="AA181" s="125"/>
      <c r="AB181" s="125"/>
      <c r="AC181" s="125">
        <f t="shared" si="357"/>
        <v>71590.129038078405</v>
      </c>
      <c r="AD181" s="129"/>
      <c r="AE181" s="133">
        <v>7134.1477291168139</v>
      </c>
      <c r="AF181" s="134">
        <v>2.4632653680475458E-2</v>
      </c>
      <c r="AG181" s="61"/>
      <c r="AH181" s="134"/>
      <c r="AI181" s="134"/>
      <c r="AJ181" s="129">
        <f t="shared" si="331"/>
        <v>71590.129038078405</v>
      </c>
      <c r="AK181" s="134"/>
      <c r="AL181" s="129"/>
      <c r="AM181" s="129"/>
      <c r="AN181" s="129"/>
      <c r="AO181" s="129"/>
      <c r="AP181" s="133"/>
      <c r="AQ181" s="134"/>
      <c r="AR181" s="93"/>
      <c r="AS181" s="93"/>
      <c r="AT181" s="93"/>
      <c r="AU181" s="93"/>
      <c r="AV181" s="93"/>
      <c r="AW181" s="134"/>
      <c r="AX181" s="62"/>
      <c r="AY181" s="93"/>
      <c r="AZ181" s="93"/>
      <c r="BA181" s="93"/>
      <c r="BB181" s="234">
        <f>IFERROR(INDEX('Total Customers'!$E$7:$AA$91,MATCH($C181,'Total Customers'!$C$7:$C$91,0),MATCH($G181,'Total Customers'!$E$5:$AA$5,0)),"NA")</f>
        <v>1248264</v>
      </c>
      <c r="BC181" s="411">
        <f t="shared" si="283"/>
        <v>4.6363696454611698E-2</v>
      </c>
      <c r="BD181" s="92"/>
      <c r="BE181" s="281" t="str">
        <f t="shared" si="278"/>
        <v>BROOKLYN UNION GAS COMPANY</v>
      </c>
      <c r="BF181" s="290">
        <f t="shared" si="279"/>
        <v>4018679</v>
      </c>
      <c r="BG181" s="46" t="str">
        <f t="shared" si="280"/>
        <v>NY</v>
      </c>
      <c r="BH181" s="46"/>
      <c r="BI181" s="46" t="str">
        <f t="shared" si="281"/>
        <v>2001 Y</v>
      </c>
      <c r="BJ181" s="129"/>
      <c r="BK181" s="129"/>
      <c r="BL181" s="129">
        <f>INDEX('Dist. Plant Gas Additions'!$E$7:$AD$91,MATCH($C181,'Dist. Plant Gas Additions'!$C$7:$C$91,0),MATCH(Calculation!$G181,'Dist. Plant Gas Additions'!$E$5:$AD$5,0))</f>
        <v>67776</v>
      </c>
      <c r="BM181" s="129">
        <f>INDEX('Gen. Plant Additions'!$E$7:$AD$91,MATCH($C181,'Gen. Plant Additions'!$C$7:$C$91,0),MATCH(Calculation!$G181,'Gen. Plant Additions'!$E$5:$AD$5,0))</f>
        <v>6098</v>
      </c>
      <c r="BN181" s="393">
        <f t="shared" si="358"/>
        <v>0.90913455848613134</v>
      </c>
      <c r="BO181" s="46">
        <f t="shared" si="351"/>
        <v>5543.9025376484287</v>
      </c>
      <c r="BP181" s="46">
        <f t="shared" si="352"/>
        <v>-554.09746235157127</v>
      </c>
      <c r="BQ181" s="129">
        <f>INDEX('Dist Plant Depreciation'!$D$7:$AC$94,MATCH($C181,'Dist Plant Depreciation'!$C$7:$C$94,0),MATCH(Calculation!$G181,'Dist Plant Depreciation'!$D$5:$AC$5,0))</f>
        <v>444780</v>
      </c>
      <c r="BR181" s="129">
        <f>INDEX('Gen. Plant Depreciation'!$D$7:$AC$94,MATCH($C181,'Gen. Plant Depreciation'!$C$7:$C$94,0),MATCH(Calculation!$G181,'Gen. Plant Depreciation'!$D$5:$AC$5,0))</f>
        <v>61877</v>
      </c>
      <c r="BS181" s="129"/>
      <c r="BT181" s="129"/>
      <c r="BU181" s="129"/>
      <c r="BV181" s="129"/>
      <c r="BW181" s="129"/>
      <c r="BX181" s="129"/>
      <c r="BY181" s="129">
        <f>INDEX('Gross Dx Plant'!$D$7:$AC$91,MATCH($C181,'Gross Dx Plant'!$C$7:$C$91,0),MATCH(Calculation!$G181,'Gross Dx Plant'!$D$5:$AC$5,0))</f>
        <v>1751455</v>
      </c>
      <c r="BZ181" s="129">
        <f>INDEX('Gross Gen Plant'!$D$7:$AC$91,MATCH($C181,'Gross Gen Plant'!$C$7:$C$91,0),MATCH(Calculation!$G181,'Gross Gen Plant'!$D$5:$AC$5,0))</f>
        <v>175053</v>
      </c>
      <c r="CA181" s="129">
        <f t="shared" si="307"/>
        <v>1419851</v>
      </c>
      <c r="CB181" s="129"/>
      <c r="CC181" s="133">
        <v>2001</v>
      </c>
      <c r="CD181" s="129"/>
      <c r="CE181" s="129"/>
      <c r="CF181" s="129"/>
      <c r="CG181" s="137"/>
      <c r="CH181" s="129">
        <f t="shared" si="359"/>
        <v>73874</v>
      </c>
      <c r="CI181" s="46">
        <f t="shared" si="368"/>
        <v>73319.902537648435</v>
      </c>
      <c r="CJ181" s="46">
        <f t="shared" si="360"/>
        <v>207.4422011598474</v>
      </c>
      <c r="CK181" s="443">
        <v>0.96969696969696972</v>
      </c>
      <c r="CL181" s="46">
        <f>+CL178*CK181+CJ179*CK180+CJ180*CK178+CJ181</f>
        <v>7027.0083847882388</v>
      </c>
      <c r="CM181" s="134">
        <f t="shared" si="361"/>
        <v>1.9887152317387035E-2</v>
      </c>
      <c r="CN181" s="135">
        <f t="shared" si="362"/>
        <v>1.0027439320400561E-2</v>
      </c>
      <c r="CO181" s="135">
        <f>+(CN181+CN180+CN179)/3</f>
        <v>1.0038436153939866E-2</v>
      </c>
      <c r="CP181" s="134">
        <f>VLOOKUP($H181,RoR!$E:$F,2,FALSE)</f>
        <v>7.0824999999999999E-2</v>
      </c>
      <c r="CQ181" s="135">
        <v>2.2454495382290052E-2</v>
      </c>
      <c r="CR181" s="135">
        <f t="shared" si="369"/>
        <v>4.8370504617709947E-2</v>
      </c>
      <c r="CS181" s="135">
        <f>+$CR$2-CO181</f>
        <v>2.0863505454593759E-2</v>
      </c>
      <c r="CT181" s="135">
        <f>+((DF179/DF178-1)+(DF180/DF179-1)+(DF181/DF180-1))/3</f>
        <v>2.3947275901631187E-2</v>
      </c>
      <c r="CU181" s="139">
        <f t="shared" si="363"/>
        <v>0.85329623209999994</v>
      </c>
      <c r="CV181" s="335">
        <f t="shared" si="364"/>
        <v>0.72406708481540816</v>
      </c>
      <c r="CW181" s="335">
        <f t="shared" si="365"/>
        <v>0.62201729615248857</v>
      </c>
      <c r="CX181" s="335">
        <f t="shared" si="366"/>
        <v>0.9352469954311422</v>
      </c>
      <c r="CY181" s="335">
        <f t="shared" si="367"/>
        <v>0.42121864641655071</v>
      </c>
      <c r="CZ181" s="336">
        <f>INDEX('State Tax Lookup'!$D$7:$Z$91,MATCH(Calculation!$C181,'State Tax Lookup'!$B$7:$B$91,0),MATCH($H181,'State Tax Lookup'!$D$6:$Z$6,0))</f>
        <v>0.39649667</v>
      </c>
      <c r="DA181" s="303">
        <v>0.37</v>
      </c>
      <c r="DB181" s="57">
        <f t="shared" ref="DB181:DB202" si="370">+(DF181*CS181-CT181)*CU181/(1-CZ181)</f>
        <v>10.392488532973136</v>
      </c>
      <c r="DC181" s="56"/>
      <c r="DD181" s="303">
        <f>VLOOKUP($H181,RoR!$E:$F,2,FALSE)</f>
        <v>7.0824999999999999E-2</v>
      </c>
      <c r="DE181" s="304">
        <f>HLOOKUP($H181,'GDP-PI'!$D$8:$CQ$11,3,FALSE)</f>
        <v>2.2454495382290052E-2</v>
      </c>
      <c r="DF181" s="303">
        <f>VLOOKUP(H181,'HW Dx Data'!$E:$F,2,FALSE)</f>
        <v>353.44738017483138</v>
      </c>
      <c r="DG181" s="89"/>
      <c r="DH181" s="89"/>
      <c r="DI181" s="89"/>
      <c r="DJ181" s="56"/>
      <c r="DK181" s="53">
        <f>HLOOKUP(H181,'GDP-PI'!$8:$9,2,FALSE)</f>
        <v>79.822000000000003</v>
      </c>
      <c r="DL181" s="298"/>
      <c r="EC181"/>
    </row>
    <row r="182" spans="1:133" s="126" customFormat="1" ht="21" customHeight="1" x14ac:dyDescent="0.4">
      <c r="A182" s="233" t="s">
        <v>193</v>
      </c>
      <c r="B182" s="127" t="s">
        <v>193</v>
      </c>
      <c r="C182" s="127">
        <v>4018679</v>
      </c>
      <c r="D182" s="127" t="s">
        <v>194</v>
      </c>
      <c r="E182" s="127" t="s">
        <v>15</v>
      </c>
      <c r="F182" s="127"/>
      <c r="G182" s="127" t="s">
        <v>158</v>
      </c>
      <c r="H182" s="128">
        <v>2002</v>
      </c>
      <c r="I182" s="129"/>
      <c r="J182" s="125"/>
      <c r="K182" s="125"/>
      <c r="L182" s="47"/>
      <c r="M182" s="125"/>
      <c r="N182" s="125"/>
      <c r="O182" s="125"/>
      <c r="P182" s="47"/>
      <c r="Q182" s="47"/>
      <c r="R182" s="386"/>
      <c r="S182" s="119"/>
      <c r="T182" s="47"/>
      <c r="U182" s="47"/>
      <c r="V182" s="125"/>
      <c r="W182" s="125"/>
      <c r="X182" s="125"/>
      <c r="Y182" s="125"/>
      <c r="Z182" s="125"/>
      <c r="AA182" s="125"/>
      <c r="AB182" s="125"/>
      <c r="AC182" s="125">
        <f t="shared" si="357"/>
        <v>73093.1728260378</v>
      </c>
      <c r="AD182" s="129"/>
      <c r="AE182" s="133">
        <v>7434.4025679330771</v>
      </c>
      <c r="AF182" s="134">
        <v>4.1225428196949729E-2</v>
      </c>
      <c r="AG182" s="61"/>
      <c r="AH182" s="134"/>
      <c r="AI182" s="134"/>
      <c r="AJ182" s="129">
        <f t="shared" si="331"/>
        <v>73093.1728260378</v>
      </c>
      <c r="AK182" s="134"/>
      <c r="AL182" s="129"/>
      <c r="AM182" s="129"/>
      <c r="AN182" s="129"/>
      <c r="AO182" s="129"/>
      <c r="AP182" s="133"/>
      <c r="AQ182" s="134"/>
      <c r="AR182" s="93"/>
      <c r="AS182" s="93"/>
      <c r="AT182" s="93"/>
      <c r="AU182" s="93"/>
      <c r="AV182" s="93"/>
      <c r="AW182" s="134"/>
      <c r="AX182" s="62"/>
      <c r="AY182" s="93"/>
      <c r="AZ182" s="93"/>
      <c r="BA182" s="93"/>
      <c r="BB182" s="234">
        <f>IFERROR(INDEX('Total Customers'!$E$7:$AA$91,MATCH($C182,'Total Customers'!$C$7:$C$91,0),MATCH($G182,'Total Customers'!$E$5:$AA$5,0)),"NA")</f>
        <v>1245106</v>
      </c>
      <c r="BC182" s="411">
        <f t="shared" si="283"/>
        <v>-2.5331191830009277E-3</v>
      </c>
      <c r="BD182" s="92"/>
      <c r="BE182" s="281" t="str">
        <f t="shared" si="278"/>
        <v>BROOKLYN UNION GAS COMPANY</v>
      </c>
      <c r="BF182" s="290">
        <f t="shared" si="279"/>
        <v>4018679</v>
      </c>
      <c r="BG182" s="46" t="str">
        <f t="shared" si="280"/>
        <v>NY</v>
      </c>
      <c r="BH182" s="46"/>
      <c r="BI182" s="46" t="str">
        <f t="shared" si="281"/>
        <v>2002 Y</v>
      </c>
      <c r="BJ182" s="129"/>
      <c r="BK182" s="129"/>
      <c r="BL182" s="129">
        <f>INDEX('Dist. Plant Gas Additions'!$E$7:$AD$91,MATCH($C182,'Dist. Plant Gas Additions'!$C$7:$C$91,0),MATCH(Calculation!$G182,'Dist. Plant Gas Additions'!$E$5:$AD$5,0))</f>
        <v>112651</v>
      </c>
      <c r="BM182" s="129">
        <f>INDEX('Gen. Plant Additions'!$E$7:$AD$91,MATCH($C182,'Gen. Plant Additions'!$C$7:$C$91,0),MATCH(Calculation!$G182,'Gen. Plant Additions'!$E$5:$AD$5,0))</f>
        <v>10566</v>
      </c>
      <c r="BN182" s="393">
        <f t="shared" si="358"/>
        <v>0.91161514980637237</v>
      </c>
      <c r="BO182" s="46">
        <f>+BN182*BM182</f>
        <v>9632.1256728541302</v>
      </c>
      <c r="BP182" s="46">
        <f>+BO182-BM182</f>
        <v>-933.87432714586976</v>
      </c>
      <c r="BQ182" s="129">
        <f>INDEX('Dist Plant Depreciation'!$D$7:$AC$94,MATCH($C182,'Dist Plant Depreciation'!$C$7:$C$94,0),MATCH(Calculation!$G182,'Dist Plant Depreciation'!$D$5:$AC$5,0))</f>
        <v>476214</v>
      </c>
      <c r="BR182" s="129">
        <f>INDEX('Gen. Plant Depreciation'!$D$7:$AC$94,MATCH($C182,'Gen. Plant Depreciation'!$C$7:$C$94,0),MATCH(Calculation!$G182,'Gen. Plant Depreciation'!$D$5:$AC$5,0))</f>
        <v>69551</v>
      </c>
      <c r="BS182" s="129"/>
      <c r="BT182" s="129"/>
      <c r="BU182" s="129"/>
      <c r="BV182" s="129"/>
      <c r="BW182" s="129"/>
      <c r="BX182" s="129"/>
      <c r="BY182" s="129">
        <f>INDEX('Gross Dx Plant'!$D$7:$AC$91,MATCH($C182,'Gross Dx Plant'!$C$7:$C$91,0),MATCH(Calculation!$G182,'Gross Dx Plant'!$D$5:$AC$5,0))</f>
        <v>1854279</v>
      </c>
      <c r="BZ182" s="129">
        <f>INDEX('Gross Gen Plant'!$D$7:$AC$91,MATCH($C182,'Gross Gen Plant'!$C$7:$C$91,0),MATCH(Calculation!$G182,'Gross Gen Plant'!$D$5:$AC$5,0))</f>
        <v>179780</v>
      </c>
      <c r="CA182" s="129">
        <f t="shared" si="307"/>
        <v>1488294</v>
      </c>
      <c r="CB182" s="129"/>
      <c r="CC182" s="133">
        <v>2002</v>
      </c>
      <c r="CD182" s="129"/>
      <c r="CE182" s="129"/>
      <c r="CF182" s="129"/>
      <c r="CG182" s="137"/>
      <c r="CH182" s="129">
        <f t="shared" si="359"/>
        <v>123217</v>
      </c>
      <c r="CI182" s="46">
        <f t="shared" si="368"/>
        <v>122283.12567285413</v>
      </c>
      <c r="CJ182" s="46">
        <f t="shared" si="360"/>
        <v>338.40804318022924</v>
      </c>
      <c r="CK182" s="443">
        <v>0.95918367346938771</v>
      </c>
      <c r="CL182" s="46">
        <f>+CL178*CK182+CJ179*CK181+CJ180*CK180+CJ181*CK179+CJ182</f>
        <v>7286.6831490051763</v>
      </c>
      <c r="CM182" s="134">
        <f t="shared" si="361"/>
        <v>3.6287390629993511E-2</v>
      </c>
      <c r="CN182" s="135">
        <f t="shared" si="362"/>
        <v>1.1204380961566812E-2</v>
      </c>
      <c r="CO182" s="135">
        <f t="shared" ref="CO182:CO202" si="371">+(CN182+CN181+CN180)/3</f>
        <v>1.0472899774792202E-2</v>
      </c>
      <c r="CP182" s="134">
        <f>VLOOKUP($H182,RoR!$E:$F,2,FALSE)</f>
        <v>6.4916666666666664E-2</v>
      </c>
      <c r="CQ182" s="135">
        <v>1.5246423291824351E-2</v>
      </c>
      <c r="CR182" s="135">
        <f t="shared" si="369"/>
        <v>4.9670243374842313E-2</v>
      </c>
      <c r="CS182" s="135">
        <f t="shared" ref="CS182:CS202" si="372">+$CR$2-CO182</f>
        <v>2.0429041833741425E-2</v>
      </c>
      <c r="CT182" s="135">
        <f t="shared" ref="CT182:CT202" si="373">+((DF180/DF179-1)+(DF181/DF180-1)+(DF182/DF181-1))/3</f>
        <v>2.5243621214759093E-2</v>
      </c>
      <c r="CU182" s="139">
        <f t="shared" si="363"/>
        <v>0.85329623209999994</v>
      </c>
      <c r="CV182" s="335">
        <f t="shared" si="364"/>
        <v>0.78996741384417901</v>
      </c>
      <c r="CW182" s="335">
        <f t="shared" si="365"/>
        <v>0.58989088575096271</v>
      </c>
      <c r="CX182" s="335">
        <f t="shared" si="366"/>
        <v>0.91920675783645744</v>
      </c>
      <c r="CY182" s="335">
        <f t="shared" si="367"/>
        <v>0.42834536472275586</v>
      </c>
      <c r="CZ182" s="336">
        <f>INDEX('State Tax Lookup'!$D$7:$Z$91,MATCH(Calculation!$C182,'State Tax Lookup'!$B$7:$B$91,0),MATCH($H182,'State Tax Lookup'!$D$6:$Z$6,0))</f>
        <v>0.39649667</v>
      </c>
      <c r="DA182" s="303">
        <v>0.37</v>
      </c>
      <c r="DB182" s="57">
        <f t="shared" si="370"/>
        <v>10.401748343472411</v>
      </c>
      <c r="DC182" s="56">
        <f t="shared" ref="DC182:DC202" si="374">LN(DB182/DB181)</f>
        <v>8.9061321811044784E-4</v>
      </c>
      <c r="DD182" s="303">
        <f>VLOOKUP($H182,RoR!$E:$F,2,FALSE)</f>
        <v>6.4916666666666664E-2</v>
      </c>
      <c r="DE182" s="304">
        <f>HLOOKUP($H182,'GDP-PI'!$D$8:$CQ$11,3,FALSE)</f>
        <v>1.5246423291824351E-2</v>
      </c>
      <c r="DF182" s="303">
        <f>VLOOKUP(H182,'HW Dx Data'!$E:$F,2,FALSE)</f>
        <v>361.34816573413599</v>
      </c>
      <c r="DG182" s="89"/>
      <c r="DH182" s="89"/>
      <c r="DI182" s="89"/>
      <c r="DJ182" s="56"/>
      <c r="DK182" s="53">
        <f>HLOOKUP(H182,'GDP-PI'!$8:$9,2,FALSE)</f>
        <v>81.039000000000001</v>
      </c>
      <c r="DL182" s="355">
        <f>LN(DK182/DK181)</f>
        <v>1.513136459537477E-2</v>
      </c>
      <c r="EC182"/>
    </row>
    <row r="183" spans="1:133" s="126" customFormat="1" ht="21" customHeight="1" x14ac:dyDescent="0.4">
      <c r="A183" s="233" t="s">
        <v>193</v>
      </c>
      <c r="B183" s="127" t="s">
        <v>193</v>
      </c>
      <c r="C183" s="127">
        <v>4018679</v>
      </c>
      <c r="D183" s="127" t="s">
        <v>194</v>
      </c>
      <c r="E183" s="127" t="s">
        <v>15</v>
      </c>
      <c r="F183" s="127"/>
      <c r="G183" s="127" t="s">
        <v>159</v>
      </c>
      <c r="H183" s="128">
        <v>2003</v>
      </c>
      <c r="I183" s="129"/>
      <c r="J183" s="125"/>
      <c r="K183" s="125"/>
      <c r="L183" s="47"/>
      <c r="M183" s="131"/>
      <c r="N183" s="131"/>
      <c r="O183" s="131"/>
      <c r="P183" s="59"/>
      <c r="Q183" s="59"/>
      <c r="R183" s="386"/>
      <c r="S183" s="119"/>
      <c r="T183" s="59"/>
      <c r="U183" s="59"/>
      <c r="V183" s="125"/>
      <c r="W183" s="125"/>
      <c r="X183" s="125"/>
      <c r="Y183" s="125"/>
      <c r="Z183" s="125"/>
      <c r="AA183" s="125"/>
      <c r="AB183" s="125"/>
      <c r="AC183" s="125">
        <f t="shared" si="357"/>
        <v>76389.417473179332</v>
      </c>
      <c r="AD183" s="129"/>
      <c r="AE183" s="133">
        <v>7760.2462347131741</v>
      </c>
      <c r="AF183" s="134">
        <v>4.2895842295955999E-2</v>
      </c>
      <c r="AG183" s="61"/>
      <c r="AH183" s="134"/>
      <c r="AI183" s="134"/>
      <c r="AJ183" s="129">
        <f t="shared" si="331"/>
        <v>76389.417473179332</v>
      </c>
      <c r="AK183" s="134"/>
      <c r="AL183" s="129"/>
      <c r="AM183" s="129"/>
      <c r="AN183" s="129"/>
      <c r="AO183" s="129"/>
      <c r="AP183" s="133"/>
      <c r="AQ183" s="134"/>
      <c r="AR183" s="93"/>
      <c r="AS183" s="93"/>
      <c r="AT183" s="93"/>
      <c r="AU183" s="93"/>
      <c r="AV183" s="93"/>
      <c r="AW183" s="134"/>
      <c r="AX183" s="62"/>
      <c r="AY183" s="93"/>
      <c r="AZ183" s="93"/>
      <c r="BA183" s="93"/>
      <c r="BB183" s="234">
        <f>IFERROR(INDEX('Total Customers'!$E$7:$AA$91,MATCH($C183,'Total Customers'!$C$7:$C$91,0),MATCH($G183,'Total Customers'!$E$5:$AA$5,0)),"NA")</f>
        <v>1190085</v>
      </c>
      <c r="BC183" s="411">
        <f t="shared" si="283"/>
        <v>-4.5195933710700353E-2</v>
      </c>
      <c r="BD183" s="92"/>
      <c r="BE183" s="281" t="str">
        <f t="shared" si="278"/>
        <v>BROOKLYN UNION GAS COMPANY</v>
      </c>
      <c r="BF183" s="290">
        <f t="shared" si="279"/>
        <v>4018679</v>
      </c>
      <c r="BG183" s="46" t="str">
        <f t="shared" si="280"/>
        <v>NY</v>
      </c>
      <c r="BH183" s="46"/>
      <c r="BI183" s="46" t="str">
        <f t="shared" si="281"/>
        <v>2003 Y</v>
      </c>
      <c r="BJ183" s="129"/>
      <c r="BK183" s="129"/>
      <c r="BL183" s="129">
        <f>INDEX('Dist. Plant Gas Additions'!$E$7:$AD$91,MATCH($C183,'Dist. Plant Gas Additions'!$C$7:$C$91,0),MATCH(Calculation!$G183,'Dist. Plant Gas Additions'!$E$5:$AD$5,0))</f>
        <v>130161</v>
      </c>
      <c r="BM183" s="129">
        <f>INDEX('Gen. Plant Additions'!$E$7:$AD$91,MATCH($C183,'Gen. Plant Additions'!$C$7:$C$91,0),MATCH(Calculation!$G183,'Gen. Plant Additions'!$E$5:$AD$5,0))</f>
        <v>5701</v>
      </c>
      <c r="BN183" s="393">
        <f t="shared" si="358"/>
        <v>0.91539683850123321</v>
      </c>
      <c r="BO183" s="46">
        <f t="shared" ref="BO183:BO201" si="375">+BN183*BM183</f>
        <v>5218.6773762955308</v>
      </c>
      <c r="BP183" s="46">
        <f t="shared" ref="BP183:BP201" si="376">+BO183-BM183</f>
        <v>-482.32262370446915</v>
      </c>
      <c r="BQ183" s="129">
        <f>INDEX('Dist Plant Depreciation'!$D$7:$AC$94,MATCH($C183,'Dist Plant Depreciation'!$C$7:$C$94,0),MATCH(Calculation!$G183,'Dist Plant Depreciation'!$D$5:$AC$5,0))</f>
        <v>514524</v>
      </c>
      <c r="BR183" s="129">
        <f>INDEX('Gen. Plant Depreciation'!$D$7:$AC$94,MATCH($C183,'Gen. Plant Depreciation'!$C$7:$C$94,0),MATCH(Calculation!$G183,'Gen. Plant Depreciation'!$D$5:$AC$5,0))</f>
        <v>79009</v>
      </c>
      <c r="BS183" s="129"/>
      <c r="BT183" s="129"/>
      <c r="BU183" s="129"/>
      <c r="BV183" s="129"/>
      <c r="BW183" s="129"/>
      <c r="BX183" s="129"/>
      <c r="BY183" s="129">
        <f>INDEX('Gross Dx Plant'!$D$7:$AC$91,MATCH($C183,'Gross Dx Plant'!$C$7:$C$91,0),MATCH(Calculation!$G183,'Gross Dx Plant'!$D$5:$AC$5,0))</f>
        <v>1973656</v>
      </c>
      <c r="BZ183" s="129">
        <f>INDEX('Gross Gen Plant'!$D$7:$AC$91,MATCH($C183,'Gross Gen Plant'!$C$7:$C$91,0),MATCH(Calculation!$G183,'Gross Gen Plant'!$D$5:$AC$5,0))</f>
        <v>182410</v>
      </c>
      <c r="CA183" s="129">
        <f t="shared" si="307"/>
        <v>1562533</v>
      </c>
      <c r="CB183" s="129"/>
      <c r="CC183" s="133">
        <v>2003</v>
      </c>
      <c r="CD183" s="129"/>
      <c r="CE183" s="129"/>
      <c r="CF183" s="129"/>
      <c r="CG183" s="137"/>
      <c r="CH183" s="129">
        <f t="shared" si="359"/>
        <v>135862</v>
      </c>
      <c r="CI183" s="46">
        <f t="shared" si="368"/>
        <v>135379.67737629553</v>
      </c>
      <c r="CJ183" s="46">
        <f t="shared" si="360"/>
        <v>366.65106683154647</v>
      </c>
      <c r="CK183" s="443">
        <v>0.94845360824742264</v>
      </c>
      <c r="CL183" s="46">
        <f>+CL178*CK183+CJ179*CK182+CJ180*CK181+CJ181*CK180+CJ182*CK179+CJ183</f>
        <v>7572.7601980519366</v>
      </c>
      <c r="CM183" s="134">
        <f t="shared" si="361"/>
        <v>3.850916818318665E-2</v>
      </c>
      <c r="CN183" s="135">
        <f t="shared" si="362"/>
        <v>1.105770844390107E-2</v>
      </c>
      <c r="CO183" s="135">
        <f t="shared" si="371"/>
        <v>1.0763176241956147E-2</v>
      </c>
      <c r="CP183" s="134">
        <f>VLOOKUP($H183,RoR!$E:$F,2,FALSE)</f>
        <v>5.6666666666666671E-2</v>
      </c>
      <c r="CQ183" s="135">
        <v>1.8855119140166909E-2</v>
      </c>
      <c r="CR183" s="135">
        <f t="shared" si="369"/>
        <v>3.7811547526499761E-2</v>
      </c>
      <c r="CS183" s="135">
        <f t="shared" si="372"/>
        <v>2.013876536657748E-2</v>
      </c>
      <c r="CT183" s="135">
        <f t="shared" si="373"/>
        <v>2.1375012817671957E-2</v>
      </c>
      <c r="CU183" s="139">
        <f t="shared" si="363"/>
        <v>0.85329623209999994</v>
      </c>
      <c r="CV183" s="335">
        <f t="shared" si="364"/>
        <v>0.90497737556561086</v>
      </c>
      <c r="CW183" s="335">
        <f t="shared" si="365"/>
        <v>0.5338235294117647</v>
      </c>
      <c r="CX183" s="335">
        <f t="shared" si="366"/>
        <v>0.88972433127405692</v>
      </c>
      <c r="CY183" s="335">
        <f t="shared" si="367"/>
        <v>0.42982423775949252</v>
      </c>
      <c r="CZ183" s="336">
        <f>INDEX('State Tax Lookup'!$D$7:$Z$91,MATCH(Calculation!$C183,'State Tax Lookup'!$B$7:$B$91,0),MATCH($H183,'State Tax Lookup'!$D$6:$Z$6,0))</f>
        <v>0.39649667</v>
      </c>
      <c r="DA183" s="303">
        <v>0.37</v>
      </c>
      <c r="DB183" s="57">
        <f t="shared" si="370"/>
        <v>10.483427906922026</v>
      </c>
      <c r="DC183" s="56">
        <f t="shared" si="374"/>
        <v>7.8218137979598687E-3</v>
      </c>
      <c r="DD183" s="303">
        <f>VLOOKUP($H183,RoR!$E:$F,2,FALSE)</f>
        <v>5.6666666666666671E-2</v>
      </c>
      <c r="DE183" s="304">
        <f>HLOOKUP($H183,'GDP-PI'!$D$8:$CQ$11,3,FALSE)</f>
        <v>1.8855119140166909E-2</v>
      </c>
      <c r="DF183" s="303">
        <f>VLOOKUP(H183,'HW Dx Data'!$E:$F,2,FALSE)</f>
        <v>369.23301095560191</v>
      </c>
      <c r="DG183" s="89">
        <f ca="1">VLOOKUP(CC183,'ECI - Input Price'!M$13:N$33,2,FALSE)</f>
        <v>89.25</v>
      </c>
      <c r="DH183" s="89"/>
      <c r="DI183" s="89"/>
      <c r="DJ183" s="56"/>
      <c r="DK183" s="53">
        <f>HLOOKUP(H183,'GDP-PI'!$8:$9,2,FALSE)</f>
        <v>82.566999999999993</v>
      </c>
      <c r="DL183" s="355">
        <f t="shared" ref="DL183:DL202" si="377">LN(DK183/DK182)</f>
        <v>1.8679564681853753E-2</v>
      </c>
      <c r="EC183"/>
    </row>
    <row r="184" spans="1:133" s="126" customFormat="1" ht="21" customHeight="1" x14ac:dyDescent="0.4">
      <c r="A184" s="233" t="s">
        <v>193</v>
      </c>
      <c r="B184" s="127" t="s">
        <v>193</v>
      </c>
      <c r="C184" s="127">
        <v>4018679</v>
      </c>
      <c r="D184" s="127" t="s">
        <v>194</v>
      </c>
      <c r="E184" s="127" t="s">
        <v>15</v>
      </c>
      <c r="F184" s="127"/>
      <c r="G184" s="127" t="s">
        <v>160</v>
      </c>
      <c r="H184" s="128">
        <v>2004</v>
      </c>
      <c r="I184" s="129"/>
      <c r="J184" s="125">
        <f>IFERROR(INDEX('Labor Expenditures'!$E$7:$W$91,MATCH($C184,'Labor Expenditures'!$C$7:$C$91,0),MATCH($G184,'Labor Expenditures'!$E$5:$W$5,0)),"NA")</f>
        <v>102600.76066327511</v>
      </c>
      <c r="K184" s="125">
        <f t="shared" ref="K184:K202" ca="1" si="378">+J184/DG184</f>
        <v>1087.4484437019091</v>
      </c>
      <c r="L184" s="47"/>
      <c r="M184" s="131"/>
      <c r="N184" s="131"/>
      <c r="O184" s="131"/>
      <c r="P184" s="59"/>
      <c r="Q184" s="59"/>
      <c r="R184" s="386"/>
      <c r="S184" s="119"/>
      <c r="T184" s="59"/>
      <c r="U184" s="59"/>
      <c r="V184" s="125">
        <f>IFERROR(INDEX('Non-Labor Expenditures'!$E$7:$AA$91,MATCH($C184,'Non-Labor Expenditures'!$C$7:$C$91,0),MATCH($G184,'Non-Labor Expenditures'!$E$5:$AA$5,0)),"NA")</f>
        <v>148585.06461915505</v>
      </c>
      <c r="W184" s="125">
        <f t="shared" ref="W184:W202" si="379">+V184/DK184</f>
        <v>1752.6370593686456</v>
      </c>
      <c r="X184" s="125"/>
      <c r="Y184" s="125"/>
      <c r="Z184" s="125"/>
      <c r="AA184" s="125"/>
      <c r="AB184" s="125"/>
      <c r="AC184" s="125">
        <f t="shared" si="357"/>
        <v>86918.860903050445</v>
      </c>
      <c r="AD184" s="129"/>
      <c r="AE184" s="133">
        <v>8071.8743450265692</v>
      </c>
      <c r="AF184" s="134">
        <v>3.9371651190230256E-2</v>
      </c>
      <c r="AG184" s="59">
        <f t="shared" ref="AG184:AG202" si="380">+AF184*$AX184</f>
        <v>0</v>
      </c>
      <c r="AH184" s="134"/>
      <c r="AI184" s="134"/>
      <c r="AJ184" s="129">
        <f t="shared" si="331"/>
        <v>338104.68618548062</v>
      </c>
      <c r="AK184" s="134"/>
      <c r="AL184" s="129"/>
      <c r="AM184" s="129"/>
      <c r="AN184" s="129"/>
      <c r="AO184" s="129"/>
      <c r="AP184" s="133"/>
      <c r="AQ184" s="134"/>
      <c r="AR184" s="93">
        <f t="shared" ref="AR184:AR202" si="381">+J184/AJ184</f>
        <v>0.30345855841521652</v>
      </c>
      <c r="AS184" s="93">
        <f t="shared" ref="AS184:AS202" si="382">+V184/AJ184</f>
        <v>0.4394646708257775</v>
      </c>
      <c r="AT184" s="93">
        <f t="shared" ref="AT184:AT202" si="383">+AC184/AJ184</f>
        <v>0.25707677075900592</v>
      </c>
      <c r="AU184" s="93"/>
      <c r="AV184" s="93"/>
      <c r="AW184" s="134"/>
      <c r="AX184" s="62"/>
      <c r="AY184" s="93"/>
      <c r="AZ184" s="93"/>
      <c r="BA184" s="93"/>
      <c r="BB184" s="234">
        <f>IFERROR(INDEX('Total Customers'!$E$7:$AA$91,MATCH($C184,'Total Customers'!$C$7:$C$91,0),MATCH($G184,'Total Customers'!$E$5:$AA$5,0)),"NA")</f>
        <v>1155008</v>
      </c>
      <c r="BC184" s="411">
        <f t="shared" si="283"/>
        <v>-2.9917462787271875E-2</v>
      </c>
      <c r="BD184" s="92"/>
      <c r="BE184" s="281" t="str">
        <f t="shared" si="278"/>
        <v>BROOKLYN UNION GAS COMPANY</v>
      </c>
      <c r="BF184" s="290">
        <f t="shared" si="279"/>
        <v>4018679</v>
      </c>
      <c r="BG184" s="46" t="str">
        <f t="shared" si="280"/>
        <v>NY</v>
      </c>
      <c r="BH184" s="46"/>
      <c r="BI184" s="46" t="str">
        <f t="shared" si="281"/>
        <v>2004 Y</v>
      </c>
      <c r="BJ184" s="129"/>
      <c r="BK184" s="129"/>
      <c r="BL184" s="129">
        <f>INDEX('Dist. Plant Gas Additions'!$E$7:$AD$91,MATCH($C184,'Dist. Plant Gas Additions'!$C$7:$C$91,0),MATCH(Calculation!$G184,'Dist. Plant Gas Additions'!$E$5:$AD$5,0))</f>
        <v>146160</v>
      </c>
      <c r="BM184" s="129">
        <f>INDEX('Gen. Plant Additions'!$E$7:$AD$91,MATCH($C184,'Gen. Plant Additions'!$C$7:$C$91,0),MATCH(Calculation!$G184,'Gen. Plant Additions'!$E$5:$AD$5,0))</f>
        <v>1923</v>
      </c>
      <c r="BN184" s="393">
        <f t="shared" si="358"/>
        <v>0.93108439134938736</v>
      </c>
      <c r="BO184" s="46">
        <f t="shared" si="375"/>
        <v>1790.4752845648718</v>
      </c>
      <c r="BP184" s="46">
        <f t="shared" si="376"/>
        <v>-132.5247154351282</v>
      </c>
      <c r="BQ184" s="129">
        <f>INDEX('Dist Plant Depreciation'!$D$7:$AC$94,MATCH($C184,'Dist Plant Depreciation'!$C$7:$C$94,0),MATCH(Calculation!$G184,'Dist Plant Depreciation'!$D$5:$AC$5,0))</f>
        <v>549467</v>
      </c>
      <c r="BR184" s="129">
        <f>INDEX('Gen. Plant Depreciation'!$D$7:$AC$94,MATCH($C184,'Gen. Plant Depreciation'!$C$7:$C$94,0),MATCH(Calculation!$G184,'Gen. Plant Depreciation'!$D$5:$AC$5,0))</f>
        <v>158826</v>
      </c>
      <c r="BS184" s="129"/>
      <c r="BT184" s="129"/>
      <c r="BU184" s="129"/>
      <c r="BV184" s="129"/>
      <c r="BW184" s="129"/>
      <c r="BX184" s="129"/>
      <c r="BY184" s="129">
        <f>INDEX('Gross Dx Plant'!$D$7:$AC$91,MATCH($C184,'Gross Dx Plant'!$C$7:$C$91,0),MATCH(Calculation!$G184,'Gross Dx Plant'!$D$5:$AC$5,0))</f>
        <v>2102315</v>
      </c>
      <c r="BZ184" s="129">
        <f>INDEX('Gross Gen Plant'!$D$7:$AC$91,MATCH($C184,'Gross Gen Plant'!$C$7:$C$91,0),MATCH(Calculation!$G184,'Gross Gen Plant'!$D$5:$AC$5,0))</f>
        <v>155606</v>
      </c>
      <c r="CA184" s="129">
        <f t="shared" si="307"/>
        <v>1549628</v>
      </c>
      <c r="CB184" s="129"/>
      <c r="CC184" s="133">
        <v>2004</v>
      </c>
      <c r="CD184" s="129"/>
      <c r="CE184" s="129"/>
      <c r="CF184" s="129"/>
      <c r="CG184" s="137"/>
      <c r="CH184" s="129">
        <f t="shared" si="359"/>
        <v>148083</v>
      </c>
      <c r="CI184" s="46">
        <f t="shared" si="368"/>
        <v>147950.47528456486</v>
      </c>
      <c r="CJ184" s="46">
        <f t="shared" si="360"/>
        <v>356.60410436469482</v>
      </c>
      <c r="CK184" s="443">
        <v>0.9375</v>
      </c>
      <c r="CL184" s="46">
        <f>+CL178*CK184+CJ179*CK183+CJ180*CK182+CJ181*CK181+CJ182*CK180+CJ183*CK179+CJ184</f>
        <v>7843.4875808192337</v>
      </c>
      <c r="CM184" s="134">
        <f t="shared" si="361"/>
        <v>3.5125955693604688E-2</v>
      </c>
      <c r="CN184" s="135">
        <f t="shared" si="362"/>
        <v>1.1340214050286342E-2</v>
      </c>
      <c r="CO184" s="135">
        <f t="shared" si="371"/>
        <v>1.1200767818584742E-2</v>
      </c>
      <c r="CP184" s="134">
        <f>VLOOKUP($H184,RoR!$E:$F,2,FALSE)</f>
        <v>5.6283333333333331E-2</v>
      </c>
      <c r="CQ184" s="135">
        <v>2.6778252812867276E-2</v>
      </c>
      <c r="CR184" s="135">
        <f t="shared" si="369"/>
        <v>2.9505080520466055E-2</v>
      </c>
      <c r="CS184" s="135">
        <f t="shared" si="372"/>
        <v>1.9701173789948883E-2</v>
      </c>
      <c r="CT184" s="135">
        <f t="shared" si="373"/>
        <v>5.5940039414565046E-2</v>
      </c>
      <c r="CU184" s="139">
        <f t="shared" si="363"/>
        <v>0.85329623209999994</v>
      </c>
      <c r="CV184" s="335">
        <f t="shared" si="364"/>
        <v>0.91114097628755619</v>
      </c>
      <c r="CW184" s="335">
        <f t="shared" si="365"/>
        <v>0.53081877405981637</v>
      </c>
      <c r="CX184" s="335">
        <f t="shared" si="366"/>
        <v>0.88811215519385678</v>
      </c>
      <c r="CY184" s="335">
        <f t="shared" si="367"/>
        <v>0.42953609753547711</v>
      </c>
      <c r="CZ184" s="336">
        <f>INDEX('State Tax Lookup'!$D$7:$Z$91,MATCH(Calculation!$C184,'State Tax Lookup'!$B$7:$B$91,0),MATCH($H184,'State Tax Lookup'!$D$6:$Z$6,0))</f>
        <v>0.39649667</v>
      </c>
      <c r="DA184" s="303">
        <v>0.37</v>
      </c>
      <c r="DB184" s="57">
        <f t="shared" si="370"/>
        <v>11.477830887264856</v>
      </c>
      <c r="DC184" s="56">
        <f t="shared" si="374"/>
        <v>9.0621710170640205E-2</v>
      </c>
      <c r="DD184" s="303">
        <f>VLOOKUP($H184,RoR!$E:$F,2,FALSE)</f>
        <v>5.6283333333333331E-2</v>
      </c>
      <c r="DE184" s="304">
        <f>HLOOKUP($H184,'GDP-PI'!$D$8:$CQ$11,3,FALSE)</f>
        <v>2.6778252812867276E-2</v>
      </c>
      <c r="DF184" s="303">
        <f>VLOOKUP(H184,'HW Dx Data'!$E:$F,2,FALSE)</f>
        <v>414.88719135228365</v>
      </c>
      <c r="DG184" s="89">
        <f ca="1">VLOOKUP(CC184,'ECI - Input Price'!M$13:N$33,2,FALSE)</f>
        <v>94.35</v>
      </c>
      <c r="DH184" s="89"/>
      <c r="DI184" s="89"/>
      <c r="DJ184" s="56">
        <f t="shared" ref="DJ184:DJ202" ca="1" si="384">LN(DG184/DG183)</f>
        <v>5.5569851154810786E-2</v>
      </c>
      <c r="DK184" s="53">
        <f>HLOOKUP(H184,'GDP-PI'!$8:$9,2,FALSE)</f>
        <v>84.778000000000006</v>
      </c>
      <c r="DL184" s="355">
        <f t="shared" si="377"/>
        <v>2.6425990216022755E-2</v>
      </c>
      <c r="EC184"/>
    </row>
    <row r="185" spans="1:133" s="126" customFormat="1" ht="21" customHeight="1" x14ac:dyDescent="0.4">
      <c r="A185" s="233" t="s">
        <v>193</v>
      </c>
      <c r="B185" s="127" t="s">
        <v>193</v>
      </c>
      <c r="C185" s="127">
        <v>4018679</v>
      </c>
      <c r="D185" s="127" t="s">
        <v>194</v>
      </c>
      <c r="E185" s="127" t="s">
        <v>15</v>
      </c>
      <c r="F185" s="127"/>
      <c r="G185" s="127" t="s">
        <v>161</v>
      </c>
      <c r="H185" s="128">
        <v>2005</v>
      </c>
      <c r="I185" s="129"/>
      <c r="J185" s="125">
        <f>IFERROR(INDEX('Labor Expenditures'!$E$7:$W$91,MATCH($C185,'Labor Expenditures'!$C$7:$C$91,0),MATCH($G185,'Labor Expenditures'!$E$5:$W$5,0)),"NA")</f>
        <v>107316.34059753396</v>
      </c>
      <c r="K185" s="125">
        <f t="shared" ca="1" si="378"/>
        <v>1081.5453826911964</v>
      </c>
      <c r="L185" s="47"/>
      <c r="M185" s="131">
        <f t="shared" ref="M185:M201" ca="1" si="385">LN(K185/K184)</f>
        <v>-5.4431465073395604E-3</v>
      </c>
      <c r="N185" s="59"/>
      <c r="O185" s="59"/>
      <c r="P185" s="59"/>
      <c r="Q185" s="61"/>
      <c r="R185" s="387"/>
      <c r="S185" s="49">
        <v>100</v>
      </c>
      <c r="T185" s="46"/>
      <c r="U185" s="46"/>
      <c r="V185" s="125">
        <f>IFERROR(INDEX('Non-Labor Expenditures'!$E$7:$AA$91,MATCH($C185,'Non-Labor Expenditures'!$C$7:$C$91,0),MATCH($G185,'Non-Labor Expenditures'!$E$5:$AA$5,0)),"NA")</f>
        <v>155414.10511280352</v>
      </c>
      <c r="W185" s="125">
        <f t="shared" si="379"/>
        <v>1778.0510155113839</v>
      </c>
      <c r="X185" s="131">
        <f>LN(W185/W184)</f>
        <v>1.4396284536496712E-2</v>
      </c>
      <c r="Y185" s="131"/>
      <c r="Z185" s="131"/>
      <c r="AA185" s="131"/>
      <c r="AB185" s="131"/>
      <c r="AC185" s="125">
        <f t="shared" si="357"/>
        <v>100757.53032159229</v>
      </c>
      <c r="AD185" s="129"/>
      <c r="AE185" s="133">
        <v>8281.8080790403983</v>
      </c>
      <c r="AF185" s="134">
        <v>2.5675595433020275E-2</v>
      </c>
      <c r="AG185" s="59">
        <f t="shared" si="380"/>
        <v>0</v>
      </c>
      <c r="AH185" s="134"/>
      <c r="AI185" s="134"/>
      <c r="AJ185" s="129">
        <f t="shared" si="331"/>
        <v>363487.97603192978</v>
      </c>
      <c r="AK185" s="134">
        <f>LN(AJ185/AJ184)</f>
        <v>7.2390648138737759E-2</v>
      </c>
      <c r="AL185" s="129"/>
      <c r="AM185" s="129"/>
      <c r="AN185" s="129"/>
      <c r="AO185" s="129"/>
      <c r="AP185" s="133"/>
      <c r="AQ185" s="134"/>
      <c r="AR185" s="93">
        <f t="shared" si="381"/>
        <v>0.29524041419215197</v>
      </c>
      <c r="AS185" s="93">
        <f t="shared" si="382"/>
        <v>0.42756326305316772</v>
      </c>
      <c r="AT185" s="93">
        <f t="shared" si="383"/>
        <v>0.27719632275468026</v>
      </c>
      <c r="AU185" s="93">
        <f t="shared" ref="AU185:AU201" ca="1" si="386">+(((AR185+AR184)/2)*M185+((AS184+AS185)/2)*X185+((AT184+AT185)/2)*AF185)</f>
        <v>1.1470477207661093E-2</v>
      </c>
      <c r="AV185" s="132">
        <v>100</v>
      </c>
      <c r="AW185" s="134"/>
      <c r="AX185" s="15"/>
      <c r="AY185" s="93"/>
      <c r="AZ185" s="93"/>
      <c r="BA185" s="93"/>
      <c r="BB185" s="234">
        <f>IFERROR(INDEX('Total Customers'!$E$7:$AA$91,MATCH($C185,'Total Customers'!$C$7:$C$91,0),MATCH($G185,'Total Customers'!$E$5:$AA$5,0)),"NA")</f>
        <v>1165944</v>
      </c>
      <c r="BC185" s="411">
        <f t="shared" si="283"/>
        <v>9.4237889739963512E-3</v>
      </c>
      <c r="BD185" s="92"/>
      <c r="BE185" s="281" t="str">
        <f t="shared" si="278"/>
        <v>BROOKLYN UNION GAS COMPANY</v>
      </c>
      <c r="BF185" s="290">
        <f t="shared" si="279"/>
        <v>4018679</v>
      </c>
      <c r="BG185" s="46" t="str">
        <f t="shared" si="280"/>
        <v>NY</v>
      </c>
      <c r="BH185" s="46"/>
      <c r="BI185" s="46" t="str">
        <f t="shared" si="281"/>
        <v>2005 Y</v>
      </c>
      <c r="BJ185" s="129"/>
      <c r="BK185" s="129"/>
      <c r="BL185" s="129">
        <f>INDEX('Dist. Plant Gas Additions'!$E$7:$AD$91,MATCH($C185,'Dist. Plant Gas Additions'!$C$7:$C$91,0),MATCH(Calculation!$G185,'Dist. Plant Gas Additions'!$E$5:$AD$5,0))</f>
        <v>110310</v>
      </c>
      <c r="BM185" s="129">
        <f>INDEX('Gen. Plant Additions'!$E$7:$AD$91,MATCH($C185,'Gen. Plant Additions'!$C$7:$C$91,0),MATCH(Calculation!$G185,'Gen. Plant Additions'!$E$5:$AD$5,0))</f>
        <v>10969</v>
      </c>
      <c r="BN185" s="393">
        <f t="shared" si="358"/>
        <v>0.93347459446955428</v>
      </c>
      <c r="BO185" s="46">
        <f t="shared" si="375"/>
        <v>10239.28282673654</v>
      </c>
      <c r="BP185" s="46">
        <f t="shared" si="376"/>
        <v>-729.7171732634597</v>
      </c>
      <c r="BQ185" s="129">
        <f>INDEX('Dist Plant Depreciation'!$D$7:$AC$94,MATCH($C185,'Dist Plant Depreciation'!$C$7:$C$94,0),MATCH(Calculation!$G185,'Dist Plant Depreciation'!$D$5:$AC$5,0))</f>
        <v>586107</v>
      </c>
      <c r="BR185" s="129">
        <f>INDEX('Gen. Plant Depreciation'!$D$7:$AC$94,MATCH($C185,'Gen. Plant Depreciation'!$C$7:$C$94,0),MATCH(Calculation!$G185,'Gen. Plant Depreciation'!$D$5:$AC$5,0))</f>
        <v>61182</v>
      </c>
      <c r="BS185" s="129"/>
      <c r="BT185" s="129"/>
      <c r="BU185" s="129"/>
      <c r="BV185" s="129"/>
      <c r="BW185" s="129"/>
      <c r="BX185" s="129"/>
      <c r="BY185" s="129">
        <f>INDEX('Gross Dx Plant'!$D$7:$AC$91,MATCH($C185,'Gross Dx Plant'!$C$7:$C$91,0),MATCH(Calculation!$G185,'Gross Dx Plant'!$D$5:$AC$5,0))</f>
        <v>2195227</v>
      </c>
      <c r="BZ185" s="129">
        <f>INDEX('Gross Gen Plant'!$D$7:$AC$91,MATCH($C185,'Gross Gen Plant'!$C$7:$C$91,0),MATCH(Calculation!$G185,'Gross Gen Plant'!$D$5:$AC$5,0))</f>
        <v>156446</v>
      </c>
      <c r="CA185" s="129">
        <f t="shared" si="307"/>
        <v>1704384</v>
      </c>
      <c r="CB185" s="129"/>
      <c r="CC185" s="133">
        <v>2005</v>
      </c>
      <c r="CD185" s="129"/>
      <c r="CE185" s="129"/>
      <c r="CF185" s="129"/>
      <c r="CG185" s="137"/>
      <c r="CH185" s="129">
        <f t="shared" si="359"/>
        <v>121279</v>
      </c>
      <c r="CI185" s="46">
        <f t="shared" si="368"/>
        <v>120549.28282673654</v>
      </c>
      <c r="CJ185" s="46">
        <f t="shared" si="360"/>
        <v>256.92234048624761</v>
      </c>
      <c r="CK185" s="443">
        <v>0.9263157894736842</v>
      </c>
      <c r="CL185" s="46">
        <f>+CL178*CK185+CJ179*CK184+CJ180*CK183+CJ181*CK182+CJ182*CK181+CJ183*CK180+CJ184*CK179+CJ185</f>
        <v>8009.2047405782696</v>
      </c>
      <c r="CM185" s="134">
        <f t="shared" si="361"/>
        <v>2.0907892887202888E-2</v>
      </c>
      <c r="CN185" s="135">
        <f t="shared" si="362"/>
        <v>1.1628141153719471E-2</v>
      </c>
      <c r="CO185" s="135">
        <f t="shared" si="371"/>
        <v>1.134202121596896E-2</v>
      </c>
      <c r="CP185" s="134">
        <f>VLOOKUP($H185,RoR!$E:$F,2,FALSE)</f>
        <v>5.2350000000000001E-2</v>
      </c>
      <c r="CQ185" s="135">
        <v>3.1010403642454332E-2</v>
      </c>
      <c r="CR185" s="135">
        <f t="shared" si="369"/>
        <v>2.1339596357545669E-2</v>
      </c>
      <c r="CS185" s="135">
        <f t="shared" si="372"/>
        <v>1.9559920392564663E-2</v>
      </c>
      <c r="CT185" s="135">
        <f t="shared" si="373"/>
        <v>9.2129610649277341E-2</v>
      </c>
      <c r="CU185" s="139">
        <f t="shared" si="363"/>
        <v>0.85329623209999994</v>
      </c>
      <c r="CV185" s="335">
        <f t="shared" si="364"/>
        <v>0.97959983346802826</v>
      </c>
      <c r="CW185" s="335">
        <f t="shared" si="365"/>
        <v>0.49744508118433622</v>
      </c>
      <c r="CX185" s="335">
        <f t="shared" si="366"/>
        <v>0.87010519444335932</v>
      </c>
      <c r="CY185" s="335">
        <f t="shared" si="367"/>
        <v>0.42399975420741998</v>
      </c>
      <c r="CZ185" s="336">
        <f>INDEX('State Tax Lookup'!$D$7:$Z$91,MATCH(Calculation!$C185,'State Tax Lookup'!$B$7:$B$91,0),MATCH($H185,'State Tax Lookup'!$D$6:$Z$6,0))</f>
        <v>0.39649667</v>
      </c>
      <c r="DA185" s="303">
        <v>0.37</v>
      </c>
      <c r="DB185" s="57">
        <f t="shared" si="370"/>
        <v>12.846011328938499</v>
      </c>
      <c r="DC185" s="56">
        <f t="shared" si="374"/>
        <v>0.11261593480288629</v>
      </c>
      <c r="DD185" s="303">
        <f>VLOOKUP($H185,RoR!$E:$F,2,FALSE)</f>
        <v>5.2350000000000001E-2</v>
      </c>
      <c r="DE185" s="304">
        <f>HLOOKUP($H185,'GDP-PI'!$D$8:$CQ$11,3,FALSE)</f>
        <v>3.1010403642454332E-2</v>
      </c>
      <c r="DF185" s="303">
        <f>VLOOKUP(H185,'HW Dx Data'!$E:$F,2,FALSE)</f>
        <v>469.20514034936258</v>
      </c>
      <c r="DG185" s="89">
        <f ca="1">VLOOKUP(CC185,'ECI - Input Price'!M$13:N$33,2,FALSE)</f>
        <v>99.224999999999994</v>
      </c>
      <c r="DH185" s="89"/>
      <c r="DI185" s="89"/>
      <c r="DJ185" s="56">
        <f t="shared" ca="1" si="384"/>
        <v>5.0378726854569796E-2</v>
      </c>
      <c r="DK185" s="53">
        <f>HLOOKUP(H185,'GDP-PI'!$8:$9,2,FALSE)</f>
        <v>87.406999999999996</v>
      </c>
      <c r="DL185" s="355">
        <f t="shared" si="377"/>
        <v>3.0539295810733648E-2</v>
      </c>
      <c r="EC185"/>
    </row>
    <row r="186" spans="1:133" s="126" customFormat="1" ht="21" customHeight="1" x14ac:dyDescent="0.4">
      <c r="A186" s="233" t="s">
        <v>193</v>
      </c>
      <c r="B186" s="127" t="s">
        <v>193</v>
      </c>
      <c r="C186" s="127">
        <v>4018679</v>
      </c>
      <c r="D186" s="127" t="s">
        <v>194</v>
      </c>
      <c r="E186" s="127" t="s">
        <v>15</v>
      </c>
      <c r="F186" s="127"/>
      <c r="G186" s="127" t="s">
        <v>162</v>
      </c>
      <c r="H186" s="128">
        <v>2006</v>
      </c>
      <c r="I186" s="129"/>
      <c r="J186" s="125">
        <f>IFERROR(INDEX('Labor Expenditures'!$E$7:$W$91,MATCH($C186,'Labor Expenditures'!$C$7:$C$91,0),MATCH($G186,'Labor Expenditures'!$E$5:$W$5,0)),"NA")</f>
        <v>103240.59698508766</v>
      </c>
      <c r="K186" s="125">
        <f t="shared" ca="1" si="378"/>
        <v>943.6983271031778</v>
      </c>
      <c r="L186" s="47"/>
      <c r="M186" s="131">
        <f t="shared" ca="1" si="385"/>
        <v>-0.13633966091560812</v>
      </c>
      <c r="N186" s="59"/>
      <c r="O186" s="59"/>
      <c r="P186" s="59">
        <f t="shared" ref="P186:P202" ca="1" si="387">+M186*$AX186</f>
        <v>-6.5704410642590354E-3</v>
      </c>
      <c r="Q186" s="61"/>
      <c r="R186" s="387"/>
      <c r="S186" s="49">
        <f ca="1">+S185*EXP(T186)</f>
        <v>105.32318639880837</v>
      </c>
      <c r="T186" s="61">
        <f ca="1">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</f>
        <v>5.1863402633636563E-2</v>
      </c>
      <c r="U186" s="61"/>
      <c r="V186" s="125">
        <f>IFERROR(INDEX('Non-Labor Expenditures'!$E$7:$AA$91,MATCH($C186,'Non-Labor Expenditures'!$C$7:$C$91,0),MATCH($G186,'Non-Labor Expenditures'!$E$5:$AA$5,0)),"NA")</f>
        <v>149511.66711808008</v>
      </c>
      <c r="W186" s="125">
        <f t="shared" si="379"/>
        <v>1659.8759588569408</v>
      </c>
      <c r="X186" s="131">
        <f t="shared" ref="X186:X201" si="388">LN(W186/W185)</f>
        <v>-6.8774953322310692E-2</v>
      </c>
      <c r="Y186" s="131">
        <f t="shared" ref="Y186:Y202" si="389">+X186*AX186</f>
        <v>-3.3143824362385317E-3</v>
      </c>
      <c r="Z186" s="131"/>
      <c r="AA186" s="131"/>
      <c r="AB186" s="131"/>
      <c r="AC186" s="125">
        <f t="shared" si="357"/>
        <v>99690.273768802479</v>
      </c>
      <c r="AD186" s="129"/>
      <c r="AE186" s="133">
        <v>8534.7430368193927</v>
      </c>
      <c r="AF186" s="134">
        <v>3.0083937208301458E-2</v>
      </c>
      <c r="AG186" s="59">
        <f t="shared" si="380"/>
        <v>1.449796303442219E-3</v>
      </c>
      <c r="AH186" s="134"/>
      <c r="AI186" s="134"/>
      <c r="AJ186" s="129">
        <f t="shared" si="331"/>
        <v>352442.53787197021</v>
      </c>
      <c r="AK186" s="134">
        <f t="shared" ref="AK186:AK202" si="390">LN(AJ186/AJ185)</f>
        <v>-3.0858622274836076E-2</v>
      </c>
      <c r="AL186" s="129"/>
      <c r="AM186" s="129"/>
      <c r="AN186" s="129"/>
      <c r="AO186" s="129"/>
      <c r="AP186" s="133">
        <f t="shared" ref="AP186:AP202" si="391">+(AJ186*1000)/BB186</f>
        <v>299.53175160899866</v>
      </c>
      <c r="AQ186" s="134">
        <f>+BB186/Outputs!$B$14</f>
        <v>3.3927215670833129E-2</v>
      </c>
      <c r="AR186" s="93">
        <f t="shared" si="381"/>
        <v>0.29292887745176571</v>
      </c>
      <c r="AS186" s="93">
        <f t="shared" si="382"/>
        <v>0.42421572611757868</v>
      </c>
      <c r="AT186" s="93">
        <f t="shared" si="383"/>
        <v>0.2828553964306556</v>
      </c>
      <c r="AU186" s="93">
        <f t="shared" ca="1" si="386"/>
        <v>-6.0961650625737641E-2</v>
      </c>
      <c r="AV186" s="132">
        <f ca="1">+AV185*EXP(AU186)</f>
        <v>94.085932045037794</v>
      </c>
      <c r="AW186" s="134">
        <f ca="1">LN(AV186/AV185)</f>
        <v>-6.0961650625737586E-2</v>
      </c>
      <c r="AX186" s="56">
        <f>+AJ186/$AL$11</f>
        <v>4.8191707534948502E-2</v>
      </c>
      <c r="AY186" s="135">
        <f ca="1">+AX186*AW186</f>
        <v>-2.9378460378032562E-3</v>
      </c>
      <c r="AZ186" s="93"/>
      <c r="BA186" s="93"/>
      <c r="BB186" s="234">
        <f>IFERROR(INDEX('Total Customers'!$E$7:$AA$91,MATCH($C186,'Total Customers'!$C$7:$C$91,0),MATCH($G186,'Total Customers'!$E$5:$AA$5,0)),"NA")</f>
        <v>1176645</v>
      </c>
      <c r="BC186" s="411">
        <f t="shared" si="283"/>
        <v>9.1361091791374843E-3</v>
      </c>
      <c r="BD186" s="92"/>
      <c r="BE186" s="281" t="str">
        <f t="shared" si="278"/>
        <v>BROOKLYN UNION GAS COMPANY</v>
      </c>
      <c r="BF186" s="290">
        <f t="shared" si="279"/>
        <v>4018679</v>
      </c>
      <c r="BG186" s="46" t="str">
        <f t="shared" si="280"/>
        <v>NY</v>
      </c>
      <c r="BH186" s="46"/>
      <c r="BI186" s="46" t="str">
        <f t="shared" si="281"/>
        <v>2006 Y</v>
      </c>
      <c r="BJ186" s="129"/>
      <c r="BK186" s="129"/>
      <c r="BL186" s="129">
        <f>INDEX('Dist. Plant Gas Additions'!$E$7:$AD$91,MATCH($C186,'Dist. Plant Gas Additions'!$C$7:$C$91,0),MATCH(Calculation!$G186,'Dist. Plant Gas Additions'!$E$5:$AD$5,0))</f>
        <v>133989</v>
      </c>
      <c r="BM186" s="129">
        <f>INDEX('Gen. Plant Additions'!$E$7:$AD$91,MATCH($C186,'Gen. Plant Additions'!$C$7:$C$91,0),MATCH(Calculation!$G186,'Gen. Plant Additions'!$E$5:$AD$5,0))</f>
        <v>6349</v>
      </c>
      <c r="BN186" s="393">
        <f t="shared" si="358"/>
        <v>0.93947063182783719</v>
      </c>
      <c r="BO186" s="46">
        <f t="shared" si="375"/>
        <v>5964.699041474938</v>
      </c>
      <c r="BP186" s="46">
        <f t="shared" si="376"/>
        <v>-384.30095852506201</v>
      </c>
      <c r="BQ186" s="129">
        <f>INDEX('Dist Plant Depreciation'!$D$7:$AC$94,MATCH($C186,'Dist Plant Depreciation'!$C$7:$C$94,0),MATCH(Calculation!$G186,'Dist Plant Depreciation'!$D$5:$AC$5,0))</f>
        <v>606347</v>
      </c>
      <c r="BR186" s="129">
        <f>INDEX('Gen. Plant Depreciation'!$D$7:$AC$94,MATCH($C186,'Gen. Plant Depreciation'!$C$7:$C$94,0),MATCH(Calculation!$G186,'Gen. Plant Depreciation'!$D$5:$AC$5,0))</f>
        <v>56770</v>
      </c>
      <c r="BS186" s="129"/>
      <c r="BT186" s="129"/>
      <c r="BU186" s="129"/>
      <c r="BV186" s="129"/>
      <c r="BW186" s="129"/>
      <c r="BX186" s="129"/>
      <c r="BY186" s="129">
        <f>INDEX('Gross Dx Plant'!$D$7:$AC$91,MATCH($C186,'Gross Dx Plant'!$C$7:$C$91,0),MATCH(Calculation!$G186,'Gross Dx Plant'!$D$5:$AC$5,0))</f>
        <v>2314850</v>
      </c>
      <c r="BZ186" s="129">
        <f>INDEX('Gross Gen Plant'!$D$7:$AC$91,MATCH($C186,'Gross Gen Plant'!$C$7:$C$91,0),MATCH(Calculation!$G186,'Gross Gen Plant'!$D$5:$AC$5,0))</f>
        <v>149144</v>
      </c>
      <c r="CA186" s="129">
        <f t="shared" si="307"/>
        <v>1800877</v>
      </c>
      <c r="CB186" s="134"/>
      <c r="CC186" s="133">
        <v>2006</v>
      </c>
      <c r="CD186" s="129"/>
      <c r="CE186" s="129"/>
      <c r="CF186" s="129"/>
      <c r="CG186" s="137"/>
      <c r="CH186" s="129">
        <f t="shared" si="359"/>
        <v>140338</v>
      </c>
      <c r="CI186" s="46">
        <f t="shared" si="368"/>
        <v>139953.69904147493</v>
      </c>
      <c r="CJ186" s="46">
        <f t="shared" si="360"/>
        <v>303.53079117145711</v>
      </c>
      <c r="CK186" s="443">
        <v>0.91489361702127658</v>
      </c>
      <c r="CL186" s="46">
        <f>+CL178*CK186+CJ179*CK185+CJ180*CK184+CJ181*CK183+CJ182*CK182+CJ183*CK181+CJ184*CK180+CJ185*CK179+CJ186</f>
        <v>8217.061167725491</v>
      </c>
      <c r="CM186" s="134">
        <f t="shared" si="361"/>
        <v>2.5621150139493634E-2</v>
      </c>
      <c r="CN186" s="135">
        <f t="shared" si="362"/>
        <v>1.1945551040730159E-2</v>
      </c>
      <c r="CO186" s="135">
        <f t="shared" si="371"/>
        <v>1.1637968748245325E-2</v>
      </c>
      <c r="CP186" s="134">
        <f>VLOOKUP($H186,RoR!$E:$F,2,FALSE)</f>
        <v>5.5874999999999994E-2</v>
      </c>
      <c r="CQ186" s="135">
        <v>3.0512430354548314E-2</v>
      </c>
      <c r="CR186" s="135">
        <f t="shared" si="369"/>
        <v>2.536256964545168E-2</v>
      </c>
      <c r="CS186" s="135">
        <f t="shared" si="372"/>
        <v>1.92639728602883E-2</v>
      </c>
      <c r="CT186" s="135">
        <f t="shared" si="373"/>
        <v>7.9087823893859641E-2</v>
      </c>
      <c r="CU186" s="139">
        <f t="shared" si="363"/>
        <v>0.85329623209999994</v>
      </c>
      <c r="CV186" s="335">
        <f t="shared" si="364"/>
        <v>0.91779957551769631</v>
      </c>
      <c r="CW186" s="335">
        <f t="shared" si="365"/>
        <v>0.52757270693512304</v>
      </c>
      <c r="CX186" s="335">
        <f t="shared" si="366"/>
        <v>0.88636824549024895</v>
      </c>
      <c r="CY186" s="335">
        <f t="shared" si="367"/>
        <v>0.42918482841932087</v>
      </c>
      <c r="CZ186" s="336">
        <f>INDEX('State Tax Lookup'!$D$7:$Z$91,MATCH(Calculation!$C186,'State Tax Lookup'!$B$7:$B$91,0),MATCH($H186,'State Tax Lookup'!$D$6:$Z$6,0))</f>
        <v>0.39649667</v>
      </c>
      <c r="DA186" s="303">
        <v>0.37</v>
      </c>
      <c r="DB186" s="57">
        <f t="shared" si="370"/>
        <v>12.446962838111288</v>
      </c>
      <c r="DC186" s="56">
        <f t="shared" si="374"/>
        <v>-3.1556716334889774E-2</v>
      </c>
      <c r="DD186" s="303">
        <f>VLOOKUP($H186,RoR!$E:$F,2,FALSE)</f>
        <v>5.5874999999999994E-2</v>
      </c>
      <c r="DE186" s="304">
        <f>HLOOKUP($H186,'GDP-PI'!$D$8:$CQ$11,3,FALSE)</f>
        <v>3.0512430354548314E-2</v>
      </c>
      <c r="DF186" s="303">
        <f>VLOOKUP(H186,'HW Dx Data'!$E:$F,2,FALSE)</f>
        <v>461.08567272971823</v>
      </c>
      <c r="DG186" s="89">
        <f ca="1">VLOOKUP(CC186,'ECI - Input Price'!M$13:N$33,2,FALSE)</f>
        <v>109.4</v>
      </c>
      <c r="DH186" s="89"/>
      <c r="DI186" s="89"/>
      <c r="DJ186" s="56">
        <f t="shared" ca="1" si="384"/>
        <v>9.7620891318751846E-2</v>
      </c>
      <c r="DK186" s="53">
        <f>HLOOKUP(H186,'GDP-PI'!$8:$9,2,FALSE)</f>
        <v>90.073999999999998</v>
      </c>
      <c r="DL186" s="355">
        <f t="shared" si="377"/>
        <v>3.005618372545445E-2</v>
      </c>
      <c r="EC186"/>
    </row>
    <row r="187" spans="1:133" s="126" customFormat="1" ht="21" customHeight="1" x14ac:dyDescent="0.4">
      <c r="A187" s="233" t="s">
        <v>193</v>
      </c>
      <c r="B187" s="127" t="s">
        <v>193</v>
      </c>
      <c r="C187" s="127">
        <v>4018679</v>
      </c>
      <c r="D187" s="127" t="s">
        <v>194</v>
      </c>
      <c r="E187" s="127" t="s">
        <v>15</v>
      </c>
      <c r="F187" s="127"/>
      <c r="G187" s="127" t="s">
        <v>163</v>
      </c>
      <c r="H187" s="128">
        <v>2007</v>
      </c>
      <c r="I187" s="129"/>
      <c r="J187" s="125">
        <f>IFERROR(INDEX('Labor Expenditures'!$E$7:$W$91,MATCH($C187,'Labor Expenditures'!$C$7:$C$91,0),MATCH($G187,'Labor Expenditures'!$E$5:$W$5,0)),"NA")</f>
        <v>97995.693608426343</v>
      </c>
      <c r="K187" s="125">
        <f t="shared" ca="1" si="378"/>
        <v>937.53354325210569</v>
      </c>
      <c r="L187" s="47"/>
      <c r="M187" s="131">
        <f t="shared" ca="1" si="385"/>
        <v>-6.5540096524852034E-3</v>
      </c>
      <c r="N187" s="59"/>
      <c r="O187" s="59"/>
      <c r="P187" s="59">
        <f t="shared" ca="1" si="387"/>
        <v>-2.9827763895632232E-4</v>
      </c>
      <c r="Q187" s="61"/>
      <c r="R187" s="387"/>
      <c r="S187" s="49">
        <f t="shared" ref="S187:S200" ca="1" si="392">+S186*EXP(T187)</f>
        <v>116.88254354776588</v>
      </c>
      <c r="T187" s="61">
        <f ca="1">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</f>
        <v>0.10413594062846679</v>
      </c>
      <c r="U187" s="61"/>
      <c r="V187" s="125">
        <f>IFERROR(INDEX('Non-Labor Expenditures'!$E$7:$AA$91,MATCH($C187,'Non-Labor Expenditures'!$C$7:$C$91,0),MATCH($G187,'Non-Labor Expenditures'!$E$5:$AA$5,0)),"NA")</f>
        <v>141916.06741585102</v>
      </c>
      <c r="W187" s="125">
        <f t="shared" si="379"/>
        <v>1534.2609290563148</v>
      </c>
      <c r="X187" s="131">
        <f t="shared" si="388"/>
        <v>-7.8694090347775608E-2</v>
      </c>
      <c r="Y187" s="131">
        <f t="shared" si="389"/>
        <v>-3.5814240004741912E-3</v>
      </c>
      <c r="Z187" s="131"/>
      <c r="AA187" s="131"/>
      <c r="AB187" s="131"/>
      <c r="AC187" s="125">
        <f t="shared" si="357"/>
        <v>108944.47240853497</v>
      </c>
      <c r="AD187" s="129"/>
      <c r="AE187" s="133">
        <v>8704.7411767948361</v>
      </c>
      <c r="AF187" s="134">
        <v>1.9722591271467742E-2</v>
      </c>
      <c r="AG187" s="59">
        <f t="shared" si="380"/>
        <v>8.9758915083734691E-4</v>
      </c>
      <c r="AH187" s="134"/>
      <c r="AI187" s="134"/>
      <c r="AJ187" s="129">
        <f t="shared" si="331"/>
        <v>348856.23343281233</v>
      </c>
      <c r="AK187" s="134">
        <f t="shared" si="390"/>
        <v>-1.0227697090588156E-2</v>
      </c>
      <c r="AL187" s="129"/>
      <c r="AM187" s="129"/>
      <c r="AN187" s="129"/>
      <c r="AO187" s="129"/>
      <c r="AP187" s="133">
        <f t="shared" si="391"/>
        <v>295.17709753726967</v>
      </c>
      <c r="AQ187" s="134">
        <f>+BB187/Outputs!$B$15</f>
        <v>3.3820839982796745E-2</v>
      </c>
      <c r="AR187" s="93">
        <f t="shared" si="381"/>
        <v>0.28090566891733565</v>
      </c>
      <c r="AS187" s="93">
        <f t="shared" si="382"/>
        <v>0.40680387453413019</v>
      </c>
      <c r="AT187" s="93">
        <f t="shared" si="383"/>
        <v>0.31229045654853416</v>
      </c>
      <c r="AU187" s="93">
        <f t="shared" ca="1" si="386"/>
        <v>-2.8709715142536472E-2</v>
      </c>
      <c r="AV187" s="132">
        <f ca="1">+AV186*EXP(AU187)</f>
        <v>91.423158370205044</v>
      </c>
      <c r="AW187" s="134">
        <f ca="1">LN(AV187/AV186)</f>
        <v>-2.8709715142536424E-2</v>
      </c>
      <c r="AX187" s="56">
        <f>+AJ187/$AL$12</f>
        <v>4.5510710965037858E-2</v>
      </c>
      <c r="AY187" s="135">
        <f t="shared" ref="AY187:AY201" ca="1" si="393">+AX187*AW187</f>
        <v>-1.3065995477405459E-3</v>
      </c>
      <c r="AZ187" s="93"/>
      <c r="BA187" s="93"/>
      <c r="BB187" s="234">
        <f>IFERROR(INDEX('Total Customers'!$E$7:$AA$91,MATCH($C187,'Total Customers'!$C$7:$C$91,0),MATCH($G187,'Total Customers'!$E$5:$AA$5,0)),"NA")</f>
        <v>1181854</v>
      </c>
      <c r="BC187" s="411">
        <f t="shared" si="283"/>
        <v>4.4172233863754113E-3</v>
      </c>
      <c r="BD187" s="92"/>
      <c r="BE187" s="281" t="str">
        <f t="shared" si="278"/>
        <v>BROOKLYN UNION GAS COMPANY</v>
      </c>
      <c r="BF187" s="290">
        <f t="shared" si="279"/>
        <v>4018679</v>
      </c>
      <c r="BG187" s="46" t="str">
        <f t="shared" si="280"/>
        <v>NY</v>
      </c>
      <c r="BH187" s="46"/>
      <c r="BI187" s="46" t="str">
        <f t="shared" si="281"/>
        <v>2007 Y</v>
      </c>
      <c r="BJ187" s="129"/>
      <c r="BK187" s="129"/>
      <c r="BL187" s="129">
        <f>INDEX('Dist. Plant Gas Additions'!$E$7:$AD$91,MATCH($C187,'Dist. Plant Gas Additions'!$C$7:$C$91,0),MATCH(Calculation!$G187,'Dist. Plant Gas Additions'!$E$5:$AD$5,0))</f>
        <v>108370</v>
      </c>
      <c r="BM187" s="129">
        <f>INDEX('Gen. Plant Additions'!$E$7:$AD$91,MATCH($C187,'Gen. Plant Additions'!$C$7:$C$91,0),MATCH(Calculation!$G187,'Gen. Plant Additions'!$E$5:$AD$5,0))</f>
        <v>3516</v>
      </c>
      <c r="BN187" s="393">
        <f t="shared" si="358"/>
        <v>0.94336399510275515</v>
      </c>
      <c r="BO187" s="46">
        <f t="shared" si="375"/>
        <v>3316.8678067812871</v>
      </c>
      <c r="BP187" s="46">
        <f t="shared" si="376"/>
        <v>-199.13219321871293</v>
      </c>
      <c r="BQ187" s="129">
        <f>INDEX('Dist Plant Depreciation'!$D$7:$AC$94,MATCH($C187,'Dist Plant Depreciation'!$C$7:$C$94,0),MATCH(Calculation!$G187,'Dist Plant Depreciation'!$D$5:$AC$5,0))</f>
        <v>665940</v>
      </c>
      <c r="BR187" s="129">
        <f>INDEX('Gen. Plant Depreciation'!$D$7:$AC$94,MATCH($C187,'Gen. Plant Depreciation'!$C$7:$C$94,0),MATCH(Calculation!$G187,'Gen. Plant Depreciation'!$D$5:$AC$5,0))</f>
        <v>55832</v>
      </c>
      <c r="BS187" s="129"/>
      <c r="BT187" s="129"/>
      <c r="BU187" s="129"/>
      <c r="BV187" s="129"/>
      <c r="BW187" s="129"/>
      <c r="BX187" s="129"/>
      <c r="BY187" s="129">
        <f>INDEX('Gross Dx Plant'!$D$7:$AC$91,MATCH($C187,'Gross Dx Plant'!$C$7:$C$91,0),MATCH(Calculation!$G187,'Gross Dx Plant'!$D$5:$AC$5,0))</f>
        <v>2417141</v>
      </c>
      <c r="BZ187" s="129">
        <f>INDEX('Gross Gen Plant'!$D$7:$AC$91,MATCH($C187,'Gross Gen Plant'!$C$7:$C$91,0),MATCH(Calculation!$G187,'Gross Gen Plant'!$D$5:$AC$5,0))</f>
        <v>145116</v>
      </c>
      <c r="CA187" s="129">
        <f t="shared" si="307"/>
        <v>1840485</v>
      </c>
      <c r="CB187" s="129"/>
      <c r="CC187" s="133">
        <v>2007</v>
      </c>
      <c r="CD187" s="129"/>
      <c r="CE187" s="129"/>
      <c r="CF187" s="129"/>
      <c r="CG187" s="137"/>
      <c r="CH187" s="129">
        <f t="shared" si="359"/>
        <v>111886</v>
      </c>
      <c r="CI187" s="46">
        <f t="shared" si="368"/>
        <v>111686.86780678129</v>
      </c>
      <c r="CJ187" s="46">
        <f t="shared" si="360"/>
        <v>224.26076972022781</v>
      </c>
      <c r="CK187" s="443">
        <v>0.90322580645161288</v>
      </c>
      <c r="CL187" s="46">
        <f>+CL178*CK187+CJ179*CK186+CJ180*CK185+CJ181*CK184+CJ182*CK183+CJ183*CK182+CJ184*CK181+CJ185*CK180+CJ186*CK179+CJ187</f>
        <v>8340.6044062551609</v>
      </c>
      <c r="CM187" s="134">
        <f t="shared" si="361"/>
        <v>1.4923061551491612E-2</v>
      </c>
      <c r="CN187" s="135">
        <f t="shared" si="362"/>
        <v>1.2257123214093932E-2</v>
      </c>
      <c r="CO187" s="135">
        <f t="shared" si="371"/>
        <v>1.1943605136181187E-2</v>
      </c>
      <c r="CP187" s="134">
        <f>VLOOKUP($H187,RoR!$E:$F,2,FALSE)</f>
        <v>5.5558333333333321E-2</v>
      </c>
      <c r="CQ187" s="135">
        <v>2.691120634145272E-2</v>
      </c>
      <c r="CR187" s="135">
        <f t="shared" si="369"/>
        <v>2.86471269918806E-2</v>
      </c>
      <c r="CS187" s="135">
        <f t="shared" si="372"/>
        <v>1.8958336472352438E-2</v>
      </c>
      <c r="CT187" s="135">
        <f t="shared" si="373"/>
        <v>6.4575155250632399E-2</v>
      </c>
      <c r="CU187" s="139">
        <f t="shared" si="363"/>
        <v>0.85329623209999994</v>
      </c>
      <c r="CV187" s="335">
        <f t="shared" si="364"/>
        <v>0.92303077153834634</v>
      </c>
      <c r="CW187" s="335">
        <f t="shared" si="365"/>
        <v>0.52502249887505614</v>
      </c>
      <c r="CX187" s="335">
        <f t="shared" si="366"/>
        <v>0.88499666072084604</v>
      </c>
      <c r="CY187" s="335">
        <f t="shared" si="367"/>
        <v>0.42887993290280618</v>
      </c>
      <c r="CZ187" s="336">
        <f>INDEX('State Tax Lookup'!$D$7:$Z$91,MATCH(Calculation!$C187,'State Tax Lookup'!$B$7:$B$91,0),MATCH($H187,'State Tax Lookup'!$D$6:$Z$6,0))</f>
        <v>0.39649667</v>
      </c>
      <c r="DA187" s="303">
        <v>0.37</v>
      </c>
      <c r="DB187" s="57">
        <f t="shared" si="370"/>
        <v>13.258325596557675</v>
      </c>
      <c r="DC187" s="56">
        <f t="shared" si="374"/>
        <v>6.3149057610680515E-2</v>
      </c>
      <c r="DD187" s="303">
        <f>VLOOKUP($H187,RoR!$E:$F,2,FALSE)</f>
        <v>5.5558333333333321E-2</v>
      </c>
      <c r="DE187" s="304">
        <f>HLOOKUP($H187,'GDP-PI'!$D$8:$CQ$11,3,FALSE)</f>
        <v>2.691120634145272E-2</v>
      </c>
      <c r="DF187" s="303">
        <f>VLOOKUP(H187,'HW Dx Data'!$E:$F,2,FALSE)</f>
        <v>498.0223154772637</v>
      </c>
      <c r="DG187" s="89">
        <f ca="1">VLOOKUP(CC187,'ECI - Input Price'!M$13:N$33,2,FALSE)</f>
        <v>104.52499999999999</v>
      </c>
      <c r="DH187" s="89"/>
      <c r="DI187" s="89"/>
      <c r="DJ187" s="56">
        <f t="shared" ca="1" si="384"/>
        <v>-4.5584612745252218E-2</v>
      </c>
      <c r="DK187" s="53">
        <f>HLOOKUP(H187,'GDP-PI'!$8:$9,2,FALSE)</f>
        <v>92.498000000000005</v>
      </c>
      <c r="DL187" s="355">
        <f t="shared" si="377"/>
        <v>2.6555467950038037E-2</v>
      </c>
      <c r="EC187"/>
    </row>
    <row r="188" spans="1:133" s="126" customFormat="1" ht="21" customHeight="1" x14ac:dyDescent="0.4">
      <c r="A188" s="233" t="s">
        <v>193</v>
      </c>
      <c r="B188" s="127" t="s">
        <v>193</v>
      </c>
      <c r="C188" s="127">
        <v>4018679</v>
      </c>
      <c r="D188" s="127" t="s">
        <v>194</v>
      </c>
      <c r="E188" s="127" t="s">
        <v>15</v>
      </c>
      <c r="F188" s="127"/>
      <c r="G188" s="127" t="s">
        <v>164</v>
      </c>
      <c r="H188" s="128">
        <v>2008</v>
      </c>
      <c r="I188" s="129"/>
      <c r="J188" s="125">
        <f>IFERROR(INDEX('Labor Expenditures'!$E$7:$W$91,MATCH($C188,'Labor Expenditures'!$C$7:$C$91,0),MATCH($G188,'Labor Expenditures'!$E$5:$W$5,0)),"NA")</f>
        <v>111753.58962826726</v>
      </c>
      <c r="K188" s="125">
        <f t="shared" ca="1" si="378"/>
        <v>1035.7144543861655</v>
      </c>
      <c r="L188" s="47"/>
      <c r="M188" s="131">
        <f t="shared" ca="1" si="385"/>
        <v>9.9594224975593296E-2</v>
      </c>
      <c r="N188" s="59"/>
      <c r="O188" s="59"/>
      <c r="P188" s="59">
        <f t="shared" ca="1" si="387"/>
        <v>4.8999910012864816E-3</v>
      </c>
      <c r="Q188" s="61"/>
      <c r="R188" s="387"/>
      <c r="S188" s="49">
        <f t="shared" ca="1" si="392"/>
        <v>109.42892723926917</v>
      </c>
      <c r="T188" s="61">
        <f ca="1">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</f>
        <v>-6.5894257036411344E-2</v>
      </c>
      <c r="U188" s="61"/>
      <c r="V188" s="125">
        <f>IFERROR(INDEX('Non-Labor Expenditures'!$E$7:$AA$91,MATCH($C188,'Non-Labor Expenditures'!$C$7:$C$91,0),MATCH($G188,'Non-Labor Expenditures'!$E$5:$AA$5,0)),"NA")</f>
        <v>161840.07047310501</v>
      </c>
      <c r="W188" s="125">
        <f t="shared" si="379"/>
        <v>1716.8809988235701</v>
      </c>
      <c r="X188" s="131">
        <f t="shared" si="388"/>
        <v>0.11246048624902134</v>
      </c>
      <c r="Y188" s="131">
        <f t="shared" si="389"/>
        <v>5.5330052596478272E-3</v>
      </c>
      <c r="Z188" s="131"/>
      <c r="AA188" s="131"/>
      <c r="AB188" s="131"/>
      <c r="AC188" s="125">
        <f t="shared" si="357"/>
        <v>124415.69926652462</v>
      </c>
      <c r="AD188" s="129"/>
      <c r="AE188" s="133">
        <v>8984.4015592161322</v>
      </c>
      <c r="AF188" s="134">
        <v>3.1622073517347728E-2</v>
      </c>
      <c r="AG188" s="59">
        <f t="shared" si="380"/>
        <v>1.5557917712095775E-3</v>
      </c>
      <c r="AH188" s="134"/>
      <c r="AI188" s="134"/>
      <c r="AJ188" s="129">
        <f t="shared" si="331"/>
        <v>398009.35936789692</v>
      </c>
      <c r="AK188" s="134">
        <f t="shared" si="390"/>
        <v>0.1318156222631934</v>
      </c>
      <c r="AL188" s="129"/>
      <c r="AM188" s="129"/>
      <c r="AN188" s="129"/>
      <c r="AO188" s="129"/>
      <c r="AP188" s="133">
        <f t="shared" si="391"/>
        <v>334.00638740128744</v>
      </c>
      <c r="AQ188" s="134">
        <f>+BB188/Outputs!$B$16</f>
        <v>3.3918048323901245E-2</v>
      </c>
      <c r="AR188" s="93">
        <f t="shared" si="381"/>
        <v>0.28078131078563073</v>
      </c>
      <c r="AS188" s="93">
        <f t="shared" si="382"/>
        <v>0.40662378073252636</v>
      </c>
      <c r="AT188" s="93">
        <f t="shared" si="383"/>
        <v>0.31259490848184279</v>
      </c>
      <c r="AU188" s="93">
        <f t="shared" ca="1" si="386"/>
        <v>8.3589710007496751E-2</v>
      </c>
      <c r="AV188" s="132">
        <f t="shared" ref="AV188:AV201" ca="1" si="394">+AV187*EXP(AU188)</f>
        <v>99.39368000746525</v>
      </c>
      <c r="AW188" s="134">
        <f t="shared" ref="AW188:AW201" ca="1" si="395">LN(AV188/AV187)</f>
        <v>8.3589710007496681E-2</v>
      </c>
      <c r="AX188" s="56">
        <f>+AJ188/$AL$13</f>
        <v>4.9199549496843624E-2</v>
      </c>
      <c r="AY188" s="135">
        <f t="shared" ca="1" si="393"/>
        <v>4.1125760749406376E-3</v>
      </c>
      <c r="AZ188" s="93"/>
      <c r="BA188" s="93"/>
      <c r="BB188" s="234">
        <f>IFERROR(INDEX('Total Customers'!$E$7:$AA$91,MATCH($C188,'Total Customers'!$C$7:$C$91,0),MATCH($G188,'Total Customers'!$E$5:$AA$5,0)),"NA")</f>
        <v>1191622</v>
      </c>
      <c r="BC188" s="411">
        <f t="shared" si="283"/>
        <v>8.2310123616865846E-3</v>
      </c>
      <c r="BD188" s="92"/>
      <c r="BE188" s="281" t="str">
        <f t="shared" si="278"/>
        <v>BROOKLYN UNION GAS COMPANY</v>
      </c>
      <c r="BF188" s="290">
        <f t="shared" si="279"/>
        <v>4018679</v>
      </c>
      <c r="BG188" s="46" t="str">
        <f t="shared" si="280"/>
        <v>NY</v>
      </c>
      <c r="BH188" s="46"/>
      <c r="BI188" s="46" t="str">
        <f t="shared" si="281"/>
        <v>2008 Y</v>
      </c>
      <c r="BJ188" s="129"/>
      <c r="BK188" s="129"/>
      <c r="BL188" s="129">
        <f>INDEX('Dist. Plant Gas Additions'!$E$7:$AD$91,MATCH($C188,'Dist. Plant Gas Additions'!$C$7:$C$91,0),MATCH(Calculation!$G188,'Dist. Plant Gas Additions'!$E$5:$AD$5,0))</f>
        <v>179733</v>
      </c>
      <c r="BM188" s="129">
        <f>INDEX('Gen. Plant Additions'!$E$7:$AD$91,MATCH($C188,'Gen. Plant Additions'!$C$7:$C$91,0),MATCH(Calculation!$G188,'Gen. Plant Additions'!$E$5:$AD$5,0))</f>
        <v>12484</v>
      </c>
      <c r="BN188" s="393">
        <f t="shared" si="358"/>
        <v>0.9509964083233442</v>
      </c>
      <c r="BO188" s="46">
        <f t="shared" si="375"/>
        <v>11872.239161508629</v>
      </c>
      <c r="BP188" s="46">
        <f t="shared" si="376"/>
        <v>-611.76083849137103</v>
      </c>
      <c r="BQ188" s="129">
        <f>INDEX('Dist Plant Depreciation'!$D$7:$AC$94,MATCH($C188,'Dist Plant Depreciation'!$C$7:$C$94,0),MATCH(Calculation!$G188,'Dist Plant Depreciation'!$D$5:$AC$5,0))</f>
        <v>716513</v>
      </c>
      <c r="BR188" s="129">
        <f>INDEX('Gen. Plant Depreciation'!$D$7:$AC$94,MATCH($C188,'Gen. Plant Depreciation'!$C$7:$C$94,0),MATCH(Calculation!$G188,'Gen. Plant Depreciation'!$D$5:$AC$5,0))</f>
        <v>56089</v>
      </c>
      <c r="BS188" s="129"/>
      <c r="BT188" s="129"/>
      <c r="BU188" s="129"/>
      <c r="BV188" s="129"/>
      <c r="BW188" s="129"/>
      <c r="BX188" s="129"/>
      <c r="BY188" s="129">
        <f>INDEX('Gross Dx Plant'!$D$7:$AC$91,MATCH($C188,'Gross Dx Plant'!$C$7:$C$91,0),MATCH(Calculation!$G188,'Gross Dx Plant'!$D$5:$AC$5,0))</f>
        <v>2588733</v>
      </c>
      <c r="BZ188" s="129">
        <f>INDEX('Gross Gen Plant'!$D$7:$AC$91,MATCH($C188,'Gross Gen Plant'!$C$7:$C$91,0),MATCH(Calculation!$G188,'Gross Gen Plant'!$D$5:$AC$5,0))</f>
        <v>133394</v>
      </c>
      <c r="CA188" s="129">
        <f t="shared" si="307"/>
        <v>1949525</v>
      </c>
      <c r="CB188" s="129"/>
      <c r="CC188" s="133">
        <v>2008</v>
      </c>
      <c r="CD188" s="129"/>
      <c r="CE188" s="129"/>
      <c r="CF188" s="129"/>
      <c r="CG188" s="137"/>
      <c r="CH188" s="129">
        <f t="shared" si="359"/>
        <v>192217</v>
      </c>
      <c r="CI188" s="46">
        <f t="shared" si="368"/>
        <v>191605.23916150862</v>
      </c>
      <c r="CJ188" s="46">
        <f t="shared" si="360"/>
        <v>336.21961566755584</v>
      </c>
      <c r="CK188" s="443">
        <v>0.89130434782608692</v>
      </c>
      <c r="CL188" s="46">
        <f>+CL178*CK188+CJ179*CK187+CJ180*CK186+CJ181*CK185+CJ182*CK184+CJ183*CK183+CJ184*CK182+CJ185*CK181+CJ186*CK180+CJ187*CK179+CJ188</f>
        <v>8571.7222299607474</v>
      </c>
      <c r="CM188" s="134">
        <f t="shared" si="361"/>
        <v>2.7332988223232792E-2</v>
      </c>
      <c r="CN188" s="135">
        <f t="shared" si="362"/>
        <v>1.2601220108598687E-2</v>
      </c>
      <c r="CO188" s="135">
        <f t="shared" si="371"/>
        <v>1.2267964787807594E-2</v>
      </c>
      <c r="CP188" s="134">
        <f>VLOOKUP($H188,RoR!$E:$F,2,FALSE)</f>
        <v>5.6316666666666668E-2</v>
      </c>
      <c r="CQ188" s="135">
        <v>1.9092304698479889E-2</v>
      </c>
      <c r="CR188" s="135">
        <f t="shared" si="369"/>
        <v>3.7224361968186778E-2</v>
      </c>
      <c r="CS188" s="135">
        <f t="shared" si="372"/>
        <v>1.8633976820726032E-2</v>
      </c>
      <c r="CT188" s="135">
        <f t="shared" si="373"/>
        <v>6.9030581091053131E-2</v>
      </c>
      <c r="CU188" s="139">
        <f t="shared" si="363"/>
        <v>0.85329623209999994</v>
      </c>
      <c r="CV188" s="335">
        <f t="shared" si="364"/>
        <v>0.91060168006009956</v>
      </c>
      <c r="CW188" s="335">
        <f t="shared" si="365"/>
        <v>0.53108168097070152</v>
      </c>
      <c r="CX188" s="335">
        <f t="shared" si="366"/>
        <v>0.88825329850328805</v>
      </c>
      <c r="CY188" s="335">
        <f t="shared" si="367"/>
        <v>0.4295627335323573</v>
      </c>
      <c r="CZ188" s="336">
        <f>INDEX('State Tax Lookup'!$D$7:$Z$91,MATCH(Calculation!$C188,'State Tax Lookup'!$B$7:$B$91,0),MATCH($H188,'State Tax Lookup'!$D$6:$Z$6,0))</f>
        <v>0.39649667</v>
      </c>
      <c r="DA188" s="303">
        <v>0.37</v>
      </c>
      <c r="DB188" s="57">
        <f t="shared" si="370"/>
        <v>14.916868515334118</v>
      </c>
      <c r="DC188" s="56">
        <f t="shared" si="374"/>
        <v>0.11786698570046344</v>
      </c>
      <c r="DD188" s="303">
        <f>VLOOKUP($H188,RoR!$E:$F,2,FALSE)</f>
        <v>5.6316666666666668E-2</v>
      </c>
      <c r="DE188" s="304">
        <f>HLOOKUP($H188,'GDP-PI'!$D$8:$CQ$11,3,FALSE)</f>
        <v>1.9092304698479889E-2</v>
      </c>
      <c r="DF188" s="303">
        <f>VLOOKUP(H188,'HW Dx Data'!$E:$F,2,FALSE)</f>
        <v>569.88120333515076</v>
      </c>
      <c r="DG188" s="89">
        <f ca="1">VLOOKUP(CC188,'ECI - Input Price'!M$13:N$33,2,FALSE)</f>
        <v>107.9</v>
      </c>
      <c r="DH188" s="89"/>
      <c r="DI188" s="89"/>
      <c r="DJ188" s="56">
        <f t="shared" ca="1" si="384"/>
        <v>3.1778595021460486E-2</v>
      </c>
      <c r="DK188" s="53">
        <f>HLOOKUP(H188,'GDP-PI'!$8:$9,2,FALSE)</f>
        <v>94.263999999999996</v>
      </c>
      <c r="DL188" s="355">
        <f t="shared" si="377"/>
        <v>1.8912333748032254E-2</v>
      </c>
      <c r="EC188"/>
    </row>
    <row r="189" spans="1:133" s="126" customFormat="1" ht="21" customHeight="1" x14ac:dyDescent="0.4">
      <c r="A189" s="233" t="s">
        <v>193</v>
      </c>
      <c r="B189" s="127" t="s">
        <v>193</v>
      </c>
      <c r="C189" s="127">
        <v>4018679</v>
      </c>
      <c r="D189" s="127" t="s">
        <v>194</v>
      </c>
      <c r="E189" s="127" t="s">
        <v>15</v>
      </c>
      <c r="F189" s="127"/>
      <c r="G189" s="127" t="s">
        <v>165</v>
      </c>
      <c r="H189" s="128">
        <v>2009</v>
      </c>
      <c r="I189" s="129"/>
      <c r="J189" s="125">
        <f>IFERROR(INDEX('Labor Expenditures'!$E$7:$W$91,MATCH($C189,'Labor Expenditures'!$C$7:$C$91,0),MATCH($G189,'Labor Expenditures'!$E$5:$W$5,0)),"NA")</f>
        <v>113271.99019170445</v>
      </c>
      <c r="K189" s="125">
        <f t="shared" ca="1" si="378"/>
        <v>1021.1583519648813</v>
      </c>
      <c r="L189" s="47"/>
      <c r="M189" s="131">
        <f t="shared" ca="1" si="385"/>
        <v>-1.4153860539817192E-2</v>
      </c>
      <c r="N189" s="59"/>
      <c r="O189" s="59"/>
      <c r="P189" s="59">
        <f t="shared" ca="1" si="387"/>
        <v>-6.6745941534036987E-4</v>
      </c>
      <c r="Q189" s="61"/>
      <c r="R189" s="387"/>
      <c r="S189" s="49">
        <f t="shared" ca="1" si="392"/>
        <v>117.9850752076278</v>
      </c>
      <c r="T189" s="61">
        <f ca="1">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</f>
        <v>7.5282862961158867E-2</v>
      </c>
      <c r="U189" s="61"/>
      <c r="V189" s="125">
        <f>IFERROR(INDEX('Non-Labor Expenditures'!$E$7:$AA$91,MATCH($C189,'Non-Labor Expenditures'!$C$7:$C$91,0),MATCH($G189,'Non-Labor Expenditures'!$E$5:$AA$5,0)),"NA")</f>
        <v>164038.99808706794</v>
      </c>
      <c r="W189" s="125">
        <f t="shared" si="379"/>
        <v>1726.744471910946</v>
      </c>
      <c r="X189" s="131">
        <f t="shared" si="388"/>
        <v>5.7285556427573514E-3</v>
      </c>
      <c r="Y189" s="131">
        <f t="shared" si="389"/>
        <v>2.7014385151692211E-4</v>
      </c>
      <c r="Z189" s="131"/>
      <c r="AA189" s="131"/>
      <c r="AB189" s="131"/>
      <c r="AC189" s="125">
        <f t="shared" si="357"/>
        <v>121490.93702598907</v>
      </c>
      <c r="AD189" s="129"/>
      <c r="AE189" s="133">
        <v>9160.2828155435654</v>
      </c>
      <c r="AF189" s="134">
        <v>1.9387139679215834E-2</v>
      </c>
      <c r="AG189" s="59">
        <f t="shared" si="380"/>
        <v>9.1424730934777318E-4</v>
      </c>
      <c r="AH189" s="134"/>
      <c r="AI189" s="134"/>
      <c r="AJ189" s="129">
        <f t="shared" si="331"/>
        <v>398801.92530476145</v>
      </c>
      <c r="AK189" s="134">
        <f t="shared" si="390"/>
        <v>1.9893448134869107E-3</v>
      </c>
      <c r="AL189" s="129"/>
      <c r="AM189" s="129"/>
      <c r="AN189" s="129"/>
      <c r="AO189" s="129"/>
      <c r="AP189" s="133">
        <f t="shared" si="391"/>
        <v>332.8369668456267</v>
      </c>
      <c r="AQ189" s="134">
        <f>+BB189/Outputs!$B$17</f>
        <v>3.4061522183526108E-2</v>
      </c>
      <c r="AR189" s="93">
        <f t="shared" si="381"/>
        <v>0.28403070046651063</v>
      </c>
      <c r="AS189" s="93">
        <f t="shared" si="382"/>
        <v>0.41132950389271711</v>
      </c>
      <c r="AT189" s="93">
        <f t="shared" si="383"/>
        <v>0.30463979564077232</v>
      </c>
      <c r="AU189" s="93">
        <f t="shared" ca="1" si="386"/>
        <v>4.3289179446799903E-3</v>
      </c>
      <c r="AV189" s="132">
        <f t="shared" ca="1" si="394"/>
        <v>99.824879733179372</v>
      </c>
      <c r="AW189" s="134">
        <f t="shared" ca="1" si="395"/>
        <v>4.3289179446799496E-3</v>
      </c>
      <c r="AX189" s="56">
        <f>+AJ189/$AL$14</f>
        <v>4.7157410761727817E-2</v>
      </c>
      <c r="AY189" s="135">
        <f t="shared" ca="1" si="393"/>
        <v>2.0414056167108693E-4</v>
      </c>
      <c r="AZ189" s="93"/>
      <c r="BA189" s="93"/>
      <c r="BB189" s="234">
        <f>IFERROR(INDEX('Total Customers'!$E$7:$AA$91,MATCH($C189,'Total Customers'!$C$7:$C$91,0),MATCH($G189,'Total Customers'!$E$5:$AA$5,0)),"NA")</f>
        <v>1198190</v>
      </c>
      <c r="BC189" s="411">
        <f t="shared" si="283"/>
        <v>5.4966805228574486E-3</v>
      </c>
      <c r="BD189" s="92"/>
      <c r="BE189" s="281" t="str">
        <f t="shared" si="278"/>
        <v>BROOKLYN UNION GAS COMPANY</v>
      </c>
      <c r="BF189" s="290">
        <f t="shared" si="279"/>
        <v>4018679</v>
      </c>
      <c r="BG189" s="46" t="str">
        <f t="shared" si="280"/>
        <v>NY</v>
      </c>
      <c r="BH189" s="46"/>
      <c r="BI189" s="46" t="str">
        <f t="shared" si="281"/>
        <v>2009 Y</v>
      </c>
      <c r="BJ189" s="129"/>
      <c r="BK189" s="129"/>
      <c r="BL189" s="129">
        <f>INDEX('Dist. Plant Gas Additions'!$E$7:$AD$91,MATCH($C189,'Dist. Plant Gas Additions'!$C$7:$C$91,0),MATCH(Calculation!$G189,'Dist. Plant Gas Additions'!$E$5:$AD$5,0))</f>
        <v>126296</v>
      </c>
      <c r="BM189" s="129">
        <f>INDEX('Gen. Plant Additions'!$E$7:$AD$91,MATCH($C189,'Gen. Plant Additions'!$C$7:$C$91,0),MATCH(Calculation!$G189,'Gen. Plant Additions'!$E$5:$AD$5,0))</f>
        <v>4373</v>
      </c>
      <c r="BN189" s="393">
        <f t="shared" si="358"/>
        <v>0.95476971330881732</v>
      </c>
      <c r="BO189" s="46">
        <f t="shared" si="375"/>
        <v>4175.2079562994586</v>
      </c>
      <c r="BP189" s="46">
        <f t="shared" si="376"/>
        <v>-197.7920437005414</v>
      </c>
      <c r="BQ189" s="129">
        <f>INDEX('Dist Plant Depreciation'!$D$7:$AC$94,MATCH($C189,'Dist Plant Depreciation'!$C$7:$C$94,0),MATCH(Calculation!$G189,'Dist Plant Depreciation'!$D$5:$AC$5,0))</f>
        <v>765812</v>
      </c>
      <c r="BR189" s="129">
        <f>INDEX('Gen. Plant Depreciation'!$D$7:$AC$94,MATCH($C189,'Gen. Plant Depreciation'!$C$7:$C$94,0),MATCH(Calculation!$G189,'Gen. Plant Depreciation'!$D$5:$AC$5,0))</f>
        <v>51619</v>
      </c>
      <c r="BS189" s="129"/>
      <c r="BT189" s="129"/>
      <c r="BU189" s="129"/>
      <c r="BV189" s="129"/>
      <c r="BW189" s="129"/>
      <c r="BX189" s="129"/>
      <c r="BY189" s="129">
        <f>INDEX('Gross Dx Plant'!$D$7:$AC$91,MATCH($C189,'Gross Dx Plant'!$C$7:$C$91,0),MATCH(Calculation!$G189,'Gross Dx Plant'!$D$5:$AC$5,0))</f>
        <v>2702511</v>
      </c>
      <c r="BZ189" s="129">
        <f>INDEX('Gross Gen Plant'!$D$7:$AC$91,MATCH($C189,'Gross Gen Plant'!$C$7:$C$91,0),MATCH(Calculation!$G189,'Gross Gen Plant'!$D$5:$AC$5,0))</f>
        <v>128026</v>
      </c>
      <c r="CA189" s="129">
        <f t="shared" si="307"/>
        <v>2013106</v>
      </c>
      <c r="CB189" s="129"/>
      <c r="CC189" s="133">
        <v>2009</v>
      </c>
      <c r="CD189" s="129"/>
      <c r="CE189" s="129"/>
      <c r="CF189" s="129"/>
      <c r="CG189" s="137"/>
      <c r="CH189" s="129">
        <f t="shared" si="359"/>
        <v>130669</v>
      </c>
      <c r="CI189" s="46">
        <f t="shared" si="368"/>
        <v>130471.20795629946</v>
      </c>
      <c r="CJ189" s="46">
        <f t="shared" si="360"/>
        <v>236.81536492721995</v>
      </c>
      <c r="CK189" s="443">
        <v>0.87912087912087911</v>
      </c>
      <c r="CL189" s="46">
        <f>+CL178*CK189+CJ179*CK188+CJ180*CK187+CJ181*CK186+CJ182*CK185+CJ183*CK184+CJ184*CK183+CJ185*CK182+CJ186*CK181+CJ187*CK180+CJ188*CK179+CJ189</f>
        <v>8697.828100895571</v>
      </c>
      <c r="CM189" s="134">
        <f t="shared" si="361"/>
        <v>1.4604678177163386E-2</v>
      </c>
      <c r="CN189" s="135">
        <f t="shared" si="362"/>
        <v>1.2915665139665099E-2</v>
      </c>
      <c r="CO189" s="135">
        <f t="shared" si="371"/>
        <v>1.259133615411924E-2</v>
      </c>
      <c r="CP189" s="134">
        <f>VLOOKUP($H189,RoR!$E:$F,2,FALSE)</f>
        <v>5.3133333333333324E-2</v>
      </c>
      <c r="CQ189" s="135">
        <v>7.7972502758210105E-3</v>
      </c>
      <c r="CR189" s="135">
        <f t="shared" si="369"/>
        <v>4.5336083057512314E-2</v>
      </c>
      <c r="CS189" s="135">
        <f t="shared" si="372"/>
        <v>1.8310605454414385E-2</v>
      </c>
      <c r="CT189" s="135">
        <f t="shared" si="373"/>
        <v>6.3720160300892073E-2</v>
      </c>
      <c r="CU189" s="139">
        <f t="shared" si="363"/>
        <v>0.85329623209999994</v>
      </c>
      <c r="CV189" s="335">
        <f t="shared" si="364"/>
        <v>0.96515780330083989</v>
      </c>
      <c r="CW189" s="335">
        <f t="shared" si="365"/>
        <v>0.50448557089084056</v>
      </c>
      <c r="CX189" s="335">
        <f t="shared" si="366"/>
        <v>0.87391435735465484</v>
      </c>
      <c r="CY189" s="335">
        <f t="shared" si="367"/>
        <v>0.42551605393279146</v>
      </c>
      <c r="CZ189" s="336">
        <f>INDEX('State Tax Lookup'!$D$7:$Z$91,MATCH(Calculation!$C189,'State Tax Lookup'!$B$7:$B$91,0),MATCH($H189,'State Tax Lookup'!$D$6:$Z$6,0))</f>
        <v>0.39649667</v>
      </c>
      <c r="DA189" s="303">
        <v>0.37</v>
      </c>
      <c r="DB189" s="57">
        <f t="shared" si="370"/>
        <v>14.173457068095569</v>
      </c>
      <c r="DC189" s="56">
        <f t="shared" si="374"/>
        <v>-5.1121692837689907E-2</v>
      </c>
      <c r="DD189" s="303">
        <f>VLOOKUP($H189,RoR!$E:$F,2,FALSE)</f>
        <v>5.3133333333333324E-2</v>
      </c>
      <c r="DE189" s="304">
        <f>HLOOKUP($H189,'GDP-PI'!$D$8:$CQ$11,3,FALSE)</f>
        <v>7.7972502758210105E-3</v>
      </c>
      <c r="DF189" s="303">
        <f>VLOOKUP(H189,'HW Dx Data'!$E:$F,2,FALSE)</f>
        <v>550.94063679692806</v>
      </c>
      <c r="DG189" s="89">
        <f ca="1">VLOOKUP(CC189,'ECI - Input Price'!M$13:N$33,2,FALSE)</f>
        <v>110.925</v>
      </c>
      <c r="DH189" s="89"/>
      <c r="DI189" s="89"/>
      <c r="DJ189" s="56">
        <f t="shared" ca="1" si="384"/>
        <v>2.7649425000884052E-2</v>
      </c>
      <c r="DK189" s="53">
        <f>HLOOKUP(H189,'GDP-PI'!$8:$9,2,FALSE)</f>
        <v>94.998999999999995</v>
      </c>
      <c r="DL189" s="355">
        <f t="shared" si="377"/>
        <v>7.7670088183096342E-3</v>
      </c>
      <c r="EC189"/>
    </row>
    <row r="190" spans="1:133" s="126" customFormat="1" ht="21" customHeight="1" x14ac:dyDescent="0.4">
      <c r="A190" s="233" t="s">
        <v>193</v>
      </c>
      <c r="B190" s="127" t="s">
        <v>193</v>
      </c>
      <c r="C190" s="127">
        <v>4018679</v>
      </c>
      <c r="D190" s="127" t="s">
        <v>194</v>
      </c>
      <c r="E190" s="127" t="s">
        <v>15</v>
      </c>
      <c r="F190" s="127"/>
      <c r="G190" s="127" t="s">
        <v>166</v>
      </c>
      <c r="H190" s="128">
        <v>2010</v>
      </c>
      <c r="I190" s="129"/>
      <c r="J190" s="125">
        <f>IFERROR(INDEX('Labor Expenditures'!$E$7:$W$91,MATCH($C190,'Labor Expenditures'!$C$7:$C$91,0),MATCH($G190,'Labor Expenditures'!$E$5:$W$5,0)),"NA")</f>
        <v>119787.65350599085</v>
      </c>
      <c r="K190" s="125">
        <f t="shared" ca="1" si="378"/>
        <v>1024.4828180969926</v>
      </c>
      <c r="L190" s="47"/>
      <c r="M190" s="131">
        <f t="shared" ca="1" si="385"/>
        <v>3.2502954159501201E-3</v>
      </c>
      <c r="N190" s="59"/>
      <c r="O190" s="59"/>
      <c r="P190" s="59">
        <f t="shared" ca="1" si="387"/>
        <v>1.5600666359751584E-4</v>
      </c>
      <c r="Q190" s="61"/>
      <c r="R190" s="387"/>
      <c r="S190" s="49">
        <f t="shared" ca="1" si="392"/>
        <v>97.336595660924431</v>
      </c>
      <c r="T190" s="61">
        <f ca="1">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</f>
        <v>-0.19238310507216203</v>
      </c>
      <c r="U190" s="61"/>
      <c r="V190" s="125">
        <f>IFERROR(INDEX('Non-Labor Expenditures'!$E$7:$AA$91,MATCH($C190,'Non-Labor Expenditures'!$C$7:$C$91,0),MATCH($G190,'Non-Labor Expenditures'!$E$5:$AA$5,0)),"NA")</f>
        <v>173474.89552419516</v>
      </c>
      <c r="W190" s="125">
        <f t="shared" si="379"/>
        <v>1804.9807564764503</v>
      </c>
      <c r="X190" s="131">
        <f t="shared" si="388"/>
        <v>4.4312102955776304E-2</v>
      </c>
      <c r="Y190" s="131">
        <f t="shared" si="389"/>
        <v>2.1268784693219927E-3</v>
      </c>
      <c r="Z190" s="131"/>
      <c r="AA190" s="131"/>
      <c r="AB190" s="131"/>
      <c r="AC190" s="125">
        <f t="shared" si="357"/>
        <v>125159.59247923284</v>
      </c>
      <c r="AD190" s="129"/>
      <c r="AE190" s="133">
        <v>9383.1662092319075</v>
      </c>
      <c r="AF190" s="134">
        <v>2.4040201751170606E-2</v>
      </c>
      <c r="AG190" s="59">
        <f t="shared" si="380"/>
        <v>1.1538740906463006E-3</v>
      </c>
      <c r="AH190" s="134"/>
      <c r="AI190" s="134"/>
      <c r="AJ190" s="129">
        <f t="shared" si="331"/>
        <v>418422.14150941884</v>
      </c>
      <c r="AK190" s="134">
        <f t="shared" si="390"/>
        <v>4.8025965006936691E-2</v>
      </c>
      <c r="AL190" s="129"/>
      <c r="AM190" s="129"/>
      <c r="AN190" s="129"/>
      <c r="AO190" s="129"/>
      <c r="AP190" s="133">
        <f t="shared" si="391"/>
        <v>347.61677570052939</v>
      </c>
      <c r="AQ190" s="134">
        <f>+BB190/Outputs!$B$18</f>
        <v>3.4030596686675477E-2</v>
      </c>
      <c r="AR190" s="93">
        <f t="shared" si="381"/>
        <v>0.28628421305303792</v>
      </c>
      <c r="AS190" s="93">
        <f t="shared" si="382"/>
        <v>0.41459301101610124</v>
      </c>
      <c r="AT190" s="93">
        <f t="shared" si="383"/>
        <v>0.29912277593086084</v>
      </c>
      <c r="AU190" s="93">
        <f t="shared" ca="1" si="386"/>
        <v>2.6483314746790734E-2</v>
      </c>
      <c r="AV190" s="132">
        <f t="shared" ca="1" si="394"/>
        <v>102.5038914187501</v>
      </c>
      <c r="AW190" s="134">
        <f t="shared" ca="1" si="395"/>
        <v>2.6483314746790818E-2</v>
      </c>
      <c r="AX190" s="56">
        <f>+AJ190/$AL$15</f>
        <v>4.7997687481558436E-2</v>
      </c>
      <c r="AY190" s="135">
        <f t="shared" ca="1" si="393"/>
        <v>1.2711378646922135E-3</v>
      </c>
      <c r="AZ190" s="93"/>
      <c r="BA190" s="93"/>
      <c r="BB190" s="234">
        <f>IFERROR(INDEX('Total Customers'!$E$7:$AA$91,MATCH($C190,'Total Customers'!$C$7:$C$91,0),MATCH($G190,'Total Customers'!$E$5:$AA$5,0)),"NA")</f>
        <v>1203688</v>
      </c>
      <c r="BC190" s="411">
        <f t="shared" si="283"/>
        <v>4.5780923116656297E-3</v>
      </c>
      <c r="BD190" s="92"/>
      <c r="BE190" s="281" t="str">
        <f t="shared" si="278"/>
        <v>BROOKLYN UNION GAS COMPANY</v>
      </c>
      <c r="BF190" s="290">
        <f t="shared" si="279"/>
        <v>4018679</v>
      </c>
      <c r="BG190" s="46" t="str">
        <f t="shared" si="280"/>
        <v>NY</v>
      </c>
      <c r="BH190" s="46"/>
      <c r="BI190" s="46" t="str">
        <f t="shared" si="281"/>
        <v>2010 Y</v>
      </c>
      <c r="BJ190" s="129"/>
      <c r="BK190" s="129"/>
      <c r="BL190" s="129">
        <f>INDEX('Dist. Plant Gas Additions'!$E$7:$AD$91,MATCH($C190,'Dist. Plant Gas Additions'!$C$7:$C$91,0),MATCH(Calculation!$G190,'Dist. Plant Gas Additions'!$E$5:$AD$5,0))</f>
        <v>155300</v>
      </c>
      <c r="BM190" s="129">
        <f>INDEX('Gen. Plant Additions'!$E$7:$AD$91,MATCH($C190,'Gen. Plant Additions'!$C$7:$C$91,0),MATCH(Calculation!$G190,'Gen. Plant Additions'!$E$5:$AD$5,0))</f>
        <v>8281</v>
      </c>
      <c r="BN190" s="393">
        <f t="shared" si="358"/>
        <v>0.95504665396646682</v>
      </c>
      <c r="BO190" s="46">
        <f t="shared" si="375"/>
        <v>7908.7413414963121</v>
      </c>
      <c r="BP190" s="46">
        <f t="shared" si="376"/>
        <v>-372.25865850368791</v>
      </c>
      <c r="BQ190" s="129">
        <f>INDEX('Dist Plant Depreciation'!$D$7:$AC$94,MATCH($C190,'Dist Plant Depreciation'!$C$7:$C$94,0),MATCH(Calculation!$G190,'Dist Plant Depreciation'!$D$5:$AC$5,0))</f>
        <v>817471</v>
      </c>
      <c r="BR190" s="129">
        <f>INDEX('Gen. Plant Depreciation'!$D$7:$AC$94,MATCH($C190,'Gen. Plant Depreciation'!$C$7:$C$94,0),MATCH(Calculation!$G190,'Gen. Plant Depreciation'!$D$5:$AC$5,0))</f>
        <v>53274</v>
      </c>
      <c r="BS190" s="129"/>
      <c r="BT190" s="129"/>
      <c r="BU190" s="129"/>
      <c r="BV190" s="129"/>
      <c r="BW190" s="129"/>
      <c r="BX190" s="129"/>
      <c r="BY190" s="129">
        <f>INDEX('Gross Dx Plant'!$D$7:$AC$91,MATCH($C190,'Gross Dx Plant'!$C$7:$C$91,0),MATCH(Calculation!$G190,'Gross Dx Plant'!$D$5:$AC$5,0))</f>
        <v>2850055</v>
      </c>
      <c r="BZ190" s="129">
        <f>INDEX('Gross Gen Plant'!$D$7:$AC$91,MATCH($C190,'Gross Gen Plant'!$C$7:$C$91,0),MATCH(Calculation!$G190,'Gross Gen Plant'!$D$5:$AC$5,0))</f>
        <v>134150</v>
      </c>
      <c r="CA190" s="129">
        <f t="shared" si="307"/>
        <v>2113460</v>
      </c>
      <c r="CB190" s="129"/>
      <c r="CC190" s="133">
        <v>2010</v>
      </c>
      <c r="CD190" s="129"/>
      <c r="CE190" s="129"/>
      <c r="CF190" s="129"/>
      <c r="CG190" s="137"/>
      <c r="CH190" s="129">
        <f t="shared" si="359"/>
        <v>163581</v>
      </c>
      <c r="CI190" s="46">
        <f t="shared" si="368"/>
        <v>163208.74134149632</v>
      </c>
      <c r="CJ190" s="46">
        <f t="shared" si="360"/>
        <v>286.83963515528694</v>
      </c>
      <c r="CK190" s="443">
        <v>0.8666666666666667</v>
      </c>
      <c r="CL190" s="46">
        <f>+CL178*CK190+CJ179*CK189+CJ180*CK188+CJ181*CK187+CJ182*CK186+CJ183*CK185+CJ184*CK184+CJ185*CK183+CJ186*CK182+CJ187*CK181+CJ188*CK180+CJ189*CK179+CJ190</f>
        <v>8869.1931864242306</v>
      </c>
      <c r="CM190" s="134">
        <f t="shared" si="361"/>
        <v>1.9510481448336135E-2</v>
      </c>
      <c r="CN190" s="135">
        <f t="shared" si="362"/>
        <v>1.3276251069475321E-2</v>
      </c>
      <c r="CO190" s="135">
        <f t="shared" si="371"/>
        <v>1.2931045439246369E-2</v>
      </c>
      <c r="CP190" s="134">
        <f>VLOOKUP($H190,RoR!$E:$F,2,FALSE)</f>
        <v>4.9433333333333322E-2</v>
      </c>
      <c r="CQ190" s="135">
        <v>1.1684333519300205E-2</v>
      </c>
      <c r="CR190" s="135">
        <f t="shared" si="369"/>
        <v>3.7748999814033117E-2</v>
      </c>
      <c r="CS190" s="135">
        <f t="shared" si="372"/>
        <v>1.7970896169287258E-2</v>
      </c>
      <c r="CT190" s="135">
        <f t="shared" si="373"/>
        <v>4.7937530248493419E-2</v>
      </c>
      <c r="CU190" s="139">
        <f t="shared" si="363"/>
        <v>0.85329623209999994</v>
      </c>
      <c r="CV190" s="335">
        <f t="shared" si="364"/>
        <v>1.037398205301105</v>
      </c>
      <c r="CW190" s="335">
        <f t="shared" si="365"/>
        <v>0.46926837491571133</v>
      </c>
      <c r="CX190" s="335">
        <f t="shared" si="366"/>
        <v>0.8548537519972772</v>
      </c>
      <c r="CY190" s="335">
        <f t="shared" si="367"/>
        <v>0.41615833911547367</v>
      </c>
      <c r="CZ190" s="336">
        <f>INDEX('State Tax Lookup'!$D$7:$Z$91,MATCH(Calculation!$C190,'State Tax Lookup'!$B$7:$B$91,0),MATCH($H190,'State Tax Lookup'!$D$6:$Z$6,0))</f>
        <v>0.39649667</v>
      </c>
      <c r="DA190" s="303">
        <v>0.37</v>
      </c>
      <c r="DB190" s="57">
        <f t="shared" si="370"/>
        <v>14.389752364311017</v>
      </c>
      <c r="DC190" s="56">
        <f t="shared" si="374"/>
        <v>1.5145316999995526E-2</v>
      </c>
      <c r="DD190" s="303">
        <f>VLOOKUP($H190,RoR!$E:$F,2,FALSE)</f>
        <v>4.9433333333333322E-2</v>
      </c>
      <c r="DE190" s="304">
        <f>HLOOKUP($H190,'GDP-PI'!$D$8:$CQ$11,3,FALSE)</f>
        <v>1.1684333519300205E-2</v>
      </c>
      <c r="DF190" s="303">
        <f>VLOOKUP(H190,'HW Dx Data'!$E:$F,2,FALSE)</f>
        <v>568.98950262971744</v>
      </c>
      <c r="DG190" s="89">
        <f ca="1">VLOOKUP(CC190,'ECI - Input Price'!M$13:N$33,2,FALSE)</f>
        <v>116.925</v>
      </c>
      <c r="DH190" s="89"/>
      <c r="DI190" s="89"/>
      <c r="DJ190" s="56">
        <f t="shared" ca="1" si="384"/>
        <v>5.2678406346976722E-2</v>
      </c>
      <c r="DK190" s="53">
        <f>HLOOKUP(H190,'GDP-PI'!$8:$9,2,FALSE)</f>
        <v>96.108999999999995</v>
      </c>
      <c r="DL190" s="355">
        <f t="shared" si="377"/>
        <v>1.1616598807150427E-2</v>
      </c>
      <c r="EC190"/>
    </row>
    <row r="191" spans="1:133" s="126" customFormat="1" ht="21" customHeight="1" x14ac:dyDescent="0.4">
      <c r="A191" s="233" t="s">
        <v>193</v>
      </c>
      <c r="B191" s="127" t="s">
        <v>193</v>
      </c>
      <c r="C191" s="127">
        <v>4018679</v>
      </c>
      <c r="D191" s="127" t="s">
        <v>194</v>
      </c>
      <c r="E191" s="127" t="s">
        <v>15</v>
      </c>
      <c r="F191" s="127"/>
      <c r="G191" s="127" t="s">
        <v>167</v>
      </c>
      <c r="H191" s="128">
        <v>2011</v>
      </c>
      <c r="I191" s="129"/>
      <c r="J191" s="125">
        <f>IFERROR(INDEX('Labor Expenditures'!$E$7:$W$91,MATCH($C191,'Labor Expenditures'!$C$7:$C$91,0),MATCH($G191,'Labor Expenditures'!$E$5:$W$5,0)),"NA")</f>
        <v>119796.28094493873</v>
      </c>
      <c r="K191" s="125">
        <f t="shared" ca="1" si="378"/>
        <v>991.07574721769367</v>
      </c>
      <c r="L191" s="47"/>
      <c r="M191" s="131">
        <f t="shared" ca="1" si="385"/>
        <v>-3.3152229982264275E-2</v>
      </c>
      <c r="N191" s="59"/>
      <c r="O191" s="59"/>
      <c r="P191" s="59">
        <f t="shared" ca="1" si="387"/>
        <v>-1.5646054558938263E-3</v>
      </c>
      <c r="Q191" s="61"/>
      <c r="R191" s="387"/>
      <c r="S191" s="49">
        <f t="shared" ca="1" si="392"/>
        <v>116.71248943605134</v>
      </c>
      <c r="T191" s="61">
        <f ca="1">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</f>
        <v>0.18153852519468749</v>
      </c>
      <c r="U191" s="61"/>
      <c r="V191" s="125">
        <f>IFERROR(INDEX('Non-Labor Expenditures'!$E$7:$AA$91,MATCH($C191,'Non-Labor Expenditures'!$C$7:$C$91,0),MATCH($G191,'Non-Labor Expenditures'!$E$5:$AA$5,0)),"NA")</f>
        <v>173487.38966717507</v>
      </c>
      <c r="W191" s="125">
        <f t="shared" si="379"/>
        <v>1768.2586194061387</v>
      </c>
      <c r="X191" s="131">
        <f t="shared" si="388"/>
        <v>-2.0554699033604504E-2</v>
      </c>
      <c r="Y191" s="131">
        <f t="shared" si="389"/>
        <v>-9.7007031712310345E-4</v>
      </c>
      <c r="Z191" s="131"/>
      <c r="AA191" s="131"/>
      <c r="AB191" s="131"/>
      <c r="AC191" s="125">
        <f t="shared" si="357"/>
        <v>134897.70261386762</v>
      </c>
      <c r="AD191" s="129"/>
      <c r="AE191" s="133">
        <v>9582.6783642337323</v>
      </c>
      <c r="AF191" s="134">
        <v>2.1039876618027632E-2</v>
      </c>
      <c r="AG191" s="59">
        <f t="shared" si="380"/>
        <v>9.9296806777432424E-4</v>
      </c>
      <c r="AH191" s="134"/>
      <c r="AI191" s="134"/>
      <c r="AJ191" s="129">
        <f t="shared" si="331"/>
        <v>428181.37322598137</v>
      </c>
      <c r="AK191" s="134">
        <f t="shared" si="390"/>
        <v>2.3056044208457006E-2</v>
      </c>
      <c r="AL191" s="129"/>
      <c r="AM191" s="129"/>
      <c r="AN191" s="129"/>
      <c r="AO191" s="129"/>
      <c r="AP191" s="133">
        <f t="shared" si="391"/>
        <v>353.65349636294371</v>
      </c>
      <c r="AQ191" s="134">
        <f>+BB191/Outputs!$B$19</f>
        <v>3.4064726742531123E-2</v>
      </c>
      <c r="AR191" s="93">
        <f t="shared" si="381"/>
        <v>0.27977929082336289</v>
      </c>
      <c r="AS191" s="93">
        <f t="shared" si="382"/>
        <v>0.40517266867564927</v>
      </c>
      <c r="AT191" s="93">
        <f t="shared" si="383"/>
        <v>0.31504804050098795</v>
      </c>
      <c r="AU191" s="93">
        <f t="shared" ca="1" si="386"/>
        <v>-1.1347113044549776E-2</v>
      </c>
      <c r="AV191" s="132">
        <f t="shared" ca="1" si="394"/>
        <v>101.34734233138671</v>
      </c>
      <c r="AW191" s="134">
        <f t="shared" ca="1" si="395"/>
        <v>-1.1347113044549665E-2</v>
      </c>
      <c r="AX191" s="56">
        <f>+AJ191/$AL$16</f>
        <v>4.7194576555811066E-2</v>
      </c>
      <c r="AY191" s="135">
        <f t="shared" ca="1" si="393"/>
        <v>-5.3552219526844158E-4</v>
      </c>
      <c r="AZ191" s="93"/>
      <c r="BA191" s="93"/>
      <c r="BB191" s="234">
        <f>IFERROR(INDEX('Total Customers'!$E$7:$AA$91,MATCH($C191,'Total Customers'!$C$7:$C$91,0),MATCH($G191,'Total Customers'!$E$5:$AA$5,0)),"NA")</f>
        <v>1210737</v>
      </c>
      <c r="BC191" s="411">
        <f t="shared" si="283"/>
        <v>5.8390880047462261E-3</v>
      </c>
      <c r="BD191" s="92"/>
      <c r="BE191" s="281" t="str">
        <f t="shared" si="278"/>
        <v>BROOKLYN UNION GAS COMPANY</v>
      </c>
      <c r="BF191" s="290">
        <f t="shared" si="279"/>
        <v>4018679</v>
      </c>
      <c r="BG191" s="46" t="str">
        <f t="shared" si="280"/>
        <v>NY</v>
      </c>
      <c r="BH191" s="46"/>
      <c r="BI191" s="46" t="str">
        <f t="shared" si="281"/>
        <v>2011 Y</v>
      </c>
      <c r="BJ191" s="129"/>
      <c r="BK191" s="129"/>
      <c r="BL191" s="129">
        <f>INDEX('Dist. Plant Gas Additions'!$E$7:$AD$91,MATCH($C191,'Dist. Plant Gas Additions'!$C$7:$C$91,0),MATCH(Calculation!$G191,'Dist. Plant Gas Additions'!$E$5:$AD$5,0))</f>
        <v>161069</v>
      </c>
      <c r="BM191" s="129">
        <f>INDEX('Gen. Plant Additions'!$E$7:$AD$91,MATCH($C191,'Gen. Plant Additions'!$C$7:$C$91,0),MATCH(Calculation!$G191,'Gen. Plant Additions'!$E$5:$AD$5,0))</f>
        <v>2745</v>
      </c>
      <c r="BN191" s="393">
        <f t="shared" si="358"/>
        <v>0.95958613856582342</v>
      </c>
      <c r="BO191" s="46">
        <f t="shared" si="375"/>
        <v>2634.0639503631851</v>
      </c>
      <c r="BP191" s="46">
        <f t="shared" si="376"/>
        <v>-110.93604963681491</v>
      </c>
      <c r="BQ191" s="129">
        <f>INDEX('Dist Plant Depreciation'!$D$7:$AC$94,MATCH($C191,'Dist Plant Depreciation'!$C$7:$C$94,0),MATCH(Calculation!$G191,'Dist Plant Depreciation'!$D$5:$AC$5,0))</f>
        <v>875514</v>
      </c>
      <c r="BR191" s="129">
        <f>INDEX('Gen. Plant Depreciation'!$D$7:$AC$94,MATCH($C191,'Gen. Plant Depreciation'!$C$7:$C$94,0),MATCH(Calculation!$G191,'Gen. Plant Depreciation'!$D$5:$AC$5,0))</f>
        <v>47058</v>
      </c>
      <c r="BS191" s="129"/>
      <c r="BT191" s="129"/>
      <c r="BU191" s="129"/>
      <c r="BV191" s="129"/>
      <c r="BW191" s="129"/>
      <c r="BX191" s="129"/>
      <c r="BY191" s="129">
        <f>INDEX('Gross Dx Plant'!$D$7:$AC$91,MATCH($C191,'Gross Dx Plant'!$C$7:$C$91,0),MATCH(Calculation!$G191,'Gross Dx Plant'!$D$5:$AC$5,0))</f>
        <v>3006226</v>
      </c>
      <c r="BZ191" s="129">
        <f>INDEX('Gross Gen Plant'!$D$7:$AC$91,MATCH($C191,'Gross Gen Plant'!$C$7:$C$91,0),MATCH(Calculation!$G191,'Gross Gen Plant'!$D$5:$AC$5,0))</f>
        <v>126610</v>
      </c>
      <c r="CA191" s="129">
        <f t="shared" si="307"/>
        <v>2210264</v>
      </c>
      <c r="CB191" s="129"/>
      <c r="CC191" s="133">
        <v>2011</v>
      </c>
      <c r="CD191" s="129"/>
      <c r="CE191" s="129"/>
      <c r="CF191" s="129"/>
      <c r="CG191" s="137"/>
      <c r="CH191" s="129">
        <f t="shared" si="359"/>
        <v>163814</v>
      </c>
      <c r="CI191" s="46">
        <f t="shared" si="368"/>
        <v>163703.0639503632</v>
      </c>
      <c r="CJ191" s="46">
        <f t="shared" si="360"/>
        <v>267.65875404831786</v>
      </c>
      <c r="CK191" s="443">
        <v>0.8539325842696629</v>
      </c>
      <c r="CL191" s="46">
        <f>+CL178*CK191+CJ179*CK190+CJ180*CK189+CJ181*CK188+CJ182*CK187+CJ183*CK186+CJ184*CK185+CJ185*CK184+CJ186*CK183+CJ187*CK182+CJ188*CK181+CJ189*CK180+CJ190*CK179+CJ191</f>
        <v>9015.9898300035493</v>
      </c>
      <c r="CM191" s="134">
        <f t="shared" si="361"/>
        <v>1.6415816375048433E-2</v>
      </c>
      <c r="CN191" s="135">
        <f t="shared" si="362"/>
        <v>1.3627182081680062E-2</v>
      </c>
      <c r="CO191" s="135">
        <f t="shared" si="371"/>
        <v>1.3273032763606828E-2</v>
      </c>
      <c r="CP191" s="134">
        <f>VLOOKUP($H191,RoR!$E:$F,2,FALSE)</f>
        <v>4.6391666666666664E-2</v>
      </c>
      <c r="CQ191" s="135">
        <v>2.0840920205183799E-2</v>
      </c>
      <c r="CR191" s="135">
        <f t="shared" si="369"/>
        <v>2.5550746461482865E-2</v>
      </c>
      <c r="CS191" s="135">
        <f t="shared" si="372"/>
        <v>1.7628908844926797E-2</v>
      </c>
      <c r="CT191" s="135">
        <f t="shared" si="373"/>
        <v>2.4810540821321614E-2</v>
      </c>
      <c r="CU191" s="139">
        <f t="shared" si="363"/>
        <v>0.85329623209999994</v>
      </c>
      <c r="CV191" s="335">
        <f t="shared" si="364"/>
        <v>1.1054151524782025</v>
      </c>
      <c r="CW191" s="335">
        <f t="shared" si="365"/>
        <v>0.43611011316687626</v>
      </c>
      <c r="CX191" s="335">
        <f t="shared" si="366"/>
        <v>0.83698442246886229</v>
      </c>
      <c r="CY191" s="335">
        <f t="shared" si="367"/>
        <v>0.40349573304423936</v>
      </c>
      <c r="CZ191" s="336">
        <f>INDEX('State Tax Lookup'!$D$7:$Z$91,MATCH(Calculation!$C191,'State Tax Lookup'!$B$7:$B$91,0),MATCH($H191,'State Tax Lookup'!$D$6:$Z$6,0))</f>
        <v>0.39649667</v>
      </c>
      <c r="DA191" s="303">
        <v>0.37</v>
      </c>
      <c r="DB191" s="57">
        <f t="shared" si="370"/>
        <v>15.209692671972789</v>
      </c>
      <c r="DC191" s="56">
        <f t="shared" si="374"/>
        <v>5.5416588533351012E-2</v>
      </c>
      <c r="DD191" s="303">
        <f>VLOOKUP($H191,RoR!$E:$F,2,FALSE)</f>
        <v>4.6391666666666664E-2</v>
      </c>
      <c r="DE191" s="304">
        <f>HLOOKUP($H191,'GDP-PI'!$D$8:$CQ$11,3,FALSE)</f>
        <v>2.0840920205183799E-2</v>
      </c>
      <c r="DF191" s="303">
        <f>VLOOKUP(H191,'HW Dx Data'!$E:$F,2,FALSE)</f>
        <v>611.61109612283201</v>
      </c>
      <c r="DG191" s="89">
        <f ca="1">VLOOKUP(CC191,'ECI - Input Price'!M$13:N$33,2,FALSE)</f>
        <v>120.875</v>
      </c>
      <c r="DH191" s="89"/>
      <c r="DI191" s="89"/>
      <c r="DJ191" s="56">
        <f t="shared" ca="1" si="384"/>
        <v>3.3224250161508609E-2</v>
      </c>
      <c r="DK191" s="53">
        <f>HLOOKUP(H191,'GDP-PI'!$8:$9,2,FALSE)</f>
        <v>98.111999999999995</v>
      </c>
      <c r="DL191" s="355">
        <f t="shared" si="377"/>
        <v>2.0626719212849295E-2</v>
      </c>
      <c r="EC191"/>
    </row>
    <row r="192" spans="1:133" s="126" customFormat="1" ht="21" customHeight="1" x14ac:dyDescent="0.4">
      <c r="A192" s="233" t="s">
        <v>193</v>
      </c>
      <c r="B192" s="127" t="s">
        <v>193</v>
      </c>
      <c r="C192" s="127">
        <v>4018679</v>
      </c>
      <c r="D192" s="127" t="s">
        <v>194</v>
      </c>
      <c r="E192" s="127" t="s">
        <v>15</v>
      </c>
      <c r="F192" s="127"/>
      <c r="G192" s="127" t="s">
        <v>168</v>
      </c>
      <c r="H192" s="128">
        <v>2012</v>
      </c>
      <c r="I192" s="129"/>
      <c r="J192" s="125">
        <f>IFERROR(INDEX('Labor Expenditures'!$E$7:$W$91,MATCH($C192,'Labor Expenditures'!$C$7:$C$91,0),MATCH($G192,'Labor Expenditures'!$E$5:$W$5,0)),"NA")</f>
        <v>121442.44215790022</v>
      </c>
      <c r="K192" s="125">
        <f t="shared" ca="1" si="378"/>
        <v>973.09649164984148</v>
      </c>
      <c r="L192" s="47"/>
      <c r="M192" s="131">
        <f t="shared" ca="1" si="385"/>
        <v>-1.8307720055059977E-2</v>
      </c>
      <c r="N192" s="59"/>
      <c r="O192" s="59"/>
      <c r="P192" s="59">
        <f t="shared" ca="1" si="387"/>
        <v>-8.652512078966613E-4</v>
      </c>
      <c r="Q192" s="61"/>
      <c r="R192" s="387"/>
      <c r="S192" s="49">
        <f t="shared" ca="1" si="392"/>
        <v>114.50344225158783</v>
      </c>
      <c r="T192" s="61">
        <f ca="1">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</f>
        <v>-1.9108669422421093E-2</v>
      </c>
      <c r="U192" s="61"/>
      <c r="V192" s="125">
        <f>IFERROR(INDEX('Non-Labor Expenditures'!$E$7:$AA$91,MATCH($C192,'Non-Labor Expenditures'!$C$7:$C$91,0),MATCH($G192,'Non-Labor Expenditures'!$E$5:$AA$5,0)),"NA")</f>
        <v>175871.33856404692</v>
      </c>
      <c r="W192" s="125">
        <f t="shared" si="379"/>
        <v>1758.7133856404691</v>
      </c>
      <c r="X192" s="131">
        <f t="shared" si="388"/>
        <v>-5.4127206319337026E-3</v>
      </c>
      <c r="Y192" s="131">
        <f t="shared" si="389"/>
        <v>-2.5581356120274543E-4</v>
      </c>
      <c r="Z192" s="131"/>
      <c r="AA192" s="131"/>
      <c r="AB192" s="131"/>
      <c r="AC192" s="125">
        <f t="shared" si="357"/>
        <v>146394.66929726355</v>
      </c>
      <c r="AD192" s="129"/>
      <c r="AE192" s="133">
        <v>9684.9087661546873</v>
      </c>
      <c r="AF192" s="134">
        <v>1.061174505837975E-2</v>
      </c>
      <c r="AG192" s="59">
        <f t="shared" si="380"/>
        <v>5.015275087253034E-4</v>
      </c>
      <c r="AH192" s="134"/>
      <c r="AI192" s="134"/>
      <c r="AJ192" s="129">
        <f t="shared" si="331"/>
        <v>443708.45001921069</v>
      </c>
      <c r="AK192" s="134">
        <f t="shared" si="390"/>
        <v>3.5620827609623665E-2</v>
      </c>
      <c r="AL192" s="129"/>
      <c r="AM192" s="129"/>
      <c r="AN192" s="129"/>
      <c r="AO192" s="129"/>
      <c r="AP192" s="133">
        <f t="shared" si="391"/>
        <v>365.53962822206353</v>
      </c>
      <c r="AQ192" s="134">
        <f>+BB192/Outputs!$B$20</f>
        <v>3.3988503866573996E-2</v>
      </c>
      <c r="AR192" s="93">
        <f t="shared" si="381"/>
        <v>0.27369873652990445</v>
      </c>
      <c r="AS192" s="93">
        <f t="shared" si="382"/>
        <v>0.39636689036783601</v>
      </c>
      <c r="AT192" s="93">
        <f t="shared" si="383"/>
        <v>0.32993437310225954</v>
      </c>
      <c r="AU192" s="93">
        <f t="shared" ca="1" si="386"/>
        <v>-3.8135207748300286E-3</v>
      </c>
      <c r="AV192" s="132">
        <f t="shared" ca="1" si="394"/>
        <v>100.96158814423541</v>
      </c>
      <c r="AW192" s="134">
        <f t="shared" ca="1" si="395"/>
        <v>-3.813520774830039E-3</v>
      </c>
      <c r="AX192" s="56">
        <f>+AJ192/$AL$17</f>
        <v>4.7261548969202143E-2</v>
      </c>
      <c r="AY192" s="135">
        <f t="shared" ca="1" si="393"/>
        <v>-1.8023289884469958E-4</v>
      </c>
      <c r="AZ192" s="93"/>
      <c r="BA192" s="93"/>
      <c r="BB192" s="234">
        <f>IFERROR(INDEX('Total Customers'!$E$7:$AA$91,MATCH($C192,'Total Customers'!$C$7:$C$91,0),MATCH($G192,'Total Customers'!$E$5:$AA$5,0)),"NA")</f>
        <v>1213845</v>
      </c>
      <c r="BC192" s="411">
        <f t="shared" si="283"/>
        <v>2.5637422882365214E-3</v>
      </c>
      <c r="BD192" s="92"/>
      <c r="BE192" s="281" t="str">
        <f t="shared" si="278"/>
        <v>BROOKLYN UNION GAS COMPANY</v>
      </c>
      <c r="BF192" s="290">
        <f t="shared" si="279"/>
        <v>4018679</v>
      </c>
      <c r="BG192" s="46" t="str">
        <f t="shared" si="280"/>
        <v>NY</v>
      </c>
      <c r="BH192" s="46"/>
      <c r="BI192" s="46" t="str">
        <f t="shared" si="281"/>
        <v>2012 Y</v>
      </c>
      <c r="BJ192" s="129"/>
      <c r="BK192" s="129"/>
      <c r="BL192" s="129">
        <f>INDEX('Dist. Plant Gas Additions'!$E$7:$AD$91,MATCH($C192,'Dist. Plant Gas Additions'!$C$7:$C$91,0),MATCH(Calculation!$G192,'Dist. Plant Gas Additions'!$E$5:$AD$5,0))</f>
        <v>114225</v>
      </c>
      <c r="BM192" s="129">
        <f>INDEX('Gen. Plant Additions'!$E$7:$AD$91,MATCH($C192,'Gen. Plant Additions'!$C$7:$C$91,0),MATCH(Calculation!$G192,'Gen. Plant Additions'!$E$5:$AD$5,0))</f>
        <v>2398</v>
      </c>
      <c r="BN192" s="393">
        <f t="shared" si="358"/>
        <v>0.96168477488422566</v>
      </c>
      <c r="BO192" s="46">
        <f t="shared" si="375"/>
        <v>2306.1200901723732</v>
      </c>
      <c r="BP192" s="46">
        <f t="shared" si="376"/>
        <v>-91.879909827626761</v>
      </c>
      <c r="BQ192" s="129">
        <f>INDEX('Dist Plant Depreciation'!$D$7:$AC$94,MATCH($C192,'Dist Plant Depreciation'!$C$7:$C$94,0),MATCH(Calculation!$G192,'Dist Plant Depreciation'!$D$5:$AC$5,0))</f>
        <v>880338</v>
      </c>
      <c r="BR192" s="129">
        <f>INDEX('Gen. Plant Depreciation'!$D$7:$AC$94,MATCH($C192,'Gen. Plant Depreciation'!$C$7:$C$94,0),MATCH(Calculation!$G192,'Gen. Plant Depreciation'!$D$5:$AC$5,0))</f>
        <v>45770</v>
      </c>
      <c r="BS192" s="129"/>
      <c r="BT192" s="129"/>
      <c r="BU192" s="129"/>
      <c r="BV192" s="129"/>
      <c r="BW192" s="129"/>
      <c r="BX192" s="129"/>
      <c r="BY192" s="129">
        <f>INDEX('Gross Dx Plant'!$D$7:$AC$91,MATCH($C192,'Gross Dx Plant'!$C$7:$C$91,0),MATCH(Calculation!$G192,'Gross Dx Plant'!$D$5:$AC$5,0))</f>
        <v>3112462</v>
      </c>
      <c r="BZ192" s="129">
        <f>INDEX('Gross Gen Plant'!$D$7:$AC$91,MATCH($C192,'Gross Gen Plant'!$C$7:$C$91,0),MATCH(Calculation!$G192,'Gross Gen Plant'!$D$5:$AC$5,0))</f>
        <v>124006</v>
      </c>
      <c r="CA192" s="129">
        <f t="shared" si="307"/>
        <v>2310360</v>
      </c>
      <c r="CB192" s="129"/>
      <c r="CC192" s="133">
        <v>2012</v>
      </c>
      <c r="CD192" s="129"/>
      <c r="CE192" s="129"/>
      <c r="CF192" s="129"/>
      <c r="CG192" s="137"/>
      <c r="CH192" s="129">
        <f t="shared" si="359"/>
        <v>116623</v>
      </c>
      <c r="CI192" s="46">
        <f t="shared" si="368"/>
        <v>116531.12009017238</v>
      </c>
      <c r="CJ192" s="46">
        <f t="shared" si="360"/>
        <v>174.20803412007402</v>
      </c>
      <c r="CK192" s="443">
        <v>0.84090909090909094</v>
      </c>
      <c r="CL192" s="46">
        <f>+CL178*CK192+CJ179*CK191+CJ180*CK190+CJ181*CK189+CJ182*CK188+CJ183*CK187+CJ184*CK186+CJ185*CK185+CJ186*CK184+CJ187*CK183+CJ188*CK182+CJ189*CK181+CJ190*CK180+CJ191*CK179+CJ192</f>
        <v>9063.9959633346371</v>
      </c>
      <c r="CM192" s="134">
        <f t="shared" si="361"/>
        <v>5.3104296316192406E-3</v>
      </c>
      <c r="CN192" s="135">
        <f t="shared" si="362"/>
        <v>1.399756467881204E-2</v>
      </c>
      <c r="CO192" s="135">
        <f t="shared" si="371"/>
        <v>1.3633665943322474E-2</v>
      </c>
      <c r="CP192" s="134">
        <f>VLOOKUP($H192,RoR!$E:$F,2,FALSE)</f>
        <v>3.6733333333333333E-2</v>
      </c>
      <c r="CQ192" s="135">
        <v>1.924331376386168E-2</v>
      </c>
      <c r="CR192" s="135">
        <f t="shared" si="369"/>
        <v>1.7490019569471653E-2</v>
      </c>
      <c r="CS192" s="135">
        <f t="shared" si="372"/>
        <v>1.726827566521115E-2</v>
      </c>
      <c r="CT192" s="135">
        <f t="shared" si="373"/>
        <v>6.7122682943869583E-2</v>
      </c>
      <c r="CU192" s="139">
        <f t="shared" si="363"/>
        <v>0.85329623209999994</v>
      </c>
      <c r="CV192" s="335">
        <f t="shared" si="364"/>
        <v>1.3960631020522127</v>
      </c>
      <c r="CW192" s="335">
        <f t="shared" si="365"/>
        <v>0.29441923774954631</v>
      </c>
      <c r="CX192" s="335">
        <f t="shared" si="366"/>
        <v>0.76377954189366437</v>
      </c>
      <c r="CY192" s="335">
        <f t="shared" si="367"/>
        <v>0.31393465103033691</v>
      </c>
      <c r="CZ192" s="336">
        <f>INDEX('State Tax Lookup'!$D$7:$Z$91,MATCH(Calculation!$C192,'State Tax Lookup'!$B$7:$B$91,0),MATCH($H192,'State Tax Lookup'!$D$6:$Z$6,0))</f>
        <v>0.39649667</v>
      </c>
      <c r="DA192" s="303">
        <v>0.37</v>
      </c>
      <c r="DB192" s="57">
        <f t="shared" si="370"/>
        <v>16.237226533917454</v>
      </c>
      <c r="DC192" s="56">
        <f t="shared" si="374"/>
        <v>6.5373639806687187E-2</v>
      </c>
      <c r="DD192" s="303">
        <f>VLOOKUP($H192,RoR!$E:$F,2,FALSE)</f>
        <v>3.6733333333333333E-2</v>
      </c>
      <c r="DE192" s="304">
        <f>HLOOKUP($H192,'GDP-PI'!$D$8:$CQ$11,3,FALSE)</f>
        <v>1.924331376386168E-2</v>
      </c>
      <c r="DF192" s="303">
        <f>VLOOKUP(H192,'HW Dx Data'!$E:$F,2,FALSE)</f>
        <v>668.91932211262167</v>
      </c>
      <c r="DG192" s="89">
        <f ca="1">VLOOKUP(CC192,'ECI - Input Price'!M$13:N$33,2,FALSE)</f>
        <v>124.80000000000001</v>
      </c>
      <c r="DH192" s="89"/>
      <c r="DI192" s="89"/>
      <c r="DJ192" s="56">
        <f t="shared" ca="1" si="384"/>
        <v>3.1955502161869064E-2</v>
      </c>
      <c r="DK192" s="53">
        <f>HLOOKUP(H192,'GDP-PI'!$8:$9,2,FALSE)</f>
        <v>100</v>
      </c>
      <c r="DL192" s="355">
        <f t="shared" si="377"/>
        <v>1.9060502738742411E-2</v>
      </c>
      <c r="EC192"/>
    </row>
    <row r="193" spans="1:133" s="126" customFormat="1" ht="21" customHeight="1" x14ac:dyDescent="0.4">
      <c r="A193" s="233" t="s">
        <v>193</v>
      </c>
      <c r="B193" s="127" t="s">
        <v>193</v>
      </c>
      <c r="C193" s="127">
        <v>4018679</v>
      </c>
      <c r="D193" s="127" t="s">
        <v>194</v>
      </c>
      <c r="E193" s="127" t="s">
        <v>15</v>
      </c>
      <c r="F193" s="127"/>
      <c r="G193" s="127" t="s">
        <v>169</v>
      </c>
      <c r="H193" s="128">
        <v>2013</v>
      </c>
      <c r="I193" s="129"/>
      <c r="J193" s="125">
        <f>IFERROR(INDEX('Labor Expenditures'!$E$7:$W$91,MATCH($C193,'Labor Expenditures'!$C$7:$C$91,0),MATCH($G193,'Labor Expenditures'!$E$5:$W$5,0)),"NA")</f>
        <v>124359.05136076805</v>
      </c>
      <c r="K193" s="125">
        <f t="shared" ca="1" si="378"/>
        <v>980.7496164098427</v>
      </c>
      <c r="L193" s="47"/>
      <c r="M193" s="131">
        <f t="shared" ca="1" si="385"/>
        <v>7.8339474825726372E-3</v>
      </c>
      <c r="N193" s="59"/>
      <c r="O193" s="59"/>
      <c r="P193" s="59">
        <f t="shared" ca="1" si="387"/>
        <v>3.60107424779769E-4</v>
      </c>
      <c r="Q193" s="61"/>
      <c r="R193" s="387"/>
      <c r="S193" s="49">
        <f t="shared" ca="1" si="392"/>
        <v>108.03236307968126</v>
      </c>
      <c r="T193" s="61">
        <f ca="1">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</f>
        <v>-5.8174045494164356E-2</v>
      </c>
      <c r="U193" s="61"/>
      <c r="V193" s="125">
        <f>IFERROR(INDEX('Non-Labor Expenditures'!$E$7:$AA$91,MATCH($C193,'Non-Labor Expenditures'!$C$7:$C$91,0),MATCH($G193,'Non-Labor Expenditures'!$E$5:$AA$5,0)),"NA")</f>
        <v>180095.13343725645</v>
      </c>
      <c r="W193" s="125">
        <f t="shared" si="379"/>
        <v>1769.5767387937512</v>
      </c>
      <c r="X193" s="131">
        <f t="shared" si="388"/>
        <v>6.157876533860491E-3</v>
      </c>
      <c r="Y193" s="131">
        <f t="shared" si="389"/>
        <v>2.8306253847799017E-4</v>
      </c>
      <c r="Z193" s="131"/>
      <c r="AA193" s="131"/>
      <c r="AB193" s="131"/>
      <c r="AC193" s="125">
        <f t="shared" si="357"/>
        <v>142836.73754815542</v>
      </c>
      <c r="AD193" s="129"/>
      <c r="AE193" s="133">
        <v>9760.3846395396249</v>
      </c>
      <c r="AF193" s="134">
        <v>7.7629327410185193E-3</v>
      </c>
      <c r="AG193" s="59">
        <f t="shared" si="380"/>
        <v>3.5684305062365628E-4</v>
      </c>
      <c r="AH193" s="134"/>
      <c r="AI193" s="134"/>
      <c r="AJ193" s="129">
        <f t="shared" si="331"/>
        <v>447290.9223461799</v>
      </c>
      <c r="AK193" s="134">
        <f t="shared" si="390"/>
        <v>8.0415132566586476E-3</v>
      </c>
      <c r="AL193" s="129"/>
      <c r="AM193" s="129"/>
      <c r="AN193" s="129"/>
      <c r="AO193" s="129"/>
      <c r="AP193" s="133">
        <f t="shared" si="391"/>
        <v>367.77471828129859</v>
      </c>
      <c r="AQ193" s="134">
        <f>+BB193/Outputs!$B$21</f>
        <v>3.3837655907473473E-2</v>
      </c>
      <c r="AR193" s="93">
        <f t="shared" si="381"/>
        <v>0.27802721930609764</v>
      </c>
      <c r="AS193" s="93">
        <f t="shared" si="382"/>
        <v>0.40263534187682931</v>
      </c>
      <c r="AT193" s="93">
        <f t="shared" si="383"/>
        <v>0.3193374388170731</v>
      </c>
      <c r="AU193" s="93">
        <f t="shared" ca="1" si="386"/>
        <v>7.1413013329010046E-3</v>
      </c>
      <c r="AV193" s="132">
        <f t="shared" ca="1" si="394"/>
        <v>101.6851658362969</v>
      </c>
      <c r="AW193" s="134">
        <f t="shared" ca="1" si="395"/>
        <v>7.1413013329009612E-3</v>
      </c>
      <c r="AX193" s="56">
        <f>+AJ193/$AL$18</f>
        <v>4.5967556660401705E-2</v>
      </c>
      <c r="AY193" s="135">
        <f t="shared" ca="1" si="393"/>
        <v>3.2826817364912714E-4</v>
      </c>
      <c r="AZ193" s="93"/>
      <c r="BA193" s="93"/>
      <c r="BB193" s="234">
        <f>IFERROR(INDEX('Total Customers'!$E$7:$AA$91,MATCH($C193,'Total Customers'!$C$7:$C$91,0),MATCH($G193,'Total Customers'!$E$5:$AA$5,0)),"NA")</f>
        <v>1216209</v>
      </c>
      <c r="BC193" s="411">
        <f t="shared" si="283"/>
        <v>1.9456363897622795E-3</v>
      </c>
      <c r="BD193" s="92"/>
      <c r="BE193" s="281" t="str">
        <f t="shared" si="278"/>
        <v>BROOKLYN UNION GAS COMPANY</v>
      </c>
      <c r="BF193" s="290">
        <f t="shared" si="279"/>
        <v>4018679</v>
      </c>
      <c r="BG193" s="46" t="str">
        <f t="shared" si="280"/>
        <v>NY</v>
      </c>
      <c r="BH193" s="46"/>
      <c r="BI193" s="46" t="str">
        <f t="shared" si="281"/>
        <v>2013 Y</v>
      </c>
      <c r="BJ193" s="129"/>
      <c r="BK193" s="129"/>
      <c r="BL193" s="129">
        <f>INDEX('Dist. Plant Gas Additions'!$E$7:$AD$91,MATCH($C193,'Dist. Plant Gas Additions'!$C$7:$C$91,0),MATCH(Calculation!$G193,'Dist. Plant Gas Additions'!$E$5:$AD$5,0))</f>
        <v>94476</v>
      </c>
      <c r="BM193" s="129">
        <f>INDEX('Gen. Plant Additions'!$E$7:$AD$91,MATCH($C193,'Gen. Plant Additions'!$C$7:$C$91,0),MATCH(Calculation!$G193,'Gen. Plant Additions'!$E$5:$AD$5,0))</f>
        <v>5733</v>
      </c>
      <c r="BN193" s="393">
        <f t="shared" si="358"/>
        <v>0.96099518193639555</v>
      </c>
      <c r="BO193" s="46">
        <f t="shared" si="375"/>
        <v>5509.3853780413556</v>
      </c>
      <c r="BP193" s="46">
        <f t="shared" si="376"/>
        <v>-223.61462195864442</v>
      </c>
      <c r="BQ193" s="129">
        <f>INDEX('Dist Plant Depreciation'!$D$7:$AC$94,MATCH($C193,'Dist Plant Depreciation'!$C$7:$C$94,0),MATCH(Calculation!$G193,'Dist Plant Depreciation'!$D$5:$AC$5,0))</f>
        <v>948172</v>
      </c>
      <c r="BR193" s="129">
        <f>INDEX('Gen. Plant Depreciation'!$D$7:$AC$94,MATCH($C193,'Gen. Plant Depreciation'!$C$7:$C$94,0),MATCH(Calculation!$G193,'Gen. Plant Depreciation'!$D$5:$AC$5,0))</f>
        <v>49471</v>
      </c>
      <c r="BS193" s="129"/>
      <c r="BT193" s="129"/>
      <c r="BU193" s="129"/>
      <c r="BV193" s="129"/>
      <c r="BW193" s="129"/>
      <c r="BX193" s="129"/>
      <c r="BY193" s="129">
        <f>INDEX('Gross Dx Plant'!$D$7:$AC$91,MATCH($C193,'Gross Dx Plant'!$C$7:$C$91,0),MATCH(Calculation!$G193,'Gross Dx Plant'!$D$5:$AC$5,0))</f>
        <v>3196294</v>
      </c>
      <c r="BZ193" s="129">
        <f>INDEX('Gross Gen Plant'!$D$7:$AC$91,MATCH($C193,'Gross Gen Plant'!$C$7:$C$91,0),MATCH(Calculation!$G193,'Gross Gen Plant'!$D$5:$AC$5,0))</f>
        <v>129731</v>
      </c>
      <c r="CA193" s="129">
        <f t="shared" si="307"/>
        <v>2328382</v>
      </c>
      <c r="CB193" s="129"/>
      <c r="CC193" s="133">
        <v>2013</v>
      </c>
      <c r="CD193" s="129"/>
      <c r="CE193" s="129"/>
      <c r="CF193" s="129"/>
      <c r="CG193" s="137"/>
      <c r="CH193" s="129">
        <f t="shared" si="359"/>
        <v>100209</v>
      </c>
      <c r="CI193" s="46">
        <f t="shared" si="368"/>
        <v>99985.385378041363</v>
      </c>
      <c r="CJ193" s="46">
        <f t="shared" si="360"/>
        <v>150.75103769671728</v>
      </c>
      <c r="CK193" s="443">
        <v>0.82758620689655171</v>
      </c>
      <c r="CL193" s="46">
        <f>+CL178*CK193+CJ179*CK192+CJ180*CK191+CJ181*CK190+CJ182*CK189+CJ183*CK188+CJ184*CK187+CJ185*CK186+CJ186*CK185+CJ187*CK184+CJ188*CK183+CJ189*CK182+CJ190*CK181+CJ191*CK180+CJ192*CK179+CJ193</f>
        <v>9083.986643606735</v>
      </c>
      <c r="CM193" s="134">
        <f t="shared" si="361"/>
        <v>2.2030755473524373E-3</v>
      </c>
      <c r="CN193" s="135">
        <f t="shared" si="362"/>
        <v>1.4426347711711985E-2</v>
      </c>
      <c r="CO193" s="135">
        <f t="shared" si="371"/>
        <v>1.4017031490734695E-2</v>
      </c>
      <c r="CP193" s="134">
        <f>VLOOKUP($H193,RoR!$E:$F,2,FALSE)</f>
        <v>4.2350000000000006E-2</v>
      </c>
      <c r="CQ193" s="135">
        <v>1.7730000000000024E-2</v>
      </c>
      <c r="CR193" s="135">
        <f t="shared" si="369"/>
        <v>2.4619999999999982E-2</v>
      </c>
      <c r="CS193" s="135">
        <f t="shared" si="372"/>
        <v>1.688491011779893E-2</v>
      </c>
      <c r="CT193" s="135">
        <f t="shared" si="373"/>
        <v>5.3376742735721204E-2</v>
      </c>
      <c r="CU193" s="139">
        <f t="shared" si="363"/>
        <v>0.85329623209999994</v>
      </c>
      <c r="CV193" s="335">
        <f t="shared" si="364"/>
        <v>1.2109103018193925</v>
      </c>
      <c r="CW193" s="335">
        <f t="shared" si="365"/>
        <v>0.38468122786304604</v>
      </c>
      <c r="CX193" s="335">
        <f t="shared" si="366"/>
        <v>0.80969194503422559</v>
      </c>
      <c r="CY193" s="335">
        <f t="shared" si="367"/>
        <v>0.37716621754800816</v>
      </c>
      <c r="CZ193" s="336">
        <f>INDEX('State Tax Lookup'!$D$7:$Z$91,MATCH(Calculation!$C193,'State Tax Lookup'!$B$7:$B$91,0),MATCH($H193,'State Tax Lookup'!$D$6:$Z$6,0))</f>
        <v>0.39649667</v>
      </c>
      <c r="DA193" s="303">
        <v>0.37</v>
      </c>
      <c r="DB193" s="57">
        <f t="shared" si="370"/>
        <v>15.75869386151027</v>
      </c>
      <c r="DC193" s="56">
        <f t="shared" si="374"/>
        <v>-2.9914336030250992E-2</v>
      </c>
      <c r="DD193" s="303">
        <f>VLOOKUP($H193,RoR!$E:$F,2,FALSE)</f>
        <v>4.2350000000000006E-2</v>
      </c>
      <c r="DE193" s="304">
        <f>HLOOKUP($H193,'GDP-PI'!$D$8:$CQ$11,3,FALSE)</f>
        <v>1.7730000000000024E-2</v>
      </c>
      <c r="DF193" s="303">
        <f>VLOOKUP(H193,'HW Dx Data'!$E:$F,2,FALSE)</f>
        <v>663.24840548821396</v>
      </c>
      <c r="DG193" s="89">
        <f ca="1">VLOOKUP(CC193,'ECI - Input Price'!M$13:N$33,2,FALSE)</f>
        <v>126.8</v>
      </c>
      <c r="DH193" s="89"/>
      <c r="DI193" s="89"/>
      <c r="DJ193" s="56">
        <f t="shared" ca="1" si="384"/>
        <v>1.5898586067798204E-2</v>
      </c>
      <c r="DK193" s="53">
        <f>HLOOKUP(H193,'GDP-PI'!$8:$9,2,FALSE)</f>
        <v>101.773</v>
      </c>
      <c r="DL193" s="355">
        <f t="shared" si="377"/>
        <v>1.7574657016510519E-2</v>
      </c>
      <c r="EC193"/>
    </row>
    <row r="194" spans="1:133" s="126" customFormat="1" ht="21" customHeight="1" x14ac:dyDescent="0.4">
      <c r="A194" s="233" t="s">
        <v>193</v>
      </c>
      <c r="B194" s="127" t="s">
        <v>193</v>
      </c>
      <c r="C194" s="127">
        <v>4018679</v>
      </c>
      <c r="D194" s="127" t="s">
        <v>194</v>
      </c>
      <c r="E194" s="127" t="s">
        <v>15</v>
      </c>
      <c r="F194" s="127"/>
      <c r="G194" s="127" t="s">
        <v>170</v>
      </c>
      <c r="H194" s="128">
        <v>2014</v>
      </c>
      <c r="I194" s="129"/>
      <c r="J194" s="125">
        <f>IFERROR(INDEX('Labor Expenditures'!$E$7:$W$91,MATCH($C194,'Labor Expenditures'!$C$7:$C$91,0),MATCH($G194,'Labor Expenditures'!$E$5:$W$5,0)),"NA")</f>
        <v>143030.64439020155</v>
      </c>
      <c r="K194" s="125">
        <f t="shared" ca="1" si="378"/>
        <v>1105.3372827681726</v>
      </c>
      <c r="L194" s="47"/>
      <c r="M194" s="131">
        <f t="shared" ca="1" si="385"/>
        <v>0.11958860668163522</v>
      </c>
      <c r="N194" s="59"/>
      <c r="O194" s="59"/>
      <c r="P194" s="59">
        <f t="shared" ca="1" si="387"/>
        <v>5.9668272454743154E-3</v>
      </c>
      <c r="Q194" s="61"/>
      <c r="R194" s="387"/>
      <c r="S194" s="49">
        <f t="shared" ca="1" si="392"/>
        <v>121.570519791482</v>
      </c>
      <c r="T194" s="61">
        <f ca="1">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</f>
        <v>0.11806366383353271</v>
      </c>
      <c r="U194" s="61"/>
      <c r="V194" s="125">
        <f>IFERROR(INDEX('Non-Labor Expenditures'!$E$7:$AA$91,MATCH($C194,'Non-Labor Expenditures'!$C$7:$C$91,0),MATCH($G194,'Non-Labor Expenditures'!$E$5:$AA$5,0)),"NA")</f>
        <v>207135.0875164076</v>
      </c>
      <c r="W194" s="125">
        <f t="shared" si="379"/>
        <v>1998.4667912858799</v>
      </c>
      <c r="X194" s="131">
        <f t="shared" si="388"/>
        <v>0.12163989484705377</v>
      </c>
      <c r="Y194" s="131">
        <f t="shared" si="389"/>
        <v>6.0691754745687693E-3</v>
      </c>
      <c r="Z194" s="131"/>
      <c r="AA194" s="131"/>
      <c r="AB194" s="131"/>
      <c r="AC194" s="125">
        <f t="shared" si="357"/>
        <v>144250.81572613725</v>
      </c>
      <c r="AD194" s="129"/>
      <c r="AE194" s="133">
        <v>10146.981213909592</v>
      </c>
      <c r="AF194" s="134">
        <v>3.8844434464324645E-2</v>
      </c>
      <c r="AG194" s="59">
        <f t="shared" si="380"/>
        <v>1.9381280234646893E-3</v>
      </c>
      <c r="AH194" s="134"/>
      <c r="AI194" s="134"/>
      <c r="AJ194" s="129">
        <f t="shared" si="331"/>
        <v>494416.5476327464</v>
      </c>
      <c r="AK194" s="134">
        <f t="shared" si="390"/>
        <v>0.1001691598114834</v>
      </c>
      <c r="AL194" s="129"/>
      <c r="AM194" s="129"/>
      <c r="AN194" s="129"/>
      <c r="AO194" s="129"/>
      <c r="AP194" s="133">
        <f t="shared" si="391"/>
        <v>405.60888735521041</v>
      </c>
      <c r="AQ194" s="134">
        <f>+BB194/Outputs!$B$22</f>
        <v>3.3732662858230823E-2</v>
      </c>
      <c r="AR194" s="93">
        <f t="shared" si="381"/>
        <v>0.28929178255668941</v>
      </c>
      <c r="AS194" s="93">
        <f t="shared" si="382"/>
        <v>0.41894853339388621</v>
      </c>
      <c r="AT194" s="93">
        <f t="shared" si="383"/>
        <v>0.29175968404942437</v>
      </c>
      <c r="AU194" s="93">
        <f t="shared" ca="1" si="386"/>
        <v>9.5759993656638245E-2</v>
      </c>
      <c r="AV194" s="132">
        <f t="shared" ca="1" si="394"/>
        <v>111.9040070732259</v>
      </c>
      <c r="AW194" s="134">
        <f t="shared" ca="1" si="395"/>
        <v>9.5759993656638287E-2</v>
      </c>
      <c r="AX194" s="56">
        <f>+AJ194/$AL$19</f>
        <v>4.9894612965589634E-2</v>
      </c>
      <c r="AY194" s="135">
        <f t="shared" ca="1" si="393"/>
        <v>4.7779078210852862E-3</v>
      </c>
      <c r="AZ194" s="93"/>
      <c r="BA194" s="93"/>
      <c r="BB194" s="234">
        <f>IFERROR(INDEX('Total Customers'!$E$7:$AA$91,MATCH($C194,'Total Customers'!$C$7:$C$91,0),MATCH($G194,'Total Customers'!$E$5:$AA$5,0)),"NA")</f>
        <v>1218949</v>
      </c>
      <c r="BC194" s="411">
        <f t="shared" si="283"/>
        <v>2.2503682769789354E-3</v>
      </c>
      <c r="BD194" s="92"/>
      <c r="BE194" s="281" t="str">
        <f t="shared" si="278"/>
        <v>BROOKLYN UNION GAS COMPANY</v>
      </c>
      <c r="BF194" s="290">
        <f t="shared" si="279"/>
        <v>4018679</v>
      </c>
      <c r="BG194" s="46" t="str">
        <f t="shared" si="280"/>
        <v>NY</v>
      </c>
      <c r="BH194" s="46"/>
      <c r="BI194" s="46" t="str">
        <f t="shared" si="281"/>
        <v>2014 Y</v>
      </c>
      <c r="BJ194" s="129"/>
      <c r="BK194" s="129"/>
      <c r="BL194" s="129">
        <f>INDEX('Dist. Plant Gas Additions'!$E$7:$AD$91,MATCH($C194,'Dist. Plant Gas Additions'!$C$7:$C$91,0),MATCH(Calculation!$G194,'Dist. Plant Gas Additions'!$E$5:$AD$5,0))</f>
        <v>309923</v>
      </c>
      <c r="BM194" s="129">
        <f>INDEX('Gen. Plant Additions'!$E$7:$AD$91,MATCH($C194,'Gen. Plant Additions'!$C$7:$C$91,0),MATCH(Calculation!$G194,'Gen. Plant Additions'!$E$5:$AD$5,0))</f>
        <v>8878</v>
      </c>
      <c r="BN194" s="393">
        <f t="shared" si="358"/>
        <v>0.96135733874969975</v>
      </c>
      <c r="BO194" s="46">
        <f t="shared" si="375"/>
        <v>8534.9304534198345</v>
      </c>
      <c r="BP194" s="46">
        <f t="shared" si="376"/>
        <v>-343.06954658016548</v>
      </c>
      <c r="BQ194" s="129">
        <f>INDEX('Dist Plant Depreciation'!$D$7:$AC$94,MATCH($C194,'Dist Plant Depreciation'!$C$7:$C$94,0),MATCH(Calculation!$G194,'Dist Plant Depreciation'!$D$5:$AC$5,0))</f>
        <v>957734</v>
      </c>
      <c r="BR194" s="129">
        <f>INDEX('Gen. Plant Depreciation'!$D$7:$AC$94,MATCH($C194,'Gen. Plant Depreciation'!$C$7:$C$94,0),MATCH(Calculation!$G194,'Gen. Plant Depreciation'!$D$5:$AC$5,0))</f>
        <v>50714</v>
      </c>
      <c r="BS194" s="129"/>
      <c r="BT194" s="129"/>
      <c r="BU194" s="129"/>
      <c r="BV194" s="129"/>
      <c r="BW194" s="129"/>
      <c r="BX194" s="129"/>
      <c r="BY194" s="129">
        <f>INDEX('Gross Dx Plant'!$D$7:$AC$91,MATCH($C194,'Gross Dx Plant'!$C$7:$C$91,0),MATCH(Calculation!$G194,'Gross Dx Plant'!$D$5:$AC$5,0))</f>
        <v>3446169</v>
      </c>
      <c r="BZ194" s="129">
        <f>INDEX('Gross Gen Plant'!$D$7:$AC$91,MATCH($C194,'Gross Gen Plant'!$C$7:$C$91,0),MATCH(Calculation!$G194,'Gross Gen Plant'!$D$5:$AC$5,0))</f>
        <v>138522</v>
      </c>
      <c r="CA194" s="129">
        <f t="shared" si="307"/>
        <v>2576243</v>
      </c>
      <c r="CB194" s="129"/>
      <c r="CC194" s="133">
        <v>2014</v>
      </c>
      <c r="CD194" s="129"/>
      <c r="CE194" s="129"/>
      <c r="CF194" s="129"/>
      <c r="CG194" s="137"/>
      <c r="CH194" s="129">
        <f t="shared" si="359"/>
        <v>318801</v>
      </c>
      <c r="CI194" s="46">
        <f t="shared" si="368"/>
        <v>318457.93045341986</v>
      </c>
      <c r="CJ194" s="46">
        <f t="shared" si="360"/>
        <v>465.26265468626059</v>
      </c>
      <c r="CK194" s="443">
        <v>0.81395348837209303</v>
      </c>
      <c r="CL194" s="46">
        <f>+CL178*CK194+CJ179*CK193+CJ180*CK192+CJ181*CK191+CJ182*CK190+CJ183*CK189+CJ184*CK188+CJ185*CK187+CJ186*CK186+CJ187*CK185+CJ188*CK184+CJ189*CK183+CJ190*CK182+CJ191*CK181+CJ192*CK180+CJ193*CK179+CJ194</f>
        <v>9414.0315598993857</v>
      </c>
      <c r="CM194" s="134">
        <f t="shared" si="361"/>
        <v>3.5688141494907476E-2</v>
      </c>
      <c r="CN194" s="135">
        <f t="shared" si="362"/>
        <v>1.4885285910099339E-2</v>
      </c>
      <c r="CO194" s="135">
        <f t="shared" si="371"/>
        <v>1.4436399433541122E-2</v>
      </c>
      <c r="CP194" s="134">
        <f>VLOOKUP($H194,RoR!$E:$F,2,FALSE)</f>
        <v>4.1625000000000002E-2</v>
      </c>
      <c r="CQ194" s="135">
        <v>1.841352814597208E-2</v>
      </c>
      <c r="CR194" s="135">
        <f t="shared" si="369"/>
        <v>2.3211471854027922E-2</v>
      </c>
      <c r="CS194" s="135">
        <f t="shared" si="372"/>
        <v>1.6465542174992503E-2</v>
      </c>
      <c r="CT194" s="135">
        <f t="shared" si="373"/>
        <v>3.9072621432650924E-2</v>
      </c>
      <c r="CU194" s="139">
        <f t="shared" si="363"/>
        <v>0.85329623209999994</v>
      </c>
      <c r="CV194" s="335">
        <f t="shared" si="364"/>
        <v>1.2320012320012319</v>
      </c>
      <c r="CW194" s="335">
        <f t="shared" si="365"/>
        <v>0.37439939939939942</v>
      </c>
      <c r="CX194" s="335">
        <f t="shared" si="366"/>
        <v>0.80432100613819935</v>
      </c>
      <c r="CY194" s="335">
        <f t="shared" si="367"/>
        <v>0.37100152660040037</v>
      </c>
      <c r="CZ194" s="336">
        <f>INDEX('State Tax Lookup'!$D$7:$Z$91,MATCH(Calculation!$C194,'State Tax Lookup'!$B$7:$B$91,0),MATCH($H194,'State Tax Lookup'!$D$6:$Z$6,0))</f>
        <v>0.39649667</v>
      </c>
      <c r="DA194" s="303">
        <v>0.37</v>
      </c>
      <c r="DB194" s="57">
        <f t="shared" si="370"/>
        <v>15.879681618385058</v>
      </c>
      <c r="DC194" s="56">
        <f t="shared" si="374"/>
        <v>7.6482022103801315E-3</v>
      </c>
      <c r="DD194" s="303">
        <f>VLOOKUP($H194,RoR!$E:$F,2,FALSE)</f>
        <v>4.1625000000000002E-2</v>
      </c>
      <c r="DE194" s="304">
        <f>HLOOKUP($H194,'GDP-PI'!$D$8:$CQ$11,3,FALSE)</f>
        <v>1.841352814597208E-2</v>
      </c>
      <c r="DF194" s="303">
        <f>VLOOKUP(H194,'HW Dx Data'!$E:$F,2,FALSE)</f>
        <v>684.46914285042885</v>
      </c>
      <c r="DG194" s="89">
        <f ca="1">VLOOKUP(CC194,'ECI - Input Price'!M$13:N$33,2,FALSE)</f>
        <v>129.4</v>
      </c>
      <c r="DH194" s="89"/>
      <c r="DI194" s="89"/>
      <c r="DJ194" s="56">
        <f t="shared" ca="1" si="384"/>
        <v>2.0297340063674733E-2</v>
      </c>
      <c r="DK194" s="53">
        <f>HLOOKUP(H194,'GDP-PI'!$8:$9,2,FALSE)</f>
        <v>103.64700000000001</v>
      </c>
      <c r="DL194" s="355">
        <f t="shared" si="377"/>
        <v>1.8246051898256087E-2</v>
      </c>
      <c r="EC194"/>
    </row>
    <row r="195" spans="1:133" s="126" customFormat="1" ht="21" customHeight="1" x14ac:dyDescent="0.4">
      <c r="A195" s="233" t="s">
        <v>193</v>
      </c>
      <c r="B195" s="127" t="s">
        <v>193</v>
      </c>
      <c r="C195" s="127">
        <v>4018679</v>
      </c>
      <c r="D195" s="127" t="s">
        <v>194</v>
      </c>
      <c r="E195" s="127" t="s">
        <v>15</v>
      </c>
      <c r="F195" s="127"/>
      <c r="G195" s="127" t="s">
        <v>171</v>
      </c>
      <c r="H195" s="128">
        <v>2015</v>
      </c>
      <c r="I195" s="129"/>
      <c r="J195" s="125">
        <f>IFERROR(INDEX('Labor Expenditures'!$E$7:$W$91,MATCH($C195,'Labor Expenditures'!$C$7:$C$91,0),MATCH($G195,'Labor Expenditures'!$E$5:$W$5,0)),"NA")</f>
        <v>132682.29468839936</v>
      </c>
      <c r="K195" s="125">
        <f t="shared" ca="1" si="378"/>
        <v>993.87486657977047</v>
      </c>
      <c r="L195" s="47"/>
      <c r="M195" s="131">
        <f t="shared" ca="1" si="385"/>
        <v>-0.10629449067284483</v>
      </c>
      <c r="N195" s="59"/>
      <c r="O195" s="59"/>
      <c r="P195" s="59">
        <f t="shared" ca="1" si="387"/>
        <v>-5.008211391122481E-3</v>
      </c>
      <c r="Q195" s="61"/>
      <c r="R195" s="387"/>
      <c r="S195" s="49">
        <f t="shared" ca="1" si="392"/>
        <v>119.39368491245686</v>
      </c>
      <c r="T195" s="61">
        <f ca="1">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</f>
        <v>-1.8068194835076025E-2</v>
      </c>
      <c r="U195" s="61"/>
      <c r="V195" s="125">
        <f>IFERROR(INDEX('Non-Labor Expenditures'!$E$7:$AA$91,MATCH($C195,'Non-Labor Expenditures'!$C$7:$C$91,0),MATCH($G195,'Non-Labor Expenditures'!$E$5:$AA$5,0)),"NA")</f>
        <v>192148.74434308393</v>
      </c>
      <c r="W195" s="125">
        <f t="shared" si="379"/>
        <v>1836.3014205323441</v>
      </c>
      <c r="X195" s="131">
        <f t="shared" si="388"/>
        <v>-8.4626831084783458E-2</v>
      </c>
      <c r="Y195" s="131">
        <f t="shared" si="389"/>
        <v>-3.9873097537846958E-3</v>
      </c>
      <c r="Z195" s="131"/>
      <c r="AA195" s="131"/>
      <c r="AB195" s="131"/>
      <c r="AC195" s="125">
        <f t="shared" si="357"/>
        <v>144474.75180416307</v>
      </c>
      <c r="AD195" s="129"/>
      <c r="AE195" s="133">
        <v>10483.116249582496</v>
      </c>
      <c r="AF195" s="134">
        <v>3.2589742850256231E-2</v>
      </c>
      <c r="AG195" s="59">
        <f t="shared" si="380"/>
        <v>1.5355106397635973E-3</v>
      </c>
      <c r="AH195" s="134"/>
      <c r="AI195" s="134"/>
      <c r="AJ195" s="129">
        <f t="shared" si="331"/>
        <v>469305.79083564633</v>
      </c>
      <c r="AK195" s="134">
        <f t="shared" si="390"/>
        <v>-5.21238136854901E-2</v>
      </c>
      <c r="AL195" s="129"/>
      <c r="AM195" s="129"/>
      <c r="AN195" s="129"/>
      <c r="AO195" s="129"/>
      <c r="AP195" s="133">
        <f t="shared" si="391"/>
        <v>379.88749287519101</v>
      </c>
      <c r="AQ195" s="134">
        <f>+BB195/Outputs!$B$23</f>
        <v>3.3909406856777465E-2</v>
      </c>
      <c r="AR195" s="93">
        <f t="shared" si="381"/>
        <v>0.28272034413243685</v>
      </c>
      <c r="AS195" s="93">
        <f t="shared" si="382"/>
        <v>0.40943186318017449</v>
      </c>
      <c r="AT195" s="93">
        <f t="shared" si="383"/>
        <v>0.30784779268738871</v>
      </c>
      <c r="AU195" s="93">
        <f t="shared" ca="1" si="386"/>
        <v>-5.5681946040993344E-2</v>
      </c>
      <c r="AV195" s="132">
        <f t="shared" ca="1" si="394"/>
        <v>105.84327667097369</v>
      </c>
      <c r="AW195" s="134">
        <f t="shared" ca="1" si="395"/>
        <v>-5.5681946040993337E-2</v>
      </c>
      <c r="AX195" s="56">
        <f>+AJ195/$AL$20</f>
        <v>4.7116377898990529E-2</v>
      </c>
      <c r="AY195" s="135">
        <f t="shared" ca="1" si="393"/>
        <v>-2.6235316118186414E-3</v>
      </c>
      <c r="AZ195" s="93"/>
      <c r="BA195" s="93"/>
      <c r="BB195" s="234">
        <f>IFERROR(INDEX('Total Customers'!$E$7:$AA$91,MATCH($C195,'Total Customers'!$C$7:$C$91,0),MATCH($G195,'Total Customers'!$E$5:$AA$5,0)),"NA")</f>
        <v>1235381</v>
      </c>
      <c r="BC195" s="411">
        <f t="shared" si="283"/>
        <v>1.3390412475128574E-2</v>
      </c>
      <c r="BD195" s="92"/>
      <c r="BE195" s="281" t="str">
        <f t="shared" ref="BE195:BE258" si="396">A195</f>
        <v>BROOKLYN UNION GAS COMPANY</v>
      </c>
      <c r="BF195" s="290">
        <f t="shared" ref="BF195:BF258" si="397">C195</f>
        <v>4018679</v>
      </c>
      <c r="BG195" s="46" t="str">
        <f t="shared" ref="BG195:BG258" si="398">D195</f>
        <v>NY</v>
      </c>
      <c r="BH195" s="46"/>
      <c r="BI195" s="46" t="str">
        <f t="shared" ref="BI195:BI258" si="399">G195</f>
        <v>2015 Y</v>
      </c>
      <c r="BJ195" s="129"/>
      <c r="BK195" s="129"/>
      <c r="BL195" s="129">
        <f>INDEX('Dist. Plant Gas Additions'!$E$7:$AD$91,MATCH($C195,'Dist. Plant Gas Additions'!$C$7:$C$91,0),MATCH(Calculation!$G195,'Dist. Plant Gas Additions'!$E$5:$AD$5,0))</f>
        <v>268204</v>
      </c>
      <c r="BM195" s="129">
        <f>INDEX('Gen. Plant Additions'!$E$7:$AD$91,MATCH($C195,'Gen. Plant Additions'!$C$7:$C$91,0),MATCH(Calculation!$G195,'Gen. Plant Additions'!$E$5:$AD$5,0))</f>
        <v>15963</v>
      </c>
      <c r="BN195" s="393">
        <f t="shared" si="358"/>
        <v>0.95947213545322285</v>
      </c>
      <c r="BO195" s="46">
        <f t="shared" si="375"/>
        <v>15316.053698239797</v>
      </c>
      <c r="BP195" s="46">
        <f t="shared" si="376"/>
        <v>-646.94630176020291</v>
      </c>
      <c r="BQ195" s="129">
        <f>INDEX('Dist Plant Depreciation'!$D$7:$AC$94,MATCH($C195,'Dist Plant Depreciation'!$C$7:$C$94,0),MATCH(Calculation!$G195,'Dist Plant Depreciation'!$D$5:$AC$5,0))</f>
        <v>948087</v>
      </c>
      <c r="BR195" s="129">
        <f>INDEX('Gen. Plant Depreciation'!$D$7:$AC$94,MATCH($C195,'Gen. Plant Depreciation'!$C$7:$C$94,0),MATCH(Calculation!$G195,'Gen. Plant Depreciation'!$D$5:$AC$5,0))</f>
        <v>58280</v>
      </c>
      <c r="BS195" s="129"/>
      <c r="BT195" s="129"/>
      <c r="BU195" s="129"/>
      <c r="BV195" s="129"/>
      <c r="BW195" s="129"/>
      <c r="BX195" s="129"/>
      <c r="BY195" s="129">
        <f>INDEX('Gross Dx Plant'!$D$7:$AC$91,MATCH($C195,'Gross Dx Plant'!$C$7:$C$91,0),MATCH(Calculation!$G195,'Gross Dx Plant'!$D$5:$AC$5,0))</f>
        <v>3656745</v>
      </c>
      <c r="BZ195" s="129">
        <f>INDEX('Gross Gen Plant'!$D$7:$AC$91,MATCH($C195,'Gross Gen Plant'!$C$7:$C$91,0),MATCH(Calculation!$G195,'Gross Gen Plant'!$D$5:$AC$5,0))</f>
        <v>154460</v>
      </c>
      <c r="CA195" s="129">
        <f t="shared" si="307"/>
        <v>2804838</v>
      </c>
      <c r="CB195" s="129"/>
      <c r="CC195" s="133">
        <v>2015</v>
      </c>
      <c r="CD195" s="129"/>
      <c r="CE195" s="129"/>
      <c r="CF195" s="129"/>
      <c r="CG195" s="137"/>
      <c r="CH195" s="129">
        <f t="shared" si="359"/>
        <v>284167</v>
      </c>
      <c r="CI195" s="46">
        <f t="shared" si="368"/>
        <v>283520.05369823979</v>
      </c>
      <c r="CJ195" s="46">
        <f t="shared" si="360"/>
        <v>419.64759170909497</v>
      </c>
      <c r="CK195" s="443">
        <v>0.8</v>
      </c>
      <c r="CL195" s="46">
        <f>+CL178*CK195+CJ179*CK194+CJ180*CK193+CJ181*CK192+CJ182*CK191+CJ183*CK190+CJ184*CK189+CJ185*CK188+CJ186*CK187+CJ187*CK186+CJ188*CK185+CJ189*CK184+CJ190*CK183+CJ191*CK182+CJ192*CK181+CJ193*CK180+CJ194*CK179+CJ195</f>
        <v>9690.758028429178</v>
      </c>
      <c r="CM195" s="134">
        <f t="shared" si="361"/>
        <v>2.8971355334663874E-2</v>
      </c>
      <c r="CN195" s="135">
        <f t="shared" si="362"/>
        <v>1.5181712773101234E-2</v>
      </c>
      <c r="CO195" s="135">
        <f t="shared" si="371"/>
        <v>1.4831115464970852E-2</v>
      </c>
      <c r="CP195" s="134">
        <f>VLOOKUP($H195,RoR!$E:$F,2,FALSE)</f>
        <v>3.8866666666666674E-2</v>
      </c>
      <c r="CQ195" s="135">
        <v>9.5709475431029478E-3</v>
      </c>
      <c r="CR195" s="135">
        <f t="shared" si="369"/>
        <v>2.9295719123563727E-2</v>
      </c>
      <c r="CS195" s="135">
        <f t="shared" si="372"/>
        <v>1.6070826143562773E-2</v>
      </c>
      <c r="CT195" s="135">
        <f t="shared" si="373"/>
        <v>3.5270373279175926E-3</v>
      </c>
      <c r="CU195" s="139">
        <f t="shared" si="363"/>
        <v>0.85329623209999994</v>
      </c>
      <c r="CV195" s="335">
        <f t="shared" si="364"/>
        <v>1.3194352816994324</v>
      </c>
      <c r="CW195" s="335">
        <f t="shared" si="365"/>
        <v>0.33177530017152673</v>
      </c>
      <c r="CX195" s="335">
        <f t="shared" si="366"/>
        <v>0.78242572977668579</v>
      </c>
      <c r="CY195" s="335">
        <f t="shared" si="367"/>
        <v>0.34251158643433932</v>
      </c>
      <c r="CZ195" s="336">
        <f>INDEX('State Tax Lookup'!$D$7:$Z$91,MATCH(Calculation!$C195,'State Tax Lookup'!$B$7:$B$91,0),MATCH($H195,'State Tax Lookup'!$D$6:$Z$6,0))</f>
        <v>0.39649667</v>
      </c>
      <c r="DA195" s="303">
        <v>0.37</v>
      </c>
      <c r="DB195" s="57">
        <f t="shared" si="370"/>
        <v>15.346746065689542</v>
      </c>
      <c r="DC195" s="56">
        <f t="shared" si="374"/>
        <v>-3.4136937527452275E-2</v>
      </c>
      <c r="DD195" s="303">
        <f>VLOOKUP($H195,RoR!$E:$F,2,FALSE)</f>
        <v>3.8866666666666674E-2</v>
      </c>
      <c r="DE195" s="304">
        <f>HLOOKUP($H195,'GDP-PI'!$D$8:$CQ$11,3,FALSE)</f>
        <v>9.5709475431029478E-3</v>
      </c>
      <c r="DF195" s="303">
        <f>VLOOKUP(H195,'HW Dx Data'!$E:$F,2,FALSE)</f>
        <v>675.61463308665782</v>
      </c>
      <c r="DG195" s="89">
        <f ca="1">VLOOKUP(CC195,'ECI - Input Price'!M$13:N$33,2,FALSE)</f>
        <v>133.5</v>
      </c>
      <c r="DH195" s="89"/>
      <c r="DI195" s="89"/>
      <c r="DJ195" s="56">
        <f t="shared" ca="1" si="384"/>
        <v>3.1193095773504077E-2</v>
      </c>
      <c r="DK195" s="53">
        <f>HLOOKUP(H195,'GDP-PI'!$8:$9,2,FALSE)</f>
        <v>104.639</v>
      </c>
      <c r="DL195" s="355">
        <f t="shared" si="377"/>
        <v>9.5254361854427965E-3</v>
      </c>
      <c r="EC195"/>
    </row>
    <row r="196" spans="1:133" s="126" customFormat="1" ht="21" customHeight="1" x14ac:dyDescent="0.4">
      <c r="A196" s="233" t="s">
        <v>193</v>
      </c>
      <c r="B196" s="127" t="s">
        <v>193</v>
      </c>
      <c r="C196" s="127">
        <v>4018679</v>
      </c>
      <c r="D196" s="127" t="s">
        <v>194</v>
      </c>
      <c r="E196" s="127" t="s">
        <v>15</v>
      </c>
      <c r="F196" s="127"/>
      <c r="G196" s="127" t="s">
        <v>172</v>
      </c>
      <c r="H196" s="128">
        <v>2016</v>
      </c>
      <c r="I196" s="129"/>
      <c r="J196" s="125">
        <f>IFERROR(INDEX('Labor Expenditures'!$E$7:$W$91,MATCH($C196,'Labor Expenditures'!$C$7:$C$91,0),MATCH($G196,'Labor Expenditures'!$E$5:$W$5,0)),"NA")</f>
        <v>151716.460721329</v>
      </c>
      <c r="K196" s="125">
        <f t="shared" ca="1" si="378"/>
        <v>1107.8237365558891</v>
      </c>
      <c r="L196" s="47"/>
      <c r="M196" s="131">
        <f t="shared" ca="1" si="385"/>
        <v>0.10854146214230122</v>
      </c>
      <c r="N196" s="59"/>
      <c r="O196" s="59"/>
      <c r="P196" s="59">
        <f t="shared" ca="1" si="387"/>
        <v>5.4455780469450672E-3</v>
      </c>
      <c r="Q196" s="61"/>
      <c r="R196" s="387"/>
      <c r="S196" s="49">
        <f t="shared" ca="1" si="392"/>
        <v>299.55258807273049</v>
      </c>
      <c r="T196" s="61">
        <f ca="1">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</f>
        <v>0.91986367898217691</v>
      </c>
      <c r="U196" s="61"/>
      <c r="V196" s="125">
        <f>IFERROR(INDEX('Non-Labor Expenditures'!$E$7:$AA$91,MATCH($C196,'Non-Labor Expenditures'!$C$7:$C$91,0),MATCH($G196,'Non-Labor Expenditures'!$E$5:$AA$5,0)),"NA")</f>
        <v>219713.77185059342</v>
      </c>
      <c r="W196" s="125">
        <f t="shared" si="379"/>
        <v>2077.9466960221062</v>
      </c>
      <c r="X196" s="131">
        <f t="shared" si="388"/>
        <v>0.12362678964387901</v>
      </c>
      <c r="Y196" s="131">
        <f t="shared" si="389"/>
        <v>6.2024162786419061E-3</v>
      </c>
      <c r="Z196" s="131"/>
      <c r="AA196" s="131"/>
      <c r="AB196" s="131"/>
      <c r="AC196" s="125">
        <f t="shared" si="357"/>
        <v>144450.19597443141</v>
      </c>
      <c r="AD196" s="129"/>
      <c r="AE196" s="133">
        <v>10832.386830512378</v>
      </c>
      <c r="AF196" s="134">
        <v>3.2774440607547979E-2</v>
      </c>
      <c r="AG196" s="59">
        <f t="shared" si="380"/>
        <v>1.6443096559670531E-3</v>
      </c>
      <c r="AH196" s="134"/>
      <c r="AI196" s="134"/>
      <c r="AJ196" s="129">
        <f t="shared" si="331"/>
        <v>515880.42854635383</v>
      </c>
      <c r="AK196" s="134">
        <f t="shared" si="390"/>
        <v>9.4620448976385052E-2</v>
      </c>
      <c r="AL196" s="129"/>
      <c r="AM196" s="129"/>
      <c r="AN196" s="129"/>
      <c r="AO196" s="129"/>
      <c r="AP196" s="133">
        <f t="shared" si="391"/>
        <v>413.586771572911</v>
      </c>
      <c r="AQ196" s="134">
        <f>+BB196/Outputs!$B$24</f>
        <v>3.3941612175489029E-2</v>
      </c>
      <c r="AR196" s="93">
        <f t="shared" si="381"/>
        <v>0.29409229799400444</v>
      </c>
      <c r="AS196" s="93">
        <f t="shared" si="382"/>
        <v>0.42590057635972384</v>
      </c>
      <c r="AT196" s="93">
        <f t="shared" si="383"/>
        <v>0.28000712564627173</v>
      </c>
      <c r="AU196" s="93">
        <f t="shared" ca="1" si="386"/>
        <v>9.2572085725528344E-2</v>
      </c>
      <c r="AV196" s="132">
        <f t="shared" ca="1" si="394"/>
        <v>116.10925064410242</v>
      </c>
      <c r="AW196" s="134">
        <f t="shared" ca="1" si="395"/>
        <v>9.2572085725528427E-2</v>
      </c>
      <c r="AX196" s="56">
        <f>+AJ196/$AL$21</f>
        <v>5.0170487290891158E-2</v>
      </c>
      <c r="AY196" s="135">
        <f t="shared" ca="1" si="393"/>
        <v>4.6443866503839111E-3</v>
      </c>
      <c r="AZ196" s="93"/>
      <c r="BA196" s="93"/>
      <c r="BB196" s="234">
        <f>IFERROR(INDEX('Total Customers'!$E$7:$AA$91,MATCH($C196,'Total Customers'!$C$7:$C$91,0),MATCH($G196,'Total Customers'!$E$5:$AA$5,0)),"NA")</f>
        <v>1247333</v>
      </c>
      <c r="BC196" s="411">
        <f t="shared" ref="BC196:BC259" si="400">LN(BB196/BB195)</f>
        <v>9.6282474197134146E-3</v>
      </c>
      <c r="BD196" s="92"/>
      <c r="BE196" s="281" t="str">
        <f t="shared" si="396"/>
        <v>BROOKLYN UNION GAS COMPANY</v>
      </c>
      <c r="BF196" s="290">
        <f t="shared" si="397"/>
        <v>4018679</v>
      </c>
      <c r="BG196" s="46" t="str">
        <f t="shared" si="398"/>
        <v>NY</v>
      </c>
      <c r="BH196" s="46"/>
      <c r="BI196" s="46" t="str">
        <f t="shared" si="399"/>
        <v>2016 Y</v>
      </c>
      <c r="BJ196" s="129"/>
      <c r="BK196" s="129"/>
      <c r="BL196" s="129">
        <f>INDEX('Dist. Plant Gas Additions'!$E$7:$AD$91,MATCH($C196,'Dist. Plant Gas Additions'!$C$7:$C$91,0),MATCH(Calculation!$G196,'Dist. Plant Gas Additions'!$E$5:$AD$5,0))</f>
        <v>257319</v>
      </c>
      <c r="BM196" s="129">
        <f>INDEX('Gen. Plant Additions'!$E$7:$AD$91,MATCH($C196,'Gen. Plant Additions'!$C$7:$C$91,0),MATCH(Calculation!$G196,'Gen. Plant Additions'!$E$5:$AD$5,0))</f>
        <v>37492</v>
      </c>
      <c r="BN196" s="393">
        <f t="shared" si="358"/>
        <v>0.95889807877014643</v>
      </c>
      <c r="BO196" s="46">
        <f t="shared" si="375"/>
        <v>35951.006769250329</v>
      </c>
      <c r="BP196" s="46">
        <f t="shared" si="376"/>
        <v>-1540.9932307496711</v>
      </c>
      <c r="BQ196" s="129">
        <f>INDEX('Dist Plant Depreciation'!$D$7:$AC$94,MATCH($C196,'Dist Plant Depreciation'!$C$7:$C$94,0),MATCH(Calculation!$G196,'Dist Plant Depreciation'!$D$5:$AC$5,0))</f>
        <v>894049</v>
      </c>
      <c r="BR196" s="129">
        <f>INDEX('Gen. Plant Depreciation'!$D$7:$AC$94,MATCH($C196,'Gen. Plant Depreciation'!$C$7:$C$94,0),MATCH(Calculation!$G196,'Gen. Plant Depreciation'!$D$5:$AC$5,0))</f>
        <v>37412</v>
      </c>
      <c r="BS196" s="129"/>
      <c r="BT196" s="129"/>
      <c r="BU196" s="129"/>
      <c r="BV196" s="129"/>
      <c r="BW196" s="129"/>
      <c r="BX196" s="129"/>
      <c r="BY196" s="129">
        <f>INDEX('Gross Dx Plant'!$D$7:$AC$91,MATCH($C196,'Gross Dx Plant'!$C$7:$C$91,0),MATCH(Calculation!$G196,'Gross Dx Plant'!$D$5:$AC$5,0))</f>
        <v>3800745</v>
      </c>
      <c r="BZ196" s="129">
        <f>INDEX('Gross Gen Plant'!$D$7:$AC$91,MATCH($C196,'Gross Gen Plant'!$C$7:$C$91,0),MATCH(Calculation!$G196,'Gross Gen Plant'!$D$5:$AC$5,0))</f>
        <v>162914</v>
      </c>
      <c r="CA196" s="129">
        <f t="shared" si="307"/>
        <v>3032198</v>
      </c>
      <c r="CB196" s="129"/>
      <c r="CC196" s="133">
        <v>2016</v>
      </c>
      <c r="CD196" s="129"/>
      <c r="CE196" s="129"/>
      <c r="CF196" s="129"/>
      <c r="CG196" s="137"/>
      <c r="CH196" s="129">
        <f t="shared" si="359"/>
        <v>294811</v>
      </c>
      <c r="CI196" s="46">
        <f t="shared" si="368"/>
        <v>293270.00676925032</v>
      </c>
      <c r="CJ196" s="46">
        <f t="shared" si="360"/>
        <v>436.76701786017009</v>
      </c>
      <c r="CK196" s="443">
        <v>0.7857142857142857</v>
      </c>
      <c r="CL196" s="46">
        <f>+CL178*CK196+CJ179*CK195+CJ180*CK194+CJ181*CK193+CJ182*CK192+CJ183*CK191+CJ184*CK190+CJ185*CK189+CJ186*CK188+CJ187*CK187+CJ188*CK186+CJ189*CK185+CJ190*CK184+CJ191*CK183+CJ192*CK182+CJ193*CK181+CJ194*CK180+CJ195*CK179+CJ196</f>
        <v>9977.1522032063258</v>
      </c>
      <c r="CM196" s="134">
        <f t="shared" si="361"/>
        <v>2.9125048471979151E-2</v>
      </c>
      <c r="CN196" s="135">
        <f t="shared" si="362"/>
        <v>1.5517139385988463E-2</v>
      </c>
      <c r="CO196" s="135">
        <f t="shared" si="371"/>
        <v>1.519471268972968E-2</v>
      </c>
      <c r="CP196" s="134">
        <f>VLOOKUP($H196,RoR!$E:$F,2,FALSE)</f>
        <v>3.6658333333333334E-2</v>
      </c>
      <c r="CQ196" s="135">
        <v>1.0483662879041455E-2</v>
      </c>
      <c r="CR196" s="135">
        <f t="shared" si="369"/>
        <v>2.6174670454291879E-2</v>
      </c>
      <c r="CS196" s="135">
        <f t="shared" si="372"/>
        <v>1.5707228918803946E-2</v>
      </c>
      <c r="CT196" s="135">
        <f t="shared" si="373"/>
        <v>4.301363574220729E-3</v>
      </c>
      <c r="CU196" s="139">
        <f t="shared" si="363"/>
        <v>0.85329623209999994</v>
      </c>
      <c r="CV196" s="335">
        <f t="shared" si="364"/>
        <v>1.3989193348138562</v>
      </c>
      <c r="CW196" s="335">
        <f t="shared" si="365"/>
        <v>0.29302682427824522</v>
      </c>
      <c r="CX196" s="335">
        <f t="shared" si="366"/>
        <v>0.76309497491941802</v>
      </c>
      <c r="CY196" s="335">
        <f t="shared" si="367"/>
        <v>0.31280857135128509</v>
      </c>
      <c r="CZ196" s="336">
        <f>INDEX('State Tax Lookup'!$D$7:$Z$91,MATCH(Calculation!$C196,'State Tax Lookup'!$B$7:$B$91,0),MATCH($H196,'State Tax Lookup'!$D$6:$Z$6,0))</f>
        <v>0.39649667</v>
      </c>
      <c r="DA196" s="303">
        <v>0.37</v>
      </c>
      <c r="DB196" s="57">
        <f t="shared" si="370"/>
        <v>14.905974904199113</v>
      </c>
      <c r="DC196" s="56">
        <f t="shared" si="374"/>
        <v>-2.9141336016357298E-2</v>
      </c>
      <c r="DD196" s="303">
        <f>VLOOKUP($H196,RoR!$E:$F,2,FALSE)</f>
        <v>3.6658333333333334E-2</v>
      </c>
      <c r="DE196" s="304">
        <f>HLOOKUP($H196,'GDP-PI'!$D$8:$CQ$11,3,FALSE)</f>
        <v>1.0483662879041455E-2</v>
      </c>
      <c r="DF196" s="303">
        <f>VLOOKUP(H196,'HW Dx Data'!$E:$F,2,FALSE)</f>
        <v>671.45639385971219</v>
      </c>
      <c r="DG196" s="89">
        <f ca="1">VLOOKUP(CC196,'ECI - Input Price'!M$13:N$33,2,FALSE)</f>
        <v>136.94999999999999</v>
      </c>
      <c r="DH196" s="89"/>
      <c r="DI196" s="89"/>
      <c r="DJ196" s="56">
        <f t="shared" ca="1" si="384"/>
        <v>2.5514417868782811E-2</v>
      </c>
      <c r="DK196" s="53">
        <f>HLOOKUP(H196,'GDP-PI'!$8:$9,2,FALSE)</f>
        <v>105.736</v>
      </c>
      <c r="DL196" s="355">
        <f t="shared" si="377"/>
        <v>1.0429090367205095E-2</v>
      </c>
      <c r="EC196"/>
    </row>
    <row r="197" spans="1:133" s="126" customFormat="1" ht="21" customHeight="1" x14ac:dyDescent="0.4">
      <c r="A197" s="233" t="s">
        <v>193</v>
      </c>
      <c r="B197" s="127" t="s">
        <v>193</v>
      </c>
      <c r="C197" s="127">
        <v>4018679</v>
      </c>
      <c r="D197" s="127" t="s">
        <v>194</v>
      </c>
      <c r="E197" s="127" t="s">
        <v>15</v>
      </c>
      <c r="F197" s="127"/>
      <c r="G197" s="127" t="s">
        <v>173</v>
      </c>
      <c r="H197" s="128">
        <v>2017</v>
      </c>
      <c r="I197" s="129"/>
      <c r="J197" s="125">
        <f>IFERROR(INDEX('Labor Expenditures'!$E$7:$W$91,MATCH($C197,'Labor Expenditures'!$C$7:$C$91,0),MATCH($G197,'Labor Expenditures'!$E$5:$W$5,0)),"NA")</f>
        <v>192392.50797218413</v>
      </c>
      <c r="K197" s="125">
        <f t="shared" ca="1" si="378"/>
        <v>1369.8291774452414</v>
      </c>
      <c r="L197" s="47"/>
      <c r="M197" s="131">
        <f t="shared" ca="1" si="385"/>
        <v>0.21228855093032675</v>
      </c>
      <c r="N197" s="59"/>
      <c r="O197" s="59"/>
      <c r="P197" s="59">
        <f t="shared" ca="1" si="387"/>
        <v>1.2473158199841914E-2</v>
      </c>
      <c r="Q197" s="61"/>
      <c r="R197" s="387"/>
      <c r="S197" s="49">
        <f t="shared" ca="1" si="392"/>
        <v>169.51722858911259</v>
      </c>
      <c r="T197" s="61">
        <f ca="1">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</f>
        <v>-0.56933542311278584</v>
      </c>
      <c r="U197" s="61"/>
      <c r="V197" s="125">
        <f>IFERROR(INDEX('Non-Labor Expenditures'!$E$7:$AA$91,MATCH($C197,'Non-Labor Expenditures'!$C$7:$C$91,0),MATCH($G197,'Non-Labor Expenditures'!$E$5:$AA$5,0)),"NA")</f>
        <v>278620.28550749901</v>
      </c>
      <c r="W197" s="125">
        <f t="shared" si="379"/>
        <v>2585.7791158086607</v>
      </c>
      <c r="X197" s="131">
        <f t="shared" si="388"/>
        <v>0.21864662054374717</v>
      </c>
      <c r="Y197" s="131">
        <f t="shared" si="389"/>
        <v>1.2846730904475563E-2</v>
      </c>
      <c r="Z197" s="131"/>
      <c r="AA197" s="131"/>
      <c r="AB197" s="131"/>
      <c r="AC197" s="125">
        <f t="shared" si="357"/>
        <v>132944.31896771587</v>
      </c>
      <c r="AD197" s="129"/>
      <c r="AE197" s="133">
        <v>11366.18784045589</v>
      </c>
      <c r="AF197" s="134">
        <v>4.8102541901489215E-2</v>
      </c>
      <c r="AG197" s="59">
        <f t="shared" si="380"/>
        <v>2.8262975667901974E-3</v>
      </c>
      <c r="AH197" s="134"/>
      <c r="AI197" s="134"/>
      <c r="AJ197" s="129">
        <f t="shared" si="331"/>
        <v>603957.11244739895</v>
      </c>
      <c r="AK197" s="134">
        <f t="shared" si="390"/>
        <v>0.15762817852676486</v>
      </c>
      <c r="AL197" s="129"/>
      <c r="AM197" s="129"/>
      <c r="AN197" s="129"/>
      <c r="AO197" s="129"/>
      <c r="AP197" s="133">
        <f t="shared" si="391"/>
        <v>482.46515055930701</v>
      </c>
      <c r="AQ197" s="134">
        <f>+BB197/Outputs!$B$25</f>
        <v>3.3807648398620188E-2</v>
      </c>
      <c r="AR197" s="93">
        <f t="shared" si="381"/>
        <v>0.31855326149328256</v>
      </c>
      <c r="AS197" s="93">
        <f t="shared" si="382"/>
        <v>0.46132462018445913</v>
      </c>
      <c r="AT197" s="93">
        <f t="shared" si="383"/>
        <v>0.22012211832225839</v>
      </c>
      <c r="AU197" s="93">
        <f t="shared" ca="1" si="386"/>
        <v>0.17405195842862964</v>
      </c>
      <c r="AV197" s="132">
        <f t="shared" ca="1" si="394"/>
        <v>138.18363959049861</v>
      </c>
      <c r="AW197" s="134">
        <f t="shared" ca="1" si="395"/>
        <v>0.17405195842862969</v>
      </c>
      <c r="AX197" s="56">
        <f>+AJ197/$AL$22</f>
        <v>5.8755680158821245E-2</v>
      </c>
      <c r="AY197" s="135">
        <f t="shared" ca="1" si="393"/>
        <v>1.0226541200449017E-2</v>
      </c>
      <c r="AZ197" s="93"/>
      <c r="BA197" s="93"/>
      <c r="BB197" s="234">
        <f>IFERROR(INDEX('Total Customers'!$E$7:$AA$91,MATCH($C197,'Total Customers'!$C$7:$C$91,0),MATCH($G197,'Total Customers'!$E$5:$AA$5,0)),"NA")</f>
        <v>1251815</v>
      </c>
      <c r="BC197" s="411">
        <f t="shared" si="400"/>
        <v>3.5868262345381758E-3</v>
      </c>
      <c r="BD197" s="92"/>
      <c r="BE197" s="281" t="str">
        <f t="shared" si="396"/>
        <v>BROOKLYN UNION GAS COMPANY</v>
      </c>
      <c r="BF197" s="290">
        <f t="shared" si="397"/>
        <v>4018679</v>
      </c>
      <c r="BG197" s="46" t="str">
        <f t="shared" si="398"/>
        <v>NY</v>
      </c>
      <c r="BH197" s="46"/>
      <c r="BI197" s="46" t="str">
        <f t="shared" si="399"/>
        <v>2017 Y</v>
      </c>
      <c r="BJ197" s="129"/>
      <c r="BK197" s="129"/>
      <c r="BL197" s="129">
        <f>INDEX('Dist. Plant Gas Additions'!$E$7:$AD$91,MATCH($C197,'Dist. Plant Gas Additions'!$C$7:$C$91,0),MATCH(Calculation!$G197,'Dist. Plant Gas Additions'!$E$5:$AD$5,0))</f>
        <v>443763</v>
      </c>
      <c r="BM197" s="129">
        <f>INDEX('Gen. Plant Additions'!$E$7:$AD$91,MATCH($C197,'Gen. Plant Additions'!$C$7:$C$91,0),MATCH(Calculation!$G197,'Gen. Plant Additions'!$E$5:$AD$5,0))</f>
        <v>4539</v>
      </c>
      <c r="BN197" s="393">
        <f t="shared" si="358"/>
        <v>0.96247143216313735</v>
      </c>
      <c r="BO197" s="46">
        <f t="shared" si="375"/>
        <v>4368.6578305884805</v>
      </c>
      <c r="BP197" s="46">
        <f t="shared" si="376"/>
        <v>-170.34216941151954</v>
      </c>
      <c r="BQ197" s="129">
        <f>INDEX('Dist Plant Depreciation'!$D$7:$AC$94,MATCH($C197,'Dist Plant Depreciation'!$C$7:$C$94,0),MATCH(Calculation!$G197,'Dist Plant Depreciation'!$D$5:$AC$5,0))</f>
        <v>920347</v>
      </c>
      <c r="BR197" s="129">
        <f>INDEX('Gen. Plant Depreciation'!$D$7:$AC$94,MATCH($C197,'Gen. Plant Depreciation'!$C$7:$C$94,0),MATCH(Calculation!$G197,'Gen. Plant Depreciation'!$D$5:$AC$5,0))</f>
        <v>44475</v>
      </c>
      <c r="BS197" s="129"/>
      <c r="BT197" s="129"/>
      <c r="BU197" s="129"/>
      <c r="BV197" s="129"/>
      <c r="BW197" s="129"/>
      <c r="BX197" s="129"/>
      <c r="BY197" s="129">
        <f>INDEX('Gross Dx Plant'!$D$7:$AC$91,MATCH($C197,'Gross Dx Plant'!$C$7:$C$91,0),MATCH(Calculation!$G197,'Gross Dx Plant'!$D$5:$AC$5,0))</f>
        <v>4249244</v>
      </c>
      <c r="BZ197" s="129">
        <f>INDEX('Gross Gen Plant'!$D$7:$AC$91,MATCH($C197,'Gross Gen Plant'!$C$7:$C$91,0),MATCH(Calculation!$G197,'Gross Gen Plant'!$D$5:$AC$5,0))</f>
        <v>165686</v>
      </c>
      <c r="CA197" s="129">
        <f t="shared" si="307"/>
        <v>3450108</v>
      </c>
      <c r="CB197" s="129"/>
      <c r="CC197" s="133">
        <v>2017</v>
      </c>
      <c r="CD197" s="129"/>
      <c r="CE197" s="129"/>
      <c r="CF197" s="129"/>
      <c r="CG197" s="137"/>
      <c r="CH197" s="129">
        <f t="shared" si="359"/>
        <v>448302</v>
      </c>
      <c r="CI197" s="46">
        <f t="shared" si="368"/>
        <v>448131.65783058846</v>
      </c>
      <c r="CJ197" s="46">
        <f t="shared" si="360"/>
        <v>629.01976153423027</v>
      </c>
      <c r="CK197" s="443">
        <v>0.77108433734939763</v>
      </c>
      <c r="CL197" s="46">
        <f>+CL178*CK197+CJ179*CK196+CJ180*CK195+CJ181*CK194+CJ182*CK193+CJ183*CK192+CJ184*CK191+CJ185*CK190+CJ186*CK189+CJ187*CK188+CJ188*CK187+CJ189*CK186+CJ190*CK185+CJ191*CK184+CJ192*CK183+CJ193*CK182+CJ194*CK181+CJ195*CK180+CJ196*CK179+CJ197</f>
        <v>10447.979098451684</v>
      </c>
      <c r="CM197" s="134">
        <f t="shared" si="361"/>
        <v>4.6110872777954615E-2</v>
      </c>
      <c r="CN197" s="135">
        <f t="shared" si="362"/>
        <v>1.5855512982756156E-2</v>
      </c>
      <c r="CO197" s="135">
        <f t="shared" si="371"/>
        <v>1.5518121713948618E-2</v>
      </c>
      <c r="CP197" s="134">
        <f>VLOOKUP($H197,RoR!$E:$F,2,FALSE)</f>
        <v>3.7433333333333339E-2</v>
      </c>
      <c r="CQ197" s="135">
        <v>1.9056896421275615E-2</v>
      </c>
      <c r="CR197" s="135">
        <f t="shared" si="369"/>
        <v>1.8376436912057724E-2</v>
      </c>
      <c r="CS197" s="135">
        <f t="shared" si="372"/>
        <v>1.5383819894585007E-2</v>
      </c>
      <c r="CT197" s="135">
        <f t="shared" si="373"/>
        <v>1.3976271617800498E-2</v>
      </c>
      <c r="CU197" s="139">
        <f t="shared" si="363"/>
        <v>0.90509623210000001</v>
      </c>
      <c r="CV197" s="335">
        <f t="shared" si="364"/>
        <v>1.3699568463593395</v>
      </c>
      <c r="CW197" s="335">
        <f t="shared" si="365"/>
        <v>0.30714603739982199</v>
      </c>
      <c r="CX197" s="335">
        <f t="shared" si="366"/>
        <v>0.77007188472689425</v>
      </c>
      <c r="CY197" s="335">
        <f t="shared" si="367"/>
        <v>0.32402839633793828</v>
      </c>
      <c r="CZ197" s="336">
        <f>INDEX('State Tax Lookup'!$D$7:$Z$91,MATCH(Calculation!$C197,'State Tax Lookup'!$B$7:$B$91,0),MATCH($H197,'State Tax Lookup'!$D$6:$Z$6,0))</f>
        <v>0.25649666999999998</v>
      </c>
      <c r="DA197" s="303">
        <v>0.37</v>
      </c>
      <c r="DB197" s="57">
        <f t="shared" si="370"/>
        <v>13.324876303379632</v>
      </c>
      <c r="DC197" s="56">
        <f t="shared" si="374"/>
        <v>-0.11212944589371983</v>
      </c>
      <c r="DD197" s="303">
        <f>VLOOKUP($H197,RoR!$E:$F,2,FALSE)</f>
        <v>3.7433333333333339E-2</v>
      </c>
      <c r="DE197" s="304">
        <f>HLOOKUP($H197,'GDP-PI'!$D$8:$CQ$11,3,FALSE)</f>
        <v>1.9056896421275615E-2</v>
      </c>
      <c r="DF197" s="303">
        <f>VLOOKUP(H197,'HW Dx Data'!$E:$F,2,FALSE)</f>
        <v>712.42858370229726</v>
      </c>
      <c r="DG197" s="89">
        <f ca="1">VLOOKUP(CC197,'ECI - Input Price'!M$13:N$33,2,FALSE)</f>
        <v>140.44999999999999</v>
      </c>
      <c r="DH197" s="89"/>
      <c r="DI197" s="89"/>
      <c r="DJ197" s="56">
        <f t="shared" ca="1" si="384"/>
        <v>2.5235657841165486E-2</v>
      </c>
      <c r="DK197" s="53">
        <f>HLOOKUP(H197,'GDP-PI'!$8:$9,2,FALSE)</f>
        <v>107.751</v>
      </c>
      <c r="DL197" s="355">
        <f t="shared" si="377"/>
        <v>1.8877588227745139E-2</v>
      </c>
      <c r="EC197"/>
    </row>
    <row r="198" spans="1:133" s="126" customFormat="1" ht="21" customHeight="1" x14ac:dyDescent="0.4">
      <c r="A198" s="233" t="s">
        <v>193</v>
      </c>
      <c r="B198" s="127" t="s">
        <v>193</v>
      </c>
      <c r="C198" s="127">
        <v>4018679</v>
      </c>
      <c r="D198" s="127" t="s">
        <v>194</v>
      </c>
      <c r="E198" s="127" t="s">
        <v>15</v>
      </c>
      <c r="F198" s="127"/>
      <c r="G198" s="127" t="s">
        <v>174</v>
      </c>
      <c r="H198" s="128">
        <v>2018</v>
      </c>
      <c r="I198" s="129"/>
      <c r="J198" s="125">
        <f>IFERROR(INDEX('Labor Expenditures'!$E$7:$W$91,MATCH($C198,'Labor Expenditures'!$C$7:$C$91,0),MATCH($G198,'Labor Expenditures'!$E$5:$W$5,0)),"NA")</f>
        <v>214774.65654699094</v>
      </c>
      <c r="K198" s="125">
        <f t="shared" ca="1" si="378"/>
        <v>1486.8442820837033</v>
      </c>
      <c r="L198" s="47"/>
      <c r="M198" s="131">
        <f t="shared" ca="1" si="385"/>
        <v>8.1969898411568889E-2</v>
      </c>
      <c r="N198" s="59"/>
      <c r="O198" s="59"/>
      <c r="P198" s="59">
        <f t="shared" ca="1" si="387"/>
        <v>4.9364877529058286E-3</v>
      </c>
      <c r="Q198" s="61"/>
      <c r="R198" s="387"/>
      <c r="S198" s="49">
        <f t="shared" ca="1" si="392"/>
        <v>118.77705761956176</v>
      </c>
      <c r="T198" s="61">
        <f ca="1">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</f>
        <v>-0.35570629465026193</v>
      </c>
      <c r="U198" s="61"/>
      <c r="V198" s="125">
        <f>IFERROR(INDEX('Non-Labor Expenditures'!$E$7:$AA$91,MATCH($C198,'Non-Labor Expenditures'!$C$7:$C$91,0),MATCH($G198,'Non-Labor Expenditures'!$E$5:$AA$5,0)),"NA")</f>
        <v>311033.81705252954</v>
      </c>
      <c r="W198" s="125">
        <f t="shared" si="379"/>
        <v>2819.3272153562257</v>
      </c>
      <c r="X198" s="131">
        <f t="shared" si="388"/>
        <v>8.6471419057051677E-2</v>
      </c>
      <c r="Y198" s="131">
        <f t="shared" si="389"/>
        <v>5.207583630374212E-3</v>
      </c>
      <c r="Z198" s="131"/>
      <c r="AA198" s="131"/>
      <c r="AB198" s="131"/>
      <c r="AC198" s="125">
        <f t="shared" si="357"/>
        <v>144351.87890212034</v>
      </c>
      <c r="AD198" s="129"/>
      <c r="AE198" s="133">
        <v>12115.119387110837</v>
      </c>
      <c r="AF198" s="134">
        <v>6.381123944603273E-2</v>
      </c>
      <c r="AG198" s="59">
        <f t="shared" si="380"/>
        <v>3.8429156083792785E-3</v>
      </c>
      <c r="AH198" s="134"/>
      <c r="AI198" s="134"/>
      <c r="AJ198" s="129">
        <f t="shared" si="331"/>
        <v>670160.35250164079</v>
      </c>
      <c r="AK198" s="134">
        <f t="shared" si="390"/>
        <v>0.1040138263096685</v>
      </c>
      <c r="AL198" s="129"/>
      <c r="AM198" s="129"/>
      <c r="AN198" s="129"/>
      <c r="AO198" s="129"/>
      <c r="AP198" s="133">
        <f t="shared" si="391"/>
        <v>532.92179812634606</v>
      </c>
      <c r="AQ198" s="134">
        <f>+BB198/Outputs!$B$26</f>
        <v>3.3664316976737288E-2</v>
      </c>
      <c r="AR198" s="93">
        <f t="shared" si="381"/>
        <v>0.32048248713201083</v>
      </c>
      <c r="AS198" s="93">
        <f t="shared" si="382"/>
        <v>0.4641184992389833</v>
      </c>
      <c r="AT198" s="93">
        <f t="shared" si="383"/>
        <v>0.21539901362900593</v>
      </c>
      <c r="AU198" s="93">
        <f t="shared" ca="1" si="386"/>
        <v>8.0098609212027563E-2</v>
      </c>
      <c r="AV198" s="132">
        <f t="shared" ca="1" si="394"/>
        <v>149.70731152483248</v>
      </c>
      <c r="AW198" s="134">
        <f t="shared" ca="1" si="395"/>
        <v>8.0098609212027549E-2</v>
      </c>
      <c r="AX198" s="56">
        <f>+AJ198/$AL$23</f>
        <v>6.0223177636744681E-2</v>
      </c>
      <c r="AY198" s="135">
        <f t="shared" ca="1" si="393"/>
        <v>4.8237927710321291E-3</v>
      </c>
      <c r="AZ198" s="93"/>
      <c r="BA198" s="93"/>
      <c r="BB198" s="234">
        <f>IFERROR(INDEX('Total Customers'!$E$7:$AA$91,MATCH($C198,'Total Customers'!$C$7:$C$91,0),MATCH($G198,'Total Customers'!$E$5:$AA$5,0)),"NA")</f>
        <v>1257521</v>
      </c>
      <c r="BC198" s="411">
        <f t="shared" si="400"/>
        <v>4.5478244719909609E-3</v>
      </c>
      <c r="BD198" s="92"/>
      <c r="BE198" s="281" t="str">
        <f t="shared" si="396"/>
        <v>BROOKLYN UNION GAS COMPANY</v>
      </c>
      <c r="BF198" s="290">
        <f t="shared" si="397"/>
        <v>4018679</v>
      </c>
      <c r="BG198" s="46" t="str">
        <f t="shared" si="398"/>
        <v>NY</v>
      </c>
      <c r="BH198" s="46"/>
      <c r="BI198" s="46" t="str">
        <f t="shared" si="399"/>
        <v>2018 Y</v>
      </c>
      <c r="BJ198" s="129"/>
      <c r="BK198" s="129"/>
      <c r="BL198" s="129">
        <f>INDEX('Dist. Plant Gas Additions'!$E$7:$AD$91,MATCH($C198,'Dist. Plant Gas Additions'!$C$7:$C$91,0),MATCH(Calculation!$G198,'Dist. Plant Gas Additions'!$E$5:$AD$5,0))</f>
        <v>627568</v>
      </c>
      <c r="BM198" s="129">
        <f>INDEX('Gen. Plant Additions'!$E$7:$AD$91,MATCH($C198,'Gen. Plant Additions'!$C$7:$C$91,0),MATCH(Calculation!$G198,'Gen. Plant Additions'!$E$5:$AD$5,0))</f>
        <v>15262</v>
      </c>
      <c r="BN198" s="393">
        <f t="shared" si="358"/>
        <v>0.96428056526042261</v>
      </c>
      <c r="BO198" s="46">
        <f t="shared" si="375"/>
        <v>14716.849987004571</v>
      </c>
      <c r="BP198" s="46">
        <f t="shared" si="376"/>
        <v>-545.15001299542928</v>
      </c>
      <c r="BQ198" s="129">
        <f>INDEX('Dist Plant Depreciation'!$D$7:$AC$94,MATCH($C198,'Dist Plant Depreciation'!$C$7:$C$94,0),MATCH(Calculation!$G198,'Dist Plant Depreciation'!$D$5:$AC$5,0))</f>
        <v>908136</v>
      </c>
      <c r="BR198" s="129">
        <f>INDEX('Gen. Plant Depreciation'!$D$7:$AC$94,MATCH($C198,'Gen. Plant Depreciation'!$C$7:$C$94,0),MATCH(Calculation!$G198,'Gen. Plant Depreciation'!$D$5:$AC$5,0))</f>
        <v>42173</v>
      </c>
      <c r="BS198" s="129"/>
      <c r="BT198" s="129"/>
      <c r="BU198" s="129"/>
      <c r="BV198" s="129"/>
      <c r="BW198" s="129"/>
      <c r="BX198" s="129"/>
      <c r="BY198" s="129">
        <f>INDEX('Gross Dx Plant'!$D$7:$AC$91,MATCH($C198,'Gross Dx Plant'!$C$7:$C$91,0),MATCH(Calculation!$G198,'Gross Dx Plant'!$D$5:$AC$5,0))</f>
        <v>4849069</v>
      </c>
      <c r="BZ198" s="129">
        <f>INDEX('Gross Gen Plant'!$D$7:$AC$91,MATCH($C198,'Gross Gen Plant'!$C$7:$C$91,0),MATCH(Calculation!$G198,'Gross Gen Plant'!$D$5:$AC$5,0))</f>
        <v>179622</v>
      </c>
      <c r="CA198" s="129">
        <f t="shared" si="307"/>
        <v>4078382</v>
      </c>
      <c r="CB198" s="129"/>
      <c r="CC198" s="133">
        <v>2018</v>
      </c>
      <c r="CD198" s="129"/>
      <c r="CE198" s="129"/>
      <c r="CF198" s="129"/>
      <c r="CG198" s="137"/>
      <c r="CH198" s="129">
        <f t="shared" si="359"/>
        <v>642830</v>
      </c>
      <c r="CI198" s="46">
        <f t="shared" si="368"/>
        <v>642284.84998700453</v>
      </c>
      <c r="CJ198" s="46">
        <f t="shared" si="360"/>
        <v>850.55439338144663</v>
      </c>
      <c r="CK198" s="443">
        <v>0.75609756097560976</v>
      </c>
      <c r="CL198" s="46">
        <f>+CL178*CK198++CJ179*CK197+CJ180*CK196+CJ181*CK195+CJ182*CK194+CJ183*CK193+CJ184*CK192+CJ185*CK191+CJ186*CK190+CJ187*CK189+CJ188*CK188+CJ189*CK187+CJ190*CK186+CJ191*CK185+CJ192*CK184+CJ193*CK183+CJ194*CK182+CJ195*CK181+CJ196*CK180+CJ197*CK179+CJ198</f>
        <v>11130.406905551106</v>
      </c>
      <c r="CM198" s="134">
        <f t="shared" si="361"/>
        <v>6.3272151966850362E-2</v>
      </c>
      <c r="CN198" s="135">
        <f t="shared" si="362"/>
        <v>1.6091780496281759E-2</v>
      </c>
      <c r="CO198" s="135">
        <f t="shared" si="371"/>
        <v>1.5821477621675458E-2</v>
      </c>
      <c r="CP198" s="134">
        <f>VLOOKUP($H198,RoR!$E:$F,2,FALSE)</f>
        <v>3.9299999999999995E-2</v>
      </c>
      <c r="CQ198" s="135">
        <v>2.386056741932796E-2</v>
      </c>
      <c r="CR198" s="135">
        <f t="shared" si="369"/>
        <v>1.5439432580672034E-2</v>
      </c>
      <c r="CS198" s="135">
        <f t="shared" si="372"/>
        <v>1.5080463986858167E-2</v>
      </c>
      <c r="CT198" s="135">
        <f t="shared" si="373"/>
        <v>3.8270792163076606E-2</v>
      </c>
      <c r="CU198" s="139">
        <f t="shared" si="363"/>
        <v>0.90509623210000001</v>
      </c>
      <c r="CV198" s="335">
        <f t="shared" si="364"/>
        <v>1.3048868010700074</v>
      </c>
      <c r="CW198" s="335">
        <f t="shared" si="365"/>
        <v>0.33886768447837151</v>
      </c>
      <c r="CX198" s="335">
        <f t="shared" si="366"/>
        <v>0.78602506232557801</v>
      </c>
      <c r="CY198" s="335">
        <f t="shared" si="367"/>
        <v>0.34756768162358759</v>
      </c>
      <c r="CZ198" s="336">
        <f>INDEX('State Tax Lookup'!$D$7:$Z$91,MATCH(Calculation!$C198,'State Tax Lookup'!$B$7:$B$91,0),MATCH($H198,'State Tax Lookup'!$D$6:$Z$6,0))</f>
        <v>0.25649666999999998</v>
      </c>
      <c r="DA198" s="303">
        <v>0.37</v>
      </c>
      <c r="DB198" s="57">
        <f t="shared" si="370"/>
        <v>13.816248821124869</v>
      </c>
      <c r="DC198" s="56">
        <f t="shared" si="374"/>
        <v>3.6212663357376225E-2</v>
      </c>
      <c r="DD198" s="303">
        <f>VLOOKUP($H198,RoR!$E:$F,2,FALSE)</f>
        <v>3.9299999999999995E-2</v>
      </c>
      <c r="DE198" s="304">
        <f>HLOOKUP($H198,'GDP-PI'!$D$8:$CQ$11,3,FALSE)</f>
        <v>2.386056741932796E-2</v>
      </c>
      <c r="DF198" s="303">
        <f>VLOOKUP(H198,'HW Dx Data'!$E:$F,2,FALSE)</f>
        <v>755.13671434174842</v>
      </c>
      <c r="DG198" s="89">
        <f ca="1">VLOOKUP(CC198,'ECI - Input Price'!M$13:N$33,2,FALSE)</f>
        <v>144.44999999999999</v>
      </c>
      <c r="DH198" s="89"/>
      <c r="DI198" s="89"/>
      <c r="DJ198" s="56">
        <f t="shared" ca="1" si="384"/>
        <v>2.80818733619915E-2</v>
      </c>
      <c r="DK198" s="53">
        <f>HLOOKUP(H198,'GDP-PI'!$8:$9,2,FALSE)</f>
        <v>110.322</v>
      </c>
      <c r="DL198" s="355">
        <f t="shared" si="377"/>
        <v>2.3580352716508712E-2</v>
      </c>
      <c r="EC198"/>
    </row>
    <row r="199" spans="1:133" s="126" customFormat="1" ht="21" customHeight="1" x14ac:dyDescent="0.4">
      <c r="A199" s="233" t="s">
        <v>193</v>
      </c>
      <c r="B199" s="127" t="s">
        <v>193</v>
      </c>
      <c r="C199" s="127">
        <v>4018679</v>
      </c>
      <c r="D199" s="127" t="s">
        <v>194</v>
      </c>
      <c r="E199" s="127" t="s">
        <v>15</v>
      </c>
      <c r="F199" s="127"/>
      <c r="G199" s="127" t="s">
        <v>175</v>
      </c>
      <c r="H199" s="128">
        <v>2019</v>
      </c>
      <c r="I199" s="129"/>
      <c r="J199" s="125">
        <f>IFERROR(INDEX('Labor Expenditures'!$E$7:$W$91,MATCH($C199,'Labor Expenditures'!$C$7:$C$91,0),MATCH($G199,'Labor Expenditures'!$E$5:$W$5,0)),"NA")</f>
        <v>213371.62226758851</v>
      </c>
      <c r="K199" s="125">
        <f t="shared" ca="1" si="378"/>
        <v>1425.5662085691565</v>
      </c>
      <c r="L199" s="47"/>
      <c r="M199" s="131">
        <f t="shared" ca="1" si="385"/>
        <v>-4.2086868332217468E-2</v>
      </c>
      <c r="N199" s="59"/>
      <c r="O199" s="59"/>
      <c r="P199" s="59">
        <f t="shared" ca="1" si="387"/>
        <v>-2.5020940556511879E-3</v>
      </c>
      <c r="Q199" s="61"/>
      <c r="R199" s="387"/>
      <c r="S199" s="49">
        <f t="shared" ca="1" si="392"/>
        <v>118.80568060675449</v>
      </c>
      <c r="T199" s="61">
        <f ca="1">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</f>
        <v>2.4095174207450047E-4</v>
      </c>
      <c r="U199" s="61"/>
      <c r="V199" s="125">
        <f>IFERROR(INDEX('Non-Labor Expenditures'!$E$7:$AA$91,MATCH($C199,'Non-Labor Expenditures'!$C$7:$C$91,0),MATCH($G199,'Non-Labor Expenditures'!$E$5:$AA$5,0)),"NA")</f>
        <v>309001.9613652986</v>
      </c>
      <c r="W199" s="125">
        <f t="shared" si="379"/>
        <v>2751.1348258097419</v>
      </c>
      <c r="X199" s="131">
        <f t="shared" si="388"/>
        <v>-2.4484789884447702E-2</v>
      </c>
      <c r="Y199" s="131">
        <f t="shared" si="389"/>
        <v>-1.4556380565110367E-3</v>
      </c>
      <c r="Z199" s="131"/>
      <c r="AA199" s="131"/>
      <c r="AB199" s="131"/>
      <c r="AC199" s="125">
        <f t="shared" si="357"/>
        <v>154955.01977624322</v>
      </c>
      <c r="AD199" s="129"/>
      <c r="AE199" s="133">
        <v>13191.284130169517</v>
      </c>
      <c r="AF199" s="134">
        <v>8.5102109626804714E-2</v>
      </c>
      <c r="AG199" s="59">
        <f t="shared" si="380"/>
        <v>5.0593805397871183E-3</v>
      </c>
      <c r="AH199" s="134"/>
      <c r="AI199" s="134"/>
      <c r="AJ199" s="129">
        <f t="shared" si="331"/>
        <v>677328.60340913036</v>
      </c>
      <c r="AK199" s="134">
        <f t="shared" si="390"/>
        <v>1.0639521008412343E-2</v>
      </c>
      <c r="AL199" s="129"/>
      <c r="AM199" s="129"/>
      <c r="AN199" s="129"/>
      <c r="AO199" s="129"/>
      <c r="AP199" s="133">
        <f t="shared" si="391"/>
        <v>534.57597075475212</v>
      </c>
      <c r="AQ199" s="134">
        <f>+BB199/Outputs!$B$27</f>
        <v>3.3639380322747041E-2</v>
      </c>
      <c r="AR199" s="93">
        <f t="shared" si="381"/>
        <v>0.31501935868889408</v>
      </c>
      <c r="AS199" s="93">
        <f t="shared" si="382"/>
        <v>0.45620686888170664</v>
      </c>
      <c r="AT199" s="93">
        <f t="shared" si="383"/>
        <v>0.22877377242939928</v>
      </c>
      <c r="AU199" s="93">
        <f t="shared" ca="1" si="386"/>
        <v>-5.7401073206609955E-3</v>
      </c>
      <c r="AV199" s="132">
        <f t="shared" ca="1" si="394"/>
        <v>148.85043711826893</v>
      </c>
      <c r="AW199" s="134">
        <f t="shared" ca="1" si="395"/>
        <v>-5.7401073206610337E-3</v>
      </c>
      <c r="AX199" s="56">
        <f>+AJ199/$AL$24</f>
        <v>5.9450706474537963E-2</v>
      </c>
      <c r="AY199" s="135">
        <f t="shared" ca="1" si="393"/>
        <v>-3.412534354529657E-4</v>
      </c>
      <c r="AZ199" s="93"/>
      <c r="BA199" s="93"/>
      <c r="BB199" s="234">
        <f>IFERROR(INDEX('Total Customers'!$E$7:$AA$91,MATCH($C199,'Total Customers'!$C$7:$C$91,0),MATCH($G199,'Total Customers'!$E$5:$AA$5,0)),"NA")</f>
        <v>1267039</v>
      </c>
      <c r="BC199" s="411">
        <f t="shared" si="400"/>
        <v>7.5403595850780623E-3</v>
      </c>
      <c r="BD199" s="92"/>
      <c r="BE199" s="281" t="str">
        <f t="shared" si="396"/>
        <v>BROOKLYN UNION GAS COMPANY</v>
      </c>
      <c r="BF199" s="290">
        <f t="shared" si="397"/>
        <v>4018679</v>
      </c>
      <c r="BG199" s="46" t="str">
        <f t="shared" si="398"/>
        <v>NY</v>
      </c>
      <c r="BH199" s="46"/>
      <c r="BI199" s="46" t="str">
        <f t="shared" si="399"/>
        <v>2019 Y</v>
      </c>
      <c r="BJ199" s="129"/>
      <c r="BK199" s="129"/>
      <c r="BL199" s="129">
        <f>INDEX('Dist. Plant Gas Additions'!$E$7:$AD$91,MATCH($C199,'Dist. Plant Gas Additions'!$C$7:$C$91,0),MATCH(Calculation!$G199,'Dist. Plant Gas Additions'!$E$5:$AD$5,0))</f>
        <v>899746</v>
      </c>
      <c r="BM199" s="129">
        <f>INDEX('Gen. Plant Additions'!$E$7:$AD$91,MATCH($C199,'Gen. Plant Additions'!$C$7:$C$91,0),MATCH(Calculation!$G199,'Gen. Plant Additions'!$E$5:$AD$5,0))</f>
        <v>18309</v>
      </c>
      <c r="BN199" s="393">
        <f t="shared" si="358"/>
        <v>0.96677705605542941</v>
      </c>
      <c r="BO199" s="46">
        <f t="shared" si="375"/>
        <v>17700.721119318856</v>
      </c>
      <c r="BP199" s="46">
        <f t="shared" si="376"/>
        <v>-608.27888068114407</v>
      </c>
      <c r="BQ199" s="129">
        <f>INDEX('Dist Plant Depreciation'!$D$7:$AC$94,MATCH($C199,'Dist Plant Depreciation'!$C$7:$C$94,0),MATCH(Calculation!$G199,'Dist Plant Depreciation'!$D$5:$AC$5,0))</f>
        <v>830889</v>
      </c>
      <c r="BR199" s="129">
        <f>INDEX('Gen. Plant Depreciation'!$D$7:$AC$94,MATCH($C199,'Gen. Plant Depreciation'!$C$7:$C$94,0),MATCH(Calculation!$G199,'Gen. Plant Depreciation'!$D$5:$AC$5,0))</f>
        <v>76076</v>
      </c>
      <c r="BS199" s="129"/>
      <c r="BT199" s="129"/>
      <c r="BU199" s="129"/>
      <c r="BV199" s="129"/>
      <c r="BW199" s="129"/>
      <c r="BX199" s="129"/>
      <c r="BY199" s="129">
        <f>INDEX('Gross Dx Plant'!$D$7:$AC$91,MATCH($C199,'Gross Dx Plant'!$C$7:$C$91,0),MATCH(Calculation!$G199,'Gross Dx Plant'!$D$5:$AC$5,0))</f>
        <v>5693498</v>
      </c>
      <c r="BZ199" s="129">
        <f>INDEX('Gross Gen Plant'!$D$7:$AC$91,MATCH($C199,'Gross Gen Plant'!$C$7:$C$91,0),MATCH(Calculation!$G199,'Gross Gen Plant'!$D$5:$AC$5,0))</f>
        <v>195655</v>
      </c>
      <c r="CA199" s="129">
        <f t="shared" si="307"/>
        <v>4982188</v>
      </c>
      <c r="CB199" s="129"/>
      <c r="CC199" s="133">
        <v>2019</v>
      </c>
      <c r="CD199" s="129"/>
      <c r="CE199" s="129"/>
      <c r="CF199" s="129"/>
      <c r="CG199" s="137"/>
      <c r="CH199" s="129">
        <f t="shared" si="359"/>
        <v>918055</v>
      </c>
      <c r="CI199" s="46">
        <f t="shared" si="368"/>
        <v>917446.72111931886</v>
      </c>
      <c r="CJ199" s="46">
        <f t="shared" si="360"/>
        <v>1186.0376370835756</v>
      </c>
      <c r="CK199" s="443">
        <v>0.7407407407407407</v>
      </c>
      <c r="CL199" s="46">
        <f>CL178*CK199+CJ179*CK198+CJ180*CK197+CJ181*CK196+CJ182*CK195+CJ183*CK194+CJ184*CK193+CJ185*CK192+CJ186*CK191+CJ187*CK190+CJ188*CK189+CJ189*CK188+CJ190*CK187+CJ191*CK186+CJ192*CK185+CJ193*CK184+CJ194*CK183+CJ195*CK182+CJ196*CK181+CJ197*CK180+CJ198*CK179+CJ199</f>
        <v>12135.934003726721</v>
      </c>
      <c r="CM199" s="134">
        <f t="shared" si="361"/>
        <v>8.6490080005446682E-2</v>
      </c>
      <c r="CN199" s="135">
        <f t="shared" si="362"/>
        <v>1.6217784348740584E-2</v>
      </c>
      <c r="CO199" s="135">
        <f t="shared" si="371"/>
        <v>1.6055025942592834E-2</v>
      </c>
      <c r="CP199" s="134">
        <f>VLOOKUP($H199,RoR!$E:$F,2,FALSE)</f>
        <v>3.3875000000000009E-2</v>
      </c>
      <c r="CQ199" s="135">
        <v>1.8092492884465461E-2</v>
      </c>
      <c r="CR199" s="135">
        <f t="shared" si="369"/>
        <v>1.5782507115534548E-2</v>
      </c>
      <c r="CS199" s="135">
        <f t="shared" si="372"/>
        <v>1.4846915665940791E-2</v>
      </c>
      <c r="CT199" s="135">
        <f t="shared" si="373"/>
        <v>4.8445665544254078E-2</v>
      </c>
      <c r="CU199" s="139">
        <f t="shared" si="363"/>
        <v>0.90509623210000001</v>
      </c>
      <c r="CV199" s="335">
        <f t="shared" si="364"/>
        <v>1.513861292459078</v>
      </c>
      <c r="CW199" s="335">
        <f t="shared" si="365"/>
        <v>0.23699261992619944</v>
      </c>
      <c r="CX199" s="335">
        <f t="shared" si="366"/>
        <v>0.73619765810468829</v>
      </c>
      <c r="CY199" s="335">
        <f t="shared" si="367"/>
        <v>0.26412854465362851</v>
      </c>
      <c r="CZ199" s="336">
        <f>INDEX('State Tax Lookup'!$D$7:$Z$91,MATCH(Calculation!$C199,'State Tax Lookup'!$B$7:$B$91,0),MATCH($H199,'State Tax Lookup'!$D$6:$Z$6,0))</f>
        <v>0.25649666999999998</v>
      </c>
      <c r="DA199" s="303">
        <v>0.37</v>
      </c>
      <c r="DB199" s="57">
        <f t="shared" si="370"/>
        <v>13.921774926212443</v>
      </c>
      <c r="DC199" s="56">
        <f t="shared" si="374"/>
        <v>7.6088055269052848E-3</v>
      </c>
      <c r="DD199" s="303">
        <f>VLOOKUP($H199,RoR!$E:$F,2,FALSE)</f>
        <v>3.3875000000000009E-2</v>
      </c>
      <c r="DE199" s="304">
        <f>HLOOKUP($H199,'GDP-PI'!$D$8:$CQ$11,3,FALSE)</f>
        <v>1.8092492884465461E-2</v>
      </c>
      <c r="DF199" s="303">
        <f>VLOOKUP(H199,'HW Dx Data'!$E:$F,2,FALSE)</f>
        <v>773.53929793938721</v>
      </c>
      <c r="DG199" s="89">
        <f ca="1">VLOOKUP(CC199,'ECI - Input Price'!M$13:N$33,2,FALSE)</f>
        <v>149.67500000000001</v>
      </c>
      <c r="DH199" s="89"/>
      <c r="DI199" s="89"/>
      <c r="DJ199" s="56">
        <f t="shared" ca="1" si="384"/>
        <v>3.5532849899171604E-2</v>
      </c>
      <c r="DK199" s="53">
        <f>HLOOKUP(H199,'GDP-PI'!$8:$9,2,FALSE)</f>
        <v>112.318</v>
      </c>
      <c r="DL199" s="355">
        <f t="shared" si="377"/>
        <v>1.7930771451401852E-2</v>
      </c>
      <c r="EC199"/>
    </row>
    <row r="200" spans="1:133" s="126" customFormat="1" ht="21" customHeight="1" x14ac:dyDescent="0.4">
      <c r="A200" s="233" t="s">
        <v>193</v>
      </c>
      <c r="B200" s="126" t="s">
        <v>193</v>
      </c>
      <c r="C200" s="126">
        <v>4018679</v>
      </c>
      <c r="D200" s="126" t="s">
        <v>194</v>
      </c>
      <c r="E200" s="126" t="s">
        <v>15</v>
      </c>
      <c r="G200" s="127" t="s">
        <v>176</v>
      </c>
      <c r="H200" s="128">
        <v>2020</v>
      </c>
      <c r="I200" s="129"/>
      <c r="J200" s="125">
        <v>190825.51746889242</v>
      </c>
      <c r="K200" s="125">
        <f t="shared" ca="1" si="378"/>
        <v>1246.004031791658</v>
      </c>
      <c r="L200" s="47"/>
      <c r="M200" s="131">
        <f t="shared" ca="1" si="385"/>
        <v>-0.1346274180011425</v>
      </c>
      <c r="N200" s="59"/>
      <c r="O200" s="59"/>
      <c r="P200" s="59">
        <f t="shared" ca="1" si="387"/>
        <v>-7.4669612949830304E-3</v>
      </c>
      <c r="Q200" s="61"/>
      <c r="R200" s="387"/>
      <c r="S200" s="49">
        <f t="shared" ca="1" si="392"/>
        <v>116.55091773549169</v>
      </c>
      <c r="T200" s="61">
        <f ca="1">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</f>
        <v>-1.9160982711384132E-2</v>
      </c>
      <c r="U200" s="61"/>
      <c r="V200" s="125">
        <f>IFERROR(INDEX('Non-Labor Expenditures'!$E$7:$AA$91,MATCH($C200,'Non-Labor Expenditures'!$C$7:$C$91,0),MATCH($G200,'Non-Labor Expenditures'!$E$5:$AA$5,0)),"NA")</f>
        <v>276350.99058527779</v>
      </c>
      <c r="W200" s="125">
        <f t="shared" si="379"/>
        <v>2432.1747408999745</v>
      </c>
      <c r="X200" s="131">
        <f t="shared" si="388"/>
        <v>-0.12322767826516701</v>
      </c>
      <c r="Y200" s="131">
        <f t="shared" si="389"/>
        <v>-6.8346873002408399E-3</v>
      </c>
      <c r="Z200" s="131"/>
      <c r="AA200" s="131"/>
      <c r="AB200" s="131"/>
      <c r="AC200" s="125">
        <f t="shared" si="357"/>
        <v>176320.93591324895</v>
      </c>
      <c r="AD200" s="129"/>
      <c r="AE200" s="133">
        <v>13540.867884179255</v>
      </c>
      <c r="AF200" s="134">
        <v>2.6156044893727155E-2</v>
      </c>
      <c r="AG200" s="59">
        <f t="shared" si="380"/>
        <v>1.4507161895479699E-3</v>
      </c>
      <c r="AH200" s="134"/>
      <c r="AI200" s="134"/>
      <c r="AJ200" s="129">
        <f t="shared" si="331"/>
        <v>643497.44396741909</v>
      </c>
      <c r="AK200" s="134">
        <f t="shared" si="390"/>
        <v>-5.1238481900379176E-2</v>
      </c>
      <c r="AL200" s="129"/>
      <c r="AM200" s="129"/>
      <c r="AN200" s="129"/>
      <c r="AO200" s="129"/>
      <c r="AP200" s="133">
        <f t="shared" si="391"/>
        <v>509.08359365191137</v>
      </c>
      <c r="AQ200" s="134">
        <f>+BB200/Outputs!$B$28</f>
        <v>3.3322536287918841E-2</v>
      </c>
      <c r="AR200" s="93">
        <f t="shared" si="381"/>
        <v>0.29654432858719187</v>
      </c>
      <c r="AS200" s="93">
        <f t="shared" si="382"/>
        <v>0.42945157463480105</v>
      </c>
      <c r="AT200" s="93">
        <f t="shared" si="383"/>
        <v>0.27400409677800719</v>
      </c>
      <c r="AU200" s="93">
        <f t="shared" ca="1" si="386"/>
        <v>-8.9160096686578497E-2</v>
      </c>
      <c r="AV200" s="132">
        <f t="shared" ca="1" si="394"/>
        <v>136.15336407485265</v>
      </c>
      <c r="AW200" s="134">
        <f t="shared" ca="1" si="395"/>
        <v>-8.9160096686578538E-2</v>
      </c>
      <c r="AX200" s="56">
        <f>+AJ200/$AL$25</f>
        <v>5.5463897368362686E-2</v>
      </c>
      <c r="AY200" s="135">
        <f t="shared" ca="1" si="393"/>
        <v>-4.9451664519776862E-3</v>
      </c>
      <c r="AZ200" s="93"/>
      <c r="BA200" s="93"/>
      <c r="BB200" s="234">
        <f>IFERROR(INDEX('Total Customers'!$E$7:$AA$91,MATCH($C200,'Total Customers'!$C$7:$C$91,0),MATCH($G200,'Total Customers'!$E$5:$AA$5,0)),"NA")</f>
        <v>1264031</v>
      </c>
      <c r="BC200" s="411">
        <f t="shared" si="400"/>
        <v>-2.3768614982073023E-3</v>
      </c>
      <c r="BD200" s="92"/>
      <c r="BE200" s="281" t="str">
        <f t="shared" si="396"/>
        <v>BROOKLYN UNION GAS COMPANY</v>
      </c>
      <c r="BF200" s="290">
        <f t="shared" si="397"/>
        <v>4018679</v>
      </c>
      <c r="BG200" s="46" t="str">
        <f t="shared" si="398"/>
        <v>NY</v>
      </c>
      <c r="BH200" s="46"/>
      <c r="BI200" s="46" t="str">
        <f t="shared" si="399"/>
        <v>2020 Y</v>
      </c>
      <c r="BJ200" s="129"/>
      <c r="BK200" s="129"/>
      <c r="BL200" s="129">
        <f>INDEX('Dist. Plant Gas Additions'!$E$7:$AD$91,MATCH($C200,'Dist. Plant Gas Additions'!$C$7:$C$91,0),MATCH(Calculation!$G200,'Dist. Plant Gas Additions'!$E$5:$AD$5,0))</f>
        <v>370927</v>
      </c>
      <c r="BM200" s="129">
        <f>INDEX('Gen. Plant Additions'!$E$7:$AD$91,MATCH($C200,'Gen. Plant Additions'!$C$7:$C$91,0),MATCH(Calculation!$G200,'Gen. Plant Additions'!$E$5:$AD$5,0))</f>
        <v>11714</v>
      </c>
      <c r="BN200" s="393">
        <f t="shared" si="358"/>
        <v>0.96723745907417158</v>
      </c>
      <c r="BO200" s="46">
        <f t="shared" si="375"/>
        <v>11330.219595594846</v>
      </c>
      <c r="BP200" s="46">
        <f t="shared" si="376"/>
        <v>-383.7804044051536</v>
      </c>
      <c r="BQ200" s="129">
        <f>INDEX('Dist Plant Depreciation'!$D$7:$AC$94,MATCH($C200,'Dist Plant Depreciation'!$C$7:$C$94,0),MATCH(Calculation!$G200,'Dist Plant Depreciation'!$D$5:$AC$5,0))</f>
        <v>884433</v>
      </c>
      <c r="BR200" s="129">
        <f>INDEX('Gen. Plant Depreciation'!$D$7:$AC$94,MATCH($C200,'Gen. Plant Depreciation'!$C$7:$C$94,0),MATCH(Calculation!$G200,'Gen. Plant Depreciation'!$D$5:$AC$5,0))</f>
        <v>82388</v>
      </c>
      <c r="BS200" s="129"/>
      <c r="BT200" s="129"/>
      <c r="BU200" s="129"/>
      <c r="BV200" s="129"/>
      <c r="BW200" s="129"/>
      <c r="BX200" s="129"/>
      <c r="BY200" s="129">
        <f>INDEX('Gross Dx Plant'!$D$7:$AC$91,MATCH($C200,'Gross Dx Plant'!$C$7:$C$91,0),MATCH(Calculation!$G200,'Gross Dx Plant'!$D$5:$AC$5,0))</f>
        <v>6056781</v>
      </c>
      <c r="BZ200" s="129">
        <f>INDEX('Gross Gen Plant'!$D$7:$AC$91,MATCH($C200,'Gross Gen Plant'!$C$7:$C$91,0),MATCH(Calculation!$G200,'Gross Gen Plant'!$D$5:$AC$5,0))</f>
        <v>205157</v>
      </c>
      <c r="CA200" s="129">
        <f t="shared" si="307"/>
        <v>5295117</v>
      </c>
      <c r="CB200" s="129"/>
      <c r="CC200" s="133">
        <v>2020</v>
      </c>
      <c r="CD200" s="129"/>
      <c r="CE200" s="129"/>
      <c r="CF200" s="129"/>
      <c r="CG200" s="137"/>
      <c r="CH200" s="129">
        <f t="shared" si="359"/>
        <v>382641</v>
      </c>
      <c r="CI200" s="46">
        <f t="shared" si="368"/>
        <v>382257.21959559486</v>
      </c>
      <c r="CJ200" s="46">
        <f t="shared" si="360"/>
        <v>470.13472624840836</v>
      </c>
      <c r="CK200" s="443">
        <v>0.72499999999999998</v>
      </c>
      <c r="CL200" s="46">
        <f>CL178*CK200+CJ179*CK199+CJ180*CK198+CJ181*CK197+CJ182*CK196+CJ183*CK195+CJ184*CK194+CJ185*CK193+CJ186*CK192+CJ187*CK191+CJ188*CK190+CJ189*CK189+CJ190*CK188+CJ191*CK187+CJ192*CK186+CJ193*CK185+CJ194*CK184+CJ195*CK183+CJ196*CK182+CJ197*CK181+CJ198*CK180+CJ199*CK179+CJ200</f>
        <v>12409.541766510563</v>
      </c>
      <c r="CM200" s="134">
        <f t="shared" si="361"/>
        <v>2.2294870025645473E-2</v>
      </c>
      <c r="CN200" s="135">
        <f t="shared" si="362"/>
        <v>1.6193806212543373E-2</v>
      </c>
      <c r="CO200" s="135">
        <f t="shared" si="371"/>
        <v>1.6167790352521905E-2</v>
      </c>
      <c r="CP200" s="134">
        <f>VLOOKUP($H200,RoR!$E:$F,2,FALSE)</f>
        <v>2.4766666666666666E-2</v>
      </c>
      <c r="CQ200" s="135">
        <v>1.1618796630994188E-2</v>
      </c>
      <c r="CR200" s="135">
        <f t="shared" si="369"/>
        <v>1.3147870035672478E-2</v>
      </c>
      <c r="CS200" s="135">
        <f t="shared" si="372"/>
        <v>1.473415125601172E-2</v>
      </c>
      <c r="CT200" s="135">
        <f t="shared" si="373"/>
        <v>4.5144642961987357E-2</v>
      </c>
      <c r="CU200" s="139">
        <f t="shared" si="363"/>
        <v>0.90509623210000001</v>
      </c>
      <c r="CV200" s="335">
        <f t="shared" si="364"/>
        <v>2.0706077233668081</v>
      </c>
      <c r="CW200" s="335">
        <f t="shared" si="365"/>
        <v>-3.4421265141318998E-2</v>
      </c>
      <c r="CX200" s="335">
        <f t="shared" si="366"/>
        <v>0.62416226176410472</v>
      </c>
      <c r="CY200" s="335">
        <f t="shared" si="367"/>
        <v>-4.4485877841158712E-2</v>
      </c>
      <c r="CZ200" s="336">
        <f>INDEX('State Tax Lookup'!$D$7:$Z$91,MATCH(Calculation!$C200,'State Tax Lookup'!$B$7:$B$91,0),MATCH($H200,'State Tax Lookup'!$D$6:$Z$6,0))</f>
        <v>0.25649666999999998</v>
      </c>
      <c r="DA200" s="303">
        <v>0.37</v>
      </c>
      <c r="DB200" s="57">
        <f t="shared" si="370"/>
        <v>14.528831143866146</v>
      </c>
      <c r="DC200" s="56">
        <f t="shared" si="374"/>
        <v>4.2680874170398911E-2</v>
      </c>
      <c r="DD200" s="303">
        <f>VLOOKUP($H200,RoR!$E:$F,2,FALSE)</f>
        <v>2.4766666666666666E-2</v>
      </c>
      <c r="DE200" s="304">
        <f>HLOOKUP($H200,'GDP-PI'!$D$8:$CQ$11,3,FALSE)</f>
        <v>1.1618796630994188E-2</v>
      </c>
      <c r="DF200" s="303">
        <f>VLOOKUP(H200,'HW Dx Data'!$E:$F,2,FALSE)</f>
        <v>813.080162458833</v>
      </c>
      <c r="DG200" s="89">
        <f ca="1">VLOOKUP(CC200,'ECI - Input Price'!M$13:N$33,2,FALSE)</f>
        <v>153.15</v>
      </c>
      <c r="DH200" s="89"/>
      <c r="DI200" s="89"/>
      <c r="DJ200" s="56">
        <f t="shared" ca="1" si="384"/>
        <v>2.2951556467368479E-2</v>
      </c>
      <c r="DK200" s="53">
        <f>HLOOKUP(H200,'GDP-PI'!$8:$9,2,FALSE)</f>
        <v>113.623</v>
      </c>
      <c r="DL200" s="355">
        <f t="shared" si="377"/>
        <v>1.1551816731392881E-2</v>
      </c>
      <c r="EC200"/>
    </row>
    <row r="201" spans="1:133" s="126" customFormat="1" ht="21" customHeight="1" x14ac:dyDescent="0.4">
      <c r="A201" s="233" t="s">
        <v>193</v>
      </c>
      <c r="B201" s="126" t="s">
        <v>193</v>
      </c>
      <c r="C201" s="126">
        <v>4018679</v>
      </c>
      <c r="D201" s="126" t="s">
        <v>194</v>
      </c>
      <c r="E201" s="126" t="s">
        <v>15</v>
      </c>
      <c r="G201" s="127" t="s">
        <v>177</v>
      </c>
      <c r="H201" s="128">
        <v>2021</v>
      </c>
      <c r="I201" s="129"/>
      <c r="J201" s="125">
        <v>190336.86535171376</v>
      </c>
      <c r="K201" s="125">
        <f t="shared" ca="1" si="378"/>
        <v>1210.4093186118521</v>
      </c>
      <c r="L201" s="47"/>
      <c r="M201" s="130">
        <f t="shared" ca="1" si="385"/>
        <v>-2.8983073898444522E-2</v>
      </c>
      <c r="N201" s="59"/>
      <c r="O201" s="59"/>
      <c r="P201" s="59">
        <f t="shared" ca="1" si="387"/>
        <v>-1.6643873993146612E-3</v>
      </c>
      <c r="Q201" s="61"/>
      <c r="R201" s="387"/>
      <c r="S201" s="132">
        <f ca="1">+S200*EXP(T201)</f>
        <v>121.89004535193303</v>
      </c>
      <c r="T201" s="134">
        <f ca="1">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</f>
        <v>4.479113111114922E-2</v>
      </c>
      <c r="U201" s="134"/>
      <c r="V201" s="125">
        <v>268306.18368856038</v>
      </c>
      <c r="W201" s="125">
        <f t="shared" si="379"/>
        <v>2264.3782908984758</v>
      </c>
      <c r="X201" s="131">
        <f t="shared" si="388"/>
        <v>-7.1485576219296493E-2</v>
      </c>
      <c r="Y201" s="131">
        <f t="shared" si="389"/>
        <v>-4.1051440129865014E-3</v>
      </c>
      <c r="Z201" s="131"/>
      <c r="AA201" s="131"/>
      <c r="AB201" s="131"/>
      <c r="AC201" s="125">
        <f t="shared" si="357"/>
        <v>279006.36873541027</v>
      </c>
      <c r="AD201" s="129"/>
      <c r="AE201" s="133">
        <v>14145.4284224371</v>
      </c>
      <c r="AF201" s="134"/>
      <c r="AG201" s="59">
        <f t="shared" si="380"/>
        <v>0</v>
      </c>
      <c r="AH201" s="134"/>
      <c r="AI201" s="134"/>
      <c r="AJ201" s="129">
        <f t="shared" si="331"/>
        <v>737649.41777568439</v>
      </c>
      <c r="AK201" s="134">
        <f t="shared" si="390"/>
        <v>0.13655061311741029</v>
      </c>
      <c r="AL201" s="129"/>
      <c r="AM201" s="134"/>
      <c r="AN201" s="134"/>
      <c r="AO201" s="134"/>
      <c r="AP201" s="133">
        <f t="shared" si="391"/>
        <v>582.76826225318098</v>
      </c>
      <c r="AQ201" s="134">
        <f>+BB201/Outputs!$B$29</f>
        <v>3.2786586653115422E-2</v>
      </c>
      <c r="AR201" s="93">
        <f t="shared" si="381"/>
        <v>0.25803160792244301</v>
      </c>
      <c r="AS201" s="93">
        <f t="shared" si="382"/>
        <v>0.36373130273404619</v>
      </c>
      <c r="AT201" s="93">
        <f t="shared" si="383"/>
        <v>0.3782370893435108</v>
      </c>
      <c r="AU201" s="93">
        <f t="shared" ca="1" si="386"/>
        <v>-3.6387225193074725E-2</v>
      </c>
      <c r="AV201" s="132">
        <f t="shared" ca="1" si="394"/>
        <v>131.28817314752001</v>
      </c>
      <c r="AW201" s="134">
        <f t="shared" ca="1" si="395"/>
        <v>-3.6387225193074857E-2</v>
      </c>
      <c r="AX201" s="56">
        <f>+AJ201/$AL$26</f>
        <v>5.7426186233613626E-2</v>
      </c>
      <c r="AY201" s="135">
        <f t="shared" ca="1" si="393"/>
        <v>-2.0895795704619544E-3</v>
      </c>
      <c r="AZ201" s="93"/>
      <c r="BA201" s="93"/>
      <c r="BB201" s="234">
        <f>INDEX('Total Customers'!$D$7:$D$91,MATCH(Calculation!$C201,'Total Customers'!$C$7:$C$91,0))</f>
        <v>1265768</v>
      </c>
      <c r="BC201" s="411">
        <f t="shared" si="400"/>
        <v>1.3732318440829493E-3</v>
      </c>
      <c r="BD201" s="91"/>
      <c r="BE201" s="281" t="str">
        <f t="shared" si="396"/>
        <v>BROOKLYN UNION GAS COMPANY</v>
      </c>
      <c r="BF201" s="290">
        <f t="shared" si="397"/>
        <v>4018679</v>
      </c>
      <c r="BG201" s="46" t="str">
        <f t="shared" si="398"/>
        <v>NY</v>
      </c>
      <c r="BH201" s="46"/>
      <c r="BI201" s="46" t="str">
        <f t="shared" si="399"/>
        <v>2021 Y</v>
      </c>
      <c r="BJ201" s="129"/>
      <c r="BK201" s="129"/>
      <c r="BL201" s="129">
        <f>INDEX('Dist. Plant Gas Additions'!$D$7:$AD$91,MATCH($C201,'Dist. Plant Gas Additions'!$C$7:$C$91,0),MATCH(Calculation!$G201,'Dist. Plant Gas Additions'!$D$5:$AD$5,0))</f>
        <v>476594</v>
      </c>
      <c r="BM201" s="129">
        <f>INDEX('Gen. Plant Additions'!$D$7:$AD$91,MATCH($C201,'Gen. Plant Additions'!$C$7:$C$91,0),MATCH(Calculation!$G201,'Gen. Plant Additions'!$D$5:$AD$5,0))</f>
        <v>13813</v>
      </c>
      <c r="BN201" s="343">
        <v>0.96723745907417158</v>
      </c>
      <c r="BO201" s="46">
        <f t="shared" si="375"/>
        <v>13360.451022191532</v>
      </c>
      <c r="BP201" s="46">
        <f t="shared" si="376"/>
        <v>-452.54897780846841</v>
      </c>
      <c r="BQ201" s="129"/>
      <c r="BR201" s="129"/>
      <c r="BS201" s="137"/>
      <c r="BT201" s="137"/>
      <c r="BU201" s="333"/>
      <c r="BV201" s="93"/>
      <c r="BW201" s="334"/>
      <c r="BX201" s="334"/>
      <c r="BY201" s="129"/>
      <c r="BZ201" s="129"/>
      <c r="CA201" s="129"/>
      <c r="CB201" s="129"/>
      <c r="CC201" s="133">
        <v>2021</v>
      </c>
      <c r="CD201" s="129"/>
      <c r="CE201" s="129"/>
      <c r="CF201" s="129"/>
      <c r="CG201" s="137"/>
      <c r="CH201" s="129">
        <f t="shared" si="359"/>
        <v>490407</v>
      </c>
      <c r="CI201" s="46">
        <f t="shared" si="368"/>
        <v>489954.45102219156</v>
      </c>
      <c r="CJ201" s="46">
        <f t="shared" si="360"/>
        <v>525.12608370490727</v>
      </c>
      <c r="CK201" s="443">
        <v>0.70886075949367089</v>
      </c>
      <c r="CL201" s="129">
        <f>CL178*CK201+CJ179*CK200+CJ180*CK199+CJ181*CK198+CJ182*CK197+CJ183*CK196+CJ184*CK195+CJ185*CK194+CJ186*CK193+CJ187*CK192+CJ188*CK191+CJ189*CK190+CJ190*CK189+CJ191*CK188+CJ192*CK187+CJ183*CK186+CJ194*CK185+CJ195*CK184+CJ196*CK183+CJ197*CK182+CJ198*CK181+CJ199*CK180+CJ201+CJ200*CK179</f>
        <v>12926.348837815343</v>
      </c>
      <c r="CM201" s="134"/>
      <c r="CN201" s="135">
        <f t="shared" si="362"/>
        <v>6.7037224715078717E-4</v>
      </c>
      <c r="CO201" s="135">
        <f t="shared" si="371"/>
        <v>1.1027320936144914E-2</v>
      </c>
      <c r="CP201" s="134">
        <f>VLOOKUP($H201,RoR!$E:$F,2,FALSE)</f>
        <v>2.7033333333333336E-2</v>
      </c>
      <c r="CQ201" s="135"/>
      <c r="CR201" s="135"/>
      <c r="CS201" s="135">
        <f t="shared" si="372"/>
        <v>1.987462067238871E-2</v>
      </c>
      <c r="CT201" s="135">
        <f t="shared" si="373"/>
        <v>7.433422950153494E-2</v>
      </c>
      <c r="CU201" s="139">
        <f t="shared" si="363"/>
        <v>0.90509623210000001</v>
      </c>
      <c r="CV201" s="335">
        <f t="shared" si="364"/>
        <v>1.8969932656739068</v>
      </c>
      <c r="CW201" s="335">
        <f t="shared" si="365"/>
        <v>5.0215782983970621E-2</v>
      </c>
      <c r="CX201" s="335">
        <f t="shared" si="366"/>
        <v>0.655952481704143</v>
      </c>
      <c r="CY201" s="335">
        <f t="shared" si="367"/>
        <v>6.2485378865697057E-2</v>
      </c>
      <c r="CZ201" s="336">
        <f>CZ200</f>
        <v>0.25649666999999998</v>
      </c>
      <c r="DA201" s="303">
        <v>0.37</v>
      </c>
      <c r="DB201" s="141">
        <f t="shared" si="370"/>
        <v>22.483212836138755</v>
      </c>
      <c r="DC201" s="135">
        <f t="shared" si="374"/>
        <v>0.43663390455542855</v>
      </c>
      <c r="DD201" s="336">
        <f>VLOOKUP($H201,RoR!$E:$F,2,FALSE)</f>
        <v>2.7033333333333336E-2</v>
      </c>
      <c r="DE201" s="342">
        <f>HLOOKUP($H201,'GDP-PI'!$D$8:$CR$11,3,FALSE)</f>
        <v>4.2834637353352578E-2</v>
      </c>
      <c r="DF201" s="336">
        <f>VLOOKUP(H201,'HW Dx Data'!$E:$F,2,FALSE)</f>
        <v>933.02249921662576</v>
      </c>
      <c r="DG201" s="89">
        <f ca="1">VLOOKUP(CC201,'ECI - Input Price'!M$13:N$33,2,FALSE)</f>
        <v>157.25</v>
      </c>
      <c r="DH201" s="89"/>
      <c r="DI201" s="89"/>
      <c r="DJ201" s="135">
        <f t="shared" ca="1" si="384"/>
        <v>2.6419062301765574E-2</v>
      </c>
      <c r="DK201" s="137">
        <f>HLOOKUP(H201,'GDP-PI'!$8:$9,2,FALSE)</f>
        <v>118.49</v>
      </c>
      <c r="DL201" s="356">
        <f t="shared" si="377"/>
        <v>4.194261824609434E-2</v>
      </c>
      <c r="EC201"/>
    </row>
    <row r="202" spans="1:133" s="126" customFormat="1" ht="21" customHeight="1" thickBot="1" x14ac:dyDescent="0.45">
      <c r="A202" s="235"/>
      <c r="B202" s="236"/>
      <c r="C202" s="236"/>
      <c r="D202" s="236"/>
      <c r="E202" s="236"/>
      <c r="F202" s="236"/>
      <c r="G202" s="237" t="s">
        <v>178</v>
      </c>
      <c r="H202" s="238"/>
      <c r="I202" s="239"/>
      <c r="J202" s="240">
        <v>188376.69827189343</v>
      </c>
      <c r="K202" s="240">
        <f t="shared" ca="1" si="378"/>
        <v>1158.8846402454224</v>
      </c>
      <c r="L202" s="47"/>
      <c r="M202" s="241">
        <f t="shared" ref="M202" ca="1" si="401">LN(K202/K201)</f>
        <v>-4.3500556714989723E-2</v>
      </c>
      <c r="N202" s="59"/>
      <c r="O202" s="59"/>
      <c r="P202" s="242">
        <f t="shared" ca="1" si="387"/>
        <v>-2.2664327324139941E-3</v>
      </c>
      <c r="Q202" s="61"/>
      <c r="R202" s="387"/>
      <c r="S202" s="206">
        <f ca="1">+S201*EXP(T202)</f>
        <v>121.64498876772285</v>
      </c>
      <c r="T202" s="243">
        <f ca="1">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</f>
        <v>-2.0124962127562964E-3</v>
      </c>
      <c r="U202" s="243"/>
      <c r="V202" s="239">
        <v>265543.05660013895</v>
      </c>
      <c r="W202" s="240">
        <f t="shared" si="379"/>
        <v>2086.7823701386164</v>
      </c>
      <c r="X202" s="244">
        <f t="shared" ref="X202" si="402">LN(W202/W201)</f>
        <v>-8.1676892147608871E-2</v>
      </c>
      <c r="Y202" s="244">
        <f t="shared" si="389"/>
        <v>-4.2554669600676628E-3</v>
      </c>
      <c r="Z202" s="206"/>
      <c r="AA202" s="243"/>
      <c r="AB202" s="243"/>
      <c r="AC202" s="240">
        <f t="shared" si="357"/>
        <v>235516.19619242035</v>
      </c>
      <c r="AD202" s="244">
        <f>LN(AC202/AC201)</f>
        <v>-0.16945492383694769</v>
      </c>
      <c r="AE202" s="245">
        <v>14277.752202374342</v>
      </c>
      <c r="AF202" s="243">
        <v>9.311043522721385E-3</v>
      </c>
      <c r="AG202" s="242">
        <f t="shared" si="380"/>
        <v>4.8511686760908241E-4</v>
      </c>
      <c r="AH202" s="206"/>
      <c r="AI202" s="243"/>
      <c r="AJ202" s="239">
        <f t="shared" si="331"/>
        <v>689435.95106445276</v>
      </c>
      <c r="AK202" s="243">
        <f t="shared" si="390"/>
        <v>-6.7594867005670731E-2</v>
      </c>
      <c r="AL202" s="239"/>
      <c r="AM202" s="243"/>
      <c r="AN202" s="243"/>
      <c r="AO202" s="243"/>
      <c r="AP202" s="245">
        <f t="shared" si="391"/>
        <v>541.84965207934204</v>
      </c>
      <c r="AQ202" s="243"/>
      <c r="AR202" s="207">
        <f t="shared" si="381"/>
        <v>0.27323306535008762</v>
      </c>
      <c r="AS202" s="207">
        <f t="shared" si="382"/>
        <v>0.38515986320434042</v>
      </c>
      <c r="AT202" s="207">
        <f t="shared" si="383"/>
        <v>0.34160707144557195</v>
      </c>
      <c r="AU202" s="207"/>
      <c r="AV202" s="206"/>
      <c r="AW202" s="243"/>
      <c r="AX202" s="248">
        <f>+AJ202/$AL$27</f>
        <v>5.2101235100584613E-2</v>
      </c>
      <c r="AY202" s="249"/>
      <c r="AZ202" s="206"/>
      <c r="BA202" s="243"/>
      <c r="BB202" s="250">
        <v>1272375</v>
      </c>
      <c r="BC202" s="412">
        <f t="shared" si="400"/>
        <v>5.206180205903228E-3</v>
      </c>
      <c r="BD202" s="91"/>
      <c r="BE202" s="401">
        <f t="shared" si="396"/>
        <v>0</v>
      </c>
      <c r="BF202" s="402">
        <f t="shared" si="397"/>
        <v>0</v>
      </c>
      <c r="BG202" s="313">
        <f t="shared" si="398"/>
        <v>0</v>
      </c>
      <c r="BH202" s="313"/>
      <c r="BI202" s="313" t="str">
        <f t="shared" si="399"/>
        <v>2022Y</v>
      </c>
      <c r="BJ202" s="239"/>
      <c r="BK202" s="239"/>
      <c r="BL202" s="239"/>
      <c r="BM202" s="239"/>
      <c r="BN202" s="337">
        <v>0.96723745907417158</v>
      </c>
      <c r="BO202" s="239"/>
      <c r="BP202" s="239"/>
      <c r="BQ202" s="239"/>
      <c r="BR202" s="239"/>
      <c r="BS202" s="310"/>
      <c r="BT202" s="310"/>
      <c r="BU202" s="311"/>
      <c r="BV202" s="207"/>
      <c r="BW202" s="312"/>
      <c r="BX202" s="312"/>
      <c r="BY202" s="239"/>
      <c r="BZ202" s="239"/>
      <c r="CA202" s="239"/>
      <c r="CB202" s="239"/>
      <c r="CC202" s="245">
        <v>2022</v>
      </c>
      <c r="CD202" s="239"/>
      <c r="CE202" s="239"/>
      <c r="CF202" s="239"/>
      <c r="CG202" s="310"/>
      <c r="CH202" s="239">
        <v>655509</v>
      </c>
      <c r="CI202" s="313">
        <f t="shared" si="368"/>
        <v>655509</v>
      </c>
      <c r="CJ202" s="313">
        <f t="shared" si="360"/>
        <v>635.91641524626266</v>
      </c>
      <c r="CK202" s="443">
        <v>0.69230769230769229</v>
      </c>
      <c r="CL202" s="239">
        <f>+CL178*CK202+CJ179*CK201+CJ180*CK200+CJ181*CK199+CJ182*CK198+CJ183*CK197+CJ184*CK196+CJ185*CK195+CJ186*CK194+CJ187*CK193+CJ188*CK192+CJ189*CK191+CJ190*CK190+CJ191*CK189+CJ192*CK188+CJ193*CK187+CJ194*CK186+CJ195*CK185+CJ196*CK184+CJ197*CK183+CJ198*CK182+CJ199*CK181+CJ200*CK180+CJ201*CK179+CJ202*CK178</f>
        <v>13148.770785991539</v>
      </c>
      <c r="CM202" s="243">
        <f t="shared" ref="CM202" si="403">LN(CL202/CL201)</f>
        <v>1.7060504129472746E-2</v>
      </c>
      <c r="CN202" s="249">
        <f t="shared" si="362"/>
        <v>3.1988496694473463E-2</v>
      </c>
      <c r="CO202" s="249">
        <f t="shared" si="371"/>
        <v>1.6284225051389208E-2</v>
      </c>
      <c r="CP202" s="243"/>
      <c r="CQ202" s="249"/>
      <c r="CR202" s="249"/>
      <c r="CS202" s="248">
        <f t="shared" si="372"/>
        <v>1.4617716557144417E-2</v>
      </c>
      <c r="CT202" s="249">
        <f t="shared" si="373"/>
        <v>0.10114668178709289</v>
      </c>
      <c r="CU202" s="314">
        <f t="shared" si="363"/>
        <v>0.90509623210000001</v>
      </c>
      <c r="CV202" s="315"/>
      <c r="CW202" s="315"/>
      <c r="CX202" s="315"/>
      <c r="CY202" s="315"/>
      <c r="CZ202" s="316">
        <f>CZ201</f>
        <v>0.25649666999999998</v>
      </c>
      <c r="DA202" s="360">
        <v>0.37</v>
      </c>
      <c r="DB202" s="318">
        <f t="shared" si="370"/>
        <v>18.219854589056911</v>
      </c>
      <c r="DC202" s="249">
        <f t="shared" si="374"/>
        <v>-0.21025702361263318</v>
      </c>
      <c r="DD202" s="316">
        <v>0.04</v>
      </c>
      <c r="DE202" s="319">
        <v>7.0000000000000001E-3</v>
      </c>
      <c r="DF202" s="316">
        <v>1030.81</v>
      </c>
      <c r="DG202" s="89">
        <f ca="1">VLOOKUP(CC202,'ECI - Input Price'!M$13:N$33,2,FALSE)</f>
        <v>162.55000000000001</v>
      </c>
      <c r="DH202" s="89"/>
      <c r="DI202" s="89"/>
      <c r="DJ202" s="249">
        <f t="shared" ca="1" si="384"/>
        <v>3.3148751169364422E-2</v>
      </c>
      <c r="DK202" s="310">
        <v>127.25</v>
      </c>
      <c r="DL202" s="357">
        <f t="shared" si="377"/>
        <v>7.1325086601983473E-2</v>
      </c>
      <c r="EC202"/>
    </row>
    <row r="203" spans="1:133" s="126" customFormat="1" ht="21" customHeight="1" x14ac:dyDescent="0.4">
      <c r="A203" s="251" t="s">
        <v>195</v>
      </c>
      <c r="B203" s="252" t="s">
        <v>195</v>
      </c>
      <c r="C203" s="252">
        <v>4057112</v>
      </c>
      <c r="D203" s="252" t="s">
        <v>180</v>
      </c>
      <c r="E203" s="252"/>
      <c r="F203" s="252"/>
      <c r="G203" s="252" t="s">
        <v>150</v>
      </c>
      <c r="H203" s="253">
        <v>1998</v>
      </c>
      <c r="I203" s="254"/>
      <c r="J203" s="255"/>
      <c r="K203" s="255"/>
      <c r="L203" s="47"/>
      <c r="M203" s="255"/>
      <c r="N203" s="255"/>
      <c r="O203" s="255"/>
      <c r="P203" s="219"/>
      <c r="Q203" s="61"/>
      <c r="R203" s="387"/>
      <c r="S203" s="257"/>
      <c r="T203" s="258"/>
      <c r="U203" s="258"/>
      <c r="V203" s="259"/>
      <c r="W203" s="259"/>
      <c r="X203" s="259"/>
      <c r="Y203" s="255"/>
      <c r="Z203" s="259"/>
      <c r="AA203" s="259"/>
      <c r="AB203" s="259"/>
      <c r="AC203" s="255"/>
      <c r="AD203" s="254"/>
      <c r="AE203" s="260">
        <v>1301.1537296905281</v>
      </c>
      <c r="AF203" s="256"/>
      <c r="AG203" s="225"/>
      <c r="AH203" s="256"/>
      <c r="AI203" s="256"/>
      <c r="AJ203" s="254">
        <f t="shared" si="331"/>
        <v>0</v>
      </c>
      <c r="AK203" s="254"/>
      <c r="AL203" s="254"/>
      <c r="AM203" s="256"/>
      <c r="AN203" s="256"/>
      <c r="AO203" s="256"/>
      <c r="AP203" s="226">
        <f>+(AP200+AP201+AP202)/3</f>
        <v>544.56716932814481</v>
      </c>
      <c r="AQ203" s="256"/>
      <c r="AR203" s="261"/>
      <c r="AS203" s="261"/>
      <c r="AT203" s="261"/>
      <c r="AU203" s="261"/>
      <c r="AV203" s="261"/>
      <c r="AW203" s="256">
        <f ca="1">AVERAGE(AW212:AW226)</f>
        <v>3.4422107909324842E-3</v>
      </c>
      <c r="AX203" s="223"/>
      <c r="AY203" s="261"/>
      <c r="AZ203" s="261"/>
      <c r="BA203" s="261"/>
      <c r="BB203" s="262">
        <f>IFERROR(INDEX('Total Customers'!$E$7:$AA$91,MATCH($C203,'Total Customers'!$C$7:$C$91,0),MATCH($G203,'Total Customers'!$E$5:$AA$5,0)),"NA")</f>
        <v>168569</v>
      </c>
      <c r="BC203" s="413"/>
      <c r="BD203" s="92"/>
      <c r="BE203" s="407" t="str">
        <f t="shared" si="396"/>
        <v>CASCADE NATURAL GAS CORPORATION</v>
      </c>
      <c r="BF203" s="408">
        <f t="shared" si="397"/>
        <v>4057112</v>
      </c>
      <c r="BG203" s="218" t="str">
        <f t="shared" si="398"/>
        <v>WA</v>
      </c>
      <c r="BH203" s="218"/>
      <c r="BI203" s="218" t="str">
        <f t="shared" si="399"/>
        <v>1998 Y</v>
      </c>
      <c r="BJ203" s="254">
        <f>INDEX('Gross Dx Plant'!$D$7:$AC$91,MATCH($C203,'Gross Dx Plant'!$C$7:$C$91,0),MATCH(Calculation!$G203,'Gross Dx Plant'!$D$5:$AC$5,0))</f>
        <v>389794</v>
      </c>
      <c r="BK203" s="254">
        <f>INDEX('Gross Gen Plant'!$D$7:$AC$91,MATCH($C203,'Gross Gen Plant'!$C$7:$C$91,0),MATCH(Calculation!$G203,'Gross Gen Plant'!$D$5:$AC$5,0))</f>
        <v>35624</v>
      </c>
      <c r="BL203" s="254">
        <f>INDEX('Dist. Plant Gas Additions'!$E$7:$AD$91,MATCH($C203,'Dist. Plant Gas Additions'!$C$7:$C$91,0),MATCH(Calculation!$G203,'Dist. Plant Gas Additions'!$E$5:$AD$5,0))</f>
        <v>23848</v>
      </c>
      <c r="BM203" s="254">
        <f>INDEX('Gen. Plant Additions'!$E$7:$AD$91,MATCH($C203,'Gen. Plant Additions'!$C$7:$C$91,0),MATCH(Calculation!$G203,'Gen. Plant Additions'!$E$5:$AD$5,0))</f>
        <v>3257</v>
      </c>
      <c r="BN203" s="409">
        <f>+(BY203/(BY203+BZ203))</f>
        <v>0.91626118311872085</v>
      </c>
      <c r="BO203" s="218">
        <f>+BN203*BM203</f>
        <v>2984.2626734176738</v>
      </c>
      <c r="BP203" s="218">
        <f>+BO203-BM203</f>
        <v>-272.7373265823262</v>
      </c>
      <c r="BQ203" s="254">
        <f>INDEX('Dist Plant Depreciation'!$D$7:$AC$94,MATCH($C203,'Dist Plant Depreciation'!$C$7:$C$94,0),MATCH(Calculation!$G203,'Dist Plant Depreciation'!$D$5:$AC$5,0))</f>
        <v>145598</v>
      </c>
      <c r="BR203" s="254">
        <f>INDEX('Gen. Plant Depreciation'!$D$7:$AC$94,MATCH($C203,'Gen. Plant Depreciation'!$C$7:$C$94,0),MATCH(Calculation!$G203,'Gen. Plant Depreciation'!$D$5:$AC$5,0))</f>
        <v>17352</v>
      </c>
      <c r="BS203" s="254"/>
      <c r="BT203" s="254"/>
      <c r="BU203" s="254"/>
      <c r="BV203" s="254"/>
      <c r="BW203" s="254"/>
      <c r="BX203" s="254"/>
      <c r="BY203" s="254">
        <f>INDEX('Gross Dx Plant'!$D$7:$AC$91,MATCH($C203,'Gross Dx Plant'!$C$7:$C$91,0),MATCH(Calculation!$G203,'Gross Dx Plant'!$D$5:$AC$5,0))</f>
        <v>389794</v>
      </c>
      <c r="BZ203" s="254">
        <f>INDEX('Gross Gen Plant'!$D$7:$AC$91,MATCH($C203,'Gross Gen Plant'!$C$7:$C$91,0),MATCH(Calculation!$G203,'Gross Gen Plant'!$D$5:$AC$5,0))</f>
        <v>35624</v>
      </c>
      <c r="CA203" s="254">
        <f t="shared" si="307"/>
        <v>262468</v>
      </c>
      <c r="CB203" s="254"/>
      <c r="CC203" s="260">
        <v>1998</v>
      </c>
      <c r="CD203" s="254">
        <f>BJ203+BK203</f>
        <v>425418</v>
      </c>
      <c r="CE203" s="254">
        <f>145598+17352</f>
        <v>162950</v>
      </c>
      <c r="CF203" s="254">
        <f>+CD203-CE203</f>
        <v>262468</v>
      </c>
      <c r="CG203" s="254">
        <f>CF203/$BX$3</f>
        <v>1301.1537296905281</v>
      </c>
      <c r="CH203" s="323"/>
      <c r="CI203" s="344"/>
      <c r="CJ203" s="344"/>
      <c r="CK203" s="443">
        <v>1</v>
      </c>
      <c r="CL203" s="254">
        <f>+CG203</f>
        <v>1301.1537296905281</v>
      </c>
      <c r="CM203" s="256"/>
      <c r="CN203" s="325"/>
      <c r="CO203" s="325"/>
      <c r="CP203" s="256" t="e">
        <f>VLOOKUP($H203,RoR!$E:$F,2,FALSE)</f>
        <v>#N/A</v>
      </c>
      <c r="CQ203" s="325">
        <v>1.1028127770464469E-2</v>
      </c>
      <c r="CR203" s="325"/>
      <c r="CS203" s="325"/>
      <c r="CT203" s="325"/>
      <c r="CU203" s="327"/>
      <c r="CV203" s="331" t="e">
        <f>2/(DD203*39)</f>
        <v>#N/A</v>
      </c>
      <c r="CW203" s="328" t="e">
        <f>+(DD203*40-(1+DD203))/(DD203*40)</f>
        <v>#N/A</v>
      </c>
      <c r="CX203" s="328" t="e">
        <f>+(1-(1/(1+DD203)^40))</f>
        <v>#N/A</v>
      </c>
      <c r="CY203" s="328" t="e">
        <f>+CX203*CW203*CV203</f>
        <v>#N/A</v>
      </c>
      <c r="CZ203" s="329">
        <f>INDEX('State Tax Lookup'!$D$7:$Z$91,MATCH(Calculation!$C203,'State Tax Lookup'!$B$7:$B$91,0),MATCH($H203,'State Tax Lookup'!$D$6:$Z$6,0))</f>
        <v>0.35</v>
      </c>
      <c r="DA203" s="351">
        <v>0.37</v>
      </c>
      <c r="DB203" s="344"/>
      <c r="DC203" s="326"/>
      <c r="DD203" s="351" t="e">
        <f>VLOOKUP($H203,RoR!$E:$F,2,FALSE)</f>
        <v>#N/A</v>
      </c>
      <c r="DE203" s="354">
        <f>HLOOKUP($H203,'GDP-PI'!$D$8:$CQ$11,3,FALSE)</f>
        <v>1.1028127770464469E-2</v>
      </c>
      <c r="DF203" s="351">
        <f>VLOOKUP(H203,'HW Dx Data'!$E:$F,2,FALSE)</f>
        <v>329.24564746449528</v>
      </c>
      <c r="DG203" s="351"/>
      <c r="DH203" s="351"/>
      <c r="DI203" s="351"/>
      <c r="DJ203" s="326"/>
      <c r="DK203" s="344">
        <f>HLOOKUP(H203,'GDP-PI'!$8:$9,2,FALSE)</f>
        <v>75.266999999999996</v>
      </c>
      <c r="DL203" s="292"/>
      <c r="EC203"/>
    </row>
    <row r="204" spans="1:133" s="126" customFormat="1" ht="21" customHeight="1" x14ac:dyDescent="0.4">
      <c r="A204" s="233" t="s">
        <v>195</v>
      </c>
      <c r="B204" s="127" t="s">
        <v>195</v>
      </c>
      <c r="C204" s="127">
        <v>4057112</v>
      </c>
      <c r="D204" s="127" t="s">
        <v>180</v>
      </c>
      <c r="E204" s="127"/>
      <c r="F204" s="127"/>
      <c r="G204" s="127" t="s">
        <v>155</v>
      </c>
      <c r="H204" s="128">
        <v>1999</v>
      </c>
      <c r="I204" s="129"/>
      <c r="J204" s="125"/>
      <c r="K204" s="125"/>
      <c r="L204" s="47"/>
      <c r="M204" s="125"/>
      <c r="N204" s="125"/>
      <c r="O204" s="125"/>
      <c r="P204" s="47"/>
      <c r="Q204" s="47"/>
      <c r="R204" s="386"/>
      <c r="S204" s="119"/>
      <c r="T204" s="47"/>
      <c r="U204" s="46"/>
      <c r="V204" s="135"/>
      <c r="W204" s="135"/>
      <c r="X204" s="135"/>
      <c r="Y204" s="143"/>
      <c r="Z204" s="135"/>
      <c r="AA204" s="135"/>
      <c r="AB204" s="135"/>
      <c r="AC204" s="125">
        <f t="shared" ref="AC204:AC227" si="404">+CL203*DB204</f>
        <v>0</v>
      </c>
      <c r="AD204" s="129"/>
      <c r="AE204" s="133">
        <v>1360.0497474428309</v>
      </c>
      <c r="AF204" s="134">
        <v>4.4269922817638835E-2</v>
      </c>
      <c r="AG204" s="61"/>
      <c r="AH204" s="134"/>
      <c r="AI204" s="134"/>
      <c r="AJ204" s="129">
        <f t="shared" si="331"/>
        <v>0</v>
      </c>
      <c r="AK204" s="134"/>
      <c r="AL204" s="129"/>
      <c r="AM204" s="134"/>
      <c r="AN204" s="134"/>
      <c r="AO204" s="134"/>
      <c r="AP204" s="133"/>
      <c r="AQ204" s="134"/>
      <c r="AR204" s="93"/>
      <c r="AS204" s="93"/>
      <c r="AT204" s="93"/>
      <c r="AU204" s="93"/>
      <c r="AV204" s="93"/>
      <c r="AW204" s="134"/>
      <c r="AX204" s="62"/>
      <c r="AY204" s="93"/>
      <c r="AZ204" s="93"/>
      <c r="BA204" s="93"/>
      <c r="BB204" s="234">
        <f>IFERROR(INDEX('Total Customers'!$E$7:$AA$91,MATCH($C204,'Total Customers'!$C$7:$C$91,0),MATCH($G204,'Total Customers'!$E$5:$AA$5,0)),"NA")</f>
        <v>185267</v>
      </c>
      <c r="BC204" s="411">
        <f t="shared" si="400"/>
        <v>9.4452866326066018E-2</v>
      </c>
      <c r="BD204" s="92"/>
      <c r="BE204" s="281" t="str">
        <f t="shared" si="396"/>
        <v>CASCADE NATURAL GAS CORPORATION</v>
      </c>
      <c r="BF204" s="290">
        <f t="shared" si="397"/>
        <v>4057112</v>
      </c>
      <c r="BG204" s="46" t="str">
        <f t="shared" si="398"/>
        <v>WA</v>
      </c>
      <c r="BH204" s="46"/>
      <c r="BI204" s="46" t="str">
        <f t="shared" si="399"/>
        <v>1999 Y</v>
      </c>
      <c r="BJ204" s="129"/>
      <c r="BK204" s="129"/>
      <c r="BL204" s="129">
        <f>INDEX('Dist. Plant Gas Additions'!$E$7:$AD$91,MATCH($C204,'Dist. Plant Gas Additions'!$C$7:$C$91,0),MATCH(Calculation!$G204,'Dist. Plant Gas Additions'!$E$5:$AD$5,0))</f>
        <v>20610</v>
      </c>
      <c r="BM204" s="129">
        <f>INDEX('Gen. Plant Additions'!$E$7:$AD$91,MATCH($C204,'Gen. Plant Additions'!$C$7:$C$91,0),MATCH(Calculation!$G204,'Gen. Plant Additions'!$E$5:$AD$5,0))</f>
        <v>1310</v>
      </c>
      <c r="BN204" s="393">
        <f t="shared" ref="BN204:BN225" si="405">+(BY204/(BY204+BZ204))</f>
        <v>0.92067813724120207</v>
      </c>
      <c r="BO204" s="46">
        <f t="shared" ref="BO204:BO222" si="406">+BN204*BM204</f>
        <v>1206.0883597859747</v>
      </c>
      <c r="BP204" s="46">
        <f t="shared" ref="BP204:BP222" si="407">+BO204-BM204</f>
        <v>-103.91164021402528</v>
      </c>
      <c r="BQ204" s="129">
        <f>INDEX('Dist Plant Depreciation'!$D$7:$AC$94,MATCH($C204,'Dist Plant Depreciation'!$C$7:$C$94,0),MATCH(Calculation!$G204,'Dist Plant Depreciation'!$D$5:$AC$5,0))</f>
        <v>156246</v>
      </c>
      <c r="BR204" s="129">
        <f>INDEX('Gen. Plant Depreciation'!$D$7:$AC$94,MATCH($C204,'Gen. Plant Depreciation'!$C$7:$C$94,0),MATCH(Calculation!$G204,'Gen. Plant Depreciation'!$D$5:$AC$5,0))</f>
        <v>17275</v>
      </c>
      <c r="BS204" s="129"/>
      <c r="BT204" s="129"/>
      <c r="BU204" s="129"/>
      <c r="BV204" s="129"/>
      <c r="BW204" s="129"/>
      <c r="BX204" s="129"/>
      <c r="BY204" s="129">
        <f>INDEX('Gross Dx Plant'!$D$7:$AC$91,MATCH($C204,'Gross Dx Plant'!$C$7:$C$91,0),MATCH(Calculation!$G204,'Gross Dx Plant'!$D$5:$AC$5,0))</f>
        <v>408492</v>
      </c>
      <c r="BZ204" s="129">
        <f>INDEX('Gross Gen Plant'!$D$7:$AC$91,MATCH($C204,'Gross Gen Plant'!$C$7:$C$91,0),MATCH(Calculation!$G204,'Gross Gen Plant'!$D$5:$AC$5,0))</f>
        <v>35194</v>
      </c>
      <c r="CA204" s="129">
        <f t="shared" si="307"/>
        <v>270165</v>
      </c>
      <c r="CB204" s="129"/>
      <c r="CC204" s="133">
        <v>1999</v>
      </c>
      <c r="CD204" s="129"/>
      <c r="CE204" s="129"/>
      <c r="CF204" s="129"/>
      <c r="CG204" s="137"/>
      <c r="CH204" s="129">
        <f t="shared" ref="CH204:CH226" si="408">+BM204+BL204</f>
        <v>21920</v>
      </c>
      <c r="CI204" s="46">
        <f>+CH204+BP204</f>
        <v>21816.088359785976</v>
      </c>
      <c r="CJ204" s="46">
        <f t="shared" ref="CJ204:CJ227" si="409">+CI204/$DF204</f>
        <v>65.059536017147252</v>
      </c>
      <c r="CK204" s="443">
        <v>0.99009900990099009</v>
      </c>
      <c r="CL204" s="46">
        <f>+CL203*CK204+CJ204</f>
        <v>1353.3305555127195</v>
      </c>
      <c r="CM204" s="134">
        <f t="shared" ref="CM204:CM225" si="410">LN(CL204/CL203)</f>
        <v>3.9317277103208675E-2</v>
      </c>
      <c r="CN204" s="135">
        <f t="shared" ref="CN204:CN227" si="411">+(CL203-CL204+CJ204)/CL203</f>
        <v>9.9009900990099965E-3</v>
      </c>
      <c r="CO204" s="135"/>
      <c r="CP204" s="134">
        <f>VLOOKUP($H204,RoR!$E:$F,2,FALSE)</f>
        <v>7.0416666666666669E-2</v>
      </c>
      <c r="CQ204" s="135">
        <v>1.4335631817396832E-2</v>
      </c>
      <c r="CR204" s="135">
        <f>+CP204-CQ204</f>
        <v>5.6081034849269837E-2</v>
      </c>
      <c r="CS204" s="135"/>
      <c r="CT204" s="135"/>
      <c r="CU204" s="139">
        <f t="shared" ref="CU204:CU227" si="412">1-CZ204*DA204</f>
        <v>0.87050000000000005</v>
      </c>
      <c r="CV204" s="335">
        <f t="shared" ref="CV204:CV226" si="413">2/(DD204*39)</f>
        <v>0.72826581702321336</v>
      </c>
      <c r="CW204" s="335">
        <f t="shared" ref="CW204:CW226" si="414">+(DD204*40-(1+DD204))/(DD204*40)</f>
        <v>0.61997041420118348</v>
      </c>
      <c r="CX204" s="335">
        <f t="shared" ref="CX204:CX226" si="415">+(1-(1/(1+DD204)^40))</f>
        <v>0.93425155319585029</v>
      </c>
      <c r="CY204" s="335">
        <f t="shared" ref="CY204:CY226" si="416">+CX204*CW204*CV204</f>
        <v>0.42181762214141483</v>
      </c>
      <c r="CZ204" s="336">
        <f>INDEX('State Tax Lookup'!$D$7:$Z$91,MATCH(Calculation!$C204,'State Tax Lookup'!$B$7:$B$91,0),MATCH($H204,'State Tax Lookup'!$D$6:$Z$6,0))</f>
        <v>0.35</v>
      </c>
      <c r="DA204" s="303">
        <v>0.37</v>
      </c>
      <c r="DB204" s="57"/>
      <c r="DC204" s="56"/>
      <c r="DD204" s="303">
        <f>VLOOKUP($H204,RoR!$E:$F,2,FALSE)</f>
        <v>7.0416666666666669E-2</v>
      </c>
      <c r="DE204" s="304">
        <f>HLOOKUP($H204,'GDP-PI'!$D$8:$CQ$11,3,FALSE)</f>
        <v>1.4335631817396832E-2</v>
      </c>
      <c r="DF204" s="303">
        <f>VLOOKUP(H204,'HW Dx Data'!$E:$F,2,FALSE)</f>
        <v>335.32499146683239</v>
      </c>
      <c r="DG204" s="89"/>
      <c r="DH204" s="89"/>
      <c r="DI204" s="89"/>
      <c r="DJ204" s="56"/>
      <c r="DK204" s="53">
        <f>HLOOKUP(H204,'GDP-PI'!$8:$9,2,FALSE)</f>
        <v>76.346000000000004</v>
      </c>
      <c r="DL204" s="298"/>
      <c r="EC204"/>
    </row>
    <row r="205" spans="1:133" s="126" customFormat="1" ht="21" customHeight="1" x14ac:dyDescent="0.4">
      <c r="A205" s="233" t="s">
        <v>195</v>
      </c>
      <c r="B205" s="127" t="s">
        <v>195</v>
      </c>
      <c r="C205" s="127">
        <v>4057112</v>
      </c>
      <c r="D205" s="127" t="s">
        <v>180</v>
      </c>
      <c r="E205" s="127"/>
      <c r="F205" s="127"/>
      <c r="G205" s="127" t="s">
        <v>156</v>
      </c>
      <c r="H205" s="128">
        <v>2000</v>
      </c>
      <c r="I205" s="129"/>
      <c r="J205" s="125"/>
      <c r="K205" s="125"/>
      <c r="L205" s="47"/>
      <c r="M205" s="125"/>
      <c r="N205" s="125"/>
      <c r="O205" s="125"/>
      <c r="P205" s="47"/>
      <c r="Q205" s="47"/>
      <c r="R205" s="386"/>
      <c r="S205" s="119"/>
      <c r="T205" s="47"/>
      <c r="U205" s="47"/>
      <c r="V205" s="125"/>
      <c r="W205" s="125"/>
      <c r="X205" s="125"/>
      <c r="Y205" s="125"/>
      <c r="Z205" s="125"/>
      <c r="AA205" s="125"/>
      <c r="AB205" s="125"/>
      <c r="AC205" s="125">
        <f t="shared" si="404"/>
        <v>0</v>
      </c>
      <c r="AD205" s="129"/>
      <c r="AE205" s="133">
        <v>1405.5231599315446</v>
      </c>
      <c r="AF205" s="134">
        <v>3.2888311220600319E-2</v>
      </c>
      <c r="AG205" s="61"/>
      <c r="AH205" s="134"/>
      <c r="AI205" s="134"/>
      <c r="AJ205" s="129">
        <f t="shared" si="331"/>
        <v>0</v>
      </c>
      <c r="AK205" s="134"/>
      <c r="AL205" s="129"/>
      <c r="AM205" s="129"/>
      <c r="AN205" s="129"/>
      <c r="AO205" s="129"/>
      <c r="AP205" s="133"/>
      <c r="AQ205" s="134"/>
      <c r="AR205" s="93"/>
      <c r="AS205" s="93"/>
      <c r="AT205" s="93"/>
      <c r="AU205" s="93"/>
      <c r="AV205" s="93"/>
      <c r="AW205" s="134"/>
      <c r="AX205" s="62"/>
      <c r="AY205" s="93"/>
      <c r="AZ205" s="93"/>
      <c r="BA205" s="93"/>
      <c r="BB205" s="234">
        <f>IFERROR(INDEX('Total Customers'!$E$7:$AA$91,MATCH($C205,'Total Customers'!$C$7:$C$91,0),MATCH($G205,'Total Customers'!$E$5:$AA$5,0)),"NA")</f>
        <v>193160</v>
      </c>
      <c r="BC205" s="411">
        <f t="shared" si="400"/>
        <v>4.1720833158317767E-2</v>
      </c>
      <c r="BD205" s="92"/>
      <c r="BE205" s="281" t="str">
        <f t="shared" si="396"/>
        <v>CASCADE NATURAL GAS CORPORATION</v>
      </c>
      <c r="BF205" s="290">
        <f t="shared" si="397"/>
        <v>4057112</v>
      </c>
      <c r="BG205" s="46" t="str">
        <f t="shared" si="398"/>
        <v>WA</v>
      </c>
      <c r="BH205" s="46"/>
      <c r="BI205" s="46" t="str">
        <f t="shared" si="399"/>
        <v>2000 Y</v>
      </c>
      <c r="BJ205" s="129"/>
      <c r="BK205" s="129"/>
      <c r="BL205" s="129">
        <f>INDEX('Dist. Plant Gas Additions'!$E$7:$AD$91,MATCH($C205,'Dist. Plant Gas Additions'!$C$7:$C$91,0),MATCH(Calculation!$G205,'Dist. Plant Gas Additions'!$E$5:$AD$5,0))</f>
        <v>16919</v>
      </c>
      <c r="BM205" s="129">
        <f>INDEX('Gen. Plant Additions'!$E$7:$AD$91,MATCH($C205,'Gen. Plant Additions'!$C$7:$C$91,0),MATCH(Calculation!$G205,'Gen. Plant Additions'!$E$5:$AD$5,0))</f>
        <v>1263</v>
      </c>
      <c r="BN205" s="393">
        <f t="shared" si="405"/>
        <v>0.92227666989858759</v>
      </c>
      <c r="BO205" s="46">
        <f t="shared" si="406"/>
        <v>1164.8354340819162</v>
      </c>
      <c r="BP205" s="46">
        <f t="shared" si="407"/>
        <v>-98.164565918083781</v>
      </c>
      <c r="BQ205" s="129">
        <f>INDEX('Dist Plant Depreciation'!$D$7:$AC$94,MATCH($C205,'Dist Plant Depreciation'!$C$7:$C$94,0),MATCH(Calculation!$G205,'Dist Plant Depreciation'!$D$5:$AC$5,0))</f>
        <v>167411</v>
      </c>
      <c r="BR205" s="129">
        <f>INDEX('Gen. Plant Depreciation'!$D$7:$AC$94,MATCH($C205,'Gen. Plant Depreciation'!$C$7:$C$94,0),MATCH(Calculation!$G205,'Gen. Plant Depreciation'!$D$5:$AC$5,0))</f>
        <v>18131</v>
      </c>
      <c r="BS205" s="129"/>
      <c r="BT205" s="129"/>
      <c r="BU205" s="129"/>
      <c r="BV205" s="129"/>
      <c r="BW205" s="129"/>
      <c r="BX205" s="129"/>
      <c r="BY205" s="129">
        <f>INDEX('Gross Dx Plant'!$D$7:$AC$91,MATCH($C205,'Gross Dx Plant'!$C$7:$C$91,0),MATCH(Calculation!$G205,'Gross Dx Plant'!$D$5:$AC$5,0))</f>
        <v>422340</v>
      </c>
      <c r="BZ205" s="129">
        <f>INDEX('Gross Gen Plant'!$D$7:$AC$91,MATCH($C205,'Gross Gen Plant'!$C$7:$C$91,0),MATCH(Calculation!$G205,'Gross Gen Plant'!$D$5:$AC$5,0))</f>
        <v>35592</v>
      </c>
      <c r="CA205" s="129">
        <f t="shared" si="307"/>
        <v>272390</v>
      </c>
      <c r="CB205" s="129"/>
      <c r="CC205" s="133">
        <v>2000</v>
      </c>
      <c r="CD205" s="129"/>
      <c r="CE205" s="129"/>
      <c r="CF205" s="129"/>
      <c r="CG205" s="137"/>
      <c r="CH205" s="129">
        <f t="shared" si="408"/>
        <v>18182</v>
      </c>
      <c r="CI205" s="46">
        <f t="shared" ref="CI205:CI227" si="417">+CH205+BP205</f>
        <v>18083.835434081917</v>
      </c>
      <c r="CJ205" s="46">
        <f t="shared" si="409"/>
        <v>52.184923151970885</v>
      </c>
      <c r="CK205" s="443">
        <v>0.98</v>
      </c>
      <c r="CL205" s="46">
        <f>+CL203*CK205+CJ204*CK204+CJ205</f>
        <v>1391.7309604438835</v>
      </c>
      <c r="CM205" s="134">
        <f t="shared" si="410"/>
        <v>2.797963532229935E-2</v>
      </c>
      <c r="CN205" s="135">
        <f t="shared" si="411"/>
        <v>1.0185625503433965E-2</v>
      </c>
      <c r="CO205" s="135"/>
      <c r="CP205" s="134">
        <f>VLOOKUP($H205,RoR!$E:$F,2,FALSE)</f>
        <v>7.6225000000000001E-2</v>
      </c>
      <c r="CQ205" s="135">
        <v>2.2568307442433211E-2</v>
      </c>
      <c r="CR205" s="135">
        <f t="shared" ref="CR205:CR225" si="418">+CP205-CQ205</f>
        <v>5.365669255756679E-2</v>
      </c>
      <c r="CS205" s="135"/>
      <c r="CT205" s="135"/>
      <c r="CU205" s="139">
        <f t="shared" si="412"/>
        <v>0.87050000000000005</v>
      </c>
      <c r="CV205" s="335">
        <f t="shared" si="413"/>
        <v>0.67277207323124022</v>
      </c>
      <c r="CW205" s="335">
        <f t="shared" si="414"/>
        <v>0.6470236142997704</v>
      </c>
      <c r="CX205" s="335">
        <f t="shared" si="415"/>
        <v>0.94704866037543145</v>
      </c>
      <c r="CY205" s="335">
        <f t="shared" si="416"/>
        <v>0.41224973107878493</v>
      </c>
      <c r="CZ205" s="336">
        <f>INDEX('State Tax Lookup'!$D$7:$Z$91,MATCH(Calculation!$C205,'State Tax Lookup'!$B$7:$B$91,0),MATCH($H205,'State Tax Lookup'!$D$6:$Z$6,0))</f>
        <v>0.35</v>
      </c>
      <c r="DA205" s="303">
        <v>0.37</v>
      </c>
      <c r="DB205" s="57"/>
      <c r="DC205" s="56"/>
      <c r="DD205" s="303">
        <f>VLOOKUP($H205,RoR!$E:$F,2,FALSE)</f>
        <v>7.6225000000000001E-2</v>
      </c>
      <c r="DE205" s="304">
        <f>HLOOKUP($H205,'GDP-PI'!$D$8:$CQ$11,3,FALSE)</f>
        <v>2.2568307442433211E-2</v>
      </c>
      <c r="DF205" s="303">
        <f>VLOOKUP(H205,'HW Dx Data'!$E:$F,2,FALSE)</f>
        <v>346.53371782150339</v>
      </c>
      <c r="DG205" s="89"/>
      <c r="DH205" s="89"/>
      <c r="DI205" s="89"/>
      <c r="DJ205" s="56"/>
      <c r="DK205" s="53">
        <f>HLOOKUP(H205,'GDP-PI'!$8:$9,2,FALSE)</f>
        <v>78.069000000000003</v>
      </c>
      <c r="DL205" s="298"/>
      <c r="EC205"/>
    </row>
    <row r="206" spans="1:133" s="126" customFormat="1" ht="21" customHeight="1" x14ac:dyDescent="0.4">
      <c r="A206" s="233" t="s">
        <v>195</v>
      </c>
      <c r="B206" s="127" t="s">
        <v>195</v>
      </c>
      <c r="C206" s="127">
        <v>4057112</v>
      </c>
      <c r="D206" s="127" t="s">
        <v>180</v>
      </c>
      <c r="E206" s="127"/>
      <c r="F206" s="127"/>
      <c r="G206" s="127" t="s">
        <v>157</v>
      </c>
      <c r="H206" s="128">
        <v>2001</v>
      </c>
      <c r="I206" s="129"/>
      <c r="J206" s="125"/>
      <c r="K206" s="125"/>
      <c r="L206" s="47"/>
      <c r="M206" s="125"/>
      <c r="N206" s="125"/>
      <c r="O206" s="125"/>
      <c r="P206" s="47"/>
      <c r="Q206" s="47"/>
      <c r="R206" s="386"/>
      <c r="S206" s="119"/>
      <c r="T206" s="47"/>
      <c r="U206" s="47"/>
      <c r="V206" s="125"/>
      <c r="W206" s="125"/>
      <c r="X206" s="125"/>
      <c r="Y206" s="125"/>
      <c r="Z206" s="125"/>
      <c r="AA206" s="125"/>
      <c r="AB206" s="125"/>
      <c r="AC206" s="125">
        <f t="shared" si="404"/>
        <v>13683.00482216771</v>
      </c>
      <c r="AD206" s="129"/>
      <c r="AE206" s="133">
        <v>1453.7529537239261</v>
      </c>
      <c r="AF206" s="134">
        <v>3.3738867343363725E-2</v>
      </c>
      <c r="AG206" s="61"/>
      <c r="AH206" s="134"/>
      <c r="AI206" s="134"/>
      <c r="AJ206" s="129">
        <f t="shared" si="331"/>
        <v>13683.00482216771</v>
      </c>
      <c r="AK206" s="134"/>
      <c r="AL206" s="129"/>
      <c r="AM206" s="129"/>
      <c r="AN206" s="129"/>
      <c r="AO206" s="129"/>
      <c r="AP206" s="133"/>
      <c r="AQ206" s="134"/>
      <c r="AR206" s="93"/>
      <c r="AS206" s="93"/>
      <c r="AT206" s="93"/>
      <c r="AU206" s="93"/>
      <c r="AV206" s="93"/>
      <c r="AW206" s="134"/>
      <c r="AX206" s="62"/>
      <c r="AY206" s="93"/>
      <c r="AZ206" s="93"/>
      <c r="BA206" s="93"/>
      <c r="BB206" s="234">
        <f>IFERROR(INDEX('Total Customers'!$E$7:$AA$91,MATCH($C206,'Total Customers'!$C$7:$C$91,0),MATCH($G206,'Total Customers'!$E$5:$AA$5,0)),"NA")</f>
        <v>199028</v>
      </c>
      <c r="BC206" s="411">
        <f t="shared" si="400"/>
        <v>2.99266573389276E-2</v>
      </c>
      <c r="BD206" s="92"/>
      <c r="BE206" s="281" t="str">
        <f t="shared" si="396"/>
        <v>CASCADE NATURAL GAS CORPORATION</v>
      </c>
      <c r="BF206" s="290">
        <f t="shared" si="397"/>
        <v>4057112</v>
      </c>
      <c r="BG206" s="46" t="str">
        <f t="shared" si="398"/>
        <v>WA</v>
      </c>
      <c r="BH206" s="46"/>
      <c r="BI206" s="46" t="str">
        <f t="shared" si="399"/>
        <v>2001 Y</v>
      </c>
      <c r="BJ206" s="129"/>
      <c r="BK206" s="129"/>
      <c r="BL206" s="129">
        <f>INDEX('Dist. Plant Gas Additions'!$E$7:$AD$91,MATCH($C206,'Dist. Plant Gas Additions'!$C$7:$C$91,0),MATCH(Calculation!$G206,'Dist. Plant Gas Additions'!$E$5:$AD$5,0))</f>
        <v>14397</v>
      </c>
      <c r="BM206" s="129">
        <f>INDEX('Gen. Plant Additions'!$E$7:$AD$91,MATCH($C206,'Gen. Plant Additions'!$C$7:$C$91,0),MATCH(Calculation!$G206,'Gen. Plant Additions'!$E$5:$AD$5,0))</f>
        <v>5198</v>
      </c>
      <c r="BN206" s="393">
        <f t="shared" si="405"/>
        <v>0.9160207478646849</v>
      </c>
      <c r="BO206" s="46">
        <f t="shared" si="406"/>
        <v>4761.4758474006321</v>
      </c>
      <c r="BP206" s="46">
        <f t="shared" si="407"/>
        <v>-436.52415259936788</v>
      </c>
      <c r="BQ206" s="129">
        <f>INDEX('Dist Plant Depreciation'!$D$7:$AC$94,MATCH($C206,'Dist Plant Depreciation'!$C$7:$C$94,0),MATCH(Calculation!$G206,'Dist Plant Depreciation'!$D$5:$AC$5,0))</f>
        <v>178860</v>
      </c>
      <c r="BR206" s="129">
        <f>INDEX('Gen. Plant Depreciation'!$D$7:$AC$94,MATCH($C206,'Gen. Plant Depreciation'!$C$7:$C$94,0),MATCH(Calculation!$G206,'Gen. Plant Depreciation'!$D$5:$AC$5,0))</f>
        <v>19120</v>
      </c>
      <c r="BS206" s="129"/>
      <c r="BT206" s="129"/>
      <c r="BU206" s="129"/>
      <c r="BV206" s="129"/>
      <c r="BW206" s="129"/>
      <c r="BX206" s="129"/>
      <c r="BY206" s="129">
        <f>INDEX('Gross Dx Plant'!$D$7:$AC$91,MATCH($C206,'Gross Dx Plant'!$C$7:$C$91,0),MATCH(Calculation!$G206,'Gross Dx Plant'!$D$5:$AC$5,0))</f>
        <v>435850</v>
      </c>
      <c r="BZ206" s="129">
        <f>INDEX('Gross Gen Plant'!$D$7:$AC$91,MATCH($C206,'Gross Gen Plant'!$C$7:$C$91,0),MATCH(Calculation!$G206,'Gross Gen Plant'!$D$5:$AC$5,0))</f>
        <v>39958</v>
      </c>
      <c r="CA206" s="129">
        <f t="shared" si="307"/>
        <v>277828</v>
      </c>
      <c r="CB206" s="129"/>
      <c r="CC206" s="133">
        <v>2001</v>
      </c>
      <c r="CD206" s="129"/>
      <c r="CE206" s="129"/>
      <c r="CF206" s="129"/>
      <c r="CG206" s="137"/>
      <c r="CH206" s="129">
        <f t="shared" si="408"/>
        <v>19595</v>
      </c>
      <c r="CI206" s="46">
        <f t="shared" si="417"/>
        <v>19158.47584740063</v>
      </c>
      <c r="CJ206" s="46">
        <f t="shared" si="409"/>
        <v>54.204605613214518</v>
      </c>
      <c r="CK206" s="443">
        <v>0.96969696969696972</v>
      </c>
      <c r="CL206" s="46">
        <f>+CL203*CK206+CJ204*CK205+CJ205*CK203+CJ206</f>
        <v>1431.8727028528047</v>
      </c>
      <c r="CM206" s="134">
        <f t="shared" si="410"/>
        <v>2.8434902242311141E-2</v>
      </c>
      <c r="CN206" s="135">
        <f t="shared" si="411"/>
        <v>1.0104584581353382E-2</v>
      </c>
      <c r="CO206" s="135">
        <f>+(CN206+CN205+CN204)/3</f>
        <v>1.0063733394599114E-2</v>
      </c>
      <c r="CP206" s="134">
        <f>VLOOKUP($H206,RoR!$E:$F,2,FALSE)</f>
        <v>7.0824999999999999E-2</v>
      </c>
      <c r="CQ206" s="135">
        <v>2.2454495382290052E-2</v>
      </c>
      <c r="CR206" s="135">
        <f t="shared" si="418"/>
        <v>4.8370504617709947E-2</v>
      </c>
      <c r="CS206" s="135">
        <f>+$CR$2-CO206</f>
        <v>2.0838208213934513E-2</v>
      </c>
      <c r="CT206" s="135">
        <f>+((DF204/DF203-1)+(DF205/DF204-1)+(DF206/DF205-1))/3</f>
        <v>2.3947275901631187E-2</v>
      </c>
      <c r="CU206" s="139">
        <f t="shared" si="412"/>
        <v>0.87050000000000005</v>
      </c>
      <c r="CV206" s="335">
        <f t="shared" si="413"/>
        <v>0.72406708481540816</v>
      </c>
      <c r="CW206" s="335">
        <f t="shared" si="414"/>
        <v>0.62201729615248857</v>
      </c>
      <c r="CX206" s="335">
        <f t="shared" si="415"/>
        <v>0.9352469954311422</v>
      </c>
      <c r="CY206" s="335">
        <f t="shared" si="416"/>
        <v>0.42121864641655071</v>
      </c>
      <c r="CZ206" s="336">
        <f>INDEX('State Tax Lookup'!$D$7:$Z$91,MATCH(Calculation!$C206,'State Tax Lookup'!$B$7:$B$91,0),MATCH($H206,'State Tax Lookup'!$D$6:$Z$6,0))</f>
        <v>0.35</v>
      </c>
      <c r="DA206" s="303">
        <v>0.37</v>
      </c>
      <c r="DB206" s="57">
        <f t="shared" ref="DB206:DB227" si="419">+(DF206*CS206-CT206)*CU206/(1-CZ206)</f>
        <v>9.8316450600506897</v>
      </c>
      <c r="DC206" s="56"/>
      <c r="DD206" s="303">
        <f>VLOOKUP($H206,RoR!$E:$F,2,FALSE)</f>
        <v>7.0824999999999999E-2</v>
      </c>
      <c r="DE206" s="304">
        <f>HLOOKUP($H206,'GDP-PI'!$D$8:$CQ$11,3,FALSE)</f>
        <v>2.2454495382290052E-2</v>
      </c>
      <c r="DF206" s="303">
        <f>VLOOKUP(H206,'HW Dx Data'!$E:$F,2,FALSE)</f>
        <v>353.44738017483138</v>
      </c>
      <c r="DG206" s="89"/>
      <c r="DH206" s="89"/>
      <c r="DI206" s="89"/>
      <c r="DJ206" s="56"/>
      <c r="DK206" s="53">
        <f>HLOOKUP(H206,'GDP-PI'!$8:$9,2,FALSE)</f>
        <v>79.822000000000003</v>
      </c>
      <c r="DL206" s="298"/>
      <c r="EC206"/>
    </row>
    <row r="207" spans="1:133" s="126" customFormat="1" ht="21" customHeight="1" x14ac:dyDescent="0.4">
      <c r="A207" s="233" t="s">
        <v>195</v>
      </c>
      <c r="B207" s="127" t="s">
        <v>195</v>
      </c>
      <c r="C207" s="127">
        <v>4057112</v>
      </c>
      <c r="D207" s="127" t="s">
        <v>180</v>
      </c>
      <c r="E207" s="127"/>
      <c r="F207" s="127"/>
      <c r="G207" s="127" t="s">
        <v>158</v>
      </c>
      <c r="H207" s="128">
        <v>2002</v>
      </c>
      <c r="I207" s="129"/>
      <c r="J207" s="125"/>
      <c r="K207" s="125"/>
      <c r="L207" s="47"/>
      <c r="M207" s="125"/>
      <c r="N207" s="125"/>
      <c r="O207" s="125"/>
      <c r="P207" s="47"/>
      <c r="Q207" s="47"/>
      <c r="R207" s="386"/>
      <c r="S207" s="119"/>
      <c r="T207" s="47"/>
      <c r="U207" s="47"/>
      <c r="V207" s="125"/>
      <c r="W207" s="125"/>
      <c r="X207" s="125"/>
      <c r="Y207" s="125"/>
      <c r="Z207" s="125"/>
      <c r="AA207" s="125"/>
      <c r="AB207" s="125"/>
      <c r="AC207" s="125">
        <f t="shared" si="404"/>
        <v>14108.090827501757</v>
      </c>
      <c r="AD207" s="129"/>
      <c r="AE207" s="133">
        <v>1495.1318812327834</v>
      </c>
      <c r="AF207" s="134">
        <v>2.8065961178362912E-2</v>
      </c>
      <c r="AG207" s="61"/>
      <c r="AH207" s="134"/>
      <c r="AI207" s="134"/>
      <c r="AJ207" s="129">
        <f t="shared" si="331"/>
        <v>14108.090827501757</v>
      </c>
      <c r="AK207" s="134"/>
      <c r="AL207" s="129"/>
      <c r="AM207" s="129"/>
      <c r="AN207" s="129"/>
      <c r="AO207" s="129"/>
      <c r="AP207" s="133"/>
      <c r="AQ207" s="134"/>
      <c r="AR207" s="93"/>
      <c r="AS207" s="93"/>
      <c r="AT207" s="93"/>
      <c r="AU207" s="93"/>
      <c r="AV207" s="93"/>
      <c r="AW207" s="134"/>
      <c r="AX207" s="62"/>
      <c r="AY207" s="93"/>
      <c r="AZ207" s="93"/>
      <c r="BA207" s="93"/>
      <c r="BB207" s="234">
        <f>IFERROR(INDEX('Total Customers'!$E$7:$AA$91,MATCH($C207,'Total Customers'!$C$7:$C$91,0),MATCH($G207,'Total Customers'!$E$5:$AA$5,0)),"NA")</f>
        <v>204735</v>
      </c>
      <c r="BC207" s="411">
        <f t="shared" si="400"/>
        <v>2.8270941631999696E-2</v>
      </c>
      <c r="BD207" s="92"/>
      <c r="BE207" s="281" t="str">
        <f t="shared" si="396"/>
        <v>CASCADE NATURAL GAS CORPORATION</v>
      </c>
      <c r="BF207" s="290">
        <f t="shared" si="397"/>
        <v>4057112</v>
      </c>
      <c r="BG207" s="46" t="str">
        <f t="shared" si="398"/>
        <v>WA</v>
      </c>
      <c r="BH207" s="46"/>
      <c r="BI207" s="46" t="str">
        <f t="shared" si="399"/>
        <v>2002 Y</v>
      </c>
      <c r="BJ207" s="129"/>
      <c r="BK207" s="129"/>
      <c r="BL207" s="129">
        <f>INDEX('Dist. Plant Gas Additions'!$E$7:$AD$91,MATCH($C207,'Dist. Plant Gas Additions'!$C$7:$C$91,0),MATCH(Calculation!$G207,'Dist. Plant Gas Additions'!$E$5:$AD$5,0))</f>
        <v>14800</v>
      </c>
      <c r="BM207" s="129">
        <f>INDEX('Gen. Plant Additions'!$E$7:$AD$91,MATCH($C207,'Gen. Plant Additions'!$C$7:$C$91,0),MATCH(Calculation!$G207,'Gen. Plant Additions'!$E$5:$AD$5,0))</f>
        <v>3130</v>
      </c>
      <c r="BN207" s="393">
        <f t="shared" si="405"/>
        <v>0.91662186136332968</v>
      </c>
      <c r="BO207" s="46">
        <f t="shared" si="406"/>
        <v>2869.026426067222</v>
      </c>
      <c r="BP207" s="46">
        <f t="shared" si="407"/>
        <v>-260.97357393277798</v>
      </c>
      <c r="BQ207" s="129">
        <f>INDEX('Dist Plant Depreciation'!$D$7:$AC$94,MATCH($C207,'Dist Plant Depreciation'!$C$7:$C$94,0),MATCH(Calculation!$G207,'Dist Plant Depreciation'!$D$5:$AC$5,0))</f>
        <v>152003</v>
      </c>
      <c r="BR207" s="129">
        <f>INDEX('Gen. Plant Depreciation'!$D$7:$AC$94,MATCH($C207,'Gen. Plant Depreciation'!$C$7:$C$94,0),MATCH(Calculation!$G207,'Gen. Plant Depreciation'!$D$5:$AC$5,0))</f>
        <v>14518</v>
      </c>
      <c r="BS207" s="129"/>
      <c r="BT207" s="129"/>
      <c r="BU207" s="129"/>
      <c r="BV207" s="129"/>
      <c r="BW207" s="129"/>
      <c r="BX207" s="129"/>
      <c r="BY207" s="129">
        <f>INDEX('Gross Dx Plant'!$D$7:$AC$91,MATCH($C207,'Gross Dx Plant'!$C$7:$C$91,0),MATCH(Calculation!$G207,'Gross Dx Plant'!$D$5:$AC$5,0))</f>
        <v>455188</v>
      </c>
      <c r="BZ207" s="129">
        <f>INDEX('Gross Gen Plant'!$D$7:$AC$91,MATCH($C207,'Gross Gen Plant'!$C$7:$C$91,0),MATCH(Calculation!$G207,'Gross Gen Plant'!$D$5:$AC$5,0))</f>
        <v>41405</v>
      </c>
      <c r="CA207" s="129">
        <f t="shared" si="307"/>
        <v>330072</v>
      </c>
      <c r="CB207" s="129"/>
      <c r="CC207" s="133">
        <v>2002</v>
      </c>
      <c r="CD207" s="129"/>
      <c r="CE207" s="129"/>
      <c r="CF207" s="129"/>
      <c r="CG207" s="137"/>
      <c r="CH207" s="129">
        <f t="shared" si="408"/>
        <v>17930</v>
      </c>
      <c r="CI207" s="46">
        <f t="shared" si="417"/>
        <v>17669.026426067223</v>
      </c>
      <c r="CJ207" s="46">
        <f t="shared" si="409"/>
        <v>48.897512431451808</v>
      </c>
      <c r="CK207" s="443">
        <v>0.95918367346938771</v>
      </c>
      <c r="CL207" s="46">
        <f>+CL203*CK207+CJ204*CK206+CJ205*CK205+CJ206*CK204+CJ207</f>
        <v>1464.8401125887747</v>
      </c>
      <c r="CM207" s="134">
        <f t="shared" si="410"/>
        <v>2.276292841714174E-2</v>
      </c>
      <c r="CN207" s="135">
        <f t="shared" si="411"/>
        <v>1.1125362375959329E-2</v>
      </c>
      <c r="CO207" s="135">
        <f t="shared" ref="CO207:CO226" si="420">+(CN207+CN206+CN205)/3</f>
        <v>1.0471857486915559E-2</v>
      </c>
      <c r="CP207" s="134">
        <f>VLOOKUP($H207,RoR!$E:$F,2,FALSE)</f>
        <v>6.4916666666666664E-2</v>
      </c>
      <c r="CQ207" s="135">
        <v>1.5246423291824351E-2</v>
      </c>
      <c r="CR207" s="135">
        <f t="shared" si="418"/>
        <v>4.9670243374842313E-2</v>
      </c>
      <c r="CS207" s="135">
        <f t="shared" ref="CS207:CS227" si="421">+$CR$2-CO207</f>
        <v>2.0430084121618064E-2</v>
      </c>
      <c r="CT207" s="135">
        <f t="shared" ref="CT207:CT227" si="422">+((DF205/DF204-1)+(DF206/DF205-1)+(DF207/DF206-1))/3</f>
        <v>2.5243621214759093E-2</v>
      </c>
      <c r="CU207" s="139">
        <f t="shared" si="412"/>
        <v>0.87050000000000005</v>
      </c>
      <c r="CV207" s="335">
        <f t="shared" si="413"/>
        <v>0.78996741384417901</v>
      </c>
      <c r="CW207" s="335">
        <f t="shared" si="414"/>
        <v>0.58989088575096271</v>
      </c>
      <c r="CX207" s="335">
        <f t="shared" si="415"/>
        <v>0.91920675783645744</v>
      </c>
      <c r="CY207" s="335">
        <f t="shared" si="416"/>
        <v>0.42834536472275586</v>
      </c>
      <c r="CZ207" s="336">
        <f>INDEX('State Tax Lookup'!$D$7:$Z$91,MATCH(Calculation!$C207,'State Tax Lookup'!$B$7:$B$91,0),MATCH($H207,'State Tax Lookup'!$D$6:$Z$6,0))</f>
        <v>0.35</v>
      </c>
      <c r="DA207" s="303">
        <v>0.37</v>
      </c>
      <c r="DB207" s="57">
        <f t="shared" si="419"/>
        <v>9.8528946039640068</v>
      </c>
      <c r="DC207" s="56">
        <f t="shared" ref="DC207:DC227" si="423">LN(DB207/DB206)</f>
        <v>2.159009306822481E-3</v>
      </c>
      <c r="DD207" s="303">
        <f>VLOOKUP($H207,RoR!$E:$F,2,FALSE)</f>
        <v>6.4916666666666664E-2</v>
      </c>
      <c r="DE207" s="304">
        <f>HLOOKUP($H207,'GDP-PI'!$D$8:$CQ$11,3,FALSE)</f>
        <v>1.5246423291824351E-2</v>
      </c>
      <c r="DF207" s="303">
        <f>VLOOKUP(H207,'HW Dx Data'!$E:$F,2,FALSE)</f>
        <v>361.34816573413599</v>
      </c>
      <c r="DG207" s="89"/>
      <c r="DH207" s="89"/>
      <c r="DI207" s="89"/>
      <c r="DJ207" s="56"/>
      <c r="DK207" s="53">
        <f>HLOOKUP(H207,'GDP-PI'!$8:$9,2,FALSE)</f>
        <v>81.039000000000001</v>
      </c>
      <c r="DL207" s="355">
        <f>LN(DK207/DK206)</f>
        <v>1.513136459537477E-2</v>
      </c>
      <c r="EC207"/>
    </row>
    <row r="208" spans="1:133" s="126" customFormat="1" ht="21" customHeight="1" x14ac:dyDescent="0.4">
      <c r="A208" s="233" t="s">
        <v>195</v>
      </c>
      <c r="B208" s="127" t="s">
        <v>195</v>
      </c>
      <c r="C208" s="127">
        <v>4057112</v>
      </c>
      <c r="D208" s="127" t="s">
        <v>180</v>
      </c>
      <c r="E208" s="127"/>
      <c r="F208" s="127"/>
      <c r="G208" s="127" t="s">
        <v>159</v>
      </c>
      <c r="H208" s="128">
        <v>2003</v>
      </c>
      <c r="I208" s="129"/>
      <c r="J208" s="125"/>
      <c r="K208" s="125"/>
      <c r="L208" s="47"/>
      <c r="M208" s="131"/>
      <c r="N208" s="131"/>
      <c r="O208" s="131"/>
      <c r="P208" s="59"/>
      <c r="Q208" s="59"/>
      <c r="R208" s="386"/>
      <c r="S208" s="119"/>
      <c r="T208" s="59"/>
      <c r="U208" s="59"/>
      <c r="V208" s="125"/>
      <c r="W208" s="125"/>
      <c r="X208" s="125"/>
      <c r="Y208" s="125"/>
      <c r="Z208" s="125"/>
      <c r="AA208" s="125"/>
      <c r="AB208" s="125"/>
      <c r="AC208" s="125">
        <f t="shared" si="404"/>
        <v>14543.173303978305</v>
      </c>
      <c r="AD208" s="129"/>
      <c r="AE208" s="133">
        <v>1555.3410847747389</v>
      </c>
      <c r="AF208" s="134">
        <v>3.9480450876779427E-2</v>
      </c>
      <c r="AG208" s="61"/>
      <c r="AH208" s="134"/>
      <c r="AI208" s="134"/>
      <c r="AJ208" s="129">
        <f t="shared" si="331"/>
        <v>14543.173303978305</v>
      </c>
      <c r="AK208" s="134"/>
      <c r="AL208" s="129"/>
      <c r="AM208" s="129"/>
      <c r="AN208" s="129"/>
      <c r="AO208" s="129"/>
      <c r="AP208" s="133"/>
      <c r="AQ208" s="134"/>
      <c r="AR208" s="93"/>
      <c r="AS208" s="93"/>
      <c r="AT208" s="93"/>
      <c r="AU208" s="93"/>
      <c r="AV208" s="93"/>
      <c r="AW208" s="134"/>
      <c r="AX208" s="62"/>
      <c r="AY208" s="93"/>
      <c r="AZ208" s="93"/>
      <c r="BA208" s="93"/>
      <c r="BB208" s="234">
        <f>IFERROR(INDEX('Total Customers'!$E$7:$AA$91,MATCH($C208,'Total Customers'!$C$7:$C$91,0),MATCH($G208,'Total Customers'!$E$5:$AA$5,0)),"NA")</f>
        <v>212428</v>
      </c>
      <c r="BC208" s="411">
        <f t="shared" si="400"/>
        <v>3.6886647445130052E-2</v>
      </c>
      <c r="BD208" s="92"/>
      <c r="BE208" s="281" t="str">
        <f t="shared" si="396"/>
        <v>CASCADE NATURAL GAS CORPORATION</v>
      </c>
      <c r="BF208" s="290">
        <f t="shared" si="397"/>
        <v>4057112</v>
      </c>
      <c r="BG208" s="46" t="str">
        <f t="shared" si="398"/>
        <v>WA</v>
      </c>
      <c r="BH208" s="46"/>
      <c r="BI208" s="46" t="str">
        <f t="shared" si="399"/>
        <v>2003 Y</v>
      </c>
      <c r="BJ208" s="129"/>
      <c r="BK208" s="129"/>
      <c r="BL208" s="129">
        <f>INDEX('Dist. Plant Gas Additions'!$E$7:$AD$91,MATCH($C208,'Dist. Plant Gas Additions'!$C$7:$C$91,0),MATCH(Calculation!$G208,'Dist. Plant Gas Additions'!$E$5:$AD$5,0))</f>
        <v>22030</v>
      </c>
      <c r="BM208" s="129">
        <f>INDEX('Gen. Plant Additions'!$E$7:$AD$91,MATCH($C208,'Gen. Plant Additions'!$C$7:$C$91,0),MATCH(Calculation!$G208,'Gen. Plant Additions'!$E$5:$AD$5,0))</f>
        <v>3332</v>
      </c>
      <c r="BN208" s="393">
        <f t="shared" si="405"/>
        <v>0.9145478284771853</v>
      </c>
      <c r="BO208" s="46">
        <f t="shared" si="406"/>
        <v>3047.2733644859813</v>
      </c>
      <c r="BP208" s="46">
        <f t="shared" si="407"/>
        <v>-284.72663551401865</v>
      </c>
      <c r="BQ208" s="129">
        <f>INDEX('Dist Plant Depreciation'!$D$7:$AC$94,MATCH($C208,'Dist Plant Depreciation'!$C$7:$C$94,0),MATCH(Calculation!$G208,'Dist Plant Depreciation'!$D$5:$AC$5,0))</f>
        <v>202689</v>
      </c>
      <c r="BR208" s="129">
        <f>INDEX('Gen. Plant Depreciation'!$D$7:$AC$94,MATCH($C208,'Gen. Plant Depreciation'!$C$7:$C$94,0),MATCH(Calculation!$G208,'Gen. Plant Depreciation'!$D$5:$AC$5,0))</f>
        <v>20976</v>
      </c>
      <c r="BS208" s="129"/>
      <c r="BT208" s="129"/>
      <c r="BU208" s="129"/>
      <c r="BV208" s="129"/>
      <c r="BW208" s="129"/>
      <c r="BX208" s="129"/>
      <c r="BY208" s="129">
        <f>INDEX('Gross Dx Plant'!$D$7:$AC$91,MATCH($C208,'Gross Dx Plant'!$C$7:$C$91,0),MATCH(Calculation!$G208,'Gross Dx Plant'!$D$5:$AC$5,0))</f>
        <v>479106</v>
      </c>
      <c r="BZ208" s="129">
        <f>INDEX('Gross Gen Plant'!$D$7:$AC$91,MATCH($C208,'Gross Gen Plant'!$C$7:$C$91,0),MATCH(Calculation!$G208,'Gross Gen Plant'!$D$5:$AC$5,0))</f>
        <v>44766</v>
      </c>
      <c r="CA208" s="129">
        <f t="shared" si="307"/>
        <v>300207</v>
      </c>
      <c r="CB208" s="129"/>
      <c r="CC208" s="133">
        <v>2003</v>
      </c>
      <c r="CD208" s="129"/>
      <c r="CE208" s="129"/>
      <c r="CF208" s="129"/>
      <c r="CG208" s="137"/>
      <c r="CH208" s="129">
        <f t="shared" si="408"/>
        <v>25362</v>
      </c>
      <c r="CI208" s="46">
        <f t="shared" si="417"/>
        <v>25077.27336448598</v>
      </c>
      <c r="CJ208" s="46">
        <f t="shared" si="409"/>
        <v>67.91720301384801</v>
      </c>
      <c r="CK208" s="443">
        <v>0.94845360824742264</v>
      </c>
      <c r="CL208" s="46">
        <f>+CL203*CK208+CJ204*CK207+CJ205*CK206+CJ206*CK205+CJ207*CK204+CJ208</f>
        <v>1516.5426515648496</v>
      </c>
      <c r="CM208" s="134">
        <f t="shared" si="410"/>
        <v>3.4687074404178876E-2</v>
      </c>
      <c r="CN208" s="135">
        <f t="shared" si="411"/>
        <v>1.1069238136247715E-2</v>
      </c>
      <c r="CO208" s="135">
        <f t="shared" si="420"/>
        <v>1.0766395031186808E-2</v>
      </c>
      <c r="CP208" s="134">
        <f>VLOOKUP($H208,RoR!$E:$F,2,FALSE)</f>
        <v>5.6666666666666671E-2</v>
      </c>
      <c r="CQ208" s="135">
        <v>1.8855119140166909E-2</v>
      </c>
      <c r="CR208" s="135">
        <f t="shared" si="418"/>
        <v>3.7811547526499761E-2</v>
      </c>
      <c r="CS208" s="135">
        <f t="shared" si="421"/>
        <v>2.0135546577346817E-2</v>
      </c>
      <c r="CT208" s="135">
        <f t="shared" si="422"/>
        <v>2.1375012817671957E-2</v>
      </c>
      <c r="CU208" s="139">
        <f t="shared" si="412"/>
        <v>0.87050000000000005</v>
      </c>
      <c r="CV208" s="335">
        <f t="shared" si="413"/>
        <v>0.90497737556561086</v>
      </c>
      <c r="CW208" s="335">
        <f t="shared" si="414"/>
        <v>0.5338235294117647</v>
      </c>
      <c r="CX208" s="335">
        <f t="shared" si="415"/>
        <v>0.88972433127405692</v>
      </c>
      <c r="CY208" s="335">
        <f t="shared" si="416"/>
        <v>0.42982423775949252</v>
      </c>
      <c r="CZ208" s="336">
        <f>INDEX('State Tax Lookup'!$D$7:$Z$91,MATCH(Calculation!$C208,'State Tax Lookup'!$B$7:$B$91,0),MATCH($H208,'State Tax Lookup'!$D$6:$Z$6,0))</f>
        <v>0.35</v>
      </c>
      <c r="DA208" s="303">
        <v>0.37</v>
      </c>
      <c r="DB208" s="57">
        <f t="shared" si="419"/>
        <v>9.9281642951984193</v>
      </c>
      <c r="DC208" s="56">
        <f t="shared" si="423"/>
        <v>7.6103159997742229E-3</v>
      </c>
      <c r="DD208" s="303">
        <f>VLOOKUP($H208,RoR!$E:$F,2,FALSE)</f>
        <v>5.6666666666666671E-2</v>
      </c>
      <c r="DE208" s="304">
        <f>HLOOKUP($H208,'GDP-PI'!$D$8:$CQ$11,3,FALSE)</f>
        <v>1.8855119140166909E-2</v>
      </c>
      <c r="DF208" s="303">
        <f>VLOOKUP(H208,'HW Dx Data'!$E:$F,2,FALSE)</f>
        <v>369.23301095560191</v>
      </c>
      <c r="DG208" s="89">
        <f ca="1">VLOOKUP(CC208,'ECI - Input Price'!M$13:N$33,2,FALSE)</f>
        <v>89.25</v>
      </c>
      <c r="DH208" s="89"/>
      <c r="DI208" s="89"/>
      <c r="DJ208" s="56"/>
      <c r="DK208" s="53">
        <f>HLOOKUP(H208,'GDP-PI'!$8:$9,2,FALSE)</f>
        <v>82.566999999999993</v>
      </c>
      <c r="DL208" s="355">
        <f t="shared" ref="DL208:DL227" si="424">LN(DK208/DK207)</f>
        <v>1.8679564681853753E-2</v>
      </c>
      <c r="EC208"/>
    </row>
    <row r="209" spans="1:133" s="126" customFormat="1" ht="21" customHeight="1" x14ac:dyDescent="0.4">
      <c r="A209" s="233" t="s">
        <v>195</v>
      </c>
      <c r="B209" s="127" t="s">
        <v>195</v>
      </c>
      <c r="C209" s="127">
        <v>4057112</v>
      </c>
      <c r="D209" s="127" t="s">
        <v>180</v>
      </c>
      <c r="E209" s="127"/>
      <c r="F209" s="127"/>
      <c r="G209" s="127" t="s">
        <v>160</v>
      </c>
      <c r="H209" s="128">
        <v>2004</v>
      </c>
      <c r="I209" s="129"/>
      <c r="J209" s="125">
        <f>IFERROR(INDEX('Labor Expenditures'!$E$7:$W$91,MATCH($C209,'Labor Expenditures'!$C$7:$C$91,0),MATCH($G209,'Labor Expenditures'!$E$5:$W$5,0)),"NA")</f>
        <v>13843.805791863038</v>
      </c>
      <c r="K209" s="125">
        <f t="shared" ref="K209:K227" ca="1" si="425">+J209/DG209</f>
        <v>146.72820129160613</v>
      </c>
      <c r="L209" s="47"/>
      <c r="M209" s="131"/>
      <c r="N209" s="131"/>
      <c r="O209" s="131"/>
      <c r="P209" s="59"/>
      <c r="Q209" s="59"/>
      <c r="R209" s="386"/>
      <c r="S209" s="119"/>
      <c r="T209" s="59"/>
      <c r="U209" s="59"/>
      <c r="V209" s="125">
        <f>IFERROR(INDEX('Non-Labor Expenditures'!$E$7:$AA$91,MATCH($C209,'Non-Labor Expenditures'!$C$7:$C$91,0),MATCH($G209,'Non-Labor Expenditures'!$E$5:$AA$5,0)),"NA")</f>
        <v>20048.416452874102</v>
      </c>
      <c r="W209" s="125">
        <f t="shared" ref="W209:W227" si="426">+V209/DK209</f>
        <v>236.48135663585012</v>
      </c>
      <c r="X209" s="125"/>
      <c r="Y209" s="125"/>
      <c r="Z209" s="125"/>
      <c r="AA209" s="125"/>
      <c r="AB209" s="125"/>
      <c r="AC209" s="125">
        <f t="shared" si="404"/>
        <v>16501.47054981457</v>
      </c>
      <c r="AD209" s="129"/>
      <c r="AE209" s="133">
        <v>1621.4516445688685</v>
      </c>
      <c r="AF209" s="134">
        <v>4.1626956201277383E-2</v>
      </c>
      <c r="AG209" s="59">
        <f t="shared" ref="AG209:AG227" si="427">+AF209*$AX209</f>
        <v>0</v>
      </c>
      <c r="AH209" s="134"/>
      <c r="AI209" s="134"/>
      <c r="AJ209" s="129">
        <f t="shared" si="331"/>
        <v>50393.692794551709</v>
      </c>
      <c r="AK209" s="134"/>
      <c r="AL209" s="129"/>
      <c r="AM209" s="129"/>
      <c r="AN209" s="129"/>
      <c r="AO209" s="129"/>
      <c r="AP209" s="133"/>
      <c r="AQ209" s="134"/>
      <c r="AR209" s="93">
        <f t="shared" ref="AR209:AR227" si="428">+J209/AJ209</f>
        <v>0.27471306475400342</v>
      </c>
      <c r="AS209" s="93">
        <f t="shared" ref="AS209:AS227" si="429">+V209/AJ209</f>
        <v>0.39783582708671089</v>
      </c>
      <c r="AT209" s="93">
        <f t="shared" ref="AT209:AT227" si="430">+AC209/AJ209</f>
        <v>0.32745110815928574</v>
      </c>
      <c r="AU209" s="93"/>
      <c r="AV209" s="93"/>
      <c r="AW209" s="134"/>
      <c r="AX209" s="62"/>
      <c r="AY209" s="93"/>
      <c r="AZ209" s="93"/>
      <c r="BA209" s="93"/>
      <c r="BB209" s="234">
        <f>IFERROR(INDEX('Total Customers'!$E$7:$AA$91,MATCH($C209,'Total Customers'!$C$7:$C$91,0),MATCH($G209,'Total Customers'!$E$5:$AA$5,0)),"NA")</f>
        <v>217336</v>
      </c>
      <c r="BC209" s="411">
        <f t="shared" si="400"/>
        <v>2.2841435700519976E-2</v>
      </c>
      <c r="BD209" s="92"/>
      <c r="BE209" s="281" t="str">
        <f t="shared" si="396"/>
        <v>CASCADE NATURAL GAS CORPORATION</v>
      </c>
      <c r="BF209" s="290">
        <f t="shared" si="397"/>
        <v>4057112</v>
      </c>
      <c r="BG209" s="46" t="str">
        <f t="shared" si="398"/>
        <v>WA</v>
      </c>
      <c r="BH209" s="46"/>
      <c r="BI209" s="46" t="str">
        <f t="shared" si="399"/>
        <v>2004 Y</v>
      </c>
      <c r="BJ209" s="129"/>
      <c r="BK209" s="129"/>
      <c r="BL209" s="129">
        <f>INDEX('Dist. Plant Gas Additions'!$E$7:$AD$91,MATCH($C209,'Dist. Plant Gas Additions'!$C$7:$C$91,0),MATCH(Calculation!$G209,'Dist. Plant Gas Additions'!$E$5:$AD$5,0))</f>
        <v>29310</v>
      </c>
      <c r="BM209" s="129">
        <f>INDEX('Gen. Plant Additions'!$E$7:$AD$91,MATCH($C209,'Gen. Plant Additions'!$C$7:$C$91,0),MATCH(Calculation!$G209,'Gen. Plant Additions'!$E$5:$AD$5,0))</f>
        <v>1891</v>
      </c>
      <c r="BN209" s="393">
        <f t="shared" si="405"/>
        <v>0.91511315340509825</v>
      </c>
      <c r="BO209" s="46">
        <f t="shared" si="406"/>
        <v>1730.4789730890409</v>
      </c>
      <c r="BP209" s="46">
        <f t="shared" si="407"/>
        <v>-160.52102691095911</v>
      </c>
      <c r="BQ209" s="129">
        <f>INDEX('Dist Plant Depreciation'!$D$7:$AC$94,MATCH($C209,'Dist Plant Depreciation'!$C$7:$C$94,0),MATCH(Calculation!$G209,'Dist Plant Depreciation'!$D$5:$AC$5,0))</f>
        <v>216083</v>
      </c>
      <c r="BR209" s="129">
        <f>INDEX('Gen. Plant Depreciation'!$D$7:$AC$94,MATCH($C209,'Gen. Plant Depreciation'!$C$7:$C$94,0),MATCH(Calculation!$G209,'Gen. Plant Depreciation'!$D$5:$AC$5,0))</f>
        <v>22678</v>
      </c>
      <c r="BS209" s="129"/>
      <c r="BT209" s="129"/>
      <c r="BU209" s="129"/>
      <c r="BV209" s="129"/>
      <c r="BW209" s="129"/>
      <c r="BX209" s="129"/>
      <c r="BY209" s="129">
        <f>INDEX('Gross Dx Plant'!$D$7:$AC$91,MATCH($C209,'Gross Dx Plant'!$C$7:$C$91,0),MATCH(Calculation!$G209,'Gross Dx Plant'!$D$5:$AC$5,0))</f>
        <v>514397</v>
      </c>
      <c r="BZ209" s="129">
        <f>INDEX('Gross Gen Plant'!$D$7:$AC$91,MATCH($C209,'Gross Gen Plant'!$C$7:$C$91,0),MATCH(Calculation!$G209,'Gross Gen Plant'!$D$5:$AC$5,0))</f>
        <v>47716</v>
      </c>
      <c r="CA209" s="129">
        <f t="shared" si="307"/>
        <v>323352</v>
      </c>
      <c r="CB209" s="129"/>
      <c r="CC209" s="133">
        <v>2004</v>
      </c>
      <c r="CD209" s="129"/>
      <c r="CE209" s="129"/>
      <c r="CF209" s="129"/>
      <c r="CG209" s="137"/>
      <c r="CH209" s="129">
        <f t="shared" si="408"/>
        <v>31201</v>
      </c>
      <c r="CI209" s="46">
        <f t="shared" si="417"/>
        <v>31040.478973089041</v>
      </c>
      <c r="CJ209" s="46">
        <f t="shared" si="409"/>
        <v>74.816672146266257</v>
      </c>
      <c r="CK209" s="443">
        <v>0.9375</v>
      </c>
      <c r="CL209" s="46">
        <f>+CL203*CK209+CJ204*CK208+CJ205*CK207+CJ206*CK206+CJ207*CK205+CJ208*CK204+CJ209</f>
        <v>1574.1355311549596</v>
      </c>
      <c r="CM209" s="134">
        <f t="shared" si="410"/>
        <v>3.727307973329802E-2</v>
      </c>
      <c r="CN209" s="135">
        <f t="shared" si="411"/>
        <v>1.1357275404278172E-2</v>
      </c>
      <c r="CO209" s="135">
        <f t="shared" si="420"/>
        <v>1.1183958638828406E-2</v>
      </c>
      <c r="CP209" s="134">
        <f>VLOOKUP($H209,RoR!$E:$F,2,FALSE)</f>
        <v>5.6283333333333331E-2</v>
      </c>
      <c r="CQ209" s="135">
        <v>2.6778252812867276E-2</v>
      </c>
      <c r="CR209" s="135">
        <f t="shared" si="418"/>
        <v>2.9505080520466055E-2</v>
      </c>
      <c r="CS209" s="135">
        <f t="shared" si="421"/>
        <v>1.9717982969705221E-2</v>
      </c>
      <c r="CT209" s="135">
        <f t="shared" si="422"/>
        <v>5.5940039414565046E-2</v>
      </c>
      <c r="CU209" s="139">
        <f t="shared" si="412"/>
        <v>0.87050000000000005</v>
      </c>
      <c r="CV209" s="335">
        <f t="shared" si="413"/>
        <v>0.91114097628755619</v>
      </c>
      <c r="CW209" s="335">
        <f t="shared" si="414"/>
        <v>0.53081877405981637</v>
      </c>
      <c r="CX209" s="335">
        <f t="shared" si="415"/>
        <v>0.88811215519385678</v>
      </c>
      <c r="CY209" s="335">
        <f t="shared" si="416"/>
        <v>0.42953609753547711</v>
      </c>
      <c r="CZ209" s="336">
        <f>INDEX('State Tax Lookup'!$D$7:$Z$91,MATCH(Calculation!$C209,'State Tax Lookup'!$B$7:$B$91,0),MATCH($H209,'State Tax Lookup'!$D$6:$Z$6,0))</f>
        <v>0.35</v>
      </c>
      <c r="DA209" s="303">
        <v>0.37</v>
      </c>
      <c r="DB209" s="57">
        <f t="shared" si="419"/>
        <v>10.88098019055875</v>
      </c>
      <c r="DC209" s="56">
        <f t="shared" si="423"/>
        <v>9.1640731978198747E-2</v>
      </c>
      <c r="DD209" s="303">
        <f>VLOOKUP($H209,RoR!$E:$F,2,FALSE)</f>
        <v>5.6283333333333331E-2</v>
      </c>
      <c r="DE209" s="304">
        <f>HLOOKUP($H209,'GDP-PI'!$D$8:$CQ$11,3,FALSE)</f>
        <v>2.6778252812867276E-2</v>
      </c>
      <c r="DF209" s="303">
        <f>VLOOKUP(H209,'HW Dx Data'!$E:$F,2,FALSE)</f>
        <v>414.88719135228365</v>
      </c>
      <c r="DG209" s="89">
        <f ca="1">VLOOKUP(CC209,'ECI - Input Price'!M$13:N$33,2,FALSE)</f>
        <v>94.35</v>
      </c>
      <c r="DH209" s="89"/>
      <c r="DI209" s="89"/>
      <c r="DJ209" s="56">
        <f t="shared" ref="DJ209:DJ227" ca="1" si="431">LN(DG209/DG208)</f>
        <v>5.5569851154810786E-2</v>
      </c>
      <c r="DK209" s="53">
        <f>HLOOKUP(H209,'GDP-PI'!$8:$9,2,FALSE)</f>
        <v>84.778000000000006</v>
      </c>
      <c r="DL209" s="355">
        <f t="shared" si="424"/>
        <v>2.6425990216022755E-2</v>
      </c>
      <c r="EC209"/>
    </row>
    <row r="210" spans="1:133" s="126" customFormat="1" ht="21" customHeight="1" x14ac:dyDescent="0.4">
      <c r="A210" s="233" t="s">
        <v>195</v>
      </c>
      <c r="B210" s="127" t="s">
        <v>195</v>
      </c>
      <c r="C210" s="127">
        <v>4057112</v>
      </c>
      <c r="D210" s="127" t="s">
        <v>180</v>
      </c>
      <c r="E210" s="127"/>
      <c r="F210" s="127"/>
      <c r="G210" s="127" t="s">
        <v>161</v>
      </c>
      <c r="H210" s="128">
        <v>2005</v>
      </c>
      <c r="I210" s="129"/>
      <c r="J210" s="125">
        <f>IFERROR(INDEX('Labor Expenditures'!$E$7:$W$91,MATCH($C210,'Labor Expenditures'!$C$7:$C$91,0),MATCH($G210,'Labor Expenditures'!$E$5:$W$5,0)),"NA")</f>
        <v>14720.760992803727</v>
      </c>
      <c r="K210" s="125">
        <f t="shared" ca="1" si="425"/>
        <v>148.35737962009301</v>
      </c>
      <c r="L210" s="47"/>
      <c r="M210" s="131">
        <f t="shared" ref="M210:M226" ca="1" si="432">LN(K210/K209)</f>
        <v>1.1042185641268147E-2</v>
      </c>
      <c r="N210" s="59"/>
      <c r="O210" s="59"/>
      <c r="P210" s="59"/>
      <c r="Q210" s="61"/>
      <c r="R210" s="387"/>
      <c r="S210" s="49">
        <v>100</v>
      </c>
      <c r="T210" s="46"/>
      <c r="U210" s="46"/>
      <c r="V210" s="125">
        <f>IFERROR(INDEX('Non-Labor Expenditures'!$E$7:$AA$91,MATCH($C210,'Non-Labor Expenditures'!$C$7:$C$91,0),MATCH($G210,'Non-Labor Expenditures'!$E$5:$AA$5,0)),"NA")</f>
        <v>21318.41137647428</v>
      </c>
      <c r="W210" s="125">
        <f t="shared" si="426"/>
        <v>243.8982161208402</v>
      </c>
      <c r="X210" s="131">
        <f>LN(W210/W209)</f>
        <v>3.0881616685103933E-2</v>
      </c>
      <c r="Y210" s="131"/>
      <c r="Z210" s="131"/>
      <c r="AA210" s="131"/>
      <c r="AB210" s="131"/>
      <c r="AC210" s="125">
        <f t="shared" si="404"/>
        <v>19139.564094041307</v>
      </c>
      <c r="AD210" s="129"/>
      <c r="AE210" s="133">
        <v>1664.0644662169298</v>
      </c>
      <c r="AF210" s="134">
        <v>2.5941258464050029E-2</v>
      </c>
      <c r="AG210" s="59">
        <f t="shared" si="427"/>
        <v>0</v>
      </c>
      <c r="AH210" s="134"/>
      <c r="AI210" s="134"/>
      <c r="AJ210" s="129">
        <f t="shared" si="331"/>
        <v>55178.736463319314</v>
      </c>
      <c r="AK210" s="134">
        <f>LN(AJ210/AJ209)</f>
        <v>9.0711645792121542E-2</v>
      </c>
      <c r="AL210" s="129"/>
      <c r="AM210" s="129"/>
      <c r="AN210" s="129"/>
      <c r="AO210" s="129"/>
      <c r="AP210" s="133"/>
      <c r="AQ210" s="134"/>
      <c r="AR210" s="93">
        <f t="shared" si="428"/>
        <v>0.26678322006502486</v>
      </c>
      <c r="AS210" s="93">
        <f t="shared" si="429"/>
        <v>0.38635193088638292</v>
      </c>
      <c r="AT210" s="93">
        <f t="shared" si="430"/>
        <v>0.34686484904859227</v>
      </c>
      <c r="AU210" s="93">
        <f ca="1">+(((AR210+AR209)/2)*M210+((AS209+AS210)/2)*X210+((AT209+AT210)/2)*AF210)</f>
        <v>2.3844446392133862E-2</v>
      </c>
      <c r="AV210" s="132">
        <v>100</v>
      </c>
      <c r="AW210" s="134"/>
      <c r="AX210" s="15"/>
      <c r="AY210" s="93"/>
      <c r="AZ210" s="93"/>
      <c r="BA210" s="93"/>
      <c r="BB210" s="234">
        <f>IFERROR(INDEX('Total Customers'!$E$7:$AA$91,MATCH($C210,'Total Customers'!$C$7:$C$91,0),MATCH($G210,'Total Customers'!$E$5:$AA$5,0)),"NA")</f>
        <v>228224</v>
      </c>
      <c r="BC210" s="411">
        <f t="shared" si="400"/>
        <v>4.8883059678702066E-2</v>
      </c>
      <c r="BD210" s="92"/>
      <c r="BE210" s="281" t="str">
        <f t="shared" si="396"/>
        <v>CASCADE NATURAL GAS CORPORATION</v>
      </c>
      <c r="BF210" s="290">
        <f t="shared" si="397"/>
        <v>4057112</v>
      </c>
      <c r="BG210" s="46" t="str">
        <f t="shared" si="398"/>
        <v>WA</v>
      </c>
      <c r="BH210" s="46"/>
      <c r="BI210" s="46" t="str">
        <f t="shared" si="399"/>
        <v>2005 Y</v>
      </c>
      <c r="BJ210" s="129"/>
      <c r="BK210" s="129"/>
      <c r="BL210" s="129">
        <f>INDEX('Dist. Plant Gas Additions'!$E$7:$AD$91,MATCH($C210,'Dist. Plant Gas Additions'!$C$7:$C$91,0),MATCH(Calculation!$G210,'Dist. Plant Gas Additions'!$E$5:$AD$5,0))</f>
        <v>20988</v>
      </c>
      <c r="BM210" s="129">
        <f>INDEX('Gen. Plant Additions'!$E$7:$AD$91,MATCH($C210,'Gen. Plant Additions'!$C$7:$C$91,0),MATCH(Calculation!$G210,'Gen. Plant Additions'!$E$5:$AD$5,0))</f>
        <v>3587</v>
      </c>
      <c r="BN210" s="393">
        <f t="shared" si="405"/>
        <v>0.91517735380754961</v>
      </c>
      <c r="BO210" s="46">
        <f t="shared" si="406"/>
        <v>3282.7411681076806</v>
      </c>
      <c r="BP210" s="46">
        <f t="shared" si="407"/>
        <v>-304.25883189231945</v>
      </c>
      <c r="BQ210" s="129">
        <f>INDEX('Dist Plant Depreciation'!$D$7:$AC$94,MATCH($C210,'Dist Plant Depreciation'!$C$7:$C$94,0),MATCH(Calculation!$G210,'Dist Plant Depreciation'!$D$5:$AC$5,0))</f>
        <v>228552</v>
      </c>
      <c r="BR210" s="129">
        <f>INDEX('Gen. Plant Depreciation'!$D$7:$AC$94,MATCH($C210,'Gen. Plant Depreciation'!$C$7:$C$94,0),MATCH(Calculation!$G210,'Gen. Plant Depreciation'!$D$5:$AC$5,0))</f>
        <v>24350</v>
      </c>
      <c r="BS210" s="129"/>
      <c r="BT210" s="129"/>
      <c r="BU210" s="129"/>
      <c r="BV210" s="129"/>
      <c r="BW210" s="129"/>
      <c r="BX210" s="129"/>
      <c r="BY210" s="129">
        <f>INDEX('Gross Dx Plant'!$D$7:$AC$91,MATCH($C210,'Gross Dx Plant'!$C$7:$C$91,0),MATCH(Calculation!$G210,'Gross Dx Plant'!$D$5:$AC$5,0))</f>
        <v>536865</v>
      </c>
      <c r="BZ210" s="129">
        <f>INDEX('Gross Gen Plant'!$D$7:$AC$91,MATCH($C210,'Gross Gen Plant'!$C$7:$C$91,0),MATCH(Calculation!$G210,'Gross Gen Plant'!$D$5:$AC$5,0))</f>
        <v>49759</v>
      </c>
      <c r="CA210" s="129">
        <f t="shared" si="307"/>
        <v>333722</v>
      </c>
      <c r="CB210" s="129"/>
      <c r="CC210" s="133">
        <v>2005</v>
      </c>
      <c r="CD210" s="129"/>
      <c r="CE210" s="129"/>
      <c r="CF210" s="129"/>
      <c r="CG210" s="137"/>
      <c r="CH210" s="129">
        <f t="shared" si="408"/>
        <v>24575</v>
      </c>
      <c r="CI210" s="46">
        <f t="shared" si="417"/>
        <v>24270.741168107681</v>
      </c>
      <c r="CJ210" s="46">
        <f t="shared" si="409"/>
        <v>51.727355650954884</v>
      </c>
      <c r="CK210" s="443">
        <v>0.9263157894736842</v>
      </c>
      <c r="CL210" s="46">
        <f>+CL203*CK210+CJ204*CK209+CJ205*CK208+CJ206*CK207+CJ207*CK206+CJ208*CK205+CJ209*CK204+CJ210</f>
        <v>1607.5376080027593</v>
      </c>
      <c r="CM210" s="134">
        <f t="shared" si="410"/>
        <v>2.0997319706211593E-2</v>
      </c>
      <c r="CN210" s="135">
        <f t="shared" si="411"/>
        <v>1.1641487305549716E-2</v>
      </c>
      <c r="CO210" s="135">
        <f t="shared" si="420"/>
        <v>1.1356000282025202E-2</v>
      </c>
      <c r="CP210" s="134">
        <f>VLOOKUP($H210,RoR!$E:$F,2,FALSE)</f>
        <v>5.2350000000000001E-2</v>
      </c>
      <c r="CQ210" s="135">
        <v>3.1010403642454332E-2</v>
      </c>
      <c r="CR210" s="135">
        <f t="shared" si="418"/>
        <v>2.1339596357545669E-2</v>
      </c>
      <c r="CS210" s="135">
        <f t="shared" si="421"/>
        <v>1.9545941326508422E-2</v>
      </c>
      <c r="CT210" s="135">
        <f t="shared" si="422"/>
        <v>9.2129610649277341E-2</v>
      </c>
      <c r="CU210" s="139">
        <f t="shared" si="412"/>
        <v>0.87050000000000005</v>
      </c>
      <c r="CV210" s="335">
        <f t="shared" si="413"/>
        <v>0.97959983346802826</v>
      </c>
      <c r="CW210" s="335">
        <f t="shared" si="414"/>
        <v>0.49744508118433622</v>
      </c>
      <c r="CX210" s="335">
        <f t="shared" si="415"/>
        <v>0.87010519444335932</v>
      </c>
      <c r="CY210" s="335">
        <f t="shared" si="416"/>
        <v>0.42399975420741998</v>
      </c>
      <c r="CZ210" s="336">
        <f>INDEX('State Tax Lookup'!$D$7:$Z$91,MATCH(Calculation!$C210,'State Tax Lookup'!$B$7:$B$91,0),MATCH($H210,'State Tax Lookup'!$D$6:$Z$6,0))</f>
        <v>0.35</v>
      </c>
      <c r="DA210" s="303">
        <v>0.37</v>
      </c>
      <c r="DB210" s="57">
        <f t="shared" si="419"/>
        <v>12.158777764198238</v>
      </c>
      <c r="DC210" s="56">
        <f t="shared" si="423"/>
        <v>0.11103503025977987</v>
      </c>
      <c r="DD210" s="303">
        <f>VLOOKUP($H210,RoR!$E:$F,2,FALSE)</f>
        <v>5.2350000000000001E-2</v>
      </c>
      <c r="DE210" s="304">
        <f>HLOOKUP($H210,'GDP-PI'!$D$8:$CQ$11,3,FALSE)</f>
        <v>3.1010403642454332E-2</v>
      </c>
      <c r="DF210" s="303">
        <f>VLOOKUP(H210,'HW Dx Data'!$E:$F,2,FALSE)</f>
        <v>469.20514034936258</v>
      </c>
      <c r="DG210" s="89">
        <f ca="1">VLOOKUP(CC210,'ECI - Input Price'!M$13:N$33,2,FALSE)</f>
        <v>99.224999999999994</v>
      </c>
      <c r="DH210" s="89"/>
      <c r="DI210" s="89"/>
      <c r="DJ210" s="56">
        <f t="shared" ca="1" si="431"/>
        <v>5.0378726854569796E-2</v>
      </c>
      <c r="DK210" s="53">
        <f>HLOOKUP(H210,'GDP-PI'!$8:$9,2,FALSE)</f>
        <v>87.406999999999996</v>
      </c>
      <c r="DL210" s="355">
        <f t="shared" si="424"/>
        <v>3.0539295810733648E-2</v>
      </c>
      <c r="EC210"/>
    </row>
    <row r="211" spans="1:133" s="126" customFormat="1" ht="21" customHeight="1" x14ac:dyDescent="0.4">
      <c r="A211" s="233" t="s">
        <v>195</v>
      </c>
      <c r="B211" s="127" t="s">
        <v>195</v>
      </c>
      <c r="C211" s="127">
        <v>4057112</v>
      </c>
      <c r="D211" s="127" t="s">
        <v>180</v>
      </c>
      <c r="E211" s="127"/>
      <c r="F211" s="127"/>
      <c r="G211" s="127" t="s">
        <v>162</v>
      </c>
      <c r="H211" s="128">
        <v>2006</v>
      </c>
      <c r="I211" s="129"/>
      <c r="J211" s="125">
        <f>IFERROR(INDEX('Labor Expenditures'!$E$7:$W$91,MATCH($C211,'Labor Expenditures'!$C$7:$C$91,0),MATCH($G211,'Labor Expenditures'!$E$5:$W$5,0)),"NA")</f>
        <v>16145.720866568639</v>
      </c>
      <c r="K211" s="125">
        <f t="shared" ca="1" si="425"/>
        <v>147.5842858004446</v>
      </c>
      <c r="L211" s="47"/>
      <c r="M211" s="131">
        <f t="shared" ca="1" si="432"/>
        <v>-5.2246484261758092E-3</v>
      </c>
      <c r="N211" s="59"/>
      <c r="O211" s="59"/>
      <c r="P211" s="59">
        <f t="shared" ref="P211:P227" ca="1" si="433">+M211*$AX211</f>
        <v>-4.1767687909597688E-5</v>
      </c>
      <c r="Q211" s="61"/>
      <c r="R211" s="387"/>
      <c r="S211" s="49">
        <f ca="1">+S210*EXP(T211)</f>
        <v>106.01748461271319</v>
      </c>
      <c r="T211" s="61">
        <f ca="1">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</f>
        <v>5.8433843697895615E-2</v>
      </c>
      <c r="U211" s="61"/>
      <c r="V211" s="125">
        <f>IFERROR(INDEX('Non-Labor Expenditures'!$E$7:$AA$91,MATCH($C211,'Non-Labor Expenditures'!$C$7:$C$91,0),MATCH($G211,'Non-Labor Expenditures'!$E$5:$AA$5,0)),"NA")</f>
        <v>23382.019419478274</v>
      </c>
      <c r="W211" s="125">
        <f t="shared" si="426"/>
        <v>259.58677775471585</v>
      </c>
      <c r="X211" s="131">
        <f t="shared" ref="X211:X226" si="434">LN(W211/W210)</f>
        <v>6.234005916712166E-2</v>
      </c>
      <c r="Y211" s="131">
        <f t="shared" ref="Y211:Y227" si="435">+X211*AX211</f>
        <v>4.9836848782264351E-4</v>
      </c>
      <c r="Z211" s="131"/>
      <c r="AA211" s="131"/>
      <c r="AB211" s="131"/>
      <c r="AC211" s="125">
        <f t="shared" si="404"/>
        <v>18937.719436729509</v>
      </c>
      <c r="AD211" s="129"/>
      <c r="AE211" s="133">
        <v>1699.3439805128939</v>
      </c>
      <c r="AF211" s="134">
        <v>2.0979199404565677E-2</v>
      </c>
      <c r="AG211" s="59">
        <f t="shared" si="427"/>
        <v>1.6771514212000129E-4</v>
      </c>
      <c r="AH211" s="134"/>
      <c r="AI211" s="134"/>
      <c r="AJ211" s="129">
        <f t="shared" si="331"/>
        <v>58465.459722776424</v>
      </c>
      <c r="AK211" s="134">
        <f t="shared" ref="AK211:AK227" si="436">LN(AJ211/AJ210)</f>
        <v>5.7858477701685868E-2</v>
      </c>
      <c r="AL211" s="129"/>
      <c r="AM211" s="129"/>
      <c r="AN211" s="129"/>
      <c r="AO211" s="129"/>
      <c r="AP211" s="133">
        <f t="shared" ref="AP211:AP227" si="437">+(AJ211*1000)/BB211</f>
        <v>245.81638113864005</v>
      </c>
      <c r="AQ211" s="134">
        <f>+BB211/Outputs!$B$14</f>
        <v>6.8579026210813738E-3</v>
      </c>
      <c r="AR211" s="93">
        <f t="shared" si="428"/>
        <v>0.27615828119929658</v>
      </c>
      <c r="AS211" s="93">
        <f t="shared" si="429"/>
        <v>0.3999287704286934</v>
      </c>
      <c r="AT211" s="93">
        <f t="shared" si="430"/>
        <v>0.32391294837200996</v>
      </c>
      <c r="AU211" s="93">
        <f ca="1">+(((AR211+AR210)/2)*M211+((AS210+AS211)/2)*X211+((AT210+AT211)/2)*AF211)</f>
        <v>3.0126244075051888E-2</v>
      </c>
      <c r="AV211" s="132">
        <f ca="1">+AV210*EXP(AU211)</f>
        <v>103.05846309448532</v>
      </c>
      <c r="AW211" s="134">
        <f ca="1">LN(AV211/AV210)</f>
        <v>3.012624407505186E-2</v>
      </c>
      <c r="AX211" s="56">
        <f>+AJ211/$AL$11</f>
        <v>7.9943537827998172E-3</v>
      </c>
      <c r="AY211" s="135">
        <f ca="1">+AX211*AW211</f>
        <v>2.4083985328294142E-4</v>
      </c>
      <c r="AZ211" s="93"/>
      <c r="BA211" s="93"/>
      <c r="BB211" s="234">
        <f>IFERROR(INDEX('Total Customers'!$E$7:$AA$91,MATCH($C211,'Total Customers'!$C$7:$C$91,0),MATCH($G211,'Total Customers'!$E$5:$AA$5,0)),"NA")</f>
        <v>237842</v>
      </c>
      <c r="BC211" s="411">
        <f t="shared" si="400"/>
        <v>4.1278984868329559E-2</v>
      </c>
      <c r="BD211" s="92"/>
      <c r="BE211" s="281" t="str">
        <f t="shared" si="396"/>
        <v>CASCADE NATURAL GAS CORPORATION</v>
      </c>
      <c r="BF211" s="290">
        <f t="shared" si="397"/>
        <v>4057112</v>
      </c>
      <c r="BG211" s="46" t="str">
        <f t="shared" si="398"/>
        <v>WA</v>
      </c>
      <c r="BH211" s="46"/>
      <c r="BI211" s="46" t="str">
        <f t="shared" si="399"/>
        <v>2006 Y</v>
      </c>
      <c r="BJ211" s="129"/>
      <c r="BK211" s="129"/>
      <c r="BL211" s="129">
        <f>INDEX('Dist. Plant Gas Additions'!$E$7:$AD$91,MATCH($C211,'Dist. Plant Gas Additions'!$C$7:$C$91,0),MATCH(Calculation!$G211,'Dist. Plant Gas Additions'!$E$5:$AD$5,0))</f>
        <v>18247</v>
      </c>
      <c r="BM211" s="129">
        <f>INDEX('Gen. Plant Additions'!$E$7:$AD$91,MATCH($C211,'Gen. Plant Additions'!$C$7:$C$91,0),MATCH(Calculation!$G211,'Gen. Plant Additions'!$E$5:$AD$5,0))</f>
        <v>2790</v>
      </c>
      <c r="BN211" s="393">
        <f t="shared" si="405"/>
        <v>0.91770264706272997</v>
      </c>
      <c r="BO211" s="46">
        <f t="shared" si="406"/>
        <v>2560.3903853050165</v>
      </c>
      <c r="BP211" s="46">
        <f t="shared" si="407"/>
        <v>-229.60961469498352</v>
      </c>
      <c r="BQ211" s="129">
        <f>INDEX('Dist Plant Depreciation'!$D$7:$AC$94,MATCH($C211,'Dist Plant Depreciation'!$C$7:$C$94,0),MATCH(Calculation!$G211,'Dist Plant Depreciation'!$D$5:$AC$5,0))</f>
        <v>242227</v>
      </c>
      <c r="BR211" s="129">
        <f>INDEX('Gen. Plant Depreciation'!$D$7:$AC$94,MATCH($C211,'Gen. Plant Depreciation'!$C$7:$C$94,0),MATCH(Calculation!$G211,'Gen. Plant Depreciation'!$D$5:$AC$5,0))</f>
        <v>26592</v>
      </c>
      <c r="BS211" s="129"/>
      <c r="BT211" s="129"/>
      <c r="BU211" s="129"/>
      <c r="BV211" s="129"/>
      <c r="BW211" s="129"/>
      <c r="BX211" s="129"/>
      <c r="BY211" s="129">
        <f>INDEX('Gross Dx Plant'!$D$7:$AC$91,MATCH($C211,'Gross Dx Plant'!$C$7:$C$91,0),MATCH(Calculation!$G211,'Gross Dx Plant'!$D$5:$AC$5,0))</f>
        <v>552758</v>
      </c>
      <c r="BZ211" s="129">
        <f>INDEX('Gross Gen Plant'!$D$7:$AC$91,MATCH($C211,'Gross Gen Plant'!$C$7:$C$91,0),MATCH(Calculation!$G211,'Gross Gen Plant'!$D$5:$AC$5,0))</f>
        <v>49570</v>
      </c>
      <c r="CA211" s="129">
        <f t="shared" si="307"/>
        <v>333509</v>
      </c>
      <c r="CB211" s="134"/>
      <c r="CC211" s="133">
        <v>2006</v>
      </c>
      <c r="CD211" s="129"/>
      <c r="CE211" s="129"/>
      <c r="CF211" s="129"/>
      <c r="CG211" s="137"/>
      <c r="CH211" s="129">
        <f t="shared" si="408"/>
        <v>21037</v>
      </c>
      <c r="CI211" s="46">
        <f t="shared" si="417"/>
        <v>20807.390385305018</v>
      </c>
      <c r="CJ211" s="46">
        <f t="shared" si="409"/>
        <v>45.126950620957615</v>
      </c>
      <c r="CK211" s="443">
        <v>0.91489361702127658</v>
      </c>
      <c r="CL211" s="46">
        <f>+CL203*CK211+CJ204*CK210+CJ205*CK209+CJ206*CK208+CJ207*CK207+CJ208*CK206+CJ209*CK205+CJ210*CK204+CJ211</f>
        <v>1633.4401312477041</v>
      </c>
      <c r="CM211" s="134">
        <f t="shared" si="410"/>
        <v>1.5984728596997379E-2</v>
      </c>
      <c r="CN211" s="135">
        <f t="shared" si="411"/>
        <v>1.1958928537850889E-2</v>
      </c>
      <c r="CO211" s="135">
        <f t="shared" si="420"/>
        <v>1.165256374922626E-2</v>
      </c>
      <c r="CP211" s="134">
        <f>VLOOKUP($H211,RoR!$E:$F,2,FALSE)</f>
        <v>5.5874999999999994E-2</v>
      </c>
      <c r="CQ211" s="135">
        <v>3.0512430354548314E-2</v>
      </c>
      <c r="CR211" s="135">
        <f t="shared" si="418"/>
        <v>2.536256964545168E-2</v>
      </c>
      <c r="CS211" s="135">
        <f t="shared" si="421"/>
        <v>1.9249377859307366E-2</v>
      </c>
      <c r="CT211" s="135">
        <f t="shared" si="422"/>
        <v>7.9087823893859641E-2</v>
      </c>
      <c r="CU211" s="139">
        <f t="shared" si="412"/>
        <v>0.87050000000000005</v>
      </c>
      <c r="CV211" s="335">
        <f t="shared" si="413"/>
        <v>0.91779957551769631</v>
      </c>
      <c r="CW211" s="335">
        <f t="shared" si="414"/>
        <v>0.52757270693512304</v>
      </c>
      <c r="CX211" s="335">
        <f t="shared" si="415"/>
        <v>0.88636824549024895</v>
      </c>
      <c r="CY211" s="335">
        <f t="shared" si="416"/>
        <v>0.42918482841932087</v>
      </c>
      <c r="CZ211" s="336">
        <f>INDEX('State Tax Lookup'!$D$7:$Z$91,MATCH(Calculation!$C211,'State Tax Lookup'!$B$7:$B$91,0),MATCH($H211,'State Tax Lookup'!$D$6:$Z$6,0))</f>
        <v>0.35</v>
      </c>
      <c r="DA211" s="303">
        <v>0.37</v>
      </c>
      <c r="DB211" s="57">
        <f t="shared" si="419"/>
        <v>11.780576294111189</v>
      </c>
      <c r="DC211" s="56">
        <f t="shared" si="423"/>
        <v>-3.1599260245167932E-2</v>
      </c>
      <c r="DD211" s="303">
        <f>VLOOKUP($H211,RoR!$E:$F,2,FALSE)</f>
        <v>5.5874999999999994E-2</v>
      </c>
      <c r="DE211" s="304">
        <f>HLOOKUP($H211,'GDP-PI'!$D$8:$CQ$11,3,FALSE)</f>
        <v>3.0512430354548314E-2</v>
      </c>
      <c r="DF211" s="303">
        <f>VLOOKUP(H211,'HW Dx Data'!$E:$F,2,FALSE)</f>
        <v>461.08567272971823</v>
      </c>
      <c r="DG211" s="89">
        <f ca="1">VLOOKUP(CC211,'ECI - Input Price'!M$13:N$33,2,FALSE)</f>
        <v>109.4</v>
      </c>
      <c r="DH211" s="89"/>
      <c r="DI211" s="89"/>
      <c r="DJ211" s="56">
        <f t="shared" ca="1" si="431"/>
        <v>9.7620891318751846E-2</v>
      </c>
      <c r="DK211" s="53">
        <f>HLOOKUP(H211,'GDP-PI'!$8:$9,2,FALSE)</f>
        <v>90.073999999999998</v>
      </c>
      <c r="DL211" s="355">
        <f t="shared" si="424"/>
        <v>3.005618372545445E-2</v>
      </c>
      <c r="EC211"/>
    </row>
    <row r="212" spans="1:133" s="126" customFormat="1" ht="21" customHeight="1" x14ac:dyDescent="0.4">
      <c r="A212" s="233" t="s">
        <v>195</v>
      </c>
      <c r="B212" s="127" t="s">
        <v>195</v>
      </c>
      <c r="C212" s="127">
        <v>4057112</v>
      </c>
      <c r="D212" s="127" t="s">
        <v>180</v>
      </c>
      <c r="E212" s="127"/>
      <c r="F212" s="127"/>
      <c r="G212" s="127" t="s">
        <v>163</v>
      </c>
      <c r="H212" s="128">
        <v>2007</v>
      </c>
      <c r="I212" s="129"/>
      <c r="J212" s="125">
        <f>IFERROR(INDEX('Labor Expenditures'!$E$7:$W$91,MATCH($C212,'Labor Expenditures'!$C$7:$C$91,0),MATCH($G212,'Labor Expenditures'!$E$5:$W$5,0)),"NA")</f>
        <v>15327.093637510823</v>
      </c>
      <c r="K212" s="125">
        <f t="shared" ca="1" si="425"/>
        <v>146.6356722077094</v>
      </c>
      <c r="L212" s="47"/>
      <c r="M212" s="131">
        <f t="shared" ca="1" si="432"/>
        <v>-6.4483516767458744E-3</v>
      </c>
      <c r="N212" s="59"/>
      <c r="O212" s="59"/>
      <c r="P212" s="59">
        <f t="shared" ca="1" si="433"/>
        <v>-4.8802854111303186E-5</v>
      </c>
      <c r="Q212" s="61"/>
      <c r="R212" s="387"/>
      <c r="S212" s="49">
        <f t="shared" ref="S212:S225" ca="1" si="438">+S211*EXP(T212)</f>
        <v>117.68814040251497</v>
      </c>
      <c r="T212" s="61">
        <f ca="1">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</f>
        <v>0.10443421826742313</v>
      </c>
      <c r="U212" s="61"/>
      <c r="V212" s="125">
        <f>IFERROR(INDEX('Non-Labor Expenditures'!$E$7:$AA$91,MATCH($C212,'Non-Labor Expenditures'!$C$7:$C$91,0),MATCH($G212,'Non-Labor Expenditures'!$E$5:$AA$5,0)),"NA")</f>
        <v>22196.494293326912</v>
      </c>
      <c r="W212" s="125">
        <f t="shared" si="426"/>
        <v>239.96728895032228</v>
      </c>
      <c r="X212" s="131">
        <f t="shared" si="434"/>
        <v>-7.8588432372035943E-2</v>
      </c>
      <c r="Y212" s="131">
        <f t="shared" si="435"/>
        <v>-5.9477832353957004E-4</v>
      </c>
      <c r="Z212" s="131"/>
      <c r="AA212" s="131"/>
      <c r="AB212" s="131"/>
      <c r="AC212" s="125">
        <f t="shared" si="404"/>
        <v>20489.952995616939</v>
      </c>
      <c r="AD212" s="129"/>
      <c r="AE212" s="133">
        <v>1743.1741942751776</v>
      </c>
      <c r="AF212" s="134">
        <v>2.5465418117422346E-2</v>
      </c>
      <c r="AG212" s="59">
        <f t="shared" si="427"/>
        <v>1.9272911087489953E-4</v>
      </c>
      <c r="AH212" s="134"/>
      <c r="AI212" s="134"/>
      <c r="AJ212" s="129">
        <f t="shared" si="331"/>
        <v>58013.540926454676</v>
      </c>
      <c r="AK212" s="134">
        <f t="shared" si="436"/>
        <v>-7.7597002277512688E-3</v>
      </c>
      <c r="AL212" s="129"/>
      <c r="AM212" s="129"/>
      <c r="AN212" s="129"/>
      <c r="AO212" s="129"/>
      <c r="AP212" s="133">
        <f t="shared" si="437"/>
        <v>235.85712397275543</v>
      </c>
      <c r="AQ212" s="134">
        <f>+BB212/Outputs!$B$15</f>
        <v>7.0388374450046556E-3</v>
      </c>
      <c r="AR212" s="93">
        <f t="shared" si="428"/>
        <v>0.26419855421239313</v>
      </c>
      <c r="AS212" s="93">
        <f t="shared" si="429"/>
        <v>0.38260885198278111</v>
      </c>
      <c r="AT212" s="93">
        <f t="shared" si="430"/>
        <v>0.35319259380482571</v>
      </c>
      <c r="AU212" s="93">
        <f t="shared" ref="AU212:AU226" ca="1" si="439">+(((AR212+AR211)/2)*M212+((AS211+AS212)/2)*X212+((AT211+AT212)/2)*AD212)</f>
        <v>-3.2491407961563017E-2</v>
      </c>
      <c r="AV212" s="132">
        <f ca="1">+AV211*EXP(AU212)</f>
        <v>99.763763090977591</v>
      </c>
      <c r="AW212" s="134">
        <f ca="1">LN(AV212/AV211)</f>
        <v>-3.2491407961563017E-2</v>
      </c>
      <c r="AX212" s="56">
        <f>+AJ212/$AL$12</f>
        <v>7.5682680718696911E-3</v>
      </c>
      <c r="AY212" s="135">
        <f t="shared" ref="AY212:AY226" ca="1" si="440">+AX212*AW212</f>
        <v>-2.4590368548559006E-4</v>
      </c>
      <c r="AZ212" s="93"/>
      <c r="BA212" s="93"/>
      <c r="BB212" s="234">
        <f>IFERROR(INDEX('Total Customers'!$E$7:$AA$91,MATCH($C212,'Total Customers'!$C$7:$C$91,0),MATCH($G212,'Total Customers'!$E$5:$AA$5,0)),"NA")</f>
        <v>245969</v>
      </c>
      <c r="BC212" s="411">
        <f t="shared" si="400"/>
        <v>3.3598924062533946E-2</v>
      </c>
      <c r="BD212" s="92"/>
      <c r="BE212" s="281" t="str">
        <f t="shared" si="396"/>
        <v>CASCADE NATURAL GAS CORPORATION</v>
      </c>
      <c r="BF212" s="290">
        <f t="shared" si="397"/>
        <v>4057112</v>
      </c>
      <c r="BG212" s="46" t="str">
        <f t="shared" si="398"/>
        <v>WA</v>
      </c>
      <c r="BH212" s="46"/>
      <c r="BI212" s="46" t="str">
        <f t="shared" si="399"/>
        <v>2007 Y</v>
      </c>
      <c r="BJ212" s="129"/>
      <c r="BK212" s="129"/>
      <c r="BL212" s="129">
        <f>INDEX('Dist. Plant Gas Additions'!$E$7:$AD$91,MATCH($C212,'Dist. Plant Gas Additions'!$C$7:$C$91,0),MATCH(Calculation!$G212,'Dist. Plant Gas Additions'!$E$5:$AD$5,0))</f>
        <v>24566</v>
      </c>
      <c r="BM212" s="129">
        <f>INDEX('Gen. Plant Additions'!$E$7:$AD$91,MATCH($C212,'Gen. Plant Additions'!$C$7:$C$91,0),MATCH(Calculation!$G212,'Gen. Plant Additions'!$E$5:$AD$5,0))</f>
        <v>2700</v>
      </c>
      <c r="BN212" s="393">
        <f t="shared" si="405"/>
        <v>0.91750569718671882</v>
      </c>
      <c r="BO212" s="46">
        <f t="shared" si="406"/>
        <v>2477.2653824041408</v>
      </c>
      <c r="BP212" s="46">
        <f t="shared" si="407"/>
        <v>-222.73461759585916</v>
      </c>
      <c r="BQ212" s="129">
        <f>INDEX('Dist Plant Depreciation'!$D$7:$AC$94,MATCH($C212,'Dist Plant Depreciation'!$C$7:$C$94,0),MATCH(Calculation!$G212,'Dist Plant Depreciation'!$D$5:$AC$5,0))</f>
        <v>256816</v>
      </c>
      <c r="BR212" s="129">
        <f>INDEX('Gen. Plant Depreciation'!$D$7:$AC$94,MATCH($C212,'Gen. Plant Depreciation'!$C$7:$C$94,0),MATCH(Calculation!$G212,'Gen. Plant Depreciation'!$D$5:$AC$5,0))</f>
        <v>29043</v>
      </c>
      <c r="BS212" s="129"/>
      <c r="BT212" s="129"/>
      <c r="BU212" s="129"/>
      <c r="BV212" s="129"/>
      <c r="BW212" s="129"/>
      <c r="BX212" s="129"/>
      <c r="BY212" s="129">
        <f>INDEX('Gross Dx Plant'!$D$7:$AC$91,MATCH($C212,'Gross Dx Plant'!$C$7:$C$91,0),MATCH(Calculation!$G212,'Gross Dx Plant'!$D$5:$AC$5,0))</f>
        <v>572919</v>
      </c>
      <c r="BZ212" s="129">
        <f>INDEX('Gross Gen Plant'!$D$7:$AC$91,MATCH($C212,'Gross Gen Plant'!$C$7:$C$91,0),MATCH(Calculation!$G212,'Gross Gen Plant'!$D$5:$AC$5,0))</f>
        <v>51512</v>
      </c>
      <c r="CA212" s="129">
        <f t="shared" ref="CA212:CA281" si="441">IF(OR(BQ212="NA",BR212="NA"),"NA",(SUM(BY212:BZ212)-SUM(BQ212:BR212)))</f>
        <v>338572</v>
      </c>
      <c r="CB212" s="129"/>
      <c r="CC212" s="133">
        <v>2007</v>
      </c>
      <c r="CD212" s="129"/>
      <c r="CE212" s="129"/>
      <c r="CF212" s="129"/>
      <c r="CG212" s="137"/>
      <c r="CH212" s="129">
        <f t="shared" si="408"/>
        <v>27266</v>
      </c>
      <c r="CI212" s="46">
        <f t="shared" si="417"/>
        <v>27043.265382404141</v>
      </c>
      <c r="CJ212" s="46">
        <f t="shared" si="409"/>
        <v>54.301312495381048</v>
      </c>
      <c r="CK212" s="443">
        <v>0.90322580645161288</v>
      </c>
      <c r="CL212" s="46">
        <f>+CL203*CK212+CJ204*CK211+CJ205*CK210+CJ206*CK209+CJ207*CK208+CJ208*CK207+CJ209*CK206+CJ210*CK205+CJ211*CK204+CJ212</f>
        <v>1667.6605819007816</v>
      </c>
      <c r="CM212" s="134">
        <f t="shared" si="410"/>
        <v>2.0733494371918269E-2</v>
      </c>
      <c r="CN212" s="135">
        <f t="shared" si="411"/>
        <v>1.2293601374275525E-2</v>
      </c>
      <c r="CO212" s="135">
        <f t="shared" si="420"/>
        <v>1.1964672405892043E-2</v>
      </c>
      <c r="CP212" s="134">
        <f>VLOOKUP($H212,RoR!$E:$F,2,FALSE)</f>
        <v>5.5558333333333321E-2</v>
      </c>
      <c r="CQ212" s="135">
        <v>2.691120634145272E-2</v>
      </c>
      <c r="CR212" s="135">
        <f t="shared" si="418"/>
        <v>2.86471269918806E-2</v>
      </c>
      <c r="CS212" s="135">
        <f t="shared" si="421"/>
        <v>1.8937269202641584E-2</v>
      </c>
      <c r="CT212" s="135">
        <f t="shared" si="422"/>
        <v>6.4575155250632399E-2</v>
      </c>
      <c r="CU212" s="139">
        <f t="shared" si="412"/>
        <v>0.87050000000000005</v>
      </c>
      <c r="CV212" s="335">
        <f t="shared" si="413"/>
        <v>0.92303077153834634</v>
      </c>
      <c r="CW212" s="335">
        <f t="shared" si="414"/>
        <v>0.52502249887505614</v>
      </c>
      <c r="CX212" s="335">
        <f t="shared" si="415"/>
        <v>0.88499666072084604</v>
      </c>
      <c r="CY212" s="335">
        <f t="shared" si="416"/>
        <v>0.42887993290280618</v>
      </c>
      <c r="CZ212" s="336">
        <f>INDEX('State Tax Lookup'!$D$7:$Z$91,MATCH(Calculation!$C212,'State Tax Lookup'!$B$7:$B$91,0),MATCH($H212,'State Tax Lookup'!$D$6:$Z$6,0))</f>
        <v>0.35</v>
      </c>
      <c r="DA212" s="303">
        <v>0.37</v>
      </c>
      <c r="DB212" s="57">
        <f t="shared" si="419"/>
        <v>12.544048969805631</v>
      </c>
      <c r="DC212" s="56">
        <f t="shared" si="423"/>
        <v>6.2794269014898707E-2</v>
      </c>
      <c r="DD212" s="303">
        <f>VLOOKUP($H212,RoR!$E:$F,2,FALSE)</f>
        <v>5.5558333333333321E-2</v>
      </c>
      <c r="DE212" s="304">
        <f>HLOOKUP($H212,'GDP-PI'!$D$8:$CQ$11,3,FALSE)</f>
        <v>2.691120634145272E-2</v>
      </c>
      <c r="DF212" s="303">
        <f>VLOOKUP(H212,'HW Dx Data'!$E:$F,2,FALSE)</f>
        <v>498.0223154772637</v>
      </c>
      <c r="DG212" s="89">
        <f ca="1">VLOOKUP(CC212,'ECI - Input Price'!M$13:N$33,2,FALSE)</f>
        <v>104.52499999999999</v>
      </c>
      <c r="DH212" s="89"/>
      <c r="DI212" s="89"/>
      <c r="DJ212" s="56">
        <f t="shared" ca="1" si="431"/>
        <v>-4.5584612745252218E-2</v>
      </c>
      <c r="DK212" s="53">
        <f>HLOOKUP(H212,'GDP-PI'!$8:$9,2,FALSE)</f>
        <v>92.498000000000005</v>
      </c>
      <c r="DL212" s="355">
        <f t="shared" si="424"/>
        <v>2.6555467950038037E-2</v>
      </c>
      <c r="EC212"/>
    </row>
    <row r="213" spans="1:133" s="126" customFormat="1" ht="21" customHeight="1" x14ac:dyDescent="0.4">
      <c r="A213" s="233" t="s">
        <v>195</v>
      </c>
      <c r="B213" s="127" t="s">
        <v>195</v>
      </c>
      <c r="C213" s="127">
        <v>4057112</v>
      </c>
      <c r="D213" s="127" t="s">
        <v>180</v>
      </c>
      <c r="E213" s="127"/>
      <c r="F213" s="127"/>
      <c r="G213" s="127" t="s">
        <v>164</v>
      </c>
      <c r="H213" s="128">
        <v>2008</v>
      </c>
      <c r="I213" s="129"/>
      <c r="J213" s="125">
        <f>IFERROR(INDEX('Labor Expenditures'!$E$7:$W$91,MATCH($C213,'Labor Expenditures'!$C$7:$C$91,0),MATCH($G213,'Labor Expenditures'!$E$5:$W$5,0)),"NA")</f>
        <v>14292.48753196144</v>
      </c>
      <c r="K213" s="125">
        <f t="shared" ca="1" si="425"/>
        <v>132.46049612568527</v>
      </c>
      <c r="L213" s="47"/>
      <c r="M213" s="131">
        <f t="shared" ca="1" si="432"/>
        <v>-0.10166663152989203</v>
      </c>
      <c r="N213" s="59"/>
      <c r="O213" s="59"/>
      <c r="P213" s="59">
        <f t="shared" ca="1" si="433"/>
        <v>-7.3548199510098042E-4</v>
      </c>
      <c r="Q213" s="61"/>
      <c r="R213" s="387"/>
      <c r="S213" s="49">
        <f t="shared" ca="1" si="438"/>
        <v>109.64457520612834</v>
      </c>
      <c r="T213" s="61">
        <f ca="1">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</f>
        <v>-7.0794248037697821E-2</v>
      </c>
      <c r="U213" s="61"/>
      <c r="V213" s="125">
        <f>IFERROR(INDEX('Non-Labor Expenditures'!$E$7:$AA$91,MATCH($C213,'Non-Labor Expenditures'!$C$7:$C$91,0),MATCH($G213,'Non-Labor Expenditures'!$E$5:$AA$5,0)),"NA")</f>
        <v>20698.191414726007</v>
      </c>
      <c r="W213" s="125">
        <f t="shared" si="426"/>
        <v>219.57684179247653</v>
      </c>
      <c r="X213" s="131">
        <f t="shared" si="434"/>
        <v>-8.8800370256463937E-2</v>
      </c>
      <c r="Y213" s="131">
        <f t="shared" si="435"/>
        <v>-6.4240422348139958E-4</v>
      </c>
      <c r="Z213" s="131"/>
      <c r="AA213" s="131"/>
      <c r="AB213" s="131"/>
      <c r="AC213" s="125">
        <f t="shared" si="404"/>
        <v>23532.211753435935</v>
      </c>
      <c r="AD213" s="129"/>
      <c r="AE213" s="133">
        <v>1775.4449430831958</v>
      </c>
      <c r="AF213" s="134">
        <v>1.8343362786440786E-2</v>
      </c>
      <c r="AG213" s="59">
        <f t="shared" si="427"/>
        <v>1.327005021806576E-4</v>
      </c>
      <c r="AH213" s="134"/>
      <c r="AI213" s="134"/>
      <c r="AJ213" s="129">
        <f t="shared" si="331"/>
        <v>58522.890700123382</v>
      </c>
      <c r="AK213" s="134">
        <f t="shared" si="436"/>
        <v>8.7415241743727772E-3</v>
      </c>
      <c r="AL213" s="129"/>
      <c r="AM213" s="129"/>
      <c r="AN213" s="129"/>
      <c r="AO213" s="129"/>
      <c r="AP213" s="133">
        <f t="shared" si="437"/>
        <v>232.47169999492888</v>
      </c>
      <c r="AQ213" s="134">
        <f>+BB213/Outputs!$B$16</f>
        <v>7.1655250751962857E-3</v>
      </c>
      <c r="AR213" s="93">
        <f t="shared" si="428"/>
        <v>0.24422046418037427</v>
      </c>
      <c r="AS213" s="93">
        <f t="shared" si="429"/>
        <v>0.35367684622390616</v>
      </c>
      <c r="AT213" s="93">
        <f t="shared" si="430"/>
        <v>0.40210268959571954</v>
      </c>
      <c r="AU213" s="93">
        <f t="shared" ca="1" si="439"/>
        <v>-5.8535845810509884E-2</v>
      </c>
      <c r="AV213" s="132">
        <f t="shared" ref="AV213:AV226" ca="1" si="442">+AV212*EXP(AU213)</f>
        <v>94.0916376763318</v>
      </c>
      <c r="AW213" s="134">
        <f t="shared" ref="AW213:AW226" ca="1" si="443">LN(AV213/AV212)</f>
        <v>-5.8535845810509884E-2</v>
      </c>
      <c r="AX213" s="56">
        <f>+AJ213/$AL$13</f>
        <v>7.2342516323532762E-3</v>
      </c>
      <c r="AY213" s="135">
        <f t="shared" ca="1" si="440"/>
        <v>-4.2346303810586081E-4</v>
      </c>
      <c r="AZ213" s="93"/>
      <c r="BA213" s="93"/>
      <c r="BB213" s="234">
        <f>IFERROR(INDEX('Total Customers'!$E$7:$AA$91,MATCH($C213,'Total Customers'!$C$7:$C$91,0),MATCH($G213,'Total Customers'!$E$5:$AA$5,0)),"NA")</f>
        <v>251742</v>
      </c>
      <c r="BC213" s="411">
        <f t="shared" si="400"/>
        <v>2.3199241805170041E-2</v>
      </c>
      <c r="BD213" s="92"/>
      <c r="BE213" s="281" t="str">
        <f t="shared" si="396"/>
        <v>CASCADE NATURAL GAS CORPORATION</v>
      </c>
      <c r="BF213" s="290">
        <f t="shared" si="397"/>
        <v>4057112</v>
      </c>
      <c r="BG213" s="46" t="str">
        <f t="shared" si="398"/>
        <v>WA</v>
      </c>
      <c r="BH213" s="46"/>
      <c r="BI213" s="46" t="str">
        <f t="shared" si="399"/>
        <v>2008 Y</v>
      </c>
      <c r="BJ213" s="129"/>
      <c r="BK213" s="129"/>
      <c r="BL213" s="129">
        <f>INDEX('Dist. Plant Gas Additions'!$E$7:$AD$91,MATCH($C213,'Dist. Plant Gas Additions'!$C$7:$C$91,0),MATCH(Calculation!$G213,'Dist. Plant Gas Additions'!$E$5:$AD$5,0))</f>
        <v>20724</v>
      </c>
      <c r="BM213" s="129">
        <f>INDEX('Gen. Plant Additions'!$E$7:$AD$91,MATCH($C213,'Gen. Plant Additions'!$C$7:$C$91,0),MATCH(Calculation!$G213,'Gen. Plant Additions'!$E$5:$AD$5,0))</f>
        <v>4255</v>
      </c>
      <c r="BN213" s="393">
        <f t="shared" si="405"/>
        <v>0.91823849978672656</v>
      </c>
      <c r="BO213" s="46">
        <f t="shared" si="406"/>
        <v>3907.1048165925217</v>
      </c>
      <c r="BP213" s="46">
        <f t="shared" si="407"/>
        <v>-347.89518340747827</v>
      </c>
      <c r="BQ213" s="129">
        <f>INDEX('Dist Plant Depreciation'!$D$7:$AC$94,MATCH($C213,'Dist Plant Depreciation'!$C$7:$C$94,0),MATCH(Calculation!$G213,'Dist Plant Depreciation'!$D$5:$AC$5,0))</f>
        <v>270926</v>
      </c>
      <c r="BR213" s="129">
        <f>INDEX('Gen. Plant Depreciation'!$D$7:$AC$94,MATCH($C213,'Gen. Plant Depreciation'!$C$7:$C$94,0),MATCH(Calculation!$G213,'Gen. Plant Depreciation'!$D$5:$AC$5,0))</f>
        <v>29975</v>
      </c>
      <c r="BS213" s="129"/>
      <c r="BT213" s="129"/>
      <c r="BU213" s="129"/>
      <c r="BV213" s="129"/>
      <c r="BW213" s="129"/>
      <c r="BX213" s="129"/>
      <c r="BY213" s="129">
        <f>INDEX('Gross Dx Plant'!$D$7:$AC$91,MATCH($C213,'Gross Dx Plant'!$C$7:$C$91,0),MATCH(Calculation!$G213,'Gross Dx Plant'!$D$5:$AC$5,0))</f>
        <v>596305</v>
      </c>
      <c r="BZ213" s="129">
        <f>INDEX('Gross Gen Plant'!$D$7:$AC$91,MATCH($C213,'Gross Gen Plant'!$C$7:$C$91,0),MATCH(Calculation!$G213,'Gross Gen Plant'!$D$5:$AC$5,0))</f>
        <v>53096</v>
      </c>
      <c r="CA213" s="129">
        <f t="shared" si="441"/>
        <v>348500</v>
      </c>
      <c r="CB213" s="129"/>
      <c r="CC213" s="133">
        <v>2008</v>
      </c>
      <c r="CD213" s="129"/>
      <c r="CE213" s="129"/>
      <c r="CF213" s="129"/>
      <c r="CG213" s="137"/>
      <c r="CH213" s="129">
        <f t="shared" si="408"/>
        <v>24979</v>
      </c>
      <c r="CI213" s="46">
        <f t="shared" si="417"/>
        <v>24631.10481659252</v>
      </c>
      <c r="CJ213" s="46">
        <f t="shared" si="409"/>
        <v>43.221472602434318</v>
      </c>
      <c r="CK213" s="443">
        <v>0.89130434782608692</v>
      </c>
      <c r="CL213" s="46">
        <f>+CL203*CK213+CJ204*CK212+CJ205*CK211+CJ206*CK210+CJ207*CK209+CJ208*CK208+CJ209*CK207+CJ210*CK206+CJ211*CK205+CJ212*CK204+CJ213</f>
        <v>1689.8317480531464</v>
      </c>
      <c r="CM213" s="134">
        <f t="shared" si="410"/>
        <v>1.3207171452843596E-2</v>
      </c>
      <c r="CN213" s="135">
        <f t="shared" si="411"/>
        <v>1.2622656359771141E-2</v>
      </c>
      <c r="CO213" s="135">
        <f t="shared" si="420"/>
        <v>1.2291728757299185E-2</v>
      </c>
      <c r="CP213" s="134">
        <f>VLOOKUP($H213,RoR!$E:$F,2,FALSE)</f>
        <v>5.6316666666666668E-2</v>
      </c>
      <c r="CQ213" s="135">
        <v>1.9092304698479889E-2</v>
      </c>
      <c r="CR213" s="135">
        <f t="shared" si="418"/>
        <v>3.7224361968186778E-2</v>
      </c>
      <c r="CS213" s="135">
        <f t="shared" si="421"/>
        <v>1.8610212851234438E-2</v>
      </c>
      <c r="CT213" s="135">
        <f t="shared" si="422"/>
        <v>6.9030581091053131E-2</v>
      </c>
      <c r="CU213" s="139">
        <f t="shared" si="412"/>
        <v>0.87050000000000005</v>
      </c>
      <c r="CV213" s="335">
        <f t="shared" si="413"/>
        <v>0.91060168006009956</v>
      </c>
      <c r="CW213" s="335">
        <f t="shared" si="414"/>
        <v>0.53108168097070152</v>
      </c>
      <c r="CX213" s="335">
        <f t="shared" si="415"/>
        <v>0.88825329850328805</v>
      </c>
      <c r="CY213" s="335">
        <f t="shared" si="416"/>
        <v>0.4295627335323573</v>
      </c>
      <c r="CZ213" s="336">
        <f>INDEX('State Tax Lookup'!$D$7:$Z$91,MATCH(Calculation!$C213,'State Tax Lookup'!$B$7:$B$91,0),MATCH($H213,'State Tax Lookup'!$D$6:$Z$6,0))</f>
        <v>0.35</v>
      </c>
      <c r="DA213" s="303">
        <v>0.37</v>
      </c>
      <c r="DB213" s="57">
        <f t="shared" si="419"/>
        <v>14.110912021806124</v>
      </c>
      <c r="DC213" s="56">
        <f t="shared" si="423"/>
        <v>0.11770203288858327</v>
      </c>
      <c r="DD213" s="303">
        <f>VLOOKUP($H213,RoR!$E:$F,2,FALSE)</f>
        <v>5.6316666666666668E-2</v>
      </c>
      <c r="DE213" s="304">
        <f>HLOOKUP($H213,'GDP-PI'!$D$8:$CQ$11,3,FALSE)</f>
        <v>1.9092304698479889E-2</v>
      </c>
      <c r="DF213" s="303">
        <f>VLOOKUP(H213,'HW Dx Data'!$E:$F,2,FALSE)</f>
        <v>569.88120333515076</v>
      </c>
      <c r="DG213" s="89">
        <f ca="1">VLOOKUP(CC213,'ECI - Input Price'!M$13:N$33,2,FALSE)</f>
        <v>107.9</v>
      </c>
      <c r="DH213" s="89"/>
      <c r="DI213" s="89"/>
      <c r="DJ213" s="56">
        <f t="shared" ca="1" si="431"/>
        <v>3.1778595021460486E-2</v>
      </c>
      <c r="DK213" s="53">
        <f>HLOOKUP(H213,'GDP-PI'!$8:$9,2,FALSE)</f>
        <v>94.263999999999996</v>
      </c>
      <c r="DL213" s="355">
        <f t="shared" si="424"/>
        <v>1.8912333748032254E-2</v>
      </c>
      <c r="EC213"/>
    </row>
    <row r="214" spans="1:133" s="126" customFormat="1" ht="21" customHeight="1" x14ac:dyDescent="0.4">
      <c r="A214" s="233" t="s">
        <v>195</v>
      </c>
      <c r="B214" s="127" t="s">
        <v>195</v>
      </c>
      <c r="C214" s="127">
        <v>4057112</v>
      </c>
      <c r="D214" s="127" t="s">
        <v>180</v>
      </c>
      <c r="E214" s="127"/>
      <c r="F214" s="127"/>
      <c r="G214" s="127" t="s">
        <v>165</v>
      </c>
      <c r="H214" s="128">
        <v>2009</v>
      </c>
      <c r="I214" s="129"/>
      <c r="J214" s="125">
        <f>IFERROR(INDEX('Labor Expenditures'!$E$7:$W$91,MATCH($C214,'Labor Expenditures'!$C$7:$C$91,0),MATCH($G214,'Labor Expenditures'!$E$5:$W$5,0)),"NA")</f>
        <v>14905.646992074699</v>
      </c>
      <c r="K214" s="125">
        <f t="shared" ca="1" si="425"/>
        <v>134.37590256546946</v>
      </c>
      <c r="L214" s="47"/>
      <c r="M214" s="131">
        <f t="shared" ca="1" si="432"/>
        <v>1.4356657100331141E-2</v>
      </c>
      <c r="N214" s="59"/>
      <c r="O214" s="59"/>
      <c r="P214" s="59">
        <f t="shared" ca="1" si="433"/>
        <v>1.0037579413171091E-4</v>
      </c>
      <c r="Q214" s="61"/>
      <c r="R214" s="387"/>
      <c r="S214" s="49">
        <f t="shared" ca="1" si="438"/>
        <v>118.29651627101696</v>
      </c>
      <c r="T214" s="61">
        <f ca="1">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</f>
        <v>7.5950322376499235E-2</v>
      </c>
      <c r="U214" s="61"/>
      <c r="V214" s="125">
        <f>IFERROR(INDEX('Non-Labor Expenditures'!$E$7:$AA$91,MATCH($C214,'Non-Labor Expenditures'!$C$7:$C$91,0),MATCH($G214,'Non-Labor Expenditures'!$E$5:$AA$5,0)),"NA")</f>
        <v>21586.160835359995</v>
      </c>
      <c r="W214" s="125">
        <f t="shared" si="426"/>
        <v>227.2251374789208</v>
      </c>
      <c r="X214" s="131">
        <f t="shared" si="434"/>
        <v>3.4239073282905583E-2</v>
      </c>
      <c r="Y214" s="131">
        <f t="shared" si="435"/>
        <v>2.3938540476990452E-4</v>
      </c>
      <c r="Z214" s="131"/>
      <c r="AA214" s="131"/>
      <c r="AB214" s="131"/>
      <c r="AC214" s="125">
        <f t="shared" si="404"/>
        <v>22634.799681298504</v>
      </c>
      <c r="AD214" s="129"/>
      <c r="AE214" s="133">
        <v>1787.7495131432886</v>
      </c>
      <c r="AF214" s="134">
        <v>6.9065099431185294E-3</v>
      </c>
      <c r="AG214" s="59">
        <f t="shared" si="427"/>
        <v>4.828745406220575E-5</v>
      </c>
      <c r="AH214" s="134"/>
      <c r="AI214" s="134"/>
      <c r="AJ214" s="129">
        <f t="shared" si="331"/>
        <v>59126.607508733199</v>
      </c>
      <c r="AK214" s="134">
        <f t="shared" si="436"/>
        <v>1.0263063029411823E-2</v>
      </c>
      <c r="AL214" s="129"/>
      <c r="AM214" s="129"/>
      <c r="AN214" s="129"/>
      <c r="AO214" s="129"/>
      <c r="AP214" s="133">
        <f t="shared" si="437"/>
        <v>232.58962082031863</v>
      </c>
      <c r="AQ214" s="134">
        <f>+BB214/Outputs!$B$17</f>
        <v>7.2265496743205765E-3</v>
      </c>
      <c r="AR214" s="93">
        <f t="shared" si="428"/>
        <v>0.2520971119452961</v>
      </c>
      <c r="AS214" s="93">
        <f t="shared" si="429"/>
        <v>0.36508370334238516</v>
      </c>
      <c r="AT214" s="93">
        <f t="shared" si="430"/>
        <v>0.38281918471231868</v>
      </c>
      <c r="AU214" s="93">
        <f t="shared" ca="1" si="439"/>
        <v>1.5867578191382743E-2</v>
      </c>
      <c r="AV214" s="132">
        <f t="shared" ca="1" si="442"/>
        <v>95.596552193213256</v>
      </c>
      <c r="AW214" s="134">
        <f t="shared" ca="1" si="443"/>
        <v>1.586757819138282E-2</v>
      </c>
      <c r="AX214" s="56">
        <f>+AJ214/$AL$14</f>
        <v>6.9915853969511966E-3</v>
      </c>
      <c r="AY214" s="135">
        <f t="shared" ca="1" si="440"/>
        <v>1.109395279678534E-4</v>
      </c>
      <c r="AZ214" s="93"/>
      <c r="BA214" s="93"/>
      <c r="BB214" s="234">
        <f>IFERROR(INDEX('Total Customers'!$E$7:$AA$91,MATCH($C214,'Total Customers'!$C$7:$C$91,0),MATCH($G214,'Total Customers'!$E$5:$AA$5,0)),"NA")</f>
        <v>254210</v>
      </c>
      <c r="BC214" s="411">
        <f t="shared" si="400"/>
        <v>9.7559435480056873E-3</v>
      </c>
      <c r="BD214" s="92"/>
      <c r="BE214" s="281" t="str">
        <f t="shared" si="396"/>
        <v>CASCADE NATURAL GAS CORPORATION</v>
      </c>
      <c r="BF214" s="290">
        <f t="shared" si="397"/>
        <v>4057112</v>
      </c>
      <c r="BG214" s="46" t="str">
        <f t="shared" si="398"/>
        <v>WA</v>
      </c>
      <c r="BH214" s="46"/>
      <c r="BI214" s="46" t="str">
        <f t="shared" si="399"/>
        <v>2009 Y</v>
      </c>
      <c r="BJ214" s="129"/>
      <c r="BK214" s="129"/>
      <c r="BL214" s="129">
        <f>INDEX('Dist. Plant Gas Additions'!$E$7:$AD$91,MATCH($C214,'Dist. Plant Gas Additions'!$C$7:$C$91,0),MATCH(Calculation!$G214,'Dist. Plant Gas Additions'!$E$5:$AD$5,0))</f>
        <v>9872</v>
      </c>
      <c r="BM214" s="129">
        <f>INDEX('Gen. Plant Additions'!$E$7:$AD$91,MATCH($C214,'Gen. Plant Additions'!$C$7:$C$91,0),MATCH(Calculation!$G214,'Gen. Plant Additions'!$E$5:$AD$5,0))</f>
        <v>3616</v>
      </c>
      <c r="BN214" s="393">
        <f t="shared" si="405"/>
        <v>0.92233714859101423</v>
      </c>
      <c r="BO214" s="46">
        <f t="shared" si="406"/>
        <v>3335.1711293051076</v>
      </c>
      <c r="BP214" s="46">
        <f t="shared" si="407"/>
        <v>-280.82887069489243</v>
      </c>
      <c r="BQ214" s="129">
        <f>INDEX('Dist Plant Depreciation'!$D$7:$AC$94,MATCH($C214,'Dist Plant Depreciation'!$C$7:$C$94,0),MATCH(Calculation!$G214,'Dist Plant Depreciation'!$D$5:$AC$5,0))</f>
        <v>286359</v>
      </c>
      <c r="BR214" s="129">
        <f>INDEX('Gen. Plant Depreciation'!$D$7:$AC$94,MATCH($C214,'Gen. Plant Depreciation'!$C$7:$C$94,0),MATCH(Calculation!$G214,'Gen. Plant Depreciation'!$D$5:$AC$5,0))</f>
        <v>27219</v>
      </c>
      <c r="BS214" s="129"/>
      <c r="BT214" s="129"/>
      <c r="BU214" s="129"/>
      <c r="BV214" s="129"/>
      <c r="BW214" s="129"/>
      <c r="BX214" s="129"/>
      <c r="BY214" s="129">
        <f>INDEX('Gross Dx Plant'!$D$7:$AC$91,MATCH($C214,'Gross Dx Plant'!$C$7:$C$91,0),MATCH(Calculation!$G214,'Gross Dx Plant'!$D$5:$AC$5,0))</f>
        <v>605744</v>
      </c>
      <c r="BZ214" s="129">
        <f>INDEX('Gross Gen Plant'!$D$7:$AC$91,MATCH($C214,'Gross Gen Plant'!$C$7:$C$91,0),MATCH(Calculation!$G214,'Gross Gen Plant'!$D$5:$AC$5,0))</f>
        <v>51005</v>
      </c>
      <c r="CA214" s="129">
        <f t="shared" si="441"/>
        <v>343171</v>
      </c>
      <c r="CB214" s="129"/>
      <c r="CC214" s="133">
        <v>2009</v>
      </c>
      <c r="CD214" s="129"/>
      <c r="CE214" s="129"/>
      <c r="CF214" s="129"/>
      <c r="CG214" s="137"/>
      <c r="CH214" s="129">
        <f t="shared" si="408"/>
        <v>13488</v>
      </c>
      <c r="CI214" s="46">
        <f t="shared" si="417"/>
        <v>13207.171129305108</v>
      </c>
      <c r="CJ214" s="46">
        <f t="shared" si="409"/>
        <v>23.972040265697732</v>
      </c>
      <c r="CK214" s="443">
        <v>0.87912087912087911</v>
      </c>
      <c r="CL214" s="46">
        <f>+CL203*CK214+CJ204*CK213+CJ205*CK212+CJ206*CK211+CJ207*CK210+CJ208*CK209+CJ209*CK208+CJ210*CK207+CJ211*CK206+CJ212*CK205+CJ213*CK204+CJ214</f>
        <v>1691.8688993569838</v>
      </c>
      <c r="CM214" s="134">
        <f t="shared" si="410"/>
        <v>1.2048089187426728E-3</v>
      </c>
      <c r="CN214" s="135">
        <f t="shared" si="411"/>
        <v>1.2980516543810652E-2</v>
      </c>
      <c r="CO214" s="135">
        <f t="shared" si="420"/>
        <v>1.2632258092619105E-2</v>
      </c>
      <c r="CP214" s="134">
        <f>VLOOKUP($H214,RoR!$E:$F,2,FALSE)</f>
        <v>5.3133333333333324E-2</v>
      </c>
      <c r="CQ214" s="135">
        <v>7.7972502758210105E-3</v>
      </c>
      <c r="CR214" s="135">
        <f t="shared" si="418"/>
        <v>4.5336083057512314E-2</v>
      </c>
      <c r="CS214" s="135">
        <f t="shared" si="421"/>
        <v>1.8269683515914521E-2</v>
      </c>
      <c r="CT214" s="135">
        <f t="shared" si="422"/>
        <v>6.3720160300892073E-2</v>
      </c>
      <c r="CU214" s="139">
        <f t="shared" si="412"/>
        <v>0.87050000000000005</v>
      </c>
      <c r="CV214" s="335">
        <f t="shared" si="413"/>
        <v>0.96515780330083989</v>
      </c>
      <c r="CW214" s="335">
        <f t="shared" si="414"/>
        <v>0.50448557089084056</v>
      </c>
      <c r="CX214" s="335">
        <f t="shared" si="415"/>
        <v>0.87391435735465484</v>
      </c>
      <c r="CY214" s="335">
        <f t="shared" si="416"/>
        <v>0.42551605393279146</v>
      </c>
      <c r="CZ214" s="336">
        <f>INDEX('State Tax Lookup'!$D$7:$Z$91,MATCH(Calculation!$C214,'State Tax Lookup'!$B$7:$B$91,0),MATCH($H214,'State Tax Lookup'!$D$6:$Z$6,0))</f>
        <v>0.35</v>
      </c>
      <c r="DA214" s="303">
        <v>0.37</v>
      </c>
      <c r="DB214" s="57">
        <f t="shared" si="419"/>
        <v>13.394706134132015</v>
      </c>
      <c r="DC214" s="56">
        <f t="shared" si="423"/>
        <v>-5.208883605067216E-2</v>
      </c>
      <c r="DD214" s="303">
        <f>VLOOKUP($H214,RoR!$E:$F,2,FALSE)</f>
        <v>5.3133333333333324E-2</v>
      </c>
      <c r="DE214" s="304">
        <f>HLOOKUP($H214,'GDP-PI'!$D$8:$CQ$11,3,FALSE)</f>
        <v>7.7972502758210105E-3</v>
      </c>
      <c r="DF214" s="303">
        <f>VLOOKUP(H214,'HW Dx Data'!$E:$F,2,FALSE)</f>
        <v>550.94063679692806</v>
      </c>
      <c r="DG214" s="89">
        <f ca="1">VLOOKUP(CC214,'ECI - Input Price'!M$13:N$33,2,FALSE)</f>
        <v>110.925</v>
      </c>
      <c r="DH214" s="89"/>
      <c r="DI214" s="89"/>
      <c r="DJ214" s="56">
        <f t="shared" ca="1" si="431"/>
        <v>2.7649425000884052E-2</v>
      </c>
      <c r="DK214" s="53">
        <f>HLOOKUP(H214,'GDP-PI'!$8:$9,2,FALSE)</f>
        <v>94.998999999999995</v>
      </c>
      <c r="DL214" s="355">
        <f t="shared" si="424"/>
        <v>7.7670088183096342E-3</v>
      </c>
      <c r="EC214"/>
    </row>
    <row r="215" spans="1:133" s="126" customFormat="1" ht="21" customHeight="1" x14ac:dyDescent="0.4">
      <c r="A215" s="233" t="s">
        <v>195</v>
      </c>
      <c r="B215" s="127" t="s">
        <v>195</v>
      </c>
      <c r="C215" s="127">
        <v>4057112</v>
      </c>
      <c r="D215" s="127" t="s">
        <v>180</v>
      </c>
      <c r="E215" s="127"/>
      <c r="F215" s="127"/>
      <c r="G215" s="127" t="s">
        <v>166</v>
      </c>
      <c r="H215" s="128">
        <v>2010</v>
      </c>
      <c r="I215" s="129"/>
      <c r="J215" s="125">
        <f>IFERROR(INDEX('Labor Expenditures'!$E$7:$W$91,MATCH($C215,'Labor Expenditures'!$C$7:$C$91,0),MATCH($G215,'Labor Expenditures'!$E$5:$W$5,0)),"NA")</f>
        <v>16441.375957097538</v>
      </c>
      <c r="K215" s="125">
        <f t="shared" ca="1" si="425"/>
        <v>140.61471846993831</v>
      </c>
      <c r="L215" s="47"/>
      <c r="M215" s="131">
        <f t="shared" ca="1" si="432"/>
        <v>4.5382541557476376E-2</v>
      </c>
      <c r="N215" s="59"/>
      <c r="O215" s="59"/>
      <c r="P215" s="59">
        <f t="shared" ca="1" si="433"/>
        <v>3.2914617670649958E-4</v>
      </c>
      <c r="Q215" s="61"/>
      <c r="R215" s="387"/>
      <c r="S215" s="49">
        <f t="shared" ca="1" si="438"/>
        <v>97.578307603624054</v>
      </c>
      <c r="T215" s="61">
        <f ca="1">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</f>
        <v>-0.19253911173575955</v>
      </c>
      <c r="U215" s="61"/>
      <c r="V215" s="125">
        <f>IFERROR(INDEX('Non-Labor Expenditures'!$E$7:$AA$91,MATCH($C215,'Non-Labor Expenditures'!$C$7:$C$91,0),MATCH($G215,'Non-Labor Expenditures'!$E$5:$AA$5,0)),"NA")</f>
        <v>23810.183211317912</v>
      </c>
      <c r="W215" s="125">
        <f t="shared" si="426"/>
        <v>247.74145201092418</v>
      </c>
      <c r="X215" s="131">
        <f t="shared" si="434"/>
        <v>8.6444349097302683E-2</v>
      </c>
      <c r="Y215" s="131">
        <f t="shared" si="435"/>
        <v>6.2695534509066677E-4</v>
      </c>
      <c r="Z215" s="131"/>
      <c r="AA215" s="131"/>
      <c r="AB215" s="131"/>
      <c r="AC215" s="125">
        <f t="shared" si="404"/>
        <v>22974.242547610582</v>
      </c>
      <c r="AD215" s="129"/>
      <c r="AE215" s="133">
        <v>1806.0554875819575</v>
      </c>
      <c r="AF215" s="134">
        <v>1.0187604926809767E-2</v>
      </c>
      <c r="AG215" s="59">
        <f t="shared" si="427"/>
        <v>7.3887691089511524E-5</v>
      </c>
      <c r="AH215" s="134"/>
      <c r="AI215" s="134"/>
      <c r="AJ215" s="129">
        <f t="shared" si="331"/>
        <v>63225.801716026035</v>
      </c>
      <c r="AK215" s="134">
        <f t="shared" si="436"/>
        <v>6.7031438088940146E-2</v>
      </c>
      <c r="AL215" s="129"/>
      <c r="AM215" s="129"/>
      <c r="AN215" s="129"/>
      <c r="AO215" s="129"/>
      <c r="AP215" s="133">
        <f t="shared" si="437"/>
        <v>245.74036665679199</v>
      </c>
      <c r="AQ215" s="134">
        <f>+BB215/Outputs!$B$18</f>
        <v>7.2740030055335539E-3</v>
      </c>
      <c r="AR215" s="93">
        <f t="shared" si="428"/>
        <v>0.26004219022706504</v>
      </c>
      <c r="AS215" s="93">
        <f t="shared" si="429"/>
        <v>0.37658966063031624</v>
      </c>
      <c r="AT215" s="93">
        <f t="shared" si="430"/>
        <v>0.36336814914261861</v>
      </c>
      <c r="AU215" s="93">
        <f t="shared" ca="1" si="439"/>
        <v>4.3677827177740582E-2</v>
      </c>
      <c r="AV215" s="132">
        <f t="shared" ca="1" si="442"/>
        <v>99.864531408859904</v>
      </c>
      <c r="AW215" s="134">
        <f t="shared" ca="1" si="443"/>
        <v>4.3677827177740478E-2</v>
      </c>
      <c r="AX215" s="56">
        <f>+AJ215/$AL$15</f>
        <v>7.2527047937507071E-3</v>
      </c>
      <c r="AY215" s="135">
        <f t="shared" ca="1" si="440"/>
        <v>3.1678238655261326E-4</v>
      </c>
      <c r="AZ215" s="93"/>
      <c r="BA215" s="93"/>
      <c r="BB215" s="234">
        <f>IFERROR(INDEX('Total Customers'!$E$7:$AA$91,MATCH($C215,'Total Customers'!$C$7:$C$91,0),MATCH($G215,'Total Customers'!$E$5:$AA$5,0)),"NA")</f>
        <v>257287</v>
      </c>
      <c r="BC215" s="411">
        <f t="shared" si="400"/>
        <v>1.2031496247261467E-2</v>
      </c>
      <c r="BD215" s="92"/>
      <c r="BE215" s="281" t="str">
        <f t="shared" si="396"/>
        <v>CASCADE NATURAL GAS CORPORATION</v>
      </c>
      <c r="BF215" s="290">
        <f t="shared" si="397"/>
        <v>4057112</v>
      </c>
      <c r="BG215" s="46" t="str">
        <f t="shared" si="398"/>
        <v>WA</v>
      </c>
      <c r="BH215" s="46"/>
      <c r="BI215" s="46" t="str">
        <f t="shared" si="399"/>
        <v>2010 Y</v>
      </c>
      <c r="BJ215" s="129"/>
      <c r="BK215" s="129"/>
      <c r="BL215" s="129">
        <f>INDEX('Dist. Plant Gas Additions'!$E$7:$AD$91,MATCH($C215,'Dist. Plant Gas Additions'!$C$7:$C$91,0),MATCH(Calculation!$G215,'Dist. Plant Gas Additions'!$E$5:$AD$5,0))</f>
        <v>7534</v>
      </c>
      <c r="BM215" s="129">
        <f>INDEX('Gen. Plant Additions'!$E$7:$AD$91,MATCH($C215,'Gen. Plant Additions'!$C$7:$C$91,0),MATCH(Calculation!$G215,'Gen. Plant Additions'!$E$5:$AD$5,0))</f>
        <v>10122</v>
      </c>
      <c r="BN215" s="393">
        <f t="shared" si="405"/>
        <v>0.92692534782674518</v>
      </c>
      <c r="BO215" s="46">
        <f t="shared" si="406"/>
        <v>9382.3383707023149</v>
      </c>
      <c r="BP215" s="46">
        <f t="shared" si="407"/>
        <v>-739.66162929768507</v>
      </c>
      <c r="BQ215" s="129">
        <f>INDEX('Dist Plant Depreciation'!$D$7:$AC$94,MATCH($C215,'Dist Plant Depreciation'!$C$7:$C$94,0),MATCH(Calculation!$G215,'Dist Plant Depreciation'!$D$5:$AC$5,0))</f>
        <v>301431</v>
      </c>
      <c r="BR215" s="129">
        <f>INDEX('Gen. Plant Depreciation'!$D$7:$AC$94,MATCH($C215,'Gen. Plant Depreciation'!$C$7:$C$94,0),MATCH(Calculation!$G215,'Gen. Plant Depreciation'!$D$5:$AC$5,0))</f>
        <v>26878</v>
      </c>
      <c r="BS215" s="129"/>
      <c r="BT215" s="129"/>
      <c r="BU215" s="129"/>
      <c r="BV215" s="129"/>
      <c r="BW215" s="129"/>
      <c r="BX215" s="129"/>
      <c r="BY215" s="129">
        <f>INDEX('Gross Dx Plant'!$D$7:$AC$91,MATCH($C215,'Gross Dx Plant'!$C$7:$C$91,0),MATCH(Calculation!$G215,'Gross Dx Plant'!$D$5:$AC$5,0))</f>
        <v>612262</v>
      </c>
      <c r="BZ215" s="129">
        <f>INDEX('Gross Gen Plant'!$D$7:$AC$91,MATCH($C215,'Gross Gen Plant'!$C$7:$C$91,0),MATCH(Calculation!$G215,'Gross Gen Plant'!$D$5:$AC$5,0))</f>
        <v>48268</v>
      </c>
      <c r="CA215" s="129">
        <f t="shared" si="441"/>
        <v>332221</v>
      </c>
      <c r="CB215" s="129"/>
      <c r="CC215" s="133">
        <v>2010</v>
      </c>
      <c r="CD215" s="129"/>
      <c r="CE215" s="129"/>
      <c r="CF215" s="129"/>
      <c r="CG215" s="137"/>
      <c r="CH215" s="129">
        <f t="shared" si="408"/>
        <v>17656</v>
      </c>
      <c r="CI215" s="46">
        <f t="shared" si="417"/>
        <v>16916.338370702317</v>
      </c>
      <c r="CJ215" s="46">
        <f t="shared" si="409"/>
        <v>29.730492904560666</v>
      </c>
      <c r="CK215" s="443">
        <v>0.8666666666666667</v>
      </c>
      <c r="CL215" s="46">
        <f>+CL203*CK215+CJ204*CK214+CJ205*CK213+CJ206*CK212+CJ207*CK211+CJ208*CK210+CJ209*CK209+CJ210*CK208+CJ211*CK207+CJ212*CK206+CJ213*CK205+CJ214*CK204+CJ215</f>
        <v>1698.9469183685737</v>
      </c>
      <c r="CM215" s="134">
        <f t="shared" si="410"/>
        <v>4.1748238019357923E-3</v>
      </c>
      <c r="CN215" s="135">
        <f t="shared" si="411"/>
        <v>1.3389024351461314E-2</v>
      </c>
      <c r="CO215" s="135">
        <f t="shared" si="420"/>
        <v>1.2997399085014369E-2</v>
      </c>
      <c r="CP215" s="134">
        <f>VLOOKUP($H215,RoR!$E:$F,2,FALSE)</f>
        <v>4.9433333333333322E-2</v>
      </c>
      <c r="CQ215" s="135">
        <v>1.1684333519300205E-2</v>
      </c>
      <c r="CR215" s="135">
        <f t="shared" si="418"/>
        <v>3.7748999814033117E-2</v>
      </c>
      <c r="CS215" s="135">
        <f t="shared" si="421"/>
        <v>1.7904542523519258E-2</v>
      </c>
      <c r="CT215" s="135">
        <f t="shared" si="422"/>
        <v>4.7937530248493419E-2</v>
      </c>
      <c r="CU215" s="139">
        <f t="shared" si="412"/>
        <v>0.87050000000000005</v>
      </c>
      <c r="CV215" s="335">
        <f t="shared" si="413"/>
        <v>1.037398205301105</v>
      </c>
      <c r="CW215" s="335">
        <f t="shared" si="414"/>
        <v>0.46926837491571133</v>
      </c>
      <c r="CX215" s="335">
        <f t="shared" si="415"/>
        <v>0.8548537519972772</v>
      </c>
      <c r="CY215" s="335">
        <f t="shared" si="416"/>
        <v>0.41615833911547367</v>
      </c>
      <c r="CZ215" s="336">
        <f>INDEX('State Tax Lookup'!$D$7:$Z$91,MATCH(Calculation!$C215,'State Tax Lookup'!$B$7:$B$91,0),MATCH($H215,'State Tax Lookup'!$D$6:$Z$6,0))</f>
        <v>0.35</v>
      </c>
      <c r="DA215" s="303">
        <v>0.37</v>
      </c>
      <c r="DB215" s="57">
        <f t="shared" si="419"/>
        <v>13.579209687193986</v>
      </c>
      <c r="DC215" s="56">
        <f t="shared" si="423"/>
        <v>1.3680359336488732E-2</v>
      </c>
      <c r="DD215" s="303">
        <f>VLOOKUP($H215,RoR!$E:$F,2,FALSE)</f>
        <v>4.9433333333333322E-2</v>
      </c>
      <c r="DE215" s="304">
        <f>HLOOKUP($H215,'GDP-PI'!$D$8:$CQ$11,3,FALSE)</f>
        <v>1.1684333519300205E-2</v>
      </c>
      <c r="DF215" s="303">
        <f>VLOOKUP(H215,'HW Dx Data'!$E:$F,2,FALSE)</f>
        <v>568.98950262971744</v>
      </c>
      <c r="DG215" s="89">
        <f ca="1">VLOOKUP(CC215,'ECI - Input Price'!M$13:N$33,2,FALSE)</f>
        <v>116.925</v>
      </c>
      <c r="DH215" s="89"/>
      <c r="DI215" s="89"/>
      <c r="DJ215" s="56">
        <f t="shared" ca="1" si="431"/>
        <v>5.2678406346976722E-2</v>
      </c>
      <c r="DK215" s="53">
        <f>HLOOKUP(H215,'GDP-PI'!$8:$9,2,FALSE)</f>
        <v>96.108999999999995</v>
      </c>
      <c r="DL215" s="355">
        <f t="shared" si="424"/>
        <v>1.1616598807150427E-2</v>
      </c>
      <c r="EC215"/>
    </row>
    <row r="216" spans="1:133" s="126" customFormat="1" ht="21" customHeight="1" x14ac:dyDescent="0.4">
      <c r="A216" s="233" t="s">
        <v>195</v>
      </c>
      <c r="B216" s="127" t="s">
        <v>195</v>
      </c>
      <c r="C216" s="127">
        <v>4057112</v>
      </c>
      <c r="D216" s="127" t="s">
        <v>180</v>
      </c>
      <c r="E216" s="127"/>
      <c r="F216" s="127"/>
      <c r="G216" s="127" t="s">
        <v>167</v>
      </c>
      <c r="H216" s="128">
        <v>2011</v>
      </c>
      <c r="I216" s="129"/>
      <c r="J216" s="125">
        <f>IFERROR(INDEX('Labor Expenditures'!$E$7:$W$91,MATCH($C216,'Labor Expenditures'!$C$7:$C$91,0),MATCH($G216,'Labor Expenditures'!$E$5:$W$5,0)),"NA")</f>
        <v>16336.902951387066</v>
      </c>
      <c r="K216" s="125">
        <f t="shared" ca="1" si="425"/>
        <v>135.15535016659413</v>
      </c>
      <c r="L216" s="47"/>
      <c r="M216" s="131">
        <f t="shared" ca="1" si="432"/>
        <v>-3.9598798365973714E-2</v>
      </c>
      <c r="N216" s="59"/>
      <c r="O216" s="59"/>
      <c r="P216" s="59">
        <f t="shared" ca="1" si="433"/>
        <v>-2.806813242919291E-4</v>
      </c>
      <c r="Q216" s="61"/>
      <c r="R216" s="387"/>
      <c r="S216" s="49">
        <f t="shared" ca="1" si="438"/>
        <v>117.18552248258024</v>
      </c>
      <c r="T216" s="61">
        <f ca="1">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</f>
        <v>0.18310313065058134</v>
      </c>
      <c r="U216" s="61"/>
      <c r="V216" s="125">
        <f>IFERROR(INDEX('Non-Labor Expenditures'!$E$7:$AA$91,MATCH($C216,'Non-Labor Expenditures'!$C$7:$C$91,0),MATCH($G216,'Non-Labor Expenditures'!$E$5:$AA$5,0)),"NA")</f>
        <v>23658.886786183273</v>
      </c>
      <c r="W216" s="125">
        <f t="shared" si="426"/>
        <v>241.1416216791348</v>
      </c>
      <c r="X216" s="131">
        <f t="shared" si="434"/>
        <v>-2.7001267417314605E-2</v>
      </c>
      <c r="Y216" s="131">
        <f t="shared" si="435"/>
        <v>-1.9138842108816658E-4</v>
      </c>
      <c r="Z216" s="131"/>
      <c r="AA216" s="131"/>
      <c r="AB216" s="131"/>
      <c r="AC216" s="125">
        <f t="shared" si="404"/>
        <v>24312.533555442136</v>
      </c>
      <c r="AD216" s="129"/>
      <c r="AE216" s="133">
        <v>1821.3393120592543</v>
      </c>
      <c r="AF216" s="134">
        <v>8.4269376605537183E-3</v>
      </c>
      <c r="AG216" s="59">
        <f t="shared" si="427"/>
        <v>5.9731207003548357E-5</v>
      </c>
      <c r="AH216" s="134"/>
      <c r="AI216" s="134"/>
      <c r="AJ216" s="129">
        <f t="shared" si="331"/>
        <v>64308.32329301248</v>
      </c>
      <c r="AK216" s="134">
        <f t="shared" si="436"/>
        <v>1.6976594707884273E-2</v>
      </c>
      <c r="AL216" s="129"/>
      <c r="AM216" s="129"/>
      <c r="AN216" s="129"/>
      <c r="AO216" s="129"/>
      <c r="AP216" s="133">
        <f t="shared" si="437"/>
        <v>246.96071526009115</v>
      </c>
      <c r="AQ216" s="134">
        <f>+BB216/Outputs!$B$19</f>
        <v>7.3264637811749052E-3</v>
      </c>
      <c r="AR216" s="93">
        <f t="shared" si="428"/>
        <v>0.25404025660799928</v>
      </c>
      <c r="AS216" s="93">
        <f t="shared" si="429"/>
        <v>0.36789773974334</v>
      </c>
      <c r="AT216" s="93">
        <f t="shared" si="430"/>
        <v>0.37806200364866072</v>
      </c>
      <c r="AU216" s="93">
        <f t="shared" ca="1" si="439"/>
        <v>-2.0229575271009284E-2</v>
      </c>
      <c r="AV216" s="132">
        <f t="shared" ca="1" si="442"/>
        <v>97.864611323533452</v>
      </c>
      <c r="AW216" s="134">
        <f t="shared" ca="1" si="443"/>
        <v>-2.0229575271009336E-2</v>
      </c>
      <c r="AX216" s="56">
        <f>+AJ216/$AL$16</f>
        <v>7.0881273138104044E-3</v>
      </c>
      <c r="AY216" s="135">
        <f t="shared" ca="1" si="440"/>
        <v>-1.4338980502522479E-4</v>
      </c>
      <c r="AZ216" s="93"/>
      <c r="BA216" s="93"/>
      <c r="BB216" s="234">
        <f>IFERROR(INDEX('Total Customers'!$E$7:$AA$91,MATCH($C216,'Total Customers'!$C$7:$C$91,0),MATCH($G216,'Total Customers'!$E$5:$AA$5,0)),"NA")</f>
        <v>260399</v>
      </c>
      <c r="BC216" s="411">
        <f t="shared" si="400"/>
        <v>1.202287674934349E-2</v>
      </c>
      <c r="BD216" s="92"/>
      <c r="BE216" s="281" t="str">
        <f t="shared" si="396"/>
        <v>CASCADE NATURAL GAS CORPORATION</v>
      </c>
      <c r="BF216" s="290">
        <f t="shared" si="397"/>
        <v>4057112</v>
      </c>
      <c r="BG216" s="46" t="str">
        <f t="shared" si="398"/>
        <v>WA</v>
      </c>
      <c r="BH216" s="46"/>
      <c r="BI216" s="46" t="str">
        <f t="shared" si="399"/>
        <v>2011 Y</v>
      </c>
      <c r="BJ216" s="129"/>
      <c r="BK216" s="129"/>
      <c r="BL216" s="129">
        <f>INDEX('Dist. Plant Gas Additions'!$E$7:$AD$91,MATCH($C216,'Dist. Plant Gas Additions'!$C$7:$C$91,0),MATCH(Calculation!$G216,'Dist. Plant Gas Additions'!$E$5:$AD$5,0))</f>
        <v>14019</v>
      </c>
      <c r="BM216" s="129">
        <f>INDEX('Gen. Plant Additions'!$E$7:$AD$91,MATCH($C216,'Gen. Plant Additions'!$C$7:$C$91,0),MATCH(Calculation!$G216,'Gen. Plant Additions'!$E$5:$AD$5,0))</f>
        <v>3482</v>
      </c>
      <c r="BN216" s="393">
        <f t="shared" si="405"/>
        <v>0.92621999515553555</v>
      </c>
      <c r="BO216" s="46">
        <f t="shared" si="406"/>
        <v>3225.0980231315748</v>
      </c>
      <c r="BP216" s="46">
        <f t="shared" si="407"/>
        <v>-256.90197686842521</v>
      </c>
      <c r="BQ216" s="129">
        <f>INDEX('Dist Plant Depreciation'!$D$7:$AC$94,MATCH($C216,'Dist Plant Depreciation'!$C$7:$C$94,0),MATCH(Calculation!$G216,'Dist Plant Depreciation'!$D$5:$AC$5,0))</f>
        <v>316517</v>
      </c>
      <c r="BR216" s="129">
        <f>INDEX('Gen. Plant Depreciation'!$D$7:$AC$94,MATCH($C216,'Gen. Plant Depreciation'!$C$7:$C$94,0),MATCH(Calculation!$G216,'Gen. Plant Depreciation'!$D$5:$AC$5,0))</f>
        <v>27731</v>
      </c>
      <c r="BS216" s="129"/>
      <c r="BT216" s="129"/>
      <c r="BU216" s="129"/>
      <c r="BV216" s="129"/>
      <c r="BW216" s="129"/>
      <c r="BX216" s="129"/>
      <c r="BY216" s="129">
        <f>INDEX('Gross Dx Plant'!$D$7:$AC$91,MATCH($C216,'Gross Dx Plant'!$C$7:$C$91,0),MATCH(Calculation!$G216,'Gross Dx Plant'!$D$5:$AC$5,0))</f>
        <v>623284</v>
      </c>
      <c r="BZ216" s="129">
        <f>INDEX('Gross Gen Plant'!$D$7:$AC$91,MATCH($C216,'Gross Gen Plant'!$C$7:$C$91,0),MATCH(Calculation!$G216,'Gross Gen Plant'!$D$5:$AC$5,0))</f>
        <v>49649</v>
      </c>
      <c r="CA216" s="129">
        <f t="shared" si="441"/>
        <v>328685</v>
      </c>
      <c r="CB216" s="129"/>
      <c r="CC216" s="133">
        <v>2011</v>
      </c>
      <c r="CD216" s="129"/>
      <c r="CE216" s="129"/>
      <c r="CF216" s="129"/>
      <c r="CG216" s="137"/>
      <c r="CH216" s="129">
        <f t="shared" si="408"/>
        <v>17501</v>
      </c>
      <c r="CI216" s="46">
        <f t="shared" si="417"/>
        <v>17244.098023131573</v>
      </c>
      <c r="CJ216" s="46">
        <f t="shared" si="409"/>
        <v>28.194547372417816</v>
      </c>
      <c r="CK216" s="443">
        <v>0.8539325842696629</v>
      </c>
      <c r="CL216" s="46">
        <f>+CL203*CK216+CJ204*CK215+CJ205*CK214+CJ206*CK213+CJ207*CK212+CJ208*CK211+CJ209*CK210+CJ210*CK209+CJ211*CK208+CJ212*CK207+CJ213*CK206+CJ214*CK205+CJ215*CK204+CJ216</f>
        <v>1703.6936865545695</v>
      </c>
      <c r="CM216" s="134">
        <f t="shared" si="410"/>
        <v>2.7900515019723725E-3</v>
      </c>
      <c r="CN216" s="135">
        <f t="shared" si="411"/>
        <v>1.380136067402152E-2</v>
      </c>
      <c r="CO216" s="135">
        <f t="shared" si="420"/>
        <v>1.339030052309783E-2</v>
      </c>
      <c r="CP216" s="134">
        <f>VLOOKUP($H216,RoR!$E:$F,2,FALSE)</f>
        <v>4.6391666666666664E-2</v>
      </c>
      <c r="CQ216" s="135">
        <v>2.0840920205183799E-2</v>
      </c>
      <c r="CR216" s="135">
        <f t="shared" si="418"/>
        <v>2.5550746461482865E-2</v>
      </c>
      <c r="CS216" s="135">
        <f t="shared" si="421"/>
        <v>1.7511641085435795E-2</v>
      </c>
      <c r="CT216" s="135">
        <f t="shared" si="422"/>
        <v>2.4810540821321614E-2</v>
      </c>
      <c r="CU216" s="139">
        <f t="shared" si="412"/>
        <v>0.87050000000000005</v>
      </c>
      <c r="CV216" s="335">
        <f t="shared" si="413"/>
        <v>1.1054151524782025</v>
      </c>
      <c r="CW216" s="335">
        <f t="shared" si="414"/>
        <v>0.43611011316687626</v>
      </c>
      <c r="CX216" s="335">
        <f t="shared" si="415"/>
        <v>0.83698442246886229</v>
      </c>
      <c r="CY216" s="335">
        <f t="shared" si="416"/>
        <v>0.40349573304423936</v>
      </c>
      <c r="CZ216" s="336">
        <f>INDEX('State Tax Lookup'!$D$7:$Z$91,MATCH(Calculation!$C216,'State Tax Lookup'!$B$7:$B$91,0),MATCH($H216,'State Tax Lookup'!$D$6:$Z$6,0))</f>
        <v>0.35</v>
      </c>
      <c r="DA216" s="303">
        <v>0.37</v>
      </c>
      <c r="DB216" s="57">
        <f t="shared" si="419"/>
        <v>14.310355016146371</v>
      </c>
      <c r="DC216" s="56">
        <f t="shared" si="423"/>
        <v>5.244347859788967E-2</v>
      </c>
      <c r="DD216" s="303">
        <f>VLOOKUP($H216,RoR!$E:$F,2,FALSE)</f>
        <v>4.6391666666666664E-2</v>
      </c>
      <c r="DE216" s="304">
        <f>HLOOKUP($H216,'GDP-PI'!$D$8:$CQ$11,3,FALSE)</f>
        <v>2.0840920205183799E-2</v>
      </c>
      <c r="DF216" s="303">
        <f>VLOOKUP(H216,'HW Dx Data'!$E:$F,2,FALSE)</f>
        <v>611.61109612283201</v>
      </c>
      <c r="DG216" s="89">
        <f ca="1">VLOOKUP(CC216,'ECI - Input Price'!M$13:N$33,2,FALSE)</f>
        <v>120.875</v>
      </c>
      <c r="DH216" s="89"/>
      <c r="DI216" s="89"/>
      <c r="DJ216" s="56">
        <f t="shared" ca="1" si="431"/>
        <v>3.3224250161508609E-2</v>
      </c>
      <c r="DK216" s="53">
        <f>HLOOKUP(H216,'GDP-PI'!$8:$9,2,FALSE)</f>
        <v>98.111999999999995</v>
      </c>
      <c r="DL216" s="355">
        <f t="shared" si="424"/>
        <v>2.0626719212849295E-2</v>
      </c>
      <c r="EC216"/>
    </row>
    <row r="217" spans="1:133" s="126" customFormat="1" ht="21" customHeight="1" x14ac:dyDescent="0.4">
      <c r="A217" s="233" t="s">
        <v>195</v>
      </c>
      <c r="B217" s="127" t="s">
        <v>195</v>
      </c>
      <c r="C217" s="127">
        <v>4057112</v>
      </c>
      <c r="D217" s="127" t="s">
        <v>180</v>
      </c>
      <c r="E217" s="127"/>
      <c r="F217" s="127"/>
      <c r="G217" s="127" t="s">
        <v>168</v>
      </c>
      <c r="H217" s="128">
        <v>2012</v>
      </c>
      <c r="I217" s="129"/>
      <c r="J217" s="125">
        <f>IFERROR(INDEX('Labor Expenditures'!$E$7:$W$91,MATCH($C217,'Labor Expenditures'!$C$7:$C$91,0),MATCH($G217,'Labor Expenditures'!$E$5:$W$5,0)),"NA")</f>
        <v>17140.97371521889</v>
      </c>
      <c r="K217" s="125">
        <f t="shared" ca="1" si="425"/>
        <v>137.34754579502314</v>
      </c>
      <c r="L217" s="47"/>
      <c r="M217" s="131">
        <f t="shared" ca="1" si="432"/>
        <v>1.6089685308375703E-2</v>
      </c>
      <c r="N217" s="59"/>
      <c r="O217" s="59"/>
      <c r="P217" s="59">
        <f t="shared" ca="1" si="433"/>
        <v>1.1636678047495863E-4</v>
      </c>
      <c r="Q217" s="61"/>
      <c r="R217" s="387"/>
      <c r="S217" s="49">
        <f t="shared" ca="1" si="438"/>
        <v>115.06704091601013</v>
      </c>
      <c r="T217" s="61">
        <f ca="1">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</f>
        <v>-1.8243418214524434E-2</v>
      </c>
      <c r="U217" s="61"/>
      <c r="V217" s="125">
        <f>IFERROR(INDEX('Non-Labor Expenditures'!$E$7:$AA$91,MATCH($C217,'Non-Labor Expenditures'!$C$7:$C$91,0),MATCH($G217,'Non-Labor Expenditures'!$E$5:$AA$5,0)),"NA")</f>
        <v>24823.331431914725</v>
      </c>
      <c r="W217" s="125">
        <f t="shared" si="426"/>
        <v>248.23331431914724</v>
      </c>
      <c r="X217" s="131">
        <f t="shared" si="434"/>
        <v>2.89846847315023E-2</v>
      </c>
      <c r="Y217" s="131">
        <f t="shared" si="435"/>
        <v>2.0962836628823491E-4</v>
      </c>
      <c r="Z217" s="131"/>
      <c r="AA217" s="131"/>
      <c r="AB217" s="131"/>
      <c r="AC217" s="125">
        <f t="shared" si="404"/>
        <v>25935.920432997922</v>
      </c>
      <c r="AD217" s="129"/>
      <c r="AE217" s="133">
        <v>1855.8064221591401</v>
      </c>
      <c r="AF217" s="134">
        <v>1.8747214314524432E-2</v>
      </c>
      <c r="AG217" s="59">
        <f t="shared" si="427"/>
        <v>1.355870503893342E-4</v>
      </c>
      <c r="AH217" s="134"/>
      <c r="AI217" s="134"/>
      <c r="AJ217" s="129">
        <f t="shared" si="331"/>
        <v>67900.225580131533</v>
      </c>
      <c r="AK217" s="134">
        <f t="shared" si="436"/>
        <v>5.4350289251945155E-2</v>
      </c>
      <c r="AL217" s="129"/>
      <c r="AM217" s="129"/>
      <c r="AN217" s="129"/>
      <c r="AO217" s="129"/>
      <c r="AP217" s="133">
        <f t="shared" si="437"/>
        <v>258.71976277165118</v>
      </c>
      <c r="AQ217" s="134">
        <f>+BB217/Outputs!$B$20</f>
        <v>7.3486984534852032E-3</v>
      </c>
      <c r="AR217" s="93">
        <f t="shared" si="428"/>
        <v>0.25244354593476576</v>
      </c>
      <c r="AS217" s="93">
        <f t="shared" si="429"/>
        <v>0.365585404464081</v>
      </c>
      <c r="AT217" s="93">
        <f t="shared" si="430"/>
        <v>0.38197104960115336</v>
      </c>
      <c r="AU217" s="93">
        <f t="shared" ca="1" si="439"/>
        <v>1.470447134371286E-2</v>
      </c>
      <c r="AV217" s="132">
        <f t="shared" ca="1" si="442"/>
        <v>99.314290961757564</v>
      </c>
      <c r="AW217" s="134">
        <f t="shared" ca="1" si="443"/>
        <v>1.4704471343712907E-2</v>
      </c>
      <c r="AX217" s="56">
        <f>+AJ217/$AL$17</f>
        <v>7.2323838685883022E-3</v>
      </c>
      <c r="AY217" s="135">
        <f t="shared" ca="1" si="440"/>
        <v>1.0634838134238819E-4</v>
      </c>
      <c r="AZ217" s="93"/>
      <c r="BA217" s="93"/>
      <c r="BB217" s="234">
        <f>IFERROR(INDEX('Total Customers'!$E$7:$AA$91,MATCH($C217,'Total Customers'!$C$7:$C$91,0),MATCH($G217,'Total Customers'!$E$5:$AA$5,0)),"NA")</f>
        <v>262447</v>
      </c>
      <c r="BC217" s="411">
        <f t="shared" si="400"/>
        <v>7.8340868029986004E-3</v>
      </c>
      <c r="BD217" s="92"/>
      <c r="BE217" s="281" t="str">
        <f t="shared" si="396"/>
        <v>CASCADE NATURAL GAS CORPORATION</v>
      </c>
      <c r="BF217" s="290">
        <f t="shared" si="397"/>
        <v>4057112</v>
      </c>
      <c r="BG217" s="46" t="str">
        <f t="shared" si="398"/>
        <v>WA</v>
      </c>
      <c r="BH217" s="46"/>
      <c r="BI217" s="46" t="str">
        <f t="shared" si="399"/>
        <v>2012 Y</v>
      </c>
      <c r="BJ217" s="129"/>
      <c r="BK217" s="129"/>
      <c r="BL217" s="129">
        <f>INDEX('Dist. Plant Gas Additions'!$E$7:$AD$91,MATCH($C217,'Dist. Plant Gas Additions'!$C$7:$C$91,0),MATCH(Calculation!$G217,'Dist. Plant Gas Additions'!$E$5:$AD$5,0))</f>
        <v>28477</v>
      </c>
      <c r="BM217" s="129">
        <f>INDEX('Gen. Plant Additions'!$E$7:$AD$91,MATCH($C217,'Gen. Plant Additions'!$C$7:$C$91,0),MATCH(Calculation!$G217,'Gen. Plant Additions'!$E$5:$AD$5,0))</f>
        <v>3913</v>
      </c>
      <c r="BN217" s="393">
        <f t="shared" si="405"/>
        <v>0.92606338318794379</v>
      </c>
      <c r="BO217" s="46">
        <f t="shared" si="406"/>
        <v>3623.6860184144239</v>
      </c>
      <c r="BP217" s="46">
        <f t="shared" si="407"/>
        <v>-289.31398158557613</v>
      </c>
      <c r="BQ217" s="129">
        <f>INDEX('Dist Plant Depreciation'!$D$7:$AC$94,MATCH($C217,'Dist Plant Depreciation'!$C$7:$C$94,0),MATCH(Calculation!$G217,'Dist Plant Depreciation'!$D$5:$AC$5,0))</f>
        <v>331934</v>
      </c>
      <c r="BR217" s="129">
        <f>INDEX('Gen. Plant Depreciation'!$D$7:$AC$94,MATCH($C217,'Gen. Plant Depreciation'!$C$7:$C$94,0),MATCH(Calculation!$G217,'Gen. Plant Depreciation'!$D$5:$AC$5,0))</f>
        <v>28356</v>
      </c>
      <c r="BS217" s="129"/>
      <c r="BT217" s="129"/>
      <c r="BU217" s="129"/>
      <c r="BV217" s="129"/>
      <c r="BW217" s="129"/>
      <c r="BX217" s="129"/>
      <c r="BY217" s="129">
        <f>INDEX('Gross Dx Plant'!$D$7:$AC$91,MATCH($C217,'Gross Dx Plant'!$C$7:$C$91,0),MATCH(Calculation!$G217,'Gross Dx Plant'!$D$5:$AC$5,0))</f>
        <v>650754</v>
      </c>
      <c r="BZ217" s="129">
        <f>INDEX('Gross Gen Plant'!$D$7:$AC$91,MATCH($C217,'Gross Gen Plant'!$C$7:$C$91,0),MATCH(Calculation!$G217,'Gross Gen Plant'!$D$5:$AC$5,0))</f>
        <v>51956</v>
      </c>
      <c r="CA217" s="129">
        <f t="shared" si="441"/>
        <v>342420</v>
      </c>
      <c r="CB217" s="129"/>
      <c r="CC217" s="133">
        <v>2012</v>
      </c>
      <c r="CD217" s="129"/>
      <c r="CE217" s="129"/>
      <c r="CF217" s="129"/>
      <c r="CG217" s="137"/>
      <c r="CH217" s="129">
        <f t="shared" si="408"/>
        <v>32390</v>
      </c>
      <c r="CI217" s="46">
        <f t="shared" si="417"/>
        <v>32100.686018414424</v>
      </c>
      <c r="CJ217" s="46">
        <f t="shared" si="409"/>
        <v>47.988875425263672</v>
      </c>
      <c r="CK217" s="443">
        <v>0.84090909090909094</v>
      </c>
      <c r="CL217" s="46">
        <f>+CL203*CK217+CJ204*CK216+CJ205*CK215+CJ206*CK214+CJ207*CK213+CJ208*CK212+CJ209*CK211+CJ210*CK210+CJ211*CK209+CJ212*CK208+CJ213*CK207+CJ214*CK206+CJ215*CK205+CJ216*CK204+CJ217</f>
        <v>1727.4319791521475</v>
      </c>
      <c r="CM217" s="134">
        <f t="shared" si="410"/>
        <v>1.3837249738092595E-2</v>
      </c>
      <c r="CN217" s="135">
        <f t="shared" si="411"/>
        <v>1.4234121438066905E-2</v>
      </c>
      <c r="CO217" s="135">
        <f t="shared" si="420"/>
        <v>1.3808168821183247E-2</v>
      </c>
      <c r="CP217" s="134">
        <f>VLOOKUP($H217,RoR!$E:$F,2,FALSE)</f>
        <v>3.6733333333333333E-2</v>
      </c>
      <c r="CQ217" s="135">
        <v>1.924331376386168E-2</v>
      </c>
      <c r="CR217" s="135">
        <f t="shared" si="418"/>
        <v>1.7490019569471653E-2</v>
      </c>
      <c r="CS217" s="135">
        <f t="shared" si="421"/>
        <v>1.7093772787350379E-2</v>
      </c>
      <c r="CT217" s="135">
        <f t="shared" si="422"/>
        <v>6.7122682943869583E-2</v>
      </c>
      <c r="CU217" s="139">
        <f t="shared" si="412"/>
        <v>0.87050000000000005</v>
      </c>
      <c r="CV217" s="335">
        <f t="shared" si="413"/>
        <v>1.3960631020522127</v>
      </c>
      <c r="CW217" s="335">
        <f t="shared" si="414"/>
        <v>0.29441923774954631</v>
      </c>
      <c r="CX217" s="335">
        <f t="shared" si="415"/>
        <v>0.76377954189366437</v>
      </c>
      <c r="CY217" s="335">
        <f t="shared" si="416"/>
        <v>0.31393465103033691</v>
      </c>
      <c r="CZ217" s="336">
        <f>INDEX('State Tax Lookup'!$D$7:$Z$91,MATCH(Calculation!$C217,'State Tax Lookup'!$B$7:$B$91,0),MATCH($H217,'State Tax Lookup'!$D$6:$Z$6,0))</f>
        <v>0.35</v>
      </c>
      <c r="DA217" s="303">
        <v>0.37</v>
      </c>
      <c r="DB217" s="57">
        <f t="shared" si="419"/>
        <v>15.223347153119354</v>
      </c>
      <c r="DC217" s="56">
        <f t="shared" si="423"/>
        <v>6.1846844115632627E-2</v>
      </c>
      <c r="DD217" s="303">
        <f>VLOOKUP($H217,RoR!$E:$F,2,FALSE)</f>
        <v>3.6733333333333333E-2</v>
      </c>
      <c r="DE217" s="304">
        <f>HLOOKUP($H217,'GDP-PI'!$D$8:$CQ$11,3,FALSE)</f>
        <v>1.924331376386168E-2</v>
      </c>
      <c r="DF217" s="303">
        <f>VLOOKUP(H217,'HW Dx Data'!$E:$F,2,FALSE)</f>
        <v>668.91932211262167</v>
      </c>
      <c r="DG217" s="89">
        <f ca="1">VLOOKUP(CC217,'ECI - Input Price'!M$13:N$33,2,FALSE)</f>
        <v>124.80000000000001</v>
      </c>
      <c r="DH217" s="89"/>
      <c r="DI217" s="89"/>
      <c r="DJ217" s="56">
        <f t="shared" ca="1" si="431"/>
        <v>3.1955502161869064E-2</v>
      </c>
      <c r="DK217" s="53">
        <f>HLOOKUP(H217,'GDP-PI'!$8:$9,2,FALSE)</f>
        <v>100</v>
      </c>
      <c r="DL217" s="355">
        <f t="shared" si="424"/>
        <v>1.9060502738742411E-2</v>
      </c>
      <c r="EC217"/>
    </row>
    <row r="218" spans="1:133" s="126" customFormat="1" ht="21" customHeight="1" x14ac:dyDescent="0.4">
      <c r="A218" s="233" t="s">
        <v>195</v>
      </c>
      <c r="B218" s="127" t="s">
        <v>195</v>
      </c>
      <c r="C218" s="127">
        <v>4057112</v>
      </c>
      <c r="D218" s="127" t="s">
        <v>180</v>
      </c>
      <c r="E218" s="127"/>
      <c r="F218" s="127"/>
      <c r="G218" s="127" t="s">
        <v>169</v>
      </c>
      <c r="H218" s="128">
        <v>2013</v>
      </c>
      <c r="I218" s="129"/>
      <c r="J218" s="125">
        <f>IFERROR(INDEX('Labor Expenditures'!$E$7:$W$91,MATCH($C218,'Labor Expenditures'!$C$7:$C$91,0),MATCH($G218,'Labor Expenditures'!$E$5:$W$5,0)),"NA")</f>
        <v>17583.084935264596</v>
      </c>
      <c r="K218" s="125">
        <f t="shared" ca="1" si="425"/>
        <v>138.66786226549365</v>
      </c>
      <c r="L218" s="47"/>
      <c r="M218" s="131">
        <f t="shared" ca="1" si="432"/>
        <v>9.5670495373762938E-3</v>
      </c>
      <c r="N218" s="59"/>
      <c r="O218" s="59"/>
      <c r="P218" s="59">
        <f t="shared" ca="1" si="433"/>
        <v>6.7365223100516349E-5</v>
      </c>
      <c r="Q218" s="61"/>
      <c r="R218" s="387"/>
      <c r="S218" s="49">
        <f t="shared" ca="1" si="438"/>
        <v>108.52502266956253</v>
      </c>
      <c r="T218" s="61">
        <f ca="1">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</f>
        <v>-5.8534152918944128E-2</v>
      </c>
      <c r="U218" s="61"/>
      <c r="V218" s="125">
        <f>IFERROR(INDEX('Non-Labor Expenditures'!$E$7:$AA$91,MATCH($C218,'Non-Labor Expenditures'!$C$7:$C$91,0),MATCH($G218,'Non-Labor Expenditures'!$E$5:$AA$5,0)),"NA")</f>
        <v>25463.591053526463</v>
      </c>
      <c r="W218" s="125">
        <f t="shared" si="426"/>
        <v>250.19986689521252</v>
      </c>
      <c r="X218" s="131">
        <f t="shared" si="434"/>
        <v>7.8909785886640514E-3</v>
      </c>
      <c r="Y218" s="131">
        <f t="shared" si="435"/>
        <v>5.5563372075162628E-5</v>
      </c>
      <c r="Z218" s="131"/>
      <c r="AA218" s="131"/>
      <c r="AB218" s="131"/>
      <c r="AC218" s="125">
        <f t="shared" si="404"/>
        <v>25470.017122358302</v>
      </c>
      <c r="AD218" s="129"/>
      <c r="AE218" s="133">
        <v>1890.3461954151251</v>
      </c>
      <c r="AF218" s="134">
        <v>1.84406539559747E-2</v>
      </c>
      <c r="AG218" s="59">
        <f t="shared" si="427"/>
        <v>1.2984763620282636E-4</v>
      </c>
      <c r="AH218" s="134"/>
      <c r="AI218" s="134"/>
      <c r="AJ218" s="129">
        <f t="shared" si="331"/>
        <v>68516.693111149361</v>
      </c>
      <c r="AK218" s="134">
        <f t="shared" si="436"/>
        <v>9.0380538329835752E-3</v>
      </c>
      <c r="AL218" s="129"/>
      <c r="AM218" s="129"/>
      <c r="AN218" s="129"/>
      <c r="AO218" s="129"/>
      <c r="AP218" s="133">
        <f t="shared" si="437"/>
        <v>257.67842463764333</v>
      </c>
      <c r="AQ218" s="134">
        <f>+BB218/Outputs!$B$21</f>
        <v>7.3979330080579881E-3</v>
      </c>
      <c r="AR218" s="93">
        <f t="shared" si="428"/>
        <v>0.2566248331153535</v>
      </c>
      <c r="AS218" s="93">
        <f t="shared" si="429"/>
        <v>0.37164068925829269</v>
      </c>
      <c r="AT218" s="93">
        <f t="shared" si="430"/>
        <v>0.37173447762635381</v>
      </c>
      <c r="AU218" s="93">
        <f t="shared" ca="1" si="439"/>
        <v>5.3438588604260151E-3</v>
      </c>
      <c r="AV218" s="132">
        <f t="shared" ca="1" si="442"/>
        <v>99.846433095351301</v>
      </c>
      <c r="AW218" s="134">
        <f t="shared" ca="1" si="443"/>
        <v>5.3438588604260541E-3</v>
      </c>
      <c r="AX218" s="56">
        <f>+AJ218/$AL$18</f>
        <v>7.0413791459253659E-3</v>
      </c>
      <c r="AY218" s="135">
        <f t="shared" ca="1" si="440"/>
        <v>3.7628136338572511E-5</v>
      </c>
      <c r="AZ218" s="93"/>
      <c r="BA218" s="93"/>
      <c r="BB218" s="234">
        <f>IFERROR(INDEX('Total Customers'!$E$7:$AA$91,MATCH($C218,'Total Customers'!$C$7:$C$91,0),MATCH($G218,'Total Customers'!$E$5:$AA$5,0)),"NA")</f>
        <v>265900</v>
      </c>
      <c r="BC218" s="411">
        <f t="shared" si="400"/>
        <v>1.3071141364710921E-2</v>
      </c>
      <c r="BD218" s="92"/>
      <c r="BE218" s="281" t="str">
        <f t="shared" si="396"/>
        <v>CASCADE NATURAL GAS CORPORATION</v>
      </c>
      <c r="BF218" s="290">
        <f t="shared" si="397"/>
        <v>4057112</v>
      </c>
      <c r="BG218" s="46" t="str">
        <f t="shared" si="398"/>
        <v>WA</v>
      </c>
      <c r="BH218" s="46"/>
      <c r="BI218" s="46" t="str">
        <f t="shared" si="399"/>
        <v>2013 Y</v>
      </c>
      <c r="BJ218" s="129"/>
      <c r="BK218" s="129"/>
      <c r="BL218" s="129">
        <f>INDEX('Dist. Plant Gas Additions'!$E$7:$AD$91,MATCH($C218,'Dist. Plant Gas Additions'!$C$7:$C$91,0),MATCH(Calculation!$G218,'Dist. Plant Gas Additions'!$E$5:$AD$5,0))</f>
        <v>25482</v>
      </c>
      <c r="BM218" s="129">
        <f>INDEX('Gen. Plant Additions'!$E$7:$AD$91,MATCH($C218,'Gen. Plant Additions'!$C$7:$C$91,0),MATCH(Calculation!$G218,'Gen. Plant Additions'!$E$5:$AD$5,0))</f>
        <v>7181</v>
      </c>
      <c r="BN218" s="393">
        <f t="shared" si="405"/>
        <v>0.9274431340958984</v>
      </c>
      <c r="BO218" s="46">
        <f t="shared" si="406"/>
        <v>6659.9691459426467</v>
      </c>
      <c r="BP218" s="46">
        <f t="shared" si="407"/>
        <v>-521.03085405735328</v>
      </c>
      <c r="BQ218" s="129">
        <f>INDEX('Dist Plant Depreciation'!$D$7:$AC$94,MATCH($C218,'Dist Plant Depreciation'!$C$7:$C$94,0),MATCH(Calculation!$G218,'Dist Plant Depreciation'!$D$5:$AC$5,0))</f>
        <v>347102</v>
      </c>
      <c r="BR218" s="129">
        <f>INDEX('Gen. Plant Depreciation'!$D$7:$AC$94,MATCH($C218,'Gen. Plant Depreciation'!$C$7:$C$94,0),MATCH(Calculation!$G218,'Gen. Plant Depreciation'!$D$5:$AC$5,0))</f>
        <v>24832</v>
      </c>
      <c r="BS218" s="129"/>
      <c r="BT218" s="129"/>
      <c r="BU218" s="129"/>
      <c r="BV218" s="129"/>
      <c r="BW218" s="129"/>
      <c r="BX218" s="129"/>
      <c r="BY218" s="129">
        <f>INDEX('Gross Dx Plant'!$D$7:$AC$91,MATCH($C218,'Gross Dx Plant'!$C$7:$C$91,0),MATCH(Calculation!$G218,'Gross Dx Plant'!$D$5:$AC$5,0))</f>
        <v>674675</v>
      </c>
      <c r="BZ218" s="129">
        <f>INDEX('Gross Gen Plant'!$D$7:$AC$91,MATCH($C218,'Gross Gen Plant'!$C$7:$C$91,0),MATCH(Calculation!$G218,'Gross Gen Plant'!$D$5:$AC$5,0))</f>
        <v>52782</v>
      </c>
      <c r="CA218" s="129">
        <f t="shared" si="441"/>
        <v>355523</v>
      </c>
      <c r="CB218" s="129"/>
      <c r="CC218" s="133">
        <v>2013</v>
      </c>
      <c r="CD218" s="129"/>
      <c r="CE218" s="129"/>
      <c r="CF218" s="129"/>
      <c r="CG218" s="137"/>
      <c r="CH218" s="129">
        <f t="shared" si="408"/>
        <v>32663</v>
      </c>
      <c r="CI218" s="46">
        <f t="shared" si="417"/>
        <v>32141.969145942647</v>
      </c>
      <c r="CJ218" s="46">
        <f t="shared" si="409"/>
        <v>48.461434479112086</v>
      </c>
      <c r="CK218" s="443">
        <v>0.82758620689655171</v>
      </c>
      <c r="CL218" s="46">
        <f>+CL203*CK218+CJ204*CK217+CJ205*CK216+CJ206*CK215+CJ207*CK214+CJ208*CK213+CJ209*CK212+CJ210*CK211+CJ211*CK210+CJ212*CK209+CJ213*CK208+CJ214*CK207+CJ215*CK206+CJ216*CK205+CJ217*CK204+CJ218</f>
        <v>1750.6207016502838</v>
      </c>
      <c r="CM218" s="134">
        <f t="shared" si="410"/>
        <v>1.3334511131724895E-2</v>
      </c>
      <c r="CN218" s="135">
        <f t="shared" si="411"/>
        <v>1.4630221210435213E-2</v>
      </c>
      <c r="CO218" s="135">
        <f t="shared" si="420"/>
        <v>1.422190110750788E-2</v>
      </c>
      <c r="CP218" s="134">
        <f>VLOOKUP($H218,RoR!$E:$F,2,FALSE)</f>
        <v>4.2350000000000006E-2</v>
      </c>
      <c r="CQ218" s="135">
        <v>1.7730000000000024E-2</v>
      </c>
      <c r="CR218" s="135">
        <f t="shared" si="418"/>
        <v>2.4619999999999982E-2</v>
      </c>
      <c r="CS218" s="135">
        <f t="shared" si="421"/>
        <v>1.6680040501025745E-2</v>
      </c>
      <c r="CT218" s="135">
        <f t="shared" si="422"/>
        <v>5.3376742735721204E-2</v>
      </c>
      <c r="CU218" s="139">
        <f t="shared" si="412"/>
        <v>0.87050000000000005</v>
      </c>
      <c r="CV218" s="335">
        <f t="shared" si="413"/>
        <v>1.2109103018193925</v>
      </c>
      <c r="CW218" s="335">
        <f t="shared" si="414"/>
        <v>0.38468122786304604</v>
      </c>
      <c r="CX218" s="335">
        <f t="shared" si="415"/>
        <v>0.80969194503422559</v>
      </c>
      <c r="CY218" s="335">
        <f t="shared" si="416"/>
        <v>0.37716621754800816</v>
      </c>
      <c r="CZ218" s="336">
        <f>INDEX('State Tax Lookup'!$D$7:$Z$91,MATCH(Calculation!$C218,'State Tax Lookup'!$B$7:$B$91,0),MATCH($H218,'State Tax Lookup'!$D$6:$Z$6,0))</f>
        <v>0.35</v>
      </c>
      <c r="DA218" s="303">
        <v>0.37</v>
      </c>
      <c r="DB218" s="57">
        <f t="shared" si="419"/>
        <v>14.744439972021018</v>
      </c>
      <c r="DC218" s="56">
        <f t="shared" si="423"/>
        <v>-3.1964185658776983E-2</v>
      </c>
      <c r="DD218" s="303">
        <f>VLOOKUP($H218,RoR!$E:$F,2,FALSE)</f>
        <v>4.2350000000000006E-2</v>
      </c>
      <c r="DE218" s="304">
        <f>HLOOKUP($H218,'GDP-PI'!$D$8:$CQ$11,3,FALSE)</f>
        <v>1.7730000000000024E-2</v>
      </c>
      <c r="DF218" s="303">
        <f>VLOOKUP(H218,'HW Dx Data'!$E:$F,2,FALSE)</f>
        <v>663.24840548821396</v>
      </c>
      <c r="DG218" s="89">
        <f ca="1">VLOOKUP(CC218,'ECI - Input Price'!M$13:N$33,2,FALSE)</f>
        <v>126.8</v>
      </c>
      <c r="DH218" s="89"/>
      <c r="DI218" s="89"/>
      <c r="DJ218" s="56">
        <f t="shared" ca="1" si="431"/>
        <v>1.5898586067798204E-2</v>
      </c>
      <c r="DK218" s="53">
        <f>HLOOKUP(H218,'GDP-PI'!$8:$9,2,FALSE)</f>
        <v>101.773</v>
      </c>
      <c r="DL218" s="355">
        <f t="shared" si="424"/>
        <v>1.7574657016510519E-2</v>
      </c>
      <c r="EC218"/>
    </row>
    <row r="219" spans="1:133" s="126" customFormat="1" ht="21" customHeight="1" x14ac:dyDescent="0.4">
      <c r="A219" s="233" t="s">
        <v>195</v>
      </c>
      <c r="B219" s="127" t="s">
        <v>195</v>
      </c>
      <c r="C219" s="127">
        <v>4057112</v>
      </c>
      <c r="D219" s="127" t="s">
        <v>180</v>
      </c>
      <c r="E219" s="127"/>
      <c r="F219" s="127"/>
      <c r="G219" s="127" t="s">
        <v>170</v>
      </c>
      <c r="H219" s="128">
        <v>2014</v>
      </c>
      <c r="I219" s="129"/>
      <c r="J219" s="125">
        <f>IFERROR(INDEX('Labor Expenditures'!$E$7:$W$91,MATCH($C219,'Labor Expenditures'!$C$7:$C$91,0),MATCH($G219,'Labor Expenditures'!$E$5:$W$5,0)),"NA")</f>
        <v>19174.89792721784</v>
      </c>
      <c r="K219" s="125">
        <f t="shared" ca="1" si="425"/>
        <v>148.18313699550109</v>
      </c>
      <c r="L219" s="47"/>
      <c r="M219" s="131">
        <f t="shared" ca="1" si="432"/>
        <v>6.6367327269563334E-2</v>
      </c>
      <c r="N219" s="59"/>
      <c r="O219" s="59"/>
      <c r="P219" s="59">
        <f t="shared" ca="1" si="433"/>
        <v>4.8863185715718725E-4</v>
      </c>
      <c r="Q219" s="61"/>
      <c r="R219" s="387"/>
      <c r="S219" s="49">
        <f t="shared" ca="1" si="438"/>
        <v>121.3983887942897</v>
      </c>
      <c r="T219" s="61">
        <f ca="1">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</f>
        <v>0.1120968365880584</v>
      </c>
      <c r="U219" s="61"/>
      <c r="V219" s="125">
        <f>IFERROR(INDEX('Non-Labor Expenditures'!$E$7:$AA$91,MATCH($C219,'Non-Labor Expenditures'!$C$7:$C$91,0),MATCH($G219,'Non-Labor Expenditures'!$E$5:$AA$5,0)),"NA")</f>
        <v>27768.833575530909</v>
      </c>
      <c r="W219" s="125">
        <f t="shared" si="426"/>
        <v>267.91738859331105</v>
      </c>
      <c r="X219" s="131">
        <f t="shared" si="434"/>
        <v>6.8418615434981761E-2</v>
      </c>
      <c r="Y219" s="131">
        <f t="shared" si="435"/>
        <v>5.0373454076778129E-4</v>
      </c>
      <c r="Z219" s="131"/>
      <c r="AA219" s="131"/>
      <c r="AB219" s="131"/>
      <c r="AC219" s="125">
        <f t="shared" si="404"/>
        <v>26013.238606123541</v>
      </c>
      <c r="AD219" s="129"/>
      <c r="AE219" s="133">
        <v>1921.0670180538452</v>
      </c>
      <c r="AF219" s="134">
        <v>1.6120785769020037E-2</v>
      </c>
      <c r="AG219" s="59">
        <f t="shared" si="427"/>
        <v>1.1868987065209029E-4</v>
      </c>
      <c r="AH219" s="134"/>
      <c r="AI219" s="134"/>
      <c r="AJ219" s="129">
        <f t="shared" si="331"/>
        <v>72956.970108872294</v>
      </c>
      <c r="AK219" s="134">
        <f t="shared" si="436"/>
        <v>6.2792406158077005E-2</v>
      </c>
      <c r="AL219" s="129"/>
      <c r="AM219" s="129"/>
      <c r="AN219" s="129"/>
      <c r="AO219" s="129"/>
      <c r="AP219" s="133">
        <f t="shared" si="437"/>
        <v>270.83592923253394</v>
      </c>
      <c r="AQ219" s="134">
        <f>+BB219/Outputs!$B$22</f>
        <v>7.4546215820035493E-3</v>
      </c>
      <c r="AR219" s="93">
        <f t="shared" si="428"/>
        <v>0.26282475682040396</v>
      </c>
      <c r="AS219" s="93">
        <f t="shared" si="429"/>
        <v>0.38061933676922177</v>
      </c>
      <c r="AT219" s="93">
        <f t="shared" si="430"/>
        <v>0.35655590641037427</v>
      </c>
      <c r="AU219" s="93">
        <f t="shared" ca="1" si="439"/>
        <v>4.2971535181596382E-2</v>
      </c>
      <c r="AV219" s="132">
        <f t="shared" ca="1" si="442"/>
        <v>104.23050822918815</v>
      </c>
      <c r="AW219" s="134">
        <f t="shared" ca="1" si="443"/>
        <v>4.2971535181596396E-2</v>
      </c>
      <c r="AX219" s="56">
        <f>+AJ219/$AL$19</f>
        <v>7.3625363150834362E-3</v>
      </c>
      <c r="AY219" s="135">
        <f t="shared" ca="1" si="440"/>
        <v>3.1637948828938894E-4</v>
      </c>
      <c r="AZ219" s="93"/>
      <c r="BA219" s="93"/>
      <c r="BB219" s="234">
        <f>IFERROR(INDEX('Total Customers'!$E$7:$AA$91,MATCH($C219,'Total Customers'!$C$7:$C$91,0),MATCH($G219,'Total Customers'!$E$5:$AA$5,0)),"NA")</f>
        <v>269377</v>
      </c>
      <c r="BC219" s="411">
        <f t="shared" si="400"/>
        <v>1.2991587175443376E-2</v>
      </c>
      <c r="BD219" s="92"/>
      <c r="BE219" s="281" t="str">
        <f t="shared" si="396"/>
        <v>CASCADE NATURAL GAS CORPORATION</v>
      </c>
      <c r="BF219" s="290">
        <f t="shared" si="397"/>
        <v>4057112</v>
      </c>
      <c r="BG219" s="46" t="str">
        <f t="shared" si="398"/>
        <v>WA</v>
      </c>
      <c r="BH219" s="46"/>
      <c r="BI219" s="46" t="str">
        <f t="shared" si="399"/>
        <v>2014 Y</v>
      </c>
      <c r="BJ219" s="129"/>
      <c r="BK219" s="129"/>
      <c r="BL219" s="129">
        <f>INDEX('Dist. Plant Gas Additions'!$E$7:$AD$91,MATCH($C219,'Dist. Plant Gas Additions'!$C$7:$C$91,0),MATCH(Calculation!$G219,'Dist. Plant Gas Additions'!$E$5:$AD$5,0))</f>
        <v>26317</v>
      </c>
      <c r="BM219" s="129">
        <f>INDEX('Gen. Plant Additions'!$E$7:$AD$91,MATCH($C219,'Gen. Plant Additions'!$C$7:$C$91,0),MATCH(Calculation!$G219,'Gen. Plant Additions'!$E$5:$AD$5,0))</f>
        <v>5320</v>
      </c>
      <c r="BN219" s="393">
        <f t="shared" si="405"/>
        <v>0.92651474349897911</v>
      </c>
      <c r="BO219" s="46">
        <f t="shared" si="406"/>
        <v>4929.0584354145685</v>
      </c>
      <c r="BP219" s="46">
        <f t="shared" si="407"/>
        <v>-390.94156458543148</v>
      </c>
      <c r="BQ219" s="129">
        <f>INDEX('Dist Plant Depreciation'!$D$7:$AC$94,MATCH($C219,'Dist Plant Depreciation'!$C$7:$C$94,0),MATCH(Calculation!$G219,'Dist Plant Depreciation'!$D$5:$AC$5,0))</f>
        <v>363333</v>
      </c>
      <c r="BR219" s="129">
        <f>INDEX('Gen. Plant Depreciation'!$D$7:$AC$94,MATCH($C219,'Gen. Plant Depreciation'!$C$7:$C$94,0),MATCH(Calculation!$G219,'Gen. Plant Depreciation'!$D$5:$AC$5,0))</f>
        <v>25700</v>
      </c>
      <c r="BS219" s="129"/>
      <c r="BT219" s="129"/>
      <c r="BU219" s="129"/>
      <c r="BV219" s="129"/>
      <c r="BW219" s="129"/>
      <c r="BX219" s="129"/>
      <c r="BY219" s="129">
        <f>INDEX('Gross Dx Plant'!$D$7:$AC$91,MATCH($C219,'Gross Dx Plant'!$C$7:$C$91,0),MATCH(Calculation!$G219,'Gross Dx Plant'!$D$5:$AC$5,0))</f>
        <v>700157</v>
      </c>
      <c r="BZ219" s="129">
        <f>INDEX('Gross Gen Plant'!$D$7:$AC$91,MATCH($C219,'Gross Gen Plant'!$C$7:$C$91,0),MATCH(Calculation!$G219,'Gross Gen Plant'!$D$5:$AC$5,0))</f>
        <v>55532</v>
      </c>
      <c r="CA219" s="129">
        <f t="shared" si="441"/>
        <v>366656</v>
      </c>
      <c r="CB219" s="129"/>
      <c r="CC219" s="133">
        <v>2014</v>
      </c>
      <c r="CD219" s="129"/>
      <c r="CE219" s="129"/>
      <c r="CF219" s="129"/>
      <c r="CG219" s="137"/>
      <c r="CH219" s="129">
        <f t="shared" si="408"/>
        <v>31637</v>
      </c>
      <c r="CI219" s="46">
        <f t="shared" si="417"/>
        <v>31246.058435414569</v>
      </c>
      <c r="CJ219" s="46">
        <f t="shared" si="409"/>
        <v>45.650061455352564</v>
      </c>
      <c r="CK219" s="443">
        <v>0.81395348837209303</v>
      </c>
      <c r="CL219" s="46">
        <f>+CL203*CK219+CJ204*CK218+CJ205*CK217+CJ206*CK216+CJ207*CK215+CJ208*CK214+CJ209*CK213+CJ210*CK212+CJ211*CK211+CJ212*CK210+CJ213*CK209+CJ214*CK208+CJ215*CK207+CJ216*CK206+CJ217*CK205+CJ218*CK204+CJ219</f>
        <v>1769.9429991875777</v>
      </c>
      <c r="CM219" s="134">
        <f t="shared" si="410"/>
        <v>1.0976930512071726E-2</v>
      </c>
      <c r="CN219" s="135">
        <f t="shared" si="411"/>
        <v>1.5039102355661534E-2</v>
      </c>
      <c r="CO219" s="135">
        <f t="shared" si="420"/>
        <v>1.4634481668054552E-2</v>
      </c>
      <c r="CP219" s="134">
        <f>VLOOKUP($H219,RoR!$E:$F,2,FALSE)</f>
        <v>4.1625000000000002E-2</v>
      </c>
      <c r="CQ219" s="135">
        <v>1.841352814597208E-2</v>
      </c>
      <c r="CR219" s="135">
        <f t="shared" si="418"/>
        <v>2.3211471854027922E-2</v>
      </c>
      <c r="CS219" s="135">
        <f t="shared" si="421"/>
        <v>1.6267459940479075E-2</v>
      </c>
      <c r="CT219" s="135">
        <f t="shared" si="422"/>
        <v>3.9072621432650924E-2</v>
      </c>
      <c r="CU219" s="139">
        <f t="shared" si="412"/>
        <v>0.87050000000000005</v>
      </c>
      <c r="CV219" s="335">
        <f t="shared" si="413"/>
        <v>1.2320012320012319</v>
      </c>
      <c r="CW219" s="335">
        <f t="shared" si="414"/>
        <v>0.37439939939939942</v>
      </c>
      <c r="CX219" s="335">
        <f t="shared" si="415"/>
        <v>0.80432100613819935</v>
      </c>
      <c r="CY219" s="335">
        <f t="shared" si="416"/>
        <v>0.37100152660040037</v>
      </c>
      <c r="CZ219" s="336">
        <f>INDEX('State Tax Lookup'!$D$7:$Z$91,MATCH(Calculation!$C219,'State Tax Lookup'!$B$7:$B$91,0),MATCH($H219,'State Tax Lookup'!$D$6:$Z$6,0))</f>
        <v>0.35</v>
      </c>
      <c r="DA219" s="303">
        <v>0.37</v>
      </c>
      <c r="DB219" s="57">
        <f t="shared" si="419"/>
        <v>14.859437330771453</v>
      </c>
      <c r="DC219" s="56">
        <f t="shared" si="423"/>
        <v>7.7691132145914178E-3</v>
      </c>
      <c r="DD219" s="303">
        <f>VLOOKUP($H219,RoR!$E:$F,2,FALSE)</f>
        <v>4.1625000000000002E-2</v>
      </c>
      <c r="DE219" s="304">
        <f>HLOOKUP($H219,'GDP-PI'!$D$8:$CQ$11,3,FALSE)</f>
        <v>1.841352814597208E-2</v>
      </c>
      <c r="DF219" s="303">
        <f>VLOOKUP(H219,'HW Dx Data'!$E:$F,2,FALSE)</f>
        <v>684.46914285042885</v>
      </c>
      <c r="DG219" s="89">
        <f ca="1">VLOOKUP(CC219,'ECI - Input Price'!M$13:N$33,2,FALSE)</f>
        <v>129.4</v>
      </c>
      <c r="DH219" s="89"/>
      <c r="DI219" s="89"/>
      <c r="DJ219" s="56">
        <f t="shared" ca="1" si="431"/>
        <v>2.0297340063674733E-2</v>
      </c>
      <c r="DK219" s="53">
        <f>HLOOKUP(H219,'GDP-PI'!$8:$9,2,FALSE)</f>
        <v>103.64700000000001</v>
      </c>
      <c r="DL219" s="355">
        <f t="shared" si="424"/>
        <v>1.8246051898256087E-2</v>
      </c>
      <c r="EC219"/>
    </row>
    <row r="220" spans="1:133" s="126" customFormat="1" ht="21" customHeight="1" x14ac:dyDescent="0.4">
      <c r="A220" s="233" t="s">
        <v>195</v>
      </c>
      <c r="B220" s="127" t="s">
        <v>195</v>
      </c>
      <c r="C220" s="127">
        <v>4057112</v>
      </c>
      <c r="D220" s="127" t="s">
        <v>180</v>
      </c>
      <c r="E220" s="127"/>
      <c r="F220" s="127"/>
      <c r="G220" s="127" t="s">
        <v>171</v>
      </c>
      <c r="H220" s="128">
        <v>2015</v>
      </c>
      <c r="I220" s="129"/>
      <c r="J220" s="125">
        <f>IFERROR(INDEX('Labor Expenditures'!$E$7:$W$91,MATCH($C220,'Labor Expenditures'!$C$7:$C$91,0),MATCH($G220,'Labor Expenditures'!$E$5:$W$5,0)),"NA")</f>
        <v>18946.90271693371</v>
      </c>
      <c r="K220" s="125">
        <f t="shared" ca="1" si="425"/>
        <v>141.92436492085176</v>
      </c>
      <c r="L220" s="47"/>
      <c r="M220" s="131">
        <f t="shared" ca="1" si="432"/>
        <v>-4.315464663748713E-2</v>
      </c>
      <c r="N220" s="59"/>
      <c r="O220" s="59"/>
      <c r="P220" s="59">
        <f t="shared" ca="1" si="433"/>
        <v>-3.1093827861096283E-4</v>
      </c>
      <c r="Q220" s="61"/>
      <c r="R220" s="387"/>
      <c r="S220" s="49">
        <f t="shared" ca="1" si="438"/>
        <v>119.82323596994178</v>
      </c>
      <c r="T220" s="61">
        <f ca="1">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</f>
        <v>-1.305998344395354E-2</v>
      </c>
      <c r="U220" s="61"/>
      <c r="V220" s="125">
        <f>IFERROR(INDEX('Non-Labor Expenditures'!$E$7:$AA$91,MATCH($C220,'Non-Labor Expenditures'!$C$7:$C$91,0),MATCH($G220,'Non-Labor Expenditures'!$E$5:$AA$5,0)),"NA")</f>
        <v>27438.653927408177</v>
      </c>
      <c r="W220" s="125">
        <f t="shared" si="426"/>
        <v>262.22205800330829</v>
      </c>
      <c r="X220" s="131">
        <f t="shared" si="434"/>
        <v>-2.1486987049425851E-2</v>
      </c>
      <c r="Y220" s="131">
        <f t="shared" si="435"/>
        <v>-1.5481824754140923E-4</v>
      </c>
      <c r="Z220" s="131"/>
      <c r="AA220" s="131"/>
      <c r="AB220" s="131"/>
      <c r="AC220" s="125">
        <f t="shared" si="404"/>
        <v>25382.409990959637</v>
      </c>
      <c r="AD220" s="129"/>
      <c r="AE220" s="133">
        <v>2006.9781415958421</v>
      </c>
      <c r="AF220" s="134">
        <v>4.374940842769455E-2</v>
      </c>
      <c r="AG220" s="59">
        <f t="shared" si="427"/>
        <v>3.1522366203176052E-4</v>
      </c>
      <c r="AH220" s="134"/>
      <c r="AI220" s="134"/>
      <c r="AJ220" s="129">
        <f t="shared" si="331"/>
        <v>71767.96663530152</v>
      </c>
      <c r="AK220" s="134">
        <f t="shared" si="436"/>
        <v>-1.6431587430431601E-2</v>
      </c>
      <c r="AL220" s="129"/>
      <c r="AM220" s="129"/>
      <c r="AN220" s="129"/>
      <c r="AO220" s="129"/>
      <c r="AP220" s="133">
        <f t="shared" si="437"/>
        <v>262.30981957347046</v>
      </c>
      <c r="AQ220" s="134">
        <f>+BB220/Outputs!$B$23</f>
        <v>7.5099210009011907E-3</v>
      </c>
      <c r="AR220" s="93">
        <f t="shared" si="428"/>
        <v>0.2640022227913314</v>
      </c>
      <c r="AS220" s="93">
        <f t="shared" si="429"/>
        <v>0.38232452741543244</v>
      </c>
      <c r="AT220" s="93">
        <f t="shared" si="430"/>
        <v>0.35367324979323622</v>
      </c>
      <c r="AU220" s="93">
        <f t="shared" ca="1" si="439"/>
        <v>-1.956419853670683E-2</v>
      </c>
      <c r="AV220" s="132">
        <f t="shared" ca="1" si="442"/>
        <v>102.21113994398249</v>
      </c>
      <c r="AW220" s="134">
        <f t="shared" ca="1" si="443"/>
        <v>-1.9564198536706868E-2</v>
      </c>
      <c r="AX220" s="56">
        <f>+AJ220/$AL$20</f>
        <v>7.2052097013548524E-3</v>
      </c>
      <c r="AY220" s="135">
        <f t="shared" ca="1" si="440"/>
        <v>-1.4096415309591272E-4</v>
      </c>
      <c r="AZ220" s="93"/>
      <c r="BA220" s="93"/>
      <c r="BB220" s="234">
        <f>IFERROR(INDEX('Total Customers'!$E$7:$AA$91,MATCH($C220,'Total Customers'!$C$7:$C$91,0),MATCH($G220,'Total Customers'!$E$5:$AA$5,0)),"NA")</f>
        <v>273600</v>
      </c>
      <c r="BC220" s="411">
        <f t="shared" si="400"/>
        <v>1.5555300323977738E-2</v>
      </c>
      <c r="BD220" s="92"/>
      <c r="BE220" s="281" t="str">
        <f t="shared" si="396"/>
        <v>CASCADE NATURAL GAS CORPORATION</v>
      </c>
      <c r="BF220" s="290">
        <f t="shared" si="397"/>
        <v>4057112</v>
      </c>
      <c r="BG220" s="46" t="str">
        <f t="shared" si="398"/>
        <v>WA</v>
      </c>
      <c r="BH220" s="46"/>
      <c r="BI220" s="46" t="str">
        <f t="shared" si="399"/>
        <v>2015 Y</v>
      </c>
      <c r="BJ220" s="129"/>
      <c r="BK220" s="129"/>
      <c r="BL220" s="129">
        <f>INDEX('Dist. Plant Gas Additions'!$E$7:$AD$91,MATCH($C220,'Dist. Plant Gas Additions'!$C$7:$C$91,0),MATCH(Calculation!$G220,'Dist. Plant Gas Additions'!$E$5:$AD$5,0))</f>
        <v>58575</v>
      </c>
      <c r="BM220" s="129">
        <f>INDEX('Gen. Plant Additions'!$E$7:$AD$91,MATCH($C220,'Gen. Plant Additions'!$C$7:$C$91,0),MATCH(Calculation!$G220,'Gen. Plant Additions'!$E$5:$AD$5,0))</f>
        <v>10492</v>
      </c>
      <c r="BN220" s="393">
        <f t="shared" si="405"/>
        <v>0.92318811162573267</v>
      </c>
      <c r="BO220" s="46">
        <f t="shared" si="406"/>
        <v>9686.0896671771879</v>
      </c>
      <c r="BP220" s="46">
        <f t="shared" si="407"/>
        <v>-805.91033282281205</v>
      </c>
      <c r="BQ220" s="129">
        <f>INDEX('Dist Plant Depreciation'!$D$7:$AC$94,MATCH($C220,'Dist Plant Depreciation'!$C$7:$C$94,0),MATCH(Calculation!$G220,'Dist Plant Depreciation'!$D$5:$AC$5,0))</f>
        <v>383849</v>
      </c>
      <c r="BR220" s="129">
        <f>INDEX('Gen. Plant Depreciation'!$D$7:$AC$94,MATCH($C220,'Gen. Plant Depreciation'!$C$7:$C$94,0),MATCH(Calculation!$G220,'Gen. Plant Depreciation'!$D$5:$AC$5,0))</f>
        <v>25786</v>
      </c>
      <c r="BS220" s="129"/>
      <c r="BT220" s="129"/>
      <c r="BU220" s="129"/>
      <c r="BV220" s="129"/>
      <c r="BW220" s="129"/>
      <c r="BX220" s="129"/>
      <c r="BY220" s="129">
        <f>INDEX('Gross Dx Plant'!$D$7:$AC$91,MATCH($C220,'Gross Dx Plant'!$C$7:$C$91,0),MATCH(Calculation!$G220,'Gross Dx Plant'!$D$5:$AC$5,0))</f>
        <v>750455</v>
      </c>
      <c r="BZ220" s="129">
        <f>INDEX('Gross Gen Plant'!$D$7:$AC$91,MATCH($C220,'Gross Gen Plant'!$C$7:$C$91,0),MATCH(Calculation!$G220,'Gross Gen Plant'!$D$5:$AC$5,0))</f>
        <v>62440</v>
      </c>
      <c r="CA220" s="129">
        <f t="shared" si="441"/>
        <v>403260</v>
      </c>
      <c r="CB220" s="129"/>
      <c r="CC220" s="133">
        <v>2015</v>
      </c>
      <c r="CD220" s="129"/>
      <c r="CE220" s="129"/>
      <c r="CF220" s="129"/>
      <c r="CG220" s="137"/>
      <c r="CH220" s="129">
        <f t="shared" si="408"/>
        <v>69067</v>
      </c>
      <c r="CI220" s="46">
        <f t="shared" si="417"/>
        <v>68261.089667177192</v>
      </c>
      <c r="CJ220" s="46">
        <f t="shared" si="409"/>
        <v>101.03554056447098</v>
      </c>
      <c r="CK220" s="443">
        <v>0.8</v>
      </c>
      <c r="CL220" s="46">
        <f>+CL203*CK220+CJ204*CK219+CJ205*CK218+CJ206*CK217+CJ207*CK216+CJ208*CK215+CJ209*CK214+CJ210*CK213+CJ211*CK212+CJ212*CK211+CJ213*CK210+CJ214*CK209+CJ215*CK208+CJ216*CK207+CJ217*CK206+CJ218*CK205+CJ219*CK204+CJ220</f>
        <v>1843.5940666698646</v>
      </c>
      <c r="CM220" s="134">
        <f t="shared" si="410"/>
        <v>4.0769621301488201E-2</v>
      </c>
      <c r="CN220" s="135">
        <f t="shared" si="411"/>
        <v>1.5471951975150541E-2</v>
      </c>
      <c r="CO220" s="135">
        <f t="shared" si="420"/>
        <v>1.5047091847082431E-2</v>
      </c>
      <c r="CP220" s="134">
        <f>VLOOKUP($H220,RoR!$E:$F,2,FALSE)</f>
        <v>3.8866666666666674E-2</v>
      </c>
      <c r="CQ220" s="135">
        <v>9.5709475431029478E-3</v>
      </c>
      <c r="CR220" s="135">
        <f t="shared" si="418"/>
        <v>2.9295719123563727E-2</v>
      </c>
      <c r="CS220" s="135">
        <f t="shared" si="421"/>
        <v>1.5854849761451194E-2</v>
      </c>
      <c r="CT220" s="135">
        <f t="shared" si="422"/>
        <v>3.5270373279175926E-3</v>
      </c>
      <c r="CU220" s="139">
        <f t="shared" si="412"/>
        <v>0.87050000000000005</v>
      </c>
      <c r="CV220" s="335">
        <f t="shared" si="413"/>
        <v>1.3194352816994324</v>
      </c>
      <c r="CW220" s="335">
        <f t="shared" si="414"/>
        <v>0.33177530017152673</v>
      </c>
      <c r="CX220" s="335">
        <f t="shared" si="415"/>
        <v>0.78242572977668579</v>
      </c>
      <c r="CY220" s="335">
        <f t="shared" si="416"/>
        <v>0.34251158643433932</v>
      </c>
      <c r="CZ220" s="336">
        <f>INDEX('State Tax Lookup'!$D$7:$Z$91,MATCH(Calculation!$C220,'State Tax Lookup'!$B$7:$B$91,0),MATCH($H220,'State Tax Lookup'!$D$6:$Z$6,0))</f>
        <v>0.35</v>
      </c>
      <c r="DA220" s="303">
        <v>0.37</v>
      </c>
      <c r="DB220" s="57">
        <f t="shared" si="419"/>
        <v>14.340806456823993</v>
      </c>
      <c r="DC220" s="56">
        <f t="shared" si="423"/>
        <v>-3.5526102024685112E-2</v>
      </c>
      <c r="DD220" s="303">
        <f>VLOOKUP($H220,RoR!$E:$F,2,FALSE)</f>
        <v>3.8866666666666674E-2</v>
      </c>
      <c r="DE220" s="304">
        <f>HLOOKUP($H220,'GDP-PI'!$D$8:$CQ$11,3,FALSE)</f>
        <v>9.5709475431029478E-3</v>
      </c>
      <c r="DF220" s="303">
        <f>VLOOKUP(H220,'HW Dx Data'!$E:$F,2,FALSE)</f>
        <v>675.61463308665782</v>
      </c>
      <c r="DG220" s="89">
        <f ca="1">VLOOKUP(CC220,'ECI - Input Price'!M$13:N$33,2,FALSE)</f>
        <v>133.5</v>
      </c>
      <c r="DH220" s="89"/>
      <c r="DI220" s="89"/>
      <c r="DJ220" s="56">
        <f t="shared" ca="1" si="431"/>
        <v>3.1193095773504077E-2</v>
      </c>
      <c r="DK220" s="53">
        <f>HLOOKUP(H220,'GDP-PI'!$8:$9,2,FALSE)</f>
        <v>104.639</v>
      </c>
      <c r="DL220" s="355">
        <f t="shared" si="424"/>
        <v>9.5254361854427965E-3</v>
      </c>
      <c r="EC220"/>
    </row>
    <row r="221" spans="1:133" s="126" customFormat="1" ht="21" customHeight="1" x14ac:dyDescent="0.4">
      <c r="A221" s="233" t="s">
        <v>195</v>
      </c>
      <c r="B221" s="127" t="s">
        <v>195</v>
      </c>
      <c r="C221" s="127">
        <v>4057112</v>
      </c>
      <c r="D221" s="127" t="s">
        <v>180</v>
      </c>
      <c r="E221" s="127"/>
      <c r="F221" s="127"/>
      <c r="G221" s="127" t="s">
        <v>172</v>
      </c>
      <c r="H221" s="128">
        <v>2016</v>
      </c>
      <c r="I221" s="129"/>
      <c r="J221" s="125">
        <f>IFERROR(INDEX('Labor Expenditures'!$E$7:$W$91,MATCH($C221,'Labor Expenditures'!$C$7:$C$91,0),MATCH($G221,'Labor Expenditures'!$E$5:$W$5,0)),"NA")</f>
        <v>19967.978313702592</v>
      </c>
      <c r="K221" s="125">
        <f t="shared" ca="1" si="425"/>
        <v>145.80487998322448</v>
      </c>
      <c r="L221" s="47"/>
      <c r="M221" s="131">
        <f t="shared" ca="1" si="432"/>
        <v>2.6975015111937735E-2</v>
      </c>
      <c r="N221" s="59"/>
      <c r="O221" s="59"/>
      <c r="P221" s="59">
        <f t="shared" ca="1" si="433"/>
        <v>1.9556118002192973E-4</v>
      </c>
      <c r="Q221" s="61"/>
      <c r="R221" s="387"/>
      <c r="S221" s="49">
        <f t="shared" ca="1" si="438"/>
        <v>298.99765308711312</v>
      </c>
      <c r="T221" s="61">
        <f ca="1">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</f>
        <v>0.9144181009352319</v>
      </c>
      <c r="U221" s="61"/>
      <c r="V221" s="125">
        <f>IFERROR(INDEX('Non-Labor Expenditures'!$E$7:$AA$91,MATCH($C221,'Non-Labor Expenditures'!$C$7:$C$91,0),MATCH($G221,'Non-Labor Expenditures'!$E$5:$AA$5,0)),"NA")</f>
        <v>28917.362102144467</v>
      </c>
      <c r="W221" s="125">
        <f t="shared" si="426"/>
        <v>273.48643888689253</v>
      </c>
      <c r="X221" s="131">
        <f t="shared" si="434"/>
        <v>4.2060342613515773E-2</v>
      </c>
      <c r="Y221" s="131">
        <f t="shared" si="435"/>
        <v>3.0492550975386412E-4</v>
      </c>
      <c r="Z221" s="131"/>
      <c r="AA221" s="131"/>
      <c r="AB221" s="131"/>
      <c r="AC221" s="125">
        <f t="shared" si="404"/>
        <v>25660.20303972375</v>
      </c>
      <c r="AD221" s="129"/>
      <c r="AE221" s="133">
        <v>2075.8842994757661</v>
      </c>
      <c r="AF221" s="134">
        <v>3.3757052649142069E-2</v>
      </c>
      <c r="AG221" s="59">
        <f t="shared" si="427"/>
        <v>2.4472902138272101E-4</v>
      </c>
      <c r="AH221" s="134"/>
      <c r="AI221" s="134"/>
      <c r="AJ221" s="129">
        <f t="shared" si="331"/>
        <v>74545.543455570805</v>
      </c>
      <c r="AK221" s="134">
        <f t="shared" si="436"/>
        <v>3.797203079561428E-2</v>
      </c>
      <c r="AL221" s="129"/>
      <c r="AM221" s="129"/>
      <c r="AN221" s="129"/>
      <c r="AO221" s="129"/>
      <c r="AP221" s="133">
        <f t="shared" si="437"/>
        <v>267.80937678261347</v>
      </c>
      <c r="AQ221" s="134">
        <f>+BB221/Outputs!$B$24</f>
        <v>7.5743603142736527E-3</v>
      </c>
      <c r="AR221" s="93">
        <f t="shared" si="428"/>
        <v>0.26786280424132292</v>
      </c>
      <c r="AS221" s="93">
        <f t="shared" si="429"/>
        <v>0.38791537041217272</v>
      </c>
      <c r="AT221" s="93">
        <f t="shared" si="430"/>
        <v>0.34422182534650442</v>
      </c>
      <c r="AU221" s="93">
        <f t="shared" ca="1" si="439"/>
        <v>2.337181056947274E-2</v>
      </c>
      <c r="AV221" s="132">
        <f t="shared" ca="1" si="442"/>
        <v>104.62813408861115</v>
      </c>
      <c r="AW221" s="134">
        <f t="shared" ca="1" si="443"/>
        <v>2.3371810569472719E-2</v>
      </c>
      <c r="AX221" s="56">
        <f>+AJ221/$AL$21</f>
        <v>7.2497153091634252E-3</v>
      </c>
      <c r="AY221" s="135">
        <f t="shared" ca="1" si="440"/>
        <v>1.6943897288837392E-4</v>
      </c>
      <c r="AZ221" s="93"/>
      <c r="BA221" s="93"/>
      <c r="BB221" s="234">
        <f>IFERROR(INDEX('Total Customers'!$E$7:$AA$91,MATCH($C221,'Total Customers'!$C$7:$C$91,0),MATCH($G221,'Total Customers'!$E$5:$AA$5,0)),"NA")</f>
        <v>278353</v>
      </c>
      <c r="BC221" s="411">
        <f t="shared" si="400"/>
        <v>1.7222906620777929E-2</v>
      </c>
      <c r="BD221" s="92"/>
      <c r="BE221" s="281" t="str">
        <f t="shared" si="396"/>
        <v>CASCADE NATURAL GAS CORPORATION</v>
      </c>
      <c r="BF221" s="290">
        <f t="shared" si="397"/>
        <v>4057112</v>
      </c>
      <c r="BG221" s="46" t="str">
        <f t="shared" si="398"/>
        <v>WA</v>
      </c>
      <c r="BH221" s="46"/>
      <c r="BI221" s="46" t="str">
        <f t="shared" si="399"/>
        <v>2016 Y</v>
      </c>
      <c r="BJ221" s="129"/>
      <c r="BK221" s="129"/>
      <c r="BL221" s="129">
        <f>INDEX('Dist. Plant Gas Additions'!$E$7:$AD$91,MATCH($C221,'Dist. Plant Gas Additions'!$C$7:$C$91,0),MATCH(Calculation!$G221,'Dist. Plant Gas Additions'!$E$5:$AD$5,0))</f>
        <v>53044</v>
      </c>
      <c r="BM221" s="129">
        <f>INDEX('Gen. Plant Additions'!$E$7:$AD$91,MATCH($C221,'Gen. Plant Additions'!$C$7:$C$91,0),MATCH(Calculation!$G221,'Gen. Plant Additions'!$E$5:$AD$5,0))</f>
        <v>4943</v>
      </c>
      <c r="BN221" s="393">
        <f t="shared" si="405"/>
        <v>0.92589190069923766</v>
      </c>
      <c r="BO221" s="46">
        <f t="shared" si="406"/>
        <v>4576.6836651563317</v>
      </c>
      <c r="BP221" s="46">
        <f t="shared" si="407"/>
        <v>-366.3163348436683</v>
      </c>
      <c r="BQ221" s="129">
        <f>INDEX('Dist Plant Depreciation'!$D$7:$AC$94,MATCH($C221,'Dist Plant Depreciation'!$C$7:$C$94,0),MATCH(Calculation!$G221,'Dist Plant Depreciation'!$D$5:$AC$5,0))</f>
        <v>401047</v>
      </c>
      <c r="BR221" s="129">
        <f>INDEX('Gen. Plant Depreciation'!$D$7:$AC$94,MATCH($C221,'Gen. Plant Depreciation'!$C$7:$C$94,0),MATCH(Calculation!$G221,'Gen. Plant Depreciation'!$D$5:$AC$5,0))</f>
        <v>26398</v>
      </c>
      <c r="BS221" s="129"/>
      <c r="BT221" s="129"/>
      <c r="BU221" s="129"/>
      <c r="BV221" s="129"/>
      <c r="BW221" s="129"/>
      <c r="BX221" s="129"/>
      <c r="BY221" s="129">
        <f>INDEX('Gross Dx Plant'!$D$7:$AC$91,MATCH($C221,'Gross Dx Plant'!$C$7:$C$91,0),MATCH(Calculation!$G221,'Gross Dx Plant'!$D$5:$AC$5,0))</f>
        <v>801240</v>
      </c>
      <c r="BZ221" s="129">
        <f>INDEX('Gross Gen Plant'!$D$7:$AC$91,MATCH($C221,'Gross Gen Plant'!$C$7:$C$91,0),MATCH(Calculation!$G221,'Gross Gen Plant'!$D$5:$AC$5,0))</f>
        <v>64131</v>
      </c>
      <c r="CA221" s="129">
        <f t="shared" si="441"/>
        <v>437926</v>
      </c>
      <c r="CB221" s="129"/>
      <c r="CC221" s="133">
        <v>2016</v>
      </c>
      <c r="CD221" s="129"/>
      <c r="CE221" s="129"/>
      <c r="CF221" s="129"/>
      <c r="CG221" s="137"/>
      <c r="CH221" s="129">
        <f t="shared" si="408"/>
        <v>57987</v>
      </c>
      <c r="CI221" s="46">
        <f t="shared" si="417"/>
        <v>57620.683665156335</v>
      </c>
      <c r="CJ221" s="46">
        <f t="shared" si="409"/>
        <v>85.814483549612405</v>
      </c>
      <c r="CK221" s="443">
        <v>0.7857142857142857</v>
      </c>
      <c r="CL221" s="46">
        <f>+CL203*CK221+CJ204*CK220+CJ205*CK219+CJ206*CK218+CJ207*CK217+CJ208*CK216+CJ209*CK215+CJ210*CK214+CJ211*CK213+CJ212*CK212+CJ213*CK211+CJ214*CK210+CJ215*CK209+CJ216*CK208+CJ217*CK207+CJ218*CK206+CJ219*CK205+CJ220*CK204+CJ221</f>
        <v>1900.3888405710629</v>
      </c>
      <c r="CM221" s="134">
        <f t="shared" si="410"/>
        <v>3.0341554646133882E-2</v>
      </c>
      <c r="CN221" s="135">
        <f t="shared" si="411"/>
        <v>1.5740834803636111E-2</v>
      </c>
      <c r="CO221" s="135">
        <f t="shared" si="420"/>
        <v>1.5417296378149396E-2</v>
      </c>
      <c r="CP221" s="134">
        <f>VLOOKUP($H221,RoR!$E:$F,2,FALSE)</f>
        <v>3.6658333333333334E-2</v>
      </c>
      <c r="CQ221" s="135">
        <v>1.0483662879041455E-2</v>
      </c>
      <c r="CR221" s="135">
        <f t="shared" si="418"/>
        <v>2.6174670454291879E-2</v>
      </c>
      <c r="CS221" s="135">
        <f t="shared" si="421"/>
        <v>1.5484645230384229E-2</v>
      </c>
      <c r="CT221" s="135">
        <f t="shared" si="422"/>
        <v>4.301363574220729E-3</v>
      </c>
      <c r="CU221" s="139">
        <f t="shared" si="412"/>
        <v>0.87050000000000005</v>
      </c>
      <c r="CV221" s="335">
        <f t="shared" si="413"/>
        <v>1.3989193348138562</v>
      </c>
      <c r="CW221" s="335">
        <f t="shared" si="414"/>
        <v>0.29302682427824522</v>
      </c>
      <c r="CX221" s="335">
        <f t="shared" si="415"/>
        <v>0.76309497491941802</v>
      </c>
      <c r="CY221" s="335">
        <f t="shared" si="416"/>
        <v>0.31280857135128509</v>
      </c>
      <c r="CZ221" s="336">
        <f>INDEX('State Tax Lookup'!$D$7:$Z$91,MATCH(Calculation!$C221,'State Tax Lookup'!$B$7:$B$91,0),MATCH($H221,'State Tax Lookup'!$D$6:$Z$6,0))</f>
        <v>0.35</v>
      </c>
      <c r="DA221" s="303">
        <v>0.37</v>
      </c>
      <c r="DB221" s="57">
        <f t="shared" si="419"/>
        <v>13.918575408562955</v>
      </c>
      <c r="DC221" s="56">
        <f t="shared" si="423"/>
        <v>-2.9884763532233651E-2</v>
      </c>
      <c r="DD221" s="303">
        <f>VLOOKUP($H221,RoR!$E:$F,2,FALSE)</f>
        <v>3.6658333333333334E-2</v>
      </c>
      <c r="DE221" s="304">
        <f>HLOOKUP($H221,'GDP-PI'!$D$8:$CQ$11,3,FALSE)</f>
        <v>1.0483662879041455E-2</v>
      </c>
      <c r="DF221" s="303">
        <f>VLOOKUP(H221,'HW Dx Data'!$E:$F,2,FALSE)</f>
        <v>671.45639385971219</v>
      </c>
      <c r="DG221" s="89">
        <f ca="1">VLOOKUP(CC221,'ECI - Input Price'!M$13:N$33,2,FALSE)</f>
        <v>136.94999999999999</v>
      </c>
      <c r="DH221" s="89"/>
      <c r="DI221" s="89"/>
      <c r="DJ221" s="56">
        <f t="shared" ca="1" si="431"/>
        <v>2.5514417868782811E-2</v>
      </c>
      <c r="DK221" s="53">
        <f>HLOOKUP(H221,'GDP-PI'!$8:$9,2,FALSE)</f>
        <v>105.736</v>
      </c>
      <c r="DL221" s="355">
        <f t="shared" si="424"/>
        <v>1.0429090367205095E-2</v>
      </c>
      <c r="EC221"/>
    </row>
    <row r="222" spans="1:133" s="126" customFormat="1" ht="21" customHeight="1" x14ac:dyDescent="0.4">
      <c r="A222" s="233" t="s">
        <v>195</v>
      </c>
      <c r="B222" s="127" t="s">
        <v>195</v>
      </c>
      <c r="C222" s="127">
        <v>4057112</v>
      </c>
      <c r="D222" s="127" t="s">
        <v>180</v>
      </c>
      <c r="E222" s="127"/>
      <c r="F222" s="127"/>
      <c r="G222" s="127" t="s">
        <v>173</v>
      </c>
      <c r="H222" s="128">
        <v>2017</v>
      </c>
      <c r="I222" s="129"/>
      <c r="J222" s="125">
        <f>IFERROR(INDEX('Labor Expenditures'!$E$7:$W$91,MATCH($C222,'Labor Expenditures'!$C$7:$C$91,0),MATCH($G222,'Labor Expenditures'!$E$5:$W$5,0)),"NA")</f>
        <v>21516.265551134897</v>
      </c>
      <c r="K222" s="125">
        <f t="shared" ca="1" si="425"/>
        <v>153.19519794328869</v>
      </c>
      <c r="L222" s="47"/>
      <c r="M222" s="131">
        <f t="shared" ca="1" si="432"/>
        <v>4.9443622390604958E-2</v>
      </c>
      <c r="N222" s="59"/>
      <c r="O222" s="59"/>
      <c r="P222" s="59">
        <f t="shared" ca="1" si="433"/>
        <v>3.6833357974027948E-4</v>
      </c>
      <c r="Q222" s="61"/>
      <c r="R222" s="387"/>
      <c r="S222" s="49">
        <f t="shared" ca="1" si="438"/>
        <v>167.1057996802694</v>
      </c>
      <c r="T222" s="61">
        <f ca="1">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</f>
        <v>-0.5818085813126278</v>
      </c>
      <c r="U222" s="61"/>
      <c r="V222" s="125">
        <f>IFERROR(INDEX('Non-Labor Expenditures'!$E$7:$AA$91,MATCH($C222,'Non-Labor Expenditures'!$C$7:$C$91,0),MATCH($G222,'Non-Labor Expenditures'!$E$5:$AA$5,0)),"NA")</f>
        <v>31159.571202113028</v>
      </c>
      <c r="W222" s="125">
        <f t="shared" si="426"/>
        <v>289.18127165514034</v>
      </c>
      <c r="X222" s="131">
        <f t="shared" si="434"/>
        <v>5.5801692004025051E-2</v>
      </c>
      <c r="Y222" s="131">
        <f t="shared" si="435"/>
        <v>4.1569844557571455E-4</v>
      </c>
      <c r="Z222" s="131"/>
      <c r="AA222" s="131"/>
      <c r="AB222" s="131"/>
      <c r="AC222" s="125">
        <f t="shared" si="404"/>
        <v>23899.21074515679</v>
      </c>
      <c r="AD222" s="129"/>
      <c r="AE222" s="133">
        <v>2154.3769369114298</v>
      </c>
      <c r="AF222" s="134">
        <v>3.7114326027396505E-2</v>
      </c>
      <c r="AG222" s="59">
        <f t="shared" si="427"/>
        <v>2.7648565991630046E-4</v>
      </c>
      <c r="AH222" s="134"/>
      <c r="AI222" s="134"/>
      <c r="AJ222" s="129">
        <f t="shared" ref="AJ222:AJ285" si="444">+J222+V222+AC222</f>
        <v>76575.047498404718</v>
      </c>
      <c r="AK222" s="134">
        <f t="shared" si="436"/>
        <v>2.6861012848803781E-2</v>
      </c>
      <c r="AL222" s="129"/>
      <c r="AM222" s="129"/>
      <c r="AN222" s="129"/>
      <c r="AO222" s="129"/>
      <c r="AP222" s="133">
        <f t="shared" si="437"/>
        <v>270.13457331782803</v>
      </c>
      <c r="AQ222" s="134">
        <f>+BB222/Outputs!$B$25</f>
        <v>7.655647273404508E-3</v>
      </c>
      <c r="AR222" s="93">
        <f t="shared" si="428"/>
        <v>0.28098272549662007</v>
      </c>
      <c r="AS222" s="93">
        <f t="shared" si="429"/>
        <v>0.4069154668531178</v>
      </c>
      <c r="AT222" s="93">
        <f t="shared" si="430"/>
        <v>0.31210180765026208</v>
      </c>
      <c r="AU222" s="93">
        <f t="shared" ca="1" si="439"/>
        <v>3.574490834975675E-2</v>
      </c>
      <c r="AV222" s="132">
        <f t="shared" ca="1" si="442"/>
        <v>108.43570233978946</v>
      </c>
      <c r="AW222" s="134">
        <f t="shared" ca="1" si="443"/>
        <v>3.5744908349756771E-2</v>
      </c>
      <c r="AX222" s="56">
        <f>+AJ222/$AL$22</f>
        <v>7.4495670408296875E-3</v>
      </c>
      <c r="AY222" s="135">
        <f t="shared" ca="1" si="440"/>
        <v>2.6628409111982592E-4</v>
      </c>
      <c r="AZ222" s="93"/>
      <c r="BA222" s="93"/>
      <c r="BB222" s="234">
        <f>IFERROR(INDEX('Total Customers'!$E$7:$AA$91,MATCH($C222,'Total Customers'!$C$7:$C$91,0),MATCH($G222,'Total Customers'!$E$5:$AA$5,0)),"NA")</f>
        <v>283470</v>
      </c>
      <c r="BC222" s="411">
        <f t="shared" si="400"/>
        <v>1.8216205093470741E-2</v>
      </c>
      <c r="BD222" s="92"/>
      <c r="BE222" s="281" t="str">
        <f t="shared" si="396"/>
        <v>CASCADE NATURAL GAS CORPORATION</v>
      </c>
      <c r="BF222" s="290">
        <f t="shared" si="397"/>
        <v>4057112</v>
      </c>
      <c r="BG222" s="46" t="str">
        <f t="shared" si="398"/>
        <v>WA</v>
      </c>
      <c r="BH222" s="46"/>
      <c r="BI222" s="46" t="str">
        <f t="shared" si="399"/>
        <v>2017 Y</v>
      </c>
      <c r="BJ222" s="129"/>
      <c r="BK222" s="129"/>
      <c r="BL222" s="129">
        <f>INDEX('Dist. Plant Gas Additions'!$E$7:$AD$91,MATCH($C222,'Dist. Plant Gas Additions'!$C$7:$C$91,0),MATCH(Calculation!$G222,'Dist. Plant Gas Additions'!$E$5:$AD$5,0))</f>
        <v>64716</v>
      </c>
      <c r="BM222" s="129">
        <f>INDEX('Gen. Plant Additions'!$E$7:$AD$91,MATCH($C222,'Gen. Plant Additions'!$C$7:$C$91,0),MATCH(Calculation!$G222,'Gen. Plant Additions'!$E$5:$AD$5,0))</f>
        <v>4430</v>
      </c>
      <c r="BN222" s="393">
        <f t="shared" si="405"/>
        <v>0.92877083411716022</v>
      </c>
      <c r="BO222" s="46">
        <f t="shared" si="406"/>
        <v>4114.4547951390196</v>
      </c>
      <c r="BP222" s="46">
        <f t="shared" si="407"/>
        <v>-315.54520486098045</v>
      </c>
      <c r="BQ222" s="129">
        <f>INDEX('Dist Plant Depreciation'!$D$7:$AC$94,MATCH($C222,'Dist Plant Depreciation'!$C$7:$C$94,0),MATCH(Calculation!$G222,'Dist Plant Depreciation'!$D$5:$AC$5,0))</f>
        <v>420420</v>
      </c>
      <c r="BR222" s="129">
        <f>INDEX('Gen. Plant Depreciation'!$D$7:$AC$94,MATCH($C222,'Gen. Plant Depreciation'!$C$7:$C$94,0),MATCH(Calculation!$G222,'Gen. Plant Depreciation'!$D$5:$AC$5,0))</f>
        <v>27375</v>
      </c>
      <c r="BS222" s="129"/>
      <c r="BT222" s="129"/>
      <c r="BU222" s="129"/>
      <c r="BV222" s="129"/>
      <c r="BW222" s="129"/>
      <c r="BX222" s="129"/>
      <c r="BY222" s="129">
        <f>INDEX('Gross Dx Plant'!$D$7:$AC$91,MATCH($C222,'Gross Dx Plant'!$C$7:$C$91,0),MATCH(Calculation!$G222,'Gross Dx Plant'!$D$5:$AC$5,0))</f>
        <v>864003</v>
      </c>
      <c r="BZ222" s="129">
        <f>INDEX('Gross Gen Plant'!$D$7:$AC$91,MATCH($C222,'Gross Gen Plant'!$C$7:$C$91,0),MATCH(Calculation!$G222,'Gross Gen Plant'!$D$5:$AC$5,0))</f>
        <v>66262</v>
      </c>
      <c r="CA222" s="129">
        <f t="shared" si="441"/>
        <v>482470</v>
      </c>
      <c r="CB222" s="129"/>
      <c r="CC222" s="133">
        <v>2017</v>
      </c>
      <c r="CD222" s="129"/>
      <c r="CE222" s="129"/>
      <c r="CF222" s="129"/>
      <c r="CG222" s="137"/>
      <c r="CH222" s="129">
        <f t="shared" si="408"/>
        <v>69146</v>
      </c>
      <c r="CI222" s="46">
        <f t="shared" si="417"/>
        <v>68830.454795139027</v>
      </c>
      <c r="CJ222" s="46">
        <f t="shared" si="409"/>
        <v>96.613831013693897</v>
      </c>
      <c r="CK222" s="443">
        <v>0.77108433734939763</v>
      </c>
      <c r="CL222" s="46">
        <f>+CL203*CK222+CJ204*CK221+CJ205*CK220+CJ206*CK219+CJ207*CK218+CJ208*CK217+CJ209*CK216+CJ210*CK215+CJ211*CK214+CJ212*CK213+CJ213*CK212+CJ214*CK211+CJ215*CK210+CJ216*CK209+CJ217*CK208+CJ218*CK207+CJ219*CK206+CJ220*CK205+CJ221*CK204+CJ222</f>
        <v>1966.4560347235949</v>
      </c>
      <c r="CM222" s="134">
        <f t="shared" si="410"/>
        <v>3.4174437353862684E-2</v>
      </c>
      <c r="CN222" s="135">
        <f t="shared" si="411"/>
        <v>1.6073887727094147E-2</v>
      </c>
      <c r="CO222" s="135">
        <f t="shared" si="420"/>
        <v>1.57622248352936E-2</v>
      </c>
      <c r="CP222" s="134">
        <f>VLOOKUP($H222,RoR!$E:$F,2,FALSE)</f>
        <v>3.7433333333333339E-2</v>
      </c>
      <c r="CQ222" s="135">
        <v>1.9056896421275615E-2</v>
      </c>
      <c r="CR222" s="135">
        <f t="shared" si="418"/>
        <v>1.8376436912057724E-2</v>
      </c>
      <c r="CS222" s="135">
        <f t="shared" si="421"/>
        <v>1.5139716773240025E-2</v>
      </c>
      <c r="CT222" s="135">
        <f t="shared" si="422"/>
        <v>1.3976271617800498E-2</v>
      </c>
      <c r="CU222" s="139">
        <f t="shared" si="412"/>
        <v>0.92230000000000001</v>
      </c>
      <c r="CV222" s="335">
        <f t="shared" si="413"/>
        <v>1.3699568463593395</v>
      </c>
      <c r="CW222" s="335">
        <f t="shared" si="414"/>
        <v>0.30714603739982199</v>
      </c>
      <c r="CX222" s="335">
        <f t="shared" si="415"/>
        <v>0.77007188472689425</v>
      </c>
      <c r="CY222" s="335">
        <f t="shared" si="416"/>
        <v>0.32402839633793828</v>
      </c>
      <c r="CZ222" s="336">
        <f>INDEX('State Tax Lookup'!$D$7:$Z$91,MATCH(Calculation!$C222,'State Tax Lookup'!$B$7:$B$91,0),MATCH($H222,'State Tax Lookup'!$D$6:$Z$6,0))</f>
        <v>0.20999999999999996</v>
      </c>
      <c r="DA222" s="303">
        <v>0.37</v>
      </c>
      <c r="DB222" s="57">
        <f t="shared" si="419"/>
        <v>12.575958264401892</v>
      </c>
      <c r="DC222" s="56">
        <f t="shared" si="423"/>
        <v>-0.10143739131916235</v>
      </c>
      <c r="DD222" s="303">
        <f>VLOOKUP($H222,RoR!$E:$F,2,FALSE)</f>
        <v>3.7433333333333339E-2</v>
      </c>
      <c r="DE222" s="304">
        <f>HLOOKUP($H222,'GDP-PI'!$D$8:$CQ$11,3,FALSE)</f>
        <v>1.9056896421275615E-2</v>
      </c>
      <c r="DF222" s="303">
        <f>VLOOKUP(H222,'HW Dx Data'!$E:$F,2,FALSE)</f>
        <v>712.42858370229726</v>
      </c>
      <c r="DG222" s="89">
        <f ca="1">VLOOKUP(CC222,'ECI - Input Price'!M$13:N$33,2,FALSE)</f>
        <v>140.44999999999999</v>
      </c>
      <c r="DH222" s="89"/>
      <c r="DI222" s="89"/>
      <c r="DJ222" s="56">
        <f t="shared" ca="1" si="431"/>
        <v>2.5235657841165486E-2</v>
      </c>
      <c r="DK222" s="53">
        <f>HLOOKUP(H222,'GDP-PI'!$8:$9,2,FALSE)</f>
        <v>107.751</v>
      </c>
      <c r="DL222" s="355">
        <f t="shared" si="424"/>
        <v>1.8877588227745139E-2</v>
      </c>
      <c r="EC222"/>
    </row>
    <row r="223" spans="1:133" s="126" customFormat="1" ht="21" customHeight="1" x14ac:dyDescent="0.4">
      <c r="A223" s="233" t="s">
        <v>195</v>
      </c>
      <c r="B223" s="127" t="s">
        <v>195</v>
      </c>
      <c r="C223" s="127">
        <v>4057112</v>
      </c>
      <c r="D223" s="127" t="s">
        <v>180</v>
      </c>
      <c r="E223" s="127"/>
      <c r="F223" s="127"/>
      <c r="G223" s="127" t="s">
        <v>174</v>
      </c>
      <c r="H223" s="128">
        <v>2018</v>
      </c>
      <c r="I223" s="129"/>
      <c r="J223" s="125">
        <f>IFERROR(INDEX('Labor Expenditures'!$E$7:$W$91,MATCH($C223,'Labor Expenditures'!$C$7:$C$91,0),MATCH($G223,'Labor Expenditures'!$E$5:$W$5,0)),"NA")</f>
        <v>21690.932886911934</v>
      </c>
      <c r="K223" s="125">
        <f t="shared" ca="1" si="425"/>
        <v>150.16222143933496</v>
      </c>
      <c r="L223" s="47"/>
      <c r="M223" s="131">
        <f t="shared" ca="1" si="432"/>
        <v>-1.9996725813205312E-2</v>
      </c>
      <c r="N223" s="59"/>
      <c r="O223" s="59"/>
      <c r="P223" s="59">
        <f t="shared" ca="1" si="433"/>
        <v>-1.4148398041764022E-4</v>
      </c>
      <c r="Q223" s="61"/>
      <c r="R223" s="387"/>
      <c r="S223" s="49">
        <f t="shared" ca="1" si="438"/>
        <v>116.51084519052003</v>
      </c>
      <c r="T223" s="61">
        <f ca="1">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</f>
        <v>-0.36064278240316777</v>
      </c>
      <c r="U223" s="61"/>
      <c r="V223" s="125">
        <f>IFERROR(INDEX('Non-Labor Expenditures'!$E$7:$AA$91,MATCH($C223,'Non-Labor Expenditures'!$C$7:$C$91,0),MATCH($G223,'Non-Labor Expenditures'!$E$5:$AA$5,0)),"NA")</f>
        <v>31412.52212767645</v>
      </c>
      <c r="W223" s="125">
        <f t="shared" si="426"/>
        <v>284.73488631167356</v>
      </c>
      <c r="X223" s="131">
        <f t="shared" si="434"/>
        <v>-1.549520516772232E-2</v>
      </c>
      <c r="Y223" s="131">
        <f t="shared" si="435"/>
        <v>-1.0963411335417669E-4</v>
      </c>
      <c r="Z223" s="131"/>
      <c r="AA223" s="131"/>
      <c r="AB223" s="131"/>
      <c r="AC223" s="125">
        <f t="shared" si="404"/>
        <v>25630.749052640374</v>
      </c>
      <c r="AD223" s="129"/>
      <c r="AE223" s="133">
        <v>2262.3114405854285</v>
      </c>
      <c r="AF223" s="134">
        <v>4.8885494593020072E-2</v>
      </c>
      <c r="AG223" s="59">
        <f t="shared" si="427"/>
        <v>3.4588234215513543E-4</v>
      </c>
      <c r="AH223" s="134"/>
      <c r="AI223" s="134"/>
      <c r="AJ223" s="129">
        <f t="shared" si="444"/>
        <v>78734.204067228755</v>
      </c>
      <c r="AK223" s="134">
        <f t="shared" si="436"/>
        <v>2.7806401308239182E-2</v>
      </c>
      <c r="AL223" s="129"/>
      <c r="AM223" s="129"/>
      <c r="AN223" s="129"/>
      <c r="AO223" s="129"/>
      <c r="AP223" s="133">
        <f t="shared" si="437"/>
        <v>272.02066067546781</v>
      </c>
      <c r="AQ223" s="134">
        <f>+BB223/Outputs!$B$26</f>
        <v>7.7484727765029723E-3</v>
      </c>
      <c r="AR223" s="93">
        <f t="shared" si="428"/>
        <v>0.27549567743633635</v>
      </c>
      <c r="AS223" s="93">
        <f t="shared" si="429"/>
        <v>0.39896919642261508</v>
      </c>
      <c r="AT223" s="93">
        <f t="shared" si="430"/>
        <v>0.32553512614104863</v>
      </c>
      <c r="AU223" s="93">
        <f t="shared" ca="1" si="439"/>
        <v>-1.1807547121699506E-2</v>
      </c>
      <c r="AV223" s="132">
        <f t="shared" ca="1" si="442"/>
        <v>107.162871964991</v>
      </c>
      <c r="AW223" s="134">
        <f t="shared" ca="1" si="443"/>
        <v>-1.1807547121699459E-2</v>
      </c>
      <c r="AX223" s="56">
        <f>+AJ223/$AL$23</f>
        <v>7.0753573229577369E-3</v>
      </c>
      <c r="AY223" s="135">
        <f t="shared" ca="1" si="440"/>
        <v>-8.3542614993684824E-5</v>
      </c>
      <c r="AZ223" s="93"/>
      <c r="BA223" s="93"/>
      <c r="BB223" s="234">
        <f>IFERROR(INDEX('Total Customers'!$E$7:$AA$91,MATCH($C223,'Total Customers'!$C$7:$C$91,0),MATCH($G223,'Total Customers'!$E$5:$AA$5,0)),"NA")</f>
        <v>289442</v>
      </c>
      <c r="BC223" s="411">
        <f t="shared" si="400"/>
        <v>2.084863405543725E-2</v>
      </c>
      <c r="BD223" s="92"/>
      <c r="BE223" s="281" t="str">
        <f t="shared" si="396"/>
        <v>CASCADE NATURAL GAS CORPORATION</v>
      </c>
      <c r="BF223" s="290">
        <f t="shared" si="397"/>
        <v>4057112</v>
      </c>
      <c r="BG223" s="46" t="str">
        <f t="shared" si="398"/>
        <v>WA</v>
      </c>
      <c r="BH223" s="46"/>
      <c r="BI223" s="46" t="str">
        <f t="shared" si="399"/>
        <v>2018 Y</v>
      </c>
      <c r="BJ223" s="129"/>
      <c r="BK223" s="129"/>
      <c r="BL223" s="129">
        <f>INDEX('Dist. Plant Gas Additions'!$E$7:$AD$91,MATCH($C223,'Dist. Plant Gas Additions'!$C$7:$C$91,0),MATCH(Calculation!$G223,'Dist. Plant Gas Additions'!$E$5:$AD$5,0))</f>
        <v>88477</v>
      </c>
      <c r="BM223" s="129">
        <f>INDEX('Gen. Plant Additions'!$E$7:$AD$91,MATCH($C223,'Gen. Plant Additions'!$C$7:$C$91,0),MATCH(Calculation!$G223,'Gen. Plant Additions'!$E$5:$AD$5,0))</f>
        <v>7966</v>
      </c>
      <c r="BN223" s="393">
        <f t="shared" si="405"/>
        <v>0.93032514338439709</v>
      </c>
      <c r="BO223" s="46">
        <f>+BN223*BM223</f>
        <v>7410.9700922001075</v>
      </c>
      <c r="BP223" s="46">
        <f>+BO223-BM223</f>
        <v>-555.0299077998925</v>
      </c>
      <c r="BQ223" s="129">
        <f>INDEX('Dist Plant Depreciation'!$D$7:$AC$94,MATCH($C223,'Dist Plant Depreciation'!$C$7:$C$94,0),MATCH(Calculation!$G223,'Dist Plant Depreciation'!$D$5:$AC$5,0))</f>
        <v>428550</v>
      </c>
      <c r="BR223" s="129">
        <f>INDEX('Gen. Plant Depreciation'!$D$7:$AC$94,MATCH($C223,'Gen. Plant Depreciation'!$C$7:$C$94,0),MATCH(Calculation!$G223,'Gen. Plant Depreciation'!$D$5:$AC$5,0))</f>
        <v>29116</v>
      </c>
      <c r="BS223" s="129"/>
      <c r="BT223" s="129"/>
      <c r="BU223" s="129"/>
      <c r="BV223" s="129"/>
      <c r="BW223" s="129"/>
      <c r="BX223" s="129"/>
      <c r="BY223" s="129">
        <f>INDEX('Gross Dx Plant'!$D$7:$AC$91,MATCH($C223,'Gross Dx Plant'!$C$7:$C$91,0),MATCH(Calculation!$G223,'Gross Dx Plant'!$D$5:$AC$5,0))</f>
        <v>938699</v>
      </c>
      <c r="BZ223" s="129">
        <f>INDEX('Gross Gen Plant'!$D$7:$AC$91,MATCH($C223,'Gross Gen Plant'!$C$7:$C$91,0),MATCH(Calculation!$G223,'Gross Gen Plant'!$D$5:$AC$5,0))</f>
        <v>70302</v>
      </c>
      <c r="CA223" s="129">
        <f t="shared" si="441"/>
        <v>551335</v>
      </c>
      <c r="CB223" s="129"/>
      <c r="CC223" s="133">
        <v>2018</v>
      </c>
      <c r="CD223" s="129"/>
      <c r="CE223" s="129"/>
      <c r="CF223" s="129"/>
      <c r="CG223" s="137"/>
      <c r="CH223" s="129">
        <f t="shared" si="408"/>
        <v>96443</v>
      </c>
      <c r="CI223" s="46">
        <f t="shared" si="417"/>
        <v>95887.970092200107</v>
      </c>
      <c r="CJ223" s="46">
        <f t="shared" si="409"/>
        <v>126.98094036625608</v>
      </c>
      <c r="CK223" s="443">
        <v>0.75609756097560976</v>
      </c>
      <c r="CL223" s="46">
        <f>+CL203*CK223++CJ204*CK222+CJ205*CK221+CJ206*CK220+CJ207*CK219+CJ208*CK218+CJ209*CK217+CJ210*CK216+CJ211*CK215+CJ212*CK214+CJ213*CK213+CJ214*CK212+CJ215*CK211+CJ216*CK210+CJ217*CK209+CJ218*CK208+CJ219*CK207+CJ220*CK206+CJ221*CK205+CJ222*CK204+CJ223</f>
        <v>2061.2154331251827</v>
      </c>
      <c r="CM223" s="134">
        <f t="shared" si="410"/>
        <v>4.7062869370781787E-2</v>
      </c>
      <c r="CN223" s="135">
        <f t="shared" si="411"/>
        <v>1.6385589810146647E-2</v>
      </c>
      <c r="CO223" s="135">
        <f t="shared" si="420"/>
        <v>1.6066770780292301E-2</v>
      </c>
      <c r="CP223" s="134">
        <f>VLOOKUP($H223,RoR!$E:$F,2,FALSE)</f>
        <v>3.9299999999999995E-2</v>
      </c>
      <c r="CQ223" s="135">
        <v>2.386056741932796E-2</v>
      </c>
      <c r="CR223" s="135">
        <f t="shared" si="418"/>
        <v>1.5439432580672034E-2</v>
      </c>
      <c r="CS223" s="135">
        <f t="shared" si="421"/>
        <v>1.4835170828241324E-2</v>
      </c>
      <c r="CT223" s="135">
        <f t="shared" si="422"/>
        <v>3.8270792163076606E-2</v>
      </c>
      <c r="CU223" s="139">
        <f t="shared" si="412"/>
        <v>0.92230000000000001</v>
      </c>
      <c r="CV223" s="335">
        <f t="shared" si="413"/>
        <v>1.3048868010700074</v>
      </c>
      <c r="CW223" s="335">
        <f t="shared" si="414"/>
        <v>0.33886768447837151</v>
      </c>
      <c r="CX223" s="335">
        <f t="shared" si="415"/>
        <v>0.78602506232557801</v>
      </c>
      <c r="CY223" s="335">
        <f t="shared" si="416"/>
        <v>0.34756768162358759</v>
      </c>
      <c r="CZ223" s="336">
        <f>INDEX('State Tax Lookup'!$D$7:$Z$91,MATCH(Calculation!$C223,'State Tax Lookup'!$B$7:$B$91,0),MATCH($H223,'State Tax Lookup'!$D$6:$Z$6,0))</f>
        <v>0.20999999999999996</v>
      </c>
      <c r="DA223" s="303">
        <v>0.37</v>
      </c>
      <c r="DB223" s="57">
        <f t="shared" si="419"/>
        <v>13.033980216213189</v>
      </c>
      <c r="DC223" s="56">
        <f t="shared" si="423"/>
        <v>3.5772893038058688E-2</v>
      </c>
      <c r="DD223" s="303">
        <f>VLOOKUP($H223,RoR!$E:$F,2,FALSE)</f>
        <v>3.9299999999999995E-2</v>
      </c>
      <c r="DE223" s="304">
        <f>HLOOKUP($H223,'GDP-PI'!$D$8:$CQ$11,3,FALSE)</f>
        <v>2.386056741932796E-2</v>
      </c>
      <c r="DF223" s="303">
        <f>VLOOKUP(H223,'HW Dx Data'!$E:$F,2,FALSE)</f>
        <v>755.13671434174842</v>
      </c>
      <c r="DG223" s="89">
        <f ca="1">VLOOKUP(CC223,'ECI - Input Price'!M$13:N$33,2,FALSE)</f>
        <v>144.44999999999999</v>
      </c>
      <c r="DH223" s="89"/>
      <c r="DI223" s="89"/>
      <c r="DJ223" s="56">
        <f t="shared" ca="1" si="431"/>
        <v>2.80818733619915E-2</v>
      </c>
      <c r="DK223" s="53">
        <f>HLOOKUP(H223,'GDP-PI'!$8:$9,2,FALSE)</f>
        <v>110.322</v>
      </c>
      <c r="DL223" s="355">
        <f t="shared" si="424"/>
        <v>2.3580352716508712E-2</v>
      </c>
      <c r="EC223"/>
    </row>
    <row r="224" spans="1:133" s="126" customFormat="1" ht="21" customHeight="1" x14ac:dyDescent="0.4">
      <c r="A224" s="233" t="s">
        <v>195</v>
      </c>
      <c r="B224" s="127" t="s">
        <v>195</v>
      </c>
      <c r="C224" s="127">
        <v>4057112</v>
      </c>
      <c r="D224" s="127" t="s">
        <v>180</v>
      </c>
      <c r="E224" s="127"/>
      <c r="F224" s="127"/>
      <c r="G224" s="127" t="s">
        <v>175</v>
      </c>
      <c r="H224" s="128">
        <v>2019</v>
      </c>
      <c r="I224" s="129"/>
      <c r="J224" s="125">
        <f>IFERROR(INDEX('Labor Expenditures'!$E$7:$W$91,MATCH($C224,'Labor Expenditures'!$C$7:$C$91,0),MATCH($G224,'Labor Expenditures'!$E$5:$W$5,0)),"NA")</f>
        <v>22926.441436848672</v>
      </c>
      <c r="K224" s="125">
        <f t="shared" ca="1" si="425"/>
        <v>153.17482169265855</v>
      </c>
      <c r="L224" s="47"/>
      <c r="M224" s="131">
        <f t="shared" ca="1" si="432"/>
        <v>1.9863708550717396E-2</v>
      </c>
      <c r="N224" s="59"/>
      <c r="O224" s="59"/>
      <c r="P224" s="59">
        <f t="shared" ca="1" si="433"/>
        <v>1.4485851848451358E-4</v>
      </c>
      <c r="Q224" s="61"/>
      <c r="R224" s="387"/>
      <c r="S224" s="49">
        <f t="shared" ca="1" si="438"/>
        <v>116.83087850716265</v>
      </c>
      <c r="T224" s="61">
        <f ca="1">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</f>
        <v>2.7430457977256854E-3</v>
      </c>
      <c r="U224" s="61"/>
      <c r="V224" s="125">
        <f>IFERROR(INDEX('Non-Labor Expenditures'!$E$7:$AA$91,MATCH($C224,'Non-Labor Expenditures'!$C$7:$C$91,0),MATCH($G224,'Non-Labor Expenditures'!$E$5:$AA$5,0)),"NA")</f>
        <v>33201.7692691509</v>
      </c>
      <c r="W224" s="125">
        <f t="shared" si="426"/>
        <v>295.60506124709218</v>
      </c>
      <c r="X224" s="131">
        <f t="shared" si="434"/>
        <v>3.7465786998487155E-2</v>
      </c>
      <c r="Y224" s="131">
        <f t="shared" si="435"/>
        <v>2.7322382346680127E-4</v>
      </c>
      <c r="Z224" s="131"/>
      <c r="AA224" s="131"/>
      <c r="AB224" s="131"/>
      <c r="AC224" s="125">
        <f t="shared" si="404"/>
        <v>26957.454454581606</v>
      </c>
      <c r="AD224" s="129"/>
      <c r="AE224" s="133">
        <v>2349.4390565693448</v>
      </c>
      <c r="AF224" s="134">
        <v>3.7789548389489939E-2</v>
      </c>
      <c r="AG224" s="59">
        <f t="shared" si="427"/>
        <v>2.7558489291782556E-4</v>
      </c>
      <c r="AH224" s="134"/>
      <c r="AI224" s="134"/>
      <c r="AJ224" s="129">
        <f t="shared" si="444"/>
        <v>83085.665160581178</v>
      </c>
      <c r="AK224" s="134">
        <f t="shared" si="436"/>
        <v>5.3794511592400271E-2</v>
      </c>
      <c r="AL224" s="129"/>
      <c r="AM224" s="129"/>
      <c r="AN224" s="129"/>
      <c r="AO224" s="129"/>
      <c r="AP224" s="133">
        <f t="shared" si="437"/>
        <v>281.63295694638617</v>
      </c>
      <c r="AQ224" s="134">
        <f>+BB224/Outputs!$B$27</f>
        <v>7.8325040875102479E-3</v>
      </c>
      <c r="AR224" s="93">
        <f t="shared" si="428"/>
        <v>0.27593738814677987</v>
      </c>
      <c r="AS224" s="93">
        <f t="shared" si="429"/>
        <v>0.39960887603151801</v>
      </c>
      <c r="AT224" s="93">
        <f t="shared" si="430"/>
        <v>0.32445373582170212</v>
      </c>
      <c r="AU224" s="93">
        <f t="shared" ca="1" si="439"/>
        <v>2.0436430832100325E-2</v>
      </c>
      <c r="AV224" s="132">
        <f t="shared" ca="1" si="442"/>
        <v>109.37542997475848</v>
      </c>
      <c r="AW224" s="134">
        <f t="shared" ca="1" si="443"/>
        <v>2.0436430832100293E-2</v>
      </c>
      <c r="AX224" s="56">
        <f>+AJ224/$AL$24</f>
        <v>7.2926220254717691E-3</v>
      </c>
      <c r="AY224" s="135">
        <f t="shared" ca="1" si="440"/>
        <v>1.4903516560820496E-4</v>
      </c>
      <c r="AZ224" s="93"/>
      <c r="BA224" s="93"/>
      <c r="BB224" s="234">
        <f>IFERROR(INDEX('Total Customers'!$E$7:$AA$91,MATCH($C224,'Total Customers'!$C$7:$C$91,0),MATCH($G224,'Total Customers'!$E$5:$AA$5,0)),"NA")</f>
        <v>295014</v>
      </c>
      <c r="BC224" s="411">
        <f t="shared" si="400"/>
        <v>1.9067881322779597E-2</v>
      </c>
      <c r="BD224" s="92"/>
      <c r="BE224" s="281" t="str">
        <f t="shared" si="396"/>
        <v>CASCADE NATURAL GAS CORPORATION</v>
      </c>
      <c r="BF224" s="290">
        <f t="shared" si="397"/>
        <v>4057112</v>
      </c>
      <c r="BG224" s="46" t="str">
        <f t="shared" si="398"/>
        <v>WA</v>
      </c>
      <c r="BH224" s="46"/>
      <c r="BI224" s="46" t="str">
        <f t="shared" si="399"/>
        <v>2019 Y</v>
      </c>
      <c r="BJ224" s="129"/>
      <c r="BK224" s="129"/>
      <c r="BL224" s="129">
        <f>INDEX('Dist. Plant Gas Additions'!$E$7:$AD$91,MATCH($C224,'Dist. Plant Gas Additions'!$C$7:$C$91,0),MATCH(Calculation!$G224,'Dist. Plant Gas Additions'!$E$5:$AD$5,0))</f>
        <v>73360</v>
      </c>
      <c r="BM224" s="129">
        <f>INDEX('Gen. Plant Additions'!$E$7:$AD$91,MATCH($C224,'Gen. Plant Additions'!$C$7:$C$91,0),MATCH(Calculation!$G224,'Gen. Plant Additions'!$E$5:$AD$5,0))</f>
        <v>10444</v>
      </c>
      <c r="BN224" s="393">
        <f t="shared" si="405"/>
        <v>0.93040712928364944</v>
      </c>
      <c r="BO224" s="46">
        <f t="shared" ref="BO224:BO242" si="445">+BN224*BM224</f>
        <v>9717.1720582384351</v>
      </c>
      <c r="BP224" s="46">
        <f t="shared" ref="BP224:BP242" si="446">+BO224-BM224</f>
        <v>-726.82794176156494</v>
      </c>
      <c r="BQ224" s="129">
        <f>INDEX('Dist Plant Depreciation'!$D$7:$AC$94,MATCH($C224,'Dist Plant Depreciation'!$C$7:$C$94,0),MATCH(Calculation!$G224,'Dist Plant Depreciation'!$D$5:$AC$5,0))</f>
        <v>445692</v>
      </c>
      <c r="BR224" s="129">
        <f>INDEX('Gen. Plant Depreciation'!$D$7:$AC$94,MATCH($C224,'Gen. Plant Depreciation'!$C$7:$C$94,0),MATCH(Calculation!$G224,'Gen. Plant Depreciation'!$D$5:$AC$5,0))</f>
        <v>25911</v>
      </c>
      <c r="BS224" s="129"/>
      <c r="BT224" s="129"/>
      <c r="BU224" s="129"/>
      <c r="BV224" s="129"/>
      <c r="BW224" s="129"/>
      <c r="BX224" s="129"/>
      <c r="BY224" s="129">
        <f>INDEX('Gross Dx Plant'!$D$7:$AC$91,MATCH($C224,'Gross Dx Plant'!$C$7:$C$91,0),MATCH(Calculation!$G224,'Gross Dx Plant'!$D$5:$AC$5,0))</f>
        <v>1003218</v>
      </c>
      <c r="BZ224" s="129">
        <f>INDEX('Gross Gen Plant'!$D$7:$AC$91,MATCH($C224,'Gross Gen Plant'!$C$7:$C$91,0),MATCH(Calculation!$G224,'Gross Gen Plant'!$D$5:$AC$5,0))</f>
        <v>75039</v>
      </c>
      <c r="CA224" s="129">
        <f t="shared" si="441"/>
        <v>606654</v>
      </c>
      <c r="CB224" s="129"/>
      <c r="CC224" s="133">
        <v>2019</v>
      </c>
      <c r="CD224" s="129"/>
      <c r="CE224" s="129"/>
      <c r="CF224" s="129"/>
      <c r="CG224" s="137"/>
      <c r="CH224" s="129">
        <f t="shared" si="408"/>
        <v>83804</v>
      </c>
      <c r="CI224" s="46">
        <f t="shared" si="417"/>
        <v>83077.17205823843</v>
      </c>
      <c r="CJ224" s="46">
        <f t="shared" si="409"/>
        <v>107.39877376565833</v>
      </c>
      <c r="CK224" s="443">
        <v>0.7407407407407407</v>
      </c>
      <c r="CL224" s="46">
        <f>CL203*CK224+CJ204*CK223+CJ205*CK222+CJ206*CK221+CJ207*CK220+CJ208*CK219+CJ209*CK218+CJ210*CK217+CJ211*CK216+CJ212*CK215+CJ213*CK214+CJ214*CK213+CJ215*CK212+CJ216*CK211+CJ217*CK210+CJ218*CK209+CJ219*CK208+CJ220*CK207+CJ221*CK206+CJ222*CK205+CJ223*CK204+CJ224</f>
        <v>2134.3722317793081</v>
      </c>
      <c r="CM224" s="134">
        <f t="shared" si="410"/>
        <v>3.487674191539062E-2</v>
      </c>
      <c r="CN224" s="135">
        <f t="shared" si="411"/>
        <v>1.6612516363520426E-2</v>
      </c>
      <c r="CO224" s="135">
        <f t="shared" si="420"/>
        <v>1.6357331300253741E-2</v>
      </c>
      <c r="CP224" s="134">
        <f>VLOOKUP($H224,RoR!$E:$F,2,FALSE)</f>
        <v>3.3875000000000009E-2</v>
      </c>
      <c r="CQ224" s="135">
        <v>1.8092492884465461E-2</v>
      </c>
      <c r="CR224" s="135">
        <f t="shared" si="418"/>
        <v>1.5782507115534548E-2</v>
      </c>
      <c r="CS224" s="135">
        <f t="shared" si="421"/>
        <v>1.4544610308279884E-2</v>
      </c>
      <c r="CT224" s="135">
        <f t="shared" si="422"/>
        <v>4.8445665544254078E-2</v>
      </c>
      <c r="CU224" s="139">
        <f t="shared" si="412"/>
        <v>0.92230000000000001</v>
      </c>
      <c r="CV224" s="335">
        <f t="shared" si="413"/>
        <v>1.513861292459078</v>
      </c>
      <c r="CW224" s="335">
        <f t="shared" si="414"/>
        <v>0.23699261992619944</v>
      </c>
      <c r="CX224" s="335">
        <f t="shared" si="415"/>
        <v>0.73619765810468829</v>
      </c>
      <c r="CY224" s="335">
        <f t="shared" si="416"/>
        <v>0.26412854465362851</v>
      </c>
      <c r="CZ224" s="336">
        <f>INDEX('State Tax Lookup'!$D$7:$Z$91,MATCH(Calculation!$C224,'State Tax Lookup'!$B$7:$B$91,0),MATCH($H224,'State Tax Lookup'!$D$6:$Z$6,0))</f>
        <v>0.20999999999999996</v>
      </c>
      <c r="DA224" s="303">
        <v>0.37</v>
      </c>
      <c r="DB224" s="57">
        <f t="shared" si="419"/>
        <v>13.078426457204007</v>
      </c>
      <c r="DC224" s="56">
        <f t="shared" si="423"/>
        <v>3.4042273061822698E-3</v>
      </c>
      <c r="DD224" s="303">
        <f>VLOOKUP($H224,RoR!$E:$F,2,FALSE)</f>
        <v>3.3875000000000009E-2</v>
      </c>
      <c r="DE224" s="304">
        <f>HLOOKUP($H224,'GDP-PI'!$D$8:$CQ$11,3,FALSE)</f>
        <v>1.8092492884465461E-2</v>
      </c>
      <c r="DF224" s="303">
        <f>VLOOKUP(H224,'HW Dx Data'!$E:$F,2,FALSE)</f>
        <v>773.53929793938721</v>
      </c>
      <c r="DG224" s="89">
        <f ca="1">VLOOKUP(CC224,'ECI - Input Price'!M$13:N$33,2,FALSE)</f>
        <v>149.67500000000001</v>
      </c>
      <c r="DH224" s="89"/>
      <c r="DI224" s="89"/>
      <c r="DJ224" s="56">
        <f t="shared" ca="1" si="431"/>
        <v>3.5532849899171604E-2</v>
      </c>
      <c r="DK224" s="53">
        <f>HLOOKUP(H224,'GDP-PI'!$8:$9,2,FALSE)</f>
        <v>112.318</v>
      </c>
      <c r="DL224" s="355">
        <f t="shared" si="424"/>
        <v>1.7930771451401852E-2</v>
      </c>
      <c r="EC224"/>
    </row>
    <row r="225" spans="1:133" s="126" customFormat="1" ht="21" customHeight="1" x14ac:dyDescent="0.4">
      <c r="A225" s="233" t="s">
        <v>195</v>
      </c>
      <c r="B225" s="126" t="s">
        <v>195</v>
      </c>
      <c r="C225" s="126">
        <v>4057112</v>
      </c>
      <c r="D225" s="126" t="s">
        <v>180</v>
      </c>
      <c r="G225" s="127" t="s">
        <v>176</v>
      </c>
      <c r="H225" s="128">
        <v>2020</v>
      </c>
      <c r="I225" s="129"/>
      <c r="J225" s="125">
        <f>IFERROR(INDEX('Labor Expenditures'!$E$7:$W$91,MATCH($C225,'Labor Expenditures'!$C$7:$C$91,0),MATCH($G225,'Labor Expenditures'!$E$5:$W$5,0)),"NA")</f>
        <v>22975.710343798259</v>
      </c>
      <c r="K225" s="125">
        <f t="shared" ca="1" si="425"/>
        <v>150.02096208813751</v>
      </c>
      <c r="L225" s="47"/>
      <c r="M225" s="131">
        <f t="shared" ca="1" si="432"/>
        <v>-2.0804862948271875E-2</v>
      </c>
      <c r="N225" s="59"/>
      <c r="O225" s="59"/>
      <c r="P225" s="59">
        <f t="shared" ca="1" si="433"/>
        <v>-1.5247658623950041E-4</v>
      </c>
      <c r="Q225" s="61"/>
      <c r="R225" s="387"/>
      <c r="S225" s="49">
        <f t="shared" ca="1" si="438"/>
        <v>115.47261298341263</v>
      </c>
      <c r="T225" s="61">
        <f ca="1">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</f>
        <v>-1.1694021416401103E-2</v>
      </c>
      <c r="U225" s="61"/>
      <c r="V225" s="125">
        <f>IFERROR(INDEX('Non-Labor Expenditures'!$E$7:$AA$91,MATCH($C225,'Non-Labor Expenditures'!$C$7:$C$91,0),MATCH($G225,'Non-Labor Expenditures'!$E$5:$AA$5,0)),"NA")</f>
        <v>33273.119848576374</v>
      </c>
      <c r="W225" s="125">
        <f t="shared" si="426"/>
        <v>292.83789240361875</v>
      </c>
      <c r="X225" s="131">
        <f t="shared" si="434"/>
        <v>-9.4051232122964509E-3</v>
      </c>
      <c r="Y225" s="131">
        <f t="shared" si="435"/>
        <v>-6.8929128931943521E-5</v>
      </c>
      <c r="Z225" s="131"/>
      <c r="AA225" s="131"/>
      <c r="AB225" s="131"/>
      <c r="AC225" s="125">
        <f t="shared" si="404"/>
        <v>28781.671891317583</v>
      </c>
      <c r="AD225" s="129"/>
      <c r="AE225" s="133">
        <v>2453.0825467650834</v>
      </c>
      <c r="AF225" s="134">
        <v>4.3168815730944679E-2</v>
      </c>
      <c r="AG225" s="59">
        <f t="shared" si="427"/>
        <v>3.163795729403366E-4</v>
      </c>
      <c r="AH225" s="134"/>
      <c r="AI225" s="134"/>
      <c r="AJ225" s="129">
        <f t="shared" si="444"/>
        <v>85030.502083692219</v>
      </c>
      <c r="AK225" s="134">
        <f t="shared" si="436"/>
        <v>2.3137854257852343E-2</v>
      </c>
      <c r="AL225" s="129"/>
      <c r="AM225" s="129"/>
      <c r="AN225" s="129"/>
      <c r="AO225" s="129"/>
      <c r="AP225" s="133">
        <f t="shared" si="437"/>
        <v>282.65863788691138</v>
      </c>
      <c r="AQ225" s="134">
        <f>+BB225/Outputs!$B$28</f>
        <v>7.9303582398508408E-3</v>
      </c>
      <c r="AR225" s="93">
        <f t="shared" si="428"/>
        <v>0.27020551191364434</v>
      </c>
      <c r="AS225" s="93">
        <f t="shared" si="429"/>
        <v>0.39130804867913088</v>
      </c>
      <c r="AT225" s="93">
        <f t="shared" si="430"/>
        <v>0.33848643940722473</v>
      </c>
      <c r="AU225" s="93">
        <f t="shared" ca="1" si="439"/>
        <v>-9.4005496567615594E-3</v>
      </c>
      <c r="AV225" s="132">
        <f t="shared" ca="1" si="442"/>
        <v>108.35205847763476</v>
      </c>
      <c r="AW225" s="134">
        <f t="shared" ca="1" si="443"/>
        <v>-9.4005496567615837E-3</v>
      </c>
      <c r="AX225" s="56">
        <f>+AJ225/$AL$25</f>
        <v>7.3288916451221152E-3</v>
      </c>
      <c r="AY225" s="135">
        <f t="shared" ca="1" si="440"/>
        <v>-6.8895609838995543E-5</v>
      </c>
      <c r="AZ225" s="93"/>
      <c r="BA225" s="93"/>
      <c r="BB225" s="234">
        <f>IFERROR(INDEX('Total Customers'!$E$7:$AA$91,MATCH($C225,'Total Customers'!$C$7:$C$91,0),MATCH($G225,'Total Customers'!$E$5:$AA$5,0)),"NA")</f>
        <v>300824</v>
      </c>
      <c r="BC225" s="411">
        <f t="shared" si="400"/>
        <v>1.9502563286034353E-2</v>
      </c>
      <c r="BD225" s="92"/>
      <c r="BE225" s="281" t="str">
        <f t="shared" si="396"/>
        <v>CASCADE NATURAL GAS CORPORATION</v>
      </c>
      <c r="BF225" s="290">
        <f t="shared" si="397"/>
        <v>4057112</v>
      </c>
      <c r="BG225" s="46" t="str">
        <f t="shared" si="398"/>
        <v>WA</v>
      </c>
      <c r="BH225" s="46"/>
      <c r="BI225" s="46" t="str">
        <f t="shared" si="399"/>
        <v>2020 Y</v>
      </c>
      <c r="BJ225" s="129"/>
      <c r="BK225" s="129"/>
      <c r="BL225" s="129">
        <f>INDEX('Dist. Plant Gas Additions'!$E$7:$AD$91,MATCH($C225,'Dist. Plant Gas Additions'!$C$7:$C$91,0),MATCH(Calculation!$G225,'Dist. Plant Gas Additions'!$E$5:$AD$5,0))</f>
        <v>96416</v>
      </c>
      <c r="BM225" s="129">
        <f>INDEX('Gen. Plant Additions'!$E$7:$AD$91,MATCH($C225,'Gen. Plant Additions'!$C$7:$C$91,0),MATCH(Calculation!$G225,'Gen. Plant Additions'!$E$5:$AD$5,0))</f>
        <v>6240</v>
      </c>
      <c r="BN225" s="393">
        <f t="shared" si="405"/>
        <v>0.93357129064336086</v>
      </c>
      <c r="BO225" s="46">
        <f t="shared" si="445"/>
        <v>5825.4848536145719</v>
      </c>
      <c r="BP225" s="46">
        <f t="shared" si="446"/>
        <v>-414.51514638542812</v>
      </c>
      <c r="BQ225" s="129">
        <f>INDEX('Dist Plant Depreciation'!$D$7:$AC$94,MATCH($C225,'Dist Plant Depreciation'!$C$7:$C$94,0),MATCH(Calculation!$G225,'Dist Plant Depreciation'!$D$5:$AC$5,0))</f>
        <v>464076</v>
      </c>
      <c r="BR225" s="129">
        <f>INDEX('Gen. Plant Depreciation'!$D$7:$AC$94,MATCH($C225,'Gen. Plant Depreciation'!$C$7:$C$94,0),MATCH(Calculation!$G225,'Gen. Plant Depreciation'!$D$5:$AC$5,0))</f>
        <v>31306</v>
      </c>
      <c r="BS225" s="129"/>
      <c r="BT225" s="129"/>
      <c r="BU225" s="129"/>
      <c r="BV225" s="129"/>
      <c r="BW225" s="129"/>
      <c r="BX225" s="129"/>
      <c r="BY225" s="129">
        <f>INDEX('Gross Dx Plant'!$D$7:$AC$91,MATCH($C225,'Gross Dx Plant'!$C$7:$C$91,0),MATCH(Calculation!$G225,'Gross Dx Plant'!$D$5:$AC$5,0))</f>
        <v>1097470</v>
      </c>
      <c r="BZ225" s="129">
        <f>INDEX('Gross Gen Plant'!$D$7:$AC$91,MATCH($C225,'Gross Gen Plant'!$C$7:$C$91,0),MATCH(Calculation!$G225,'Gross Gen Plant'!$D$5:$AC$5,0))</f>
        <v>78091</v>
      </c>
      <c r="CA225" s="129">
        <f t="shared" si="441"/>
        <v>680179</v>
      </c>
      <c r="CB225" s="129"/>
      <c r="CC225" s="133">
        <v>2020</v>
      </c>
      <c r="CD225" s="129"/>
      <c r="CE225" s="129"/>
      <c r="CF225" s="129"/>
      <c r="CG225" s="137"/>
      <c r="CH225" s="129">
        <f t="shared" si="408"/>
        <v>102656</v>
      </c>
      <c r="CI225" s="46">
        <f t="shared" si="417"/>
        <v>102241.48485361457</v>
      </c>
      <c r="CJ225" s="46">
        <f t="shared" si="409"/>
        <v>125.74588530659319</v>
      </c>
      <c r="CK225" s="443">
        <v>0.72499999999999998</v>
      </c>
      <c r="CL225" s="46">
        <f>CL203*CK225+CJ204*CK224+CJ205*CK223+CJ206*CK222+CJ207*CK221+CJ208*CK220+CJ209*CK219+CJ210*CK218+CJ211*CK217+CJ212*CK216+CJ213*CK215+CJ214*CK214+CJ215*CK213+CJ216*CK212+CJ217*CK211+CJ218*CK210+CJ219*CK209+CJ220*CK208+CJ221*CK207+CJ222*CK206+CJ223*CK205+CJ224*CK204+CJ225</f>
        <v>2223.9968869991635</v>
      </c>
      <c r="CM225" s="134">
        <f t="shared" si="410"/>
        <v>4.1133409850750632E-2</v>
      </c>
      <c r="CN225" s="135">
        <f t="shared" si="411"/>
        <v>1.6923585093976561E-2</v>
      </c>
      <c r="CO225" s="135">
        <f t="shared" si="420"/>
        <v>1.6640563755881212E-2</v>
      </c>
      <c r="CP225" s="134">
        <f>VLOOKUP($H225,RoR!$E:$F,2,FALSE)</f>
        <v>2.4766666666666666E-2</v>
      </c>
      <c r="CQ225" s="135">
        <v>1.1618796630994188E-2</v>
      </c>
      <c r="CR225" s="135">
        <f t="shared" si="418"/>
        <v>1.3147870035672478E-2</v>
      </c>
      <c r="CS225" s="135">
        <f t="shared" si="421"/>
        <v>1.4261377852652413E-2</v>
      </c>
      <c r="CT225" s="135">
        <f t="shared" si="422"/>
        <v>4.5144642961987357E-2</v>
      </c>
      <c r="CU225" s="139">
        <f t="shared" si="412"/>
        <v>0.92230000000000001</v>
      </c>
      <c r="CV225" s="335">
        <f t="shared" si="413"/>
        <v>2.0706077233668081</v>
      </c>
      <c r="CW225" s="335">
        <f t="shared" si="414"/>
        <v>-3.4421265141318998E-2</v>
      </c>
      <c r="CX225" s="335">
        <f t="shared" si="415"/>
        <v>0.62416226176410472</v>
      </c>
      <c r="CY225" s="335">
        <f t="shared" si="416"/>
        <v>-4.4485877841158712E-2</v>
      </c>
      <c r="CZ225" s="336">
        <f>INDEX('State Tax Lookup'!$D$7:$Z$91,MATCH(Calculation!$C225,'State Tax Lookup'!$B$7:$B$91,0),MATCH($H225,'State Tax Lookup'!$D$6:$Z$6,0))</f>
        <v>0.20999999999999996</v>
      </c>
      <c r="DA225" s="303">
        <v>0.37</v>
      </c>
      <c r="DB225" s="57">
        <f t="shared" si="419"/>
        <v>13.484841801621405</v>
      </c>
      <c r="DC225" s="56">
        <f t="shared" si="423"/>
        <v>3.0602187734287283E-2</v>
      </c>
      <c r="DD225" s="303">
        <f>VLOOKUP($H225,RoR!$E:$F,2,FALSE)</f>
        <v>2.4766666666666666E-2</v>
      </c>
      <c r="DE225" s="304">
        <f>HLOOKUP($H225,'GDP-PI'!$D$8:$CQ$11,3,FALSE)</f>
        <v>1.1618796630994188E-2</v>
      </c>
      <c r="DF225" s="303">
        <f>VLOOKUP(H225,'HW Dx Data'!$E:$F,2,FALSE)</f>
        <v>813.080162458833</v>
      </c>
      <c r="DG225" s="89">
        <f ca="1">VLOOKUP(CC225,'ECI - Input Price'!M$13:N$33,2,FALSE)</f>
        <v>153.15</v>
      </c>
      <c r="DH225" s="89"/>
      <c r="DI225" s="89"/>
      <c r="DJ225" s="56">
        <f t="shared" ca="1" si="431"/>
        <v>2.2951556467368479E-2</v>
      </c>
      <c r="DK225" s="53">
        <f>HLOOKUP(H225,'GDP-PI'!$8:$9,2,FALSE)</f>
        <v>113.623</v>
      </c>
      <c r="DL225" s="355">
        <f t="shared" si="424"/>
        <v>1.1551816731392881E-2</v>
      </c>
      <c r="EC225"/>
    </row>
    <row r="226" spans="1:133" s="126" customFormat="1" ht="21" customHeight="1" x14ac:dyDescent="0.4">
      <c r="A226" s="233" t="s">
        <v>195</v>
      </c>
      <c r="B226" s="126" t="s">
        <v>195</v>
      </c>
      <c r="C226" s="126">
        <v>4057112</v>
      </c>
      <c r="D226" s="126" t="s">
        <v>180</v>
      </c>
      <c r="G226" s="127" t="s">
        <v>177</v>
      </c>
      <c r="H226" s="128">
        <v>2021</v>
      </c>
      <c r="I226" s="129"/>
      <c r="J226" s="125">
        <v>24247.879940624462</v>
      </c>
      <c r="K226" s="125">
        <f t="shared" ca="1" si="425"/>
        <v>154.19955447137971</v>
      </c>
      <c r="L226" s="47"/>
      <c r="M226" s="130">
        <f t="shared" ca="1" si="432"/>
        <v>2.7472540247623883E-2</v>
      </c>
      <c r="N226" s="59"/>
      <c r="O226" s="59"/>
      <c r="P226" s="59">
        <f t="shared" ca="1" si="433"/>
        <v>2.1087356794833478E-4</v>
      </c>
      <c r="Q226" s="61"/>
      <c r="R226" s="387"/>
      <c r="S226" s="132">
        <f ca="1">+S225*EXP(T226)</f>
        <v>120.96350678981464</v>
      </c>
      <c r="T226" s="134">
        <f ca="1">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</f>
        <v>4.6455518510463874E-2</v>
      </c>
      <c r="U226" s="134"/>
      <c r="V226" s="125">
        <v>34180.746422326047</v>
      </c>
      <c r="W226" s="125">
        <f t="shared" si="426"/>
        <v>288.46946090240567</v>
      </c>
      <c r="X226" s="131">
        <f t="shared" si="434"/>
        <v>-1.5029962073228062E-2</v>
      </c>
      <c r="Y226" s="131">
        <f t="shared" si="435"/>
        <v>-1.1536689727058923E-4</v>
      </c>
      <c r="Z226" s="131"/>
      <c r="AA226" s="131"/>
      <c r="AB226" s="131"/>
      <c r="AC226" s="125">
        <f t="shared" si="404"/>
        <v>40168.295540530744</v>
      </c>
      <c r="AD226" s="129"/>
      <c r="AE226" s="133">
        <v>2516.6615436114989</v>
      </c>
      <c r="AF226" s="134"/>
      <c r="AG226" s="59">
        <f t="shared" si="427"/>
        <v>0</v>
      </c>
      <c r="AH226" s="134"/>
      <c r="AI226" s="134"/>
      <c r="AJ226" s="129">
        <f t="shared" si="444"/>
        <v>98596.921903481256</v>
      </c>
      <c r="AK226" s="134">
        <f t="shared" si="436"/>
        <v>0.14803000294067151</v>
      </c>
      <c r="AL226" s="129"/>
      <c r="AM226" s="134"/>
      <c r="AN226" s="134"/>
      <c r="AO226" s="134"/>
      <c r="AP226" s="133">
        <f t="shared" si="437"/>
        <v>321.55014807253451</v>
      </c>
      <c r="AQ226" s="134">
        <f>+BB226/Outputs!$B$29</f>
        <v>7.9424910927158691E-3</v>
      </c>
      <c r="AR226" s="93">
        <f t="shared" si="428"/>
        <v>0.24592938067946235</v>
      </c>
      <c r="AS226" s="93">
        <f t="shared" si="429"/>
        <v>0.34667153662044692</v>
      </c>
      <c r="AT226" s="93">
        <f t="shared" si="430"/>
        <v>0.40739908270009068</v>
      </c>
      <c r="AU226" s="93">
        <f t="shared" ca="1" si="439"/>
        <v>1.5438657160489625E-3</v>
      </c>
      <c r="AV226" s="132">
        <f t="shared" ca="1" si="442"/>
        <v>108.51946870218265</v>
      </c>
      <c r="AW226" s="134">
        <f t="shared" ca="1" si="443"/>
        <v>1.5438657160489712E-3</v>
      </c>
      <c r="AX226" s="56">
        <f>+AJ226/$AL$26</f>
        <v>7.67579430397134E-3</v>
      </c>
      <c r="AY226" s="135">
        <f t="shared" ca="1" si="440"/>
        <v>1.1850395669345327E-5</v>
      </c>
      <c r="AZ226" s="93"/>
      <c r="BA226" s="93"/>
      <c r="BB226" s="234">
        <f>INDEX('Total Customers'!$D$7:$D$91,MATCH(Calculation!$C226,'Total Customers'!$C$7:$C$91,0))</f>
        <v>306630</v>
      </c>
      <c r="BC226" s="411">
        <f t="shared" si="400"/>
        <v>1.9116432882199323E-2</v>
      </c>
      <c r="BD226" s="91"/>
      <c r="BE226" s="281" t="str">
        <f t="shared" si="396"/>
        <v>CASCADE NATURAL GAS CORPORATION</v>
      </c>
      <c r="BF226" s="290">
        <f t="shared" si="397"/>
        <v>4057112</v>
      </c>
      <c r="BG226" s="46" t="str">
        <f t="shared" si="398"/>
        <v>WA</v>
      </c>
      <c r="BH226" s="46"/>
      <c r="BI226" s="46" t="str">
        <f t="shared" si="399"/>
        <v>2021 Y</v>
      </c>
      <c r="BJ226" s="129"/>
      <c r="BK226" s="129"/>
      <c r="BL226" s="129">
        <f>INDEX('Dist. Plant Gas Additions'!$D$7:$AD$91,MATCH($C226,'Dist. Plant Gas Additions'!$C$7:$C$91,0),MATCH(Calculation!$G226,'Dist. Plant Gas Additions'!$D$5:$AD$5,0))</f>
        <v>56437</v>
      </c>
      <c r="BM226" s="129">
        <f>INDEX('Gen. Plant Additions'!$D$7:$AD$91,MATCH($C226,'Gen. Plant Additions'!$C$7:$C$91,0),MATCH(Calculation!$G226,'Gen. Plant Additions'!$D$5:$AD$5,0))</f>
        <v>8105</v>
      </c>
      <c r="BN226" s="343">
        <v>0.93357129064336086</v>
      </c>
      <c r="BO226" s="46">
        <f t="shared" si="445"/>
        <v>7566.5953106644401</v>
      </c>
      <c r="BP226" s="46">
        <f t="shared" si="446"/>
        <v>-538.40468933555985</v>
      </c>
      <c r="BQ226" s="129"/>
      <c r="BR226" s="129"/>
      <c r="BS226" s="137"/>
      <c r="BT226" s="137"/>
      <c r="BU226" s="333"/>
      <c r="BV226" s="93"/>
      <c r="BW226" s="334"/>
      <c r="BX226" s="334"/>
      <c r="BY226" s="129"/>
      <c r="BZ226" s="129"/>
      <c r="CA226" s="129"/>
      <c r="CB226" s="129"/>
      <c r="CC226" s="133">
        <v>2021</v>
      </c>
      <c r="CD226" s="129"/>
      <c r="CE226" s="129"/>
      <c r="CF226" s="129"/>
      <c r="CG226" s="137"/>
      <c r="CH226" s="129">
        <f t="shared" si="408"/>
        <v>64542</v>
      </c>
      <c r="CI226" s="46">
        <f t="shared" si="417"/>
        <v>64003.595310664437</v>
      </c>
      <c r="CJ226" s="46">
        <f t="shared" si="409"/>
        <v>68.598126373589537</v>
      </c>
      <c r="CK226" s="443">
        <v>0.70886075949367089</v>
      </c>
      <c r="CL226" s="129">
        <f>CL203*CK226+CJ204*CK225+CJ205*CK224+CJ206*CK223+CJ207*CK222+CJ208*CK221+CJ209*CK220+CJ210*CK219+CJ211*CK218+CJ212*CK217+CJ213*CK216+CJ214*CK215+CJ215*CK214+CJ216*CK213+CJ217*CK212+CJ208*CK211+CJ219*CK210+CJ220*CK209+CJ221*CK208+CJ222*CK207+CJ223*CK206+CJ224*CK205+CJ226+CJ225*CK204</f>
        <v>2272.1618946830285</v>
      </c>
      <c r="CM226" s="134"/>
      <c r="CN226" s="135">
        <f t="shared" si="411"/>
        <v>9.1875662277993916E-3</v>
      </c>
      <c r="CO226" s="135">
        <f t="shared" si="420"/>
        <v>1.424122256176546E-2</v>
      </c>
      <c r="CP226" s="134">
        <f>VLOOKUP($H226,RoR!$E:$F,2,FALSE)</f>
        <v>2.7033333333333336E-2</v>
      </c>
      <c r="CQ226" s="135"/>
      <c r="CR226" s="135"/>
      <c r="CS226" s="135">
        <f t="shared" si="421"/>
        <v>1.6660719046768163E-2</v>
      </c>
      <c r="CT226" s="135">
        <f t="shared" si="422"/>
        <v>7.433422950153494E-2</v>
      </c>
      <c r="CU226" s="139">
        <f t="shared" si="412"/>
        <v>0.92230000000000001</v>
      </c>
      <c r="CV226" s="335">
        <f t="shared" si="413"/>
        <v>1.8969932656739068</v>
      </c>
      <c r="CW226" s="335">
        <f t="shared" si="414"/>
        <v>5.0215782983970621E-2</v>
      </c>
      <c r="CX226" s="335">
        <f t="shared" si="415"/>
        <v>0.655952481704143</v>
      </c>
      <c r="CY226" s="335">
        <f t="shared" si="416"/>
        <v>6.2485378865697057E-2</v>
      </c>
      <c r="CZ226" s="336">
        <f>CZ225</f>
        <v>0.20999999999999996</v>
      </c>
      <c r="DA226" s="303">
        <v>0.37</v>
      </c>
      <c r="DB226" s="141">
        <f t="shared" si="419"/>
        <v>18.061309247033066</v>
      </c>
      <c r="DC226" s="135">
        <f t="shared" si="423"/>
        <v>0.29220581457033495</v>
      </c>
      <c r="DD226" s="336">
        <f>VLOOKUP($H226,RoR!$E:$F,2,FALSE)</f>
        <v>2.7033333333333336E-2</v>
      </c>
      <c r="DE226" s="342">
        <f>HLOOKUP($H226,'GDP-PI'!$D$8:$CR$11,3,FALSE)</f>
        <v>4.2834637353352578E-2</v>
      </c>
      <c r="DF226" s="336">
        <f>VLOOKUP(H226,'HW Dx Data'!$E:$F,2,FALSE)</f>
        <v>933.02249921662576</v>
      </c>
      <c r="DG226" s="89">
        <f ca="1">VLOOKUP(CC226,'ECI - Input Price'!M$13:N$33,2,FALSE)</f>
        <v>157.25</v>
      </c>
      <c r="DH226" s="89"/>
      <c r="DI226" s="89"/>
      <c r="DJ226" s="135">
        <f t="shared" ca="1" si="431"/>
        <v>2.6419062301765574E-2</v>
      </c>
      <c r="DK226" s="137">
        <f>HLOOKUP(H226,'GDP-PI'!$8:$9,2,FALSE)</f>
        <v>118.49</v>
      </c>
      <c r="DL226" s="356">
        <f t="shared" si="424"/>
        <v>4.194261824609434E-2</v>
      </c>
      <c r="EC226"/>
    </row>
    <row r="227" spans="1:133" s="126" customFormat="1" ht="21" customHeight="1" thickBot="1" x14ac:dyDescent="0.45">
      <c r="A227" s="235"/>
      <c r="B227" s="236"/>
      <c r="C227" s="236"/>
      <c r="D227" s="236"/>
      <c r="E227" s="236"/>
      <c r="F227" s="236"/>
      <c r="G227" s="237" t="s">
        <v>178</v>
      </c>
      <c r="H227" s="238"/>
      <c r="I227" s="239"/>
      <c r="J227" s="240">
        <v>25741.118060669603</v>
      </c>
      <c r="K227" s="240">
        <f t="shared" ca="1" si="425"/>
        <v>158.358154787263</v>
      </c>
      <c r="L227" s="47"/>
      <c r="M227" s="241">
        <f t="shared" ref="M227" ca="1" si="447">LN(K227/K226)</f>
        <v>2.6611698322916082E-2</v>
      </c>
      <c r="N227" s="59"/>
      <c r="O227" s="59"/>
      <c r="P227" s="242">
        <f t="shared" ca="1" si="433"/>
        <v>1.997736159858682E-4</v>
      </c>
      <c r="Q227" s="61"/>
      <c r="R227" s="387"/>
      <c r="S227" s="206">
        <f ca="1">+S226*EXP(T227)</f>
        <v>120.99422774215523</v>
      </c>
      <c r="T227" s="243">
        <f ca="1">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</f>
        <v>2.5393651965769916E-4</v>
      </c>
      <c r="U227" s="243"/>
      <c r="V227" s="239">
        <v>36285.672446968005</v>
      </c>
      <c r="W227" s="240">
        <f t="shared" si="426"/>
        <v>285.15263219621221</v>
      </c>
      <c r="X227" s="244">
        <f t="shared" ref="X227" si="448">LN(W227/W226)</f>
        <v>-1.1564637109702699E-2</v>
      </c>
      <c r="Y227" s="244">
        <f t="shared" si="435"/>
        <v>-8.681555551004408E-5</v>
      </c>
      <c r="Z227" s="206"/>
      <c r="AA227" s="243"/>
      <c r="AB227" s="243"/>
      <c r="AC227" s="240">
        <f t="shared" si="404"/>
        <v>37310.302473480893</v>
      </c>
      <c r="AD227" s="244">
        <f>LN(AC227/AC226)</f>
        <v>-7.380852208129865E-2</v>
      </c>
      <c r="AE227" s="245">
        <v>2535.1676235999753</v>
      </c>
      <c r="AF227" s="243">
        <v>7.3265196254558304E-3</v>
      </c>
      <c r="AG227" s="242">
        <f t="shared" si="427"/>
        <v>5.5000071788291466E-5</v>
      </c>
      <c r="AH227" s="206"/>
      <c r="AI227" s="243"/>
      <c r="AJ227" s="239">
        <f t="shared" si="444"/>
        <v>99337.092981118505</v>
      </c>
      <c r="AK227" s="243">
        <f t="shared" si="436"/>
        <v>7.4790028203875827E-3</v>
      </c>
      <c r="AL227" s="239"/>
      <c r="AM227" s="243"/>
      <c r="AN227" s="243"/>
      <c r="AO227" s="243"/>
      <c r="AP227" s="245">
        <f t="shared" si="437"/>
        <v>319.31946697456846</v>
      </c>
      <c r="AQ227" s="243"/>
      <c r="AR227" s="207">
        <f t="shared" si="428"/>
        <v>0.2591289647016583</v>
      </c>
      <c r="AS227" s="207">
        <f t="shared" si="429"/>
        <v>0.36527817915775934</v>
      </c>
      <c r="AT227" s="207">
        <f t="shared" si="430"/>
        <v>0.37559285614058235</v>
      </c>
      <c r="AU227" s="207"/>
      <c r="AV227" s="206"/>
      <c r="AW227" s="243"/>
      <c r="AX227" s="248">
        <f>+AJ227/$AL$27</f>
        <v>7.5069848440990905E-3</v>
      </c>
      <c r="AY227" s="249"/>
      <c r="AZ227" s="206"/>
      <c r="BA227" s="243"/>
      <c r="BB227" s="250">
        <v>311090</v>
      </c>
      <c r="BC227" s="412">
        <f t="shared" si="400"/>
        <v>1.4440450372724213E-2</v>
      </c>
      <c r="BD227" s="91"/>
      <c r="BE227" s="401">
        <f t="shared" si="396"/>
        <v>0</v>
      </c>
      <c r="BF227" s="402">
        <f t="shared" si="397"/>
        <v>0</v>
      </c>
      <c r="BG227" s="313">
        <f t="shared" si="398"/>
        <v>0</v>
      </c>
      <c r="BH227" s="313"/>
      <c r="BI227" s="313" t="str">
        <f t="shared" si="399"/>
        <v>2022Y</v>
      </c>
      <c r="BJ227" s="239"/>
      <c r="BK227" s="239"/>
      <c r="BL227" s="239"/>
      <c r="BM227" s="239"/>
      <c r="BN227" s="337">
        <v>0.93357129064336086</v>
      </c>
      <c r="BO227" s="313">
        <f t="shared" si="445"/>
        <v>0</v>
      </c>
      <c r="BP227" s="313">
        <f t="shared" si="446"/>
        <v>0</v>
      </c>
      <c r="BQ227" s="239"/>
      <c r="BR227" s="239"/>
      <c r="BS227" s="310"/>
      <c r="BT227" s="310"/>
      <c r="BU227" s="311"/>
      <c r="BV227" s="207"/>
      <c r="BW227" s="312"/>
      <c r="BX227" s="312"/>
      <c r="BY227" s="239"/>
      <c r="BZ227" s="239"/>
      <c r="CA227" s="239"/>
      <c r="CB227" s="239"/>
      <c r="CC227" s="245">
        <v>2022</v>
      </c>
      <c r="CD227" s="239"/>
      <c r="CE227" s="239"/>
      <c r="CF227" s="239"/>
      <c r="CG227" s="310"/>
      <c r="CH227" s="239">
        <v>85707</v>
      </c>
      <c r="CI227" s="313">
        <f t="shared" si="417"/>
        <v>85707</v>
      </c>
      <c r="CJ227" s="313">
        <f t="shared" si="409"/>
        <v>83.145293507047853</v>
      </c>
      <c r="CK227" s="443">
        <v>0.69230769230769229</v>
      </c>
      <c r="CL227" s="239">
        <f>+CL203*CK227+CJ204*CK226+CJ205*CK225+CJ206*CK224+CJ207*CK223+CJ208*CK222+CJ209*CK221+CJ210*CK220+CJ211*CK219+CJ212*CK218+CJ213*CK217+CJ214*CK216+CJ215*CK215+CJ216*CK214+CJ217*CK213+CJ218*CK212+CJ219*CK211+CJ220*CK210+CJ221*CK209+CJ222*CK208+CJ223*CK207+CJ224*CK206+CJ225*CK205+CJ226*CK204+CJ227*CK203</f>
        <v>2297.6714464540169</v>
      </c>
      <c r="CM227" s="243">
        <f t="shared" ref="CM227" si="449">LN(CL227/CL226)</f>
        <v>1.1164440729197799E-2</v>
      </c>
      <c r="CN227" s="249">
        <f t="shared" si="411"/>
        <v>2.5366036579932985E-2</v>
      </c>
      <c r="CO227" s="249">
        <f t="shared" ref="CO227" si="450">+(CN227+CN226+CN225)/3</f>
        <v>1.7159062633902978E-2</v>
      </c>
      <c r="CP227" s="243"/>
      <c r="CQ227" s="249"/>
      <c r="CR227" s="249"/>
      <c r="CS227" s="248">
        <f t="shared" si="421"/>
        <v>1.3742878974630647E-2</v>
      </c>
      <c r="CT227" s="249">
        <f t="shared" si="422"/>
        <v>0.10114668178709289</v>
      </c>
      <c r="CU227" s="314">
        <f t="shared" si="412"/>
        <v>0.92230000000000001</v>
      </c>
      <c r="CV227" s="315"/>
      <c r="CW227" s="315"/>
      <c r="CX227" s="315"/>
      <c r="CY227" s="315"/>
      <c r="CZ227" s="316">
        <f>CZ226</f>
        <v>0.20999999999999996</v>
      </c>
      <c r="DA227" s="360">
        <v>0.37</v>
      </c>
      <c r="DB227" s="318">
        <f t="shared" si="419"/>
        <v>16.420617985359605</v>
      </c>
      <c r="DC227" s="249">
        <f t="shared" si="423"/>
        <v>-9.5234300207418535E-2</v>
      </c>
      <c r="DD227" s="316">
        <v>0.04</v>
      </c>
      <c r="DE227" s="319">
        <v>7.0000000000000001E-3</v>
      </c>
      <c r="DF227" s="316">
        <v>1030.81</v>
      </c>
      <c r="DG227" s="89">
        <f ca="1">VLOOKUP(CC227,'ECI - Input Price'!M$13:N$33,2,FALSE)</f>
        <v>162.55000000000001</v>
      </c>
      <c r="DH227" s="89"/>
      <c r="DI227" s="89"/>
      <c r="DJ227" s="249">
        <f t="shared" ca="1" si="431"/>
        <v>3.3148751169364422E-2</v>
      </c>
      <c r="DK227" s="310">
        <v>127.25</v>
      </c>
      <c r="DL227" s="357">
        <f t="shared" si="424"/>
        <v>7.1325086601983473E-2</v>
      </c>
      <c r="EC227"/>
    </row>
    <row r="228" spans="1:133" s="126" customFormat="1" ht="21" customHeight="1" x14ac:dyDescent="0.4">
      <c r="A228" s="251" t="s">
        <v>196</v>
      </c>
      <c r="B228" s="252" t="s">
        <v>196</v>
      </c>
      <c r="C228" s="252">
        <v>4057076</v>
      </c>
      <c r="D228" s="252" t="s">
        <v>194</v>
      </c>
      <c r="E228" s="252" t="s">
        <v>15</v>
      </c>
      <c r="F228" s="252"/>
      <c r="G228" s="252" t="s">
        <v>150</v>
      </c>
      <c r="H228" s="253">
        <v>1998</v>
      </c>
      <c r="I228" s="254"/>
      <c r="J228" s="255"/>
      <c r="K228" s="255"/>
      <c r="L228" s="47"/>
      <c r="M228" s="255"/>
      <c r="N228" s="255"/>
      <c r="O228" s="255"/>
      <c r="P228" s="219"/>
      <c r="Q228" s="218"/>
      <c r="R228" s="385"/>
      <c r="S228" s="257"/>
      <c r="T228" s="258"/>
      <c r="U228" s="258"/>
      <c r="V228" s="259"/>
      <c r="W228" s="259"/>
      <c r="X228" s="259"/>
      <c r="Y228" s="255"/>
      <c r="Z228" s="259"/>
      <c r="AA228" s="259"/>
      <c r="AB228" s="259"/>
      <c r="AC228" s="255"/>
      <c r="AD228" s="254"/>
      <c r="AE228" s="260">
        <v>409.45979493697843</v>
      </c>
      <c r="AF228" s="256"/>
      <c r="AG228" s="225"/>
      <c r="AH228" s="256"/>
      <c r="AI228" s="256"/>
      <c r="AJ228" s="254">
        <f t="shared" si="444"/>
        <v>0</v>
      </c>
      <c r="AK228" s="254"/>
      <c r="AL228" s="254"/>
      <c r="AM228" s="256"/>
      <c r="AN228" s="256"/>
      <c r="AO228" s="256"/>
      <c r="AP228" s="226">
        <f>+(AP225+AP226+AP227)/3</f>
        <v>307.84275097800474</v>
      </c>
      <c r="AQ228" s="256"/>
      <c r="AR228" s="261"/>
      <c r="AS228" s="261"/>
      <c r="AT228" s="261"/>
      <c r="AU228" s="261"/>
      <c r="AV228" s="261"/>
      <c r="AW228" s="256">
        <f ca="1">AVERAGE(AW237:AW251)</f>
        <v>3.3281053532726597E-2</v>
      </c>
      <c r="AX228" s="223"/>
      <c r="AY228" s="261"/>
      <c r="AZ228" s="261"/>
      <c r="BA228" s="261"/>
      <c r="BB228" s="262">
        <f>IFERROR(INDEX('Total Customers'!$E$7:$AA$91,MATCH($C228,'Total Customers'!$C$7:$C$91,0),MATCH($G228,'Total Customers'!$E$5:$AA$5,0)),"NA")</f>
        <v>62104</v>
      </c>
      <c r="BC228" s="413"/>
      <c r="BD228" s="92"/>
      <c r="BE228" s="407" t="str">
        <f t="shared" si="396"/>
        <v>CENTRAL HUDSON GAS &amp; ELECTRIC CORPORATION</v>
      </c>
      <c r="BF228" s="408">
        <f t="shared" si="397"/>
        <v>4057076</v>
      </c>
      <c r="BG228" s="218" t="str">
        <f t="shared" si="398"/>
        <v>NY</v>
      </c>
      <c r="BH228" s="218"/>
      <c r="BI228" s="218" t="str">
        <f t="shared" si="399"/>
        <v>1998 Y</v>
      </c>
      <c r="BJ228" s="254">
        <f>INDEX('Gross Dx Plant'!$D$7:$AC$91,MATCH($C228,'Gross Dx Plant'!$C$7:$C$91,0),MATCH(Calculation!$G228,'Gross Dx Plant'!$D$5:$AC$5,0))</f>
        <v>115543</v>
      </c>
      <c r="BK228" s="254">
        <f>INDEX('Gross Gen Plant'!$D$7:$AC$91,MATCH($C228,'Gross Gen Plant'!$C$7:$C$91,0),MATCH(Calculation!$G228,'Gross Gen Plant'!$D$5:$AC$5,0))</f>
        <v>0</v>
      </c>
      <c r="BL228" s="254">
        <f>INDEX('Dist. Plant Gas Additions'!$E$7:$AD$91,MATCH($C228,'Dist. Plant Gas Additions'!$C$7:$C$91,0),MATCH(Calculation!$G228,'Dist. Plant Gas Additions'!$E$5:$AD$5,0))</f>
        <v>7337</v>
      </c>
      <c r="BM228" s="254">
        <f>INDEX('Gen. Plant Additions'!$E$7:$AD$91,MATCH($C228,'Gen. Plant Additions'!$C$7:$C$91,0),MATCH(Calculation!$G228,'Gen. Plant Additions'!$E$5:$AD$5,0))</f>
        <v>0</v>
      </c>
      <c r="BN228" s="409">
        <f>+(BY228/(BY228+BZ228))</f>
        <v>1</v>
      </c>
      <c r="BO228" s="218">
        <f t="shared" si="445"/>
        <v>0</v>
      </c>
      <c r="BP228" s="218">
        <f t="shared" si="446"/>
        <v>0</v>
      </c>
      <c r="BQ228" s="254">
        <f>INDEX('Dist Plant Depreciation'!$D$7:$AC$94,MATCH($C228,'Dist Plant Depreciation'!$C$7:$C$94,0),MATCH(Calculation!$G228,'Dist Plant Depreciation'!$D$5:$AC$5,0))</f>
        <v>32003</v>
      </c>
      <c r="BR228" s="254">
        <f>INDEX('Gen. Plant Depreciation'!$D$7:$AC$94,MATCH($C228,'Gen. Plant Depreciation'!$C$7:$C$94,0),MATCH(Calculation!$G228,'Gen. Plant Depreciation'!$D$5:$AC$5,0))</f>
        <v>944</v>
      </c>
      <c r="BS228" s="254"/>
      <c r="BT228" s="254"/>
      <c r="BU228" s="254"/>
      <c r="BV228" s="254"/>
      <c r="BW228" s="254"/>
      <c r="BX228" s="254"/>
      <c r="BY228" s="254">
        <f>INDEX('Gross Dx Plant'!$D$7:$AC$91,MATCH($C228,'Gross Dx Plant'!$C$7:$C$91,0),MATCH(Calculation!$G228,'Gross Dx Plant'!$D$5:$AC$5,0))</f>
        <v>115543</v>
      </c>
      <c r="BZ228" s="254">
        <f>INDEX('Gross Gen Plant'!$D$7:$AC$91,MATCH($C228,'Gross Gen Plant'!$C$7:$C$91,0),MATCH(Calculation!$G228,'Gross Gen Plant'!$D$5:$AC$5,0))</f>
        <v>0</v>
      </c>
      <c r="CA228" s="254">
        <f t="shared" si="441"/>
        <v>82596</v>
      </c>
      <c r="CB228" s="254"/>
      <c r="CC228" s="260">
        <v>1998</v>
      </c>
      <c r="CD228" s="254">
        <f>BJ228+BK228</f>
        <v>115543</v>
      </c>
      <c r="CE228" s="254">
        <f>32003+944</f>
        <v>32947</v>
      </c>
      <c r="CF228" s="254">
        <f>+CD228-CE228</f>
        <v>82596</v>
      </c>
      <c r="CG228" s="254">
        <f>CF228/$BX$3</f>
        <v>409.45979493697843</v>
      </c>
      <c r="CH228" s="323"/>
      <c r="CI228" s="344"/>
      <c r="CJ228" s="344"/>
      <c r="CK228" s="443">
        <v>1</v>
      </c>
      <c r="CL228" s="254">
        <f>+CG228</f>
        <v>409.45979493697843</v>
      </c>
      <c r="CM228" s="256"/>
      <c r="CN228" s="325"/>
      <c r="CO228" s="325"/>
      <c r="CP228" s="256" t="e">
        <f>VLOOKUP($H228,RoR!$E:$F,2,FALSE)</f>
        <v>#N/A</v>
      </c>
      <c r="CQ228" s="325">
        <v>1.1028127770464469E-2</v>
      </c>
      <c r="CR228" s="325"/>
      <c r="CS228" s="325"/>
      <c r="CT228" s="325"/>
      <c r="CU228" s="327"/>
      <c r="CV228" s="331" t="e">
        <f>2/(DD228*39)</f>
        <v>#N/A</v>
      </c>
      <c r="CW228" s="328" t="e">
        <f>+(DD228*40-(1+DD228))/(DD228*40)</f>
        <v>#N/A</v>
      </c>
      <c r="CX228" s="328" t="e">
        <f>+(1-(1/(1+DD228)^40))</f>
        <v>#N/A</v>
      </c>
      <c r="CY228" s="328" t="e">
        <f>+CX228*CW228*CV228</f>
        <v>#N/A</v>
      </c>
      <c r="CZ228" s="329">
        <f>INDEX('State Tax Lookup'!$D$7:$Z$91,MATCH(Calculation!$C228,'State Tax Lookup'!$B$7:$B$91,0),MATCH($H228,'State Tax Lookup'!$D$6:$Z$6,0))</f>
        <v>0.39649667</v>
      </c>
      <c r="DA228" s="351">
        <v>0.37</v>
      </c>
      <c r="DB228" s="344"/>
      <c r="DC228" s="326"/>
      <c r="DD228" s="351" t="e">
        <f>VLOOKUP($H228,RoR!$E:$F,2,FALSE)</f>
        <v>#N/A</v>
      </c>
      <c r="DE228" s="354">
        <f>HLOOKUP($H228,'GDP-PI'!$D$8:$CQ$11,3,FALSE)</f>
        <v>1.1028127770464469E-2</v>
      </c>
      <c r="DF228" s="351">
        <f>VLOOKUP(H228,'HW Dx Data'!$E:$F,2,FALSE)</f>
        <v>329.24564746449528</v>
      </c>
      <c r="DG228" s="351"/>
      <c r="DH228" s="351"/>
      <c r="DI228" s="351"/>
      <c r="DJ228" s="326"/>
      <c r="DK228" s="344">
        <f>HLOOKUP(H228,'GDP-PI'!$8:$9,2,FALSE)</f>
        <v>75.266999999999996</v>
      </c>
      <c r="DL228" s="292"/>
      <c r="EC228"/>
    </row>
    <row r="229" spans="1:133" s="126" customFormat="1" ht="21" customHeight="1" x14ac:dyDescent="0.4">
      <c r="A229" s="233" t="s">
        <v>196</v>
      </c>
      <c r="B229" s="127" t="s">
        <v>196</v>
      </c>
      <c r="C229" s="127">
        <v>4057076</v>
      </c>
      <c r="D229" s="127" t="s">
        <v>194</v>
      </c>
      <c r="E229" s="127" t="s">
        <v>15</v>
      </c>
      <c r="F229" s="127"/>
      <c r="G229" s="127" t="s">
        <v>155</v>
      </c>
      <c r="H229" s="128">
        <v>1999</v>
      </c>
      <c r="I229" s="129"/>
      <c r="J229" s="125"/>
      <c r="K229" s="125"/>
      <c r="L229" s="47"/>
      <c r="M229" s="125"/>
      <c r="N229" s="125"/>
      <c r="O229" s="125"/>
      <c r="P229" s="47"/>
      <c r="Q229" s="47"/>
      <c r="R229" s="386"/>
      <c r="S229" s="119"/>
      <c r="T229" s="47"/>
      <c r="U229" s="46"/>
      <c r="V229" s="135"/>
      <c r="W229" s="135"/>
      <c r="X229" s="135"/>
      <c r="Y229" s="143"/>
      <c r="Z229" s="135"/>
      <c r="AA229" s="135"/>
      <c r="AB229" s="135"/>
      <c r="AC229" s="125">
        <f t="shared" ref="AC229:AC252" si="451">+CL228*DB229</f>
        <v>0</v>
      </c>
      <c r="AD229" s="129"/>
      <c r="AE229" s="133">
        <v>426.30585505094001</v>
      </c>
      <c r="AF229" s="134">
        <v>4.0318340644652173E-2</v>
      </c>
      <c r="AG229" s="61"/>
      <c r="AH229" s="134"/>
      <c r="AI229" s="134"/>
      <c r="AJ229" s="129">
        <f t="shared" si="444"/>
        <v>0</v>
      </c>
      <c r="AK229" s="134"/>
      <c r="AL229" s="129"/>
      <c r="AM229" s="134"/>
      <c r="AN229" s="134"/>
      <c r="AO229" s="134"/>
      <c r="AP229" s="133"/>
      <c r="AQ229" s="134"/>
      <c r="AR229" s="93"/>
      <c r="AS229" s="93"/>
      <c r="AT229" s="93"/>
      <c r="AU229" s="93"/>
      <c r="AV229" s="93"/>
      <c r="AW229" s="134"/>
      <c r="AX229" s="62"/>
      <c r="AY229" s="93"/>
      <c r="AZ229" s="93"/>
      <c r="BA229" s="93"/>
      <c r="BB229" s="234">
        <f>IFERROR(INDEX('Total Customers'!$E$7:$AA$91,MATCH($C229,'Total Customers'!$C$7:$C$91,0),MATCH($G229,'Total Customers'!$E$5:$AA$5,0)),"NA")</f>
        <v>62605</v>
      </c>
      <c r="BC229" s="411">
        <f t="shared" si="400"/>
        <v>8.0347480175318332E-3</v>
      </c>
      <c r="BD229" s="92"/>
      <c r="BE229" s="281" t="str">
        <f t="shared" si="396"/>
        <v>CENTRAL HUDSON GAS &amp; ELECTRIC CORPORATION</v>
      </c>
      <c r="BF229" s="290">
        <f t="shared" si="397"/>
        <v>4057076</v>
      </c>
      <c r="BG229" s="46" t="str">
        <f t="shared" si="398"/>
        <v>NY</v>
      </c>
      <c r="BH229" s="46"/>
      <c r="BI229" s="46" t="str">
        <f t="shared" si="399"/>
        <v>1999 Y</v>
      </c>
      <c r="BJ229" s="129"/>
      <c r="BK229" s="129"/>
      <c r="BL229" s="129">
        <f>INDEX('Dist. Plant Gas Additions'!$E$7:$AD$91,MATCH($C229,'Dist. Plant Gas Additions'!$C$7:$C$91,0),MATCH(Calculation!$G229,'Dist. Plant Gas Additions'!$E$5:$AD$5,0))</f>
        <v>6332</v>
      </c>
      <c r="BM229" s="129">
        <f>INDEX('Gen. Plant Additions'!$E$7:$AD$91,MATCH($C229,'Gen. Plant Additions'!$C$7:$C$91,0),MATCH(Calculation!$G229,'Gen. Plant Additions'!$E$5:$AD$5,0))</f>
        <v>0</v>
      </c>
      <c r="BN229" s="393">
        <f t="shared" ref="BN229:BN249" si="452">+(BY229/(BY229+BZ229))</f>
        <v>1</v>
      </c>
      <c r="BO229" s="46">
        <f t="shared" si="445"/>
        <v>0</v>
      </c>
      <c r="BP229" s="46">
        <f t="shared" si="446"/>
        <v>0</v>
      </c>
      <c r="BQ229" s="129">
        <f>INDEX('Dist Plant Depreciation'!$D$7:$AC$94,MATCH($C229,'Dist Plant Depreciation'!$C$7:$C$94,0),MATCH(Calculation!$G229,'Dist Plant Depreciation'!$D$5:$AC$5,0))</f>
        <v>34373</v>
      </c>
      <c r="BR229" s="129">
        <f>INDEX('Gen. Plant Depreciation'!$D$7:$AC$94,MATCH($C229,'Gen. Plant Depreciation'!$C$7:$C$94,0),MATCH(Calculation!$G229,'Gen. Plant Depreciation'!$D$5:$AC$5,0))</f>
        <v>636</v>
      </c>
      <c r="BS229" s="129"/>
      <c r="BT229" s="129"/>
      <c r="BU229" s="129"/>
      <c r="BV229" s="129"/>
      <c r="BW229" s="129"/>
      <c r="BX229" s="129"/>
      <c r="BY229" s="129">
        <f>INDEX('Gross Dx Plant'!$D$7:$AC$91,MATCH($C229,'Gross Dx Plant'!$C$7:$C$91,0),MATCH(Calculation!$G229,'Gross Dx Plant'!$D$5:$AC$5,0))</f>
        <v>121513</v>
      </c>
      <c r="BZ229" s="129">
        <f>INDEX('Gross Gen Plant'!$D$7:$AC$91,MATCH($C229,'Gross Gen Plant'!$C$7:$C$91,0),MATCH(Calculation!$G229,'Gross Gen Plant'!$D$5:$AC$5,0))</f>
        <v>0</v>
      </c>
      <c r="CA229" s="129">
        <f t="shared" si="441"/>
        <v>86504</v>
      </c>
      <c r="CB229" s="129"/>
      <c r="CC229" s="133">
        <v>1999</v>
      </c>
      <c r="CD229" s="129"/>
      <c r="CE229" s="129"/>
      <c r="CF229" s="129"/>
      <c r="CG229" s="137"/>
      <c r="CH229" s="129">
        <f t="shared" ref="CH229:CH249" si="453">+BM229+BL229</f>
        <v>6332</v>
      </c>
      <c r="CI229" s="46">
        <f>+CH229+BP229</f>
        <v>6332</v>
      </c>
      <c r="CJ229" s="46">
        <f t="shared" ref="CJ229:CJ252" si="454">+CI229/$DF229</f>
        <v>18.883173521608246</v>
      </c>
      <c r="CK229" s="443">
        <v>0.99009900990099009</v>
      </c>
      <c r="CL229" s="46">
        <f>+CL228*CK229+CJ229</f>
        <v>424.28891108297302</v>
      </c>
      <c r="CM229" s="134">
        <f t="shared" ref="CM229:CM250" si="455">LN(CL229/CL228)</f>
        <v>3.557589964105292E-2</v>
      </c>
      <c r="CN229" s="135">
        <f t="shared" ref="CN229:CN252" si="456">+(CL228-CL229+CJ229)/CL228</f>
        <v>9.9009900990099202E-3</v>
      </c>
      <c r="CO229" s="135"/>
      <c r="CP229" s="134">
        <f>VLOOKUP($H229,RoR!$E:$F,2,FALSE)</f>
        <v>7.0416666666666669E-2</v>
      </c>
      <c r="CQ229" s="135">
        <v>1.4335631817396832E-2</v>
      </c>
      <c r="CR229" s="135">
        <f>+CP229-CQ229</f>
        <v>5.6081034849269837E-2</v>
      </c>
      <c r="CS229" s="135"/>
      <c r="CT229" s="135"/>
      <c r="CU229" s="139">
        <f t="shared" ref="CU229:CU252" si="457">1-CZ229*DA229</f>
        <v>0.85329623209999994</v>
      </c>
      <c r="CV229" s="335">
        <f t="shared" ref="CV229:CV251" si="458">2/(DD229*39)</f>
        <v>0.72826581702321336</v>
      </c>
      <c r="CW229" s="335">
        <f t="shared" ref="CW229:CW251" si="459">+(DD229*40-(1+DD229))/(DD229*40)</f>
        <v>0.61997041420118348</v>
      </c>
      <c r="CX229" s="335">
        <f t="shared" ref="CX229:CX251" si="460">+(1-(1/(1+DD229)^40))</f>
        <v>0.93425155319585029</v>
      </c>
      <c r="CY229" s="335">
        <f t="shared" ref="CY229:CY251" si="461">+CX229*CW229*CV229</f>
        <v>0.42181762214141483</v>
      </c>
      <c r="CZ229" s="336">
        <f>INDEX('State Tax Lookup'!$D$7:$Z$91,MATCH(Calculation!$C229,'State Tax Lookup'!$B$7:$B$91,0),MATCH($H229,'State Tax Lookup'!$D$6:$Z$6,0))</f>
        <v>0.39649667</v>
      </c>
      <c r="DA229" s="303">
        <v>0.37</v>
      </c>
      <c r="DB229" s="57"/>
      <c r="DC229" s="56"/>
      <c r="DD229" s="303">
        <f>VLOOKUP($H229,RoR!$E:$F,2,FALSE)</f>
        <v>7.0416666666666669E-2</v>
      </c>
      <c r="DE229" s="304">
        <f>HLOOKUP($H229,'GDP-PI'!$D$8:$CQ$11,3,FALSE)</f>
        <v>1.4335631817396832E-2</v>
      </c>
      <c r="DF229" s="303">
        <f>VLOOKUP(H229,'HW Dx Data'!$E:$F,2,FALSE)</f>
        <v>335.32499146683239</v>
      </c>
      <c r="DG229" s="89"/>
      <c r="DH229" s="89"/>
      <c r="DI229" s="89"/>
      <c r="DJ229" s="56"/>
      <c r="DK229" s="53">
        <f>HLOOKUP(H229,'GDP-PI'!$8:$9,2,FALSE)</f>
        <v>76.346000000000004</v>
      </c>
      <c r="DL229" s="298"/>
      <c r="EC229"/>
    </row>
    <row r="230" spans="1:133" s="126" customFormat="1" ht="21" customHeight="1" x14ac:dyDescent="0.4">
      <c r="A230" s="233" t="s">
        <v>196</v>
      </c>
      <c r="B230" s="127" t="s">
        <v>196</v>
      </c>
      <c r="C230" s="127">
        <v>4057076</v>
      </c>
      <c r="D230" s="127" t="s">
        <v>194</v>
      </c>
      <c r="E230" s="127" t="s">
        <v>15</v>
      </c>
      <c r="F230" s="127"/>
      <c r="G230" s="127" t="s">
        <v>156</v>
      </c>
      <c r="H230" s="128">
        <v>2000</v>
      </c>
      <c r="I230" s="129"/>
      <c r="J230" s="125"/>
      <c r="K230" s="125"/>
      <c r="L230" s="47"/>
      <c r="M230" s="125"/>
      <c r="N230" s="125"/>
      <c r="O230" s="125"/>
      <c r="P230" s="47"/>
      <c r="Q230" s="47"/>
      <c r="R230" s="386"/>
      <c r="S230" s="119"/>
      <c r="T230" s="47"/>
      <c r="U230" s="47"/>
      <c r="V230" s="125"/>
      <c r="W230" s="125"/>
      <c r="X230" s="125"/>
      <c r="Y230" s="125"/>
      <c r="Z230" s="125"/>
      <c r="AA230" s="125"/>
      <c r="AB230" s="125"/>
      <c r="AC230" s="125">
        <f t="shared" si="451"/>
        <v>0</v>
      </c>
      <c r="AD230" s="129"/>
      <c r="AE230" s="133">
        <v>445.83966631603175</v>
      </c>
      <c r="AF230" s="134">
        <v>4.4802336566529814E-2</v>
      </c>
      <c r="AG230" s="61"/>
      <c r="AH230" s="134"/>
      <c r="AI230" s="134"/>
      <c r="AJ230" s="129">
        <f t="shared" si="444"/>
        <v>0</v>
      </c>
      <c r="AK230" s="134"/>
      <c r="AL230" s="129"/>
      <c r="AM230" s="129"/>
      <c r="AN230" s="129"/>
      <c r="AO230" s="129"/>
      <c r="AP230" s="133"/>
      <c r="AQ230" s="134"/>
      <c r="AR230" s="93"/>
      <c r="AS230" s="93"/>
      <c r="AT230" s="93"/>
      <c r="AU230" s="93"/>
      <c r="AV230" s="93"/>
      <c r="AW230" s="134"/>
      <c r="AX230" s="62"/>
      <c r="AY230" s="93"/>
      <c r="AZ230" s="93"/>
      <c r="BA230" s="93"/>
      <c r="BB230" s="234">
        <f>IFERROR(INDEX('Total Customers'!$E$7:$AA$91,MATCH($C230,'Total Customers'!$C$7:$C$91,0),MATCH($G230,'Total Customers'!$E$5:$AA$5,0)),"NA")</f>
        <v>63852</v>
      </c>
      <c r="BC230" s="411">
        <f t="shared" si="400"/>
        <v>1.9722758281321445E-2</v>
      </c>
      <c r="BD230" s="92"/>
      <c r="BE230" s="281" t="str">
        <f t="shared" si="396"/>
        <v>CENTRAL HUDSON GAS &amp; ELECTRIC CORPORATION</v>
      </c>
      <c r="BF230" s="290">
        <f t="shared" si="397"/>
        <v>4057076</v>
      </c>
      <c r="BG230" s="46" t="str">
        <f t="shared" si="398"/>
        <v>NY</v>
      </c>
      <c r="BH230" s="46"/>
      <c r="BI230" s="46" t="str">
        <f t="shared" si="399"/>
        <v>2000 Y</v>
      </c>
      <c r="BJ230" s="129"/>
      <c r="BK230" s="129"/>
      <c r="BL230" s="129">
        <f>INDEX('Dist. Plant Gas Additions'!$E$7:$AD$91,MATCH($C230,'Dist. Plant Gas Additions'!$C$7:$C$91,0),MATCH(Calculation!$G230,'Dist. Plant Gas Additions'!$E$5:$AD$5,0))</f>
        <v>7529</v>
      </c>
      <c r="BM230" s="129">
        <f>INDEX('Gen. Plant Additions'!$E$7:$AD$91,MATCH($C230,'Gen. Plant Additions'!$C$7:$C$91,0),MATCH(Calculation!$G230,'Gen. Plant Additions'!$E$5:$AD$5,0))</f>
        <v>0</v>
      </c>
      <c r="BN230" s="393">
        <f t="shared" si="452"/>
        <v>1</v>
      </c>
      <c r="BO230" s="46">
        <f t="shared" si="445"/>
        <v>0</v>
      </c>
      <c r="BP230" s="46">
        <f t="shared" si="446"/>
        <v>0</v>
      </c>
      <c r="BQ230" s="129">
        <f>INDEX('Dist Plant Depreciation'!$D$7:$AC$94,MATCH($C230,'Dist Plant Depreciation'!$C$7:$C$94,0),MATCH(Calculation!$G230,'Dist Plant Depreciation'!$D$5:$AC$5,0))</f>
        <v>36972</v>
      </c>
      <c r="BR230" s="129">
        <f>INDEX('Gen. Plant Depreciation'!$D$7:$AC$94,MATCH($C230,'Gen. Plant Depreciation'!$C$7:$C$94,0),MATCH(Calculation!$G230,'Gen. Plant Depreciation'!$D$5:$AC$5,0))</f>
        <v>328</v>
      </c>
      <c r="BS230" s="129"/>
      <c r="BT230" s="129"/>
      <c r="BU230" s="129"/>
      <c r="BV230" s="129"/>
      <c r="BW230" s="129"/>
      <c r="BX230" s="129"/>
      <c r="BY230" s="129">
        <f>INDEX('Gross Dx Plant'!$D$7:$AC$91,MATCH($C230,'Gross Dx Plant'!$C$7:$C$91,0),MATCH(Calculation!$G230,'Gross Dx Plant'!$D$5:$AC$5,0))</f>
        <v>128712</v>
      </c>
      <c r="BZ230" s="129">
        <f>INDEX('Gross Gen Plant'!$D$7:$AC$91,MATCH($C230,'Gross Gen Plant'!$C$7:$C$91,0),MATCH(Calculation!$G230,'Gross Gen Plant'!$D$5:$AC$5,0))</f>
        <v>0</v>
      </c>
      <c r="CA230" s="129">
        <f t="shared" si="441"/>
        <v>91412</v>
      </c>
      <c r="CB230" s="129"/>
      <c r="CC230" s="133">
        <v>2000</v>
      </c>
      <c r="CD230" s="129"/>
      <c r="CE230" s="129"/>
      <c r="CF230" s="129"/>
      <c r="CG230" s="137"/>
      <c r="CH230" s="129">
        <f t="shared" si="453"/>
        <v>7529</v>
      </c>
      <c r="CI230" s="46">
        <f t="shared" ref="CI230:CI252" si="462">+CH230+BP230</f>
        <v>7529</v>
      </c>
      <c r="CJ230" s="46">
        <f t="shared" si="454"/>
        <v>21.726601518984438</v>
      </c>
      <c r="CK230" s="443">
        <v>0.98</v>
      </c>
      <c r="CL230" s="46">
        <f>+CL228*CK230+CJ229*CK229+CJ230</f>
        <v>441.69341196475625</v>
      </c>
      <c r="CM230" s="134">
        <f t="shared" si="455"/>
        <v>4.0201386058668909E-2</v>
      </c>
      <c r="CN230" s="135">
        <f t="shared" si="456"/>
        <v>1.0186692426557389E-2</v>
      </c>
      <c r="CO230" s="135"/>
      <c r="CP230" s="134">
        <f>VLOOKUP($H230,RoR!$E:$F,2,FALSE)</f>
        <v>7.6225000000000001E-2</v>
      </c>
      <c r="CQ230" s="135">
        <v>2.2568307442433211E-2</v>
      </c>
      <c r="CR230" s="135">
        <f t="shared" ref="CR230:CR250" si="463">+CP230-CQ230</f>
        <v>5.365669255756679E-2</v>
      </c>
      <c r="CS230" s="135"/>
      <c r="CT230" s="135"/>
      <c r="CU230" s="139">
        <f t="shared" si="457"/>
        <v>0.85329623209999994</v>
      </c>
      <c r="CV230" s="335">
        <f t="shared" si="458"/>
        <v>0.67277207323124022</v>
      </c>
      <c r="CW230" s="335">
        <f t="shared" si="459"/>
        <v>0.6470236142997704</v>
      </c>
      <c r="CX230" s="335">
        <f t="shared" si="460"/>
        <v>0.94704866037543145</v>
      </c>
      <c r="CY230" s="335">
        <f t="shared" si="461"/>
        <v>0.41224973107878493</v>
      </c>
      <c r="CZ230" s="336">
        <f>INDEX('State Tax Lookup'!$D$7:$Z$91,MATCH(Calculation!$C230,'State Tax Lookup'!$B$7:$B$91,0),MATCH($H230,'State Tax Lookup'!$D$6:$Z$6,0))</f>
        <v>0.39649667</v>
      </c>
      <c r="DA230" s="303">
        <v>0.37</v>
      </c>
      <c r="DB230" s="57"/>
      <c r="DC230" s="56"/>
      <c r="DD230" s="303">
        <f>VLOOKUP($H230,RoR!$E:$F,2,FALSE)</f>
        <v>7.6225000000000001E-2</v>
      </c>
      <c r="DE230" s="304">
        <f>HLOOKUP($H230,'GDP-PI'!$D$8:$CQ$11,3,FALSE)</f>
        <v>2.2568307442433211E-2</v>
      </c>
      <c r="DF230" s="303">
        <f>VLOOKUP(H230,'HW Dx Data'!$E:$F,2,FALSE)</f>
        <v>346.53371782150339</v>
      </c>
      <c r="DG230" s="89"/>
      <c r="DH230" s="89"/>
      <c r="DI230" s="89"/>
      <c r="DJ230" s="56"/>
      <c r="DK230" s="53">
        <f>HLOOKUP(H230,'GDP-PI'!$8:$9,2,FALSE)</f>
        <v>78.069000000000003</v>
      </c>
      <c r="DL230" s="298"/>
      <c r="EC230"/>
    </row>
    <row r="231" spans="1:133" s="126" customFormat="1" ht="21" customHeight="1" x14ac:dyDescent="0.4">
      <c r="A231" s="233" t="s">
        <v>196</v>
      </c>
      <c r="B231" s="127" t="s">
        <v>196</v>
      </c>
      <c r="C231" s="127">
        <v>4057076</v>
      </c>
      <c r="D231" s="127" t="s">
        <v>194</v>
      </c>
      <c r="E231" s="127" t="s">
        <v>15</v>
      </c>
      <c r="F231" s="127"/>
      <c r="G231" s="127" t="s">
        <v>157</v>
      </c>
      <c r="H231" s="128">
        <v>2001</v>
      </c>
      <c r="I231" s="129"/>
      <c r="J231" s="125"/>
      <c r="K231" s="125"/>
      <c r="L231" s="47"/>
      <c r="M231" s="125"/>
      <c r="N231" s="125"/>
      <c r="O231" s="125"/>
      <c r="P231" s="47"/>
      <c r="Q231" s="47"/>
      <c r="R231" s="386"/>
      <c r="S231" s="119"/>
      <c r="T231" s="47"/>
      <c r="U231" s="47"/>
      <c r="V231" s="125"/>
      <c r="W231" s="125"/>
      <c r="X231" s="125"/>
      <c r="Y231" s="125"/>
      <c r="Z231" s="125"/>
      <c r="AA231" s="125"/>
      <c r="AB231" s="125"/>
      <c r="AC231" s="125">
        <f t="shared" si="451"/>
        <v>4593.5850597372291</v>
      </c>
      <c r="AD231" s="129"/>
      <c r="AE231" s="133">
        <v>463.44662168792689</v>
      </c>
      <c r="AF231" s="134">
        <v>3.8731819987564017E-2</v>
      </c>
      <c r="AG231" s="61"/>
      <c r="AH231" s="134"/>
      <c r="AI231" s="134"/>
      <c r="AJ231" s="129">
        <f t="shared" si="444"/>
        <v>4593.5850597372291</v>
      </c>
      <c r="AK231" s="134"/>
      <c r="AL231" s="129"/>
      <c r="AM231" s="129"/>
      <c r="AN231" s="129"/>
      <c r="AO231" s="129"/>
      <c r="AP231" s="133"/>
      <c r="AQ231" s="134"/>
      <c r="AR231" s="93"/>
      <c r="AS231" s="93"/>
      <c r="AT231" s="93"/>
      <c r="AU231" s="93"/>
      <c r="AV231" s="93"/>
      <c r="AW231" s="134"/>
      <c r="AX231" s="62"/>
      <c r="AY231" s="93"/>
      <c r="AZ231" s="93"/>
      <c r="BA231" s="93"/>
      <c r="BB231" s="234">
        <f>IFERROR(INDEX('Total Customers'!$E$7:$AA$91,MATCH($C231,'Total Customers'!$C$7:$C$91,0),MATCH($G231,'Total Customers'!$E$5:$AA$5,0)),"NA")</f>
        <v>65784</v>
      </c>
      <c r="BC231" s="411">
        <f t="shared" si="400"/>
        <v>2.98087422663618E-2</v>
      </c>
      <c r="BD231" s="92"/>
      <c r="BE231" s="281" t="str">
        <f t="shared" si="396"/>
        <v>CENTRAL HUDSON GAS &amp; ELECTRIC CORPORATION</v>
      </c>
      <c r="BF231" s="290">
        <f t="shared" si="397"/>
        <v>4057076</v>
      </c>
      <c r="BG231" s="46" t="str">
        <f t="shared" si="398"/>
        <v>NY</v>
      </c>
      <c r="BH231" s="46"/>
      <c r="BI231" s="46" t="str">
        <f t="shared" si="399"/>
        <v>2001 Y</v>
      </c>
      <c r="BJ231" s="129"/>
      <c r="BK231" s="129"/>
      <c r="BL231" s="129">
        <f>INDEX('Dist. Plant Gas Additions'!$E$7:$AD$91,MATCH($C231,'Dist. Plant Gas Additions'!$C$7:$C$91,0),MATCH(Calculation!$G231,'Dist. Plant Gas Additions'!$E$5:$AD$5,0))</f>
        <v>7022</v>
      </c>
      <c r="BM231" s="129">
        <f>INDEX('Gen. Plant Additions'!$E$7:$AD$91,MATCH($C231,'Gen. Plant Additions'!$C$7:$C$91,0),MATCH(Calculation!$G231,'Gen. Plant Additions'!$E$5:$AD$5,0))</f>
        <v>0</v>
      </c>
      <c r="BN231" s="393">
        <f t="shared" si="452"/>
        <v>1</v>
      </c>
      <c r="BO231" s="46">
        <f t="shared" si="445"/>
        <v>0</v>
      </c>
      <c r="BP231" s="46">
        <f t="shared" si="446"/>
        <v>0</v>
      </c>
      <c r="BQ231" s="129">
        <f>INDEX('Dist Plant Depreciation'!$D$7:$AC$94,MATCH($C231,'Dist Plant Depreciation'!$C$7:$C$94,0),MATCH(Calculation!$G231,'Dist Plant Depreciation'!$D$5:$AC$5,0))</f>
        <v>39224</v>
      </c>
      <c r="BR231" s="129">
        <f>INDEX('Gen. Plant Depreciation'!$D$7:$AC$94,MATCH($C231,'Gen. Plant Depreciation'!$C$7:$C$94,0),MATCH(Calculation!$G231,'Gen. Plant Depreciation'!$D$5:$AC$5,0))</f>
        <v>0</v>
      </c>
      <c r="BS231" s="129"/>
      <c r="BT231" s="129"/>
      <c r="BU231" s="129"/>
      <c r="BV231" s="129"/>
      <c r="BW231" s="129"/>
      <c r="BX231" s="129"/>
      <c r="BY231" s="129">
        <f>INDEX('Gross Dx Plant'!$D$7:$AC$91,MATCH($C231,'Gross Dx Plant'!$C$7:$C$91,0),MATCH(Calculation!$G231,'Gross Dx Plant'!$D$5:$AC$5,0))</f>
        <v>135245</v>
      </c>
      <c r="BZ231" s="129">
        <f>INDEX('Gross Gen Plant'!$D$7:$AC$91,MATCH($C231,'Gross Gen Plant'!$C$7:$C$91,0),MATCH(Calculation!$G231,'Gross Gen Plant'!$D$5:$AC$5,0))</f>
        <v>0</v>
      </c>
      <c r="CA231" s="129">
        <f t="shared" si="441"/>
        <v>96021</v>
      </c>
      <c r="CB231" s="129"/>
      <c r="CC231" s="133">
        <v>2001</v>
      </c>
      <c r="CD231" s="129"/>
      <c r="CE231" s="129"/>
      <c r="CF231" s="129"/>
      <c r="CG231" s="137"/>
      <c r="CH231" s="129">
        <f t="shared" si="453"/>
        <v>7022</v>
      </c>
      <c r="CI231" s="46">
        <f t="shared" si="462"/>
        <v>7022</v>
      </c>
      <c r="CJ231" s="46">
        <f t="shared" si="454"/>
        <v>19.867172297405613</v>
      </c>
      <c r="CK231" s="443">
        <v>0.96969696969696972</v>
      </c>
      <c r="CL231" s="46">
        <f>+CL228*CK231+CJ229*CK230+CJ230*CK228+CJ231</f>
        <v>457.15120623069669</v>
      </c>
      <c r="CM231" s="134">
        <f t="shared" si="455"/>
        <v>3.4398199884665366E-2</v>
      </c>
      <c r="CN231" s="135">
        <f t="shared" si="456"/>
        <v>9.9828929117399007E-3</v>
      </c>
      <c r="CO231" s="135">
        <f>+(CN231+CN230+CN229)/3</f>
        <v>1.0023525145769071E-2</v>
      </c>
      <c r="CP231" s="134">
        <f>VLOOKUP($H231,RoR!$E:$F,2,FALSE)</f>
        <v>7.0824999999999999E-2</v>
      </c>
      <c r="CQ231" s="135">
        <v>2.2454495382290052E-2</v>
      </c>
      <c r="CR231" s="135">
        <f t="shared" si="463"/>
        <v>4.8370504617709947E-2</v>
      </c>
      <c r="CS231" s="135">
        <f>+$CR$2-CO231</f>
        <v>2.0878416462764553E-2</v>
      </c>
      <c r="CT231" s="135">
        <f>+((DF229/DF228-1)+(DF230/DF229-1)+(DF231/DF230-1))/3</f>
        <v>2.3947275901631187E-2</v>
      </c>
      <c r="CU231" s="139">
        <f t="shared" si="457"/>
        <v>0.85329623209999994</v>
      </c>
      <c r="CV231" s="335">
        <f t="shared" si="458"/>
        <v>0.72406708481540816</v>
      </c>
      <c r="CW231" s="335">
        <f t="shared" si="459"/>
        <v>0.62201729615248857</v>
      </c>
      <c r="CX231" s="335">
        <f t="shared" si="460"/>
        <v>0.9352469954311422</v>
      </c>
      <c r="CY231" s="335">
        <f t="shared" si="461"/>
        <v>0.42121864641655071</v>
      </c>
      <c r="CZ231" s="336">
        <f>INDEX('State Tax Lookup'!$D$7:$Z$91,MATCH(Calculation!$C231,'State Tax Lookup'!$B$7:$B$91,0),MATCH($H231,'State Tax Lookup'!$D$6:$Z$6,0))</f>
        <v>0.39649667</v>
      </c>
      <c r="DA231" s="303">
        <v>0.37</v>
      </c>
      <c r="DB231" s="57">
        <f t="shared" ref="DB231:DB252" si="464">+(DF231*CS231-CT231)*CU231/(1-CZ231)</f>
        <v>10.399940174121868</v>
      </c>
      <c r="DC231" s="56"/>
      <c r="DD231" s="303">
        <f>VLOOKUP($H231,RoR!$E:$F,2,FALSE)</f>
        <v>7.0824999999999999E-2</v>
      </c>
      <c r="DE231" s="304">
        <f>HLOOKUP($H231,'GDP-PI'!$D$8:$CQ$11,3,FALSE)</f>
        <v>2.2454495382290052E-2</v>
      </c>
      <c r="DF231" s="303">
        <f>VLOOKUP(H231,'HW Dx Data'!$E:$F,2,FALSE)</f>
        <v>353.44738017483138</v>
      </c>
      <c r="DG231" s="89"/>
      <c r="DH231" s="89"/>
      <c r="DI231" s="89"/>
      <c r="DJ231" s="56"/>
      <c r="DK231" s="53">
        <f>HLOOKUP(H231,'GDP-PI'!$8:$9,2,FALSE)</f>
        <v>79.822000000000003</v>
      </c>
      <c r="DL231" s="298"/>
      <c r="EC231"/>
    </row>
    <row r="232" spans="1:133" s="126" customFormat="1" ht="21" customHeight="1" x14ac:dyDescent="0.4">
      <c r="A232" s="233" t="s">
        <v>196</v>
      </c>
      <c r="B232" s="127" t="s">
        <v>196</v>
      </c>
      <c r="C232" s="127">
        <v>4057076</v>
      </c>
      <c r="D232" s="127" t="s">
        <v>194</v>
      </c>
      <c r="E232" s="127" t="s">
        <v>15</v>
      </c>
      <c r="F232" s="127"/>
      <c r="G232" s="127" t="s">
        <v>158</v>
      </c>
      <c r="H232" s="128">
        <v>2002</v>
      </c>
      <c r="I232" s="129"/>
      <c r="J232" s="125"/>
      <c r="K232" s="125"/>
      <c r="L232" s="47"/>
      <c r="M232" s="125"/>
      <c r="N232" s="125"/>
      <c r="O232" s="125"/>
      <c r="P232" s="47"/>
      <c r="Q232" s="47"/>
      <c r="R232" s="386"/>
      <c r="S232" s="119"/>
      <c r="T232" s="47"/>
      <c r="U232" s="47"/>
      <c r="V232" s="125"/>
      <c r="W232" s="125"/>
      <c r="X232" s="125"/>
      <c r="Y232" s="125"/>
      <c r="Z232" s="125"/>
      <c r="AA232" s="125"/>
      <c r="AB232" s="125"/>
      <c r="AC232" s="125">
        <f t="shared" si="451"/>
        <v>4757.2126047172123</v>
      </c>
      <c r="AD232" s="129"/>
      <c r="AE232" s="133">
        <v>485.31957336675146</v>
      </c>
      <c r="AF232" s="134">
        <v>4.611637329737818E-2</v>
      </c>
      <c r="AG232" s="61"/>
      <c r="AH232" s="134"/>
      <c r="AI232" s="134"/>
      <c r="AJ232" s="129">
        <f t="shared" si="444"/>
        <v>4757.2126047172123</v>
      </c>
      <c r="AK232" s="134"/>
      <c r="AL232" s="129"/>
      <c r="AM232" s="129"/>
      <c r="AN232" s="129"/>
      <c r="AO232" s="129"/>
      <c r="AP232" s="133"/>
      <c r="AQ232" s="134"/>
      <c r="AR232" s="93"/>
      <c r="AS232" s="93"/>
      <c r="AT232" s="93"/>
      <c r="AU232" s="93"/>
      <c r="AV232" s="93"/>
      <c r="AW232" s="134"/>
      <c r="AX232" s="62"/>
      <c r="AY232" s="93"/>
      <c r="AZ232" s="93"/>
      <c r="BA232" s="93"/>
      <c r="BB232" s="234">
        <f>IFERROR(INDEX('Total Customers'!$E$7:$AA$91,MATCH($C232,'Total Customers'!$C$7:$C$91,0),MATCH($G232,'Total Customers'!$E$5:$AA$5,0)),"NA")</f>
        <v>66757</v>
      </c>
      <c r="BC232" s="411">
        <f t="shared" si="400"/>
        <v>1.4682513027262025E-2</v>
      </c>
      <c r="BD232" s="92"/>
      <c r="BE232" s="281" t="str">
        <f t="shared" si="396"/>
        <v>CENTRAL HUDSON GAS &amp; ELECTRIC CORPORATION</v>
      </c>
      <c r="BF232" s="290">
        <f t="shared" si="397"/>
        <v>4057076</v>
      </c>
      <c r="BG232" s="46" t="str">
        <f t="shared" si="398"/>
        <v>NY</v>
      </c>
      <c r="BH232" s="46"/>
      <c r="BI232" s="46" t="str">
        <f t="shared" si="399"/>
        <v>2002 Y</v>
      </c>
      <c r="BJ232" s="129"/>
      <c r="BK232" s="129"/>
      <c r="BL232" s="129">
        <f>INDEX('Dist. Plant Gas Additions'!$E$7:$AD$91,MATCH($C232,'Dist. Plant Gas Additions'!$C$7:$C$91,0),MATCH(Calculation!$G232,'Dist. Plant Gas Additions'!$E$5:$AD$5,0))</f>
        <v>8861</v>
      </c>
      <c r="BM232" s="129">
        <f>INDEX('Gen. Plant Additions'!$E$7:$AD$91,MATCH($C232,'Gen. Plant Additions'!$C$7:$C$91,0),MATCH(Calculation!$G232,'Gen. Plant Additions'!$E$5:$AD$5,0))</f>
        <v>0</v>
      </c>
      <c r="BN232" s="393">
        <f t="shared" si="452"/>
        <v>1</v>
      </c>
      <c r="BO232" s="46">
        <f t="shared" si="445"/>
        <v>0</v>
      </c>
      <c r="BP232" s="46">
        <f t="shared" si="446"/>
        <v>0</v>
      </c>
      <c r="BQ232" s="129">
        <f>INDEX('Dist Plant Depreciation'!$D$7:$AC$94,MATCH($C232,'Dist Plant Depreciation'!$C$7:$C$94,0),MATCH(Calculation!$G232,'Dist Plant Depreciation'!$D$5:$AC$5,0))</f>
        <v>41719</v>
      </c>
      <c r="BR232" s="129">
        <f>INDEX('Gen. Plant Depreciation'!$D$7:$AC$94,MATCH($C232,'Gen. Plant Depreciation'!$C$7:$C$94,0),MATCH(Calculation!$G232,'Gen. Plant Depreciation'!$D$5:$AC$5,0))</f>
        <v>0</v>
      </c>
      <c r="BS232" s="129"/>
      <c r="BT232" s="129"/>
      <c r="BU232" s="129"/>
      <c r="BV232" s="129"/>
      <c r="BW232" s="129"/>
      <c r="BX232" s="129"/>
      <c r="BY232" s="129">
        <f>INDEX('Gross Dx Plant'!$D$7:$AC$91,MATCH($C232,'Gross Dx Plant'!$C$7:$C$91,0),MATCH(Calculation!$G232,'Gross Dx Plant'!$D$5:$AC$5,0))</f>
        <v>143692</v>
      </c>
      <c r="BZ232" s="129">
        <f>INDEX('Gross Gen Plant'!$D$7:$AC$91,MATCH($C232,'Gross Gen Plant'!$C$7:$C$91,0),MATCH(Calculation!$G232,'Gross Gen Plant'!$D$5:$AC$5,0))</f>
        <v>0</v>
      </c>
      <c r="CA232" s="129">
        <f t="shared" si="441"/>
        <v>101973</v>
      </c>
      <c r="CB232" s="129"/>
      <c r="CC232" s="133">
        <v>2002</v>
      </c>
      <c r="CD232" s="129"/>
      <c r="CE232" s="129"/>
      <c r="CF232" s="129"/>
      <c r="CG232" s="137"/>
      <c r="CH232" s="129">
        <f t="shared" si="453"/>
        <v>8861</v>
      </c>
      <c r="CI232" s="46">
        <f t="shared" si="462"/>
        <v>8861</v>
      </c>
      <c r="CJ232" s="46">
        <f t="shared" si="454"/>
        <v>24.522056122790815</v>
      </c>
      <c r="CK232" s="443">
        <v>0.95918367346938771</v>
      </c>
      <c r="CL232" s="46">
        <f>+CL228*CK232+CJ229*CK231+CJ230*CK230+CJ231*CK229+CJ232</f>
        <v>476.54269962042792</v>
      </c>
      <c r="CM232" s="134">
        <f t="shared" si="455"/>
        <v>4.154312683983679E-2</v>
      </c>
      <c r="CN232" s="135">
        <f t="shared" si="456"/>
        <v>1.1222901007660234E-2</v>
      </c>
      <c r="CO232" s="135">
        <f t="shared" ref="CO232:CO252" si="465">+(CN232+CN231+CN230)/3</f>
        <v>1.0464162115319175E-2</v>
      </c>
      <c r="CP232" s="134">
        <f>VLOOKUP($H232,RoR!$E:$F,2,FALSE)</f>
        <v>6.4916666666666664E-2</v>
      </c>
      <c r="CQ232" s="135">
        <v>1.5246423291824351E-2</v>
      </c>
      <c r="CR232" s="135">
        <f t="shared" si="463"/>
        <v>4.9670243374842313E-2</v>
      </c>
      <c r="CS232" s="135">
        <f t="shared" ref="CS232:CS252" si="466">+$CR$2-CO232</f>
        <v>2.0437779493214452E-2</v>
      </c>
      <c r="CT232" s="135">
        <f t="shared" ref="CT232:CT252" si="467">+((DF230/DF229-1)+(DF231/DF230-1)+(DF232/DF231-1))/3</f>
        <v>2.5243621214759093E-2</v>
      </c>
      <c r="CU232" s="139">
        <f t="shared" si="457"/>
        <v>0.85329623209999994</v>
      </c>
      <c r="CV232" s="335">
        <f t="shared" si="458"/>
        <v>0.78996741384417901</v>
      </c>
      <c r="CW232" s="335">
        <f t="shared" si="459"/>
        <v>0.58989088575096271</v>
      </c>
      <c r="CX232" s="335">
        <f t="shared" si="460"/>
        <v>0.91920675783645744</v>
      </c>
      <c r="CY232" s="335">
        <f t="shared" si="461"/>
        <v>0.42834536472275586</v>
      </c>
      <c r="CZ232" s="336">
        <f>INDEX('State Tax Lookup'!$D$7:$Z$91,MATCH(Calculation!$C232,'State Tax Lookup'!$B$7:$B$91,0),MATCH($H232,'State Tax Lookup'!$D$6:$Z$6,0))</f>
        <v>0.39649667</v>
      </c>
      <c r="DA232" s="303">
        <v>0.37</v>
      </c>
      <c r="DB232" s="57">
        <f t="shared" si="464"/>
        <v>10.406212517607432</v>
      </c>
      <c r="DC232" s="56">
        <f t="shared" ref="DC232:DC252" si="468">LN(DB232/DB231)</f>
        <v>6.0293162013295802E-4</v>
      </c>
      <c r="DD232" s="303">
        <f>VLOOKUP($H232,RoR!$E:$F,2,FALSE)</f>
        <v>6.4916666666666664E-2</v>
      </c>
      <c r="DE232" s="304">
        <f>HLOOKUP($H232,'GDP-PI'!$D$8:$CQ$11,3,FALSE)</f>
        <v>1.5246423291824351E-2</v>
      </c>
      <c r="DF232" s="303">
        <f>VLOOKUP(H232,'HW Dx Data'!$E:$F,2,FALSE)</f>
        <v>361.34816573413599</v>
      </c>
      <c r="DG232" s="89"/>
      <c r="DH232" s="89"/>
      <c r="DI232" s="89"/>
      <c r="DJ232" s="56"/>
      <c r="DK232" s="53">
        <f>HLOOKUP(H232,'GDP-PI'!$8:$9,2,FALSE)</f>
        <v>81.039000000000001</v>
      </c>
      <c r="DL232" s="355">
        <f>LN(DK232/DK231)</f>
        <v>1.513136459537477E-2</v>
      </c>
      <c r="EC232"/>
    </row>
    <row r="233" spans="1:133" s="126" customFormat="1" ht="21" customHeight="1" x14ac:dyDescent="0.4">
      <c r="A233" s="233" t="s">
        <v>196</v>
      </c>
      <c r="B233" s="127" t="s">
        <v>196</v>
      </c>
      <c r="C233" s="127">
        <v>4057076</v>
      </c>
      <c r="D233" s="127" t="s">
        <v>194</v>
      </c>
      <c r="E233" s="127" t="s">
        <v>15</v>
      </c>
      <c r="F233" s="127"/>
      <c r="G233" s="127" t="s">
        <v>159</v>
      </c>
      <c r="H233" s="128">
        <v>2003</v>
      </c>
      <c r="I233" s="129"/>
      <c r="J233" s="125"/>
      <c r="K233" s="125"/>
      <c r="L233" s="47"/>
      <c r="M233" s="131"/>
      <c r="N233" s="131"/>
      <c r="O233" s="131"/>
      <c r="P233" s="59"/>
      <c r="Q233" s="59"/>
      <c r="R233" s="386"/>
      <c r="S233" s="119"/>
      <c r="T233" s="59"/>
      <c r="U233" s="59"/>
      <c r="V233" s="125"/>
      <c r="W233" s="125"/>
      <c r="X233" s="125"/>
      <c r="Y233" s="125"/>
      <c r="Z233" s="125"/>
      <c r="AA233" s="125"/>
      <c r="AB233" s="125"/>
      <c r="AC233" s="125">
        <f t="shared" si="451"/>
        <v>4999.7229211604481</v>
      </c>
      <c r="AD233" s="129"/>
      <c r="AE233" s="133">
        <v>509.82998791315896</v>
      </c>
      <c r="AF233" s="134">
        <v>4.9269725002430355E-2</v>
      </c>
      <c r="AG233" s="61"/>
      <c r="AH233" s="134"/>
      <c r="AI233" s="134"/>
      <c r="AJ233" s="129">
        <f t="shared" si="444"/>
        <v>4999.7229211604481</v>
      </c>
      <c r="AK233" s="134"/>
      <c r="AL233" s="129"/>
      <c r="AM233" s="129"/>
      <c r="AN233" s="129"/>
      <c r="AO233" s="129"/>
      <c r="AP233" s="133"/>
      <c r="AQ233" s="134"/>
      <c r="AR233" s="93"/>
      <c r="AS233" s="93"/>
      <c r="AT233" s="93"/>
      <c r="AU233" s="93"/>
      <c r="AV233" s="93"/>
      <c r="AW233" s="134"/>
      <c r="AX233" s="62"/>
      <c r="AY233" s="93"/>
      <c r="AZ233" s="93"/>
      <c r="BA233" s="93"/>
      <c r="BB233" s="234">
        <f>IFERROR(INDEX('Total Customers'!$E$7:$AA$91,MATCH($C233,'Total Customers'!$C$7:$C$91,0),MATCH($G233,'Total Customers'!$E$5:$AA$5,0)),"NA")</f>
        <v>67914</v>
      </c>
      <c r="BC233" s="411">
        <f t="shared" si="400"/>
        <v>1.7183038182481632E-2</v>
      </c>
      <c r="BD233" s="92"/>
      <c r="BE233" s="281" t="str">
        <f t="shared" si="396"/>
        <v>CENTRAL HUDSON GAS &amp; ELECTRIC CORPORATION</v>
      </c>
      <c r="BF233" s="290">
        <f t="shared" si="397"/>
        <v>4057076</v>
      </c>
      <c r="BG233" s="46" t="str">
        <f t="shared" si="398"/>
        <v>NY</v>
      </c>
      <c r="BH233" s="46"/>
      <c r="BI233" s="46" t="str">
        <f t="shared" si="399"/>
        <v>2003 Y</v>
      </c>
      <c r="BJ233" s="129"/>
      <c r="BK233" s="129"/>
      <c r="BL233" s="129">
        <f>INDEX('Dist. Plant Gas Additions'!$E$7:$AD$91,MATCH($C233,'Dist. Plant Gas Additions'!$C$7:$C$91,0),MATCH(Calculation!$G233,'Dist. Plant Gas Additions'!$E$5:$AD$5,0))</f>
        <v>10063</v>
      </c>
      <c r="BM233" s="129">
        <f>INDEX('Gen. Plant Additions'!$E$7:$AD$91,MATCH($C233,'Gen. Plant Additions'!$C$7:$C$91,0),MATCH(Calculation!$G233,'Gen. Plant Additions'!$E$5:$AD$5,0))</f>
        <v>0</v>
      </c>
      <c r="BN233" s="393">
        <f t="shared" si="452"/>
        <v>1</v>
      </c>
      <c r="BO233" s="46">
        <f t="shared" si="445"/>
        <v>0</v>
      </c>
      <c r="BP233" s="46">
        <f t="shared" si="446"/>
        <v>0</v>
      </c>
      <c r="BQ233" s="129">
        <f>INDEX('Dist Plant Depreciation'!$D$7:$AC$94,MATCH($C233,'Dist Plant Depreciation'!$C$7:$C$94,0),MATCH(Calculation!$G233,'Dist Plant Depreciation'!$D$5:$AC$5,0))</f>
        <v>44335</v>
      </c>
      <c r="BR233" s="129">
        <f>INDEX('Gen. Plant Depreciation'!$D$7:$AC$94,MATCH($C233,'Gen. Plant Depreciation'!$C$7:$C$94,0),MATCH(Calculation!$G233,'Gen. Plant Depreciation'!$D$5:$AC$5,0))</f>
        <v>0</v>
      </c>
      <c r="BS233" s="129"/>
      <c r="BT233" s="129"/>
      <c r="BU233" s="129"/>
      <c r="BV233" s="129"/>
      <c r="BW233" s="129"/>
      <c r="BX233" s="129"/>
      <c r="BY233" s="129">
        <f>INDEX('Gross Dx Plant'!$D$7:$AC$91,MATCH($C233,'Gross Dx Plant'!$C$7:$C$91,0),MATCH(Calculation!$G233,'Gross Dx Plant'!$D$5:$AC$5,0))</f>
        <v>153214</v>
      </c>
      <c r="BZ233" s="129">
        <f>INDEX('Gross Gen Plant'!$D$7:$AC$91,MATCH($C233,'Gross Gen Plant'!$C$7:$C$91,0),MATCH(Calculation!$G233,'Gross Gen Plant'!$D$5:$AC$5,0))</f>
        <v>0</v>
      </c>
      <c r="CA233" s="129">
        <f t="shared" si="441"/>
        <v>108879</v>
      </c>
      <c r="CB233" s="129"/>
      <c r="CC233" s="133">
        <v>2003</v>
      </c>
      <c r="CD233" s="129"/>
      <c r="CE233" s="129"/>
      <c r="CF233" s="129"/>
      <c r="CG233" s="137"/>
      <c r="CH233" s="129">
        <f t="shared" si="453"/>
        <v>10063</v>
      </c>
      <c r="CI233" s="46">
        <f t="shared" si="462"/>
        <v>10063</v>
      </c>
      <c r="CJ233" s="46">
        <f t="shared" si="454"/>
        <v>27.253792866342646</v>
      </c>
      <c r="CK233" s="443">
        <v>0.94845360824742264</v>
      </c>
      <c r="CL233" s="46">
        <f>+CL228*CK233+CJ229*CK232+CJ230*CK231+CJ231*CK230+CJ232*CK229+CJ233</f>
        <v>498.5371565459277</v>
      </c>
      <c r="CM233" s="134">
        <f t="shared" si="455"/>
        <v>4.5120793290919996E-2</v>
      </c>
      <c r="CN233" s="135">
        <f t="shared" si="456"/>
        <v>1.103644215939515E-2</v>
      </c>
      <c r="CO233" s="135">
        <f t="shared" si="465"/>
        <v>1.0747412026265094E-2</v>
      </c>
      <c r="CP233" s="134">
        <f>VLOOKUP($H233,RoR!$E:$F,2,FALSE)</f>
        <v>5.6666666666666671E-2</v>
      </c>
      <c r="CQ233" s="135">
        <v>1.8855119140166909E-2</v>
      </c>
      <c r="CR233" s="135">
        <f t="shared" si="463"/>
        <v>3.7811547526499761E-2</v>
      </c>
      <c r="CS233" s="135">
        <f t="shared" si="466"/>
        <v>2.0154529582268529E-2</v>
      </c>
      <c r="CT233" s="135">
        <f t="shared" si="467"/>
        <v>2.1375012817671957E-2</v>
      </c>
      <c r="CU233" s="139">
        <f t="shared" si="457"/>
        <v>0.85329623209999994</v>
      </c>
      <c r="CV233" s="335">
        <f t="shared" si="458"/>
        <v>0.90497737556561086</v>
      </c>
      <c r="CW233" s="335">
        <f t="shared" si="459"/>
        <v>0.5338235294117647</v>
      </c>
      <c r="CX233" s="335">
        <f t="shared" si="460"/>
        <v>0.88972433127405692</v>
      </c>
      <c r="CY233" s="335">
        <f t="shared" si="461"/>
        <v>0.42982423775949252</v>
      </c>
      <c r="CZ233" s="336">
        <f>INDEX('State Tax Lookup'!$D$7:$Z$91,MATCH(Calculation!$C233,'State Tax Lookup'!$B$7:$B$91,0),MATCH($H233,'State Tax Lookup'!$D$6:$Z$6,0))</f>
        <v>0.39649667</v>
      </c>
      <c r="DA233" s="303">
        <v>0.37</v>
      </c>
      <c r="DB233" s="57">
        <f t="shared" si="464"/>
        <v>10.491657778290987</v>
      </c>
      <c r="DC233" s="56">
        <f t="shared" si="468"/>
        <v>8.1774588149721213E-3</v>
      </c>
      <c r="DD233" s="303">
        <f>VLOOKUP($H233,RoR!$E:$F,2,FALSE)</f>
        <v>5.6666666666666671E-2</v>
      </c>
      <c r="DE233" s="304">
        <f>HLOOKUP($H233,'GDP-PI'!$D$8:$CQ$11,3,FALSE)</f>
        <v>1.8855119140166909E-2</v>
      </c>
      <c r="DF233" s="303">
        <f>VLOOKUP(H233,'HW Dx Data'!$E:$F,2,FALSE)</f>
        <v>369.23301095560191</v>
      </c>
      <c r="DG233" s="89">
        <f ca="1">VLOOKUP(CC233,'ECI - Input Price'!M$13:N$33,2,FALSE)</f>
        <v>89.25</v>
      </c>
      <c r="DH233" s="89"/>
      <c r="DI233" s="89"/>
      <c r="DJ233" s="56"/>
      <c r="DK233" s="53">
        <f>HLOOKUP(H233,'GDP-PI'!$8:$9,2,FALSE)</f>
        <v>82.566999999999993</v>
      </c>
      <c r="DL233" s="355">
        <f t="shared" ref="DL233:DL252" si="469">LN(DK233/DK232)</f>
        <v>1.8679564681853753E-2</v>
      </c>
      <c r="EC233"/>
    </row>
    <row r="234" spans="1:133" s="126" customFormat="1" ht="21" customHeight="1" x14ac:dyDescent="0.4">
      <c r="A234" s="233" t="s">
        <v>196</v>
      </c>
      <c r="B234" s="127" t="s">
        <v>196</v>
      </c>
      <c r="C234" s="127">
        <v>4057076</v>
      </c>
      <c r="D234" s="127" t="s">
        <v>194</v>
      </c>
      <c r="E234" s="127" t="s">
        <v>15</v>
      </c>
      <c r="F234" s="127"/>
      <c r="G234" s="127" t="s">
        <v>160</v>
      </c>
      <c r="H234" s="128">
        <v>2004</v>
      </c>
      <c r="I234" s="129"/>
      <c r="J234" s="125"/>
      <c r="K234" s="125">
        <f t="shared" ref="K234:K252" ca="1" si="470">+J234/DG234</f>
        <v>0</v>
      </c>
      <c r="L234" s="47"/>
      <c r="M234" s="131"/>
      <c r="N234" s="131"/>
      <c r="O234" s="131"/>
      <c r="P234" s="59"/>
      <c r="Q234" s="59"/>
      <c r="R234" s="386"/>
      <c r="S234" s="119"/>
      <c r="T234" s="59"/>
      <c r="U234" s="59"/>
      <c r="V234" s="125"/>
      <c r="W234" s="125">
        <f t="shared" ref="W234:W252" si="471">+V234/DK234</f>
        <v>0</v>
      </c>
      <c r="X234" s="125"/>
      <c r="Y234" s="125"/>
      <c r="Z234" s="125"/>
      <c r="AA234" s="125"/>
      <c r="AB234" s="125"/>
      <c r="AC234" s="125">
        <f t="shared" si="451"/>
        <v>5725.3728481281187</v>
      </c>
      <c r="AD234" s="129"/>
      <c r="AE234" s="133">
        <v>544.79628392057282</v>
      </c>
      <c r="AF234" s="134">
        <v>6.6334620705016709E-2</v>
      </c>
      <c r="AG234" s="59">
        <f t="shared" ref="AG234:AG252" si="472">+AF234*$AX234</f>
        <v>0</v>
      </c>
      <c r="AH234" s="134"/>
      <c r="AI234" s="134"/>
      <c r="AJ234" s="129">
        <f t="shared" si="444"/>
        <v>5725.3728481281187</v>
      </c>
      <c r="AK234" s="134"/>
      <c r="AL234" s="129"/>
      <c r="AM234" s="129"/>
      <c r="AN234" s="129"/>
      <c r="AO234" s="129"/>
      <c r="AP234" s="133"/>
      <c r="AQ234" s="134"/>
      <c r="AR234" s="93">
        <f t="shared" ref="AR234:AR252" si="473">+J234/AJ234</f>
        <v>0</v>
      </c>
      <c r="AS234" s="93">
        <f t="shared" ref="AS234:AS252" si="474">+V234/AJ234</f>
        <v>0</v>
      </c>
      <c r="AT234" s="93">
        <f t="shared" ref="AT234:AT252" si="475">+AC234/AJ234</f>
        <v>1</v>
      </c>
      <c r="AU234" s="93"/>
      <c r="AV234" s="93"/>
      <c r="AW234" s="134"/>
      <c r="AX234" s="62"/>
      <c r="AY234" s="93"/>
      <c r="AZ234" s="93"/>
      <c r="BA234" s="93"/>
      <c r="BB234" s="234">
        <f>IFERROR(INDEX('Total Customers'!$E$7:$AA$91,MATCH($C234,'Total Customers'!$C$7:$C$91,0),MATCH($G234,'Total Customers'!$E$5:$AA$5,0)),"NA")</f>
        <v>69081</v>
      </c>
      <c r="BC234" s="411">
        <f t="shared" si="400"/>
        <v>1.703753026525387E-2</v>
      </c>
      <c r="BD234" s="92"/>
      <c r="BE234" s="281" t="str">
        <f t="shared" si="396"/>
        <v>CENTRAL HUDSON GAS &amp; ELECTRIC CORPORATION</v>
      </c>
      <c r="BF234" s="290">
        <f t="shared" si="397"/>
        <v>4057076</v>
      </c>
      <c r="BG234" s="46" t="str">
        <f t="shared" si="398"/>
        <v>NY</v>
      </c>
      <c r="BH234" s="46"/>
      <c r="BI234" s="46" t="str">
        <f t="shared" si="399"/>
        <v>2004 Y</v>
      </c>
      <c r="BJ234" s="129"/>
      <c r="BK234" s="129"/>
      <c r="BL234" s="129">
        <f>INDEX('Dist. Plant Gas Additions'!$E$7:$AD$91,MATCH($C234,'Dist. Plant Gas Additions'!$C$7:$C$91,0),MATCH(Calculation!$G234,'Dist. Plant Gas Additions'!$E$5:$AD$5,0))</f>
        <v>15738</v>
      </c>
      <c r="BM234" s="129">
        <f>INDEX('Gen. Plant Additions'!$E$7:$AD$91,MATCH($C234,'Gen. Plant Additions'!$C$7:$C$91,0),MATCH(Calculation!$G234,'Gen. Plant Additions'!$E$5:$AD$5,0))</f>
        <v>0</v>
      </c>
      <c r="BN234" s="393">
        <f t="shared" si="452"/>
        <v>1</v>
      </c>
      <c r="BO234" s="46">
        <f t="shared" si="445"/>
        <v>0</v>
      </c>
      <c r="BP234" s="46">
        <f t="shared" si="446"/>
        <v>0</v>
      </c>
      <c r="BQ234" s="129">
        <f>INDEX('Dist Plant Depreciation'!$D$7:$AC$94,MATCH($C234,'Dist Plant Depreciation'!$C$7:$C$94,0),MATCH(Calculation!$G234,'Dist Plant Depreciation'!$D$5:$AC$5,0))</f>
        <v>46729</v>
      </c>
      <c r="BR234" s="129">
        <f>INDEX('Gen. Plant Depreciation'!$D$7:$AC$94,MATCH($C234,'Gen. Plant Depreciation'!$C$7:$C$94,0),MATCH(Calculation!$G234,'Gen. Plant Depreciation'!$D$5:$AC$5,0))</f>
        <v>0</v>
      </c>
      <c r="BS234" s="129"/>
      <c r="BT234" s="129"/>
      <c r="BU234" s="129"/>
      <c r="BV234" s="129"/>
      <c r="BW234" s="129"/>
      <c r="BX234" s="129"/>
      <c r="BY234" s="129">
        <f>INDEX('Gross Dx Plant'!$D$7:$AC$91,MATCH($C234,'Gross Dx Plant'!$C$7:$C$91,0),MATCH(Calculation!$G234,'Gross Dx Plant'!$D$5:$AC$5,0))</f>
        <v>168147</v>
      </c>
      <c r="BZ234" s="129">
        <f>INDEX('Gross Gen Plant'!$D$7:$AC$91,MATCH($C234,'Gross Gen Plant'!$C$7:$C$91,0),MATCH(Calculation!$G234,'Gross Gen Plant'!$D$5:$AC$5,0))</f>
        <v>0</v>
      </c>
      <c r="CA234" s="129">
        <f t="shared" si="441"/>
        <v>121418</v>
      </c>
      <c r="CB234" s="129"/>
      <c r="CC234" s="133">
        <v>2004</v>
      </c>
      <c r="CD234" s="129"/>
      <c r="CE234" s="129"/>
      <c r="CF234" s="129"/>
      <c r="CG234" s="137"/>
      <c r="CH234" s="129">
        <f t="shared" si="453"/>
        <v>15738</v>
      </c>
      <c r="CI234" s="46">
        <f t="shared" si="462"/>
        <v>15738</v>
      </c>
      <c r="CJ234" s="46">
        <f t="shared" si="454"/>
        <v>37.933202875469718</v>
      </c>
      <c r="CK234" s="443">
        <v>0.9375</v>
      </c>
      <c r="CL234" s="46">
        <f>+CL228*CK234+CJ229*CK233+CJ230*CK232+CJ231*CK231+CJ232*CK230+CJ233*CK229+CJ234</f>
        <v>530.83208125419299</v>
      </c>
      <c r="CM234" s="134">
        <f t="shared" si="455"/>
        <v>6.276761674447752E-2</v>
      </c>
      <c r="CN234" s="135">
        <f t="shared" si="456"/>
        <v>1.1309644814177471E-2</v>
      </c>
      <c r="CO234" s="135">
        <f t="shared" si="465"/>
        <v>1.1189662660410951E-2</v>
      </c>
      <c r="CP234" s="134">
        <f>VLOOKUP($H234,RoR!$E:$F,2,FALSE)</f>
        <v>5.6283333333333331E-2</v>
      </c>
      <c r="CQ234" s="135">
        <v>2.6778252812867276E-2</v>
      </c>
      <c r="CR234" s="135">
        <f t="shared" si="463"/>
        <v>2.9505080520466055E-2</v>
      </c>
      <c r="CS234" s="135">
        <f t="shared" si="466"/>
        <v>1.9712278948122674E-2</v>
      </c>
      <c r="CT234" s="135">
        <f t="shared" si="467"/>
        <v>5.5940039414565046E-2</v>
      </c>
      <c r="CU234" s="139">
        <f t="shared" si="457"/>
        <v>0.85329623209999994</v>
      </c>
      <c r="CV234" s="335">
        <f t="shared" si="458"/>
        <v>0.91114097628755619</v>
      </c>
      <c r="CW234" s="335">
        <f t="shared" si="459"/>
        <v>0.53081877405981637</v>
      </c>
      <c r="CX234" s="335">
        <f t="shared" si="460"/>
        <v>0.88811215519385678</v>
      </c>
      <c r="CY234" s="335">
        <f t="shared" si="461"/>
        <v>0.42953609753547711</v>
      </c>
      <c r="CZ234" s="336">
        <f>INDEX('State Tax Lookup'!$D$7:$Z$91,MATCH(Calculation!$C234,'State Tax Lookup'!$B$7:$B$91,0),MATCH($H234,'State Tax Lookup'!$D$6:$Z$6,0))</f>
        <v>0.39649667</v>
      </c>
      <c r="DA234" s="303">
        <v>0.37</v>
      </c>
      <c r="DB234" s="57">
        <f t="shared" si="464"/>
        <v>11.484345294934238</v>
      </c>
      <c r="DC234" s="56">
        <f t="shared" si="468"/>
        <v>9.0404385208666074E-2</v>
      </c>
      <c r="DD234" s="303">
        <f>VLOOKUP($H234,RoR!$E:$F,2,FALSE)</f>
        <v>5.6283333333333331E-2</v>
      </c>
      <c r="DE234" s="304">
        <f>HLOOKUP($H234,'GDP-PI'!$D$8:$CQ$11,3,FALSE)</f>
        <v>2.6778252812867276E-2</v>
      </c>
      <c r="DF234" s="303">
        <f>VLOOKUP(H234,'HW Dx Data'!$E:$F,2,FALSE)</f>
        <v>414.88719135228365</v>
      </c>
      <c r="DG234" s="89">
        <f ca="1">VLOOKUP(CC234,'ECI - Input Price'!M$13:N$33,2,FALSE)</f>
        <v>94.35</v>
      </c>
      <c r="DH234" s="89"/>
      <c r="DI234" s="89"/>
      <c r="DJ234" s="56">
        <f t="shared" ref="DJ234:DJ252" ca="1" si="476">LN(DG234/DG233)</f>
        <v>5.5569851154810786E-2</v>
      </c>
      <c r="DK234" s="53">
        <f>HLOOKUP(H234,'GDP-PI'!$8:$9,2,FALSE)</f>
        <v>84.778000000000006</v>
      </c>
      <c r="DL234" s="355">
        <f t="shared" si="469"/>
        <v>2.6425990216022755E-2</v>
      </c>
      <c r="EC234"/>
    </row>
    <row r="235" spans="1:133" s="126" customFormat="1" ht="21" customHeight="1" x14ac:dyDescent="0.4">
      <c r="A235" s="233" t="s">
        <v>196</v>
      </c>
      <c r="B235" s="127" t="s">
        <v>196</v>
      </c>
      <c r="C235" s="127">
        <v>4057076</v>
      </c>
      <c r="D235" s="127" t="s">
        <v>194</v>
      </c>
      <c r="E235" s="127" t="s">
        <v>15</v>
      </c>
      <c r="F235" s="127"/>
      <c r="G235" s="127" t="s">
        <v>161</v>
      </c>
      <c r="H235" s="128">
        <v>2005</v>
      </c>
      <c r="I235" s="129"/>
      <c r="J235" s="125">
        <f>IFERROR(INDEX('Labor Expenditures'!$E$7:$W$91,MATCH($C235,'Labor Expenditures'!$C$7:$C$91,0),MATCH($G235,'Labor Expenditures'!$E$5:$W$5,0)),"NA")</f>
        <v>5599.9993822991601</v>
      </c>
      <c r="K235" s="125">
        <f t="shared" ca="1" si="470"/>
        <v>56.43738354546899</v>
      </c>
      <c r="L235" s="47"/>
      <c r="M235" s="131"/>
      <c r="N235" s="131"/>
      <c r="O235" s="131"/>
      <c r="P235" s="59"/>
      <c r="Q235" s="61"/>
      <c r="R235" s="387"/>
      <c r="S235" s="49">
        <v>100</v>
      </c>
      <c r="T235" s="46"/>
      <c r="U235" s="46"/>
      <c r="V235" s="125">
        <f>IFERROR(INDEX('Non-Labor Expenditures'!$E$7:$AA$91,MATCH($C235,'Non-Labor Expenditures'!$C$7:$C$91,0),MATCH($G235,'Non-Labor Expenditures'!$E$5:$AA$5,0)),"NA")</f>
        <v>8109.8450411779668</v>
      </c>
      <c r="W235" s="125">
        <f t="shared" si="471"/>
        <v>92.782557932178975</v>
      </c>
      <c r="X235" s="131"/>
      <c r="Y235" s="131"/>
      <c r="Z235" s="131"/>
      <c r="AA235" s="131"/>
      <c r="AB235" s="131"/>
      <c r="AC235" s="125">
        <f t="shared" si="451"/>
        <v>6834.1833491077423</v>
      </c>
      <c r="AD235" s="129"/>
      <c r="AE235" s="133">
        <v>567.8441072225454</v>
      </c>
      <c r="AF235" s="134">
        <v>4.1434988120559166E-2</v>
      </c>
      <c r="AG235" s="59">
        <f t="shared" si="472"/>
        <v>0</v>
      </c>
      <c r="AH235" s="134"/>
      <c r="AI235" s="134"/>
      <c r="AJ235" s="129">
        <f t="shared" si="444"/>
        <v>20544.027772584868</v>
      </c>
      <c r="AK235" s="134">
        <f>LN(AJ235/AJ234)</f>
        <v>1.2776626057350584</v>
      </c>
      <c r="AL235" s="129"/>
      <c r="AM235" s="129"/>
      <c r="AN235" s="129"/>
      <c r="AO235" s="129"/>
      <c r="AP235" s="133"/>
      <c r="AQ235" s="134"/>
      <c r="AR235" s="93">
        <f t="shared" si="473"/>
        <v>0.27258527121795079</v>
      </c>
      <c r="AS235" s="93">
        <f t="shared" si="474"/>
        <v>0.39475438462949364</v>
      </c>
      <c r="AT235" s="93">
        <f t="shared" si="475"/>
        <v>0.33266034415255558</v>
      </c>
      <c r="AU235" s="93">
        <f>+(((AR235+AR234)/2)*M235+((AS234+AS235)/2)*X235+((AT234+AT235)/2)*AF235)</f>
        <v>2.7609382764350713E-2</v>
      </c>
      <c r="AV235" s="132">
        <v>100</v>
      </c>
      <c r="AW235" s="134"/>
      <c r="AX235" s="15"/>
      <c r="AY235" s="93"/>
      <c r="AZ235" s="93"/>
      <c r="BA235" s="93"/>
      <c r="BB235" s="234">
        <f>IFERROR(INDEX('Total Customers'!$E$7:$AA$91,MATCH($C235,'Total Customers'!$C$7:$C$91,0),MATCH($G235,'Total Customers'!$E$5:$AA$5,0)),"NA")</f>
        <v>70714</v>
      </c>
      <c r="BC235" s="411">
        <f t="shared" si="400"/>
        <v>2.3363843957582169E-2</v>
      </c>
      <c r="BD235" s="92"/>
      <c r="BE235" s="281" t="str">
        <f t="shared" si="396"/>
        <v>CENTRAL HUDSON GAS &amp; ELECTRIC CORPORATION</v>
      </c>
      <c r="BF235" s="290">
        <f t="shared" si="397"/>
        <v>4057076</v>
      </c>
      <c r="BG235" s="46" t="str">
        <f t="shared" si="398"/>
        <v>NY</v>
      </c>
      <c r="BH235" s="46"/>
      <c r="BI235" s="46" t="str">
        <f t="shared" si="399"/>
        <v>2005 Y</v>
      </c>
      <c r="BJ235" s="129"/>
      <c r="BK235" s="129"/>
      <c r="BL235" s="129">
        <f>INDEX('Dist. Plant Gas Additions'!$E$7:$AD$91,MATCH($C235,'Dist. Plant Gas Additions'!$C$7:$C$91,0),MATCH(Calculation!$G235,'Dist. Plant Gas Additions'!$E$5:$AD$5,0))</f>
        <v>12340</v>
      </c>
      <c r="BM235" s="129">
        <f>INDEX('Gen. Plant Additions'!$E$7:$AD$91,MATCH($C235,'Gen. Plant Additions'!$C$7:$C$91,0),MATCH(Calculation!$G235,'Gen. Plant Additions'!$E$5:$AD$5,0))</f>
        <v>0</v>
      </c>
      <c r="BN235" s="393">
        <f t="shared" si="452"/>
        <v>1</v>
      </c>
      <c r="BO235" s="46">
        <f t="shared" si="445"/>
        <v>0</v>
      </c>
      <c r="BP235" s="46">
        <f t="shared" si="446"/>
        <v>0</v>
      </c>
      <c r="BQ235" s="129">
        <f>INDEX('Dist Plant Depreciation'!$D$7:$AC$94,MATCH($C235,'Dist Plant Depreciation'!$C$7:$C$94,0),MATCH(Calculation!$G235,'Dist Plant Depreciation'!$D$5:$AC$5,0))</f>
        <v>49636</v>
      </c>
      <c r="BR235" s="129">
        <f>INDEX('Gen. Plant Depreciation'!$D$7:$AC$94,MATCH($C235,'Gen. Plant Depreciation'!$C$7:$C$94,0),MATCH(Calculation!$G235,'Gen. Plant Depreciation'!$D$5:$AC$5,0))</f>
        <v>0</v>
      </c>
      <c r="BS235" s="129"/>
      <c r="BT235" s="129"/>
      <c r="BU235" s="129"/>
      <c r="BV235" s="129"/>
      <c r="BW235" s="129"/>
      <c r="BX235" s="129"/>
      <c r="BY235" s="129">
        <f>INDEX('Gross Dx Plant'!$D$7:$AC$91,MATCH($C235,'Gross Dx Plant'!$C$7:$C$91,0),MATCH(Calculation!$G235,'Gross Dx Plant'!$D$5:$AC$5,0))</f>
        <v>179702</v>
      </c>
      <c r="BZ235" s="129">
        <f>INDEX('Gross Gen Plant'!$D$7:$AC$91,MATCH($C235,'Gross Gen Plant'!$C$7:$C$91,0),MATCH(Calculation!$G235,'Gross Gen Plant'!$D$5:$AC$5,0))</f>
        <v>0</v>
      </c>
      <c r="CA235" s="129">
        <f t="shared" si="441"/>
        <v>130066</v>
      </c>
      <c r="CB235" s="129"/>
      <c r="CC235" s="133">
        <v>2005</v>
      </c>
      <c r="CD235" s="129"/>
      <c r="CE235" s="129"/>
      <c r="CF235" s="129"/>
      <c r="CG235" s="137"/>
      <c r="CH235" s="129">
        <f t="shared" si="453"/>
        <v>12340</v>
      </c>
      <c r="CI235" s="46">
        <f t="shared" si="462"/>
        <v>12340</v>
      </c>
      <c r="CJ235" s="46">
        <f t="shared" si="454"/>
        <v>26.299797122452315</v>
      </c>
      <c r="CK235" s="443">
        <v>0.9263157894736842</v>
      </c>
      <c r="CL235" s="46">
        <f>+CL228*CK235+CJ229*CK234+CJ230*CK233+CJ231*CK232+CJ232*CK231+CJ233*CK230+CJ234*CK229+CJ235</f>
        <v>551.00009354645067</v>
      </c>
      <c r="CM235" s="134">
        <f t="shared" si="455"/>
        <v>3.728923885806254E-2</v>
      </c>
      <c r="CN235" s="135">
        <f t="shared" si="456"/>
        <v>1.1551270254252732E-2</v>
      </c>
      <c r="CO235" s="135">
        <f t="shared" si="465"/>
        <v>1.1299119075941784E-2</v>
      </c>
      <c r="CP235" s="134">
        <f>VLOOKUP($H235,RoR!$E:$F,2,FALSE)</f>
        <v>5.2350000000000001E-2</v>
      </c>
      <c r="CQ235" s="135">
        <v>3.1010403642454332E-2</v>
      </c>
      <c r="CR235" s="135">
        <f t="shared" si="463"/>
        <v>2.1339596357545669E-2</v>
      </c>
      <c r="CS235" s="135">
        <f t="shared" si="466"/>
        <v>1.9602822532591841E-2</v>
      </c>
      <c r="CT235" s="135">
        <f t="shared" si="467"/>
        <v>9.2129610649277341E-2</v>
      </c>
      <c r="CU235" s="139">
        <f t="shared" si="457"/>
        <v>0.85329623209999994</v>
      </c>
      <c r="CV235" s="335">
        <f t="shared" si="458"/>
        <v>0.97959983346802826</v>
      </c>
      <c r="CW235" s="335">
        <f t="shared" si="459"/>
        <v>0.49744508118433622</v>
      </c>
      <c r="CX235" s="335">
        <f t="shared" si="460"/>
        <v>0.87010519444335932</v>
      </c>
      <c r="CY235" s="335">
        <f t="shared" si="461"/>
        <v>0.42399975420741998</v>
      </c>
      <c r="CZ235" s="336">
        <f>INDEX('State Tax Lookup'!$D$7:$Z$91,MATCH(Calculation!$C235,'State Tax Lookup'!$B$7:$B$91,0),MATCH($H235,'State Tax Lookup'!$D$6:$Z$6,0))</f>
        <v>0.39649667</v>
      </c>
      <c r="DA235" s="303">
        <v>0.37</v>
      </c>
      <c r="DB235" s="57">
        <f t="shared" si="464"/>
        <v>12.874473096955008</v>
      </c>
      <c r="DC235" s="56">
        <f t="shared" si="468"/>
        <v>0.1142616919177501</v>
      </c>
      <c r="DD235" s="303">
        <f>VLOOKUP($H235,RoR!$E:$F,2,FALSE)</f>
        <v>5.2350000000000001E-2</v>
      </c>
      <c r="DE235" s="304">
        <f>HLOOKUP($H235,'GDP-PI'!$D$8:$CQ$11,3,FALSE)</f>
        <v>3.1010403642454332E-2</v>
      </c>
      <c r="DF235" s="303">
        <f>VLOOKUP(H235,'HW Dx Data'!$E:$F,2,FALSE)</f>
        <v>469.20514034936258</v>
      </c>
      <c r="DG235" s="89">
        <f ca="1">VLOOKUP(CC235,'ECI - Input Price'!M$13:N$33,2,FALSE)</f>
        <v>99.224999999999994</v>
      </c>
      <c r="DH235" s="89"/>
      <c r="DI235" s="89"/>
      <c r="DJ235" s="56">
        <f t="shared" ca="1" si="476"/>
        <v>5.0378726854569796E-2</v>
      </c>
      <c r="DK235" s="53">
        <f>HLOOKUP(H235,'GDP-PI'!$8:$9,2,FALSE)</f>
        <v>87.406999999999996</v>
      </c>
      <c r="DL235" s="355">
        <f t="shared" si="469"/>
        <v>3.0539295810733648E-2</v>
      </c>
      <c r="EC235"/>
    </row>
    <row r="236" spans="1:133" s="126" customFormat="1" ht="21" customHeight="1" x14ac:dyDescent="0.4">
      <c r="A236" s="233" t="s">
        <v>196</v>
      </c>
      <c r="B236" s="127" t="s">
        <v>196</v>
      </c>
      <c r="C236" s="127">
        <v>4057076</v>
      </c>
      <c r="D236" s="127" t="s">
        <v>194</v>
      </c>
      <c r="E236" s="127" t="s">
        <v>15</v>
      </c>
      <c r="F236" s="127"/>
      <c r="G236" s="127" t="s">
        <v>162</v>
      </c>
      <c r="H236" s="128">
        <v>2006</v>
      </c>
      <c r="I236" s="129"/>
      <c r="J236" s="125">
        <f>IFERROR(INDEX('Labor Expenditures'!$E$7:$W$91,MATCH($C236,'Labor Expenditures'!$C$7:$C$91,0),MATCH($G236,'Labor Expenditures'!$E$5:$W$5,0)),"NA")</f>
        <v>6216.7600738173915</v>
      </c>
      <c r="K236" s="125">
        <f t="shared" ca="1" si="470"/>
        <v>56.825960455369206</v>
      </c>
      <c r="L236" s="47"/>
      <c r="M236" s="131">
        <f t="shared" ref="M236:M251" ca="1" si="477">LN(K236/K235)</f>
        <v>6.8615038316454293E-3</v>
      </c>
      <c r="N236" s="131"/>
      <c r="O236" s="131"/>
      <c r="P236" s="59">
        <f t="shared" ref="P236:P252" ca="1" si="478">+M236*$AX236</f>
        <v>2.0738451790622116E-5</v>
      </c>
      <c r="Q236" s="61"/>
      <c r="R236" s="387"/>
      <c r="S236" s="49">
        <f ca="1">+S235*EXP(T236)</f>
        <v>106.02191281040059</v>
      </c>
      <c r="T236" s="61">
        <f ca="1">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</f>
        <v>5.8475611385805218E-2</v>
      </c>
      <c r="U236" s="61"/>
      <c r="V236" s="125">
        <f>IFERROR(INDEX('Non-Labor Expenditures'!$E$7:$AA$91,MATCH($C236,'Non-Labor Expenditures'!$C$7:$C$91,0),MATCH($G236,'Non-Labor Expenditures'!$E$5:$AA$5,0)),"NA")</f>
        <v>9003.0297175036012</v>
      </c>
      <c r="W236" s="125">
        <f t="shared" si="471"/>
        <v>99.951481198832084</v>
      </c>
      <c r="X236" s="131">
        <f t="shared" ref="X236:X251" si="479">LN(W236/W235)</f>
        <v>7.4426211424942906E-2</v>
      </c>
      <c r="Y236" s="131">
        <f t="shared" ref="Y236:Y252" si="480">+X236*AX236</f>
        <v>2.2494841298145726E-4</v>
      </c>
      <c r="Z236" s="131"/>
      <c r="AA236" s="131"/>
      <c r="AB236" s="131"/>
      <c r="AC236" s="125">
        <f t="shared" si="451"/>
        <v>6884.3198710377092</v>
      </c>
      <c r="AD236" s="129"/>
      <c r="AE236" s="133">
        <v>591.58583437749394</v>
      </c>
      <c r="AF236" s="134">
        <v>4.0959864019673928E-2</v>
      </c>
      <c r="AG236" s="59">
        <f t="shared" si="472"/>
        <v>1.2379854127673692E-4</v>
      </c>
      <c r="AH236" s="134"/>
      <c r="AI236" s="134"/>
      <c r="AJ236" s="129">
        <f t="shared" si="444"/>
        <v>22104.1096623587</v>
      </c>
      <c r="AK236" s="134">
        <f t="shared" ref="AK236:AK252" si="481">LN(AJ236/AJ235)</f>
        <v>7.3193269443208683E-2</v>
      </c>
      <c r="AL236" s="129"/>
      <c r="AM236" s="129"/>
      <c r="AN236" s="129"/>
      <c r="AO236" s="129"/>
      <c r="AP236" s="133">
        <f t="shared" ref="AP236:AP252" si="482">+(AJ236*1000)/BB236</f>
        <v>306.90348447521905</v>
      </c>
      <c r="AQ236" s="134">
        <f>+BB236/Outputs!$B$14</f>
        <v>2.076701005197332E-3</v>
      </c>
      <c r="AR236" s="93">
        <f t="shared" si="473"/>
        <v>0.28124906041359232</v>
      </c>
      <c r="AS236" s="93">
        <f t="shared" si="474"/>
        <v>0.40730116955739443</v>
      </c>
      <c r="AT236" s="93">
        <f t="shared" si="475"/>
        <v>0.31144977002901336</v>
      </c>
      <c r="AU236" s="93">
        <f ca="1">+(((AR236+AR235)/2)*M236+((AS235+AS236)/2)*X236+((AT235+AT236)/2)*AF236)</f>
        <v>4.4938377664811707E-2</v>
      </c>
      <c r="AV236" s="132">
        <f ca="1">+AV235*EXP(AU236)</f>
        <v>104.59634032153238</v>
      </c>
      <c r="AW236" s="134">
        <f ca="1">LN(AV236/AV235)</f>
        <v>4.4938377664811742E-2</v>
      </c>
      <c r="AX236" s="56">
        <f>+AJ236/$AL$11</f>
        <v>3.0224353581172472E-3</v>
      </c>
      <c r="AY236" s="135">
        <f ca="1">+AX236*AW236</f>
        <v>1.3582334159055337E-4</v>
      </c>
      <c r="AZ236" s="93"/>
      <c r="BA236" s="93"/>
      <c r="BB236" s="234">
        <f>IFERROR(INDEX('Total Customers'!$E$7:$AA$91,MATCH($C236,'Total Customers'!$C$7:$C$91,0),MATCH($G236,'Total Customers'!$E$5:$AA$5,0)),"NA")</f>
        <v>72023</v>
      </c>
      <c r="BC236" s="411">
        <f t="shared" si="400"/>
        <v>1.8341939347812343E-2</v>
      </c>
      <c r="BD236" s="92"/>
      <c r="BE236" s="281" t="str">
        <f t="shared" si="396"/>
        <v>CENTRAL HUDSON GAS &amp; ELECTRIC CORPORATION</v>
      </c>
      <c r="BF236" s="290">
        <f t="shared" si="397"/>
        <v>4057076</v>
      </c>
      <c r="BG236" s="46" t="str">
        <f t="shared" si="398"/>
        <v>NY</v>
      </c>
      <c r="BH236" s="46"/>
      <c r="BI236" s="46" t="str">
        <f t="shared" si="399"/>
        <v>2006 Y</v>
      </c>
      <c r="BJ236" s="129"/>
      <c r="BK236" s="129"/>
      <c r="BL236" s="129">
        <f>INDEX('Dist. Plant Gas Additions'!$E$7:$AD$91,MATCH($C236,'Dist. Plant Gas Additions'!$C$7:$C$91,0),MATCH(Calculation!$G236,'Dist. Plant Gas Additions'!$E$5:$AD$5,0))</f>
        <v>12556</v>
      </c>
      <c r="BM236" s="129">
        <f>INDEX('Gen. Plant Additions'!$E$7:$AD$91,MATCH($C236,'Gen. Plant Additions'!$C$7:$C$91,0),MATCH(Calculation!$G236,'Gen. Plant Additions'!$E$5:$AD$5,0))</f>
        <v>0</v>
      </c>
      <c r="BN236" s="393">
        <f t="shared" si="452"/>
        <v>1</v>
      </c>
      <c r="BO236" s="46">
        <f t="shared" si="445"/>
        <v>0</v>
      </c>
      <c r="BP236" s="46">
        <f t="shared" si="446"/>
        <v>0</v>
      </c>
      <c r="BQ236" s="129">
        <f>INDEX('Dist Plant Depreciation'!$D$7:$AC$94,MATCH($C236,'Dist Plant Depreciation'!$C$7:$C$94,0),MATCH(Calculation!$G236,'Dist Plant Depreciation'!$D$5:$AC$5,0))</f>
        <v>52862</v>
      </c>
      <c r="BR236" s="129">
        <f>INDEX('Gen. Plant Depreciation'!$D$7:$AC$94,MATCH($C236,'Gen. Plant Depreciation'!$C$7:$C$94,0),MATCH(Calculation!$G236,'Gen. Plant Depreciation'!$D$5:$AC$5,0))</f>
        <v>0</v>
      </c>
      <c r="BS236" s="129"/>
      <c r="BT236" s="129"/>
      <c r="BU236" s="129"/>
      <c r="BV236" s="129"/>
      <c r="BW236" s="129"/>
      <c r="BX236" s="129"/>
      <c r="BY236" s="129">
        <f>INDEX('Gross Dx Plant'!$D$7:$AC$91,MATCH($C236,'Gross Dx Plant'!$C$7:$C$91,0),MATCH(Calculation!$G236,'Gross Dx Plant'!$D$5:$AC$5,0))</f>
        <v>191746</v>
      </c>
      <c r="BZ236" s="129">
        <f>INDEX('Gross Gen Plant'!$D$7:$AC$91,MATCH($C236,'Gross Gen Plant'!$C$7:$C$91,0),MATCH(Calculation!$G236,'Gross Gen Plant'!$D$5:$AC$5,0))</f>
        <v>0</v>
      </c>
      <c r="CA236" s="129">
        <f t="shared" si="441"/>
        <v>138884</v>
      </c>
      <c r="CB236" s="134"/>
      <c r="CC236" s="133">
        <v>2006</v>
      </c>
      <c r="CD236" s="129"/>
      <c r="CE236" s="129"/>
      <c r="CF236" s="129"/>
      <c r="CG236" s="137"/>
      <c r="CH236" s="129">
        <f t="shared" si="453"/>
        <v>12556</v>
      </c>
      <c r="CI236" s="46">
        <f t="shared" si="462"/>
        <v>12556</v>
      </c>
      <c r="CJ236" s="46">
        <f t="shared" si="454"/>
        <v>27.231381807346128</v>
      </c>
      <c r="CK236" s="443">
        <v>0.91489361702127658</v>
      </c>
      <c r="CL236" s="46">
        <f>+CL228*CK236+CJ229*CK235+CJ230*CK234+CJ231*CK233+CJ232*CK232+CJ233*CK231+CJ234*CK230+CJ235*CK229+CJ236</f>
        <v>571.71011472328064</v>
      </c>
      <c r="CM236" s="134">
        <f t="shared" si="455"/>
        <v>3.6897091546614157E-2</v>
      </c>
      <c r="CN236" s="135">
        <f t="shared" si="456"/>
        <v>1.1835498227490578E-2</v>
      </c>
      <c r="CO236" s="135">
        <f t="shared" si="465"/>
        <v>1.1565471098640262E-2</v>
      </c>
      <c r="CP236" s="134">
        <f>VLOOKUP($H236,RoR!$E:$F,2,FALSE)</f>
        <v>5.5874999999999994E-2</v>
      </c>
      <c r="CQ236" s="135">
        <v>3.0512430354548314E-2</v>
      </c>
      <c r="CR236" s="135">
        <f t="shared" si="463"/>
        <v>2.536256964545168E-2</v>
      </c>
      <c r="CS236" s="135">
        <f t="shared" si="466"/>
        <v>1.9336470509893365E-2</v>
      </c>
      <c r="CT236" s="135">
        <f t="shared" si="467"/>
        <v>7.9087823893859641E-2</v>
      </c>
      <c r="CU236" s="139">
        <f t="shared" si="457"/>
        <v>0.85329623209999994</v>
      </c>
      <c r="CV236" s="335">
        <f t="shared" si="458"/>
        <v>0.91779957551769631</v>
      </c>
      <c r="CW236" s="335">
        <f t="shared" si="459"/>
        <v>0.52757270693512304</v>
      </c>
      <c r="CX236" s="335">
        <f t="shared" si="460"/>
        <v>0.88636824549024895</v>
      </c>
      <c r="CY236" s="335">
        <f t="shared" si="461"/>
        <v>0.42918482841932087</v>
      </c>
      <c r="CZ236" s="336">
        <f>INDEX('State Tax Lookup'!$D$7:$Z$91,MATCH(Calculation!$C236,'State Tax Lookup'!$B$7:$B$91,0),MATCH($H236,'State Tax Lookup'!$D$6:$Z$6,0))</f>
        <v>0.39649667</v>
      </c>
      <c r="DA236" s="303">
        <v>0.37</v>
      </c>
      <c r="DB236" s="57">
        <f t="shared" si="464"/>
        <v>12.494226319867845</v>
      </c>
      <c r="DC236" s="56">
        <f t="shared" si="468"/>
        <v>-2.9979878012419761E-2</v>
      </c>
      <c r="DD236" s="303">
        <f>VLOOKUP($H236,RoR!$E:$F,2,FALSE)</f>
        <v>5.5874999999999994E-2</v>
      </c>
      <c r="DE236" s="304">
        <f>HLOOKUP($H236,'GDP-PI'!$D$8:$CQ$11,3,FALSE)</f>
        <v>3.0512430354548314E-2</v>
      </c>
      <c r="DF236" s="303">
        <f>VLOOKUP(H236,'HW Dx Data'!$E:$F,2,FALSE)</f>
        <v>461.08567272971823</v>
      </c>
      <c r="DG236" s="89">
        <f ca="1">VLOOKUP(CC236,'ECI - Input Price'!M$13:N$33,2,FALSE)</f>
        <v>109.4</v>
      </c>
      <c r="DH236" s="89"/>
      <c r="DI236" s="89"/>
      <c r="DJ236" s="56">
        <f t="shared" ca="1" si="476"/>
        <v>9.7620891318751846E-2</v>
      </c>
      <c r="DK236" s="53">
        <f>HLOOKUP(H236,'GDP-PI'!$8:$9,2,FALSE)</f>
        <v>90.073999999999998</v>
      </c>
      <c r="DL236" s="355">
        <f t="shared" si="469"/>
        <v>3.005618372545445E-2</v>
      </c>
      <c r="EC236"/>
    </row>
    <row r="237" spans="1:133" s="126" customFormat="1" ht="21" customHeight="1" x14ac:dyDescent="0.4">
      <c r="A237" s="233" t="s">
        <v>196</v>
      </c>
      <c r="B237" s="127" t="s">
        <v>196</v>
      </c>
      <c r="C237" s="127">
        <v>4057076</v>
      </c>
      <c r="D237" s="127" t="s">
        <v>194</v>
      </c>
      <c r="E237" s="127" t="s">
        <v>15</v>
      </c>
      <c r="F237" s="127"/>
      <c r="G237" s="127" t="s">
        <v>163</v>
      </c>
      <c r="H237" s="128">
        <v>2007</v>
      </c>
      <c r="I237" s="129"/>
      <c r="J237" s="125">
        <f>IFERROR(INDEX('Labor Expenditures'!$E$7:$W$91,MATCH($C237,'Labor Expenditures'!$C$7:$C$91,0),MATCH($G237,'Labor Expenditures'!$E$5:$W$5,0)),"NA")</f>
        <v>8715.5998550258519</v>
      </c>
      <c r="K237" s="125">
        <f t="shared" ca="1" si="470"/>
        <v>83.382921358773999</v>
      </c>
      <c r="L237" s="47"/>
      <c r="M237" s="131">
        <f t="shared" ca="1" si="477"/>
        <v>0.38345023694159541</v>
      </c>
      <c r="N237" s="131"/>
      <c r="O237" s="131"/>
      <c r="P237" s="59">
        <f t="shared" ca="1" si="478"/>
        <v>1.4487241173018332E-3</v>
      </c>
      <c r="Q237" s="61"/>
      <c r="R237" s="387"/>
      <c r="S237" s="49">
        <f t="shared" ref="S237:S250" ca="1" si="483">+S236*EXP(T237)</f>
        <v>117.69879996389449</v>
      </c>
      <c r="T237" s="61">
        <f ca="1">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</f>
        <v>0.10448302112153443</v>
      </c>
      <c r="U237" s="61"/>
      <c r="V237" s="125">
        <f>IFERROR(INDEX('Non-Labor Expenditures'!$E$7:$AA$91,MATCH($C237,'Non-Labor Expenditures'!$C$7:$C$91,0),MATCH($G237,'Non-Labor Expenditures'!$E$5:$AA$5,0)),"NA")</f>
        <v>12621.816439585611</v>
      </c>
      <c r="W237" s="125">
        <f t="shared" si="471"/>
        <v>136.45501999595245</v>
      </c>
      <c r="X237" s="131">
        <f t="shared" si="479"/>
        <v>0.31131015624630515</v>
      </c>
      <c r="Y237" s="131">
        <f t="shared" si="480"/>
        <v>1.1761696508841065E-3</v>
      </c>
      <c r="Z237" s="131"/>
      <c r="AA237" s="131"/>
      <c r="AB237" s="131"/>
      <c r="AC237" s="125">
        <f t="shared" si="451"/>
        <v>7623.3165177446854</v>
      </c>
      <c r="AD237" s="129"/>
      <c r="AE237" s="133">
        <v>612.39765850308459</v>
      </c>
      <c r="AF237" s="134">
        <v>3.4575054345078952E-2</v>
      </c>
      <c r="AG237" s="59">
        <f t="shared" si="472"/>
        <v>1.3062898457503561E-4</v>
      </c>
      <c r="AH237" s="134"/>
      <c r="AI237" s="134"/>
      <c r="AJ237" s="129">
        <f t="shared" si="444"/>
        <v>28960.732812356149</v>
      </c>
      <c r="AK237" s="134">
        <f t="shared" si="481"/>
        <v>0.27017732268290051</v>
      </c>
      <c r="AL237" s="129"/>
      <c r="AM237" s="129"/>
      <c r="AN237" s="129"/>
      <c r="AO237" s="129"/>
      <c r="AP237" s="133">
        <f t="shared" si="482"/>
        <v>395.58438481568294</v>
      </c>
      <c r="AQ237" s="134">
        <f>+BB237/Outputs!$B$15</f>
        <v>2.0950334771812338E-3</v>
      </c>
      <c r="AR237" s="93">
        <f t="shared" si="473"/>
        <v>0.30094541845665335</v>
      </c>
      <c r="AS237" s="93">
        <f t="shared" si="474"/>
        <v>0.43582517477598115</v>
      </c>
      <c r="AT237" s="93">
        <f t="shared" si="475"/>
        <v>0.2632294067673655</v>
      </c>
      <c r="AU237" s="93">
        <f t="shared" ref="AU237:AU251" ca="1" si="484">+(((AR237+AR236)/2)*M237+((AS236+AS237)/2)*X237+((AT236+AT237)/2)*AD237)</f>
        <v>0.24285820242934181</v>
      </c>
      <c r="AV237" s="132">
        <f ca="1">+AV236*EXP(AU237)</f>
        <v>133.34860189314972</v>
      </c>
      <c r="AW237" s="134">
        <f ca="1">LN(AV237/AV236)</f>
        <v>0.24285820242934164</v>
      </c>
      <c r="AX237" s="56">
        <f>+AJ237/$AL$12</f>
        <v>3.7781281056360207E-3</v>
      </c>
      <c r="AY237" s="135">
        <f t="shared" ref="AY237:AY251" ca="1" si="485">+AX237*AW237</f>
        <v>9.1754940028253773E-4</v>
      </c>
      <c r="AZ237" s="93"/>
      <c r="BA237" s="93"/>
      <c r="BB237" s="234">
        <f>IFERROR(INDEX('Total Customers'!$E$7:$AA$91,MATCH($C237,'Total Customers'!$C$7:$C$91,0),MATCH($G237,'Total Customers'!$E$5:$AA$5,0)),"NA")</f>
        <v>73210</v>
      </c>
      <c r="BC237" s="411">
        <f t="shared" si="400"/>
        <v>1.6346511209564745E-2</v>
      </c>
      <c r="BD237" s="92"/>
      <c r="BE237" s="281" t="str">
        <f t="shared" si="396"/>
        <v>CENTRAL HUDSON GAS &amp; ELECTRIC CORPORATION</v>
      </c>
      <c r="BF237" s="290">
        <f t="shared" si="397"/>
        <v>4057076</v>
      </c>
      <c r="BG237" s="46" t="str">
        <f t="shared" si="398"/>
        <v>NY</v>
      </c>
      <c r="BH237" s="46"/>
      <c r="BI237" s="46" t="str">
        <f t="shared" si="399"/>
        <v>2007 Y</v>
      </c>
      <c r="BJ237" s="129"/>
      <c r="BK237" s="129"/>
      <c r="BL237" s="129">
        <f>INDEX('Dist. Plant Gas Additions'!$E$7:$AD$91,MATCH($C237,'Dist. Plant Gas Additions'!$C$7:$C$91,0),MATCH(Calculation!$G237,'Dist. Plant Gas Additions'!$E$5:$AD$5,0))</f>
        <v>12228</v>
      </c>
      <c r="BM237" s="129">
        <f>INDEX('Gen. Plant Additions'!$E$7:$AD$91,MATCH($C237,'Gen. Plant Additions'!$C$7:$C$91,0),MATCH(Calculation!$G237,'Gen. Plant Additions'!$E$5:$AD$5,0))</f>
        <v>0</v>
      </c>
      <c r="BN237" s="393">
        <f t="shared" si="452"/>
        <v>1</v>
      </c>
      <c r="BO237" s="46">
        <f t="shared" si="445"/>
        <v>0</v>
      </c>
      <c r="BP237" s="46">
        <f t="shared" si="446"/>
        <v>0</v>
      </c>
      <c r="BQ237" s="129">
        <f>INDEX('Dist Plant Depreciation'!$D$7:$AC$94,MATCH($C237,'Dist Plant Depreciation'!$C$7:$C$94,0),MATCH(Calculation!$G237,'Dist Plant Depreciation'!$D$5:$AC$5,0))</f>
        <v>53593</v>
      </c>
      <c r="BR237" s="129">
        <f>INDEX('Gen. Plant Depreciation'!$D$7:$AC$94,MATCH($C237,'Gen. Plant Depreciation'!$C$7:$C$94,0),MATCH(Calculation!$G237,'Gen. Plant Depreciation'!$D$5:$AC$5,0))</f>
        <v>0</v>
      </c>
      <c r="BS237" s="129"/>
      <c r="BT237" s="129"/>
      <c r="BU237" s="129"/>
      <c r="BV237" s="129"/>
      <c r="BW237" s="129"/>
      <c r="BX237" s="129"/>
      <c r="BY237" s="129">
        <f>INDEX('Gross Dx Plant'!$D$7:$AC$91,MATCH($C237,'Gross Dx Plant'!$C$7:$C$91,0),MATCH(Calculation!$G237,'Gross Dx Plant'!$D$5:$AC$5,0))</f>
        <v>200954</v>
      </c>
      <c r="BZ237" s="129">
        <f>INDEX('Gross Gen Plant'!$D$7:$AC$91,MATCH($C237,'Gross Gen Plant'!$C$7:$C$91,0),MATCH(Calculation!$G237,'Gross Gen Plant'!$D$5:$AC$5,0))</f>
        <v>0</v>
      </c>
      <c r="CA237" s="129">
        <f t="shared" si="441"/>
        <v>147361</v>
      </c>
      <c r="CB237" s="129"/>
      <c r="CC237" s="133">
        <v>2007</v>
      </c>
      <c r="CD237" s="129"/>
      <c r="CE237" s="129"/>
      <c r="CF237" s="129"/>
      <c r="CG237" s="137"/>
      <c r="CH237" s="129">
        <f t="shared" si="453"/>
        <v>12228</v>
      </c>
      <c r="CI237" s="46">
        <f t="shared" si="462"/>
        <v>12228</v>
      </c>
      <c r="CJ237" s="46">
        <f t="shared" si="454"/>
        <v>24.553116637517917</v>
      </c>
      <c r="CK237" s="443">
        <v>0.90322580645161288</v>
      </c>
      <c r="CL237" s="46">
        <f>+CL228*CK237+CJ229*CK236+CJ230*CK235+CJ231*CK234+CJ232*CK233+CJ233*CK232+CJ234*CK231+CJ235*CK230+CJ236*CK229+CJ237</f>
        <v>589.3337361142178</v>
      </c>
      <c r="CM237" s="134">
        <f t="shared" si="455"/>
        <v>3.0360567505685613E-2</v>
      </c>
      <c r="CN237" s="135">
        <f t="shared" si="456"/>
        <v>1.2120644830527048E-2</v>
      </c>
      <c r="CO237" s="135">
        <f t="shared" si="465"/>
        <v>1.1835804437423452E-2</v>
      </c>
      <c r="CP237" s="134">
        <f>VLOOKUP($H237,RoR!$E:$F,2,FALSE)</f>
        <v>5.5558333333333321E-2</v>
      </c>
      <c r="CQ237" s="135">
        <v>2.691120634145272E-2</v>
      </c>
      <c r="CR237" s="135">
        <f t="shared" si="463"/>
        <v>2.86471269918806E-2</v>
      </c>
      <c r="CS237" s="135">
        <f t="shared" si="466"/>
        <v>1.9066137171110172E-2</v>
      </c>
      <c r="CT237" s="135">
        <f t="shared" si="467"/>
        <v>6.4575155250632399E-2</v>
      </c>
      <c r="CU237" s="139">
        <f t="shared" si="457"/>
        <v>0.85329623209999994</v>
      </c>
      <c r="CV237" s="335">
        <f t="shared" si="458"/>
        <v>0.92303077153834634</v>
      </c>
      <c r="CW237" s="335">
        <f t="shared" si="459"/>
        <v>0.52502249887505614</v>
      </c>
      <c r="CX237" s="335">
        <f t="shared" si="460"/>
        <v>0.88499666072084604</v>
      </c>
      <c r="CY237" s="335">
        <f t="shared" si="461"/>
        <v>0.42887993290280618</v>
      </c>
      <c r="CZ237" s="336">
        <f>INDEX('State Tax Lookup'!$D$7:$Z$91,MATCH(Calculation!$C237,'State Tax Lookup'!$B$7:$B$91,0),MATCH($H237,'State Tax Lookup'!$D$6:$Z$6,0))</f>
        <v>0.39649667</v>
      </c>
      <c r="DA237" s="303">
        <v>0.37</v>
      </c>
      <c r="DB237" s="57">
        <f t="shared" si="464"/>
        <v>13.334234118692349</v>
      </c>
      <c r="DC237" s="56">
        <f t="shared" si="468"/>
        <v>6.5068078874152266E-2</v>
      </c>
      <c r="DD237" s="303">
        <f>VLOOKUP($H237,RoR!$E:$F,2,FALSE)</f>
        <v>5.5558333333333321E-2</v>
      </c>
      <c r="DE237" s="304">
        <f>HLOOKUP($H237,'GDP-PI'!$D$8:$CQ$11,3,FALSE)</f>
        <v>2.691120634145272E-2</v>
      </c>
      <c r="DF237" s="303">
        <f>VLOOKUP(H237,'HW Dx Data'!$E:$F,2,FALSE)</f>
        <v>498.0223154772637</v>
      </c>
      <c r="DG237" s="89">
        <f ca="1">VLOOKUP(CC237,'ECI - Input Price'!M$13:N$33,2,FALSE)</f>
        <v>104.52499999999999</v>
      </c>
      <c r="DH237" s="89"/>
      <c r="DI237" s="89"/>
      <c r="DJ237" s="56">
        <f t="shared" ca="1" si="476"/>
        <v>-4.5584612745252218E-2</v>
      </c>
      <c r="DK237" s="53">
        <f>HLOOKUP(H237,'GDP-PI'!$8:$9,2,FALSE)</f>
        <v>92.498000000000005</v>
      </c>
      <c r="DL237" s="355">
        <f t="shared" si="469"/>
        <v>2.6555467950038037E-2</v>
      </c>
      <c r="EC237"/>
    </row>
    <row r="238" spans="1:133" s="126" customFormat="1" ht="21" customHeight="1" x14ac:dyDescent="0.4">
      <c r="A238" s="233" t="s">
        <v>196</v>
      </c>
      <c r="B238" s="127" t="s">
        <v>196</v>
      </c>
      <c r="C238" s="127">
        <v>4057076</v>
      </c>
      <c r="D238" s="127" t="s">
        <v>194</v>
      </c>
      <c r="E238" s="127" t="s">
        <v>15</v>
      </c>
      <c r="F238" s="127"/>
      <c r="G238" s="127" t="s">
        <v>164</v>
      </c>
      <c r="H238" s="128">
        <v>2008</v>
      </c>
      <c r="I238" s="129"/>
      <c r="J238" s="125">
        <f>IFERROR(INDEX('Labor Expenditures'!$E$7:$W$91,MATCH($C238,'Labor Expenditures'!$C$7:$C$91,0),MATCH($G238,'Labor Expenditures'!$E$5:$W$5,0)),"NA")</f>
        <v>9822.3257407589626</v>
      </c>
      <c r="K238" s="125">
        <f t="shared" ca="1" si="470"/>
        <v>91.031749219267496</v>
      </c>
      <c r="L238" s="47"/>
      <c r="M238" s="131">
        <f t="shared" ca="1" si="477"/>
        <v>8.7764829663805721E-2</v>
      </c>
      <c r="N238" s="131"/>
      <c r="O238" s="131"/>
      <c r="P238" s="59">
        <f t="shared" ca="1" si="478"/>
        <v>3.5698763761314958E-4</v>
      </c>
      <c r="Q238" s="61"/>
      <c r="R238" s="387"/>
      <c r="S238" s="49">
        <f t="shared" ca="1" si="483"/>
        <v>109.73518480465098</v>
      </c>
      <c r="T238" s="61">
        <f ca="1">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</f>
        <v>-7.0058766042596837E-2</v>
      </c>
      <c r="U238" s="61"/>
      <c r="V238" s="125">
        <f>IFERROR(INDEX('Non-Labor Expenditures'!$E$7:$AA$91,MATCH($C238,'Non-Labor Expenditures'!$C$7:$C$91,0),MATCH($G238,'Non-Labor Expenditures'!$E$5:$AA$5,0)),"NA")</f>
        <v>14224.562230009429</v>
      </c>
      <c r="W238" s="125">
        <f t="shared" si="471"/>
        <v>150.90132213792572</v>
      </c>
      <c r="X238" s="131">
        <f t="shared" si="479"/>
        <v>0.10063109093723377</v>
      </c>
      <c r="Y238" s="131">
        <f t="shared" si="480"/>
        <v>4.0932177002711388E-4</v>
      </c>
      <c r="Z238" s="131"/>
      <c r="AA238" s="131"/>
      <c r="AB238" s="131"/>
      <c r="AC238" s="125">
        <f t="shared" si="451"/>
        <v>8858.3337363648952</v>
      </c>
      <c r="AD238" s="129"/>
      <c r="AE238" s="133">
        <v>634.49418103034884</v>
      </c>
      <c r="AF238" s="134">
        <v>3.5446275859560707E-2</v>
      </c>
      <c r="AG238" s="59">
        <f t="shared" si="472"/>
        <v>1.4417942050091006E-4</v>
      </c>
      <c r="AH238" s="134"/>
      <c r="AI238" s="134"/>
      <c r="AJ238" s="129">
        <f t="shared" si="444"/>
        <v>32905.221707133285</v>
      </c>
      <c r="AK238" s="134">
        <f t="shared" si="481"/>
        <v>0.12769048818861031</v>
      </c>
      <c r="AL238" s="129"/>
      <c r="AM238" s="129"/>
      <c r="AN238" s="129"/>
      <c r="AO238" s="129"/>
      <c r="AP238" s="133">
        <f t="shared" si="482"/>
        <v>443.71177749340319</v>
      </c>
      <c r="AQ238" s="134">
        <f>+BB238/Outputs!$B$16</f>
        <v>2.1108443328943178E-3</v>
      </c>
      <c r="AR238" s="93">
        <f t="shared" si="473"/>
        <v>0.29850355752593671</v>
      </c>
      <c r="AS238" s="93">
        <f t="shared" si="474"/>
        <v>0.43228890407159265</v>
      </c>
      <c r="AT238" s="93">
        <f t="shared" si="475"/>
        <v>0.26920753840247069</v>
      </c>
      <c r="AU238" s="93">
        <f t="shared" ca="1" si="484"/>
        <v>6.9984902040828967E-2</v>
      </c>
      <c r="AV238" s="132">
        <f t="shared" ref="AV238:AV251" ca="1" si="486">+AV237*EXP(AU238)</f>
        <v>143.01530723364502</v>
      </c>
      <c r="AW238" s="134">
        <f t="shared" ref="AW238:AW251" ca="1" si="487">LN(AV238/AV237)</f>
        <v>6.998490204082905E-2</v>
      </c>
      <c r="AX238" s="56">
        <f>+AJ238/$AL$13</f>
        <v>4.0675477748961155E-3</v>
      </c>
      <c r="AY238" s="135">
        <f t="shared" ca="1" si="485"/>
        <v>2.8466693257249681E-4</v>
      </c>
      <c r="AZ238" s="93"/>
      <c r="BA238" s="93"/>
      <c r="BB238" s="234">
        <f>IFERROR(INDEX('Total Customers'!$E$7:$AA$91,MATCH($C238,'Total Customers'!$C$7:$C$91,0),MATCH($G238,'Total Customers'!$E$5:$AA$5,0)),"NA")</f>
        <v>74159</v>
      </c>
      <c r="BC238" s="411">
        <f t="shared" si="400"/>
        <v>1.2879413149988998E-2</v>
      </c>
      <c r="BD238" s="92"/>
      <c r="BE238" s="281" t="str">
        <f t="shared" si="396"/>
        <v>CENTRAL HUDSON GAS &amp; ELECTRIC CORPORATION</v>
      </c>
      <c r="BF238" s="290">
        <f t="shared" si="397"/>
        <v>4057076</v>
      </c>
      <c r="BG238" s="46" t="str">
        <f t="shared" si="398"/>
        <v>NY</v>
      </c>
      <c r="BH238" s="46"/>
      <c r="BI238" s="46" t="str">
        <f t="shared" si="399"/>
        <v>2008 Y</v>
      </c>
      <c r="BJ238" s="129"/>
      <c r="BK238" s="129"/>
      <c r="BL238" s="129">
        <f>INDEX('Dist. Plant Gas Additions'!$E$7:$AD$91,MATCH($C238,'Dist. Plant Gas Additions'!$C$7:$C$91,0),MATCH(Calculation!$G238,'Dist. Plant Gas Additions'!$E$5:$AD$5,0))</f>
        <v>14866</v>
      </c>
      <c r="BM238" s="129">
        <f>INDEX('Gen. Plant Additions'!$E$7:$AD$91,MATCH($C238,'Gen. Plant Additions'!$C$7:$C$91,0),MATCH(Calculation!$G238,'Gen. Plant Additions'!$E$5:$AD$5,0))</f>
        <v>0</v>
      </c>
      <c r="BN238" s="393">
        <f t="shared" si="452"/>
        <v>1</v>
      </c>
      <c r="BO238" s="46">
        <f t="shared" si="445"/>
        <v>0</v>
      </c>
      <c r="BP238" s="46">
        <f t="shared" si="446"/>
        <v>0</v>
      </c>
      <c r="BQ238" s="129">
        <f>INDEX('Dist Plant Depreciation'!$D$7:$AC$94,MATCH($C238,'Dist Plant Depreciation'!$C$7:$C$94,0),MATCH(Calculation!$G238,'Dist Plant Depreciation'!$D$5:$AC$5,0))</f>
        <v>56075</v>
      </c>
      <c r="BR238" s="129">
        <f>INDEX('Gen. Plant Depreciation'!$D$7:$AC$94,MATCH($C238,'Gen. Plant Depreciation'!$C$7:$C$94,0),MATCH(Calculation!$G238,'Gen. Plant Depreciation'!$D$5:$AC$5,0))</f>
        <v>0</v>
      </c>
      <c r="BS238" s="129"/>
      <c r="BT238" s="129"/>
      <c r="BU238" s="129"/>
      <c r="BV238" s="129"/>
      <c r="BW238" s="129"/>
      <c r="BX238" s="129"/>
      <c r="BY238" s="129">
        <f>INDEX('Gross Dx Plant'!$D$7:$AC$91,MATCH($C238,'Gross Dx Plant'!$C$7:$C$91,0),MATCH(Calculation!$G238,'Gross Dx Plant'!$D$5:$AC$5,0))</f>
        <v>214171</v>
      </c>
      <c r="BZ238" s="129">
        <f>INDEX('Gross Gen Plant'!$D$7:$AC$91,MATCH($C238,'Gross Gen Plant'!$C$7:$C$91,0),MATCH(Calculation!$G238,'Gross Gen Plant'!$D$5:$AC$5,0))</f>
        <v>0</v>
      </c>
      <c r="CA238" s="129">
        <f t="shared" si="441"/>
        <v>158096</v>
      </c>
      <c r="CB238" s="129"/>
      <c r="CC238" s="133">
        <v>2008</v>
      </c>
      <c r="CD238" s="129"/>
      <c r="CE238" s="129"/>
      <c r="CF238" s="129"/>
      <c r="CG238" s="137"/>
      <c r="CH238" s="129">
        <f t="shared" si="453"/>
        <v>14866</v>
      </c>
      <c r="CI238" s="46">
        <f t="shared" si="462"/>
        <v>14866</v>
      </c>
      <c r="CJ238" s="46">
        <f t="shared" si="454"/>
        <v>26.086138502197993</v>
      </c>
      <c r="CK238" s="443">
        <v>0.89130434782608692</v>
      </c>
      <c r="CL238" s="46">
        <f>+CL228*CK238+CJ229*CK237+CJ230*CK236+CJ231*CK235+CJ232*CK234+CJ233*CK233+CJ234*CK232+CJ235*CK231+CJ236*CK230+CJ237*CK229+CJ238</f>
        <v>608.0989069579457</v>
      </c>
      <c r="CM238" s="134">
        <f t="shared" si="455"/>
        <v>3.1344906672575952E-2</v>
      </c>
      <c r="CN238" s="135">
        <f t="shared" si="456"/>
        <v>1.2422447943912085E-2</v>
      </c>
      <c r="CO238" s="135">
        <f t="shared" si="465"/>
        <v>1.2126197000643235E-2</v>
      </c>
      <c r="CP238" s="134">
        <f>VLOOKUP($H238,RoR!$E:$F,2,FALSE)</f>
        <v>5.6316666666666668E-2</v>
      </c>
      <c r="CQ238" s="135">
        <v>1.9092304698479889E-2</v>
      </c>
      <c r="CR238" s="135">
        <f t="shared" si="463"/>
        <v>3.7224361968186778E-2</v>
      </c>
      <c r="CS238" s="135">
        <f t="shared" si="466"/>
        <v>1.8775744607890388E-2</v>
      </c>
      <c r="CT238" s="135">
        <f t="shared" si="467"/>
        <v>6.9030581091053131E-2</v>
      </c>
      <c r="CU238" s="139">
        <f t="shared" si="457"/>
        <v>0.85329623209999994</v>
      </c>
      <c r="CV238" s="335">
        <f t="shared" si="458"/>
        <v>0.91060168006009956</v>
      </c>
      <c r="CW238" s="335">
        <f t="shared" si="459"/>
        <v>0.53108168097070152</v>
      </c>
      <c r="CX238" s="335">
        <f t="shared" si="460"/>
        <v>0.88825329850328805</v>
      </c>
      <c r="CY238" s="335">
        <f t="shared" si="461"/>
        <v>0.4295627335323573</v>
      </c>
      <c r="CZ238" s="336">
        <f>INDEX('State Tax Lookup'!$D$7:$Z$91,MATCH(Calculation!$C238,'State Tax Lookup'!$B$7:$B$91,0),MATCH($H238,'State Tax Lookup'!$D$6:$Z$6,0))</f>
        <v>0.39649667</v>
      </c>
      <c r="DA238" s="303">
        <v>0.37</v>
      </c>
      <c r="DB238" s="57">
        <f t="shared" si="464"/>
        <v>15.031099008131575</v>
      </c>
      <c r="DC238" s="56">
        <f t="shared" si="468"/>
        <v>0.11978659999276052</v>
      </c>
      <c r="DD238" s="303">
        <f>VLOOKUP($H238,RoR!$E:$F,2,FALSE)</f>
        <v>5.6316666666666668E-2</v>
      </c>
      <c r="DE238" s="304">
        <f>HLOOKUP($H238,'GDP-PI'!$D$8:$CQ$11,3,FALSE)</f>
        <v>1.9092304698479889E-2</v>
      </c>
      <c r="DF238" s="303">
        <f>VLOOKUP(H238,'HW Dx Data'!$E:$F,2,FALSE)</f>
        <v>569.88120333515076</v>
      </c>
      <c r="DG238" s="89">
        <f ca="1">VLOOKUP(CC238,'ECI - Input Price'!M$13:N$33,2,FALSE)</f>
        <v>107.9</v>
      </c>
      <c r="DH238" s="89"/>
      <c r="DI238" s="89"/>
      <c r="DJ238" s="56">
        <f t="shared" ca="1" si="476"/>
        <v>3.1778595021460486E-2</v>
      </c>
      <c r="DK238" s="53">
        <f>HLOOKUP(H238,'GDP-PI'!$8:$9,2,FALSE)</f>
        <v>94.263999999999996</v>
      </c>
      <c r="DL238" s="355">
        <f t="shared" si="469"/>
        <v>1.8912333748032254E-2</v>
      </c>
      <c r="EC238"/>
    </row>
    <row r="239" spans="1:133" s="126" customFormat="1" ht="21" customHeight="1" x14ac:dyDescent="0.4">
      <c r="A239" s="233" t="s">
        <v>196</v>
      </c>
      <c r="B239" s="127" t="s">
        <v>196</v>
      </c>
      <c r="C239" s="127">
        <v>4057076</v>
      </c>
      <c r="D239" s="127" t="s">
        <v>194</v>
      </c>
      <c r="E239" s="127" t="s">
        <v>15</v>
      </c>
      <c r="F239" s="127"/>
      <c r="G239" s="127" t="s">
        <v>165</v>
      </c>
      <c r="H239" s="128">
        <v>2009</v>
      </c>
      <c r="I239" s="129"/>
      <c r="J239" s="125">
        <f>IFERROR(INDEX('Labor Expenditures'!$E$7:$W$91,MATCH($C239,'Labor Expenditures'!$C$7:$C$91,0),MATCH($G239,'Labor Expenditures'!$E$5:$W$5,0)),"NA")</f>
        <v>10880.157355897276</v>
      </c>
      <c r="K239" s="125">
        <f t="shared" ca="1" si="470"/>
        <v>98.085709766935096</v>
      </c>
      <c r="L239" s="47"/>
      <c r="M239" s="131">
        <f t="shared" ca="1" si="477"/>
        <v>7.4633347711149059E-2</v>
      </c>
      <c r="N239" s="131"/>
      <c r="O239" s="131"/>
      <c r="P239" s="59">
        <f t="shared" ca="1" si="478"/>
        <v>3.1184451700823947E-4</v>
      </c>
      <c r="Q239" s="61"/>
      <c r="R239" s="387"/>
      <c r="S239" s="49">
        <f t="shared" ca="1" si="483"/>
        <v>118.3823924570585</v>
      </c>
      <c r="T239" s="61">
        <f ca="1">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</f>
        <v>7.5849946582367517E-2</v>
      </c>
      <c r="U239" s="61"/>
      <c r="V239" s="125">
        <f>IFERROR(INDEX('Non-Labor Expenditures'!$E$7:$AA$91,MATCH($C239,'Non-Labor Expenditures'!$C$7:$C$91,0),MATCH($G239,'Non-Labor Expenditures'!$E$5:$AA$5,0)),"NA")</f>
        <v>15756.499984421926</v>
      </c>
      <c r="W239" s="125">
        <f t="shared" si="471"/>
        <v>165.85964046381463</v>
      </c>
      <c r="X239" s="131">
        <f t="shared" si="479"/>
        <v>9.4515763893723598E-2</v>
      </c>
      <c r="Y239" s="131">
        <f t="shared" si="480"/>
        <v>3.9492028221990163E-4</v>
      </c>
      <c r="Z239" s="131"/>
      <c r="AA239" s="131"/>
      <c r="AB239" s="131"/>
      <c r="AC239" s="125">
        <f t="shared" si="451"/>
        <v>8698.943850178639</v>
      </c>
      <c r="AD239" s="129"/>
      <c r="AE239" s="133">
        <v>661.4813414686422</v>
      </c>
      <c r="AF239" s="134">
        <v>4.1653660601160047E-2</v>
      </c>
      <c r="AG239" s="59">
        <f t="shared" si="472"/>
        <v>1.7404372268100022E-4</v>
      </c>
      <c r="AH239" s="134"/>
      <c r="AI239" s="134"/>
      <c r="AJ239" s="129">
        <f t="shared" si="444"/>
        <v>35335.601190497837</v>
      </c>
      <c r="AK239" s="134">
        <f t="shared" si="481"/>
        <v>7.1259628340899384E-2</v>
      </c>
      <c r="AL239" s="129"/>
      <c r="AM239" s="129"/>
      <c r="AN239" s="129"/>
      <c r="AO239" s="129"/>
      <c r="AP239" s="133">
        <f t="shared" si="482"/>
        <v>475.26666384884584</v>
      </c>
      <c r="AQ239" s="134">
        <f>+BB239/Outputs!$B$17</f>
        <v>2.1135547057002497E-3</v>
      </c>
      <c r="AR239" s="93">
        <f t="shared" si="473"/>
        <v>0.30790921872932731</v>
      </c>
      <c r="AS239" s="93">
        <f t="shared" si="474"/>
        <v>0.44591005822929186</v>
      </c>
      <c r="AT239" s="93">
        <f t="shared" si="475"/>
        <v>0.24618072304138094</v>
      </c>
      <c r="AU239" s="93">
        <f t="shared" ca="1" si="484"/>
        <v>6.413113067964292E-2</v>
      </c>
      <c r="AV239" s="132">
        <f t="shared" ca="1" si="486"/>
        <v>152.4875264303345</v>
      </c>
      <c r="AW239" s="134">
        <f t="shared" ca="1" si="487"/>
        <v>6.4131130679642961E-2</v>
      </c>
      <c r="AX239" s="56">
        <f>+AJ239/$AL$14</f>
        <v>4.1783535989188218E-3</v>
      </c>
      <c r="AY239" s="135">
        <f t="shared" ca="1" si="485"/>
        <v>2.6796254067801945E-4</v>
      </c>
      <c r="AZ239" s="93"/>
      <c r="BA239" s="93"/>
      <c r="BB239" s="234">
        <f>IFERROR(INDEX('Total Customers'!$E$7:$AA$91,MATCH($C239,'Total Customers'!$C$7:$C$91,0),MATCH($G239,'Total Customers'!$E$5:$AA$5,0)),"NA")</f>
        <v>74349</v>
      </c>
      <c r="BC239" s="411">
        <f t="shared" si="400"/>
        <v>2.5587861080471732E-3</v>
      </c>
      <c r="BD239" s="92"/>
      <c r="BE239" s="281" t="str">
        <f t="shared" si="396"/>
        <v>CENTRAL HUDSON GAS &amp; ELECTRIC CORPORATION</v>
      </c>
      <c r="BF239" s="290">
        <f t="shared" si="397"/>
        <v>4057076</v>
      </c>
      <c r="BG239" s="46" t="str">
        <f t="shared" si="398"/>
        <v>NY</v>
      </c>
      <c r="BH239" s="46"/>
      <c r="BI239" s="46" t="str">
        <f t="shared" si="399"/>
        <v>2009 Y</v>
      </c>
      <c r="BJ239" s="129"/>
      <c r="BK239" s="129"/>
      <c r="BL239" s="129">
        <f>INDEX('Dist. Plant Gas Additions'!$E$7:$AD$91,MATCH($C239,'Dist. Plant Gas Additions'!$C$7:$C$91,0),MATCH(Calculation!$G239,'Dist. Plant Gas Additions'!$E$5:$AD$5,0))</f>
        <v>17213</v>
      </c>
      <c r="BM239" s="129">
        <f>INDEX('Gen. Plant Additions'!$E$7:$AD$91,MATCH($C239,'Gen. Plant Additions'!$C$7:$C$91,0),MATCH(Calculation!$G239,'Gen. Plant Additions'!$E$5:$AD$5,0))</f>
        <v>0</v>
      </c>
      <c r="BN239" s="393">
        <f t="shared" si="452"/>
        <v>1</v>
      </c>
      <c r="BO239" s="46">
        <f t="shared" si="445"/>
        <v>0</v>
      </c>
      <c r="BP239" s="46">
        <f t="shared" si="446"/>
        <v>0</v>
      </c>
      <c r="BQ239" s="129">
        <f>INDEX('Dist Plant Depreciation'!$D$7:$AC$94,MATCH($C239,'Dist Plant Depreciation'!$C$7:$C$94,0),MATCH(Calculation!$G239,'Dist Plant Depreciation'!$D$5:$AC$5,0))</f>
        <v>62761</v>
      </c>
      <c r="BR239" s="129">
        <f>INDEX('Gen. Plant Depreciation'!$D$7:$AC$94,MATCH($C239,'Gen. Plant Depreciation'!$C$7:$C$94,0),MATCH(Calculation!$G239,'Gen. Plant Depreciation'!$D$5:$AC$5,0))</f>
        <v>0</v>
      </c>
      <c r="BS239" s="129"/>
      <c r="BT239" s="129"/>
      <c r="BU239" s="129"/>
      <c r="BV239" s="129"/>
      <c r="BW239" s="129"/>
      <c r="BX239" s="129"/>
      <c r="BY239" s="129">
        <f>INDEX('Gross Dx Plant'!$D$7:$AC$91,MATCH($C239,'Gross Dx Plant'!$C$7:$C$91,0),MATCH(Calculation!$G239,'Gross Dx Plant'!$D$5:$AC$5,0))</f>
        <v>230224</v>
      </c>
      <c r="BZ239" s="129">
        <f>INDEX('Gross Gen Plant'!$D$7:$AC$91,MATCH($C239,'Gross Gen Plant'!$C$7:$C$91,0),MATCH(Calculation!$G239,'Gross Gen Plant'!$D$5:$AC$5,0))</f>
        <v>0</v>
      </c>
      <c r="CA239" s="129">
        <f t="shared" si="441"/>
        <v>167463</v>
      </c>
      <c r="CB239" s="129"/>
      <c r="CC239" s="133">
        <v>2009</v>
      </c>
      <c r="CD239" s="129"/>
      <c r="CE239" s="129"/>
      <c r="CF239" s="129"/>
      <c r="CG239" s="137"/>
      <c r="CH239" s="129">
        <f t="shared" si="453"/>
        <v>17213</v>
      </c>
      <c r="CI239" s="46">
        <f t="shared" si="462"/>
        <v>17213</v>
      </c>
      <c r="CJ239" s="46">
        <f t="shared" si="454"/>
        <v>31.242930454492072</v>
      </c>
      <c r="CK239" s="443">
        <v>0.87912087912087911</v>
      </c>
      <c r="CL239" s="46">
        <f>+CL228*CK239+CJ229*CK238+CJ230*CK237+CJ231*CK236+CJ232*CK235+CJ233*CK234+CJ234*CK233+CJ235*CK232+CJ236*CK231+CJ237*CK230+CJ238*CK229+CJ239</f>
        <v>631.60453667761317</v>
      </c>
      <c r="CM239" s="134">
        <f t="shared" si="455"/>
        <v>3.7925920535601829E-2</v>
      </c>
      <c r="CN239" s="135">
        <f t="shared" si="456"/>
        <v>1.2723753728700079E-2</v>
      </c>
      <c r="CO239" s="135">
        <f t="shared" si="465"/>
        <v>1.2422282167713071E-2</v>
      </c>
      <c r="CP239" s="134">
        <f>VLOOKUP($H239,RoR!$E:$F,2,FALSE)</f>
        <v>5.3133333333333324E-2</v>
      </c>
      <c r="CQ239" s="135">
        <v>7.7972502758210105E-3</v>
      </c>
      <c r="CR239" s="135">
        <f t="shared" si="463"/>
        <v>4.5336083057512314E-2</v>
      </c>
      <c r="CS239" s="135">
        <f t="shared" si="466"/>
        <v>1.8479659440820556E-2</v>
      </c>
      <c r="CT239" s="135">
        <f t="shared" si="467"/>
        <v>6.3720160300892073E-2</v>
      </c>
      <c r="CU239" s="139">
        <f t="shared" si="457"/>
        <v>0.85329623209999994</v>
      </c>
      <c r="CV239" s="335">
        <f t="shared" si="458"/>
        <v>0.96515780330083989</v>
      </c>
      <c r="CW239" s="335">
        <f t="shared" si="459"/>
        <v>0.50448557089084056</v>
      </c>
      <c r="CX239" s="335">
        <f t="shared" si="460"/>
        <v>0.87391435735465484</v>
      </c>
      <c r="CY239" s="335">
        <f t="shared" si="461"/>
        <v>0.42551605393279146</v>
      </c>
      <c r="CZ239" s="336">
        <f>INDEX('State Tax Lookup'!$D$7:$Z$91,MATCH(Calculation!$C239,'State Tax Lookup'!$B$7:$B$91,0),MATCH($H239,'State Tax Lookup'!$D$6:$Z$6,0))</f>
        <v>0.39649667</v>
      </c>
      <c r="DA239" s="303">
        <v>0.37</v>
      </c>
      <c r="DB239" s="57">
        <f t="shared" si="464"/>
        <v>14.305146334986311</v>
      </c>
      <c r="DC239" s="56">
        <f t="shared" si="468"/>
        <v>-4.9501965969733268E-2</v>
      </c>
      <c r="DD239" s="303">
        <f>VLOOKUP($H239,RoR!$E:$F,2,FALSE)</f>
        <v>5.3133333333333324E-2</v>
      </c>
      <c r="DE239" s="304">
        <f>HLOOKUP($H239,'GDP-PI'!$D$8:$CQ$11,3,FALSE)</f>
        <v>7.7972502758210105E-3</v>
      </c>
      <c r="DF239" s="303">
        <f>VLOOKUP(H239,'HW Dx Data'!$E:$F,2,FALSE)</f>
        <v>550.94063679692806</v>
      </c>
      <c r="DG239" s="89">
        <f ca="1">VLOOKUP(CC239,'ECI - Input Price'!M$13:N$33,2,FALSE)</f>
        <v>110.925</v>
      </c>
      <c r="DH239" s="89"/>
      <c r="DI239" s="89"/>
      <c r="DJ239" s="56">
        <f t="shared" ca="1" si="476"/>
        <v>2.7649425000884052E-2</v>
      </c>
      <c r="DK239" s="53">
        <f>HLOOKUP(H239,'GDP-PI'!$8:$9,2,FALSE)</f>
        <v>94.998999999999995</v>
      </c>
      <c r="DL239" s="355">
        <f t="shared" si="469"/>
        <v>7.7670088183096342E-3</v>
      </c>
      <c r="EC239"/>
    </row>
    <row r="240" spans="1:133" s="126" customFormat="1" ht="21" customHeight="1" x14ac:dyDescent="0.4">
      <c r="A240" s="233" t="s">
        <v>196</v>
      </c>
      <c r="B240" s="127" t="s">
        <v>196</v>
      </c>
      <c r="C240" s="127">
        <v>4057076</v>
      </c>
      <c r="D240" s="127" t="s">
        <v>194</v>
      </c>
      <c r="E240" s="127" t="s">
        <v>15</v>
      </c>
      <c r="F240" s="127"/>
      <c r="G240" s="127" t="s">
        <v>166</v>
      </c>
      <c r="H240" s="128">
        <v>2010</v>
      </c>
      <c r="I240" s="129"/>
      <c r="J240" s="125">
        <f>IFERROR(INDEX('Labor Expenditures'!$E$7:$W$91,MATCH($C240,'Labor Expenditures'!$C$7:$C$91,0),MATCH($G240,'Labor Expenditures'!$E$5:$W$5,0)),"NA")</f>
        <v>12820.685218056511</v>
      </c>
      <c r="K240" s="125">
        <f t="shared" ca="1" si="470"/>
        <v>109.64879382558487</v>
      </c>
      <c r="L240" s="47"/>
      <c r="M240" s="131">
        <f t="shared" ca="1" si="477"/>
        <v>0.11144078868215028</v>
      </c>
      <c r="N240" s="131"/>
      <c r="O240" s="131"/>
      <c r="P240" s="59">
        <f t="shared" ca="1" si="478"/>
        <v>5.1881226907419609E-4</v>
      </c>
      <c r="Q240" s="61"/>
      <c r="R240" s="387"/>
      <c r="S240" s="49">
        <f t="shared" ca="1" si="483"/>
        <v>97.617008057644497</v>
      </c>
      <c r="T240" s="61">
        <f ca="1">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</f>
        <v>-0.19286825791246603</v>
      </c>
      <c r="U240" s="61"/>
      <c r="V240" s="125">
        <f>IFERROR(INDEX('Non-Labor Expenditures'!$E$7:$AA$91,MATCH($C240,'Non-Labor Expenditures'!$C$7:$C$91,0),MATCH($G240,'Non-Labor Expenditures'!$E$5:$AA$5,0)),"NA")</f>
        <v>18566.746769438272</v>
      </c>
      <c r="W240" s="125">
        <f t="shared" si="471"/>
        <v>193.1842675445408</v>
      </c>
      <c r="X240" s="131">
        <f t="shared" si="479"/>
        <v>0.15250259622197643</v>
      </c>
      <c r="Y240" s="131">
        <f t="shared" si="480"/>
        <v>7.0997539519659177E-4</v>
      </c>
      <c r="Z240" s="131"/>
      <c r="AA240" s="131"/>
      <c r="AB240" s="131"/>
      <c r="AC240" s="125">
        <f t="shared" si="451"/>
        <v>9197.0871970827411</v>
      </c>
      <c r="AD240" s="129"/>
      <c r="AE240" s="133">
        <v>676.20952420141441</v>
      </c>
      <c r="AF240" s="134">
        <v>2.2021198302222569E-2</v>
      </c>
      <c r="AG240" s="59">
        <f t="shared" si="472"/>
        <v>1.0251962494176849E-4</v>
      </c>
      <c r="AH240" s="134"/>
      <c r="AI240" s="134"/>
      <c r="AJ240" s="129">
        <f t="shared" si="444"/>
        <v>40584.519184577526</v>
      </c>
      <c r="AK240" s="134">
        <f t="shared" si="481"/>
        <v>0.13849570500060712</v>
      </c>
      <c r="AL240" s="129"/>
      <c r="AM240" s="129"/>
      <c r="AN240" s="129"/>
      <c r="AO240" s="129"/>
      <c r="AP240" s="133">
        <f t="shared" si="482"/>
        <v>541.61798943812425</v>
      </c>
      <c r="AQ240" s="134">
        <f>+BB240/Outputs!$B$18</f>
        <v>2.1184731183877935E-3</v>
      </c>
      <c r="AR240" s="93">
        <f t="shared" si="473"/>
        <v>0.31590087737021866</v>
      </c>
      <c r="AS240" s="93">
        <f t="shared" si="474"/>
        <v>0.4574834725772432</v>
      </c>
      <c r="AT240" s="93">
        <f t="shared" si="475"/>
        <v>0.22661565005253814</v>
      </c>
      <c r="AU240" s="93">
        <f t="shared" ca="1" si="484"/>
        <v>0.10364387397767799</v>
      </c>
      <c r="AV240" s="132">
        <f t="shared" ca="1" si="486"/>
        <v>169.13998281982842</v>
      </c>
      <c r="AW240" s="134">
        <f t="shared" ca="1" si="487"/>
        <v>0.10364387397767798</v>
      </c>
      <c r="AX240" s="56">
        <f>+AJ240/$AL$15</f>
        <v>4.6554971048701436E-3</v>
      </c>
      <c r="AY240" s="135">
        <f t="shared" ca="1" si="485"/>
        <v>4.8251375524060585E-4</v>
      </c>
      <c r="AZ240" s="93"/>
      <c r="BA240" s="93"/>
      <c r="BB240" s="234">
        <f>IFERROR(INDEX('Total Customers'!$E$7:$AA$91,MATCH($C240,'Total Customers'!$C$7:$C$91,0),MATCH($G240,'Total Customers'!$E$5:$AA$5,0)),"NA")</f>
        <v>74932</v>
      </c>
      <c r="BC240" s="411">
        <f t="shared" si="400"/>
        <v>7.8108126822246746E-3</v>
      </c>
      <c r="BD240" s="92"/>
      <c r="BE240" s="281" t="str">
        <f t="shared" si="396"/>
        <v>CENTRAL HUDSON GAS &amp; ELECTRIC CORPORATION</v>
      </c>
      <c r="BF240" s="290">
        <f t="shared" si="397"/>
        <v>4057076</v>
      </c>
      <c r="BG240" s="46" t="str">
        <f t="shared" si="398"/>
        <v>NY</v>
      </c>
      <c r="BH240" s="46"/>
      <c r="BI240" s="46" t="str">
        <f t="shared" si="399"/>
        <v>2010 Y</v>
      </c>
      <c r="BJ240" s="129"/>
      <c r="BK240" s="129"/>
      <c r="BL240" s="129">
        <f>INDEX('Dist. Plant Gas Additions'!$E$7:$AD$91,MATCH($C240,'Dist. Plant Gas Additions'!$C$7:$C$91,0),MATCH(Calculation!$G240,'Dist. Plant Gas Additions'!$E$5:$AD$5,0))</f>
        <v>10974</v>
      </c>
      <c r="BM240" s="129">
        <f>INDEX('Gen. Plant Additions'!$E$7:$AD$91,MATCH($C240,'Gen. Plant Additions'!$C$7:$C$91,0),MATCH(Calculation!$G240,'Gen. Plant Additions'!$E$5:$AD$5,0))</f>
        <v>0</v>
      </c>
      <c r="BN240" s="393">
        <f t="shared" si="452"/>
        <v>1</v>
      </c>
      <c r="BO240" s="46">
        <f t="shared" si="445"/>
        <v>0</v>
      </c>
      <c r="BP240" s="46">
        <f t="shared" si="446"/>
        <v>0</v>
      </c>
      <c r="BQ240" s="129">
        <f>INDEX('Dist Plant Depreciation'!$D$7:$AC$94,MATCH($C240,'Dist Plant Depreciation'!$C$7:$C$94,0),MATCH(Calculation!$G240,'Dist Plant Depreciation'!$D$5:$AC$5,0))</f>
        <v>67170</v>
      </c>
      <c r="BR240" s="129">
        <f>INDEX('Gen. Plant Depreciation'!$D$7:$AC$94,MATCH($C240,'Gen. Plant Depreciation'!$C$7:$C$94,0),MATCH(Calculation!$G240,'Gen. Plant Depreciation'!$D$5:$AC$5,0))</f>
        <v>0</v>
      </c>
      <c r="BS240" s="129"/>
      <c r="BT240" s="129"/>
      <c r="BU240" s="129"/>
      <c r="BV240" s="129"/>
      <c r="BW240" s="129"/>
      <c r="BX240" s="129"/>
      <c r="BY240" s="129">
        <f>INDEX('Gross Dx Plant'!$D$7:$AC$91,MATCH($C240,'Gross Dx Plant'!$C$7:$C$91,0),MATCH(Calculation!$G240,'Gross Dx Plant'!$D$5:$AC$5,0))</f>
        <v>240247</v>
      </c>
      <c r="BZ240" s="129">
        <f>INDEX('Gross Gen Plant'!$D$7:$AC$91,MATCH($C240,'Gross Gen Plant'!$C$7:$C$91,0),MATCH(Calculation!$G240,'Gross Gen Plant'!$D$5:$AC$5,0))</f>
        <v>0</v>
      </c>
      <c r="CA240" s="129">
        <f t="shared" si="441"/>
        <v>173077</v>
      </c>
      <c r="CB240" s="129"/>
      <c r="CC240" s="133">
        <v>2010</v>
      </c>
      <c r="CD240" s="129"/>
      <c r="CE240" s="129"/>
      <c r="CF240" s="129"/>
      <c r="CG240" s="137"/>
      <c r="CH240" s="129">
        <f t="shared" si="453"/>
        <v>10974</v>
      </c>
      <c r="CI240" s="46">
        <f t="shared" si="462"/>
        <v>10974</v>
      </c>
      <c r="CJ240" s="46">
        <f t="shared" si="454"/>
        <v>19.28682330566927</v>
      </c>
      <c r="CK240" s="443">
        <v>0.8666666666666667</v>
      </c>
      <c r="CL240" s="46">
        <f>+CL228*CK240+CJ229*CK239+CJ230*CK238+CJ231*CK237+CJ232*CK236+CJ233*CK235+CJ234*CK234+CJ235*CK233+CJ236*CK232+CJ237*CK231+CJ238*CK230+CJ239*CK229+CJ240</f>
        <v>642.67632447024107</v>
      </c>
      <c r="CM240" s="134">
        <f t="shared" si="455"/>
        <v>1.7377748902973344E-2</v>
      </c>
      <c r="CN240" s="135">
        <f t="shared" si="456"/>
        <v>1.3006612581116605E-2</v>
      </c>
      <c r="CO240" s="135">
        <f t="shared" si="465"/>
        <v>1.2717604751242922E-2</v>
      </c>
      <c r="CP240" s="134">
        <f>VLOOKUP($H240,RoR!$E:$F,2,FALSE)</f>
        <v>4.9433333333333322E-2</v>
      </c>
      <c r="CQ240" s="135">
        <v>1.1684333519300205E-2</v>
      </c>
      <c r="CR240" s="135">
        <f t="shared" si="463"/>
        <v>3.7748999814033117E-2</v>
      </c>
      <c r="CS240" s="135">
        <f t="shared" si="466"/>
        <v>1.8184336857290703E-2</v>
      </c>
      <c r="CT240" s="135">
        <f t="shared" si="467"/>
        <v>4.7937530248493419E-2</v>
      </c>
      <c r="CU240" s="139">
        <f t="shared" si="457"/>
        <v>0.85329623209999994</v>
      </c>
      <c r="CV240" s="335">
        <f t="shared" si="458"/>
        <v>1.037398205301105</v>
      </c>
      <c r="CW240" s="335">
        <f t="shared" si="459"/>
        <v>0.46926837491571133</v>
      </c>
      <c r="CX240" s="335">
        <f t="shared" si="460"/>
        <v>0.8548537519972772</v>
      </c>
      <c r="CY240" s="335">
        <f t="shared" si="461"/>
        <v>0.41615833911547367</v>
      </c>
      <c r="CZ240" s="336">
        <f>INDEX('State Tax Lookup'!$D$7:$Z$91,MATCH(Calculation!$C240,'State Tax Lookup'!$B$7:$B$91,0),MATCH($H240,'State Tax Lookup'!$D$6:$Z$6,0))</f>
        <v>0.39649667</v>
      </c>
      <c r="DA240" s="303">
        <v>0.37</v>
      </c>
      <c r="DB240" s="57">
        <f t="shared" si="464"/>
        <v>14.561464750493338</v>
      </c>
      <c r="DC240" s="56">
        <f t="shared" si="468"/>
        <v>1.7759282615240395E-2</v>
      </c>
      <c r="DD240" s="303">
        <f>VLOOKUP($H240,RoR!$E:$F,2,FALSE)</f>
        <v>4.9433333333333322E-2</v>
      </c>
      <c r="DE240" s="304">
        <f>HLOOKUP($H240,'GDP-PI'!$D$8:$CQ$11,3,FALSE)</f>
        <v>1.1684333519300205E-2</v>
      </c>
      <c r="DF240" s="303">
        <f>VLOOKUP(H240,'HW Dx Data'!$E:$F,2,FALSE)</f>
        <v>568.98950262971744</v>
      </c>
      <c r="DG240" s="89">
        <f ca="1">VLOOKUP(CC240,'ECI - Input Price'!M$13:N$33,2,FALSE)</f>
        <v>116.925</v>
      </c>
      <c r="DH240" s="89"/>
      <c r="DI240" s="89"/>
      <c r="DJ240" s="56">
        <f t="shared" ca="1" si="476"/>
        <v>5.2678406346976722E-2</v>
      </c>
      <c r="DK240" s="53">
        <f>HLOOKUP(H240,'GDP-PI'!$8:$9,2,FALSE)</f>
        <v>96.108999999999995</v>
      </c>
      <c r="DL240" s="355">
        <f t="shared" si="469"/>
        <v>1.1616598807150427E-2</v>
      </c>
      <c r="EC240"/>
    </row>
    <row r="241" spans="1:133" s="126" customFormat="1" ht="21" customHeight="1" x14ac:dyDescent="0.4">
      <c r="A241" s="233" t="s">
        <v>196</v>
      </c>
      <c r="B241" s="127" t="s">
        <v>196</v>
      </c>
      <c r="C241" s="127">
        <v>4057076</v>
      </c>
      <c r="D241" s="127" t="s">
        <v>194</v>
      </c>
      <c r="E241" s="127" t="s">
        <v>15</v>
      </c>
      <c r="F241" s="127"/>
      <c r="G241" s="127" t="s">
        <v>167</v>
      </c>
      <c r="H241" s="128">
        <v>2011</v>
      </c>
      <c r="I241" s="129"/>
      <c r="J241" s="125">
        <f>IFERROR(INDEX('Labor Expenditures'!$E$7:$W$91,MATCH($C241,'Labor Expenditures'!$C$7:$C$91,0),MATCH($G241,'Labor Expenditures'!$E$5:$W$5,0)),"NA")</f>
        <v>13750.100596054281</v>
      </c>
      <c r="K241" s="125">
        <f t="shared" ca="1" si="470"/>
        <v>113.75471020520604</v>
      </c>
      <c r="L241" s="47"/>
      <c r="M241" s="131">
        <f t="shared" ca="1" si="477"/>
        <v>3.6761990790441311E-2</v>
      </c>
      <c r="N241" s="131"/>
      <c r="O241" s="131"/>
      <c r="P241" s="59">
        <f t="shared" ca="1" si="478"/>
        <v>1.765542148911426E-4</v>
      </c>
      <c r="Q241" s="61"/>
      <c r="R241" s="387"/>
      <c r="S241" s="49">
        <f t="shared" ca="1" si="483"/>
        <v>117.26490878945025</v>
      </c>
      <c r="T241" s="61">
        <f ca="1">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</f>
        <v>0.18338381197487325</v>
      </c>
      <c r="U241" s="61"/>
      <c r="V241" s="125">
        <f>IFERROR(INDEX('Non-Labor Expenditures'!$E$7:$AA$91,MATCH($C241,'Non-Labor Expenditures'!$C$7:$C$91,0),MATCH($G241,'Non-Labor Expenditures'!$E$5:$AA$5,0)),"NA")</f>
        <v>19912.71382762662</v>
      </c>
      <c r="W241" s="125">
        <f t="shared" si="471"/>
        <v>202.95900427701628</v>
      </c>
      <c r="X241" s="131">
        <f t="shared" si="479"/>
        <v>4.9359521739100916E-2</v>
      </c>
      <c r="Y241" s="131">
        <f t="shared" si="480"/>
        <v>2.3705548640513745E-4</v>
      </c>
      <c r="Z241" s="131"/>
      <c r="AA241" s="131"/>
      <c r="AB241" s="131"/>
      <c r="AC241" s="125">
        <f t="shared" si="451"/>
        <v>9909.9129551306542</v>
      </c>
      <c r="AD241" s="129"/>
      <c r="AE241" s="133">
        <v>692.79418918676663</v>
      </c>
      <c r="AF241" s="134">
        <v>2.4229994717739938E-2</v>
      </c>
      <c r="AG241" s="59">
        <f t="shared" si="472"/>
        <v>1.1636768309401323E-4</v>
      </c>
      <c r="AH241" s="134"/>
      <c r="AI241" s="134"/>
      <c r="AJ241" s="129">
        <f t="shared" si="444"/>
        <v>43572.727378811556</v>
      </c>
      <c r="AK241" s="134">
        <f t="shared" si="481"/>
        <v>7.1044742780313641E-2</v>
      </c>
      <c r="AL241" s="129"/>
      <c r="AM241" s="129"/>
      <c r="AN241" s="129"/>
      <c r="AO241" s="129"/>
      <c r="AP241" s="133">
        <f t="shared" si="482"/>
        <v>577.92595502104325</v>
      </c>
      <c r="AQ241" s="134">
        <f>+BB241/Outputs!$B$19</f>
        <v>2.1212782567585973E-3</v>
      </c>
      <c r="AR241" s="93">
        <f t="shared" si="473"/>
        <v>0.31556667262331273</v>
      </c>
      <c r="AS241" s="93">
        <f t="shared" si="474"/>
        <v>0.45699948168288695</v>
      </c>
      <c r="AT241" s="93">
        <f t="shared" si="475"/>
        <v>0.22743384569380029</v>
      </c>
      <c r="AU241" s="93">
        <f t="shared" ca="1" si="484"/>
        <v>3.4176222759082428E-2</v>
      </c>
      <c r="AV241" s="132">
        <f t="shared" ca="1" si="486"/>
        <v>175.02046247902334</v>
      </c>
      <c r="AW241" s="134">
        <f t="shared" ca="1" si="487"/>
        <v>3.4176222759082511E-2</v>
      </c>
      <c r="AX241" s="56">
        <f>+AJ241/$AL$16</f>
        <v>4.8026293216157775E-3</v>
      </c>
      <c r="AY241" s="135">
        <f t="shared" ca="1" si="485"/>
        <v>1.6413572952484213E-4</v>
      </c>
      <c r="AZ241" s="93"/>
      <c r="BA241" s="93"/>
      <c r="BB241" s="234">
        <f>IFERROR(INDEX('Total Customers'!$E$7:$AA$91,MATCH($C241,'Total Customers'!$C$7:$C$91,0),MATCH($G241,'Total Customers'!$E$5:$AA$5,0)),"NA")</f>
        <v>75395</v>
      </c>
      <c r="BC241" s="411">
        <f t="shared" si="400"/>
        <v>6.1599242189464025E-3</v>
      </c>
      <c r="BD241" s="92"/>
      <c r="BE241" s="281" t="str">
        <f t="shared" si="396"/>
        <v>CENTRAL HUDSON GAS &amp; ELECTRIC CORPORATION</v>
      </c>
      <c r="BF241" s="290">
        <f t="shared" si="397"/>
        <v>4057076</v>
      </c>
      <c r="BG241" s="46" t="str">
        <f t="shared" si="398"/>
        <v>NY</v>
      </c>
      <c r="BH241" s="46"/>
      <c r="BI241" s="46" t="str">
        <f t="shared" si="399"/>
        <v>2011 Y</v>
      </c>
      <c r="BJ241" s="129"/>
      <c r="BK241" s="129"/>
      <c r="BL241" s="129">
        <f>INDEX('Dist. Plant Gas Additions'!$E$7:$AD$91,MATCH($C241,'Dist. Plant Gas Additions'!$C$7:$C$91,0),MATCH(Calculation!$G241,'Dist. Plant Gas Additions'!$E$5:$AD$5,0))</f>
        <v>13088</v>
      </c>
      <c r="BM241" s="129">
        <f>INDEX('Gen. Plant Additions'!$E$7:$AD$91,MATCH($C241,'Gen. Plant Additions'!$C$7:$C$91,0),MATCH(Calculation!$G241,'Gen. Plant Additions'!$E$5:$AD$5,0))</f>
        <v>0</v>
      </c>
      <c r="BN241" s="393">
        <f t="shared" si="452"/>
        <v>1</v>
      </c>
      <c r="BO241" s="46">
        <f t="shared" si="445"/>
        <v>0</v>
      </c>
      <c r="BP241" s="46">
        <f t="shared" si="446"/>
        <v>0</v>
      </c>
      <c r="BQ241" s="129">
        <f>INDEX('Dist Plant Depreciation'!$D$7:$AC$94,MATCH($C241,'Dist Plant Depreciation'!$C$7:$C$94,0),MATCH(Calculation!$G241,'Dist Plant Depreciation'!$D$5:$AC$5,0))</f>
        <v>71549</v>
      </c>
      <c r="BR241" s="129">
        <f>INDEX('Gen. Plant Depreciation'!$D$7:$AC$94,MATCH($C241,'Gen. Plant Depreciation'!$C$7:$C$94,0),MATCH(Calculation!$G241,'Gen. Plant Depreciation'!$D$5:$AC$5,0))</f>
        <v>0</v>
      </c>
      <c r="BS241" s="129"/>
      <c r="BT241" s="129"/>
      <c r="BU241" s="129"/>
      <c r="BV241" s="129"/>
      <c r="BW241" s="129"/>
      <c r="BX241" s="129"/>
      <c r="BY241" s="129">
        <f>INDEX('Gross Dx Plant'!$D$7:$AC$91,MATCH($C241,'Gross Dx Plant'!$C$7:$C$91,0),MATCH(Calculation!$G241,'Gross Dx Plant'!$D$5:$AC$5,0))</f>
        <v>252699</v>
      </c>
      <c r="BZ241" s="129">
        <f>INDEX('Gross Gen Plant'!$D$7:$AC$91,MATCH($C241,'Gross Gen Plant'!$C$7:$C$91,0),MATCH(Calculation!$G241,'Gross Gen Plant'!$D$5:$AC$5,0))</f>
        <v>0</v>
      </c>
      <c r="CA241" s="129">
        <f t="shared" si="441"/>
        <v>181150</v>
      </c>
      <c r="CB241" s="129"/>
      <c r="CC241" s="133">
        <v>2011</v>
      </c>
      <c r="CD241" s="129"/>
      <c r="CE241" s="129"/>
      <c r="CF241" s="129"/>
      <c r="CG241" s="137"/>
      <c r="CH241" s="129">
        <f t="shared" si="453"/>
        <v>13088</v>
      </c>
      <c r="CI241" s="46">
        <f t="shared" si="462"/>
        <v>13088</v>
      </c>
      <c r="CJ241" s="46">
        <f t="shared" si="454"/>
        <v>21.399219345378736</v>
      </c>
      <c r="CK241" s="443">
        <v>0.8539325842696629</v>
      </c>
      <c r="CL241" s="46">
        <f>+CL228*CK241+CJ229*CK240+CJ230*CK239+CJ231*CK238+CJ232*CK237+CJ233*CK236+CJ234*CK235+CJ235*CK234+CJ236*CK233+CJ237*CK232+CJ238*CK231+CJ239*CK230+CJ240*CK229+CJ241</f>
        <v>655.48939984481228</v>
      </c>
      <c r="CM241" s="134">
        <f t="shared" si="455"/>
        <v>1.9740917882192746E-2</v>
      </c>
      <c r="CN241" s="135">
        <f t="shared" si="456"/>
        <v>1.3359981757356773E-2</v>
      </c>
      <c r="CO241" s="135">
        <f t="shared" si="465"/>
        <v>1.3030116022391153E-2</v>
      </c>
      <c r="CP241" s="134">
        <f>VLOOKUP($H241,RoR!$E:$F,2,FALSE)</f>
        <v>4.6391666666666664E-2</v>
      </c>
      <c r="CQ241" s="135">
        <v>2.0840920205183799E-2</v>
      </c>
      <c r="CR241" s="135">
        <f t="shared" si="463"/>
        <v>2.5550746461482865E-2</v>
      </c>
      <c r="CS241" s="135">
        <f t="shared" si="466"/>
        <v>1.7871825586142472E-2</v>
      </c>
      <c r="CT241" s="135">
        <f t="shared" si="467"/>
        <v>2.4810540821321614E-2</v>
      </c>
      <c r="CU241" s="139">
        <f t="shared" si="457"/>
        <v>0.85329623209999994</v>
      </c>
      <c r="CV241" s="335">
        <f t="shared" si="458"/>
        <v>1.1054151524782025</v>
      </c>
      <c r="CW241" s="335">
        <f t="shared" si="459"/>
        <v>0.43611011316687626</v>
      </c>
      <c r="CX241" s="335">
        <f t="shared" si="460"/>
        <v>0.83698442246886229</v>
      </c>
      <c r="CY241" s="335">
        <f t="shared" si="461"/>
        <v>0.40349573304423936</v>
      </c>
      <c r="CZ241" s="336">
        <f>INDEX('State Tax Lookup'!$D$7:$Z$91,MATCH(Calculation!$C241,'State Tax Lookup'!$B$7:$B$91,0),MATCH($H241,'State Tax Lookup'!$D$6:$Z$6,0))</f>
        <v>0.39649667</v>
      </c>
      <c r="DA241" s="303">
        <v>0.37</v>
      </c>
      <c r="DB241" s="57">
        <f t="shared" si="464"/>
        <v>15.419757314538399</v>
      </c>
      <c r="DC241" s="56">
        <f t="shared" si="468"/>
        <v>5.7270990950530003E-2</v>
      </c>
      <c r="DD241" s="303">
        <f>VLOOKUP($H241,RoR!$E:$F,2,FALSE)</f>
        <v>4.6391666666666664E-2</v>
      </c>
      <c r="DE241" s="304">
        <f>HLOOKUP($H241,'GDP-PI'!$D$8:$CQ$11,3,FALSE)</f>
        <v>2.0840920205183799E-2</v>
      </c>
      <c r="DF241" s="303">
        <f>VLOOKUP(H241,'HW Dx Data'!$E:$F,2,FALSE)</f>
        <v>611.61109612283201</v>
      </c>
      <c r="DG241" s="89">
        <f ca="1">VLOOKUP(CC241,'ECI - Input Price'!M$13:N$33,2,FALSE)</f>
        <v>120.875</v>
      </c>
      <c r="DH241" s="89"/>
      <c r="DI241" s="89"/>
      <c r="DJ241" s="56">
        <f t="shared" ca="1" si="476"/>
        <v>3.3224250161508609E-2</v>
      </c>
      <c r="DK241" s="53">
        <f>HLOOKUP(H241,'GDP-PI'!$8:$9,2,FALSE)</f>
        <v>98.111999999999995</v>
      </c>
      <c r="DL241" s="355">
        <f t="shared" si="469"/>
        <v>2.0626719212849295E-2</v>
      </c>
      <c r="EC241"/>
    </row>
    <row r="242" spans="1:133" s="126" customFormat="1" ht="21" customHeight="1" x14ac:dyDescent="0.4">
      <c r="A242" s="233" t="s">
        <v>196</v>
      </c>
      <c r="B242" s="127" t="s">
        <v>196</v>
      </c>
      <c r="C242" s="127">
        <v>4057076</v>
      </c>
      <c r="D242" s="127" t="s">
        <v>194</v>
      </c>
      <c r="E242" s="127" t="s">
        <v>15</v>
      </c>
      <c r="F242" s="127"/>
      <c r="G242" s="127" t="s">
        <v>168</v>
      </c>
      <c r="H242" s="128">
        <v>2012</v>
      </c>
      <c r="I242" s="129"/>
      <c r="J242" s="125">
        <f>IFERROR(INDEX('Labor Expenditures'!$E$7:$W$91,MATCH($C242,'Labor Expenditures'!$C$7:$C$91,0),MATCH($G242,'Labor Expenditures'!$E$5:$W$5,0)),"NA")</f>
        <v>13681.900192801932</v>
      </c>
      <c r="K242" s="125">
        <f t="shared" ca="1" si="470"/>
        <v>109.63061051924623</v>
      </c>
      <c r="L242" s="47"/>
      <c r="M242" s="131">
        <f t="shared" ca="1" si="477"/>
        <v>-3.6927836793486164E-2</v>
      </c>
      <c r="N242" s="131"/>
      <c r="O242" s="131"/>
      <c r="P242" s="59">
        <f t="shared" ca="1" si="478"/>
        <v>-1.7428402507589508E-4</v>
      </c>
      <c r="Q242" s="61"/>
      <c r="R242" s="387"/>
      <c r="S242" s="49">
        <f t="shared" ca="1" si="483"/>
        <v>115.13159380363523</v>
      </c>
      <c r="T242" s="61">
        <f ca="1">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</f>
        <v>-1.8359784994999385E-2</v>
      </c>
      <c r="U242" s="61"/>
      <c r="V242" s="125">
        <f>IFERROR(INDEX('Non-Labor Expenditures'!$E$7:$AA$91,MATCH($C242,'Non-Labor Expenditures'!$C$7:$C$91,0),MATCH($G242,'Non-Labor Expenditures'!$E$5:$AA$5,0)),"NA")</f>
        <v>19813.946905638975</v>
      </c>
      <c r="W242" s="125">
        <f t="shared" si="471"/>
        <v>198.13946905638974</v>
      </c>
      <c r="X242" s="131">
        <f t="shared" si="479"/>
        <v>-2.4032837370359762E-2</v>
      </c>
      <c r="Y242" s="131">
        <f t="shared" si="480"/>
        <v>-1.134249930296356E-4</v>
      </c>
      <c r="Z242" s="131"/>
      <c r="AA242" s="131"/>
      <c r="AB242" s="131"/>
      <c r="AC242" s="125">
        <f t="shared" si="451"/>
        <v>10813.307292340161</v>
      </c>
      <c r="AD242" s="129"/>
      <c r="AE242" s="133">
        <v>716.77546683201854</v>
      </c>
      <c r="AF242" s="134">
        <v>3.4029665334649156E-2</v>
      </c>
      <c r="AG242" s="59">
        <f t="shared" si="472"/>
        <v>1.606058616342908E-4</v>
      </c>
      <c r="AH242" s="134"/>
      <c r="AI242" s="134"/>
      <c r="AJ242" s="129">
        <f t="shared" si="444"/>
        <v>44309.15439078107</v>
      </c>
      <c r="AK242" s="134">
        <f t="shared" si="481"/>
        <v>1.6759865291100309E-2</v>
      </c>
      <c r="AL242" s="129"/>
      <c r="AM242" s="129"/>
      <c r="AN242" s="129"/>
      <c r="AO242" s="129"/>
      <c r="AP242" s="133">
        <f t="shared" si="482"/>
        <v>585.32568547927428</v>
      </c>
      <c r="AQ242" s="134">
        <f>+BB242/Outputs!$B$20</f>
        <v>2.1196526267354167E-3</v>
      </c>
      <c r="AR242" s="93">
        <f t="shared" si="473"/>
        <v>0.30878269695998933</v>
      </c>
      <c r="AS242" s="93">
        <f t="shared" si="474"/>
        <v>0.44717501785052011</v>
      </c>
      <c r="AT242" s="93">
        <f t="shared" si="475"/>
        <v>0.24404228518949056</v>
      </c>
      <c r="AU242" s="93">
        <f t="shared" ca="1" si="484"/>
        <v>-2.2392875161900475E-2</v>
      </c>
      <c r="AV242" s="132">
        <f t="shared" ca="1" si="486"/>
        <v>171.14480660074284</v>
      </c>
      <c r="AW242" s="134">
        <f t="shared" ca="1" si="487"/>
        <v>-2.2392875161900479E-2</v>
      </c>
      <c r="AX242" s="56">
        <f>+AJ242/$AL$17</f>
        <v>4.719583929341826E-3</v>
      </c>
      <c r="AY242" s="135">
        <f t="shared" ca="1" si="485"/>
        <v>-1.0568505374586324E-4</v>
      </c>
      <c r="AZ242" s="93"/>
      <c r="BA242" s="93"/>
      <c r="BB242" s="234">
        <f>IFERROR(INDEX('Total Customers'!$E$7:$AA$91,MATCH($C242,'Total Customers'!$C$7:$C$91,0),MATCH($G242,'Total Customers'!$E$5:$AA$5,0)),"NA")</f>
        <v>75700</v>
      </c>
      <c r="BC242" s="411">
        <f t="shared" si="400"/>
        <v>4.0372006256442087E-3</v>
      </c>
      <c r="BD242" s="92"/>
      <c r="BE242" s="281" t="str">
        <f t="shared" si="396"/>
        <v>CENTRAL HUDSON GAS &amp; ELECTRIC CORPORATION</v>
      </c>
      <c r="BF242" s="290">
        <f t="shared" si="397"/>
        <v>4057076</v>
      </c>
      <c r="BG242" s="46" t="str">
        <f t="shared" si="398"/>
        <v>NY</v>
      </c>
      <c r="BH242" s="46"/>
      <c r="BI242" s="46" t="str">
        <f t="shared" si="399"/>
        <v>2012 Y</v>
      </c>
      <c r="BJ242" s="129"/>
      <c r="BK242" s="129"/>
      <c r="BL242" s="129">
        <f>INDEX('Dist. Plant Gas Additions'!$E$7:$AD$91,MATCH($C242,'Dist. Plant Gas Additions'!$C$7:$C$91,0),MATCH(Calculation!$G242,'Dist. Plant Gas Additions'!$E$5:$AD$5,0))</f>
        <v>19448</v>
      </c>
      <c r="BM242" s="129">
        <f>INDEX('Gen. Plant Additions'!$E$7:$AD$91,MATCH($C242,'Gen. Plant Additions'!$C$7:$C$91,0),MATCH(Calculation!$G242,'Gen. Plant Additions'!$E$5:$AD$5,0))</f>
        <v>0</v>
      </c>
      <c r="BN242" s="393">
        <f t="shared" si="452"/>
        <v>1</v>
      </c>
      <c r="BO242" s="46">
        <f t="shared" si="445"/>
        <v>0</v>
      </c>
      <c r="BP242" s="46">
        <f t="shared" si="446"/>
        <v>0</v>
      </c>
      <c r="BQ242" s="129">
        <f>INDEX('Dist Plant Depreciation'!$D$7:$AC$94,MATCH($C242,'Dist Plant Depreciation'!$C$7:$C$94,0),MATCH(Calculation!$G242,'Dist Plant Depreciation'!$D$5:$AC$5,0))</f>
        <v>75443</v>
      </c>
      <c r="BR242" s="129">
        <f>INDEX('Gen. Plant Depreciation'!$D$7:$AC$94,MATCH($C242,'Gen. Plant Depreciation'!$C$7:$C$94,0),MATCH(Calculation!$G242,'Gen. Plant Depreciation'!$D$5:$AC$5,0))</f>
        <v>0</v>
      </c>
      <c r="BS242" s="129"/>
      <c r="BT242" s="129"/>
      <c r="BU242" s="129"/>
      <c r="BV242" s="129"/>
      <c r="BW242" s="129"/>
      <c r="BX242" s="129"/>
      <c r="BY242" s="129">
        <f>INDEX('Gross Dx Plant'!$D$7:$AC$91,MATCH($C242,'Gross Dx Plant'!$C$7:$C$91,0),MATCH(Calculation!$G242,'Gross Dx Plant'!$D$5:$AC$5,0))</f>
        <v>270716</v>
      </c>
      <c r="BZ242" s="129">
        <f>INDEX('Gross Gen Plant'!$D$7:$AC$91,MATCH($C242,'Gross Gen Plant'!$C$7:$C$91,0),MATCH(Calculation!$G242,'Gross Gen Plant'!$D$5:$AC$5,0))</f>
        <v>0</v>
      </c>
      <c r="CA242" s="129">
        <f t="shared" si="441"/>
        <v>195273</v>
      </c>
      <c r="CB242" s="129"/>
      <c r="CC242" s="133">
        <v>2012</v>
      </c>
      <c r="CD242" s="129"/>
      <c r="CE242" s="129"/>
      <c r="CF242" s="129"/>
      <c r="CG242" s="137"/>
      <c r="CH242" s="129">
        <f t="shared" si="453"/>
        <v>19448</v>
      </c>
      <c r="CI242" s="46">
        <f t="shared" si="462"/>
        <v>19448</v>
      </c>
      <c r="CJ242" s="46">
        <f t="shared" si="454"/>
        <v>29.073760253446029</v>
      </c>
      <c r="CK242" s="443">
        <v>0.84090909090909094</v>
      </c>
      <c r="CL242" s="46">
        <f>+CL228*CK242+CJ229*CK241+CJ230*CK240+CJ231*CK239+CJ232*CK238+CJ233*CK237+CJ234*CK236+CJ235*CK235+CJ236*CK234+CJ237*CK233+CJ238*CK232+CJ239*CK231+CJ240*CK230+CJ241*CK229+CJ242</f>
        <v>675.57517381367995</v>
      </c>
      <c r="CM242" s="134">
        <f t="shared" si="455"/>
        <v>3.0182305412742659E-2</v>
      </c>
      <c r="CN242" s="135">
        <f t="shared" si="456"/>
        <v>1.3711871292970218E-2</v>
      </c>
      <c r="CO242" s="135">
        <f t="shared" si="465"/>
        <v>1.3359488543814533E-2</v>
      </c>
      <c r="CP242" s="134">
        <f>VLOOKUP($H242,RoR!$E:$F,2,FALSE)</f>
        <v>3.6733333333333333E-2</v>
      </c>
      <c r="CQ242" s="135">
        <v>1.924331376386168E-2</v>
      </c>
      <c r="CR242" s="135">
        <f t="shared" si="463"/>
        <v>1.7490019569471653E-2</v>
      </c>
      <c r="CS242" s="135">
        <f t="shared" si="466"/>
        <v>1.7542453064719091E-2</v>
      </c>
      <c r="CT242" s="135">
        <f t="shared" si="467"/>
        <v>6.7122682943869583E-2</v>
      </c>
      <c r="CU242" s="139">
        <f t="shared" si="457"/>
        <v>0.85329623209999994</v>
      </c>
      <c r="CV242" s="335">
        <f t="shared" si="458"/>
        <v>1.3960631020522127</v>
      </c>
      <c r="CW242" s="335">
        <f t="shared" si="459"/>
        <v>0.29441923774954631</v>
      </c>
      <c r="CX242" s="335">
        <f t="shared" si="460"/>
        <v>0.76377954189366437</v>
      </c>
      <c r="CY242" s="335">
        <f t="shared" si="461"/>
        <v>0.31393465103033691</v>
      </c>
      <c r="CZ242" s="336">
        <f>INDEX('State Tax Lookup'!$D$7:$Z$91,MATCH(Calculation!$C242,'State Tax Lookup'!$B$7:$B$91,0),MATCH($H242,'State Tax Lookup'!$D$6:$Z$6,0))</f>
        <v>0.39649667</v>
      </c>
      <c r="DA242" s="303">
        <v>0.37</v>
      </c>
      <c r="DB242" s="57">
        <f t="shared" si="464"/>
        <v>16.496540287150673</v>
      </c>
      <c r="DC242" s="56">
        <f t="shared" si="468"/>
        <v>6.7501049699524626E-2</v>
      </c>
      <c r="DD242" s="303">
        <f>VLOOKUP($H242,RoR!$E:$F,2,FALSE)</f>
        <v>3.6733333333333333E-2</v>
      </c>
      <c r="DE242" s="304">
        <f>HLOOKUP($H242,'GDP-PI'!$D$8:$CQ$11,3,FALSE)</f>
        <v>1.924331376386168E-2</v>
      </c>
      <c r="DF242" s="303">
        <f>VLOOKUP(H242,'HW Dx Data'!$E:$F,2,FALSE)</f>
        <v>668.91932211262167</v>
      </c>
      <c r="DG242" s="89">
        <f ca="1">VLOOKUP(CC242,'ECI - Input Price'!M$13:N$33,2,FALSE)</f>
        <v>124.80000000000001</v>
      </c>
      <c r="DH242" s="89"/>
      <c r="DI242" s="89"/>
      <c r="DJ242" s="56">
        <f t="shared" ca="1" si="476"/>
        <v>3.1955502161869064E-2</v>
      </c>
      <c r="DK242" s="53">
        <f>HLOOKUP(H242,'GDP-PI'!$8:$9,2,FALSE)</f>
        <v>100</v>
      </c>
      <c r="DL242" s="355">
        <f t="shared" si="469"/>
        <v>1.9060502738742411E-2</v>
      </c>
      <c r="EC242"/>
    </row>
    <row r="243" spans="1:133" s="126" customFormat="1" ht="21" customHeight="1" x14ac:dyDescent="0.4">
      <c r="A243" s="233" t="s">
        <v>196</v>
      </c>
      <c r="B243" s="127" t="s">
        <v>196</v>
      </c>
      <c r="C243" s="127">
        <v>4057076</v>
      </c>
      <c r="D243" s="127" t="s">
        <v>194</v>
      </c>
      <c r="E243" s="127" t="s">
        <v>15</v>
      </c>
      <c r="F243" s="127"/>
      <c r="G243" s="127" t="s">
        <v>169</v>
      </c>
      <c r="H243" s="128">
        <v>2013</v>
      </c>
      <c r="I243" s="129"/>
      <c r="J243" s="125">
        <f>IFERROR(INDEX('Labor Expenditures'!$E$7:$W$91,MATCH($C243,'Labor Expenditures'!$C$7:$C$91,0),MATCH($G243,'Labor Expenditures'!$E$5:$W$5,0)),"NA")</f>
        <v>14451.438658423232</v>
      </c>
      <c r="K243" s="125">
        <f t="shared" ca="1" si="470"/>
        <v>113.97033642289615</v>
      </c>
      <c r="L243" s="47"/>
      <c r="M243" s="131">
        <f t="shared" ca="1" si="477"/>
        <v>3.8821579140442118E-2</v>
      </c>
      <c r="N243" s="131"/>
      <c r="O243" s="131"/>
      <c r="P243" s="59">
        <f t="shared" ca="1" si="478"/>
        <v>1.8442964064098791E-4</v>
      </c>
      <c r="Q243" s="61"/>
      <c r="R243" s="387"/>
      <c r="S243" s="49">
        <f t="shared" ca="1" si="483"/>
        <v>108.57859080179702</v>
      </c>
      <c r="T243" s="61">
        <f ca="1">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</f>
        <v>-5.8601518142044645E-2</v>
      </c>
      <c r="U243" s="61"/>
      <c r="V243" s="125">
        <f>IFERROR(INDEX('Non-Labor Expenditures'!$E$7:$AA$91,MATCH($C243,'Non-Labor Expenditures'!$C$7:$C$91,0),MATCH($G243,'Non-Labor Expenditures'!$E$5:$AA$5,0)),"NA")</f>
        <v>20928.382333817957</v>
      </c>
      <c r="W243" s="125">
        <f t="shared" si="471"/>
        <v>205.63786400929479</v>
      </c>
      <c r="X243" s="131">
        <f t="shared" si="479"/>
        <v>3.7145508191729786E-2</v>
      </c>
      <c r="Y243" s="131">
        <f t="shared" si="480"/>
        <v>1.7646713191249073E-4</v>
      </c>
      <c r="Z243" s="131"/>
      <c r="AA243" s="131"/>
      <c r="AB243" s="131"/>
      <c r="AC243" s="125">
        <f t="shared" si="451"/>
        <v>10847.229813029388</v>
      </c>
      <c r="AD243" s="129"/>
      <c r="AE243" s="133">
        <v>765.64013199788974</v>
      </c>
      <c r="AF243" s="134">
        <v>6.5949622664719723E-2</v>
      </c>
      <c r="AG243" s="59">
        <f t="shared" si="472"/>
        <v>3.1330681228760785E-4</v>
      </c>
      <c r="AH243" s="134"/>
      <c r="AI243" s="134"/>
      <c r="AJ243" s="129">
        <f t="shared" si="444"/>
        <v>46227.050805270577</v>
      </c>
      <c r="AK243" s="134">
        <f t="shared" si="481"/>
        <v>4.2373840913143841E-2</v>
      </c>
      <c r="AL243" s="129"/>
      <c r="AM243" s="129"/>
      <c r="AN243" s="129"/>
      <c r="AO243" s="129"/>
      <c r="AP243" s="133">
        <f t="shared" si="482"/>
        <v>602.63663249296781</v>
      </c>
      <c r="AQ243" s="134">
        <f>+BB243/Outputs!$B$21</f>
        <v>2.1341882105382179E-3</v>
      </c>
      <c r="AR243" s="93">
        <f t="shared" si="473"/>
        <v>0.31261865956578722</v>
      </c>
      <c r="AS243" s="93">
        <f t="shared" si="474"/>
        <v>0.45273020816270215</v>
      </c>
      <c r="AT243" s="93">
        <f t="shared" si="475"/>
        <v>0.2346511322715106</v>
      </c>
      <c r="AU243" s="93">
        <f t="shared" ca="1" si="484"/>
        <v>2.8775609442499059E-2</v>
      </c>
      <c r="AV243" s="132">
        <f t="shared" ca="1" si="486"/>
        <v>176.1411442871451</v>
      </c>
      <c r="AW243" s="134">
        <f t="shared" ca="1" si="487"/>
        <v>2.8775609442499041E-2</v>
      </c>
      <c r="AX243" s="56">
        <f>+AJ243/$AL$18</f>
        <v>4.7506990886122813E-3</v>
      </c>
      <c r="AY243" s="135">
        <f t="shared" ca="1" si="485"/>
        <v>1.3670426155274317E-4</v>
      </c>
      <c r="AZ243" s="93"/>
      <c r="BA243" s="93"/>
      <c r="BB243" s="234">
        <f>IFERROR(INDEX('Total Customers'!$E$7:$AA$91,MATCH($C243,'Total Customers'!$C$7:$C$91,0),MATCH($G243,'Total Customers'!$E$5:$AA$5,0)),"NA")</f>
        <v>76708</v>
      </c>
      <c r="BC243" s="411">
        <f t="shared" si="400"/>
        <v>1.3227844967866088E-2</v>
      </c>
      <c r="BD243" s="92"/>
      <c r="BE243" s="281" t="str">
        <f t="shared" si="396"/>
        <v>CENTRAL HUDSON GAS &amp; ELECTRIC CORPORATION</v>
      </c>
      <c r="BF243" s="290">
        <f t="shared" si="397"/>
        <v>4057076</v>
      </c>
      <c r="BG243" s="46" t="str">
        <f t="shared" si="398"/>
        <v>NY</v>
      </c>
      <c r="BH243" s="46"/>
      <c r="BI243" s="46" t="str">
        <f t="shared" si="399"/>
        <v>2013 Y</v>
      </c>
      <c r="BJ243" s="129"/>
      <c r="BK243" s="129"/>
      <c r="BL243" s="129">
        <f>INDEX('Dist. Plant Gas Additions'!$E$7:$AD$91,MATCH($C243,'Dist. Plant Gas Additions'!$C$7:$C$91,0),MATCH(Calculation!$G243,'Dist. Plant Gas Additions'!$E$5:$AD$5,0))</f>
        <v>36005</v>
      </c>
      <c r="BM243" s="129">
        <f>INDEX('Gen. Plant Additions'!$E$7:$AD$91,MATCH($C243,'Gen. Plant Additions'!$C$7:$C$91,0),MATCH(Calculation!$G243,'Gen. Plant Additions'!$E$5:$AD$5,0))</f>
        <v>0</v>
      </c>
      <c r="BN243" s="393">
        <f t="shared" si="452"/>
        <v>1</v>
      </c>
      <c r="BO243" s="129"/>
      <c r="BP243" s="129"/>
      <c r="BQ243" s="129">
        <f>INDEX('Dist Plant Depreciation'!$D$7:$AC$94,MATCH($C243,'Dist Plant Depreciation'!$C$7:$C$94,0),MATCH(Calculation!$G243,'Dist Plant Depreciation'!$D$5:$AC$5,0))</f>
        <v>78709</v>
      </c>
      <c r="BR243" s="129">
        <f>INDEX('Gen. Plant Depreciation'!$D$7:$AC$94,MATCH($C243,'Gen. Plant Depreciation'!$C$7:$C$94,0),MATCH(Calculation!$G243,'Gen. Plant Depreciation'!$D$5:$AC$5,0))</f>
        <v>0</v>
      </c>
      <c r="BS243" s="129"/>
      <c r="BT243" s="129"/>
      <c r="BU243" s="129"/>
      <c r="BV243" s="129"/>
      <c r="BW243" s="129"/>
      <c r="BX243" s="129"/>
      <c r="BY243" s="129">
        <f>INDEX('Gross Dx Plant'!$D$7:$AC$91,MATCH($C243,'Gross Dx Plant'!$C$7:$C$91,0),MATCH(Calculation!$G243,'Gross Dx Plant'!$D$5:$AC$5,0))</f>
        <v>304469</v>
      </c>
      <c r="BZ243" s="129">
        <f>INDEX('Gross Gen Plant'!$D$7:$AC$91,MATCH($C243,'Gross Gen Plant'!$C$7:$C$91,0),MATCH(Calculation!$G243,'Gross Gen Plant'!$D$5:$AC$5,0))</f>
        <v>0</v>
      </c>
      <c r="CA243" s="129">
        <f t="shared" si="441"/>
        <v>225760</v>
      </c>
      <c r="CB243" s="129"/>
      <c r="CC243" s="133">
        <v>2013</v>
      </c>
      <c r="CD243" s="129"/>
      <c r="CE243" s="129"/>
      <c r="CF243" s="129"/>
      <c r="CG243" s="137"/>
      <c r="CH243" s="129">
        <f t="shared" si="453"/>
        <v>36005</v>
      </c>
      <c r="CI243" s="46">
        <f t="shared" si="462"/>
        <v>36005</v>
      </c>
      <c r="CJ243" s="46">
        <f t="shared" si="454"/>
        <v>54.285844793696704</v>
      </c>
      <c r="CK243" s="443">
        <v>0.82758620689655171</v>
      </c>
      <c r="CL243" s="46">
        <f>+CL228*CK243+CJ229*CK242+CJ230*CK241+CJ231*CK240+CJ232*CK239+CJ233*CK238+CJ234*CK237+CJ235*CK236+CJ236*CK235+CJ237*CK234+CJ238*CK233+CJ239*CK232+CJ240*CK231+CJ241*CK230+CJ242*CK229+CJ243</f>
        <v>720.38458159320987</v>
      </c>
      <c r="CM243" s="134">
        <f t="shared" si="455"/>
        <v>6.4220773122141833E-2</v>
      </c>
      <c r="CN243" s="135">
        <f t="shared" si="456"/>
        <v>1.4027213227317816E-2</v>
      </c>
      <c r="CO243" s="135">
        <f t="shared" si="465"/>
        <v>1.3699688759214936E-2</v>
      </c>
      <c r="CP243" s="134">
        <f>VLOOKUP($H243,RoR!$E:$F,2,FALSE)</f>
        <v>4.2350000000000006E-2</v>
      </c>
      <c r="CQ243" s="135">
        <v>1.7730000000000024E-2</v>
      </c>
      <c r="CR243" s="135">
        <f t="shared" si="463"/>
        <v>2.4619999999999982E-2</v>
      </c>
      <c r="CS243" s="135">
        <f t="shared" si="466"/>
        <v>1.720225284931869E-2</v>
      </c>
      <c r="CT243" s="135">
        <f t="shared" si="467"/>
        <v>5.3376742735721204E-2</v>
      </c>
      <c r="CU243" s="139">
        <f t="shared" si="457"/>
        <v>0.85329623209999994</v>
      </c>
      <c r="CV243" s="335">
        <f t="shared" si="458"/>
        <v>1.2109103018193925</v>
      </c>
      <c r="CW243" s="335">
        <f t="shared" si="459"/>
        <v>0.38468122786304604</v>
      </c>
      <c r="CX243" s="335">
        <f t="shared" si="460"/>
        <v>0.80969194503422559</v>
      </c>
      <c r="CY243" s="335">
        <f t="shared" si="461"/>
        <v>0.37716621754800816</v>
      </c>
      <c r="CZ243" s="336">
        <f>INDEX('State Tax Lookup'!$D$7:$Z$91,MATCH(Calculation!$C243,'State Tax Lookup'!$B$7:$B$91,0),MATCH($H243,'State Tax Lookup'!$D$6:$Z$6,0))</f>
        <v>0.39649667</v>
      </c>
      <c r="DA243" s="303">
        <v>0.37</v>
      </c>
      <c r="DB243" s="57">
        <f t="shared" si="464"/>
        <v>16.056288379864291</v>
      </c>
      <c r="DC243" s="56">
        <f t="shared" si="468"/>
        <v>-2.7050107142889281E-2</v>
      </c>
      <c r="DD243" s="303">
        <f>VLOOKUP($H243,RoR!$E:$F,2,FALSE)</f>
        <v>4.2350000000000006E-2</v>
      </c>
      <c r="DE243" s="304">
        <f>HLOOKUP($H243,'GDP-PI'!$D$8:$CQ$11,3,FALSE)</f>
        <v>1.7730000000000024E-2</v>
      </c>
      <c r="DF243" s="303">
        <f>VLOOKUP(H243,'HW Dx Data'!$E:$F,2,FALSE)</f>
        <v>663.24840548821396</v>
      </c>
      <c r="DG243" s="89">
        <f ca="1">VLOOKUP(CC243,'ECI - Input Price'!M$13:N$33,2,FALSE)</f>
        <v>126.8</v>
      </c>
      <c r="DH243" s="89"/>
      <c r="DI243" s="89"/>
      <c r="DJ243" s="56">
        <f t="shared" ca="1" si="476"/>
        <v>1.5898586067798204E-2</v>
      </c>
      <c r="DK243" s="53">
        <f>HLOOKUP(H243,'GDP-PI'!$8:$9,2,FALSE)</f>
        <v>101.773</v>
      </c>
      <c r="DL243" s="355">
        <f t="shared" si="469"/>
        <v>1.7574657016510519E-2</v>
      </c>
      <c r="EC243"/>
    </row>
    <row r="244" spans="1:133" s="126" customFormat="1" ht="21" customHeight="1" x14ac:dyDescent="0.4">
      <c r="A244" s="233" t="s">
        <v>196</v>
      </c>
      <c r="B244" s="127" t="s">
        <v>196</v>
      </c>
      <c r="C244" s="127">
        <v>4057076</v>
      </c>
      <c r="D244" s="127" t="s">
        <v>194</v>
      </c>
      <c r="E244" s="127" t="s">
        <v>15</v>
      </c>
      <c r="F244" s="127"/>
      <c r="G244" s="127" t="s">
        <v>170</v>
      </c>
      <c r="H244" s="128">
        <v>2014</v>
      </c>
      <c r="I244" s="129"/>
      <c r="J244" s="125">
        <f>IFERROR(INDEX('Labor Expenditures'!$E$7:$W$91,MATCH($C244,'Labor Expenditures'!$C$7:$C$91,0),MATCH($G244,'Labor Expenditures'!$E$5:$W$5,0)),"NA")</f>
        <v>14691.301987625618</v>
      </c>
      <c r="K244" s="125">
        <f t="shared" ca="1" si="470"/>
        <v>113.53401845151173</v>
      </c>
      <c r="L244" s="47"/>
      <c r="M244" s="131">
        <f t="shared" ca="1" si="477"/>
        <v>-3.8356936645968531E-3</v>
      </c>
      <c r="N244" s="131"/>
      <c r="O244" s="131"/>
      <c r="P244" s="59">
        <f t="shared" ca="1" si="478"/>
        <v>-1.8473827392013512E-5</v>
      </c>
      <c r="Q244" s="61"/>
      <c r="R244" s="387"/>
      <c r="S244" s="49">
        <f t="shared" ca="1" si="483"/>
        <v>121.3989773387281</v>
      </c>
      <c r="T244" s="61">
        <f ca="1">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</f>
        <v>0.11160820473090122</v>
      </c>
      <c r="U244" s="61"/>
      <c r="V244" s="125">
        <f>IFERROR(INDEX('Non-Labor Expenditures'!$E$7:$AA$91,MATCH($C244,'Non-Labor Expenditures'!$C$7:$C$91,0),MATCH($G244,'Non-Labor Expenditures'!$E$5:$AA$5,0)),"NA")</f>
        <v>21275.74923479318</v>
      </c>
      <c r="W244" s="125">
        <f t="shared" si="471"/>
        <v>205.27124986534275</v>
      </c>
      <c r="X244" s="131">
        <f t="shared" si="479"/>
        <v>-1.7844054991780136E-3</v>
      </c>
      <c r="Y244" s="131">
        <f t="shared" si="480"/>
        <v>-8.5942210384100276E-6</v>
      </c>
      <c r="Z244" s="131"/>
      <c r="AA244" s="131"/>
      <c r="AB244" s="131"/>
      <c r="AC244" s="125">
        <f t="shared" si="451"/>
        <v>11758.648660582188</v>
      </c>
      <c r="AD244" s="129"/>
      <c r="AE244" s="133">
        <v>794.11993402431949</v>
      </c>
      <c r="AF244" s="134">
        <v>3.6522242468710747E-2</v>
      </c>
      <c r="AG244" s="59">
        <f t="shared" si="472"/>
        <v>1.7590184783620934E-4</v>
      </c>
      <c r="AH244" s="134"/>
      <c r="AI244" s="134"/>
      <c r="AJ244" s="129">
        <f t="shared" si="444"/>
        <v>47725.699883000983</v>
      </c>
      <c r="AK244" s="134">
        <f t="shared" si="481"/>
        <v>3.1904892411762503E-2</v>
      </c>
      <c r="AL244" s="129"/>
      <c r="AM244" s="129"/>
      <c r="AN244" s="129"/>
      <c r="AO244" s="129"/>
      <c r="AP244" s="133">
        <f t="shared" si="482"/>
        <v>613.16502708294445</v>
      </c>
      <c r="AQ244" s="134">
        <f>+BB244/Outputs!$B$22</f>
        <v>2.1539718344002878E-3</v>
      </c>
      <c r="AR244" s="93">
        <f t="shared" si="473"/>
        <v>0.30782790034805524</v>
      </c>
      <c r="AS244" s="93">
        <f t="shared" si="474"/>
        <v>0.4457922940250314</v>
      </c>
      <c r="AT244" s="93">
        <f t="shared" si="475"/>
        <v>0.24637980562691345</v>
      </c>
      <c r="AU244" s="93">
        <f t="shared" ca="1" si="484"/>
        <v>-1.9915857165607089E-3</v>
      </c>
      <c r="AV244" s="132">
        <f t="shared" ca="1" si="486"/>
        <v>175.79069319261743</v>
      </c>
      <c r="AW244" s="134">
        <f t="shared" ca="1" si="487"/>
        <v>-1.9915857165607176E-3</v>
      </c>
      <c r="AX244" s="56">
        <f>+AJ244/$AL$19</f>
        <v>4.8162937417358083E-3</v>
      </c>
      <c r="AY244" s="135">
        <f t="shared" ca="1" si="485"/>
        <v>-9.5920618228018088E-6</v>
      </c>
      <c r="AZ244" s="93"/>
      <c r="BA244" s="93"/>
      <c r="BB244" s="234">
        <f>IFERROR(INDEX('Total Customers'!$E$7:$AA$91,MATCH($C244,'Total Customers'!$C$7:$C$91,0),MATCH($G244,'Total Customers'!$E$5:$AA$5,0)),"NA")</f>
        <v>77835</v>
      </c>
      <c r="BC244" s="411">
        <f t="shared" si="400"/>
        <v>1.4585196076543471E-2</v>
      </c>
      <c r="BD244" s="92"/>
      <c r="BE244" s="281" t="str">
        <f t="shared" si="396"/>
        <v>CENTRAL HUDSON GAS &amp; ELECTRIC CORPORATION</v>
      </c>
      <c r="BF244" s="290">
        <f t="shared" si="397"/>
        <v>4057076</v>
      </c>
      <c r="BG244" s="46" t="str">
        <f t="shared" si="398"/>
        <v>NY</v>
      </c>
      <c r="BH244" s="46"/>
      <c r="BI244" s="46" t="str">
        <f t="shared" si="399"/>
        <v>2014 Y</v>
      </c>
      <c r="BJ244" s="129"/>
      <c r="BK244" s="129"/>
      <c r="BL244" s="129">
        <f>INDEX('Dist. Plant Gas Additions'!$E$7:$AD$91,MATCH($C244,'Dist. Plant Gas Additions'!$C$7:$C$91,0),MATCH(Calculation!$G244,'Dist. Plant Gas Additions'!$E$5:$AD$5,0))</f>
        <v>23525</v>
      </c>
      <c r="BM244" s="129">
        <f>INDEX('Gen. Plant Additions'!$E$7:$AD$91,MATCH($C244,'Gen. Plant Additions'!$C$7:$C$91,0),MATCH(Calculation!$G244,'Gen. Plant Additions'!$E$5:$AD$5,0))</f>
        <v>0</v>
      </c>
      <c r="BN244" s="393">
        <f t="shared" si="452"/>
        <v>1</v>
      </c>
      <c r="BO244" s="129"/>
      <c r="BP244" s="129"/>
      <c r="BQ244" s="129">
        <f>INDEX('Dist Plant Depreciation'!$D$7:$AC$94,MATCH($C244,'Dist Plant Depreciation'!$C$7:$C$94,0),MATCH(Calculation!$G244,'Dist Plant Depreciation'!$D$5:$AC$5,0))</f>
        <v>84618</v>
      </c>
      <c r="BR244" s="129">
        <f>INDEX('Gen. Plant Depreciation'!$D$7:$AC$94,MATCH($C244,'Gen. Plant Depreciation'!$C$7:$C$94,0),MATCH(Calculation!$G244,'Gen. Plant Depreciation'!$D$5:$AC$5,0))</f>
        <v>0</v>
      </c>
      <c r="BS244" s="129"/>
      <c r="BT244" s="129"/>
      <c r="BU244" s="129"/>
      <c r="BV244" s="129"/>
      <c r="BW244" s="129"/>
      <c r="BX244" s="129"/>
      <c r="BY244" s="129">
        <f>INDEX('Gross Dx Plant'!$D$7:$AC$91,MATCH($C244,'Gross Dx Plant'!$C$7:$C$91,0),MATCH(Calculation!$G244,'Gross Dx Plant'!$D$5:$AC$5,0))</f>
        <v>326724</v>
      </c>
      <c r="BZ244" s="129">
        <f>INDEX('Gross Gen Plant'!$D$7:$AC$91,MATCH($C244,'Gross Gen Plant'!$C$7:$C$91,0),MATCH(Calculation!$G244,'Gross Gen Plant'!$D$5:$AC$5,0))</f>
        <v>0</v>
      </c>
      <c r="CA244" s="129">
        <f t="shared" si="441"/>
        <v>242106</v>
      </c>
      <c r="CB244" s="129"/>
      <c r="CC244" s="133">
        <v>2014</v>
      </c>
      <c r="CD244" s="129"/>
      <c r="CE244" s="129"/>
      <c r="CF244" s="129"/>
      <c r="CG244" s="137"/>
      <c r="CH244" s="129">
        <f t="shared" si="453"/>
        <v>23525</v>
      </c>
      <c r="CI244" s="46">
        <f t="shared" si="462"/>
        <v>23525</v>
      </c>
      <c r="CJ244" s="46">
        <f t="shared" si="454"/>
        <v>34.369701316310056</v>
      </c>
      <c r="CK244" s="443">
        <v>0.81395348837209303</v>
      </c>
      <c r="CL244" s="46">
        <f>+CL228*CK244+CJ229*CK243+CJ230*CK242+CJ231*CK241+CJ232*CK240+CJ233*CK239+CJ234*CK238+CJ235*CK237+CJ236*CK236+CJ237*CK235+CJ238*CK234+CJ239*CK233+CJ240*CK232+CJ241*CK231+CJ242*CK230+CJ243*CK229+CJ244</f>
        <v>744.52720971450117</v>
      </c>
      <c r="CM244" s="134">
        <f t="shared" si="455"/>
        <v>3.2964188582341597E-2</v>
      </c>
      <c r="CN244" s="135">
        <f t="shared" si="456"/>
        <v>1.4196685293292178E-2</v>
      </c>
      <c r="CO244" s="135">
        <f t="shared" si="465"/>
        <v>1.3978589937860072E-2</v>
      </c>
      <c r="CP244" s="134">
        <f>VLOOKUP($H244,RoR!$E:$F,2,FALSE)</f>
        <v>4.1625000000000002E-2</v>
      </c>
      <c r="CQ244" s="135">
        <v>1.841352814597208E-2</v>
      </c>
      <c r="CR244" s="135">
        <f t="shared" si="463"/>
        <v>2.3211471854027922E-2</v>
      </c>
      <c r="CS244" s="135">
        <f t="shared" si="466"/>
        <v>1.6923351670673555E-2</v>
      </c>
      <c r="CT244" s="135">
        <f t="shared" si="467"/>
        <v>3.9072621432650924E-2</v>
      </c>
      <c r="CU244" s="139">
        <f t="shared" si="457"/>
        <v>0.85329623209999994</v>
      </c>
      <c r="CV244" s="335">
        <f t="shared" si="458"/>
        <v>1.2320012320012319</v>
      </c>
      <c r="CW244" s="335">
        <f t="shared" si="459"/>
        <v>0.37439939939939942</v>
      </c>
      <c r="CX244" s="335">
        <f t="shared" si="460"/>
        <v>0.80432100613819935</v>
      </c>
      <c r="CY244" s="335">
        <f t="shared" si="461"/>
        <v>0.37100152660040037</v>
      </c>
      <c r="CZ244" s="336">
        <f>INDEX('State Tax Lookup'!$D$7:$Z$91,MATCH(Calculation!$C244,'State Tax Lookup'!$B$7:$B$91,0),MATCH($H244,'State Tax Lookup'!$D$6:$Z$6,0))</f>
        <v>0.39649667</v>
      </c>
      <c r="DA244" s="303">
        <v>0.37</v>
      </c>
      <c r="DB244" s="57">
        <f t="shared" si="464"/>
        <v>16.322737827865001</v>
      </c>
      <c r="DC244" s="56">
        <f t="shared" si="468"/>
        <v>1.645852231515272E-2</v>
      </c>
      <c r="DD244" s="303">
        <f>VLOOKUP($H244,RoR!$E:$F,2,FALSE)</f>
        <v>4.1625000000000002E-2</v>
      </c>
      <c r="DE244" s="304">
        <f>HLOOKUP($H244,'GDP-PI'!$D$8:$CQ$11,3,FALSE)</f>
        <v>1.841352814597208E-2</v>
      </c>
      <c r="DF244" s="303">
        <f>VLOOKUP(H244,'HW Dx Data'!$E:$F,2,FALSE)</f>
        <v>684.46914285042885</v>
      </c>
      <c r="DG244" s="89">
        <f ca="1">VLOOKUP(CC244,'ECI - Input Price'!M$13:N$33,2,FALSE)</f>
        <v>129.4</v>
      </c>
      <c r="DH244" s="89"/>
      <c r="DI244" s="89"/>
      <c r="DJ244" s="56">
        <f t="shared" ca="1" si="476"/>
        <v>2.0297340063674733E-2</v>
      </c>
      <c r="DK244" s="53">
        <f>HLOOKUP(H244,'GDP-PI'!$8:$9,2,FALSE)</f>
        <v>103.64700000000001</v>
      </c>
      <c r="DL244" s="355">
        <f t="shared" si="469"/>
        <v>1.8246051898256087E-2</v>
      </c>
      <c r="EC244"/>
    </row>
    <row r="245" spans="1:133" s="126" customFormat="1" ht="21" customHeight="1" x14ac:dyDescent="0.4">
      <c r="A245" s="233" t="s">
        <v>196</v>
      </c>
      <c r="B245" s="127" t="s">
        <v>196</v>
      </c>
      <c r="C245" s="127">
        <v>4057076</v>
      </c>
      <c r="D245" s="127" t="s">
        <v>194</v>
      </c>
      <c r="E245" s="127" t="s">
        <v>15</v>
      </c>
      <c r="F245" s="127"/>
      <c r="G245" s="127" t="s">
        <v>171</v>
      </c>
      <c r="H245" s="128">
        <v>2015</v>
      </c>
      <c r="I245" s="129"/>
      <c r="J245" s="125">
        <f>IFERROR(INDEX('Labor Expenditures'!$E$7:$W$91,MATCH($C245,'Labor Expenditures'!$C$7:$C$91,0),MATCH($G245,'Labor Expenditures'!$E$5:$W$5,0)),"NA")</f>
        <v>14166.783364681485</v>
      </c>
      <c r="K245" s="125">
        <f t="shared" ca="1" si="470"/>
        <v>106.11822745079765</v>
      </c>
      <c r="L245" s="47"/>
      <c r="M245" s="131">
        <f t="shared" ca="1" si="477"/>
        <v>-6.7548688176436014E-2</v>
      </c>
      <c r="N245" s="131"/>
      <c r="O245" s="131"/>
      <c r="P245" s="59">
        <f t="shared" ca="1" si="478"/>
        <v>-3.1553182226528106E-4</v>
      </c>
      <c r="Q245" s="61"/>
      <c r="R245" s="387"/>
      <c r="S245" s="49">
        <f t="shared" ca="1" si="483"/>
        <v>119.86108048237067</v>
      </c>
      <c r="T245" s="61">
        <f ca="1">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</f>
        <v>-1.2749045165342575E-2</v>
      </c>
      <c r="U245" s="61"/>
      <c r="V245" s="125">
        <f>IFERROR(INDEX('Non-Labor Expenditures'!$E$7:$AA$91,MATCH($C245,'Non-Labor Expenditures'!$C$7:$C$91,0),MATCH($G245,'Non-Labor Expenditures'!$E$5:$AA$5,0)),"NA")</f>
        <v>20516.148302204769</v>
      </c>
      <c r="W245" s="125">
        <f t="shared" si="471"/>
        <v>196.0659821118777</v>
      </c>
      <c r="X245" s="131">
        <f t="shared" si="479"/>
        <v>-4.588102858837495E-2</v>
      </c>
      <c r="Y245" s="131">
        <f t="shared" si="480"/>
        <v>-2.1431836722101731E-4</v>
      </c>
      <c r="Z245" s="131"/>
      <c r="AA245" s="131"/>
      <c r="AB245" s="131"/>
      <c r="AC245" s="125">
        <f t="shared" si="451"/>
        <v>11844.626743758849</v>
      </c>
      <c r="AD245" s="129"/>
      <c r="AE245" s="133">
        <v>842.11753915286272</v>
      </c>
      <c r="AF245" s="134">
        <v>5.8685099444613718E-2</v>
      </c>
      <c r="AG245" s="59">
        <f t="shared" si="472"/>
        <v>2.7412843783453014E-4</v>
      </c>
      <c r="AH245" s="134"/>
      <c r="AI245" s="134"/>
      <c r="AJ245" s="129">
        <f t="shared" si="444"/>
        <v>46527.558410645099</v>
      </c>
      <c r="AK245" s="134">
        <f t="shared" si="481"/>
        <v>-2.5425243382212616E-2</v>
      </c>
      <c r="AL245" s="129"/>
      <c r="AM245" s="129"/>
      <c r="AN245" s="129"/>
      <c r="AO245" s="129"/>
      <c r="AP245" s="133">
        <f t="shared" si="482"/>
        <v>588.24161032979032</v>
      </c>
      <c r="AQ245" s="134">
        <f>+BB245/Outputs!$B$23</f>
        <v>2.1710698519271949E-3</v>
      </c>
      <c r="AR245" s="93">
        <f t="shared" si="473"/>
        <v>0.30448155563306434</v>
      </c>
      <c r="AS245" s="93">
        <f t="shared" si="474"/>
        <v>0.44094616186674546</v>
      </c>
      <c r="AT245" s="93">
        <f t="shared" si="475"/>
        <v>0.25457228250019026</v>
      </c>
      <c r="AU245" s="93">
        <f t="shared" ca="1" si="484"/>
        <v>-4.1022586477366944E-2</v>
      </c>
      <c r="AV245" s="132">
        <f t="shared" ca="1" si="486"/>
        <v>168.72521714865425</v>
      </c>
      <c r="AW245" s="134">
        <f t="shared" ca="1" si="487"/>
        <v>-4.1022586477366993E-2</v>
      </c>
      <c r="AX245" s="56">
        <f>+AJ245/$AL$20</f>
        <v>4.6711761661620632E-3</v>
      </c>
      <c r="AY245" s="135">
        <f t="shared" ca="1" si="485"/>
        <v>-1.9162372822739885E-4</v>
      </c>
      <c r="AZ245" s="93"/>
      <c r="BA245" s="93"/>
      <c r="BB245" s="234">
        <f>IFERROR(INDEX('Total Customers'!$E$7:$AA$91,MATCH($C245,'Total Customers'!$C$7:$C$91,0),MATCH($G245,'Total Customers'!$E$5:$AA$5,0)),"NA")</f>
        <v>79096</v>
      </c>
      <c r="BC245" s="411">
        <f t="shared" si="400"/>
        <v>1.6071103107019223E-2</v>
      </c>
      <c r="BD245" s="92"/>
      <c r="BE245" s="281" t="str">
        <f t="shared" si="396"/>
        <v>CENTRAL HUDSON GAS &amp; ELECTRIC CORPORATION</v>
      </c>
      <c r="BF245" s="290">
        <f t="shared" si="397"/>
        <v>4057076</v>
      </c>
      <c r="BG245" s="46" t="str">
        <f t="shared" si="398"/>
        <v>NY</v>
      </c>
      <c r="BH245" s="46"/>
      <c r="BI245" s="46" t="str">
        <f t="shared" si="399"/>
        <v>2015 Y</v>
      </c>
      <c r="BJ245" s="129"/>
      <c r="BK245" s="129"/>
      <c r="BL245" s="129">
        <f>INDEX('Dist. Plant Gas Additions'!$E$7:$AD$91,MATCH($C245,'Dist. Plant Gas Additions'!$C$7:$C$91,0),MATCH(Calculation!$G245,'Dist. Plant Gas Additions'!$E$5:$AD$5,0))</f>
        <v>36670</v>
      </c>
      <c r="BM245" s="129">
        <f>INDEX('Gen. Plant Additions'!$E$7:$AD$91,MATCH($C245,'Gen. Plant Additions'!$C$7:$C$91,0),MATCH(Calculation!$G245,'Gen. Plant Additions'!$E$5:$AD$5,0))</f>
        <v>0</v>
      </c>
      <c r="BN245" s="393">
        <f t="shared" si="452"/>
        <v>1</v>
      </c>
      <c r="BO245" s="129"/>
      <c r="BP245" s="129"/>
      <c r="BQ245" s="129">
        <f>INDEX('Dist Plant Depreciation'!$D$7:$AC$94,MATCH($C245,'Dist Plant Depreciation'!$C$7:$C$94,0),MATCH(Calculation!$G245,'Dist Plant Depreciation'!$D$5:$AC$5,0))</f>
        <v>87192</v>
      </c>
      <c r="BR245" s="129">
        <f>INDEX('Gen. Plant Depreciation'!$D$7:$AC$94,MATCH($C245,'Gen. Plant Depreciation'!$C$7:$C$94,0),MATCH(Calculation!$G245,'Gen. Plant Depreciation'!$D$5:$AC$5,0))</f>
        <v>0</v>
      </c>
      <c r="BS245" s="129"/>
      <c r="BT245" s="129"/>
      <c r="BU245" s="129"/>
      <c r="BV245" s="129"/>
      <c r="BW245" s="129"/>
      <c r="BX245" s="129"/>
      <c r="BY245" s="129">
        <f>INDEX('Gross Dx Plant'!$D$7:$AC$91,MATCH($C245,'Gross Dx Plant'!$C$7:$C$91,0),MATCH(Calculation!$G245,'Gross Dx Plant'!$D$5:$AC$5,0))</f>
        <v>360938</v>
      </c>
      <c r="BZ245" s="129">
        <f>INDEX('Gross Gen Plant'!$D$7:$AC$91,MATCH($C245,'Gross Gen Plant'!$C$7:$C$91,0),MATCH(Calculation!$G245,'Gross Gen Plant'!$D$5:$AC$5,0))</f>
        <v>0</v>
      </c>
      <c r="CA245" s="129">
        <f t="shared" si="441"/>
        <v>273746</v>
      </c>
      <c r="CB245" s="129"/>
      <c r="CC245" s="133">
        <v>2015</v>
      </c>
      <c r="CD245" s="129"/>
      <c r="CE245" s="129"/>
      <c r="CF245" s="129"/>
      <c r="CG245" s="137"/>
      <c r="CH245" s="129">
        <f t="shared" si="453"/>
        <v>36670</v>
      </c>
      <c r="CI245" s="46">
        <f t="shared" si="462"/>
        <v>36670</v>
      </c>
      <c r="CJ245" s="46">
        <f t="shared" si="454"/>
        <v>54.276503503879134</v>
      </c>
      <c r="CK245" s="443">
        <v>0.8</v>
      </c>
      <c r="CL245" s="46">
        <f>+CL228*CK245+CJ229*CK244+CJ230*CK243+CJ231*CK242+CJ232*CK241+CJ233*CK240+CJ234*CK239+CJ235*CK238+CJ236*CK237+CJ237*CK236+CJ238*CK235+CJ239*CK234+CJ240*CK233+CJ241*CK232+CJ242*CK231+CJ243*CK230+CJ244*CK229+CJ245</f>
        <v>788.00515380385468</v>
      </c>
      <c r="CM245" s="134">
        <f t="shared" si="455"/>
        <v>5.6755231105170258E-2</v>
      </c>
      <c r="CN245" s="135">
        <f t="shared" si="456"/>
        <v>1.4503915066672273E-2</v>
      </c>
      <c r="CO245" s="135">
        <f t="shared" si="465"/>
        <v>1.4242604529094089E-2</v>
      </c>
      <c r="CP245" s="134">
        <f>VLOOKUP($H245,RoR!$E:$F,2,FALSE)</f>
        <v>3.8866666666666674E-2</v>
      </c>
      <c r="CQ245" s="135">
        <v>9.5709475431029478E-3</v>
      </c>
      <c r="CR245" s="135">
        <f t="shared" si="463"/>
        <v>2.9295719123563727E-2</v>
      </c>
      <c r="CS245" s="135">
        <f t="shared" si="466"/>
        <v>1.6659337079439535E-2</v>
      </c>
      <c r="CT245" s="135">
        <f t="shared" si="467"/>
        <v>3.5270373279175926E-3</v>
      </c>
      <c r="CU245" s="139">
        <f t="shared" si="457"/>
        <v>0.85329623209999994</v>
      </c>
      <c r="CV245" s="335">
        <f t="shared" si="458"/>
        <v>1.3194352816994324</v>
      </c>
      <c r="CW245" s="335">
        <f t="shared" si="459"/>
        <v>0.33177530017152673</v>
      </c>
      <c r="CX245" s="335">
        <f t="shared" si="460"/>
        <v>0.78242572977668579</v>
      </c>
      <c r="CY245" s="335">
        <f t="shared" si="461"/>
        <v>0.34251158643433932</v>
      </c>
      <c r="CZ245" s="336">
        <f>INDEX('State Tax Lookup'!$D$7:$Z$91,MATCH(Calculation!$C245,'State Tax Lookup'!$B$7:$B$91,0),MATCH($H245,'State Tax Lookup'!$D$6:$Z$6,0))</f>
        <v>0.39649667</v>
      </c>
      <c r="DA245" s="303">
        <v>0.37</v>
      </c>
      <c r="DB245" s="57">
        <f t="shared" si="464"/>
        <v>15.908923930800094</v>
      </c>
      <c r="DC245" s="56">
        <f t="shared" si="468"/>
        <v>-2.5678889234556117E-2</v>
      </c>
      <c r="DD245" s="303">
        <f>VLOOKUP($H245,RoR!$E:$F,2,FALSE)</f>
        <v>3.8866666666666674E-2</v>
      </c>
      <c r="DE245" s="304">
        <f>HLOOKUP($H245,'GDP-PI'!$D$8:$CQ$11,3,FALSE)</f>
        <v>9.5709475431029478E-3</v>
      </c>
      <c r="DF245" s="303">
        <f>VLOOKUP(H245,'HW Dx Data'!$E:$F,2,FALSE)</f>
        <v>675.61463308665782</v>
      </c>
      <c r="DG245" s="89">
        <f ca="1">VLOOKUP(CC245,'ECI - Input Price'!M$13:N$33,2,FALSE)</f>
        <v>133.5</v>
      </c>
      <c r="DH245" s="89"/>
      <c r="DI245" s="89"/>
      <c r="DJ245" s="56">
        <f t="shared" ca="1" si="476"/>
        <v>3.1193095773504077E-2</v>
      </c>
      <c r="DK245" s="53">
        <f>HLOOKUP(H245,'GDP-PI'!$8:$9,2,FALSE)</f>
        <v>104.639</v>
      </c>
      <c r="DL245" s="355">
        <f t="shared" si="469"/>
        <v>9.5254361854427965E-3</v>
      </c>
      <c r="EC245"/>
    </row>
    <row r="246" spans="1:133" s="126" customFormat="1" ht="21" customHeight="1" x14ac:dyDescent="0.4">
      <c r="A246" s="233" t="s">
        <v>196</v>
      </c>
      <c r="B246" s="127" t="s">
        <v>196</v>
      </c>
      <c r="C246" s="127">
        <v>4057076</v>
      </c>
      <c r="D246" s="127" t="s">
        <v>194</v>
      </c>
      <c r="E246" s="127" t="s">
        <v>15</v>
      </c>
      <c r="F246" s="127"/>
      <c r="G246" s="127" t="s">
        <v>172</v>
      </c>
      <c r="H246" s="128">
        <v>2016</v>
      </c>
      <c r="I246" s="129"/>
      <c r="J246" s="125">
        <f>IFERROR(INDEX('Labor Expenditures'!$E$7:$W$91,MATCH($C246,'Labor Expenditures'!$C$7:$C$91,0),MATCH($G246,'Labor Expenditures'!$E$5:$W$5,0)),"NA")</f>
        <v>13486.558108553112</v>
      </c>
      <c r="K246" s="125">
        <f t="shared" ca="1" si="470"/>
        <v>98.477970854714229</v>
      </c>
      <c r="L246" s="47"/>
      <c r="M246" s="131">
        <f t="shared" ca="1" si="477"/>
        <v>-7.4720948856613109E-2</v>
      </c>
      <c r="N246" s="131"/>
      <c r="O246" s="131"/>
      <c r="P246" s="59">
        <f t="shared" ca="1" si="478"/>
        <v>-3.2924786313197671E-4</v>
      </c>
      <c r="Q246" s="61"/>
      <c r="R246" s="387"/>
      <c r="S246" s="49">
        <f t="shared" ca="1" si="483"/>
        <v>299.03360227931114</v>
      </c>
      <c r="T246" s="61">
        <f ca="1">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</f>
        <v>0.91422253975520995</v>
      </c>
      <c r="U246" s="61"/>
      <c r="V246" s="125">
        <f>IFERROR(INDEX('Non-Labor Expenditures'!$E$7:$AA$91,MATCH($C246,'Non-Labor Expenditures'!$C$7:$C$91,0),MATCH($G246,'Non-Labor Expenditures'!$E$5:$AA$5,0)),"NA")</f>
        <v>19531.05508277805</v>
      </c>
      <c r="W246" s="125">
        <f t="shared" si="471"/>
        <v>184.71528223857578</v>
      </c>
      <c r="X246" s="131">
        <f t="shared" si="479"/>
        <v>-5.9635621355035487E-2</v>
      </c>
      <c r="Y246" s="131">
        <f t="shared" si="480"/>
        <v>-2.6277638598208651E-4</v>
      </c>
      <c r="Z246" s="131"/>
      <c r="AA246" s="131"/>
      <c r="AB246" s="131"/>
      <c r="AC246" s="125">
        <f t="shared" si="451"/>
        <v>12291.057383242447</v>
      </c>
      <c r="AD246" s="129"/>
      <c r="AE246" s="133">
        <v>899.83160758071676</v>
      </c>
      <c r="AF246" s="134">
        <v>6.6288043437078656E-2</v>
      </c>
      <c r="AG246" s="59">
        <f t="shared" si="472"/>
        <v>2.9208939376211069E-4</v>
      </c>
      <c r="AH246" s="134"/>
      <c r="AI246" s="134"/>
      <c r="AJ246" s="129">
        <f t="shared" si="444"/>
        <v>45308.670574573611</v>
      </c>
      <c r="AK246" s="134">
        <f t="shared" si="481"/>
        <v>-2.6546373449744646E-2</v>
      </c>
      <c r="AL246" s="129"/>
      <c r="AM246" s="129"/>
      <c r="AN246" s="129"/>
      <c r="AO246" s="129"/>
      <c r="AP246" s="133">
        <f t="shared" si="482"/>
        <v>547.92084572357203</v>
      </c>
      <c r="AQ246" s="134">
        <f>+BB246/Outputs!$B$24</f>
        <v>2.250160778248903E-3</v>
      </c>
      <c r="AR246" s="93">
        <f t="shared" si="473"/>
        <v>0.2976595414856758</v>
      </c>
      <c r="AS246" s="93">
        <f t="shared" si="474"/>
        <v>0.43106661120484335</v>
      </c>
      <c r="AT246" s="93">
        <f t="shared" si="475"/>
        <v>0.27127384730948079</v>
      </c>
      <c r="AU246" s="93">
        <f t="shared" ca="1" si="484"/>
        <v>-4.8497788836963027E-2</v>
      </c>
      <c r="AV246" s="132">
        <f t="shared" ca="1" si="486"/>
        <v>160.73767185944192</v>
      </c>
      <c r="AW246" s="134">
        <f t="shared" ca="1" si="487"/>
        <v>-4.8497788836962978E-2</v>
      </c>
      <c r="AX246" s="56">
        <f>+AJ246/$AL$21</f>
        <v>4.4063661954265579E-3</v>
      </c>
      <c r="AY246" s="135">
        <f t="shared" ca="1" si="485"/>
        <v>-2.1369901728412915E-4</v>
      </c>
      <c r="AZ246" s="93"/>
      <c r="BA246" s="93"/>
      <c r="BB246" s="234">
        <f>IFERROR(INDEX('Total Customers'!$E$7:$AA$91,MATCH($C246,'Total Customers'!$C$7:$C$91,0),MATCH($G246,'Total Customers'!$E$5:$AA$5,0)),"NA")</f>
        <v>82692</v>
      </c>
      <c r="BC246" s="411">
        <f t="shared" si="400"/>
        <v>4.4460557568239377E-2</v>
      </c>
      <c r="BD246" s="92"/>
      <c r="BE246" s="281" t="str">
        <f t="shared" si="396"/>
        <v>CENTRAL HUDSON GAS &amp; ELECTRIC CORPORATION</v>
      </c>
      <c r="BF246" s="290">
        <f t="shared" si="397"/>
        <v>4057076</v>
      </c>
      <c r="BG246" s="46" t="str">
        <f t="shared" si="398"/>
        <v>NY</v>
      </c>
      <c r="BH246" s="46"/>
      <c r="BI246" s="46" t="str">
        <f t="shared" si="399"/>
        <v>2016 Y</v>
      </c>
      <c r="BJ246" s="129"/>
      <c r="BK246" s="129"/>
      <c r="BL246" s="129">
        <f>INDEX('Dist. Plant Gas Additions'!$E$7:$AD$91,MATCH($C246,'Dist. Plant Gas Additions'!$C$7:$C$91,0),MATCH(Calculation!$G246,'Dist. Plant Gas Additions'!$E$5:$AD$5,0))</f>
        <v>43308</v>
      </c>
      <c r="BM246" s="129">
        <f>INDEX('Gen. Plant Additions'!$E$7:$AD$91,MATCH($C246,'Gen. Plant Additions'!$C$7:$C$91,0),MATCH(Calculation!$G246,'Gen. Plant Additions'!$E$5:$AD$5,0))</f>
        <v>0</v>
      </c>
      <c r="BN246" s="393">
        <f t="shared" si="452"/>
        <v>1</v>
      </c>
      <c r="BO246" s="129"/>
      <c r="BP246" s="129"/>
      <c r="BQ246" s="129">
        <f>INDEX('Dist Plant Depreciation'!$D$7:$AC$94,MATCH($C246,'Dist Plant Depreciation'!$C$7:$C$94,0),MATCH(Calculation!$G246,'Dist Plant Depreciation'!$D$5:$AC$5,0))</f>
        <v>90203</v>
      </c>
      <c r="BR246" s="129">
        <f>INDEX('Gen. Plant Depreciation'!$D$7:$AC$94,MATCH($C246,'Gen. Plant Depreciation'!$C$7:$C$94,0),MATCH(Calculation!$G246,'Gen. Plant Depreciation'!$D$5:$AC$5,0))</f>
        <v>0</v>
      </c>
      <c r="BS246" s="129"/>
      <c r="BT246" s="129"/>
      <c r="BU246" s="129"/>
      <c r="BV246" s="129"/>
      <c r="BW246" s="129"/>
      <c r="BX246" s="129"/>
      <c r="BY246" s="129">
        <f>INDEX('Gross Dx Plant'!$D$7:$AC$91,MATCH($C246,'Gross Dx Plant'!$C$7:$C$91,0),MATCH(Calculation!$G246,'Gross Dx Plant'!$D$5:$AC$5,0))</f>
        <v>400854</v>
      </c>
      <c r="BZ246" s="129">
        <f>INDEX('Gross Gen Plant'!$D$7:$AC$91,MATCH($C246,'Gross Gen Plant'!$C$7:$C$91,0),MATCH(Calculation!$G246,'Gross Gen Plant'!$D$5:$AC$5,0))</f>
        <v>0</v>
      </c>
      <c r="CA246" s="129">
        <f t="shared" si="441"/>
        <v>310651</v>
      </c>
      <c r="CB246" s="129"/>
      <c r="CC246" s="133">
        <v>2016</v>
      </c>
      <c r="CD246" s="129"/>
      <c r="CE246" s="129"/>
      <c r="CF246" s="129"/>
      <c r="CG246" s="137"/>
      <c r="CH246" s="129">
        <f t="shared" si="453"/>
        <v>43308</v>
      </c>
      <c r="CI246" s="46">
        <f t="shared" si="462"/>
        <v>43308</v>
      </c>
      <c r="CJ246" s="46">
        <f t="shared" si="454"/>
        <v>64.498603924305428</v>
      </c>
      <c r="CK246" s="443">
        <v>0.7857142857142857</v>
      </c>
      <c r="CL246" s="46">
        <f>+CL228*CK246+CJ229*CK245+CJ230*CK244+CJ231*CK243+CJ232*CK242+CJ233*CK241+CJ234*CK240+CJ235*CK239+CJ236*CK238+CJ237*CK237+CJ238*CK236+CJ239*CK235+CJ240*CK234+CJ241*CK233+CJ242*CK232+CJ243*CK231+CJ244*CK230+CJ245*CK229+CJ246</f>
        <v>840.92185651557111</v>
      </c>
      <c r="CM246" s="134">
        <f t="shared" si="455"/>
        <v>6.4994108117381225E-2</v>
      </c>
      <c r="CN246" s="135">
        <f t="shared" si="456"/>
        <v>1.4697748049845746E-2</v>
      </c>
      <c r="CO246" s="135">
        <f t="shared" si="465"/>
        <v>1.4466116136603398E-2</v>
      </c>
      <c r="CP246" s="134">
        <f>VLOOKUP($H246,RoR!$E:$F,2,FALSE)</f>
        <v>3.6658333333333334E-2</v>
      </c>
      <c r="CQ246" s="135">
        <v>1.0483662879041455E-2</v>
      </c>
      <c r="CR246" s="135">
        <f t="shared" si="463"/>
        <v>2.6174670454291879E-2</v>
      </c>
      <c r="CS246" s="135">
        <f t="shared" si="466"/>
        <v>1.6435825471930225E-2</v>
      </c>
      <c r="CT246" s="135">
        <f t="shared" si="467"/>
        <v>4.301363574220729E-3</v>
      </c>
      <c r="CU246" s="139">
        <f t="shared" si="457"/>
        <v>0.85329623209999994</v>
      </c>
      <c r="CV246" s="335">
        <f t="shared" si="458"/>
        <v>1.3989193348138562</v>
      </c>
      <c r="CW246" s="335">
        <f t="shared" si="459"/>
        <v>0.29302682427824522</v>
      </c>
      <c r="CX246" s="335">
        <f t="shared" si="460"/>
        <v>0.76309497491941802</v>
      </c>
      <c r="CY246" s="335">
        <f t="shared" si="461"/>
        <v>0.31280857135128509</v>
      </c>
      <c r="CZ246" s="336">
        <f>INDEX('State Tax Lookup'!$D$7:$Z$91,MATCH(Calculation!$C246,'State Tax Lookup'!$B$7:$B$91,0),MATCH($H246,'State Tax Lookup'!$D$6:$Z$6,0))</f>
        <v>0.39649667</v>
      </c>
      <c r="DA246" s="303">
        <v>0.37</v>
      </c>
      <c r="DB246" s="57">
        <f t="shared" si="464"/>
        <v>15.597686542925658</v>
      </c>
      <c r="DC246" s="56">
        <f t="shared" si="468"/>
        <v>-1.9757600564012205E-2</v>
      </c>
      <c r="DD246" s="303">
        <f>VLOOKUP($H246,RoR!$E:$F,2,FALSE)</f>
        <v>3.6658333333333334E-2</v>
      </c>
      <c r="DE246" s="304">
        <f>HLOOKUP($H246,'GDP-PI'!$D$8:$CQ$11,3,FALSE)</f>
        <v>1.0483662879041455E-2</v>
      </c>
      <c r="DF246" s="303">
        <f>VLOOKUP(H246,'HW Dx Data'!$E:$F,2,FALSE)</f>
        <v>671.45639385971219</v>
      </c>
      <c r="DG246" s="89">
        <f ca="1">VLOOKUP(CC246,'ECI - Input Price'!M$13:N$33,2,FALSE)</f>
        <v>136.94999999999999</v>
      </c>
      <c r="DH246" s="89"/>
      <c r="DI246" s="89"/>
      <c r="DJ246" s="56">
        <f t="shared" ca="1" si="476"/>
        <v>2.5514417868782811E-2</v>
      </c>
      <c r="DK246" s="53">
        <f>HLOOKUP(H246,'GDP-PI'!$8:$9,2,FALSE)</f>
        <v>105.736</v>
      </c>
      <c r="DL246" s="355">
        <f t="shared" si="469"/>
        <v>1.0429090367205095E-2</v>
      </c>
      <c r="EC246"/>
    </row>
    <row r="247" spans="1:133" s="126" customFormat="1" ht="21" customHeight="1" x14ac:dyDescent="0.4">
      <c r="A247" s="233" t="s">
        <v>196</v>
      </c>
      <c r="B247" s="127" t="s">
        <v>196</v>
      </c>
      <c r="C247" s="127">
        <v>4057076</v>
      </c>
      <c r="D247" s="127" t="s">
        <v>194</v>
      </c>
      <c r="E247" s="127" t="s">
        <v>15</v>
      </c>
      <c r="F247" s="127"/>
      <c r="G247" s="127" t="s">
        <v>173</v>
      </c>
      <c r="H247" s="128">
        <v>2017</v>
      </c>
      <c r="I247" s="129"/>
      <c r="J247" s="125">
        <f>IFERROR(INDEX('Labor Expenditures'!$E$7:$W$91,MATCH($C247,'Labor Expenditures'!$C$7:$C$91,0),MATCH($G247,'Labor Expenditures'!$E$5:$W$5,0)),"NA")</f>
        <v>14763.719502983</v>
      </c>
      <c r="K247" s="125">
        <f t="shared" ca="1" si="470"/>
        <v>105.1172623921894</v>
      </c>
      <c r="L247" s="47"/>
      <c r="M247" s="131">
        <f t="shared" ca="1" si="477"/>
        <v>6.5243634684439902E-2</v>
      </c>
      <c r="N247" s="131"/>
      <c r="O247" s="131"/>
      <c r="P247" s="59">
        <f t="shared" ca="1" si="478"/>
        <v>3.0440199602288921E-4</v>
      </c>
      <c r="Q247" s="61"/>
      <c r="R247" s="387"/>
      <c r="S247" s="49">
        <f t="shared" ca="1" si="483"/>
        <v>167.06434446201371</v>
      </c>
      <c r="T247" s="61">
        <f ca="1">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</f>
        <v>-0.582176914892368</v>
      </c>
      <c r="U247" s="61"/>
      <c r="V247" s="125">
        <f>IFERROR(INDEX('Non-Labor Expenditures'!$E$7:$AA$91,MATCH($C247,'Non-Labor Expenditures'!$C$7:$C$91,0),MATCH($G247,'Non-Labor Expenditures'!$E$5:$AA$5,0)),"NA")</f>
        <v>21380.623322756805</v>
      </c>
      <c r="W247" s="125">
        <f t="shared" si="471"/>
        <v>198.42621713725907</v>
      </c>
      <c r="X247" s="131">
        <f t="shared" si="479"/>
        <v>7.160170429786028E-2</v>
      </c>
      <c r="Y247" s="131">
        <f t="shared" si="480"/>
        <v>3.3406633171691549E-4</v>
      </c>
      <c r="Z247" s="131"/>
      <c r="AA247" s="131"/>
      <c r="AB247" s="131"/>
      <c r="AC247" s="125">
        <f t="shared" si="451"/>
        <v>11814.157102685427</v>
      </c>
      <c r="AD247" s="129"/>
      <c r="AE247" s="133">
        <v>960.3576816577463</v>
      </c>
      <c r="AF247" s="134">
        <v>6.5098156999129936E-2</v>
      </c>
      <c r="AG247" s="59">
        <f t="shared" si="472"/>
        <v>3.0372325244890948E-4</v>
      </c>
      <c r="AH247" s="134"/>
      <c r="AI247" s="134"/>
      <c r="AJ247" s="129">
        <f t="shared" si="444"/>
        <v>47958.499928425234</v>
      </c>
      <c r="AK247" s="134">
        <f t="shared" si="481"/>
        <v>5.6837634528476615E-2</v>
      </c>
      <c r="AL247" s="129"/>
      <c r="AM247" s="129"/>
      <c r="AN247" s="129"/>
      <c r="AO247" s="129"/>
      <c r="AP247" s="133">
        <f t="shared" si="482"/>
        <v>591.05137881496694</v>
      </c>
      <c r="AQ247" s="134">
        <f>+BB247/Outputs!$B$25</f>
        <v>2.1913672537175544E-3</v>
      </c>
      <c r="AR247" s="93">
        <f t="shared" si="473"/>
        <v>0.30784364659063224</v>
      </c>
      <c r="AS247" s="93">
        <f t="shared" si="474"/>
        <v>0.44581509752527532</v>
      </c>
      <c r="AT247" s="93">
        <f t="shared" si="475"/>
        <v>0.24634125588409239</v>
      </c>
      <c r="AU247" s="93">
        <f t="shared" ca="1" si="484"/>
        <v>5.114572680790537E-2</v>
      </c>
      <c r="AV247" s="132">
        <f t="shared" ca="1" si="486"/>
        <v>169.17258309504086</v>
      </c>
      <c r="AW247" s="134">
        <f t="shared" ca="1" si="487"/>
        <v>5.1145726807905391E-2</v>
      </c>
      <c r="AX247" s="56">
        <f>+AJ247/$AL$22</f>
        <v>4.6656198339527317E-3</v>
      </c>
      <c r="AY247" s="135">
        <f t="shared" ca="1" si="485"/>
        <v>2.3862651741689132E-4</v>
      </c>
      <c r="AZ247" s="93"/>
      <c r="BA247" s="93"/>
      <c r="BB247" s="234">
        <f>IFERROR(INDEX('Total Customers'!$E$7:$AA$91,MATCH($C247,'Total Customers'!$C$7:$C$91,0),MATCH($G247,'Total Customers'!$E$5:$AA$5,0)),"NA")</f>
        <v>81141</v>
      </c>
      <c r="BC247" s="411">
        <f t="shared" si="400"/>
        <v>-1.8934480083095638E-2</v>
      </c>
      <c r="BD247" s="92"/>
      <c r="BE247" s="281" t="str">
        <f t="shared" si="396"/>
        <v>CENTRAL HUDSON GAS &amp; ELECTRIC CORPORATION</v>
      </c>
      <c r="BF247" s="290">
        <f t="shared" si="397"/>
        <v>4057076</v>
      </c>
      <c r="BG247" s="46" t="str">
        <f t="shared" si="398"/>
        <v>NY</v>
      </c>
      <c r="BH247" s="46"/>
      <c r="BI247" s="46" t="str">
        <f t="shared" si="399"/>
        <v>2017 Y</v>
      </c>
      <c r="BJ247" s="129"/>
      <c r="BK247" s="129"/>
      <c r="BL247" s="129">
        <f>INDEX('Dist. Plant Gas Additions'!$E$7:$AD$91,MATCH($C247,'Dist. Plant Gas Additions'!$C$7:$C$91,0),MATCH(Calculation!$G247,'Dist. Plant Gas Additions'!$E$5:$AD$5,0))</f>
        <v>48366</v>
      </c>
      <c r="BM247" s="129">
        <f>INDEX('Gen. Plant Additions'!$E$7:$AD$91,MATCH($C247,'Gen. Plant Additions'!$C$7:$C$91,0),MATCH(Calculation!$G247,'Gen. Plant Additions'!$E$5:$AD$5,0))</f>
        <v>0</v>
      </c>
      <c r="BN247" s="393">
        <f t="shared" si="452"/>
        <v>1</v>
      </c>
      <c r="BO247" s="129"/>
      <c r="BP247" s="129"/>
      <c r="BQ247" s="129">
        <f>INDEX('Dist Plant Depreciation'!$D$7:$AC$94,MATCH($C247,'Dist Plant Depreciation'!$C$7:$C$94,0),MATCH(Calculation!$G247,'Dist Plant Depreciation'!$D$5:$AC$5,0))</f>
        <v>92315</v>
      </c>
      <c r="BR247" s="129">
        <f>INDEX('Gen. Plant Depreciation'!$D$7:$AC$94,MATCH($C247,'Gen. Plant Depreciation'!$C$7:$C$94,0),MATCH(Calculation!$G247,'Gen. Plant Depreciation'!$D$5:$AC$5,0))</f>
        <v>0</v>
      </c>
      <c r="BS247" s="129"/>
      <c r="BT247" s="129"/>
      <c r="BU247" s="129"/>
      <c r="BV247" s="129"/>
      <c r="BW247" s="129"/>
      <c r="BX247" s="129"/>
      <c r="BY247" s="129">
        <f>INDEX('Gross Dx Plant'!$D$7:$AC$91,MATCH($C247,'Gross Dx Plant'!$C$7:$C$91,0),MATCH(Calculation!$G247,'Gross Dx Plant'!$D$5:$AC$5,0))</f>
        <v>444474</v>
      </c>
      <c r="BZ247" s="129">
        <f>INDEX('Gross Gen Plant'!$D$7:$AC$91,MATCH($C247,'Gross Gen Plant'!$C$7:$C$91,0),MATCH(Calculation!$G247,'Gross Gen Plant'!$D$5:$AC$5,0))</f>
        <v>0</v>
      </c>
      <c r="CA247" s="129">
        <f t="shared" si="441"/>
        <v>352159</v>
      </c>
      <c r="CB247" s="129"/>
      <c r="CC247" s="133">
        <v>2017</v>
      </c>
      <c r="CD247" s="129"/>
      <c r="CE247" s="129"/>
      <c r="CF247" s="129"/>
      <c r="CG247" s="137"/>
      <c r="CH247" s="129">
        <f t="shared" si="453"/>
        <v>48366</v>
      </c>
      <c r="CI247" s="46">
        <f t="shared" si="462"/>
        <v>48366</v>
      </c>
      <c r="CJ247" s="46">
        <f t="shared" si="454"/>
        <v>67.888909999448757</v>
      </c>
      <c r="CK247" s="443">
        <v>0.77108433734939763</v>
      </c>
      <c r="CL247" s="46">
        <f>+CL228*CK247+CJ229*CK246+CJ230*CK245+CJ231*CK244+CJ232*CK243+CJ233*CK242+CJ234*CK241+CJ235*CK240+CJ236*CK239+CJ237*CK238+CJ238*CK237+CJ239*CK236+CJ240*CK235+CJ241*CK234+CJ242*CK233+CJ243*CK232+CJ244*CK231+CJ245*CK230+CJ246*CK229+CJ247</f>
        <v>896.32503785223662</v>
      </c>
      <c r="CM247" s="134">
        <f t="shared" si="455"/>
        <v>6.3804374337441239E-2</v>
      </c>
      <c r="CN247" s="135">
        <f t="shared" si="456"/>
        <v>1.484766814662053E-2</v>
      </c>
      <c r="CO247" s="135">
        <f t="shared" si="465"/>
        <v>1.4683110421046183E-2</v>
      </c>
      <c r="CP247" s="134">
        <f>VLOOKUP($H247,RoR!$E:$F,2,FALSE)</f>
        <v>3.7433333333333339E-2</v>
      </c>
      <c r="CQ247" s="135">
        <v>1.9056896421275615E-2</v>
      </c>
      <c r="CR247" s="135">
        <f t="shared" si="463"/>
        <v>1.8376436912057724E-2</v>
      </c>
      <c r="CS247" s="135">
        <f t="shared" si="466"/>
        <v>1.6218831187487442E-2</v>
      </c>
      <c r="CT247" s="135">
        <f t="shared" si="467"/>
        <v>1.3976271617800498E-2</v>
      </c>
      <c r="CU247" s="139">
        <f t="shared" si="457"/>
        <v>0.90509623210000001</v>
      </c>
      <c r="CV247" s="335">
        <f t="shared" si="458"/>
        <v>1.3699568463593395</v>
      </c>
      <c r="CW247" s="335">
        <f t="shared" si="459"/>
        <v>0.30714603739982199</v>
      </c>
      <c r="CX247" s="335">
        <f t="shared" si="460"/>
        <v>0.77007188472689425</v>
      </c>
      <c r="CY247" s="335">
        <f t="shared" si="461"/>
        <v>0.32402839633793828</v>
      </c>
      <c r="CZ247" s="336">
        <f>INDEX('State Tax Lookup'!$D$7:$Z$91,MATCH(Calculation!$C247,'State Tax Lookup'!$B$7:$B$91,0),MATCH($H247,'State Tax Lookup'!$D$6:$Z$6,0))</f>
        <v>0.25649666999999998</v>
      </c>
      <c r="DA247" s="303">
        <v>0.37</v>
      </c>
      <c r="DB247" s="57">
        <f t="shared" si="464"/>
        <v>14.049054631114428</v>
      </c>
      <c r="DC247" s="56">
        <f t="shared" si="468"/>
        <v>-0.10456749725350072</v>
      </c>
      <c r="DD247" s="303">
        <f>VLOOKUP($H247,RoR!$E:$F,2,FALSE)</f>
        <v>3.7433333333333339E-2</v>
      </c>
      <c r="DE247" s="304">
        <f>HLOOKUP($H247,'GDP-PI'!$D$8:$CQ$11,3,FALSE)</f>
        <v>1.9056896421275615E-2</v>
      </c>
      <c r="DF247" s="303">
        <f>VLOOKUP(H247,'HW Dx Data'!$E:$F,2,FALSE)</f>
        <v>712.42858370229726</v>
      </c>
      <c r="DG247" s="89">
        <f ca="1">VLOOKUP(CC247,'ECI - Input Price'!M$13:N$33,2,FALSE)</f>
        <v>140.44999999999999</v>
      </c>
      <c r="DH247" s="89"/>
      <c r="DI247" s="89"/>
      <c r="DJ247" s="56">
        <f t="shared" ca="1" si="476"/>
        <v>2.5235657841165486E-2</v>
      </c>
      <c r="DK247" s="53">
        <f>HLOOKUP(H247,'GDP-PI'!$8:$9,2,FALSE)</f>
        <v>107.751</v>
      </c>
      <c r="DL247" s="355">
        <f t="shared" si="469"/>
        <v>1.8877588227745139E-2</v>
      </c>
      <c r="EC247"/>
    </row>
    <row r="248" spans="1:133" s="126" customFormat="1" ht="21" customHeight="1" x14ac:dyDescent="0.4">
      <c r="A248" s="233" t="s">
        <v>196</v>
      </c>
      <c r="B248" s="127" t="s">
        <v>196</v>
      </c>
      <c r="C248" s="127">
        <v>4057076</v>
      </c>
      <c r="D248" s="127" t="s">
        <v>194</v>
      </c>
      <c r="E248" s="127" t="s">
        <v>15</v>
      </c>
      <c r="F248" s="127"/>
      <c r="G248" s="127" t="s">
        <v>174</v>
      </c>
      <c r="H248" s="128">
        <v>2018</v>
      </c>
      <c r="I248" s="129"/>
      <c r="J248" s="125">
        <f>IFERROR(INDEX('Labor Expenditures'!$E$7:$W$91,MATCH($C248,'Labor Expenditures'!$C$7:$C$91,0),MATCH($G248,'Labor Expenditures'!$E$5:$W$5,0)),"NA")</f>
        <v>14215.607213268248</v>
      </c>
      <c r="K248" s="125">
        <f t="shared" ca="1" si="470"/>
        <v>98.41195717042747</v>
      </c>
      <c r="L248" s="47"/>
      <c r="M248" s="131">
        <f t="shared" ca="1" si="477"/>
        <v>-6.5914199069551094E-2</v>
      </c>
      <c r="N248" s="131"/>
      <c r="O248" s="131"/>
      <c r="P248" s="59">
        <f t="shared" ca="1" si="478"/>
        <v>-2.8424708045696618E-4</v>
      </c>
      <c r="Q248" s="61"/>
      <c r="R248" s="387"/>
      <c r="S248" s="49">
        <f t="shared" ca="1" si="483"/>
        <v>116.49842294556794</v>
      </c>
      <c r="T248" s="61">
        <f ca="1">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</f>
        <v>-0.36050129842275014</v>
      </c>
      <c r="U248" s="61"/>
      <c r="V248" s="125">
        <f>IFERROR(INDEX('Non-Labor Expenditures'!$E$7:$AA$91,MATCH($C248,'Non-Labor Expenditures'!$C$7:$C$91,0),MATCH($G248,'Non-Labor Expenditures'!$E$5:$AA$5,0)),"NA")</f>
        <v>20586.854353995441</v>
      </c>
      <c r="W248" s="125">
        <f t="shared" si="471"/>
        <v>186.60697190039556</v>
      </c>
      <c r="X248" s="131">
        <f t="shared" si="479"/>
        <v>-6.1412678424067994E-2</v>
      </c>
      <c r="Y248" s="131">
        <f t="shared" si="480"/>
        <v>-2.6483481240004592E-4</v>
      </c>
      <c r="Z248" s="131"/>
      <c r="AA248" s="131"/>
      <c r="AB248" s="131"/>
      <c r="AC248" s="125">
        <f t="shared" si="451"/>
        <v>13185.477332317418</v>
      </c>
      <c r="AD248" s="129"/>
      <c r="AE248" s="133">
        <v>1041.4607283173036</v>
      </c>
      <c r="AF248" s="134">
        <v>8.1073753012164698E-2</v>
      </c>
      <c r="AG248" s="59">
        <f t="shared" si="472"/>
        <v>3.4962083922282771E-4</v>
      </c>
      <c r="AH248" s="134"/>
      <c r="AI248" s="134"/>
      <c r="AJ248" s="129">
        <f t="shared" si="444"/>
        <v>47987.938899581102</v>
      </c>
      <c r="AK248" s="134">
        <f t="shared" si="481"/>
        <v>6.1365429377665658E-4</v>
      </c>
      <c r="AL248" s="129"/>
      <c r="AM248" s="129"/>
      <c r="AN248" s="129"/>
      <c r="AO248" s="129"/>
      <c r="AP248" s="133">
        <f t="shared" si="482"/>
        <v>581.94003176713034</v>
      </c>
      <c r="AQ248" s="134">
        <f>+BB248/Outputs!$B$26</f>
        <v>2.2075392033498527E-3</v>
      </c>
      <c r="AR248" s="93">
        <f t="shared" si="473"/>
        <v>0.29623291892189058</v>
      </c>
      <c r="AS248" s="93">
        <f t="shared" si="474"/>
        <v>0.42900059527614237</v>
      </c>
      <c r="AT248" s="93">
        <f t="shared" si="475"/>
        <v>0.27476648580196716</v>
      </c>
      <c r="AU248" s="93">
        <f t="shared" ca="1" si="484"/>
        <v>-4.6770998907392433E-2</v>
      </c>
      <c r="AV248" s="132">
        <f t="shared" ca="1" si="486"/>
        <v>161.44239580100233</v>
      </c>
      <c r="AW248" s="134">
        <f t="shared" ca="1" si="487"/>
        <v>-4.677099890739253E-2</v>
      </c>
      <c r="AX248" s="56">
        <f>+AJ248/$AL$23</f>
        <v>4.3123801012439735E-3</v>
      </c>
      <c r="AY248" s="135">
        <f t="shared" ca="1" si="485"/>
        <v>-2.0169432500354319E-4</v>
      </c>
      <c r="AZ248" s="93"/>
      <c r="BA248" s="93"/>
      <c r="BB248" s="234">
        <f>IFERROR(INDEX('Total Customers'!$E$7:$AA$91,MATCH($C248,'Total Customers'!$C$7:$C$91,0),MATCH($G248,'Total Customers'!$E$5:$AA$5,0)),"NA")</f>
        <v>82462</v>
      </c>
      <c r="BC248" s="411">
        <f t="shared" si="400"/>
        <v>1.6149199088497067E-2</v>
      </c>
      <c r="BD248" s="92"/>
      <c r="BE248" s="281" t="str">
        <f t="shared" si="396"/>
        <v>CENTRAL HUDSON GAS &amp; ELECTRIC CORPORATION</v>
      </c>
      <c r="BF248" s="290">
        <f t="shared" si="397"/>
        <v>4057076</v>
      </c>
      <c r="BG248" s="46" t="str">
        <f t="shared" si="398"/>
        <v>NY</v>
      </c>
      <c r="BH248" s="46"/>
      <c r="BI248" s="46" t="str">
        <f t="shared" si="399"/>
        <v>2018 Y</v>
      </c>
      <c r="BJ248" s="129"/>
      <c r="BK248" s="129"/>
      <c r="BL248" s="129">
        <f>INDEX('Dist. Plant Gas Additions'!$E$7:$AD$91,MATCH($C248,'Dist. Plant Gas Additions'!$C$7:$C$91,0),MATCH(Calculation!$G248,'Dist. Plant Gas Additions'!$E$5:$AD$5,0))</f>
        <v>67272</v>
      </c>
      <c r="BM248" s="129">
        <f>INDEX('Gen. Plant Additions'!$E$7:$AD$91,MATCH($C248,'Gen. Plant Additions'!$C$7:$C$91,0),MATCH(Calculation!$G248,'Gen. Plant Additions'!$E$5:$AD$5,0))</f>
        <v>0</v>
      </c>
      <c r="BN248" s="393">
        <f t="shared" si="452"/>
        <v>1</v>
      </c>
      <c r="BO248" s="129"/>
      <c r="BP248" s="129"/>
      <c r="BQ248" s="129">
        <f>INDEX('Dist Plant Depreciation'!$D$7:$AC$94,MATCH($C248,'Dist Plant Depreciation'!$C$7:$C$94,0),MATCH(Calculation!$G248,'Dist Plant Depreciation'!$D$5:$AC$5,0))</f>
        <v>95576</v>
      </c>
      <c r="BR248" s="129">
        <f>INDEX('Gen. Plant Depreciation'!$D$7:$AC$94,MATCH($C248,'Gen. Plant Depreciation'!$C$7:$C$94,0),MATCH(Calculation!$G248,'Gen. Plant Depreciation'!$D$5:$AC$5,0))</f>
        <v>0</v>
      </c>
      <c r="BS248" s="129"/>
      <c r="BT248" s="129"/>
      <c r="BU248" s="129"/>
      <c r="BV248" s="129"/>
      <c r="BW248" s="129"/>
      <c r="BX248" s="129"/>
      <c r="BY248" s="129">
        <f>INDEX('Gross Dx Plant'!$D$7:$AC$91,MATCH($C248,'Gross Dx Plant'!$C$7:$C$91,0),MATCH(Calculation!$G248,'Gross Dx Plant'!$D$5:$AC$5,0))</f>
        <v>507034</v>
      </c>
      <c r="BZ248" s="129">
        <f>INDEX('Gross Gen Plant'!$D$7:$AC$91,MATCH($C248,'Gross Gen Plant'!$C$7:$C$91,0),MATCH(Calculation!$G248,'Gross Gen Plant'!$D$5:$AC$5,0))</f>
        <v>0</v>
      </c>
      <c r="CA248" s="129">
        <f t="shared" si="441"/>
        <v>411458</v>
      </c>
      <c r="CB248" s="129"/>
      <c r="CC248" s="133">
        <v>2018</v>
      </c>
      <c r="CD248" s="129"/>
      <c r="CE248" s="129"/>
      <c r="CF248" s="129"/>
      <c r="CG248" s="137"/>
      <c r="CH248" s="129">
        <f t="shared" si="453"/>
        <v>67272</v>
      </c>
      <c r="CI248" s="46">
        <f t="shared" si="462"/>
        <v>67272</v>
      </c>
      <c r="CJ248" s="46">
        <f t="shared" si="454"/>
        <v>89.085855213172763</v>
      </c>
      <c r="CK248" s="443">
        <v>0.75609756097560976</v>
      </c>
      <c r="CL248" s="46">
        <f>+CL228*CK248++CJ229*CK247+CJ230*CK246+CJ231*CK245+CJ232*CK244+CJ233*CK243+CJ234*CK242+CJ235*CK241+CJ236*CK240+CJ237*CK239+CJ238*CK238+CJ239*CK237+CJ240*CK236+CJ241*CK235+CJ242*CK234+CJ243*CK233+CJ244*CK232+CJ245*CK231+CJ246*CK230+CJ247*CK229+CJ248</f>
        <v>971.96574267627273</v>
      </c>
      <c r="CM248" s="134">
        <f t="shared" si="455"/>
        <v>8.101744702760047E-2</v>
      </c>
      <c r="CN248" s="135">
        <f t="shared" si="456"/>
        <v>1.5000306609032997E-2</v>
      </c>
      <c r="CO248" s="135">
        <f t="shared" si="465"/>
        <v>1.4848574268499759E-2</v>
      </c>
      <c r="CP248" s="134">
        <f>VLOOKUP($H248,RoR!$E:$F,2,FALSE)</f>
        <v>3.9299999999999995E-2</v>
      </c>
      <c r="CQ248" s="135">
        <v>2.386056741932796E-2</v>
      </c>
      <c r="CR248" s="135">
        <f t="shared" si="463"/>
        <v>1.5439432580672034E-2</v>
      </c>
      <c r="CS248" s="135">
        <f t="shared" si="466"/>
        <v>1.6053367340033868E-2</v>
      </c>
      <c r="CT248" s="135">
        <f t="shared" si="467"/>
        <v>3.8270792163076606E-2</v>
      </c>
      <c r="CU248" s="139">
        <f t="shared" si="457"/>
        <v>0.90509623210000001</v>
      </c>
      <c r="CV248" s="335">
        <f t="shared" si="458"/>
        <v>1.3048868010700074</v>
      </c>
      <c r="CW248" s="335">
        <f t="shared" si="459"/>
        <v>0.33886768447837151</v>
      </c>
      <c r="CX248" s="335">
        <f t="shared" si="460"/>
        <v>0.78602506232557801</v>
      </c>
      <c r="CY248" s="335">
        <f t="shared" si="461"/>
        <v>0.34756768162358759</v>
      </c>
      <c r="CZ248" s="336">
        <f>INDEX('State Tax Lookup'!$D$7:$Z$91,MATCH(Calculation!$C248,'State Tax Lookup'!$B$7:$B$91,0),MATCH($H248,'State Tax Lookup'!$D$6:$Z$6,0))</f>
        <v>0.25649666999999998</v>
      </c>
      <c r="DA248" s="303">
        <v>0.37</v>
      </c>
      <c r="DB248" s="57">
        <f t="shared" si="464"/>
        <v>14.710598025814722</v>
      </c>
      <c r="DC248" s="56">
        <f t="shared" si="468"/>
        <v>4.601308068488659E-2</v>
      </c>
      <c r="DD248" s="303">
        <f>VLOOKUP($H248,RoR!$E:$F,2,FALSE)</f>
        <v>3.9299999999999995E-2</v>
      </c>
      <c r="DE248" s="304">
        <f>HLOOKUP($H248,'GDP-PI'!$D$8:$CQ$11,3,FALSE)</f>
        <v>2.386056741932796E-2</v>
      </c>
      <c r="DF248" s="303">
        <f>VLOOKUP(H248,'HW Dx Data'!$E:$F,2,FALSE)</f>
        <v>755.13671434174842</v>
      </c>
      <c r="DG248" s="89">
        <f ca="1">VLOOKUP(CC248,'ECI - Input Price'!M$13:N$33,2,FALSE)</f>
        <v>144.44999999999999</v>
      </c>
      <c r="DH248" s="89"/>
      <c r="DI248" s="89"/>
      <c r="DJ248" s="56">
        <f t="shared" ca="1" si="476"/>
        <v>2.80818733619915E-2</v>
      </c>
      <c r="DK248" s="53">
        <f>HLOOKUP(H248,'GDP-PI'!$8:$9,2,FALSE)</f>
        <v>110.322</v>
      </c>
      <c r="DL248" s="355">
        <f t="shared" si="469"/>
        <v>2.3580352716508712E-2</v>
      </c>
      <c r="EC248"/>
    </row>
    <row r="249" spans="1:133" s="126" customFormat="1" ht="21" customHeight="1" x14ac:dyDescent="0.4">
      <c r="A249" s="233" t="s">
        <v>196</v>
      </c>
      <c r="B249" s="127" t="s">
        <v>196</v>
      </c>
      <c r="C249" s="127">
        <v>4057076</v>
      </c>
      <c r="D249" s="127" t="s">
        <v>194</v>
      </c>
      <c r="E249" s="127" t="s">
        <v>15</v>
      </c>
      <c r="F249" s="127"/>
      <c r="G249" s="127" t="s">
        <v>175</v>
      </c>
      <c r="H249" s="128">
        <v>2019</v>
      </c>
      <c r="I249" s="129"/>
      <c r="J249" s="125">
        <f>IFERROR(INDEX('Labor Expenditures'!$E$7:$W$91,MATCH($C249,'Labor Expenditures'!$C$7:$C$91,0),MATCH($G249,'Labor Expenditures'!$E$5:$W$5,0)),"NA")</f>
        <v>15791.30565927831</v>
      </c>
      <c r="K249" s="125">
        <f t="shared" ca="1" si="470"/>
        <v>105.50396298164897</v>
      </c>
      <c r="L249" s="47"/>
      <c r="M249" s="131">
        <f t="shared" ca="1" si="477"/>
        <v>6.9586203382347833E-2</v>
      </c>
      <c r="N249" s="131"/>
      <c r="O249" s="131"/>
      <c r="P249" s="59">
        <f t="shared" ca="1" si="478"/>
        <v>3.2484154839685975E-4</v>
      </c>
      <c r="Q249" s="61"/>
      <c r="R249" s="387"/>
      <c r="S249" s="49">
        <f t="shared" ca="1" si="483"/>
        <v>116.80150122268279</v>
      </c>
      <c r="T249" s="61">
        <f ca="1">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</f>
        <v>2.5981872792411719E-3</v>
      </c>
      <c r="U249" s="61"/>
      <c r="V249" s="125">
        <f>IFERROR(INDEX('Non-Labor Expenditures'!$E$7:$AA$91,MATCH($C249,'Non-Labor Expenditures'!$C$7:$C$91,0),MATCH($G249,'Non-Labor Expenditures'!$E$5:$AA$5,0)),"NA")</f>
        <v>22868.76000369215</v>
      </c>
      <c r="W249" s="125">
        <f t="shared" si="471"/>
        <v>203.60725799686739</v>
      </c>
      <c r="X249" s="131">
        <f t="shared" si="479"/>
        <v>8.718828183011787E-2</v>
      </c>
      <c r="Y249" s="131">
        <f t="shared" si="480"/>
        <v>4.0701137718546541E-4</v>
      </c>
      <c r="Z249" s="131"/>
      <c r="AA249" s="131"/>
      <c r="AB249" s="131"/>
      <c r="AC249" s="125">
        <f t="shared" si="451"/>
        <v>14525.137939936865</v>
      </c>
      <c r="AD249" s="129"/>
      <c r="AE249" s="133">
        <v>1101.455052083397</v>
      </c>
      <c r="AF249" s="134">
        <v>5.600780617049738E-2</v>
      </c>
      <c r="AG249" s="59">
        <f t="shared" si="472"/>
        <v>2.6145502404792517E-4</v>
      </c>
      <c r="AH249" s="134"/>
      <c r="AI249" s="134"/>
      <c r="AJ249" s="129">
        <f t="shared" si="444"/>
        <v>53185.203602907328</v>
      </c>
      <c r="AK249" s="134">
        <f t="shared" si="481"/>
        <v>0.10283052348983268</v>
      </c>
      <c r="AL249" s="129"/>
      <c r="AM249" s="129"/>
      <c r="AN249" s="129"/>
      <c r="AO249" s="129"/>
      <c r="AP249" s="133">
        <f t="shared" si="482"/>
        <v>635.00929619613555</v>
      </c>
      <c r="AQ249" s="134">
        <f>+BB249/Outputs!$B$27</f>
        <v>2.2236618596046991E-3</v>
      </c>
      <c r="AR249" s="93">
        <f t="shared" si="473"/>
        <v>0.29691163311472385</v>
      </c>
      <c r="AS249" s="93">
        <f t="shared" si="474"/>
        <v>0.42998350019369008</v>
      </c>
      <c r="AT249" s="93">
        <f t="shared" si="475"/>
        <v>0.27310486669158601</v>
      </c>
      <c r="AU249" s="93">
        <f t="shared" ca="1" si="484"/>
        <v>5.8084012418282038E-2</v>
      </c>
      <c r="AV249" s="132">
        <f t="shared" ca="1" si="486"/>
        <v>171.09730146798273</v>
      </c>
      <c r="AW249" s="134">
        <f t="shared" ca="1" si="487"/>
        <v>5.8084012418282122E-2</v>
      </c>
      <c r="AX249" s="56">
        <f>+AJ249/$AL$24</f>
        <v>4.6681889887279495E-3</v>
      </c>
      <c r="AY249" s="135">
        <f t="shared" ca="1" si="485"/>
        <v>2.7114714719216206E-4</v>
      </c>
      <c r="AZ249" s="93"/>
      <c r="BA249" s="93"/>
      <c r="BB249" s="234">
        <f>IFERROR(INDEX('Total Customers'!$E$7:$AA$91,MATCH($C249,'Total Customers'!$C$7:$C$91,0),MATCH($G249,'Total Customers'!$E$5:$AA$5,0)),"NA")</f>
        <v>83755</v>
      </c>
      <c r="BC249" s="411">
        <f t="shared" si="400"/>
        <v>1.5558289247177141E-2</v>
      </c>
      <c r="BD249" s="92"/>
      <c r="BE249" s="281" t="str">
        <f t="shared" si="396"/>
        <v>CENTRAL HUDSON GAS &amp; ELECTRIC CORPORATION</v>
      </c>
      <c r="BF249" s="290">
        <f t="shared" si="397"/>
        <v>4057076</v>
      </c>
      <c r="BG249" s="46" t="str">
        <f t="shared" si="398"/>
        <v>NY</v>
      </c>
      <c r="BH249" s="46"/>
      <c r="BI249" s="46" t="str">
        <f t="shared" si="399"/>
        <v>2019 Y</v>
      </c>
      <c r="BJ249" s="129"/>
      <c r="BK249" s="129"/>
      <c r="BL249" s="129">
        <f>INDEX('Dist. Plant Gas Additions'!$E$7:$AD$91,MATCH($C249,'Dist. Plant Gas Additions'!$C$7:$C$91,0),MATCH(Calculation!$G249,'Dist. Plant Gas Additions'!$E$5:$AD$5,0))</f>
        <v>53165</v>
      </c>
      <c r="BM249" s="129">
        <f>INDEX('Gen. Plant Additions'!$E$7:$AD$91,MATCH($C249,'Gen. Plant Additions'!$C$7:$C$91,0),MATCH(Calculation!$G249,'Gen. Plant Additions'!$E$5:$AD$5,0))</f>
        <v>0</v>
      </c>
      <c r="BN249" s="393">
        <f t="shared" si="452"/>
        <v>1</v>
      </c>
      <c r="BO249" s="129"/>
      <c r="BP249" s="129"/>
      <c r="BQ249" s="129">
        <f>INDEX('Dist Plant Depreciation'!$D$7:$AC$94,MATCH($C249,'Dist Plant Depreciation'!$C$7:$C$94,0),MATCH(Calculation!$G249,'Dist Plant Depreciation'!$D$5:$AC$5,0))</f>
        <v>100143</v>
      </c>
      <c r="BR249" s="129">
        <f>INDEX('Gen. Plant Depreciation'!$D$7:$AC$94,MATCH($C249,'Gen. Plant Depreciation'!$C$7:$C$94,0),MATCH(Calculation!$G249,'Gen. Plant Depreciation'!$D$5:$AC$5,0))</f>
        <v>0</v>
      </c>
      <c r="BS249" s="129"/>
      <c r="BT249" s="129"/>
      <c r="BU249" s="129"/>
      <c r="BV249" s="129"/>
      <c r="BW249" s="129"/>
      <c r="BX249" s="129"/>
      <c r="BY249" s="129">
        <f>INDEX('Gross Dx Plant'!$D$7:$AC$91,MATCH($C249,'Gross Dx Plant'!$C$7:$C$91,0),MATCH(Calculation!$G249,'Gross Dx Plant'!$D$5:$AC$5,0))</f>
        <v>555806</v>
      </c>
      <c r="BZ249" s="129">
        <f>INDEX('Gross Gen Plant'!$D$7:$AC$91,MATCH($C249,'Gross Gen Plant'!$C$7:$C$91,0),MATCH(Calculation!$G249,'Gross Gen Plant'!$D$5:$AC$5,0))</f>
        <v>0</v>
      </c>
      <c r="CA249" s="129">
        <f t="shared" si="441"/>
        <v>455663</v>
      </c>
      <c r="CB249" s="129"/>
      <c r="CC249" s="133">
        <v>2019</v>
      </c>
      <c r="CD249" s="129"/>
      <c r="CE249" s="129"/>
      <c r="CF249" s="129"/>
      <c r="CG249" s="137"/>
      <c r="CH249" s="129">
        <f t="shared" si="453"/>
        <v>53165</v>
      </c>
      <c r="CI249" s="46">
        <f t="shared" si="462"/>
        <v>53165</v>
      </c>
      <c r="CJ249" s="46">
        <f t="shared" si="454"/>
        <v>68.729539845777666</v>
      </c>
      <c r="CK249" s="443">
        <v>0.7407407407407407</v>
      </c>
      <c r="CL249" s="46">
        <f>CL228*CK249+CJ229*CK248+CJ230*CK247+CJ231*CK246+CJ232*CK245+CJ233*CK244+CJ234*CK243+CJ235*CK242+CJ236*CK241+CJ237*CK240+CJ238*CK239+CJ239*CK238+CJ240*CK237+CJ241*CK236+CJ242*CK235+CJ243*CK234+CJ244*CK233+CJ245*CK232+CJ246*CK231+CJ247*CK230+CJ248*CK229+CJ249</f>
        <v>1026.0573169817958</v>
      </c>
      <c r="CM249" s="134">
        <f t="shared" si="455"/>
        <v>5.4158328995890001E-2</v>
      </c>
      <c r="CN249" s="135">
        <f t="shared" si="456"/>
        <v>1.5060166112387342E-2</v>
      </c>
      <c r="CO249" s="135">
        <f t="shared" si="465"/>
        <v>1.4969380289346955E-2</v>
      </c>
      <c r="CP249" s="134">
        <f>VLOOKUP($H249,RoR!$E:$F,2,FALSE)</f>
        <v>3.3875000000000009E-2</v>
      </c>
      <c r="CQ249" s="135">
        <v>1.8092492884465461E-2</v>
      </c>
      <c r="CR249" s="135">
        <f t="shared" si="463"/>
        <v>1.5782507115534548E-2</v>
      </c>
      <c r="CS249" s="135">
        <f t="shared" si="466"/>
        <v>1.5932561319186668E-2</v>
      </c>
      <c r="CT249" s="135">
        <f t="shared" si="467"/>
        <v>4.8445665544254078E-2</v>
      </c>
      <c r="CU249" s="139">
        <f t="shared" si="457"/>
        <v>0.90509623210000001</v>
      </c>
      <c r="CV249" s="335">
        <f t="shared" si="458"/>
        <v>1.513861292459078</v>
      </c>
      <c r="CW249" s="335">
        <f t="shared" si="459"/>
        <v>0.23699261992619944</v>
      </c>
      <c r="CX249" s="335">
        <f t="shared" si="460"/>
        <v>0.73619765810468829</v>
      </c>
      <c r="CY249" s="335">
        <f t="shared" si="461"/>
        <v>0.26412854465362851</v>
      </c>
      <c r="CZ249" s="336">
        <f>INDEX('State Tax Lookup'!$D$7:$Z$91,MATCH(Calculation!$C249,'State Tax Lookup'!$B$7:$B$91,0),MATCH($H249,'State Tax Lookup'!$D$6:$Z$6,0))</f>
        <v>0.25649666999999998</v>
      </c>
      <c r="DA249" s="303">
        <v>0.37</v>
      </c>
      <c r="DB249" s="57">
        <f t="shared" si="464"/>
        <v>14.944084243074679</v>
      </c>
      <c r="DC249" s="56">
        <f t="shared" si="468"/>
        <v>1.5747330562155763E-2</v>
      </c>
      <c r="DD249" s="303">
        <f>VLOOKUP($H249,RoR!$E:$F,2,FALSE)</f>
        <v>3.3875000000000009E-2</v>
      </c>
      <c r="DE249" s="304">
        <f>HLOOKUP($H249,'GDP-PI'!$D$8:$CQ$11,3,FALSE)</f>
        <v>1.8092492884465461E-2</v>
      </c>
      <c r="DF249" s="303">
        <f>VLOOKUP(H249,'HW Dx Data'!$E:$F,2,FALSE)</f>
        <v>773.53929793938721</v>
      </c>
      <c r="DG249" s="89">
        <f ca="1">VLOOKUP(CC249,'ECI - Input Price'!M$13:N$33,2,FALSE)</f>
        <v>149.67500000000001</v>
      </c>
      <c r="DH249" s="89"/>
      <c r="DI249" s="89"/>
      <c r="DJ249" s="56">
        <f t="shared" ca="1" si="476"/>
        <v>3.5532849899171604E-2</v>
      </c>
      <c r="DK249" s="53">
        <f>HLOOKUP(H249,'GDP-PI'!$8:$9,2,FALSE)</f>
        <v>112.318</v>
      </c>
      <c r="DL249" s="355">
        <f t="shared" si="469"/>
        <v>1.7930771451401852E-2</v>
      </c>
      <c r="EC249"/>
    </row>
    <row r="250" spans="1:133" s="126" customFormat="1" ht="21" customHeight="1" x14ac:dyDescent="0.4">
      <c r="A250" s="233" t="s">
        <v>196</v>
      </c>
      <c r="B250" s="126" t="s">
        <v>196</v>
      </c>
      <c r="C250" s="126">
        <v>4057076</v>
      </c>
      <c r="D250" s="126" t="s">
        <v>194</v>
      </c>
      <c r="E250" s="126" t="s">
        <v>15</v>
      </c>
      <c r="G250" s="127" t="s">
        <v>176</v>
      </c>
      <c r="H250" s="128">
        <v>2020</v>
      </c>
      <c r="I250" s="129"/>
      <c r="J250" s="125">
        <v>15791</v>
      </c>
      <c r="K250" s="125">
        <f t="shared" ca="1" si="470"/>
        <v>103.10806398955272</v>
      </c>
      <c r="L250" s="47"/>
      <c r="M250" s="131">
        <f t="shared" ca="1" si="477"/>
        <v>-2.2970912829859406E-2</v>
      </c>
      <c r="N250" s="131"/>
      <c r="O250" s="131"/>
      <c r="P250" s="59">
        <f t="shared" ca="1" si="478"/>
        <v>-1.0819097549234874E-4</v>
      </c>
      <c r="Q250" s="61"/>
      <c r="R250" s="387"/>
      <c r="S250" s="49">
        <f t="shared" ca="1" si="483"/>
        <v>115.46118102126847</v>
      </c>
      <c r="T250" s="61">
        <f ca="1">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</f>
        <v>-1.1541544830161607E-2</v>
      </c>
      <c r="U250" s="61"/>
      <c r="V250" s="125">
        <v>22869</v>
      </c>
      <c r="W250" s="125">
        <f t="shared" si="471"/>
        <v>201.27086945424782</v>
      </c>
      <c r="X250" s="131">
        <f t="shared" si="479"/>
        <v>-1.1541322281825089E-2</v>
      </c>
      <c r="Y250" s="131">
        <f t="shared" si="480"/>
        <v>-5.4358611056985112E-5</v>
      </c>
      <c r="Z250" s="131"/>
      <c r="AA250" s="131"/>
      <c r="AB250" s="131"/>
      <c r="AC250" s="125">
        <f t="shared" si="451"/>
        <v>15984.848400421308</v>
      </c>
      <c r="AD250" s="129"/>
      <c r="AE250" s="133">
        <v>1157.423848904607</v>
      </c>
      <c r="AF250" s="134">
        <v>4.9564635200783809E-2</v>
      </c>
      <c r="AG250" s="59">
        <f t="shared" si="472"/>
        <v>2.3344506472222886E-4</v>
      </c>
      <c r="AH250" s="134"/>
      <c r="AI250" s="134"/>
      <c r="AJ250" s="129">
        <f t="shared" si="444"/>
        <v>54644.84840042131</v>
      </c>
      <c r="AK250" s="134">
        <f t="shared" si="481"/>
        <v>2.7074714964209354E-2</v>
      </c>
      <c r="AL250" s="129"/>
      <c r="AM250" s="129"/>
      <c r="AN250" s="129"/>
      <c r="AO250" s="129"/>
      <c r="AP250" s="133">
        <f t="shared" si="482"/>
        <v>652.43685034232351</v>
      </c>
      <c r="AQ250" s="134">
        <f>+BB250/Outputs!$B$28</f>
        <v>2.207959319664346E-3</v>
      </c>
      <c r="AR250" s="93">
        <f t="shared" si="473"/>
        <v>0.28897509028276946</v>
      </c>
      <c r="AS250" s="93">
        <f t="shared" si="474"/>
        <v>0.41850239628121433</v>
      </c>
      <c r="AT250" s="93">
        <f t="shared" si="475"/>
        <v>0.29252251343601615</v>
      </c>
      <c r="AU250" s="93">
        <f t="shared" ca="1" si="484"/>
        <v>-1.162550101706796E-2</v>
      </c>
      <c r="AV250" s="132">
        <f t="shared" ca="1" si="486"/>
        <v>169.119727035295</v>
      </c>
      <c r="AW250" s="134">
        <f t="shared" ca="1" si="487"/>
        <v>-1.1625501017067956E-2</v>
      </c>
      <c r="AX250" s="56">
        <f>+AJ250/$AL$25</f>
        <v>4.7099118913425837E-3</v>
      </c>
      <c r="AY250" s="135">
        <f t="shared" ca="1" si="485"/>
        <v>-5.4755085483103669E-5</v>
      </c>
      <c r="AZ250" s="93"/>
      <c r="BA250" s="93"/>
      <c r="BB250" s="234">
        <v>83755</v>
      </c>
      <c r="BC250" s="411">
        <f t="shared" si="400"/>
        <v>0</v>
      </c>
      <c r="BD250" s="92"/>
      <c r="BE250" s="281" t="str">
        <f t="shared" si="396"/>
        <v>CENTRAL HUDSON GAS &amp; ELECTRIC CORPORATION</v>
      </c>
      <c r="BF250" s="290">
        <f t="shared" si="397"/>
        <v>4057076</v>
      </c>
      <c r="BG250" s="46" t="str">
        <f t="shared" si="398"/>
        <v>NY</v>
      </c>
      <c r="BH250" s="46"/>
      <c r="BI250" s="46" t="str">
        <f t="shared" si="399"/>
        <v>2020 Y</v>
      </c>
      <c r="BJ250" s="129"/>
      <c r="BK250" s="129"/>
      <c r="BL250" s="129"/>
      <c r="BM250" s="129"/>
      <c r="BN250" s="393">
        <v>1</v>
      </c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29"/>
      <c r="BY250" s="129"/>
      <c r="BZ250" s="129"/>
      <c r="CA250" s="129"/>
      <c r="CB250" s="129"/>
      <c r="CC250" s="133">
        <v>2020</v>
      </c>
      <c r="CD250" s="129"/>
      <c r="CE250" s="129"/>
      <c r="CF250" s="129"/>
      <c r="CG250" s="137"/>
      <c r="CH250" s="129">
        <v>53165</v>
      </c>
      <c r="CI250" s="46">
        <f t="shared" si="462"/>
        <v>53165</v>
      </c>
      <c r="CJ250" s="46">
        <f t="shared" si="454"/>
        <v>65.387156709399846</v>
      </c>
      <c r="CK250" s="443">
        <v>0.72499999999999998</v>
      </c>
      <c r="CL250" s="46">
        <f>CL228*CK250+CJ229*CK249+CJ230*CK248+CJ231*CK247+CJ232*CK246+CJ233*CK245+CJ234*CK244+CJ235*CK243+CJ236*CK242+CJ237*CK241+CJ238*CK240+CJ239*CK239+CJ240*CK238+CJ241*CK237+CJ242*CK236+CJ243*CK235+CJ244*CK234+CJ245*CK233+CJ246*CK232+CJ247*CK231+CJ248*CK230+CJ249*CK229+CJ250</f>
        <v>1075.7866337464288</v>
      </c>
      <c r="CM250" s="134">
        <f t="shared" si="455"/>
        <v>4.7328536608802929E-2</v>
      </c>
      <c r="CN250" s="135">
        <f t="shared" si="456"/>
        <v>1.5260200074227048E-2</v>
      </c>
      <c r="CO250" s="135">
        <f t="shared" si="465"/>
        <v>1.5106890931882463E-2</v>
      </c>
      <c r="CP250" s="134">
        <f>VLOOKUP($H250,RoR!$E:$F,2,FALSE)</f>
        <v>2.4766666666666666E-2</v>
      </c>
      <c r="CQ250" s="135">
        <v>1.1618796630994188E-2</v>
      </c>
      <c r="CR250" s="135">
        <f t="shared" si="463"/>
        <v>1.3147870035672478E-2</v>
      </c>
      <c r="CS250" s="135">
        <f t="shared" si="466"/>
        <v>1.5795050676651164E-2</v>
      </c>
      <c r="CT250" s="135">
        <f t="shared" si="467"/>
        <v>4.5144642961987357E-2</v>
      </c>
      <c r="CU250" s="139">
        <f t="shared" si="457"/>
        <v>0.90509623210000001</v>
      </c>
      <c r="CV250" s="335">
        <f t="shared" si="458"/>
        <v>2.0706077233668081</v>
      </c>
      <c r="CW250" s="335">
        <f t="shared" si="459"/>
        <v>-3.4421265141318998E-2</v>
      </c>
      <c r="CX250" s="335">
        <f t="shared" si="460"/>
        <v>0.62416226176410472</v>
      </c>
      <c r="CY250" s="335">
        <f t="shared" si="461"/>
        <v>-4.4485877841158712E-2</v>
      </c>
      <c r="CZ250" s="336">
        <f>INDEX('State Tax Lookup'!$D$7:$Z$91,MATCH(Calculation!$C250,'State Tax Lookup'!$B$7:$B$91,0),MATCH($H250,'State Tax Lookup'!$D$6:$Z$6,0))</f>
        <v>0.25649666999999998</v>
      </c>
      <c r="DA250" s="303">
        <v>0.37</v>
      </c>
      <c r="DB250" s="57">
        <f t="shared" si="464"/>
        <v>15.578903961663293</v>
      </c>
      <c r="DC250" s="56">
        <f t="shared" si="468"/>
        <v>4.1602170187840272E-2</v>
      </c>
      <c r="DD250" s="303">
        <f>VLOOKUP($H250,RoR!$E:$F,2,FALSE)</f>
        <v>2.4766666666666666E-2</v>
      </c>
      <c r="DE250" s="304">
        <f>HLOOKUP($H250,'GDP-PI'!$D$8:$CQ$11,3,FALSE)</f>
        <v>1.1618796630994188E-2</v>
      </c>
      <c r="DF250" s="303">
        <f>VLOOKUP(H250,'HW Dx Data'!$E:$F,2,FALSE)</f>
        <v>813.080162458833</v>
      </c>
      <c r="DG250" s="89">
        <f ca="1">VLOOKUP(CC250,'ECI - Input Price'!M$13:N$33,2,FALSE)</f>
        <v>153.15</v>
      </c>
      <c r="DH250" s="89"/>
      <c r="DI250" s="89"/>
      <c r="DJ250" s="56">
        <f t="shared" ca="1" si="476"/>
        <v>2.2951556467368479E-2</v>
      </c>
      <c r="DK250" s="53">
        <f>HLOOKUP(H250,'GDP-PI'!$8:$9,2,FALSE)</f>
        <v>113.623</v>
      </c>
      <c r="DL250" s="355">
        <f t="shared" si="469"/>
        <v>1.1551816731392881E-2</v>
      </c>
      <c r="EC250"/>
    </row>
    <row r="251" spans="1:133" s="126" customFormat="1" ht="21" customHeight="1" x14ac:dyDescent="0.4">
      <c r="A251" s="233" t="s">
        <v>196</v>
      </c>
      <c r="B251" s="126" t="s">
        <v>196</v>
      </c>
      <c r="C251" s="126">
        <v>4057076</v>
      </c>
      <c r="D251" s="126" t="s">
        <v>194</v>
      </c>
      <c r="E251" s="126" t="s">
        <v>15</v>
      </c>
      <c r="G251" s="127" t="s">
        <v>177</v>
      </c>
      <c r="H251" s="128">
        <v>2021</v>
      </c>
      <c r="I251" s="129"/>
      <c r="J251" s="125">
        <v>17039.617857770394</v>
      </c>
      <c r="K251" s="125">
        <f t="shared" ca="1" si="470"/>
        <v>108.36004996992301</v>
      </c>
      <c r="L251" s="47"/>
      <c r="M251" s="130">
        <f t="shared" ca="1" si="477"/>
        <v>4.9681875176243839E-2</v>
      </c>
      <c r="N251" s="130"/>
      <c r="O251" s="130"/>
      <c r="P251" s="59">
        <f t="shared" ca="1" si="478"/>
        <v>1.9608111546557519E-4</v>
      </c>
      <c r="Q251" s="61"/>
      <c r="R251" s="387"/>
      <c r="S251" s="132">
        <f ca="1">+S250*EXP(T251)</f>
        <v>120.92602842902491</v>
      </c>
      <c r="T251" s="134">
        <f ca="1">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</f>
        <v>4.6244644942515546E-2</v>
      </c>
      <c r="U251" s="134"/>
      <c r="V251" s="125">
        <v>24019.702281435373</v>
      </c>
      <c r="W251" s="125">
        <f t="shared" si="471"/>
        <v>202.71501630040825</v>
      </c>
      <c r="X251" s="131">
        <f t="shared" si="479"/>
        <v>7.1495220433326701E-3</v>
      </c>
      <c r="Y251" s="131">
        <f t="shared" si="480"/>
        <v>2.8217257346452214E-5</v>
      </c>
      <c r="Z251" s="131"/>
      <c r="AA251" s="131"/>
      <c r="AB251" s="131"/>
      <c r="AC251" s="125">
        <f t="shared" si="451"/>
        <v>9637.1613035487244</v>
      </c>
      <c r="AD251" s="129"/>
      <c r="AE251" s="133">
        <v>1184.9044400613809</v>
      </c>
      <c r="AF251" s="134"/>
      <c r="AG251" s="59">
        <f t="shared" si="472"/>
        <v>0</v>
      </c>
      <c r="AH251" s="134"/>
      <c r="AI251" s="134"/>
      <c r="AJ251" s="129">
        <f t="shared" si="444"/>
        <v>50696.481442754492</v>
      </c>
      <c r="AK251" s="134">
        <f t="shared" si="481"/>
        <v>-7.4998436224524706E-2</v>
      </c>
      <c r="AL251" s="129"/>
      <c r="AM251" s="134"/>
      <c r="AN251" s="134"/>
      <c r="AO251" s="134"/>
      <c r="AP251" s="133">
        <f t="shared" si="482"/>
        <v>605.11436432029711</v>
      </c>
      <c r="AQ251" s="134">
        <f>+BB251/Outputs!$B$29</f>
        <v>2.1701135040528832E-3</v>
      </c>
      <c r="AR251" s="93">
        <f t="shared" si="473"/>
        <v>0.33611046314942405</v>
      </c>
      <c r="AS251" s="93">
        <f t="shared" si="474"/>
        <v>0.47379426733111579</v>
      </c>
      <c r="AT251" s="93">
        <f t="shared" si="475"/>
        <v>0.19009526951946012</v>
      </c>
      <c r="AU251" s="93">
        <f t="shared" ca="1" si="484"/>
        <v>1.8717458552890046E-2</v>
      </c>
      <c r="AV251" s="132">
        <f t="shared" ca="1" si="486"/>
        <v>172.31502919727606</v>
      </c>
      <c r="AW251" s="134">
        <f t="shared" ca="1" si="487"/>
        <v>1.8717458552889976E-2</v>
      </c>
      <c r="AX251" s="56">
        <f>+AJ251/$AL$26</f>
        <v>3.946733386571818E-3</v>
      </c>
      <c r="AY251" s="135">
        <f t="shared" ca="1" si="485"/>
        <v>7.3872818582465091E-5</v>
      </c>
      <c r="AZ251" s="93"/>
      <c r="BA251" s="93"/>
      <c r="BB251" s="234">
        <f>INDEX('Total Customers'!$D$7:$D$91,MATCH(Calculation!$C251,'Total Customers'!$C$7:$C$91,0))</f>
        <v>83780</v>
      </c>
      <c r="BC251" s="411">
        <f t="shared" si="400"/>
        <v>2.9844510323887046E-4</v>
      </c>
      <c r="BD251" s="91"/>
      <c r="BE251" s="281" t="str">
        <f t="shared" si="396"/>
        <v>CENTRAL HUDSON GAS &amp; ELECTRIC CORPORATION</v>
      </c>
      <c r="BF251" s="290">
        <f t="shared" si="397"/>
        <v>4057076</v>
      </c>
      <c r="BG251" s="46" t="str">
        <f t="shared" si="398"/>
        <v>NY</v>
      </c>
      <c r="BH251" s="46"/>
      <c r="BI251" s="46" t="str">
        <f t="shared" si="399"/>
        <v>2021 Y</v>
      </c>
      <c r="BJ251" s="129"/>
      <c r="BK251" s="129"/>
      <c r="BL251" s="129">
        <f>INDEX('Dist. Plant Gas Additions'!$D$7:$AD$91,MATCH($C251,'Dist. Plant Gas Additions'!$C$7:$C$91,0),MATCH(Calculation!$G251,'Dist. Plant Gas Additions'!$D$5:$AD$5,0))</f>
        <v>59179</v>
      </c>
      <c r="BM251" s="129">
        <f>INDEX('Gen. Plant Additions'!$D$7:$AD$91,MATCH($C251,'Gen. Plant Additions'!$C$7:$C$91,0),MATCH(Calculation!$G251,'Gen. Plant Additions'!$D$5:$AD$5,0))</f>
        <v>0</v>
      </c>
      <c r="BN251" s="343">
        <v>1</v>
      </c>
      <c r="BO251" s="129"/>
      <c r="BP251" s="129"/>
      <c r="BQ251" s="129"/>
      <c r="BR251" s="129"/>
      <c r="BS251" s="137"/>
      <c r="BT251" s="137"/>
      <c r="BU251" s="333"/>
      <c r="BV251" s="93"/>
      <c r="BW251" s="334"/>
      <c r="BX251" s="334"/>
      <c r="BY251" s="129"/>
      <c r="BZ251" s="129"/>
      <c r="CA251" s="129"/>
      <c r="CB251" s="129"/>
      <c r="CC251" s="133">
        <v>2021</v>
      </c>
      <c r="CD251" s="129"/>
      <c r="CE251" s="129"/>
      <c r="CF251" s="129"/>
      <c r="CG251" s="137"/>
      <c r="CH251" s="129">
        <f>+BM251+BL251</f>
        <v>59179</v>
      </c>
      <c r="CI251" s="46">
        <f t="shared" si="462"/>
        <v>59179</v>
      </c>
      <c r="CJ251" s="46">
        <f t="shared" si="454"/>
        <v>63.427195003000712</v>
      </c>
      <c r="CK251" s="443">
        <v>0.70886075949367089</v>
      </c>
      <c r="CL251" s="129">
        <f>CL228*CK251+CJ229*CK250+CJ230*CK249+CJ231*CK248+CJ232*CK247+CJ233*CK246+CJ234*CK245+CJ235*CK244+CJ236*CK243+CJ237*CK242+CJ238*CK241+CJ239*CK240+CJ240*CK239+CJ241*CK238+CJ242*CK237+CJ233*CK236+CJ244*CK235+CJ245*CK234+CJ246*CK233+CJ247*CK232+CJ248*CK231+CJ249*CK230+CJ251+CJ250*CK229</f>
        <v>1097.8121199191414</v>
      </c>
      <c r="CM251" s="134"/>
      <c r="CN251" s="135">
        <f t="shared" si="456"/>
        <v>3.8485055987455989E-2</v>
      </c>
      <c r="CO251" s="135">
        <f t="shared" si="465"/>
        <v>2.2935140724690124E-2</v>
      </c>
      <c r="CP251" s="134">
        <f>VLOOKUP($H251,RoR!$E:$F,2,FALSE)</f>
        <v>2.7033333333333336E-2</v>
      </c>
      <c r="CQ251" s="135">
        <v>1.4335631817396832E-2</v>
      </c>
      <c r="CR251" s="135">
        <f>+CP251-CQ251</f>
        <v>1.2697701515936504E-2</v>
      </c>
      <c r="CS251" s="135">
        <f t="shared" si="466"/>
        <v>7.9668008838435014E-3</v>
      </c>
      <c r="CT251" s="135">
        <f t="shared" si="467"/>
        <v>7.433422950153494E-2</v>
      </c>
      <c r="CU251" s="139">
        <f t="shared" si="457"/>
        <v>0.90509623210000001</v>
      </c>
      <c r="CV251" s="335">
        <f t="shared" si="458"/>
        <v>1.8969932656739068</v>
      </c>
      <c r="CW251" s="335">
        <f t="shared" si="459"/>
        <v>5.0215782983970621E-2</v>
      </c>
      <c r="CX251" s="335">
        <f t="shared" si="460"/>
        <v>0.655952481704143</v>
      </c>
      <c r="CY251" s="335">
        <f t="shared" si="461"/>
        <v>6.2485378865697057E-2</v>
      </c>
      <c r="CZ251" s="336">
        <f>CZ250</f>
        <v>0.25649666999999998</v>
      </c>
      <c r="DA251" s="303">
        <v>0.37</v>
      </c>
      <c r="DB251" s="141">
        <f t="shared" si="464"/>
        <v>8.9582459952930389</v>
      </c>
      <c r="DC251" s="135">
        <f t="shared" si="468"/>
        <v>-0.55334324053959805</v>
      </c>
      <c r="DD251" s="336">
        <f>VLOOKUP($H251,RoR!$E:$F,2,FALSE)</f>
        <v>2.7033333333333336E-2</v>
      </c>
      <c r="DE251" s="342">
        <f>HLOOKUP($H251,'GDP-PI'!$D$8:$CR$11,3,FALSE)</f>
        <v>4.2834637353352578E-2</v>
      </c>
      <c r="DF251" s="336">
        <f>VLOOKUP(H251,'HW Dx Data'!$E:$F,2,FALSE)</f>
        <v>933.02249921662576</v>
      </c>
      <c r="DG251" s="89">
        <f ca="1">VLOOKUP(CC251,'ECI - Input Price'!M$13:N$33,2,FALSE)</f>
        <v>157.25</v>
      </c>
      <c r="DH251" s="89"/>
      <c r="DI251" s="89"/>
      <c r="DJ251" s="135">
        <f t="shared" ca="1" si="476"/>
        <v>2.6419062301765574E-2</v>
      </c>
      <c r="DK251" s="137">
        <f>HLOOKUP(H251,'GDP-PI'!$8:$9,2,FALSE)</f>
        <v>118.49</v>
      </c>
      <c r="DL251" s="356">
        <f t="shared" si="469"/>
        <v>4.194261824609434E-2</v>
      </c>
      <c r="EC251"/>
    </row>
    <row r="252" spans="1:133" s="126" customFormat="1" ht="21" customHeight="1" thickBot="1" x14ac:dyDescent="0.45">
      <c r="A252" s="235"/>
      <c r="B252" s="236"/>
      <c r="C252" s="236"/>
      <c r="D252" s="236"/>
      <c r="E252" s="236"/>
      <c r="F252" s="236"/>
      <c r="G252" s="237" t="s">
        <v>178</v>
      </c>
      <c r="H252" s="238"/>
      <c r="I252" s="239"/>
      <c r="J252" s="240">
        <v>17118.912227970868</v>
      </c>
      <c r="K252" s="240">
        <f t="shared" ca="1" si="470"/>
        <v>105.31474763439475</v>
      </c>
      <c r="L252" s="47"/>
      <c r="M252" s="241">
        <f t="shared" ref="M252" ca="1" si="488">LN(K252/K251)</f>
        <v>-2.850601552272743E-2</v>
      </c>
      <c r="N252" s="241"/>
      <c r="O252" s="241"/>
      <c r="P252" s="242">
        <f t="shared" ca="1" si="478"/>
        <v>-1.3345701303211588E-4</v>
      </c>
      <c r="Q252" s="61"/>
      <c r="R252" s="387"/>
      <c r="S252" s="206">
        <f ca="1">+S251*EXP(T252)</f>
        <v>120.93257831123285</v>
      </c>
      <c r="T252" s="243">
        <f ca="1">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</f>
        <v>5.4162903671828896E-5</v>
      </c>
      <c r="U252" s="243"/>
      <c r="V252" s="239">
        <v>24131.478682802306</v>
      </c>
      <c r="W252" s="240">
        <f t="shared" si="471"/>
        <v>189.63833935404563</v>
      </c>
      <c r="X252" s="244">
        <f t="shared" ref="X252" si="489">LN(W252/W251)</f>
        <v>-6.6682350955346512E-2</v>
      </c>
      <c r="Y252" s="244">
        <f t="shared" si="480"/>
        <v>-3.1218769853558036E-4</v>
      </c>
      <c r="Z252" s="206"/>
      <c r="AA252" s="243"/>
      <c r="AB252" s="243"/>
      <c r="AC252" s="240">
        <f t="shared" si="451"/>
        <v>20700.96137432109</v>
      </c>
      <c r="AD252" s="244">
        <f>LN(AC252/AC251)</f>
        <v>0.76455354772554263</v>
      </c>
      <c r="AE252" s="245">
        <v>1257.3085991408745</v>
      </c>
      <c r="AF252" s="243">
        <v>5.9311273927386998E-2</v>
      </c>
      <c r="AG252" s="242">
        <f t="shared" si="472"/>
        <v>2.7767842374069309E-4</v>
      </c>
      <c r="AH252" s="206"/>
      <c r="AI252" s="243"/>
      <c r="AJ252" s="239">
        <f t="shared" si="444"/>
        <v>61951.352285094268</v>
      </c>
      <c r="AK252" s="243">
        <f t="shared" si="481"/>
        <v>0.20049292785288664</v>
      </c>
      <c r="AL252" s="239"/>
      <c r="AM252" s="243"/>
      <c r="AN252" s="243"/>
      <c r="AO252" s="243"/>
      <c r="AP252" s="245">
        <f t="shared" si="482"/>
        <v>709.75943501282313</v>
      </c>
      <c r="AQ252" s="243"/>
      <c r="AR252" s="207">
        <f t="shared" si="473"/>
        <v>0.27632830594546592</v>
      </c>
      <c r="AS252" s="207">
        <f t="shared" si="474"/>
        <v>0.38952303368216279</v>
      </c>
      <c r="AT252" s="207">
        <f t="shared" si="475"/>
        <v>0.33414866037237123</v>
      </c>
      <c r="AU252" s="207"/>
      <c r="AV252" s="206"/>
      <c r="AW252" s="243"/>
      <c r="AX252" s="248">
        <f>+AJ252/$AL$27</f>
        <v>4.6817140377164446E-3</v>
      </c>
      <c r="AY252" s="249"/>
      <c r="AZ252" s="206"/>
      <c r="BA252" s="243"/>
      <c r="BB252" s="250">
        <v>87285</v>
      </c>
      <c r="BC252" s="412"/>
      <c r="BD252" s="91"/>
      <c r="BE252" s="401">
        <f t="shared" si="396"/>
        <v>0</v>
      </c>
      <c r="BF252" s="402">
        <f t="shared" si="397"/>
        <v>0</v>
      </c>
      <c r="BG252" s="313">
        <f t="shared" si="398"/>
        <v>0</v>
      </c>
      <c r="BH252" s="313"/>
      <c r="BI252" s="313" t="str">
        <f t="shared" si="399"/>
        <v>2022Y</v>
      </c>
      <c r="BJ252" s="239"/>
      <c r="BK252" s="239"/>
      <c r="BL252" s="239"/>
      <c r="BM252" s="239"/>
      <c r="BN252" s="337">
        <v>1</v>
      </c>
      <c r="BO252" s="239"/>
      <c r="BP252" s="239"/>
      <c r="BQ252" s="239"/>
      <c r="BR252" s="239"/>
      <c r="BS252" s="310"/>
      <c r="BT252" s="310"/>
      <c r="BU252" s="311"/>
      <c r="BV252" s="207"/>
      <c r="BW252" s="312"/>
      <c r="BX252" s="312"/>
      <c r="BY252" s="239"/>
      <c r="BZ252" s="239"/>
      <c r="CA252" s="239"/>
      <c r="CB252" s="239"/>
      <c r="CC252" s="245">
        <v>2022</v>
      </c>
      <c r="CD252" s="239"/>
      <c r="CE252" s="239"/>
      <c r="CF252" s="239"/>
      <c r="CG252" s="310"/>
      <c r="CH252" s="239">
        <v>57191</v>
      </c>
      <c r="CI252" s="313">
        <f t="shared" si="462"/>
        <v>57191</v>
      </c>
      <c r="CJ252" s="313">
        <f t="shared" si="454"/>
        <v>55.481611548199965</v>
      </c>
      <c r="CK252" s="443">
        <v>0.69230769230769229</v>
      </c>
      <c r="CL252" s="239">
        <f>+CL228*CK252+CJ229*CK251+CJ230*CK250+CJ231*CK249+CJ232*CK248+CJ233*CK247+CJ234*CK246+CJ235*CK245+CJ236*CK244+CJ237*CK243+CJ238*CK242+CJ239*CK241+CJ240*CK240+CJ241*CK239+CJ242*CK238+CJ243*CK237+CJ244*CK236+CJ245*CK235+CJ246*CK234+CJ247*CK233+CJ248*CK232+CJ249*CK231+CJ250*CK230+CJ251*CK229+CJ252*CK228</f>
        <v>1160.3359495476834</v>
      </c>
      <c r="CM252" s="243">
        <f t="shared" ref="CM252" si="490">LN(CL252/CL251)</f>
        <v>5.5390357606546634E-2</v>
      </c>
      <c r="CN252" s="249">
        <f t="shared" si="456"/>
        <v>-6.4147753086026358E-3</v>
      </c>
      <c r="CO252" s="249">
        <f t="shared" si="465"/>
        <v>1.5776826917693467E-2</v>
      </c>
      <c r="CP252" s="243"/>
      <c r="CQ252" s="249"/>
      <c r="CR252" s="249"/>
      <c r="CS252" s="248">
        <f t="shared" si="466"/>
        <v>1.5125114690840158E-2</v>
      </c>
      <c r="CT252" s="249">
        <f t="shared" si="467"/>
        <v>0.10114668178709289</v>
      </c>
      <c r="CU252" s="314">
        <f t="shared" si="457"/>
        <v>0.90509623210000001</v>
      </c>
      <c r="CV252" s="315"/>
      <c r="CW252" s="315"/>
      <c r="CX252" s="315"/>
      <c r="CY252" s="315"/>
      <c r="CZ252" s="316">
        <f>CZ251</f>
        <v>0.25649666999999998</v>
      </c>
      <c r="DA252" s="360">
        <v>0.37</v>
      </c>
      <c r="DB252" s="318">
        <f t="shared" si="464"/>
        <v>18.856561153511226</v>
      </c>
      <c r="DC252" s="249">
        <f t="shared" si="468"/>
        <v>0.74428647676583726</v>
      </c>
      <c r="DD252" s="316">
        <v>0.04</v>
      </c>
      <c r="DE252" s="319">
        <v>7.0000000000000001E-3</v>
      </c>
      <c r="DF252" s="316">
        <v>1030.81</v>
      </c>
      <c r="DG252" s="89">
        <f ca="1">VLOOKUP(CC252,'ECI - Input Price'!M$13:N$33,2,FALSE)</f>
        <v>162.55000000000001</v>
      </c>
      <c r="DH252" s="89"/>
      <c r="DI252" s="89"/>
      <c r="DJ252" s="249">
        <f t="shared" ca="1" si="476"/>
        <v>3.3148751169364422E-2</v>
      </c>
      <c r="DK252" s="310">
        <v>127.25</v>
      </c>
      <c r="DL252" s="357">
        <f t="shared" si="469"/>
        <v>7.1325086601983473E-2</v>
      </c>
      <c r="EC252"/>
    </row>
    <row r="253" spans="1:133" s="126" customFormat="1" ht="21" customHeight="1" x14ac:dyDescent="0.4">
      <c r="A253" s="251" t="s">
        <v>197</v>
      </c>
      <c r="B253" s="252" t="s">
        <v>197</v>
      </c>
      <c r="C253" s="252">
        <v>4057114</v>
      </c>
      <c r="D253" s="252" t="s">
        <v>187</v>
      </c>
      <c r="E253" s="252" t="s">
        <v>15</v>
      </c>
      <c r="F253" s="252"/>
      <c r="G253" s="252" t="s">
        <v>150</v>
      </c>
      <c r="H253" s="253">
        <v>1998</v>
      </c>
      <c r="I253" s="254"/>
      <c r="J253" s="255"/>
      <c r="K253" s="255"/>
      <c r="L253" s="47"/>
      <c r="M253" s="255"/>
      <c r="N253" s="255"/>
      <c r="O253" s="255"/>
      <c r="P253" s="219"/>
      <c r="Q253" s="218"/>
      <c r="R253" s="385"/>
      <c r="S253" s="257"/>
      <c r="T253" s="258"/>
      <c r="U253" s="258"/>
      <c r="V253" s="259"/>
      <c r="W253" s="259"/>
      <c r="X253" s="259"/>
      <c r="Y253" s="255"/>
      <c r="Z253" s="259"/>
      <c r="AA253" s="259"/>
      <c r="AB253" s="259"/>
      <c r="AC253" s="255"/>
      <c r="AD253" s="254"/>
      <c r="AE253" s="260">
        <v>1435.0476180320077</v>
      </c>
      <c r="AF253" s="256"/>
      <c r="AG253" s="225"/>
      <c r="AH253" s="256"/>
      <c r="AI253" s="256"/>
      <c r="AJ253" s="254">
        <f t="shared" si="444"/>
        <v>0</v>
      </c>
      <c r="AK253" s="254"/>
      <c r="AL253" s="254"/>
      <c r="AM253" s="256"/>
      <c r="AN253" s="256"/>
      <c r="AO253" s="256"/>
      <c r="AP253" s="226">
        <f>+(AP250+AP251+AP252)/3</f>
        <v>655.77021655848125</v>
      </c>
      <c r="AQ253" s="256"/>
      <c r="AR253" s="261"/>
      <c r="AS253" s="261"/>
      <c r="AT253" s="261"/>
      <c r="AU253" s="261"/>
      <c r="AV253" s="261"/>
      <c r="AW253" s="256">
        <f ca="1">AVERAGE(AW262:AW276)</f>
        <v>-2.8599363880163048E-3</v>
      </c>
      <c r="AX253" s="223"/>
      <c r="AY253" s="261"/>
      <c r="AZ253" s="261"/>
      <c r="BA253" s="261"/>
      <c r="BB253" s="262">
        <f>IFERROR(INDEX('Total Customers'!$E$7:$AA$91,MATCH($C253,'Total Customers'!$C$7:$C$91,0),MATCH($G253,'Total Customers'!$E$5:$AA$5,0)),"NA")</f>
        <v>139490</v>
      </c>
      <c r="BC253" s="413">
        <f t="shared" si="400"/>
        <v>0.46881428732740094</v>
      </c>
      <c r="BD253" s="92"/>
      <c r="BE253" s="407" t="str">
        <f t="shared" si="396"/>
        <v>COLONIAL GAS COMPANY</v>
      </c>
      <c r="BF253" s="408">
        <f t="shared" si="397"/>
        <v>4057114</v>
      </c>
      <c r="BG253" s="218" t="str">
        <f t="shared" si="398"/>
        <v>MA</v>
      </c>
      <c r="BH253" s="218"/>
      <c r="BI253" s="218" t="str">
        <f t="shared" si="399"/>
        <v>1998 Y</v>
      </c>
      <c r="BJ253" s="254">
        <f>INDEX('Gross Dx Plant'!$D$7:$AC$91,MATCH($C253,'Gross Dx Plant'!$C$7:$C$91,0),MATCH(Calculation!$G253,'Gross Dx Plant'!$D$5:$AC$5,0))</f>
        <v>330984</v>
      </c>
      <c r="BK253" s="254">
        <f>INDEX('Gross Gen Plant'!$D$7:$AC$91,MATCH($C253,'Gross Gen Plant'!$C$7:$C$91,0),MATCH(Calculation!$G253,'Gross Gen Plant'!$D$5:$AC$5,0))</f>
        <v>19804</v>
      </c>
      <c r="BL253" s="254">
        <f>INDEX('Dist. Plant Gas Additions'!$E$7:$AD$91,MATCH($C253,'Dist. Plant Gas Additions'!$C$7:$C$91,0),MATCH(Calculation!$G253,'Dist. Plant Gas Additions'!$E$5:$AD$5,0))</f>
        <v>22978</v>
      </c>
      <c r="BM253" s="254">
        <f>INDEX('Gen. Plant Additions'!$E$7:$AD$91,MATCH($C253,'Gen. Plant Additions'!$C$7:$C$91,0),MATCH(Calculation!$G253,'Gen. Plant Additions'!$E$5:$AD$5,0))</f>
        <v>3885</v>
      </c>
      <c r="BN253" s="409">
        <f>+(BY253/(BY253+BZ253))</f>
        <v>0.94354424894808264</v>
      </c>
      <c r="BO253" s="218">
        <f>+BN253*BM253</f>
        <v>3665.669407163301</v>
      </c>
      <c r="BP253" s="218">
        <f>+BO253-BM253</f>
        <v>-219.330592836699</v>
      </c>
      <c r="BQ253" s="254"/>
      <c r="BR253" s="254"/>
      <c r="BS253" s="254"/>
      <c r="BT253" s="254"/>
      <c r="BU253" s="254"/>
      <c r="BV253" s="254"/>
      <c r="BW253" s="254"/>
      <c r="BX253" s="254"/>
      <c r="BY253" s="254">
        <f>INDEX('Gross Dx Plant'!$D$7:$AC$91,MATCH($C253,'Gross Dx Plant'!$C$7:$C$91,0),MATCH(Calculation!$G253,'Gross Dx Plant'!$D$5:$AC$5,0))</f>
        <v>330984</v>
      </c>
      <c r="BZ253" s="254">
        <f>INDEX('Gross Gen Plant'!$D$7:$AC$91,MATCH($C253,'Gross Gen Plant'!$C$7:$C$91,0),MATCH(Calculation!$G253,'Gross Gen Plant'!$D$5:$AC$5,0))</f>
        <v>19804</v>
      </c>
      <c r="CA253" s="254">
        <f t="shared" si="441"/>
        <v>350788</v>
      </c>
      <c r="CB253" s="254"/>
      <c r="CC253" s="260">
        <v>1998</v>
      </c>
      <c r="CD253" s="254">
        <v>389086</v>
      </c>
      <c r="CE253" s="254">
        <v>99609</v>
      </c>
      <c r="CF253" s="254">
        <f>+CD253-CE253</f>
        <v>289477</v>
      </c>
      <c r="CG253" s="254">
        <f>CF253/$BX$3</f>
        <v>1435.0476180320077</v>
      </c>
      <c r="CH253" s="323"/>
      <c r="CI253" s="344"/>
      <c r="CJ253" s="344"/>
      <c r="CK253" s="443">
        <v>1</v>
      </c>
      <c r="CL253" s="254">
        <f>+CG253</f>
        <v>1435.0476180320077</v>
      </c>
      <c r="CM253" s="256"/>
      <c r="CN253" s="325"/>
      <c r="CO253" s="325"/>
      <c r="CP253" s="256" t="e">
        <f>VLOOKUP($H253,RoR!$E:$F,2,FALSE)</f>
        <v>#N/A</v>
      </c>
      <c r="CQ253" s="325">
        <v>1.1028127770464469E-2</v>
      </c>
      <c r="CR253" s="325"/>
      <c r="CS253" s="325"/>
      <c r="CT253" s="325"/>
      <c r="CU253" s="327"/>
      <c r="CV253" s="331" t="e">
        <f>2/(DD253*39)</f>
        <v>#N/A</v>
      </c>
      <c r="CW253" s="328" t="e">
        <f>+(DD253*40-(1+DD253))/(DD253*40)</f>
        <v>#N/A</v>
      </c>
      <c r="CX253" s="328" t="e">
        <f>+(1-(1/(1+DD253)^40))</f>
        <v>#N/A</v>
      </c>
      <c r="CY253" s="328" t="e">
        <f>+CX253*CW253*CV253</f>
        <v>#N/A</v>
      </c>
      <c r="CZ253" s="329">
        <f>INDEX('State Tax Lookup'!$D$7:$Z$91,MATCH(Calculation!$C253,'State Tax Lookup'!$B$7:$B$91,0),MATCH($H253,'State Tax Lookup'!$D$6:$Z$6,0))</f>
        <v>0.40700500000000001</v>
      </c>
      <c r="DA253" s="351">
        <v>0.37</v>
      </c>
      <c r="DB253" s="344"/>
      <c r="DC253" s="326"/>
      <c r="DD253" s="351" t="e">
        <f>VLOOKUP($H253,RoR!$E:$F,2,FALSE)</f>
        <v>#N/A</v>
      </c>
      <c r="DE253" s="354">
        <f>HLOOKUP($H253,'GDP-PI'!$D$8:$CQ$11,3,FALSE)</f>
        <v>1.1028127770464469E-2</v>
      </c>
      <c r="DF253" s="351">
        <f>VLOOKUP(H253,'HW Dx Data'!$E:$F,2,FALSE)</f>
        <v>329.24564746449528</v>
      </c>
      <c r="DG253" s="351"/>
      <c r="DH253" s="351"/>
      <c r="DI253" s="351"/>
      <c r="DJ253" s="326"/>
      <c r="DK253" s="344">
        <f>HLOOKUP(H253,'GDP-PI'!$8:$9,2,FALSE)</f>
        <v>75.266999999999996</v>
      </c>
      <c r="DL253" s="292"/>
      <c r="EC253"/>
    </row>
    <row r="254" spans="1:133" s="126" customFormat="1" ht="21" customHeight="1" x14ac:dyDescent="0.4">
      <c r="A254" s="233" t="s">
        <v>197</v>
      </c>
      <c r="B254" s="127" t="s">
        <v>197</v>
      </c>
      <c r="C254" s="127">
        <v>4057114</v>
      </c>
      <c r="D254" s="127" t="s">
        <v>187</v>
      </c>
      <c r="E254" s="127" t="s">
        <v>15</v>
      </c>
      <c r="F254" s="127"/>
      <c r="G254" s="127" t="s">
        <v>155</v>
      </c>
      <c r="H254" s="128">
        <v>1999</v>
      </c>
      <c r="I254" s="129"/>
      <c r="J254" s="125"/>
      <c r="K254" s="129"/>
      <c r="L254" s="47"/>
      <c r="M254" s="129"/>
      <c r="N254" s="129"/>
      <c r="O254" s="129"/>
      <c r="P254" s="47"/>
      <c r="Q254" s="47"/>
      <c r="R254" s="386"/>
      <c r="S254" s="119"/>
      <c r="T254" s="47"/>
      <c r="U254" s="46"/>
      <c r="V254" s="135"/>
      <c r="W254" s="135"/>
      <c r="X254" s="135"/>
      <c r="Y254" s="143"/>
      <c r="Z254" s="135"/>
      <c r="AA254" s="135"/>
      <c r="AB254" s="135"/>
      <c r="AC254" s="125">
        <f t="shared" ref="AC254:AC275" si="491">+CL253*DB254</f>
        <v>0</v>
      </c>
      <c r="AD254" s="129"/>
      <c r="AE254" s="133">
        <v>1500.3154454745925</v>
      </c>
      <c r="AF254" s="134">
        <v>4.4477351023317908E-2</v>
      </c>
      <c r="AG254" s="61"/>
      <c r="AH254" s="134"/>
      <c r="AI254" s="134"/>
      <c r="AJ254" s="129">
        <f t="shared" si="444"/>
        <v>0</v>
      </c>
      <c r="AK254" s="134"/>
      <c r="AL254" s="129"/>
      <c r="AM254" s="134"/>
      <c r="AN254" s="134"/>
      <c r="AO254" s="134"/>
      <c r="AP254" s="133"/>
      <c r="AQ254" s="134"/>
      <c r="AR254" s="93"/>
      <c r="AS254" s="93"/>
      <c r="AT254" s="93"/>
      <c r="AU254" s="93"/>
      <c r="AV254" s="93"/>
      <c r="AW254" s="134"/>
      <c r="AX254" s="62"/>
      <c r="AY254" s="93"/>
      <c r="AZ254" s="93"/>
      <c r="BA254" s="93"/>
      <c r="BB254" s="234">
        <f>IFERROR(INDEX('Total Customers'!$E$7:$AA$91,MATCH($C254,'Total Customers'!$C$7:$C$91,0),MATCH($G254,'Total Customers'!$E$5:$AA$5,0)),"NA")</f>
        <v>157101</v>
      </c>
      <c r="BC254" s="411">
        <f t="shared" si="400"/>
        <v>0.11889599650954694</v>
      </c>
      <c r="BD254" s="92"/>
      <c r="BE254" s="281" t="str">
        <f t="shared" si="396"/>
        <v>COLONIAL GAS COMPANY</v>
      </c>
      <c r="BF254" s="290">
        <f t="shared" si="397"/>
        <v>4057114</v>
      </c>
      <c r="BG254" s="46" t="str">
        <f t="shared" si="398"/>
        <v>MA</v>
      </c>
      <c r="BH254" s="46"/>
      <c r="BI254" s="46" t="str">
        <f t="shared" si="399"/>
        <v>1999 Y</v>
      </c>
      <c r="BJ254" s="129"/>
      <c r="BK254" s="129"/>
      <c r="BL254" s="129">
        <f>INDEX('Dist. Plant Gas Additions'!$E$7:$AD$91,MATCH($C254,'Dist. Plant Gas Additions'!$C$7:$C$91,0),MATCH(Calculation!$G254,'Dist. Plant Gas Additions'!$E$5:$AD$5,0))</f>
        <v>24088</v>
      </c>
      <c r="BM254" s="129">
        <f>INDEX('Gen. Plant Additions'!$E$7:$AD$91,MATCH($C254,'Gen. Plant Additions'!$C$7:$C$91,0),MATCH(Calculation!$G254,'Gen. Plant Additions'!$E$5:$AD$5,0))</f>
        <v>192</v>
      </c>
      <c r="BN254" s="393">
        <f t="shared" ref="BN254:BN275" si="492">+(BY254/(BY254+BZ254))</f>
        <v>0.96115859268768644</v>
      </c>
      <c r="BO254" s="46">
        <f t="shared" ref="BO254:BO272" si="493">+BN254*BM254</f>
        <v>184.54244979603578</v>
      </c>
      <c r="BP254" s="46">
        <f t="shared" ref="BP254:BP272" si="494">+BO254-BM254</f>
        <v>-7.4575502039642174</v>
      </c>
      <c r="BQ254" s="129"/>
      <c r="BR254" s="129"/>
      <c r="BS254" s="129"/>
      <c r="BT254" s="129"/>
      <c r="BU254" s="129"/>
      <c r="BV254" s="129"/>
      <c r="BW254" s="129"/>
      <c r="BX254" s="129"/>
      <c r="BY254" s="129">
        <f>INDEX('Gross Dx Plant'!$D$7:$AC$91,MATCH($C254,'Gross Dx Plant'!$C$7:$C$91,0),MATCH(Calculation!$G254,'Gross Dx Plant'!$D$5:$AC$5,0))</f>
        <v>354136</v>
      </c>
      <c r="BZ254" s="129">
        <f>INDEX('Gross Gen Plant'!$D$7:$AC$91,MATCH($C254,'Gross Gen Plant'!$C$7:$C$91,0),MATCH(Calculation!$G254,'Gross Gen Plant'!$D$5:$AC$5,0))</f>
        <v>14311</v>
      </c>
      <c r="CA254" s="129">
        <f t="shared" si="441"/>
        <v>368447</v>
      </c>
      <c r="CB254" s="129"/>
      <c r="CC254" s="133">
        <v>1999</v>
      </c>
      <c r="CD254" s="129"/>
      <c r="CE254" s="129"/>
      <c r="CF254" s="129"/>
      <c r="CG254" s="137"/>
      <c r="CH254" s="129">
        <f t="shared" ref="CH254:CH275" si="495">+BM254+BL254</f>
        <v>24280</v>
      </c>
      <c r="CI254" s="46">
        <f>+CH254+BP254</f>
        <v>24272.542449796038</v>
      </c>
      <c r="CJ254" s="46">
        <f t="shared" ref="CJ254:CJ277" si="496">+CI254/$DF254</f>
        <v>72.385128062239517</v>
      </c>
      <c r="CK254" s="443">
        <v>0.99009900990099009</v>
      </c>
      <c r="CL254" s="46">
        <f>+CL253*CK254+CJ254</f>
        <v>1493.2243538365046</v>
      </c>
      <c r="CM254" s="134">
        <f t="shared" ref="CM254:CM275" si="497">LN(CL254/CL253)</f>
        <v>3.9739745795584668E-2</v>
      </c>
      <c r="CN254" s="135">
        <f t="shared" ref="CN254:CN275" si="498">+(CL253-CL254+CJ254)/CL253</f>
        <v>9.9009900990098387E-3</v>
      </c>
      <c r="CO254" s="135"/>
      <c r="CP254" s="134">
        <f>VLOOKUP($H254,RoR!$E:$F,2,FALSE)</f>
        <v>7.0416666666666669E-2</v>
      </c>
      <c r="CQ254" s="135">
        <v>1.4335631817396832E-2</v>
      </c>
      <c r="CR254" s="135">
        <f>+CP254-CQ254</f>
        <v>5.6081034849269837E-2</v>
      </c>
      <c r="CS254" s="135"/>
      <c r="CT254" s="135"/>
      <c r="CU254" s="139">
        <f t="shared" ref="CU254:CU277" si="499">1-CZ254*DA254</f>
        <v>0.84940815000000003</v>
      </c>
      <c r="CV254" s="335">
        <f t="shared" ref="CV254:CV276" si="500">2/(DD254*39)</f>
        <v>0.72826581702321336</v>
      </c>
      <c r="CW254" s="335">
        <f t="shared" ref="CW254:CW276" si="501">+(DD254*40-(1+DD254))/(DD254*40)</f>
        <v>0.61997041420118348</v>
      </c>
      <c r="CX254" s="335">
        <f t="shared" ref="CX254:CX276" si="502">+(1-(1/(1+DD254)^40))</f>
        <v>0.93425155319585029</v>
      </c>
      <c r="CY254" s="335">
        <f t="shared" ref="CY254:CY276" si="503">+CX254*CW254*CV254</f>
        <v>0.42181762214141483</v>
      </c>
      <c r="CZ254" s="336">
        <f>INDEX('State Tax Lookup'!$D$7:$Z$91,MATCH(Calculation!$C254,'State Tax Lookup'!$B$7:$B$91,0),MATCH($H254,'State Tax Lookup'!$D$6:$Z$6,0))</f>
        <v>0.40700500000000001</v>
      </c>
      <c r="DA254" s="303">
        <v>0.37</v>
      </c>
      <c r="DB254" s="57"/>
      <c r="DC254" s="56"/>
      <c r="DD254" s="303">
        <f>VLOOKUP($H254,RoR!$E:$F,2,FALSE)</f>
        <v>7.0416666666666669E-2</v>
      </c>
      <c r="DE254" s="304">
        <f>HLOOKUP($H254,'GDP-PI'!$D$8:$CQ$11,3,FALSE)</f>
        <v>1.4335631817396832E-2</v>
      </c>
      <c r="DF254" s="303">
        <f>VLOOKUP(H254,'HW Dx Data'!$E:$F,2,FALSE)</f>
        <v>335.32499146683239</v>
      </c>
      <c r="DG254" s="89"/>
      <c r="DH254" s="89"/>
      <c r="DI254" s="89"/>
      <c r="DJ254" s="56"/>
      <c r="DK254" s="53">
        <f>HLOOKUP(H254,'GDP-PI'!$8:$9,2,FALSE)</f>
        <v>76.346000000000004</v>
      </c>
      <c r="DL254" s="298"/>
      <c r="EC254"/>
    </row>
    <row r="255" spans="1:133" s="126" customFormat="1" ht="21" customHeight="1" x14ac:dyDescent="0.4">
      <c r="A255" s="233" t="s">
        <v>197</v>
      </c>
      <c r="B255" s="127" t="s">
        <v>197</v>
      </c>
      <c r="C255" s="127">
        <v>4057114</v>
      </c>
      <c r="D255" s="127" t="s">
        <v>187</v>
      </c>
      <c r="E255" s="127" t="s">
        <v>15</v>
      </c>
      <c r="F255" s="127"/>
      <c r="G255" s="127" t="s">
        <v>156</v>
      </c>
      <c r="H255" s="128">
        <v>2000</v>
      </c>
      <c r="I255" s="129"/>
      <c r="J255" s="125"/>
      <c r="K255" s="125"/>
      <c r="L255" s="47"/>
      <c r="M255" s="125"/>
      <c r="N255" s="125"/>
      <c r="O255" s="125"/>
      <c r="P255" s="47"/>
      <c r="Q255" s="47"/>
      <c r="R255" s="386"/>
      <c r="S255" s="119"/>
      <c r="T255" s="47"/>
      <c r="U255" s="47"/>
      <c r="V255" s="125"/>
      <c r="W255" s="125"/>
      <c r="X255" s="125"/>
      <c r="Y255" s="125"/>
      <c r="Z255" s="125"/>
      <c r="AA255" s="125"/>
      <c r="AB255" s="125"/>
      <c r="AC255" s="125">
        <f t="shared" si="491"/>
        <v>0</v>
      </c>
      <c r="AD255" s="129"/>
      <c r="AE255" s="133">
        <v>1529.4153619772762</v>
      </c>
      <c r="AF255" s="134">
        <v>1.9210163042649914E-2</v>
      </c>
      <c r="AG255" s="61"/>
      <c r="AH255" s="134"/>
      <c r="AI255" s="134"/>
      <c r="AJ255" s="129">
        <f t="shared" si="444"/>
        <v>0</v>
      </c>
      <c r="AK255" s="134"/>
      <c r="AL255" s="129"/>
      <c r="AM255" s="129"/>
      <c r="AN255" s="129"/>
      <c r="AO255" s="129"/>
      <c r="AP255" s="133"/>
      <c r="AQ255" s="134"/>
      <c r="AR255" s="93"/>
      <c r="AS255" s="93"/>
      <c r="AT255" s="93"/>
      <c r="AU255" s="93"/>
      <c r="AV255" s="93"/>
      <c r="AW255" s="134"/>
      <c r="AX255" s="62"/>
      <c r="AY255" s="93"/>
      <c r="AZ255" s="93"/>
      <c r="BA255" s="93"/>
      <c r="BB255" s="234">
        <f>IFERROR(INDEX('Total Customers'!$E$7:$AA$91,MATCH($C255,'Total Customers'!$C$7:$C$91,0),MATCH($G255,'Total Customers'!$E$5:$AA$5,0)),"NA")</f>
        <v>160712</v>
      </c>
      <c r="BC255" s="411">
        <f t="shared" si="400"/>
        <v>2.2725032646157273E-2</v>
      </c>
      <c r="BD255" s="92"/>
      <c r="BE255" s="281" t="str">
        <f t="shared" si="396"/>
        <v>COLONIAL GAS COMPANY</v>
      </c>
      <c r="BF255" s="290">
        <f t="shared" si="397"/>
        <v>4057114</v>
      </c>
      <c r="BG255" s="46" t="str">
        <f t="shared" si="398"/>
        <v>MA</v>
      </c>
      <c r="BH255" s="46"/>
      <c r="BI255" s="46" t="str">
        <f t="shared" si="399"/>
        <v>2000 Y</v>
      </c>
      <c r="BJ255" s="129"/>
      <c r="BK255" s="129"/>
      <c r="BL255" s="129">
        <f>INDEX('Dist. Plant Gas Additions'!$E$7:$AD$91,MATCH($C255,'Dist. Plant Gas Additions'!$C$7:$C$91,0),MATCH(Calculation!$G255,'Dist. Plant Gas Additions'!$E$5:$AD$5,0))</f>
        <v>12467</v>
      </c>
      <c r="BM255" s="129">
        <f>INDEX('Gen. Plant Additions'!$E$7:$AD$91,MATCH($C255,'Gen. Plant Additions'!$C$7:$C$91,0),MATCH(Calculation!$G255,'Gen. Plant Additions'!$E$5:$AD$5,0))</f>
        <v>291</v>
      </c>
      <c r="BN255" s="393">
        <f t="shared" si="492"/>
        <v>0.96080725986327364</v>
      </c>
      <c r="BO255" s="46">
        <f t="shared" si="493"/>
        <v>279.59491262021265</v>
      </c>
      <c r="BP255" s="46">
        <f t="shared" si="494"/>
        <v>-11.405087379787346</v>
      </c>
      <c r="BQ255" s="129"/>
      <c r="BR255" s="129"/>
      <c r="BS255" s="129"/>
      <c r="BT255" s="129"/>
      <c r="BU255" s="129"/>
      <c r="BV255" s="129"/>
      <c r="BW255" s="129"/>
      <c r="BX255" s="129"/>
      <c r="BY255" s="129">
        <f>INDEX('Gross Dx Plant'!$D$7:$AC$91,MATCH($C255,'Gross Dx Plant'!$C$7:$C$91,0),MATCH(Calculation!$G255,'Gross Dx Plant'!$D$5:$AC$5,0))</f>
        <v>357967</v>
      </c>
      <c r="BZ255" s="129">
        <f>INDEX('Gross Gen Plant'!$D$7:$AC$91,MATCH($C255,'Gross Gen Plant'!$C$7:$C$91,0),MATCH(Calculation!$G255,'Gross Gen Plant'!$D$5:$AC$5,0))</f>
        <v>14602</v>
      </c>
      <c r="CA255" s="129">
        <f t="shared" si="441"/>
        <v>372569</v>
      </c>
      <c r="CB255" s="129"/>
      <c r="CC255" s="133">
        <v>2000</v>
      </c>
      <c r="CD255" s="129"/>
      <c r="CE255" s="129"/>
      <c r="CF255" s="129"/>
      <c r="CG255" s="137"/>
      <c r="CH255" s="129">
        <f t="shared" si="495"/>
        <v>12758</v>
      </c>
      <c r="CI255" s="46">
        <f t="shared" ref="CI255:CI277" si="504">+CH255+BP255</f>
        <v>12746.594912620212</v>
      </c>
      <c r="CJ255" s="46">
        <f t="shared" si="496"/>
        <v>36.783130348042718</v>
      </c>
      <c r="CK255" s="443">
        <v>0.98</v>
      </c>
      <c r="CL255" s="46">
        <f>+CL253*CK255+CJ254*CK254+CJ255</f>
        <v>1514.7982396453899</v>
      </c>
      <c r="CM255" s="134">
        <f t="shared" si="497"/>
        <v>1.4344477186994831E-2</v>
      </c>
      <c r="CN255" s="135">
        <f t="shared" si="498"/>
        <v>1.0185505279284189E-2</v>
      </c>
      <c r="CO255" s="135"/>
      <c r="CP255" s="134">
        <f>VLOOKUP($H255,RoR!$E:$F,2,FALSE)</f>
        <v>7.6225000000000001E-2</v>
      </c>
      <c r="CQ255" s="135">
        <v>2.2568307442433211E-2</v>
      </c>
      <c r="CR255" s="135">
        <f t="shared" ref="CR255:CR275" si="505">+CP255-CQ255</f>
        <v>5.365669255756679E-2</v>
      </c>
      <c r="CS255" s="135"/>
      <c r="CT255" s="135"/>
      <c r="CU255" s="139">
        <f t="shared" si="499"/>
        <v>0.84940815000000003</v>
      </c>
      <c r="CV255" s="335">
        <f t="shared" si="500"/>
        <v>0.67277207323124022</v>
      </c>
      <c r="CW255" s="335">
        <f t="shared" si="501"/>
        <v>0.6470236142997704</v>
      </c>
      <c r="CX255" s="335">
        <f t="shared" si="502"/>
        <v>0.94704866037543145</v>
      </c>
      <c r="CY255" s="335">
        <f t="shared" si="503"/>
        <v>0.41224973107878493</v>
      </c>
      <c r="CZ255" s="336">
        <f>INDEX('State Tax Lookup'!$D$7:$Z$91,MATCH(Calculation!$C255,'State Tax Lookup'!$B$7:$B$91,0),MATCH($H255,'State Tax Lookup'!$D$6:$Z$6,0))</f>
        <v>0.40700500000000001</v>
      </c>
      <c r="DA255" s="303">
        <v>0.37</v>
      </c>
      <c r="DB255" s="57"/>
      <c r="DC255" s="56"/>
      <c r="DD255" s="303">
        <f>VLOOKUP($H255,RoR!$E:$F,2,FALSE)</f>
        <v>7.6225000000000001E-2</v>
      </c>
      <c r="DE255" s="304">
        <f>HLOOKUP($H255,'GDP-PI'!$D$8:$CQ$11,3,FALSE)</f>
        <v>2.2568307442433211E-2</v>
      </c>
      <c r="DF255" s="303">
        <f>VLOOKUP(H255,'HW Dx Data'!$E:$F,2,FALSE)</f>
        <v>346.53371782150339</v>
      </c>
      <c r="DG255" s="89"/>
      <c r="DH255" s="89"/>
      <c r="DI255" s="89"/>
      <c r="DJ255" s="56"/>
      <c r="DK255" s="53">
        <f>HLOOKUP(H255,'GDP-PI'!$8:$9,2,FALSE)</f>
        <v>78.069000000000003</v>
      </c>
      <c r="DL255" s="298"/>
      <c r="EC255"/>
    </row>
    <row r="256" spans="1:133" s="126" customFormat="1" ht="21" customHeight="1" x14ac:dyDescent="0.4">
      <c r="A256" s="233" t="s">
        <v>197</v>
      </c>
      <c r="B256" s="127" t="s">
        <v>197</v>
      </c>
      <c r="C256" s="127">
        <v>4057114</v>
      </c>
      <c r="D256" s="127" t="s">
        <v>187</v>
      </c>
      <c r="E256" s="127" t="s">
        <v>15</v>
      </c>
      <c r="F256" s="127"/>
      <c r="G256" s="127" t="s">
        <v>157</v>
      </c>
      <c r="H256" s="128">
        <v>2001</v>
      </c>
      <c r="I256" s="129"/>
      <c r="J256" s="125"/>
      <c r="K256" s="125"/>
      <c r="L256" s="47"/>
      <c r="M256" s="125"/>
      <c r="N256" s="125"/>
      <c r="O256" s="125"/>
      <c r="P256" s="47"/>
      <c r="Q256" s="47"/>
      <c r="R256" s="386"/>
      <c r="S256" s="119"/>
      <c r="T256" s="47"/>
      <c r="U256" s="47"/>
      <c r="V256" s="125"/>
      <c r="W256" s="125"/>
      <c r="X256" s="125"/>
      <c r="Y256" s="125"/>
      <c r="Z256" s="125"/>
      <c r="AA256" s="125"/>
      <c r="AB256" s="125"/>
      <c r="AC256" s="125">
        <f t="shared" si="491"/>
        <v>15893.689222828809</v>
      </c>
      <c r="AD256" s="129"/>
      <c r="AE256" s="133">
        <v>1587.4265423147135</v>
      </c>
      <c r="AF256" s="134">
        <v>3.7228632131875994E-2</v>
      </c>
      <c r="AG256" s="61"/>
      <c r="AH256" s="134"/>
      <c r="AI256" s="134"/>
      <c r="AJ256" s="129">
        <f t="shared" si="444"/>
        <v>15893.689222828809</v>
      </c>
      <c r="AK256" s="134"/>
      <c r="AL256" s="129"/>
      <c r="AM256" s="129"/>
      <c r="AN256" s="129"/>
      <c r="AO256" s="129"/>
      <c r="AP256" s="133"/>
      <c r="AQ256" s="134"/>
      <c r="AR256" s="93"/>
      <c r="AS256" s="93"/>
      <c r="AT256" s="93"/>
      <c r="AU256" s="93"/>
      <c r="AV256" s="93"/>
      <c r="AW256" s="134"/>
      <c r="AX256" s="62"/>
      <c r="AY256" s="93"/>
      <c r="AZ256" s="93"/>
      <c r="BA256" s="93"/>
      <c r="BB256" s="234">
        <f>IFERROR(INDEX('Total Customers'!$E$7:$AA$91,MATCH($C256,'Total Customers'!$C$7:$C$91,0),MATCH($G256,'Total Customers'!$E$5:$AA$5,0)),"NA")</f>
        <v>165342</v>
      </c>
      <c r="BC256" s="411">
        <f t="shared" si="400"/>
        <v>2.8402112777961872E-2</v>
      </c>
      <c r="BD256" s="92"/>
      <c r="BE256" s="281" t="str">
        <f t="shared" si="396"/>
        <v>COLONIAL GAS COMPANY</v>
      </c>
      <c r="BF256" s="290">
        <f t="shared" si="397"/>
        <v>4057114</v>
      </c>
      <c r="BG256" s="46" t="str">
        <f t="shared" si="398"/>
        <v>MA</v>
      </c>
      <c r="BH256" s="46"/>
      <c r="BI256" s="46" t="str">
        <f t="shared" si="399"/>
        <v>2001 Y</v>
      </c>
      <c r="BJ256" s="129"/>
      <c r="BK256" s="129"/>
      <c r="BL256" s="129">
        <f>INDEX('Dist. Plant Gas Additions'!$E$7:$AD$91,MATCH($C256,'Dist. Plant Gas Additions'!$C$7:$C$91,0),MATCH(Calculation!$G256,'Dist. Plant Gas Additions'!$E$5:$AD$5,0))</f>
        <v>22350</v>
      </c>
      <c r="BM256" s="129">
        <f>INDEX('Gen. Plant Additions'!$E$7:$AD$91,MATCH($C256,'Gen. Plant Additions'!$C$7:$C$91,0),MATCH(Calculation!$G256,'Gen. Plant Additions'!$E$5:$AD$5,0))</f>
        <v>965</v>
      </c>
      <c r="BN256" s="393">
        <f t="shared" si="492"/>
        <v>0.96063163378593341</v>
      </c>
      <c r="BO256" s="46">
        <f t="shared" si="493"/>
        <v>927.0095266034258</v>
      </c>
      <c r="BP256" s="46">
        <f t="shared" si="494"/>
        <v>-37.990473396574203</v>
      </c>
      <c r="BQ256" s="129"/>
      <c r="BR256" s="129"/>
      <c r="BS256" s="129"/>
      <c r="BT256" s="129"/>
      <c r="BU256" s="129"/>
      <c r="BV256" s="129"/>
      <c r="BW256" s="129"/>
      <c r="BX256" s="129"/>
      <c r="BY256" s="129">
        <f>INDEX('Gross Dx Plant'!$D$7:$AC$91,MATCH($C256,'Gross Dx Plant'!$C$7:$C$91,0),MATCH(Calculation!$G256,'Gross Dx Plant'!$D$5:$AC$5,0))</f>
        <v>379852</v>
      </c>
      <c r="BZ256" s="129">
        <f>INDEX('Gross Gen Plant'!$D$7:$AC$91,MATCH($C256,'Gross Gen Plant'!$C$7:$C$91,0),MATCH(Calculation!$G256,'Gross Gen Plant'!$D$5:$AC$5,0))</f>
        <v>15567</v>
      </c>
      <c r="CA256" s="129">
        <f t="shared" si="441"/>
        <v>395419</v>
      </c>
      <c r="CB256" s="129"/>
      <c r="CC256" s="133">
        <v>2001</v>
      </c>
      <c r="CD256" s="129"/>
      <c r="CE256" s="129"/>
      <c r="CF256" s="129"/>
      <c r="CG256" s="137"/>
      <c r="CH256" s="129">
        <f t="shared" si="495"/>
        <v>23315</v>
      </c>
      <c r="CI256" s="46">
        <f t="shared" si="504"/>
        <v>23277.009526603426</v>
      </c>
      <c r="CJ256" s="46">
        <f t="shared" si="496"/>
        <v>65.85707189310483</v>
      </c>
      <c r="CK256" s="443">
        <v>0.96969696969696972</v>
      </c>
      <c r="CL256" s="46">
        <f>+CL253*CK256+CJ254*CK255+CJ255*CK253+CJ256</f>
        <v>1565.1389543186347</v>
      </c>
      <c r="CM256" s="134">
        <f t="shared" si="497"/>
        <v>3.2692353811459345E-2</v>
      </c>
      <c r="CN256" s="135">
        <f t="shared" si="498"/>
        <v>1.0243184084695279E-2</v>
      </c>
      <c r="CO256" s="135">
        <f>+(CN256+CN255+CN254)/3</f>
        <v>1.0109893154329768E-2</v>
      </c>
      <c r="CP256" s="134">
        <f>VLOOKUP($H256,RoR!$E:$F,2,FALSE)</f>
        <v>7.0824999999999999E-2</v>
      </c>
      <c r="CQ256" s="135">
        <v>2.2454495382290052E-2</v>
      </c>
      <c r="CR256" s="135">
        <f t="shared" si="505"/>
        <v>4.8370504617709947E-2</v>
      </c>
      <c r="CS256" s="135">
        <f>+$CR$2-CO256</f>
        <v>2.0792048454203856E-2</v>
      </c>
      <c r="CT256" s="135">
        <f>+((DF254/DF253-1)+(DF255/DF254-1)+(DF256/DF255-1))/3</f>
        <v>2.3947275901631187E-2</v>
      </c>
      <c r="CU256" s="139">
        <f t="shared" si="499"/>
        <v>0.84940815000000003</v>
      </c>
      <c r="CV256" s="335">
        <f t="shared" si="500"/>
        <v>0.72406708481540816</v>
      </c>
      <c r="CW256" s="335">
        <f t="shared" si="501"/>
        <v>0.62201729615248857</v>
      </c>
      <c r="CX256" s="335">
        <f t="shared" si="502"/>
        <v>0.9352469954311422</v>
      </c>
      <c r="CY256" s="335">
        <f t="shared" si="503"/>
        <v>0.42121864641655071</v>
      </c>
      <c r="CZ256" s="336">
        <f>INDEX('State Tax Lookup'!$D$7:$Z$91,MATCH(Calculation!$C256,'State Tax Lookup'!$B$7:$B$91,0),MATCH($H256,'State Tax Lookup'!$D$6:$Z$6,0))</f>
        <v>0.40700500000000001</v>
      </c>
      <c r="DA256" s="303">
        <v>0.37</v>
      </c>
      <c r="DB256" s="57">
        <f t="shared" ref="DB256:DB277" si="506">+(DF256*CS256-CT256)*CU256/(1-CZ256)</f>
        <v>10.492281286615093</v>
      </c>
      <c r="DC256" s="56"/>
      <c r="DD256" s="303">
        <f>VLOOKUP($H256,RoR!$E:$F,2,FALSE)</f>
        <v>7.0824999999999999E-2</v>
      </c>
      <c r="DE256" s="304">
        <f>HLOOKUP($H256,'GDP-PI'!$D$8:$CQ$11,3,FALSE)</f>
        <v>2.2454495382290052E-2</v>
      </c>
      <c r="DF256" s="303">
        <f>VLOOKUP(H256,'HW Dx Data'!$E:$F,2,FALSE)</f>
        <v>353.44738017483138</v>
      </c>
      <c r="DG256" s="89"/>
      <c r="DH256" s="89"/>
      <c r="DI256" s="89"/>
      <c r="DJ256" s="56"/>
      <c r="DK256" s="53">
        <f>HLOOKUP(H256,'GDP-PI'!$8:$9,2,FALSE)</f>
        <v>79.822000000000003</v>
      </c>
      <c r="DL256" s="298"/>
      <c r="EC256"/>
    </row>
    <row r="257" spans="1:133" s="126" customFormat="1" ht="21" customHeight="1" x14ac:dyDescent="0.4">
      <c r="A257" s="233" t="s">
        <v>197</v>
      </c>
      <c r="B257" s="127" t="s">
        <v>197</v>
      </c>
      <c r="C257" s="127">
        <v>4057114</v>
      </c>
      <c r="D257" s="127" t="s">
        <v>187</v>
      </c>
      <c r="E257" s="127" t="s">
        <v>15</v>
      </c>
      <c r="F257" s="127"/>
      <c r="G257" s="127" t="s">
        <v>158</v>
      </c>
      <c r="H257" s="128">
        <v>2002</v>
      </c>
      <c r="I257" s="129"/>
      <c r="J257" s="125"/>
      <c r="K257" s="125"/>
      <c r="L257" s="47"/>
      <c r="M257" s="125"/>
      <c r="N257" s="125"/>
      <c r="O257" s="125"/>
      <c r="P257" s="47"/>
      <c r="Q257" s="47"/>
      <c r="R257" s="386"/>
      <c r="S257" s="119"/>
      <c r="T257" s="47"/>
      <c r="U257" s="47"/>
      <c r="V257" s="125"/>
      <c r="W257" s="125"/>
      <c r="X257" s="125"/>
      <c r="Y257" s="125"/>
      <c r="Z257" s="125"/>
      <c r="AA257" s="125"/>
      <c r="AB257" s="125"/>
      <c r="AC257" s="125">
        <f t="shared" si="491"/>
        <v>16489.78637193043</v>
      </c>
      <c r="AD257" s="129"/>
      <c r="AE257" s="133">
        <v>1636.4273442586139</v>
      </c>
      <c r="AF257" s="134">
        <v>3.0401238785985205E-2</v>
      </c>
      <c r="AG257" s="61"/>
      <c r="AH257" s="134"/>
      <c r="AI257" s="134"/>
      <c r="AJ257" s="129">
        <f t="shared" si="444"/>
        <v>16489.78637193043</v>
      </c>
      <c r="AK257" s="134"/>
      <c r="AL257" s="129"/>
      <c r="AM257" s="129"/>
      <c r="AN257" s="129"/>
      <c r="AO257" s="129"/>
      <c r="AP257" s="133"/>
      <c r="AQ257" s="134"/>
      <c r="AR257" s="93"/>
      <c r="AS257" s="93"/>
      <c r="AT257" s="93"/>
      <c r="AU257" s="93"/>
      <c r="AV257" s="93"/>
      <c r="AW257" s="134"/>
      <c r="AX257" s="62"/>
      <c r="AY257" s="93"/>
      <c r="AZ257" s="93"/>
      <c r="BA257" s="93"/>
      <c r="BB257" s="234">
        <f>IFERROR(INDEX('Total Customers'!$E$7:$AA$91,MATCH($C257,'Total Customers'!$C$7:$C$91,0),MATCH($G257,'Total Customers'!$E$5:$AA$5,0)),"NA")</f>
        <v>168558</v>
      </c>
      <c r="BC257" s="411">
        <f t="shared" si="400"/>
        <v>1.9263848176530561E-2</v>
      </c>
      <c r="BD257" s="92"/>
      <c r="BE257" s="281" t="str">
        <f t="shared" si="396"/>
        <v>COLONIAL GAS COMPANY</v>
      </c>
      <c r="BF257" s="290">
        <f t="shared" si="397"/>
        <v>4057114</v>
      </c>
      <c r="BG257" s="46" t="str">
        <f t="shared" si="398"/>
        <v>MA</v>
      </c>
      <c r="BH257" s="46"/>
      <c r="BI257" s="46" t="str">
        <f t="shared" si="399"/>
        <v>2002 Y</v>
      </c>
      <c r="BJ257" s="129"/>
      <c r="BK257" s="129"/>
      <c r="BL257" s="129">
        <f>INDEX('Dist. Plant Gas Additions'!$E$7:$AD$91,MATCH($C257,'Dist. Plant Gas Additions'!$C$7:$C$91,0),MATCH(Calculation!$G257,'Dist. Plant Gas Additions'!$E$5:$AD$5,0))</f>
        <v>20282</v>
      </c>
      <c r="BM257" s="129">
        <f>INDEX('Gen. Plant Additions'!$E$7:$AD$91,MATCH($C257,'Gen. Plant Additions'!$C$7:$C$91,0),MATCH(Calculation!$G257,'Gen. Plant Additions'!$E$5:$AD$5,0))</f>
        <v>641</v>
      </c>
      <c r="BN257" s="393">
        <f t="shared" si="492"/>
        <v>0.96074022620174215</v>
      </c>
      <c r="BO257" s="46">
        <f t="shared" si="493"/>
        <v>615.83448499531676</v>
      </c>
      <c r="BP257" s="46">
        <f t="shared" si="494"/>
        <v>-25.165515004683243</v>
      </c>
      <c r="BQ257" s="129"/>
      <c r="BR257" s="129"/>
      <c r="BS257" s="129"/>
      <c r="BT257" s="129"/>
      <c r="BU257" s="129"/>
      <c r="BV257" s="129"/>
      <c r="BW257" s="129"/>
      <c r="BX257" s="129"/>
      <c r="BY257" s="129">
        <f>INDEX('Gross Dx Plant'!$D$7:$AC$91,MATCH($C257,'Gross Dx Plant'!$C$7:$C$91,0),MATCH(Calculation!$G257,'Gross Dx Plant'!$D$5:$AC$5,0))</f>
        <v>396950</v>
      </c>
      <c r="BZ257" s="129">
        <f>INDEX('Gross Gen Plant'!$D$7:$AC$91,MATCH($C257,'Gross Gen Plant'!$C$7:$C$91,0),MATCH(Calculation!$G257,'Gross Gen Plant'!$D$5:$AC$5,0))</f>
        <v>16221</v>
      </c>
      <c r="CA257" s="129">
        <f t="shared" si="441"/>
        <v>413171</v>
      </c>
      <c r="CB257" s="129"/>
      <c r="CC257" s="133">
        <v>2002</v>
      </c>
      <c r="CD257" s="129"/>
      <c r="CE257" s="129"/>
      <c r="CF257" s="129"/>
      <c r="CG257" s="137"/>
      <c r="CH257" s="129">
        <f t="shared" si="495"/>
        <v>20923</v>
      </c>
      <c r="CI257" s="46">
        <f t="shared" si="504"/>
        <v>20897.834484995317</v>
      </c>
      <c r="CJ257" s="46">
        <f t="shared" si="496"/>
        <v>57.832961300739022</v>
      </c>
      <c r="CK257" s="443">
        <v>0.95918367346938771</v>
      </c>
      <c r="CL257" s="46">
        <f>+CL253*CK257+CJ254*CK256+CJ255*CK255+CJ256*CK254+CJ257</f>
        <v>1605.7513359186789</v>
      </c>
      <c r="CM257" s="134">
        <f t="shared" si="497"/>
        <v>2.5617160362103299E-2</v>
      </c>
      <c r="CN257" s="135">
        <f t="shared" si="498"/>
        <v>1.1002588398415739E-2</v>
      </c>
      <c r="CO257" s="135">
        <f t="shared" ref="CO257:CO275" si="507">+(CN257+CN256+CN255)/3</f>
        <v>1.047709258746507E-2</v>
      </c>
      <c r="CP257" s="134">
        <f>VLOOKUP($H257,RoR!$E:$F,2,FALSE)</f>
        <v>6.4916666666666664E-2</v>
      </c>
      <c r="CQ257" s="135">
        <v>1.5246423291824351E-2</v>
      </c>
      <c r="CR257" s="135">
        <f t="shared" si="505"/>
        <v>4.9670243374842313E-2</v>
      </c>
      <c r="CS257" s="135">
        <f t="shared" ref="CS257:CS275" si="508">+$CR$2-CO257</f>
        <v>2.0424849021068555E-2</v>
      </c>
      <c r="CT257" s="135">
        <f t="shared" ref="CT257:CT277" si="509">+((DF255/DF254-1)+(DF256/DF255-1)+(DF257/DF256-1))/3</f>
        <v>2.5243621214759093E-2</v>
      </c>
      <c r="CU257" s="139">
        <f t="shared" si="499"/>
        <v>0.84940815000000003</v>
      </c>
      <c r="CV257" s="335">
        <f t="shared" si="500"/>
        <v>0.78996741384417901</v>
      </c>
      <c r="CW257" s="335">
        <f t="shared" si="501"/>
        <v>0.58989088575096271</v>
      </c>
      <c r="CX257" s="335">
        <f t="shared" si="502"/>
        <v>0.91920675783645744</v>
      </c>
      <c r="CY257" s="335">
        <f t="shared" si="503"/>
        <v>0.42834536472275586</v>
      </c>
      <c r="CZ257" s="336">
        <f>INDEX('State Tax Lookup'!$D$7:$Z$91,MATCH(Calculation!$C257,'State Tax Lookup'!$B$7:$B$91,0),MATCH($H257,'State Tax Lookup'!$D$6:$Z$6,0))</f>
        <v>0.40700500000000001</v>
      </c>
      <c r="DA257" s="303">
        <v>0.37</v>
      </c>
      <c r="DB257" s="57">
        <f t="shared" si="506"/>
        <v>10.535669262100162</v>
      </c>
      <c r="DC257" s="56">
        <f t="shared" ref="DC257:DC275" si="510">LN(DB257/DB256)</f>
        <v>4.1267014546275847E-3</v>
      </c>
      <c r="DD257" s="303">
        <f>VLOOKUP($H257,RoR!$E:$F,2,FALSE)</f>
        <v>6.4916666666666664E-2</v>
      </c>
      <c r="DE257" s="304">
        <f>HLOOKUP($H257,'GDP-PI'!$D$8:$CQ$11,3,FALSE)</f>
        <v>1.5246423291824351E-2</v>
      </c>
      <c r="DF257" s="303">
        <f>VLOOKUP(H257,'HW Dx Data'!$E:$F,2,FALSE)</f>
        <v>361.34816573413599</v>
      </c>
      <c r="DG257" s="89"/>
      <c r="DH257" s="89"/>
      <c r="DI257" s="89"/>
      <c r="DJ257" s="56"/>
      <c r="DK257" s="53">
        <f>HLOOKUP(H257,'GDP-PI'!$8:$9,2,FALSE)</f>
        <v>81.039000000000001</v>
      </c>
      <c r="DL257" s="355">
        <f>LN(DK257/DK256)</f>
        <v>1.513136459537477E-2</v>
      </c>
      <c r="EC257"/>
    </row>
    <row r="258" spans="1:133" s="126" customFormat="1" ht="21" customHeight="1" x14ac:dyDescent="0.4">
      <c r="A258" s="233" t="s">
        <v>197</v>
      </c>
      <c r="B258" s="127" t="s">
        <v>197</v>
      </c>
      <c r="C258" s="127">
        <v>4057114</v>
      </c>
      <c r="D258" s="127" t="s">
        <v>187</v>
      </c>
      <c r="E258" s="127" t="s">
        <v>15</v>
      </c>
      <c r="F258" s="127"/>
      <c r="G258" s="127" t="s">
        <v>159</v>
      </c>
      <c r="H258" s="128">
        <v>2003</v>
      </c>
      <c r="I258" s="129"/>
      <c r="J258" s="125"/>
      <c r="K258" s="125"/>
      <c r="L258" s="47"/>
      <c r="M258" s="125"/>
      <c r="N258" s="125"/>
      <c r="O258" s="125"/>
      <c r="P258" s="59"/>
      <c r="Q258" s="59"/>
      <c r="R258" s="386"/>
      <c r="S258" s="119"/>
      <c r="T258" s="59"/>
      <c r="U258" s="59"/>
      <c r="V258" s="125"/>
      <c r="W258" s="125"/>
      <c r="X258" s="125"/>
      <c r="Y258" s="125"/>
      <c r="Z258" s="125"/>
      <c r="AA258" s="125"/>
      <c r="AB258" s="125"/>
      <c r="AC258" s="125">
        <f t="shared" si="491"/>
        <v>17046.564236890928</v>
      </c>
      <c r="AD258" s="129"/>
      <c r="AE258" s="133">
        <v>1658.7967982277257</v>
      </c>
      <c r="AF258" s="134">
        <v>1.3577102272015383E-2</v>
      </c>
      <c r="AG258" s="61"/>
      <c r="AH258" s="134"/>
      <c r="AI258" s="134"/>
      <c r="AJ258" s="129">
        <f t="shared" si="444"/>
        <v>17046.564236890928</v>
      </c>
      <c r="AK258" s="134"/>
      <c r="AL258" s="129"/>
      <c r="AM258" s="129"/>
      <c r="AN258" s="129"/>
      <c r="AO258" s="129"/>
      <c r="AP258" s="133"/>
      <c r="AQ258" s="134"/>
      <c r="AR258" s="93"/>
      <c r="AS258" s="93"/>
      <c r="AT258" s="93"/>
      <c r="AU258" s="93"/>
      <c r="AV258" s="93"/>
      <c r="AW258" s="134"/>
      <c r="AX258" s="62"/>
      <c r="AY258" s="93"/>
      <c r="AZ258" s="93"/>
      <c r="BA258" s="93"/>
      <c r="BB258" s="234">
        <f>IFERROR(INDEX('Total Customers'!$E$7:$AA$91,MATCH($C258,'Total Customers'!$C$7:$C$91,0),MATCH($G258,'Total Customers'!$E$5:$AA$5,0)),"NA")</f>
        <v>175810</v>
      </c>
      <c r="BC258" s="411">
        <f t="shared" si="400"/>
        <v>4.2123962240357526E-2</v>
      </c>
      <c r="BD258" s="92"/>
      <c r="BE258" s="281" t="str">
        <f t="shared" si="396"/>
        <v>COLONIAL GAS COMPANY</v>
      </c>
      <c r="BF258" s="290">
        <f t="shared" si="397"/>
        <v>4057114</v>
      </c>
      <c r="BG258" s="46" t="str">
        <f t="shared" si="398"/>
        <v>MA</v>
      </c>
      <c r="BH258" s="46"/>
      <c r="BI258" s="46" t="str">
        <f t="shared" si="399"/>
        <v>2003 Y</v>
      </c>
      <c r="BJ258" s="129"/>
      <c r="BK258" s="129"/>
      <c r="BL258" s="129">
        <f>INDEX('Dist. Plant Gas Additions'!$E$7:$AD$91,MATCH($C258,'Dist. Plant Gas Additions'!$C$7:$C$91,0),MATCH(Calculation!$G258,'Dist. Plant Gas Additions'!$E$5:$AD$5,0))</f>
        <v>10170</v>
      </c>
      <c r="BM258" s="129">
        <f>INDEX('Gen. Plant Additions'!$E$7:$AD$91,MATCH($C258,'Gen. Plant Additions'!$C$7:$C$91,0),MATCH(Calculation!$G258,'Gen. Plant Additions'!$E$5:$AD$5,0))</f>
        <v>1517</v>
      </c>
      <c r="BN258" s="393">
        <f t="shared" si="492"/>
        <v>0.93214142748971507</v>
      </c>
      <c r="BO258" s="46">
        <f t="shared" si="493"/>
        <v>1414.0585455018977</v>
      </c>
      <c r="BP258" s="46">
        <f t="shared" si="494"/>
        <v>-102.9414544981023</v>
      </c>
      <c r="BQ258" s="129"/>
      <c r="BR258" s="129"/>
      <c r="BS258" s="129"/>
      <c r="BT258" s="129"/>
      <c r="BU258" s="129"/>
      <c r="BV258" s="129"/>
      <c r="BW258" s="129"/>
      <c r="BX258" s="129"/>
      <c r="BY258" s="129">
        <f>INDEX('Gross Dx Plant'!$D$7:$AC$91,MATCH($C258,'Gross Dx Plant'!$C$7:$C$91,0),MATCH(Calculation!$G258,'Gross Dx Plant'!$D$5:$AC$5,0))</f>
        <v>193273</v>
      </c>
      <c r="BZ258" s="129">
        <f>INDEX('Gross Gen Plant'!$D$7:$AC$91,MATCH($C258,'Gross Gen Plant'!$C$7:$C$91,0),MATCH(Calculation!$G258,'Gross Gen Plant'!$D$5:$AC$5,0))</f>
        <v>14070</v>
      </c>
      <c r="CA258" s="129">
        <f t="shared" si="441"/>
        <v>207343</v>
      </c>
      <c r="CB258" s="129"/>
      <c r="CC258" s="133">
        <v>2003</v>
      </c>
      <c r="CD258" s="129"/>
      <c r="CE258" s="129"/>
      <c r="CF258" s="129"/>
      <c r="CG258" s="137"/>
      <c r="CH258" s="129">
        <f t="shared" si="495"/>
        <v>11687</v>
      </c>
      <c r="CI258" s="46">
        <f t="shared" si="504"/>
        <v>11584.058545501897</v>
      </c>
      <c r="CJ258" s="46">
        <f t="shared" si="496"/>
        <v>31.37330141614779</v>
      </c>
      <c r="CK258" s="443">
        <v>0.94845360824742264</v>
      </c>
      <c r="CL258" s="46">
        <f>+CL253*CK258+CJ254*CK257+CJ255*CK256+CJ256*CK255+CJ257*CK254+CJ258</f>
        <v>1619.3488039979782</v>
      </c>
      <c r="CM258" s="134">
        <f t="shared" si="497"/>
        <v>8.4323264760597962E-3</v>
      </c>
      <c r="CN258" s="135">
        <f t="shared" si="498"/>
        <v>1.1070103408432593E-2</v>
      </c>
      <c r="CO258" s="135">
        <f t="shared" si="507"/>
        <v>1.0771958630514536E-2</v>
      </c>
      <c r="CP258" s="134">
        <f>VLOOKUP($H258,RoR!$E:$F,2,FALSE)</f>
        <v>5.6666666666666671E-2</v>
      </c>
      <c r="CQ258" s="135">
        <v>1.8855119140166909E-2</v>
      </c>
      <c r="CR258" s="135">
        <f t="shared" si="505"/>
        <v>3.7811547526499761E-2</v>
      </c>
      <c r="CS258" s="135">
        <f t="shared" si="508"/>
        <v>2.0129982978019087E-2</v>
      </c>
      <c r="CT258" s="135">
        <f t="shared" si="509"/>
        <v>2.1375012817671957E-2</v>
      </c>
      <c r="CU258" s="139">
        <f t="shared" si="499"/>
        <v>0.84940815000000003</v>
      </c>
      <c r="CV258" s="335">
        <f t="shared" si="500"/>
        <v>0.90497737556561086</v>
      </c>
      <c r="CW258" s="335">
        <f t="shared" si="501"/>
        <v>0.5338235294117647</v>
      </c>
      <c r="CX258" s="335">
        <f t="shared" si="502"/>
        <v>0.88972433127405692</v>
      </c>
      <c r="CY258" s="335">
        <f t="shared" si="503"/>
        <v>0.42982423775949252</v>
      </c>
      <c r="CZ258" s="336">
        <f>INDEX('State Tax Lookup'!$D$7:$Z$91,MATCH(Calculation!$C258,'State Tax Lookup'!$B$7:$B$91,0),MATCH($H258,'State Tax Lookup'!$D$6:$Z$6,0))</f>
        <v>0.40700500000000001</v>
      </c>
      <c r="DA258" s="303">
        <v>0.37</v>
      </c>
      <c r="DB258" s="57">
        <f t="shared" si="506"/>
        <v>10.615942740062106</v>
      </c>
      <c r="DC258" s="56">
        <f t="shared" si="510"/>
        <v>7.5903305482166381E-3</v>
      </c>
      <c r="DD258" s="303">
        <f>VLOOKUP($H258,RoR!$E:$F,2,FALSE)</f>
        <v>5.6666666666666671E-2</v>
      </c>
      <c r="DE258" s="304">
        <f>HLOOKUP($H258,'GDP-PI'!$D$8:$CQ$11,3,FALSE)</f>
        <v>1.8855119140166909E-2</v>
      </c>
      <c r="DF258" s="303">
        <f>VLOOKUP(H258,'HW Dx Data'!$E:$F,2,FALSE)</f>
        <v>369.23301095560191</v>
      </c>
      <c r="DG258" s="89">
        <f ca="1">VLOOKUP(CC258,'ECI - Input Price'!M$13:N$33,2,FALSE)</f>
        <v>89.25</v>
      </c>
      <c r="DH258" s="89"/>
      <c r="DI258" s="89"/>
      <c r="DJ258" s="56"/>
      <c r="DK258" s="53">
        <f>HLOOKUP(H258,'GDP-PI'!$8:$9,2,FALSE)</f>
        <v>82.566999999999993</v>
      </c>
      <c r="DL258" s="355">
        <f t="shared" ref="DL258:DL277" si="511">LN(DK258/DK257)</f>
        <v>1.8679564681853753E-2</v>
      </c>
      <c r="EC258"/>
    </row>
    <row r="259" spans="1:133" s="126" customFormat="1" ht="21" customHeight="1" x14ac:dyDescent="0.4">
      <c r="A259" s="233" t="s">
        <v>197</v>
      </c>
      <c r="B259" s="127" t="s">
        <v>197</v>
      </c>
      <c r="C259" s="127">
        <v>4057114</v>
      </c>
      <c r="D259" s="127" t="s">
        <v>187</v>
      </c>
      <c r="E259" s="127" t="s">
        <v>15</v>
      </c>
      <c r="F259" s="127"/>
      <c r="G259" s="127" t="s">
        <v>160</v>
      </c>
      <c r="H259" s="128">
        <v>2004</v>
      </c>
      <c r="I259" s="129"/>
      <c r="J259" s="125">
        <f>IFERROR(INDEX('Labor Expenditures'!$E$7:$W$91,MATCH($C259,'Labor Expenditures'!$C$7:$C$91,0),MATCH($G259,'Labor Expenditures'!$E$5:$W$5,0)),"NA")</f>
        <v>9633.9267908357033</v>
      </c>
      <c r="K259" s="125">
        <f t="shared" ref="K259:K276" ca="1" si="512">+J259/DG259</f>
        <v>102.10839205973188</v>
      </c>
      <c r="L259" s="47"/>
      <c r="M259" s="131"/>
      <c r="N259" s="131"/>
      <c r="O259" s="131"/>
      <c r="P259" s="59"/>
      <c r="Q259" s="59"/>
      <c r="R259" s="386"/>
      <c r="S259" s="119"/>
      <c r="T259" s="59"/>
      <c r="U259" s="59"/>
      <c r="V259" s="125">
        <f>IFERROR(INDEX('Non-Labor Expenditures'!$E$7:$AA$91,MATCH($C259,'Non-Labor Expenditures'!$C$7:$C$91,0),MATCH($G259,'Non-Labor Expenditures'!$E$5:$AA$5,0)),"NA")</f>
        <v>13951.725362450528</v>
      </c>
      <c r="W259" s="125">
        <f t="shared" ref="W259:W275" si="513">+V259/DK259</f>
        <v>164.56775770188642</v>
      </c>
      <c r="X259" s="125"/>
      <c r="Y259" s="125"/>
      <c r="Z259" s="125"/>
      <c r="AA259" s="125"/>
      <c r="AB259" s="125"/>
      <c r="AC259" s="125">
        <f t="shared" si="491"/>
        <v>18872.358941518443</v>
      </c>
      <c r="AD259" s="129"/>
      <c r="AE259" s="133">
        <v>1677.4519643519259</v>
      </c>
      <c r="AF259" s="134">
        <v>1.1183434979604747E-2</v>
      </c>
      <c r="AG259" s="59">
        <f t="shared" ref="AG259:AG277" si="514">+AF259*$AX259</f>
        <v>0</v>
      </c>
      <c r="AH259" s="134"/>
      <c r="AI259" s="134"/>
      <c r="AJ259" s="129">
        <f t="shared" si="444"/>
        <v>42458.011094804679</v>
      </c>
      <c r="AK259" s="134"/>
      <c r="AL259" s="129"/>
      <c r="AM259" s="129"/>
      <c r="AN259" s="129"/>
      <c r="AO259" s="129"/>
      <c r="AP259" s="133"/>
      <c r="AQ259" s="134"/>
      <c r="AR259" s="93">
        <f t="shared" ref="AR259:AR275" si="515">+J259/AJ259</f>
        <v>0.22690480647631059</v>
      </c>
      <c r="AS259" s="93">
        <f t="shared" ref="AS259:AS275" si="516">+V259/AJ259</f>
        <v>0.32860053974967551</v>
      </c>
      <c r="AT259" s="93">
        <f t="shared" ref="AT259:AT275" si="517">+AC259/AJ259</f>
        <v>0.44449465377401381</v>
      </c>
      <c r="AU259" s="93"/>
      <c r="AV259" s="93"/>
      <c r="AW259" s="134"/>
      <c r="AX259" s="62"/>
      <c r="AY259" s="93"/>
      <c r="AZ259" s="93"/>
      <c r="BA259" s="93"/>
      <c r="BB259" s="234">
        <f>IFERROR(INDEX('Total Customers'!$E$7:$AA$91,MATCH($C259,'Total Customers'!$C$7:$C$91,0),MATCH($G259,'Total Customers'!$E$5:$AA$5,0)),"NA")</f>
        <v>181999</v>
      </c>
      <c r="BC259" s="411">
        <f t="shared" si="400"/>
        <v>3.4597326101507751E-2</v>
      </c>
      <c r="BD259" s="92"/>
      <c r="BE259" s="281" t="str">
        <f t="shared" ref="BE259:BE322" si="518">A259</f>
        <v>COLONIAL GAS COMPANY</v>
      </c>
      <c r="BF259" s="290">
        <f t="shared" ref="BF259:BF322" si="519">C259</f>
        <v>4057114</v>
      </c>
      <c r="BG259" s="46" t="str">
        <f t="shared" ref="BG259:BG322" si="520">D259</f>
        <v>MA</v>
      </c>
      <c r="BH259" s="46"/>
      <c r="BI259" s="46" t="str">
        <f t="shared" ref="BI259:BI322" si="521">G259</f>
        <v>2004 Y</v>
      </c>
      <c r="BJ259" s="129"/>
      <c r="BK259" s="129"/>
      <c r="BL259" s="129">
        <f>INDEX('Dist. Plant Gas Additions'!$E$7:$AD$91,MATCH($C259,'Dist. Plant Gas Additions'!$C$7:$C$91,0),MATCH(Calculation!$G259,'Dist. Plant Gas Additions'!$E$5:$AD$5,0))</f>
        <v>10670</v>
      </c>
      <c r="BM259" s="129">
        <f>INDEX('Gen. Plant Additions'!$E$7:$AD$91,MATCH($C259,'Gen. Plant Additions'!$C$7:$C$91,0),MATCH(Calculation!$G259,'Gen. Plant Additions'!$E$5:$AD$5,0))</f>
        <v>1110</v>
      </c>
      <c r="BN259" s="393">
        <f t="shared" si="492"/>
        <v>0.92881112286147238</v>
      </c>
      <c r="BO259" s="46">
        <f t="shared" si="493"/>
        <v>1030.9803463762344</v>
      </c>
      <c r="BP259" s="46">
        <f t="shared" si="494"/>
        <v>-79.019653623765635</v>
      </c>
      <c r="BQ259" s="129"/>
      <c r="BR259" s="129"/>
      <c r="BS259" s="129"/>
      <c r="BT259" s="129"/>
      <c r="BU259" s="129"/>
      <c r="BV259" s="129"/>
      <c r="BW259" s="129"/>
      <c r="BX259" s="129"/>
      <c r="BY259" s="129">
        <f>INDEX('Gross Dx Plant'!$D$7:$AC$91,MATCH($C259,'Gross Dx Plant'!$C$7:$C$91,0),MATCH(Calculation!$G259,'Gross Dx Plant'!$D$5:$AC$5,0))</f>
        <v>202883</v>
      </c>
      <c r="BZ259" s="129">
        <f>INDEX('Gross Gen Plant'!$D$7:$AC$91,MATCH($C259,'Gross Gen Plant'!$C$7:$C$91,0),MATCH(Calculation!$G259,'Gross Gen Plant'!$D$5:$AC$5,0))</f>
        <v>15550</v>
      </c>
      <c r="CA259" s="129">
        <f t="shared" si="441"/>
        <v>218433</v>
      </c>
      <c r="CB259" s="129"/>
      <c r="CC259" s="133">
        <v>2004</v>
      </c>
      <c r="CD259" s="129"/>
      <c r="CE259" s="129"/>
      <c r="CF259" s="129"/>
      <c r="CG259" s="137"/>
      <c r="CH259" s="129">
        <f t="shared" si="495"/>
        <v>11780</v>
      </c>
      <c r="CI259" s="46">
        <f t="shared" si="504"/>
        <v>11700.980346376235</v>
      </c>
      <c r="CJ259" s="46">
        <f t="shared" si="496"/>
        <v>28.20279967727625</v>
      </c>
      <c r="CK259" s="443">
        <v>0.9375</v>
      </c>
      <c r="CL259" s="46">
        <f>+CL253*CK259+CJ254*CK258+CJ255*CK257+CJ256*CK256+CJ257*CK255+CJ258*CK254+CJ259</f>
        <v>1629.0960353573419</v>
      </c>
      <c r="CM259" s="134">
        <f t="shared" si="497"/>
        <v>6.0011858563894151E-3</v>
      </c>
      <c r="CN259" s="135">
        <f t="shared" si="498"/>
        <v>1.1396907369399334E-2</v>
      </c>
      <c r="CO259" s="135">
        <f t="shared" si="507"/>
        <v>1.1156533058749222E-2</v>
      </c>
      <c r="CP259" s="134">
        <f>VLOOKUP($H259,RoR!$E:$F,2,FALSE)</f>
        <v>5.6283333333333331E-2</v>
      </c>
      <c r="CQ259" s="135">
        <v>2.6778252812867276E-2</v>
      </c>
      <c r="CR259" s="135">
        <f t="shared" si="505"/>
        <v>2.9505080520466055E-2</v>
      </c>
      <c r="CS259" s="135">
        <f t="shared" si="508"/>
        <v>1.9745408549784405E-2</v>
      </c>
      <c r="CT259" s="135">
        <f t="shared" si="509"/>
        <v>5.5940039414565046E-2</v>
      </c>
      <c r="CU259" s="139">
        <f t="shared" si="499"/>
        <v>0.84940815000000003</v>
      </c>
      <c r="CV259" s="335">
        <f t="shared" si="500"/>
        <v>0.91114097628755619</v>
      </c>
      <c r="CW259" s="335">
        <f t="shared" si="501"/>
        <v>0.53081877405981637</v>
      </c>
      <c r="CX259" s="335">
        <f t="shared" si="502"/>
        <v>0.88811215519385678</v>
      </c>
      <c r="CY259" s="335">
        <f t="shared" si="503"/>
        <v>0.42953609753547711</v>
      </c>
      <c r="CZ259" s="336">
        <f>INDEX('State Tax Lookup'!$D$7:$Z$91,MATCH(Calculation!$C259,'State Tax Lookup'!$B$7:$B$91,0),MATCH($H259,'State Tax Lookup'!$D$6:$Z$6,0))</f>
        <v>0.40700500000000001</v>
      </c>
      <c r="DA259" s="303">
        <v>0.37</v>
      </c>
      <c r="DB259" s="57">
        <f t="shared" si="506"/>
        <v>11.654288992541231</v>
      </c>
      <c r="DC259" s="56">
        <f t="shared" si="510"/>
        <v>9.3317362849983154E-2</v>
      </c>
      <c r="DD259" s="303">
        <f>VLOOKUP($H259,RoR!$E:$F,2,FALSE)</f>
        <v>5.6283333333333331E-2</v>
      </c>
      <c r="DE259" s="304">
        <f>HLOOKUP($H259,'GDP-PI'!$D$8:$CQ$11,3,FALSE)</f>
        <v>2.6778252812867276E-2</v>
      </c>
      <c r="DF259" s="303">
        <f>VLOOKUP(H259,'HW Dx Data'!$E:$F,2,FALSE)</f>
        <v>414.88719135228365</v>
      </c>
      <c r="DG259" s="89">
        <f ca="1">VLOOKUP(CC259,'ECI - Input Price'!M$13:N$33,2,FALSE)</f>
        <v>94.35</v>
      </c>
      <c r="DH259" s="89"/>
      <c r="DI259" s="89"/>
      <c r="DJ259" s="56">
        <f t="shared" ref="DJ259:DJ277" ca="1" si="522">LN(DG259/DG258)</f>
        <v>5.5569851154810786E-2</v>
      </c>
      <c r="DK259" s="53">
        <f>HLOOKUP(H259,'GDP-PI'!$8:$9,2,FALSE)</f>
        <v>84.778000000000006</v>
      </c>
      <c r="DL259" s="355">
        <f t="shared" si="511"/>
        <v>2.6425990216022755E-2</v>
      </c>
      <c r="EC259"/>
    </row>
    <row r="260" spans="1:133" s="126" customFormat="1" ht="21" customHeight="1" x14ac:dyDescent="0.4">
      <c r="A260" s="233" t="s">
        <v>197</v>
      </c>
      <c r="B260" s="127" t="s">
        <v>197</v>
      </c>
      <c r="C260" s="127">
        <v>4057114</v>
      </c>
      <c r="D260" s="127" t="s">
        <v>187</v>
      </c>
      <c r="E260" s="127" t="s">
        <v>15</v>
      </c>
      <c r="F260" s="127"/>
      <c r="G260" s="127" t="s">
        <v>161</v>
      </c>
      <c r="H260" s="128">
        <v>2005</v>
      </c>
      <c r="I260" s="129"/>
      <c r="J260" s="125">
        <f>IFERROR(INDEX('Labor Expenditures'!$E$7:$W$91,MATCH($C260,'Labor Expenditures'!$C$7:$C$91,0),MATCH($G260,'Labor Expenditures'!$E$5:$W$5,0)),"NA")</f>
        <v>7994.33991280585</v>
      </c>
      <c r="K260" s="125">
        <f t="shared" ca="1" si="512"/>
        <v>80.567799574762915</v>
      </c>
      <c r="L260" s="47"/>
      <c r="M260" s="131">
        <f t="shared" ref="M260:M275" ca="1" si="523">LN(K260/K259)</f>
        <v>-0.23693585561576824</v>
      </c>
      <c r="N260" s="131"/>
      <c r="O260" s="131"/>
      <c r="P260" s="59"/>
      <c r="Q260" s="61"/>
      <c r="R260" s="387"/>
      <c r="S260" s="49">
        <v>100</v>
      </c>
      <c r="T260" s="46"/>
      <c r="U260" s="46"/>
      <c r="V260" s="125">
        <f>IFERROR(INDEX('Non-Labor Expenditures'!$E$7:$AA$91,MATCH($C260,'Non-Labor Expenditures'!$C$7:$C$91,0),MATCH($G260,'Non-Labor Expenditures'!$E$5:$AA$5,0)),"NA")</f>
        <v>11577.297330476054</v>
      </c>
      <c r="W260" s="125">
        <f t="shared" si="513"/>
        <v>132.45274784028803</v>
      </c>
      <c r="X260" s="131">
        <f>LN(W260/W259)</f>
        <v>-0.21709642457193196</v>
      </c>
      <c r="Y260" s="131"/>
      <c r="Z260" s="131"/>
      <c r="AA260" s="131"/>
      <c r="AB260" s="131"/>
      <c r="AC260" s="125">
        <f t="shared" si="491"/>
        <v>21136.010788375959</v>
      </c>
      <c r="AD260" s="129"/>
      <c r="AE260" s="133">
        <v>1688.5828364666197</v>
      </c>
      <c r="AF260" s="134">
        <v>6.6136646504699097E-3</v>
      </c>
      <c r="AG260" s="59">
        <f t="shared" si="514"/>
        <v>0</v>
      </c>
      <c r="AH260" s="134"/>
      <c r="AI260" s="134"/>
      <c r="AJ260" s="129">
        <f t="shared" si="444"/>
        <v>40707.648031657867</v>
      </c>
      <c r="AK260" s="134">
        <f>LN(AJ260/AJ259)</f>
        <v>-4.2099626201256055E-2</v>
      </c>
      <c r="AL260" s="129"/>
      <c r="AM260" s="129"/>
      <c r="AN260" s="129"/>
      <c r="AO260" s="129"/>
      <c r="AP260" s="133"/>
      <c r="AQ260" s="134"/>
      <c r="AR260" s="93">
        <f t="shared" si="515"/>
        <v>0.1963842250622965</v>
      </c>
      <c r="AS260" s="93">
        <f t="shared" si="516"/>
        <v>0.28440103740389333</v>
      </c>
      <c r="AT260" s="93">
        <f t="shared" si="517"/>
        <v>0.51921473753381009</v>
      </c>
      <c r="AU260" s="93">
        <f ca="1">+(((AR260+AR259)/2)*M260+((AS259+AS260)/2)*X260+((AT259+AT260)/2)*AF260)</f>
        <v>-0.11349957439137322</v>
      </c>
      <c r="AV260" s="132">
        <v>100</v>
      </c>
      <c r="AW260" s="134"/>
      <c r="AX260" s="15"/>
      <c r="AY260" s="93"/>
      <c r="AZ260" s="93"/>
      <c r="BA260" s="93"/>
      <c r="BB260" s="234">
        <f>IFERROR(INDEX('Total Customers'!$E$7:$AA$91,MATCH($C260,'Total Customers'!$C$7:$C$91,0),MATCH($G260,'Total Customers'!$E$5:$AA$5,0)),"NA")</f>
        <v>183569</v>
      </c>
      <c r="BC260" s="411">
        <f t="shared" ref="BC260:BC323" si="524">LN(BB260/BB259)</f>
        <v>8.5894260583049883E-3</v>
      </c>
      <c r="BD260" s="92"/>
      <c r="BE260" s="281" t="str">
        <f t="shared" si="518"/>
        <v>COLONIAL GAS COMPANY</v>
      </c>
      <c r="BF260" s="290">
        <f t="shared" si="519"/>
        <v>4057114</v>
      </c>
      <c r="BG260" s="46" t="str">
        <f t="shared" si="520"/>
        <v>MA</v>
      </c>
      <c r="BH260" s="46"/>
      <c r="BI260" s="46" t="str">
        <f t="shared" si="521"/>
        <v>2005 Y</v>
      </c>
      <c r="BJ260" s="129"/>
      <c r="BK260" s="129"/>
      <c r="BL260" s="129">
        <f>INDEX('Dist. Plant Gas Additions'!$E$7:$AD$91,MATCH($C260,'Dist. Plant Gas Additions'!$C$7:$C$91,0),MATCH(Calculation!$G260,'Dist. Plant Gas Additions'!$E$5:$AD$5,0))</f>
        <v>8863</v>
      </c>
      <c r="BM260" s="129">
        <f>INDEX('Gen. Plant Additions'!$E$7:$AD$91,MATCH($C260,'Gen. Plant Additions'!$C$7:$C$91,0),MATCH(Calculation!$G260,'Gen. Plant Additions'!$E$5:$AD$5,0))</f>
        <v>1144</v>
      </c>
      <c r="BN260" s="393">
        <f t="shared" si="492"/>
        <v>0.93566813164395291</v>
      </c>
      <c r="BO260" s="46">
        <f t="shared" si="493"/>
        <v>1070.4043426006822</v>
      </c>
      <c r="BP260" s="46">
        <f t="shared" si="494"/>
        <v>-73.595657399317815</v>
      </c>
      <c r="BQ260" s="129"/>
      <c r="BR260" s="129"/>
      <c r="BS260" s="129"/>
      <c r="BT260" s="129"/>
      <c r="BU260" s="129"/>
      <c r="BV260" s="129"/>
      <c r="BW260" s="129"/>
      <c r="BX260" s="129"/>
      <c r="BY260" s="129">
        <f>INDEX('Gross Dx Plant'!$D$7:$AC$91,MATCH($C260,'Gross Dx Plant'!$C$7:$C$91,0),MATCH(Calculation!$G260,'Gross Dx Plant'!$D$5:$AC$5,0))</f>
        <v>210981</v>
      </c>
      <c r="BZ260" s="129">
        <f>INDEX('Gross Gen Plant'!$D$7:$AC$91,MATCH($C260,'Gross Gen Plant'!$C$7:$C$91,0),MATCH(Calculation!$G260,'Gross Gen Plant'!$D$5:$AC$5,0))</f>
        <v>14506</v>
      </c>
      <c r="CA260" s="129">
        <f t="shared" si="441"/>
        <v>225487</v>
      </c>
      <c r="CB260" s="129"/>
      <c r="CC260" s="133">
        <v>2005</v>
      </c>
      <c r="CD260" s="129"/>
      <c r="CE260" s="129"/>
      <c r="CF260" s="129"/>
      <c r="CG260" s="137"/>
      <c r="CH260" s="129">
        <f t="shared" si="495"/>
        <v>10007</v>
      </c>
      <c r="CI260" s="46">
        <f t="shared" si="504"/>
        <v>9933.4043426006829</v>
      </c>
      <c r="CJ260" s="46">
        <f t="shared" si="496"/>
        <v>21.170706559617891</v>
      </c>
      <c r="CK260" s="443">
        <v>0.9263157894736842</v>
      </c>
      <c r="CL260" s="46">
        <f>+CL253*CK260+CJ254*CK259+CJ255*CK258+CJ256*CK257+CJ257*CK256+CJ258*CK255+CJ259*CK254+CJ260</f>
        <v>1631.1449989378798</v>
      </c>
      <c r="CM260" s="134">
        <f t="shared" si="497"/>
        <v>1.2569401027390976E-3</v>
      </c>
      <c r="CN260" s="135">
        <f t="shared" si="498"/>
        <v>1.1737640117014716E-2</v>
      </c>
      <c r="CO260" s="135">
        <f t="shared" si="507"/>
        <v>1.1401550298282215E-2</v>
      </c>
      <c r="CP260" s="134">
        <f>VLOOKUP($H260,RoR!$E:$F,2,FALSE)</f>
        <v>5.2350000000000001E-2</v>
      </c>
      <c r="CQ260" s="135">
        <v>3.1010403642454332E-2</v>
      </c>
      <c r="CR260" s="135">
        <f t="shared" si="505"/>
        <v>2.1339596357545669E-2</v>
      </c>
      <c r="CS260" s="135">
        <f t="shared" si="508"/>
        <v>1.950039131025141E-2</v>
      </c>
      <c r="CT260" s="135">
        <f t="shared" si="509"/>
        <v>9.2129610649277341E-2</v>
      </c>
      <c r="CU260" s="139">
        <f t="shared" si="499"/>
        <v>0.84940815000000003</v>
      </c>
      <c r="CV260" s="335">
        <f t="shared" si="500"/>
        <v>0.97959983346802826</v>
      </c>
      <c r="CW260" s="335">
        <f t="shared" si="501"/>
        <v>0.49744508118433622</v>
      </c>
      <c r="CX260" s="335">
        <f t="shared" si="502"/>
        <v>0.87010519444335932</v>
      </c>
      <c r="CY260" s="335">
        <f t="shared" si="503"/>
        <v>0.42399975420741998</v>
      </c>
      <c r="CZ260" s="336">
        <f>INDEX('State Tax Lookup'!$D$7:$Z$91,MATCH(Calculation!$C260,'State Tax Lookup'!$B$7:$B$91,0),MATCH($H260,'State Tax Lookup'!$D$6:$Z$6,0))</f>
        <v>0.40700500000000001</v>
      </c>
      <c r="DA260" s="303">
        <v>0.37</v>
      </c>
      <c r="DB260" s="57">
        <f t="shared" si="506"/>
        <v>12.974072939622483</v>
      </c>
      <c r="DC260" s="56">
        <f t="shared" si="510"/>
        <v>0.1072787106333164</v>
      </c>
      <c r="DD260" s="303">
        <f>VLOOKUP($H260,RoR!$E:$F,2,FALSE)</f>
        <v>5.2350000000000001E-2</v>
      </c>
      <c r="DE260" s="304">
        <f>HLOOKUP($H260,'GDP-PI'!$D$8:$CQ$11,3,FALSE)</f>
        <v>3.1010403642454332E-2</v>
      </c>
      <c r="DF260" s="303">
        <f>VLOOKUP(H260,'HW Dx Data'!$E:$F,2,FALSE)</f>
        <v>469.20514034936258</v>
      </c>
      <c r="DG260" s="89">
        <f ca="1">VLOOKUP(CC260,'ECI - Input Price'!M$13:N$33,2,FALSE)</f>
        <v>99.224999999999994</v>
      </c>
      <c r="DH260" s="89"/>
      <c r="DI260" s="89"/>
      <c r="DJ260" s="56">
        <f t="shared" ca="1" si="522"/>
        <v>5.0378726854569796E-2</v>
      </c>
      <c r="DK260" s="53">
        <f>HLOOKUP(H260,'GDP-PI'!$8:$9,2,FALSE)</f>
        <v>87.406999999999996</v>
      </c>
      <c r="DL260" s="355">
        <f t="shared" si="511"/>
        <v>3.0539295810733648E-2</v>
      </c>
      <c r="EC260"/>
    </row>
    <row r="261" spans="1:133" s="126" customFormat="1" ht="21" customHeight="1" x14ac:dyDescent="0.4">
      <c r="A261" s="233" t="s">
        <v>197</v>
      </c>
      <c r="B261" s="127" t="s">
        <v>197</v>
      </c>
      <c r="C261" s="127">
        <v>4057114</v>
      </c>
      <c r="D261" s="127" t="s">
        <v>187</v>
      </c>
      <c r="E261" s="127" t="s">
        <v>15</v>
      </c>
      <c r="F261" s="127"/>
      <c r="G261" s="127" t="s">
        <v>162</v>
      </c>
      <c r="H261" s="128">
        <v>2006</v>
      </c>
      <c r="I261" s="129"/>
      <c r="J261" s="125">
        <f>IFERROR(INDEX('Labor Expenditures'!$E$7:$W$91,MATCH($C261,'Labor Expenditures'!$C$7:$C$91,0),MATCH($G261,'Labor Expenditures'!$E$5:$W$5,0)),"NA")</f>
        <v>8812.1784266913746</v>
      </c>
      <c r="K261" s="125">
        <f t="shared" ca="1" si="512"/>
        <v>80.550077026429378</v>
      </c>
      <c r="L261" s="47"/>
      <c r="M261" s="131">
        <f t="shared" ca="1" si="523"/>
        <v>-2.1999481099020522E-4</v>
      </c>
      <c r="N261" s="131"/>
      <c r="O261" s="131"/>
      <c r="P261" s="59">
        <f t="shared" ref="P261:P275" ca="1" si="525">+M261*$AX261</f>
        <v>-1.2642352474793092E-6</v>
      </c>
      <c r="Q261" s="61"/>
      <c r="R261" s="387"/>
      <c r="S261" s="49">
        <f ca="1">+S260*EXP(T261)</f>
        <v>106.01971410287202</v>
      </c>
      <c r="T261" s="61">
        <f ca="1">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</f>
        <v>5.8454872934014593E-2</v>
      </c>
      <c r="U261" s="61"/>
      <c r="V261" s="125">
        <f>IFERROR(INDEX('Non-Labor Expenditures'!$E$7:$AA$91,MATCH($C261,'Non-Labor Expenditures'!$C$7:$C$91,0),MATCH($G261,'Non-Labor Expenditures'!$E$5:$AA$5,0)),"NA")</f>
        <v>12761.68024974627</v>
      </c>
      <c r="W261" s="125">
        <f t="shared" si="513"/>
        <v>141.67995481211304</v>
      </c>
      <c r="X261" s="131">
        <f t="shared" ref="X261:X275" si="526">LN(W261/W260)</f>
        <v>6.7344712782307248E-2</v>
      </c>
      <c r="Y261" s="131">
        <f t="shared" ref="Y261:Y276" si="527">+X261*AX261</f>
        <v>3.8700712642969503E-4</v>
      </c>
      <c r="Z261" s="131"/>
      <c r="AA261" s="131"/>
      <c r="AB261" s="131"/>
      <c r="AC261" s="125">
        <f t="shared" si="491"/>
        <v>20453.438656258655</v>
      </c>
      <c r="AD261" s="129"/>
      <c r="AE261" s="133">
        <v>1697.3056534782054</v>
      </c>
      <c r="AF261" s="134">
        <v>5.1524652008984448E-3</v>
      </c>
      <c r="AG261" s="59">
        <f t="shared" si="514"/>
        <v>2.9609462555352691E-5</v>
      </c>
      <c r="AH261" s="134"/>
      <c r="AI261" s="134"/>
      <c r="AJ261" s="129">
        <f t="shared" si="444"/>
        <v>42027.297332696297</v>
      </c>
      <c r="AK261" s="134">
        <f t="shared" ref="AK261:AK275" si="528">LN(AJ261/AJ260)</f>
        <v>3.1903356537899448E-2</v>
      </c>
      <c r="AL261" s="129"/>
      <c r="AM261" s="129"/>
      <c r="AN261" s="129"/>
      <c r="AO261" s="129"/>
      <c r="AP261" s="133">
        <f t="shared" ref="AP261:AP275" si="529">+(AJ261*1000)/BB261</f>
        <v>229.88976469488989</v>
      </c>
      <c r="AQ261" s="134">
        <f>+BB261/Outputs!$B$14</f>
        <v>5.2712618783603881E-3</v>
      </c>
      <c r="AR261" s="93">
        <f t="shared" si="515"/>
        <v>0.20967749500836202</v>
      </c>
      <c r="AS261" s="93">
        <f t="shared" si="516"/>
        <v>0.30365217512614046</v>
      </c>
      <c r="AT261" s="93">
        <f t="shared" si="517"/>
        <v>0.48667032986549763</v>
      </c>
      <c r="AU261" s="93">
        <f ca="1">+(((AR261+AR260)/2)*M261+((AS260+AS261)/2)*X261+((AT260+AT261)/2)*AF261)</f>
        <v>2.2347865516534608E-2</v>
      </c>
      <c r="AV261" s="132">
        <f ca="1">+AV260*EXP(AU261)</f>
        <v>102.25994496907936</v>
      </c>
      <c r="AW261" s="134">
        <f ca="1">LN(AV261/AV260)</f>
        <v>2.2347865516534601E-2</v>
      </c>
      <c r="AX261" s="56">
        <f>+AJ261/$AL$11</f>
        <v>5.7466593952327201E-3</v>
      </c>
      <c r="AY261" s="135">
        <f ca="1">+AX261*AW261</f>
        <v>1.284255713339909E-4</v>
      </c>
      <c r="AZ261" s="93"/>
      <c r="BA261" s="93"/>
      <c r="BB261" s="234">
        <f>IFERROR(INDEX('Total Customers'!$E$7:$AA$91,MATCH($C261,'Total Customers'!$C$7:$C$91,0),MATCH($G261,'Total Customers'!$E$5:$AA$5,0)),"NA")</f>
        <v>182815</v>
      </c>
      <c r="BC261" s="411">
        <f t="shared" si="524"/>
        <v>-4.1159060681649588E-3</v>
      </c>
      <c r="BD261" s="92"/>
      <c r="BE261" s="281" t="str">
        <f t="shared" si="518"/>
        <v>COLONIAL GAS COMPANY</v>
      </c>
      <c r="BF261" s="290">
        <f t="shared" si="519"/>
        <v>4057114</v>
      </c>
      <c r="BG261" s="46" t="str">
        <f t="shared" si="520"/>
        <v>MA</v>
      </c>
      <c r="BH261" s="46"/>
      <c r="BI261" s="46" t="str">
        <f t="shared" si="521"/>
        <v>2006 Y</v>
      </c>
      <c r="BJ261" s="129"/>
      <c r="BK261" s="129"/>
      <c r="BL261" s="129">
        <f>INDEX('Dist. Plant Gas Additions'!$E$7:$AD$91,MATCH($C261,'Dist. Plant Gas Additions'!$C$7:$C$91,0),MATCH(Calculation!$G261,'Dist. Plant Gas Additions'!$E$5:$AD$5,0))</f>
        <v>7201</v>
      </c>
      <c r="BM261" s="129">
        <f>INDEX('Gen. Plant Additions'!$E$7:$AD$91,MATCH($C261,'Gen. Plant Additions'!$C$7:$C$91,0),MATCH(Calculation!$G261,'Gen. Plant Additions'!$E$5:$AD$5,0))</f>
        <v>1727</v>
      </c>
      <c r="BN261" s="393">
        <f t="shared" si="492"/>
        <v>0.93164933135215455</v>
      </c>
      <c r="BO261" s="46">
        <f t="shared" si="493"/>
        <v>1608.958395245171</v>
      </c>
      <c r="BP261" s="46">
        <f t="shared" si="494"/>
        <v>-118.041604754829</v>
      </c>
      <c r="BQ261" s="129"/>
      <c r="BR261" s="129"/>
      <c r="BS261" s="129"/>
      <c r="BT261" s="129"/>
      <c r="BU261" s="129"/>
      <c r="BV261" s="129"/>
      <c r="BW261" s="129"/>
      <c r="BX261" s="129"/>
      <c r="BY261" s="129">
        <f>INDEX('Gross Dx Plant'!$D$7:$AC$91,MATCH($C261,'Gross Dx Plant'!$C$7:$C$91,0),MATCH(Calculation!$G261,'Gross Dx Plant'!$D$5:$AC$5,0))</f>
        <v>216942</v>
      </c>
      <c r="BZ261" s="129">
        <f>INDEX('Gross Gen Plant'!$D$7:$AC$91,MATCH($C261,'Gross Gen Plant'!$C$7:$C$91,0),MATCH(Calculation!$G261,'Gross Gen Plant'!$D$5:$AC$5,0))</f>
        <v>15916</v>
      </c>
      <c r="CA261" s="129">
        <f t="shared" si="441"/>
        <v>232858</v>
      </c>
      <c r="CB261" s="134"/>
      <c r="CC261" s="133">
        <v>2006</v>
      </c>
      <c r="CD261" s="129"/>
      <c r="CE261" s="129"/>
      <c r="CF261" s="129"/>
      <c r="CG261" s="137"/>
      <c r="CH261" s="129">
        <f t="shared" si="495"/>
        <v>8928</v>
      </c>
      <c r="CI261" s="46">
        <f t="shared" si="504"/>
        <v>8809.9583952451703</v>
      </c>
      <c r="CJ261" s="46">
        <f t="shared" si="496"/>
        <v>19.106987955380347</v>
      </c>
      <c r="CK261" s="443">
        <v>0.91489361702127658</v>
      </c>
      <c r="CL261" s="46">
        <f>+CL253*CK261+CJ254*CK260+CJ255*CK259+CJ256*CK258+CJ257*CK257+CJ258*CK256+CJ259*CK255+CJ260*CK254+CJ261</f>
        <v>1630.5158098964905</v>
      </c>
      <c r="CM261" s="134">
        <f t="shared" si="497"/>
        <v>-3.8580900103989845E-4</v>
      </c>
      <c r="CN261" s="135">
        <f t="shared" si="498"/>
        <v>1.2099584653492389E-2</v>
      </c>
      <c r="CO261" s="135">
        <f t="shared" si="507"/>
        <v>1.1744710713302147E-2</v>
      </c>
      <c r="CP261" s="134">
        <f>VLOOKUP($H261,RoR!$E:$F,2,FALSE)</f>
        <v>5.5874999999999994E-2</v>
      </c>
      <c r="CQ261" s="135">
        <v>3.0512430354548314E-2</v>
      </c>
      <c r="CR261" s="135">
        <f t="shared" si="505"/>
        <v>2.536256964545168E-2</v>
      </c>
      <c r="CS261" s="135">
        <f t="shared" si="508"/>
        <v>1.9157230895231477E-2</v>
      </c>
      <c r="CT261" s="135">
        <f t="shared" si="509"/>
        <v>7.9087823893859641E-2</v>
      </c>
      <c r="CU261" s="139">
        <f t="shared" si="499"/>
        <v>0.84940815000000003</v>
      </c>
      <c r="CV261" s="335">
        <f t="shared" si="500"/>
        <v>0.91779957551769631</v>
      </c>
      <c r="CW261" s="335">
        <f t="shared" si="501"/>
        <v>0.52757270693512304</v>
      </c>
      <c r="CX261" s="335">
        <f t="shared" si="502"/>
        <v>0.88636824549024895</v>
      </c>
      <c r="CY261" s="335">
        <f t="shared" si="503"/>
        <v>0.42918482841932087</v>
      </c>
      <c r="CZ261" s="336">
        <f>INDEX('State Tax Lookup'!$D$7:$Z$91,MATCH(Calculation!$C261,'State Tax Lookup'!$B$7:$B$91,0),MATCH($H261,'State Tax Lookup'!$D$6:$Z$6,0))</f>
        <v>0.40700500000000001</v>
      </c>
      <c r="DA261" s="303">
        <v>0.37</v>
      </c>
      <c r="DB261" s="57">
        <f t="shared" si="506"/>
        <v>12.539313592339685</v>
      </c>
      <c r="DC261" s="56">
        <f t="shared" si="510"/>
        <v>-3.4084180505569807E-2</v>
      </c>
      <c r="DD261" s="303">
        <f>VLOOKUP($H261,RoR!$E:$F,2,FALSE)</f>
        <v>5.5874999999999994E-2</v>
      </c>
      <c r="DE261" s="304">
        <f>HLOOKUP($H261,'GDP-PI'!$D$8:$CQ$11,3,FALSE)</f>
        <v>3.0512430354548314E-2</v>
      </c>
      <c r="DF261" s="303">
        <f>VLOOKUP(H261,'HW Dx Data'!$E:$F,2,FALSE)</f>
        <v>461.08567272971823</v>
      </c>
      <c r="DG261" s="89">
        <f ca="1">VLOOKUP(CC261,'ECI - Input Price'!M$13:N$33,2,FALSE)</f>
        <v>109.4</v>
      </c>
      <c r="DH261" s="89"/>
      <c r="DI261" s="89"/>
      <c r="DJ261" s="56">
        <f t="shared" ca="1" si="522"/>
        <v>9.7620891318751846E-2</v>
      </c>
      <c r="DK261" s="53">
        <f>HLOOKUP(H261,'GDP-PI'!$8:$9,2,FALSE)</f>
        <v>90.073999999999998</v>
      </c>
      <c r="DL261" s="355">
        <f t="shared" si="511"/>
        <v>3.005618372545445E-2</v>
      </c>
      <c r="EC261"/>
    </row>
    <row r="262" spans="1:133" s="126" customFormat="1" ht="21" customHeight="1" x14ac:dyDescent="0.4">
      <c r="A262" s="233" t="s">
        <v>197</v>
      </c>
      <c r="B262" s="127" t="s">
        <v>197</v>
      </c>
      <c r="C262" s="127">
        <v>4057114</v>
      </c>
      <c r="D262" s="127" t="s">
        <v>187</v>
      </c>
      <c r="E262" s="127" t="s">
        <v>15</v>
      </c>
      <c r="F262" s="127"/>
      <c r="G262" s="127" t="s">
        <v>163</v>
      </c>
      <c r="H262" s="128">
        <v>2007</v>
      </c>
      <c r="I262" s="129"/>
      <c r="J262" s="125">
        <f>IFERROR(INDEX('Labor Expenditures'!$E$7:$W$91,MATCH($C262,'Labor Expenditures'!$C$7:$C$91,0),MATCH($G262,'Labor Expenditures'!$E$5:$W$5,0)),"NA")</f>
        <v>8659.7867179072291</v>
      </c>
      <c r="K262" s="125">
        <f t="shared" ca="1" si="512"/>
        <v>82.848952096696763</v>
      </c>
      <c r="L262" s="47"/>
      <c r="M262" s="131">
        <f t="shared" ca="1" si="523"/>
        <v>2.8140029714755859E-2</v>
      </c>
      <c r="N262" s="131"/>
      <c r="O262" s="131"/>
      <c r="P262" s="59">
        <f t="shared" ca="1" si="525"/>
        <v>1.5753730520208503E-4</v>
      </c>
      <c r="Q262" s="61"/>
      <c r="R262" s="387"/>
      <c r="S262" s="49">
        <f t="shared" ref="S262:S275" ca="1" si="530">+S261*EXP(T262)</f>
        <v>117.5259729954001</v>
      </c>
      <c r="T262" s="61">
        <f ca="1">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</f>
        <v>0.10303429700423258</v>
      </c>
      <c r="U262" s="61"/>
      <c r="V262" s="125">
        <f>IFERROR(INDEX('Non-Labor Expenditures'!$E$7:$AA$91,MATCH($C262,'Non-Labor Expenditures'!$C$7:$C$91,0),MATCH($G262,'Non-Labor Expenditures'!$E$5:$AA$5,0)),"NA")</f>
        <v>12540.988592581778</v>
      </c>
      <c r="W262" s="125">
        <f t="shared" si="513"/>
        <v>135.5811865400525</v>
      </c>
      <c r="X262" s="131">
        <f t="shared" si="526"/>
        <v>-4.4000050980534264E-2</v>
      </c>
      <c r="Y262" s="131">
        <f t="shared" si="527"/>
        <v>-2.4632701281736605E-4</v>
      </c>
      <c r="Z262" s="131"/>
      <c r="AA262" s="131"/>
      <c r="AB262" s="131"/>
      <c r="AC262" s="125">
        <f t="shared" si="491"/>
        <v>21712.506428507546</v>
      </c>
      <c r="AD262" s="129"/>
      <c r="AE262" s="133">
        <v>1713.2062812172335</v>
      </c>
      <c r="AF262" s="134">
        <v>9.3245490723607074E-3</v>
      </c>
      <c r="AG262" s="59">
        <f t="shared" si="514"/>
        <v>5.2201946763191341E-5</v>
      </c>
      <c r="AH262" s="134"/>
      <c r="AI262" s="134"/>
      <c r="AJ262" s="129">
        <f t="shared" si="444"/>
        <v>42913.281738996549</v>
      </c>
      <c r="AK262" s="134">
        <f t="shared" si="528"/>
        <v>2.0862032005231741E-2</v>
      </c>
      <c r="AL262" s="129"/>
      <c r="AM262" s="129"/>
      <c r="AN262" s="129"/>
      <c r="AO262" s="129"/>
      <c r="AP262" s="133">
        <f t="shared" si="529"/>
        <v>229.8281467820444</v>
      </c>
      <c r="AQ262" s="134">
        <f>+BB262/Outputs!$B$15</f>
        <v>5.3432940284906813E-3</v>
      </c>
      <c r="AR262" s="93">
        <f t="shared" si="515"/>
        <v>0.20179735426847648</v>
      </c>
      <c r="AS262" s="93">
        <f t="shared" si="516"/>
        <v>0.29224025952751631</v>
      </c>
      <c r="AT262" s="93">
        <f t="shared" si="517"/>
        <v>0.50596238620400724</v>
      </c>
      <c r="AU262" s="93">
        <f t="shared" ref="AU262:AU275" ca="1" si="531">+(((AR262+AR261)/2)*M262+((AS261+AS262)/2)*X262+((AT261+AT262)/2)*AD262)</f>
        <v>-7.3201915090753255E-3</v>
      </c>
      <c r="AV262" s="132">
        <f ca="1">+AV261*EXP(AU262)</f>
        <v>101.51411572509573</v>
      </c>
      <c r="AW262" s="134">
        <f ca="1">LN(AV262/AV261)</f>
        <v>-7.3201915090753359E-3</v>
      </c>
      <c r="AX262" s="56">
        <f>+AJ262/$AL$12</f>
        <v>5.5983347138925301E-3</v>
      </c>
      <c r="AY262" s="135">
        <f t="shared" ref="AY262:AY275" ca="1" si="532">+AX262*AW262</f>
        <v>-4.09808822375978E-5</v>
      </c>
      <c r="AZ262" s="93"/>
      <c r="BA262" s="93"/>
      <c r="BB262" s="234">
        <f>IFERROR(INDEX('Total Customers'!$E$7:$AA$91,MATCH($C262,'Total Customers'!$C$7:$C$91,0),MATCH($G262,'Total Customers'!$E$5:$AA$5,0)),"NA")</f>
        <v>186719</v>
      </c>
      <c r="BC262" s="411">
        <f t="shared" si="524"/>
        <v>2.1130100364876434E-2</v>
      </c>
      <c r="BD262" s="92"/>
      <c r="BE262" s="281" t="str">
        <f t="shared" si="518"/>
        <v>COLONIAL GAS COMPANY</v>
      </c>
      <c r="BF262" s="290">
        <f t="shared" si="519"/>
        <v>4057114</v>
      </c>
      <c r="BG262" s="46" t="str">
        <f t="shared" si="520"/>
        <v>MA</v>
      </c>
      <c r="BH262" s="46"/>
      <c r="BI262" s="46" t="str">
        <f t="shared" si="521"/>
        <v>2007 Y</v>
      </c>
      <c r="BJ262" s="129"/>
      <c r="BK262" s="129"/>
      <c r="BL262" s="129">
        <f>INDEX('Dist. Plant Gas Additions'!$E$7:$AD$91,MATCH($C262,'Dist. Plant Gas Additions'!$C$7:$C$91,0),MATCH(Calculation!$G262,'Dist. Plant Gas Additions'!$E$5:$AD$5,0))</f>
        <v>12350</v>
      </c>
      <c r="BM262" s="129">
        <f>INDEX('Gen. Plant Additions'!$E$7:$AD$91,MATCH($C262,'Gen. Plant Additions'!$C$7:$C$91,0),MATCH(Calculation!$G262,'Gen. Plant Additions'!$E$5:$AD$5,0))</f>
        <v>1094</v>
      </c>
      <c r="BN262" s="393">
        <f t="shared" si="492"/>
        <v>0.93114370981992001</v>
      </c>
      <c r="BO262" s="46">
        <f t="shared" si="493"/>
        <v>1018.6712185429925</v>
      </c>
      <c r="BP262" s="46">
        <f t="shared" si="494"/>
        <v>-75.328781457007494</v>
      </c>
      <c r="BQ262" s="129"/>
      <c r="BR262" s="129"/>
      <c r="BS262" s="129"/>
      <c r="BT262" s="129"/>
      <c r="BU262" s="129"/>
      <c r="BV262" s="129"/>
      <c r="BW262" s="129"/>
      <c r="BX262" s="129"/>
      <c r="BY262" s="129">
        <f>INDEX('Gross Dx Plant'!$D$7:$AC$91,MATCH($C262,'Gross Dx Plant'!$C$7:$C$91,0),MATCH(Calculation!$G262,'Gross Dx Plant'!$D$5:$AC$5,0))</f>
        <v>228701</v>
      </c>
      <c r="BZ262" s="129">
        <f>INDEX('Gross Gen Plant'!$D$7:$AC$91,MATCH($C262,'Gross Gen Plant'!$C$7:$C$91,0),MATCH(Calculation!$G262,'Gross Gen Plant'!$D$5:$AC$5,0))</f>
        <v>16912</v>
      </c>
      <c r="CA262" s="129">
        <f t="shared" si="441"/>
        <v>245613</v>
      </c>
      <c r="CB262" s="129"/>
      <c r="CC262" s="133">
        <v>2007</v>
      </c>
      <c r="CD262" s="129"/>
      <c r="CE262" s="129"/>
      <c r="CF262" s="129"/>
      <c r="CG262" s="137"/>
      <c r="CH262" s="129">
        <f t="shared" si="495"/>
        <v>13444</v>
      </c>
      <c r="CI262" s="46">
        <f t="shared" si="504"/>
        <v>13368.671218542993</v>
      </c>
      <c r="CJ262" s="46">
        <f t="shared" si="496"/>
        <v>26.843518459070566</v>
      </c>
      <c r="CK262" s="443">
        <v>0.90322580645161288</v>
      </c>
      <c r="CL262" s="46">
        <f>+CL253*CK262+CJ254*CK261+CJ255*CK260+CJ256*CK259+CJ257*CK258+CJ258*CK257+CJ259*CK256+CJ260*CK255+CJ261*CK254+CJ262</f>
        <v>1637.0119625031396</v>
      </c>
      <c r="CM262" s="134">
        <f t="shared" si="497"/>
        <v>3.9761933901597052E-3</v>
      </c>
      <c r="CN262" s="135">
        <f t="shared" si="498"/>
        <v>1.2479097552395535E-2</v>
      </c>
      <c r="CO262" s="135">
        <f t="shared" si="507"/>
        <v>1.2105440774300881E-2</v>
      </c>
      <c r="CP262" s="134">
        <f>VLOOKUP($H262,RoR!$E:$F,2,FALSE)</f>
        <v>5.5558333333333321E-2</v>
      </c>
      <c r="CQ262" s="135">
        <v>2.691120634145272E-2</v>
      </c>
      <c r="CR262" s="135">
        <f t="shared" si="505"/>
        <v>2.86471269918806E-2</v>
      </c>
      <c r="CS262" s="135">
        <f t="shared" si="508"/>
        <v>1.8796500834232746E-2</v>
      </c>
      <c r="CT262" s="135">
        <f t="shared" si="509"/>
        <v>6.4575155250632399E-2</v>
      </c>
      <c r="CU262" s="139">
        <f t="shared" si="499"/>
        <v>0.84940815000000003</v>
      </c>
      <c r="CV262" s="335">
        <f t="shared" si="500"/>
        <v>0.92303077153834634</v>
      </c>
      <c r="CW262" s="335">
        <f t="shared" si="501"/>
        <v>0.52502249887505614</v>
      </c>
      <c r="CX262" s="335">
        <f t="shared" si="502"/>
        <v>0.88499666072084604</v>
      </c>
      <c r="CY262" s="335">
        <f t="shared" si="503"/>
        <v>0.42887993290280618</v>
      </c>
      <c r="CZ262" s="336">
        <f>INDEX('State Tax Lookup'!$D$7:$Z$91,MATCH(Calculation!$C262,'State Tax Lookup'!$B$7:$B$91,0),MATCH($H262,'State Tax Lookup'!$D$6:$Z$6,0))</f>
        <v>0.40700500000000001</v>
      </c>
      <c r="DA262" s="303">
        <v>0.37</v>
      </c>
      <c r="DB262" s="57">
        <f t="shared" si="506"/>
        <v>13.3163421640701</v>
      </c>
      <c r="DC262" s="56">
        <f t="shared" si="510"/>
        <v>6.0123218838679555E-2</v>
      </c>
      <c r="DD262" s="303">
        <f>VLOOKUP($H262,RoR!$E:$F,2,FALSE)</f>
        <v>5.5558333333333321E-2</v>
      </c>
      <c r="DE262" s="304">
        <f>HLOOKUP($H262,'GDP-PI'!$D$8:$CQ$11,3,FALSE)</f>
        <v>2.691120634145272E-2</v>
      </c>
      <c r="DF262" s="303">
        <f>VLOOKUP(H262,'HW Dx Data'!$E:$F,2,FALSE)</f>
        <v>498.0223154772637</v>
      </c>
      <c r="DG262" s="89">
        <f ca="1">VLOOKUP(CC262,'ECI - Input Price'!M$13:N$33,2,FALSE)</f>
        <v>104.52499999999999</v>
      </c>
      <c r="DH262" s="89"/>
      <c r="DI262" s="89"/>
      <c r="DJ262" s="56">
        <f t="shared" ca="1" si="522"/>
        <v>-4.5584612745252218E-2</v>
      </c>
      <c r="DK262" s="53">
        <f>HLOOKUP(H262,'GDP-PI'!$8:$9,2,FALSE)</f>
        <v>92.498000000000005</v>
      </c>
      <c r="DL262" s="355">
        <f t="shared" si="511"/>
        <v>2.6555467950038037E-2</v>
      </c>
      <c r="EC262"/>
    </row>
    <row r="263" spans="1:133" s="126" customFormat="1" ht="21" customHeight="1" x14ac:dyDescent="0.4">
      <c r="A263" s="233" t="s">
        <v>197</v>
      </c>
      <c r="B263" s="127" t="s">
        <v>197</v>
      </c>
      <c r="C263" s="127">
        <v>4057114</v>
      </c>
      <c r="D263" s="127" t="s">
        <v>187</v>
      </c>
      <c r="E263" s="127" t="s">
        <v>15</v>
      </c>
      <c r="F263" s="127"/>
      <c r="G263" s="127" t="s">
        <v>164</v>
      </c>
      <c r="H263" s="128">
        <v>2008</v>
      </c>
      <c r="I263" s="129"/>
      <c r="J263" s="125">
        <f>IFERROR(INDEX('Labor Expenditures'!$E$7:$W$91,MATCH($C263,'Labor Expenditures'!$C$7:$C$91,0),MATCH($G263,'Labor Expenditures'!$E$5:$W$5,0)),"NA")</f>
        <v>9942.8555052792763</v>
      </c>
      <c r="K263" s="125">
        <f t="shared" ca="1" si="512"/>
        <v>92.148799863570673</v>
      </c>
      <c r="L263" s="47"/>
      <c r="M263" s="131">
        <f t="shared" ca="1" si="523"/>
        <v>0.10638556471078318</v>
      </c>
      <c r="N263" s="131"/>
      <c r="O263" s="131"/>
      <c r="P263" s="59">
        <f t="shared" ca="1" si="525"/>
        <v>6.4172527887317683E-4</v>
      </c>
      <c r="Q263" s="61"/>
      <c r="R263" s="387"/>
      <c r="S263" s="49">
        <f t="shared" ca="1" si="530"/>
        <v>109.53494187621689</v>
      </c>
      <c r="T263" s="61">
        <f ca="1">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</f>
        <v>-7.0415753680209997E-2</v>
      </c>
      <c r="U263" s="61"/>
      <c r="V263" s="125">
        <f>IFERROR(INDEX('Non-Labor Expenditures'!$E$7:$AA$91,MATCH($C263,'Non-Labor Expenditures'!$C$7:$C$91,0),MATCH($G263,'Non-Labor Expenditures'!$E$5:$AA$5,0)),"NA")</f>
        <v>14399.111840889582</v>
      </c>
      <c r="W263" s="125">
        <f t="shared" si="513"/>
        <v>152.75303234415665</v>
      </c>
      <c r="X263" s="131">
        <f t="shared" si="526"/>
        <v>0.11925182598421107</v>
      </c>
      <c r="Y263" s="131">
        <f t="shared" si="527"/>
        <v>7.1933548027777381E-4</v>
      </c>
      <c r="Z263" s="131"/>
      <c r="AA263" s="131"/>
      <c r="AB263" s="131"/>
      <c r="AC263" s="125">
        <f t="shared" si="491"/>
        <v>24455.648400149257</v>
      </c>
      <c r="AD263" s="129"/>
      <c r="AE263" s="133">
        <v>1723.1016572495478</v>
      </c>
      <c r="AF263" s="134">
        <v>5.7593228324103723E-3</v>
      </c>
      <c r="AG263" s="59">
        <f t="shared" si="514"/>
        <v>3.4740644191688785E-5</v>
      </c>
      <c r="AH263" s="134"/>
      <c r="AI263" s="134"/>
      <c r="AJ263" s="129">
        <f t="shared" si="444"/>
        <v>48797.615746318115</v>
      </c>
      <c r="AK263" s="134">
        <f t="shared" si="528"/>
        <v>0.12850007834399485</v>
      </c>
      <c r="AL263" s="129"/>
      <c r="AM263" s="129"/>
      <c r="AN263" s="129"/>
      <c r="AO263" s="129"/>
      <c r="AP263" s="133">
        <f t="shared" si="529"/>
        <v>257.83238885094192</v>
      </c>
      <c r="AQ263" s="134">
        <f>+BB263/Outputs!$B$16</f>
        <v>5.387080587493244E-3</v>
      </c>
      <c r="AR263" s="93">
        <f t="shared" si="515"/>
        <v>0.20375699413202347</v>
      </c>
      <c r="AS263" s="93">
        <f t="shared" si="516"/>
        <v>0.29507818406017156</v>
      </c>
      <c r="AT263" s="93">
        <f t="shared" si="517"/>
        <v>0.50116482180780497</v>
      </c>
      <c r="AU263" s="93">
        <f t="shared" ca="1" si="531"/>
        <v>5.6591962603768774E-2</v>
      </c>
      <c r="AV263" s="132">
        <f t="shared" ref="AV263:AV275" ca="1" si="533">+AV262*EXP(AU263)</f>
        <v>107.42466622441118</v>
      </c>
      <c r="AW263" s="134">
        <f t="shared" ref="AW263:AW275" ca="1" si="534">LN(AV263/AV262)</f>
        <v>5.6591962603768718E-2</v>
      </c>
      <c r="AX263" s="56">
        <f>+AJ263/$AL$13</f>
        <v>6.0320709921289906E-3</v>
      </c>
      <c r="AY263" s="135">
        <f t="shared" ca="1" si="532"/>
        <v>3.413667360098419E-4</v>
      </c>
      <c r="AZ263" s="93"/>
      <c r="BA263" s="93"/>
      <c r="BB263" s="234">
        <f>IFERROR(INDEX('Total Customers'!$E$7:$AA$91,MATCH($C263,'Total Customers'!$C$7:$C$91,0),MATCH($G263,'Total Customers'!$E$5:$AA$5,0)),"NA")</f>
        <v>189261</v>
      </c>
      <c r="BC263" s="411">
        <f t="shared" si="524"/>
        <v>1.3522201891563905E-2</v>
      </c>
      <c r="BD263" s="92"/>
      <c r="BE263" s="281" t="str">
        <f t="shared" si="518"/>
        <v>COLONIAL GAS COMPANY</v>
      </c>
      <c r="BF263" s="290">
        <f t="shared" si="519"/>
        <v>4057114</v>
      </c>
      <c r="BG263" s="46" t="str">
        <f t="shared" si="520"/>
        <v>MA</v>
      </c>
      <c r="BH263" s="46"/>
      <c r="BI263" s="46" t="str">
        <f t="shared" si="521"/>
        <v>2008 Y</v>
      </c>
      <c r="BJ263" s="129"/>
      <c r="BK263" s="129"/>
      <c r="BL263" s="129">
        <f>INDEX('Dist. Plant Gas Additions'!$E$7:$AD$91,MATCH($C263,'Dist. Plant Gas Additions'!$C$7:$C$91,0),MATCH(Calculation!$G263,'Dist. Plant Gas Additions'!$E$5:$AD$5,0))</f>
        <v>9098</v>
      </c>
      <c r="BM263" s="129">
        <f>INDEX('Gen. Plant Additions'!$E$7:$AD$91,MATCH($C263,'Gen. Plant Additions'!$C$7:$C$91,0),MATCH(Calculation!$G263,'Gen. Plant Additions'!$E$5:$AD$5,0))</f>
        <v>3156</v>
      </c>
      <c r="BN263" s="393">
        <f t="shared" si="492"/>
        <v>0.92309309250861249</v>
      </c>
      <c r="BO263" s="46">
        <f t="shared" si="493"/>
        <v>2913.2817999571812</v>
      </c>
      <c r="BP263" s="46">
        <f t="shared" si="494"/>
        <v>-242.71820004281881</v>
      </c>
      <c r="BQ263" s="129"/>
      <c r="BR263" s="129"/>
      <c r="BS263" s="129"/>
      <c r="BT263" s="129"/>
      <c r="BU263" s="129"/>
      <c r="BV263" s="129"/>
      <c r="BW263" s="129"/>
      <c r="BX263" s="129"/>
      <c r="BY263" s="129">
        <f>INDEX('Gross Dx Plant'!$D$7:$AC$91,MATCH($C263,'Gross Dx Plant'!$C$7:$C$91,0),MATCH(Calculation!$G263,'Gross Dx Plant'!$D$5:$AC$5,0))</f>
        <v>237138</v>
      </c>
      <c r="BZ263" s="129">
        <f>INDEX('Gross Gen Plant'!$D$7:$AC$91,MATCH($C263,'Gross Gen Plant'!$C$7:$C$91,0),MATCH(Calculation!$G263,'Gross Gen Plant'!$D$5:$AC$5,0))</f>
        <v>19757</v>
      </c>
      <c r="CA263" s="129">
        <f t="shared" si="441"/>
        <v>256895</v>
      </c>
      <c r="CB263" s="129"/>
      <c r="CC263" s="133">
        <v>2008</v>
      </c>
      <c r="CD263" s="129"/>
      <c r="CE263" s="129"/>
      <c r="CF263" s="129"/>
      <c r="CG263" s="137"/>
      <c r="CH263" s="129">
        <f t="shared" si="495"/>
        <v>12254</v>
      </c>
      <c r="CI263" s="46">
        <f t="shared" si="504"/>
        <v>12011.281799957182</v>
      </c>
      <c r="CJ263" s="46">
        <f t="shared" si="496"/>
        <v>21.076816939500407</v>
      </c>
      <c r="CK263" s="443">
        <v>0.89130434782608692</v>
      </c>
      <c r="CL263" s="46">
        <f>+CL253*CK263+CJ254*CK262+CJ255*CK261+CJ256*CK260+CJ257*CK259+CJ258*CK258+CJ259*CK257+CJ260*CK256+CJ261*CK255+CJ262*CK254+CJ263</f>
        <v>1637.0361569994461</v>
      </c>
      <c r="CM263" s="134">
        <f t="shared" si="497"/>
        <v>1.4779560607526784E-5</v>
      </c>
      <c r="CN263" s="135">
        <f t="shared" si="498"/>
        <v>1.2860396212989475E-2</v>
      </c>
      <c r="CO263" s="135">
        <f t="shared" si="507"/>
        <v>1.2479692806292466E-2</v>
      </c>
      <c r="CP263" s="134">
        <f>VLOOKUP($H263,RoR!$E:$F,2,FALSE)</f>
        <v>5.6316666666666668E-2</v>
      </c>
      <c r="CQ263" s="135">
        <v>1.9092304698479889E-2</v>
      </c>
      <c r="CR263" s="135">
        <f t="shared" si="505"/>
        <v>3.7224361968186778E-2</v>
      </c>
      <c r="CS263" s="135">
        <f t="shared" si="508"/>
        <v>1.8422248802241158E-2</v>
      </c>
      <c r="CT263" s="135">
        <f t="shared" si="509"/>
        <v>6.9030581091053131E-2</v>
      </c>
      <c r="CU263" s="139">
        <f t="shared" si="499"/>
        <v>0.84940815000000003</v>
      </c>
      <c r="CV263" s="335">
        <f t="shared" si="500"/>
        <v>0.91060168006009956</v>
      </c>
      <c r="CW263" s="335">
        <f t="shared" si="501"/>
        <v>0.53108168097070152</v>
      </c>
      <c r="CX263" s="335">
        <f t="shared" si="502"/>
        <v>0.88825329850328805</v>
      </c>
      <c r="CY263" s="335">
        <f t="shared" si="503"/>
        <v>0.4295627335323573</v>
      </c>
      <c r="CZ263" s="336">
        <f>INDEX('State Tax Lookup'!$D$7:$Z$91,MATCH(Calculation!$C263,'State Tax Lookup'!$B$7:$B$91,0),MATCH($H263,'State Tax Lookup'!$D$6:$Z$6,0))</f>
        <v>0.40700500000000001</v>
      </c>
      <c r="DA263" s="303">
        <v>0.37</v>
      </c>
      <c r="DB263" s="57">
        <f t="shared" si="506"/>
        <v>14.939199566235519</v>
      </c>
      <c r="DC263" s="56">
        <f t="shared" si="510"/>
        <v>0.11499658661987261</v>
      </c>
      <c r="DD263" s="303">
        <f>VLOOKUP($H263,RoR!$E:$F,2,FALSE)</f>
        <v>5.6316666666666668E-2</v>
      </c>
      <c r="DE263" s="304">
        <f>HLOOKUP($H263,'GDP-PI'!$D$8:$CQ$11,3,FALSE)</f>
        <v>1.9092304698479889E-2</v>
      </c>
      <c r="DF263" s="303">
        <f>VLOOKUP(H263,'HW Dx Data'!$E:$F,2,FALSE)</f>
        <v>569.88120333515076</v>
      </c>
      <c r="DG263" s="89">
        <f ca="1">VLOOKUP(CC263,'ECI - Input Price'!M$13:N$33,2,FALSE)</f>
        <v>107.9</v>
      </c>
      <c r="DH263" s="89"/>
      <c r="DI263" s="89"/>
      <c r="DJ263" s="56">
        <f t="shared" ca="1" si="522"/>
        <v>3.1778595021460486E-2</v>
      </c>
      <c r="DK263" s="53">
        <f>HLOOKUP(H263,'GDP-PI'!$8:$9,2,FALSE)</f>
        <v>94.263999999999996</v>
      </c>
      <c r="DL263" s="355">
        <f t="shared" si="511"/>
        <v>1.8912333748032254E-2</v>
      </c>
      <c r="EC263"/>
    </row>
    <row r="264" spans="1:133" s="126" customFormat="1" ht="21" customHeight="1" x14ac:dyDescent="0.4">
      <c r="A264" s="233" t="s">
        <v>197</v>
      </c>
      <c r="B264" s="127" t="s">
        <v>197</v>
      </c>
      <c r="C264" s="127">
        <v>4057114</v>
      </c>
      <c r="D264" s="127" t="s">
        <v>187</v>
      </c>
      <c r="E264" s="127" t="s">
        <v>15</v>
      </c>
      <c r="F264" s="127"/>
      <c r="G264" s="127" t="s">
        <v>165</v>
      </c>
      <c r="H264" s="128">
        <v>2009</v>
      </c>
      <c r="I264" s="129"/>
      <c r="J264" s="125">
        <f>IFERROR(INDEX('Labor Expenditures'!$E$7:$W$91,MATCH($C264,'Labor Expenditures'!$C$7:$C$91,0),MATCH($G264,'Labor Expenditures'!$E$5:$W$5,0)),"NA")</f>
        <v>11162.441092217234</v>
      </c>
      <c r="K264" s="125">
        <f t="shared" ca="1" si="512"/>
        <v>100.63052596093968</v>
      </c>
      <c r="L264" s="47"/>
      <c r="M264" s="131">
        <f t="shared" ca="1" si="523"/>
        <v>8.8050990308715535E-2</v>
      </c>
      <c r="N264" s="131"/>
      <c r="O264" s="131"/>
      <c r="P264" s="59">
        <f t="shared" ca="1" si="525"/>
        <v>5.2553454055467006E-4</v>
      </c>
      <c r="Q264" s="61"/>
      <c r="R264" s="387"/>
      <c r="S264" s="49">
        <f t="shared" ca="1" si="530"/>
        <v>118.12952645924979</v>
      </c>
      <c r="T264" s="61">
        <f ca="1">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</f>
        <v>7.5538102065359297E-2</v>
      </c>
      <c r="U264" s="61"/>
      <c r="V264" s="125">
        <f>IFERROR(INDEX('Non-Labor Expenditures'!$E$7:$AA$91,MATCH($C264,'Non-Labor Expenditures'!$C$7:$C$91,0),MATCH($G264,'Non-Labor Expenditures'!$E$5:$AA$5,0)),"NA")</f>
        <v>16165.299557942539</v>
      </c>
      <c r="W264" s="125">
        <f t="shared" si="513"/>
        <v>170.16283916612321</v>
      </c>
      <c r="X264" s="131">
        <f t="shared" si="526"/>
        <v>0.10793340649129014</v>
      </c>
      <c r="Y264" s="131">
        <f t="shared" si="527"/>
        <v>6.4420323941871704E-4</v>
      </c>
      <c r="Z264" s="131"/>
      <c r="AA264" s="131"/>
      <c r="AB264" s="131"/>
      <c r="AC264" s="125">
        <f t="shared" si="491"/>
        <v>23147.025440427966</v>
      </c>
      <c r="AD264" s="129"/>
      <c r="AE264" s="133">
        <v>1740.0439865973044</v>
      </c>
      <c r="AF264" s="134">
        <v>9.7844366103500609E-3</v>
      </c>
      <c r="AG264" s="59">
        <f t="shared" si="514"/>
        <v>5.839865492231309E-5</v>
      </c>
      <c r="AH264" s="134"/>
      <c r="AI264" s="134"/>
      <c r="AJ264" s="129">
        <f t="shared" si="444"/>
        <v>50474.766090587742</v>
      </c>
      <c r="AK264" s="134">
        <f t="shared" si="528"/>
        <v>3.3792076016361632E-2</v>
      </c>
      <c r="AL264" s="129"/>
      <c r="AM264" s="129"/>
      <c r="AN264" s="129"/>
      <c r="AO264" s="129"/>
      <c r="AP264" s="133">
        <f t="shared" si="529"/>
        <v>257.5282585477724</v>
      </c>
      <c r="AQ264" s="134">
        <f>+BB264/Outputs!$B$17</f>
        <v>5.5717007848542933E-3</v>
      </c>
      <c r="AR264" s="93">
        <f t="shared" si="515"/>
        <v>0.22114894147669453</v>
      </c>
      <c r="AS264" s="93">
        <f t="shared" si="516"/>
        <v>0.32026497218294103</v>
      </c>
      <c r="AT264" s="93">
        <f t="shared" si="517"/>
        <v>0.45858608634036435</v>
      </c>
      <c r="AU264" s="93">
        <f t="shared" ca="1" si="531"/>
        <v>5.1914735716410143E-2</v>
      </c>
      <c r="AV264" s="132">
        <f t="shared" ca="1" si="533"/>
        <v>113.14888957807287</v>
      </c>
      <c r="AW264" s="134">
        <f t="shared" ca="1" si="534"/>
        <v>5.191473571641024E-2</v>
      </c>
      <c r="AX264" s="56">
        <f>+AJ264/$AL$14</f>
        <v>5.9685250411391586E-3</v>
      </c>
      <c r="AY264" s="135">
        <f t="shared" ca="1" si="532"/>
        <v>3.0985440012751595E-4</v>
      </c>
      <c r="AZ264" s="93"/>
      <c r="BA264" s="93"/>
      <c r="BB264" s="234">
        <f>IFERROR(INDEX('Total Customers'!$E$7:$AA$91,MATCH($C264,'Total Customers'!$C$7:$C$91,0),MATCH($G264,'Total Customers'!$E$5:$AA$5,0)),"NA")</f>
        <v>195997</v>
      </c>
      <c r="BC264" s="411">
        <f t="shared" si="524"/>
        <v>3.4972338188142042E-2</v>
      </c>
      <c r="BD264" s="92"/>
      <c r="BE264" s="281" t="str">
        <f t="shared" si="518"/>
        <v>COLONIAL GAS COMPANY</v>
      </c>
      <c r="BF264" s="290">
        <f t="shared" si="519"/>
        <v>4057114</v>
      </c>
      <c r="BG264" s="46" t="str">
        <f t="shared" si="520"/>
        <v>MA</v>
      </c>
      <c r="BH264" s="46"/>
      <c r="BI264" s="46" t="str">
        <f t="shared" si="521"/>
        <v>2009 Y</v>
      </c>
      <c r="BJ264" s="129"/>
      <c r="BK264" s="129"/>
      <c r="BL264" s="129">
        <f>INDEX('Dist. Plant Gas Additions'!$E$7:$AD$91,MATCH($C264,'Dist. Plant Gas Additions'!$C$7:$C$91,0),MATCH(Calculation!$G264,'Dist. Plant Gas Additions'!$E$5:$AD$5,0))</f>
        <v>13753</v>
      </c>
      <c r="BM264" s="129">
        <f>INDEX('Gen. Plant Additions'!$E$7:$AD$91,MATCH($C264,'Gen. Plant Additions'!$C$7:$C$91,0),MATCH(Calculation!$G264,'Gen. Plant Additions'!$E$5:$AD$5,0))</f>
        <v>2257</v>
      </c>
      <c r="BN264" s="393">
        <f t="shared" si="492"/>
        <v>0.92122426832914395</v>
      </c>
      <c r="BO264" s="46">
        <f t="shared" si="493"/>
        <v>2079.2031736188778</v>
      </c>
      <c r="BP264" s="46">
        <f t="shared" si="494"/>
        <v>-177.79682638112217</v>
      </c>
      <c r="BQ264" s="129"/>
      <c r="BR264" s="129"/>
      <c r="BS264" s="129"/>
      <c r="BT264" s="129"/>
      <c r="BU264" s="129"/>
      <c r="BV264" s="129"/>
      <c r="BW264" s="129"/>
      <c r="BX264" s="129"/>
      <c r="BY264" s="129">
        <f>INDEX('Gross Dx Plant'!$D$7:$AC$91,MATCH($C264,'Gross Dx Plant'!$C$7:$C$91,0),MATCH(Calculation!$G264,'Gross Dx Plant'!$D$5:$AC$5,0))</f>
        <v>249579</v>
      </c>
      <c r="BZ264" s="129">
        <f>INDEX('Gross Gen Plant'!$D$7:$AC$91,MATCH($C264,'Gross Gen Plant'!$C$7:$C$91,0),MATCH(Calculation!$G264,'Gross Gen Plant'!$D$5:$AC$5,0))</f>
        <v>21342</v>
      </c>
      <c r="CA264" s="129">
        <f t="shared" si="441"/>
        <v>270921</v>
      </c>
      <c r="CB264" s="129"/>
      <c r="CC264" s="133">
        <v>2009</v>
      </c>
      <c r="CD264" s="129"/>
      <c r="CE264" s="129"/>
      <c r="CF264" s="129"/>
      <c r="CG264" s="137"/>
      <c r="CH264" s="129">
        <f t="shared" si="495"/>
        <v>16010</v>
      </c>
      <c r="CI264" s="46">
        <f t="shared" si="504"/>
        <v>15832.203173618878</v>
      </c>
      <c r="CJ264" s="46">
        <f t="shared" si="496"/>
        <v>28.736677086781114</v>
      </c>
      <c r="CK264" s="443">
        <v>0.87912087912087911</v>
      </c>
      <c r="CL264" s="46">
        <f>+CL253*CK264+CJ254*CK263+CJ255*CK262+CJ256*CK261+CJ257*CK260+CJ258*CK259+CJ259*CK258+CJ260*CK257+CJ261*CK256+CJ262*CK255+CJ263*CK254+CJ264</f>
        <v>1644.0523377552086</v>
      </c>
      <c r="CM264" s="134">
        <f t="shared" si="497"/>
        <v>4.2767462451140199E-3</v>
      </c>
      <c r="CN264" s="135">
        <f t="shared" si="498"/>
        <v>1.3268183624502576E-2</v>
      </c>
      <c r="CO264" s="135">
        <f t="shared" si="507"/>
        <v>1.2869225796629196E-2</v>
      </c>
      <c r="CP264" s="134">
        <f>VLOOKUP($H264,RoR!$E:$F,2,FALSE)</f>
        <v>5.3133333333333324E-2</v>
      </c>
      <c r="CQ264" s="135">
        <v>7.7972502758210105E-3</v>
      </c>
      <c r="CR264" s="135">
        <f t="shared" si="505"/>
        <v>4.5336083057512314E-2</v>
      </c>
      <c r="CS264" s="135">
        <f t="shared" si="508"/>
        <v>1.803271581190443E-2</v>
      </c>
      <c r="CT264" s="135">
        <f t="shared" si="509"/>
        <v>6.3720160300892073E-2</v>
      </c>
      <c r="CU264" s="139">
        <f t="shared" si="499"/>
        <v>0.84940815000000003</v>
      </c>
      <c r="CV264" s="335">
        <f t="shared" si="500"/>
        <v>0.96515780330083989</v>
      </c>
      <c r="CW264" s="335">
        <f t="shared" si="501"/>
        <v>0.50448557089084056</v>
      </c>
      <c r="CX264" s="335">
        <f t="shared" si="502"/>
        <v>0.87391435735465484</v>
      </c>
      <c r="CY264" s="335">
        <f t="shared" si="503"/>
        <v>0.42551605393279146</v>
      </c>
      <c r="CZ264" s="336">
        <f>INDEX('State Tax Lookup'!$D$7:$Z$91,MATCH(Calculation!$C264,'State Tax Lookup'!$B$7:$B$91,0),MATCH($H264,'State Tax Lookup'!$D$6:$Z$6,0))</f>
        <v>0.40700500000000001</v>
      </c>
      <c r="DA264" s="303">
        <v>0.37</v>
      </c>
      <c r="DB264" s="57">
        <f t="shared" si="506"/>
        <v>14.139593277435349</v>
      </c>
      <c r="DC264" s="56">
        <f t="shared" si="510"/>
        <v>-5.500970562950673E-2</v>
      </c>
      <c r="DD264" s="303">
        <f>VLOOKUP($H264,RoR!$E:$F,2,FALSE)</f>
        <v>5.3133333333333324E-2</v>
      </c>
      <c r="DE264" s="304">
        <f>HLOOKUP($H264,'GDP-PI'!$D$8:$CQ$11,3,FALSE)</f>
        <v>7.7972502758210105E-3</v>
      </c>
      <c r="DF264" s="303">
        <f>VLOOKUP(H264,'HW Dx Data'!$E:$F,2,FALSE)</f>
        <v>550.94063679692806</v>
      </c>
      <c r="DG264" s="89">
        <f ca="1">VLOOKUP(CC264,'ECI - Input Price'!M$13:N$33,2,FALSE)</f>
        <v>110.925</v>
      </c>
      <c r="DH264" s="89"/>
      <c r="DI264" s="89"/>
      <c r="DJ264" s="56">
        <f t="shared" ca="1" si="522"/>
        <v>2.7649425000884052E-2</v>
      </c>
      <c r="DK264" s="53">
        <f>HLOOKUP(H264,'GDP-PI'!$8:$9,2,FALSE)</f>
        <v>94.998999999999995</v>
      </c>
      <c r="DL264" s="355">
        <f t="shared" si="511"/>
        <v>7.7670088183096342E-3</v>
      </c>
      <c r="EC264"/>
    </row>
    <row r="265" spans="1:133" s="126" customFormat="1" ht="21" customHeight="1" x14ac:dyDescent="0.4">
      <c r="A265" s="233" t="s">
        <v>197</v>
      </c>
      <c r="B265" s="127" t="s">
        <v>197</v>
      </c>
      <c r="C265" s="127">
        <v>4057114</v>
      </c>
      <c r="D265" s="127" t="s">
        <v>187</v>
      </c>
      <c r="E265" s="127" t="s">
        <v>15</v>
      </c>
      <c r="F265" s="127"/>
      <c r="G265" s="127" t="s">
        <v>166</v>
      </c>
      <c r="H265" s="128">
        <v>2010</v>
      </c>
      <c r="I265" s="129"/>
      <c r="J265" s="125">
        <f>IFERROR(INDEX('Labor Expenditures'!$E$7:$W$91,MATCH($C265,'Labor Expenditures'!$C$7:$C$91,0),MATCH($G265,'Labor Expenditures'!$E$5:$W$5,0)),"NA")</f>
        <v>10761.044173848548</v>
      </c>
      <c r="K265" s="125">
        <f t="shared" ca="1" si="512"/>
        <v>92.033732510998917</v>
      </c>
      <c r="L265" s="47"/>
      <c r="M265" s="131">
        <f t="shared" ca="1" si="523"/>
        <v>-8.9300483038116413E-2</v>
      </c>
      <c r="N265" s="131"/>
      <c r="O265" s="131"/>
      <c r="P265" s="59">
        <f t="shared" ca="1" si="525"/>
        <v>-5.1075853821484893E-4</v>
      </c>
      <c r="Q265" s="61"/>
      <c r="R265" s="387"/>
      <c r="S265" s="49">
        <f t="shared" ca="1" si="530"/>
        <v>97.357973516568066</v>
      </c>
      <c r="T265" s="61">
        <f ca="1">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</f>
        <v>-0.19338707018154022</v>
      </c>
      <c r="U265" s="61"/>
      <c r="V265" s="125">
        <f>IFERROR(INDEX('Non-Labor Expenditures'!$E$7:$AA$91,MATCH($C265,'Non-Labor Expenditures'!$C$7:$C$91,0),MATCH($G265,'Non-Labor Expenditures'!$E$5:$AA$5,0)),"NA")</f>
        <v>15584.001849541737</v>
      </c>
      <c r="W265" s="125">
        <f t="shared" si="513"/>
        <v>162.14924564340217</v>
      </c>
      <c r="X265" s="131">
        <f t="shared" si="526"/>
        <v>-4.8238675498290078E-2</v>
      </c>
      <c r="Y265" s="131">
        <f t="shared" si="527"/>
        <v>-2.7590349508423861E-4</v>
      </c>
      <c r="Z265" s="131"/>
      <c r="AA265" s="131"/>
      <c r="AB265" s="131"/>
      <c r="AC265" s="125">
        <f t="shared" si="491"/>
        <v>23515.401422035397</v>
      </c>
      <c r="AD265" s="129"/>
      <c r="AE265" s="133">
        <v>1745.8843669181967</v>
      </c>
      <c r="AF265" s="134">
        <v>3.3508352400286791E-3</v>
      </c>
      <c r="AG265" s="59">
        <f t="shared" si="514"/>
        <v>1.9165268213222757E-5</v>
      </c>
      <c r="AH265" s="134"/>
      <c r="AI265" s="134"/>
      <c r="AJ265" s="129">
        <f t="shared" si="444"/>
        <v>49860.447445425685</v>
      </c>
      <c r="AK265" s="134">
        <f t="shared" si="528"/>
        <v>-1.2245477933513963E-2</v>
      </c>
      <c r="AL265" s="129"/>
      <c r="AM265" s="129"/>
      <c r="AN265" s="129"/>
      <c r="AO265" s="129"/>
      <c r="AP265" s="133">
        <f t="shared" si="529"/>
        <v>248.89032374133649</v>
      </c>
      <c r="AQ265" s="134">
        <f>+BB265/Outputs!$B$18</f>
        <v>5.663746307048325E-3</v>
      </c>
      <c r="AR265" s="93">
        <f t="shared" si="515"/>
        <v>0.21582325721458787</v>
      </c>
      <c r="AS265" s="93">
        <f t="shared" si="516"/>
        <v>0.31255238667079893</v>
      </c>
      <c r="AT265" s="93">
        <f t="shared" si="517"/>
        <v>0.47162435611461312</v>
      </c>
      <c r="AU265" s="93">
        <f t="shared" ca="1" si="531"/>
        <v>-3.4774049820394927E-2</v>
      </c>
      <c r="AV265" s="132">
        <f t="shared" ca="1" si="533"/>
        <v>109.28187008889066</v>
      </c>
      <c r="AW265" s="134">
        <f t="shared" ca="1" si="534"/>
        <v>-3.4774049820394878E-2</v>
      </c>
      <c r="AX265" s="56">
        <f>+AJ265/$AL$15</f>
        <v>5.71954955716018E-3</v>
      </c>
      <c r="AY265" s="135">
        <f t="shared" ca="1" si="532"/>
        <v>-1.9889190125090556E-4</v>
      </c>
      <c r="AZ265" s="93"/>
      <c r="BA265" s="93"/>
      <c r="BB265" s="234">
        <f>IFERROR(INDEX('Total Customers'!$E$7:$AA$91,MATCH($C265,'Total Customers'!$C$7:$C$91,0),MATCH($G265,'Total Customers'!$E$5:$AA$5,0)),"NA")</f>
        <v>200331</v>
      </c>
      <c r="BC265" s="411">
        <f t="shared" si="524"/>
        <v>2.1871645553764071E-2</v>
      </c>
      <c r="BD265" s="92"/>
      <c r="BE265" s="281" t="str">
        <f t="shared" si="518"/>
        <v>COLONIAL GAS COMPANY</v>
      </c>
      <c r="BF265" s="290">
        <f t="shared" si="519"/>
        <v>4057114</v>
      </c>
      <c r="BG265" s="46" t="str">
        <f t="shared" si="520"/>
        <v>MA</v>
      </c>
      <c r="BH265" s="46"/>
      <c r="BI265" s="46" t="str">
        <f t="shared" si="521"/>
        <v>2010 Y</v>
      </c>
      <c r="BJ265" s="129"/>
      <c r="BK265" s="129"/>
      <c r="BL265" s="129">
        <f>INDEX('Dist. Plant Gas Additions'!$E$7:$AD$91,MATCH($C265,'Dist. Plant Gas Additions'!$C$7:$C$91,0),MATCH(Calculation!$G265,'Dist. Plant Gas Additions'!$E$5:$AD$5,0))</f>
        <v>10193</v>
      </c>
      <c r="BM265" s="129">
        <f>INDEX('Gen. Plant Additions'!$E$7:$AD$91,MATCH($C265,'Gen. Plant Additions'!$C$7:$C$91,0),MATCH(Calculation!$G265,'Gen. Plant Additions'!$E$5:$AD$5,0))</f>
        <v>350</v>
      </c>
      <c r="BN265" s="393">
        <f t="shared" si="492"/>
        <v>0.92900828643913091</v>
      </c>
      <c r="BO265" s="46">
        <f t="shared" si="493"/>
        <v>325.1529002536958</v>
      </c>
      <c r="BP265" s="46">
        <f t="shared" si="494"/>
        <v>-24.847099746304195</v>
      </c>
      <c r="BQ265" s="129"/>
      <c r="BR265" s="129"/>
      <c r="BS265" s="129"/>
      <c r="BT265" s="129"/>
      <c r="BU265" s="129"/>
      <c r="BV265" s="129"/>
      <c r="BW265" s="129"/>
      <c r="BX265" s="129"/>
      <c r="BY265" s="129">
        <f>INDEX('Gross Dx Plant'!$D$7:$AC$91,MATCH($C265,'Gross Dx Plant'!$C$7:$C$91,0),MATCH(Calculation!$G265,'Gross Dx Plant'!$D$5:$AC$5,0))</f>
        <v>258530</v>
      </c>
      <c r="BZ265" s="129">
        <f>INDEX('Gross Gen Plant'!$D$7:$AC$91,MATCH($C265,'Gross Gen Plant'!$C$7:$C$91,0),MATCH(Calculation!$G265,'Gross Gen Plant'!$D$5:$AC$5,0))</f>
        <v>19756</v>
      </c>
      <c r="CA265" s="129">
        <f t="shared" si="441"/>
        <v>278286</v>
      </c>
      <c r="CB265" s="129"/>
      <c r="CC265" s="133">
        <v>2010</v>
      </c>
      <c r="CD265" s="129"/>
      <c r="CE265" s="129"/>
      <c r="CF265" s="129"/>
      <c r="CG265" s="137"/>
      <c r="CH265" s="129">
        <f t="shared" si="495"/>
        <v>10543</v>
      </c>
      <c r="CI265" s="46">
        <f t="shared" si="504"/>
        <v>10518.152900253695</v>
      </c>
      <c r="CJ265" s="46">
        <f t="shared" si="496"/>
        <v>18.48567126746909</v>
      </c>
      <c r="CK265" s="443">
        <v>0.8666666666666667</v>
      </c>
      <c r="CL265" s="46">
        <f>+CL253*CK265+CJ254*CK264+CJ255*CK263+CJ256*CK262+CJ257*CK261+CJ258*CK260+CJ259*CK259+CJ260*CK258+CJ261*CK257+CJ262*CK256+CJ263*CK255+CJ264*CK254+CJ265</f>
        <v>1640.0544300637803</v>
      </c>
      <c r="CM265" s="134">
        <f t="shared" si="497"/>
        <v>-2.4347013961261831E-3</v>
      </c>
      <c r="CN265" s="135">
        <f t="shared" si="498"/>
        <v>1.3675707544442584E-2</v>
      </c>
      <c r="CO265" s="135">
        <f t="shared" si="507"/>
        <v>1.3268095793978212E-2</v>
      </c>
      <c r="CP265" s="134">
        <f>VLOOKUP($H265,RoR!$E:$F,2,FALSE)</f>
        <v>4.9433333333333322E-2</v>
      </c>
      <c r="CQ265" s="135">
        <v>1.1684333519300205E-2</v>
      </c>
      <c r="CR265" s="135">
        <f t="shared" si="505"/>
        <v>3.7748999814033117E-2</v>
      </c>
      <c r="CS265" s="135">
        <f t="shared" si="508"/>
        <v>1.7633845814555411E-2</v>
      </c>
      <c r="CT265" s="135">
        <f t="shared" si="509"/>
        <v>4.7937530248493419E-2</v>
      </c>
      <c r="CU265" s="139">
        <f t="shared" si="499"/>
        <v>0.84940815000000003</v>
      </c>
      <c r="CV265" s="335">
        <f t="shared" si="500"/>
        <v>1.037398205301105</v>
      </c>
      <c r="CW265" s="335">
        <f t="shared" si="501"/>
        <v>0.46926837491571133</v>
      </c>
      <c r="CX265" s="335">
        <f t="shared" si="502"/>
        <v>0.8548537519972772</v>
      </c>
      <c r="CY265" s="335">
        <f t="shared" si="503"/>
        <v>0.41615833911547367</v>
      </c>
      <c r="CZ265" s="336">
        <f>INDEX('State Tax Lookup'!$D$7:$Z$91,MATCH(Calculation!$C265,'State Tax Lookup'!$B$7:$B$91,0),MATCH($H265,'State Tax Lookup'!$D$6:$Z$6,0))</f>
        <v>0.40700500000000001</v>
      </c>
      <c r="DA265" s="303">
        <v>0.37</v>
      </c>
      <c r="DB265" s="57">
        <f t="shared" si="506"/>
        <v>14.303316799599799</v>
      </c>
      <c r="DC265" s="56">
        <f t="shared" si="510"/>
        <v>1.1512558316266771E-2</v>
      </c>
      <c r="DD265" s="303">
        <f>VLOOKUP($H265,RoR!$E:$F,2,FALSE)</f>
        <v>4.9433333333333322E-2</v>
      </c>
      <c r="DE265" s="304">
        <f>HLOOKUP($H265,'GDP-PI'!$D$8:$CQ$11,3,FALSE)</f>
        <v>1.1684333519300205E-2</v>
      </c>
      <c r="DF265" s="303">
        <f>VLOOKUP(H265,'HW Dx Data'!$E:$F,2,FALSE)</f>
        <v>568.98950262971744</v>
      </c>
      <c r="DG265" s="89">
        <f ca="1">VLOOKUP(CC265,'ECI - Input Price'!M$13:N$33,2,FALSE)</f>
        <v>116.925</v>
      </c>
      <c r="DH265" s="89"/>
      <c r="DI265" s="89"/>
      <c r="DJ265" s="56">
        <f t="shared" ca="1" si="522"/>
        <v>5.2678406346976722E-2</v>
      </c>
      <c r="DK265" s="53">
        <f>HLOOKUP(H265,'GDP-PI'!$8:$9,2,FALSE)</f>
        <v>96.108999999999995</v>
      </c>
      <c r="DL265" s="355">
        <f t="shared" si="511"/>
        <v>1.1616598807150427E-2</v>
      </c>
      <c r="EC265"/>
    </row>
    <row r="266" spans="1:133" s="126" customFormat="1" ht="21" customHeight="1" x14ac:dyDescent="0.4">
      <c r="A266" s="233" t="s">
        <v>197</v>
      </c>
      <c r="B266" s="127" t="s">
        <v>197</v>
      </c>
      <c r="C266" s="127">
        <v>4057114</v>
      </c>
      <c r="D266" s="127" t="s">
        <v>187</v>
      </c>
      <c r="E266" s="127" t="s">
        <v>15</v>
      </c>
      <c r="F266" s="127"/>
      <c r="G266" s="127" t="s">
        <v>167</v>
      </c>
      <c r="H266" s="128">
        <v>2011</v>
      </c>
      <c r="I266" s="129"/>
      <c r="J266" s="125">
        <f>IFERROR(INDEX('Labor Expenditures'!$E$7:$W$91,MATCH($C266,'Labor Expenditures'!$C$7:$C$91,0),MATCH($G266,'Labor Expenditures'!$E$5:$W$5,0)),"NA")</f>
        <v>10654.301479713831</v>
      </c>
      <c r="K266" s="125">
        <f t="shared" ca="1" si="512"/>
        <v>88.143135302699747</v>
      </c>
      <c r="L266" s="47"/>
      <c r="M266" s="131">
        <f t="shared" ca="1" si="523"/>
        <v>-4.3193136945400008E-2</v>
      </c>
      <c r="N266" s="131"/>
      <c r="O266" s="131"/>
      <c r="P266" s="59">
        <f t="shared" ca="1" si="525"/>
        <v>-2.4163829592996968E-4</v>
      </c>
      <c r="Q266" s="61"/>
      <c r="R266" s="387"/>
      <c r="S266" s="49">
        <f t="shared" ca="1" si="530"/>
        <v>116.9330901192703</v>
      </c>
      <c r="T266" s="61">
        <f ca="1">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</f>
        <v>0.18320725775998212</v>
      </c>
      <c r="U266" s="61"/>
      <c r="V266" s="125">
        <f>IFERROR(INDEX('Non-Labor Expenditures'!$E$7:$AA$91,MATCH($C266,'Non-Labor Expenditures'!$C$7:$C$91,0),MATCH($G266,'Non-Labor Expenditures'!$E$5:$AA$5,0)),"NA")</f>
        <v>15429.418491649474</v>
      </c>
      <c r="W266" s="125">
        <f t="shared" si="513"/>
        <v>157.26331632878217</v>
      </c>
      <c r="X266" s="131">
        <f t="shared" si="526"/>
        <v>-3.0595605996740702E-2</v>
      </c>
      <c r="Y266" s="131">
        <f t="shared" si="527"/>
        <v>-1.7116307401665888E-4</v>
      </c>
      <c r="Z266" s="131"/>
      <c r="AA266" s="131"/>
      <c r="AB266" s="131"/>
      <c r="AC266" s="125">
        <f t="shared" si="491"/>
        <v>24672.198946467863</v>
      </c>
      <c r="AD266" s="129"/>
      <c r="AE266" s="133">
        <v>1758.1745072303875</v>
      </c>
      <c r="AF266" s="134">
        <v>7.0148311721829884E-3</v>
      </c>
      <c r="AG266" s="59">
        <f t="shared" si="514"/>
        <v>3.9243545862978798E-5</v>
      </c>
      <c r="AH266" s="134"/>
      <c r="AI266" s="134"/>
      <c r="AJ266" s="129">
        <f t="shared" si="444"/>
        <v>50755.918917831164</v>
      </c>
      <c r="AK266" s="134">
        <f t="shared" si="528"/>
        <v>1.7800187953094782E-2</v>
      </c>
      <c r="AL266" s="129"/>
      <c r="AM266" s="129"/>
      <c r="AN266" s="129"/>
      <c r="AO266" s="129"/>
      <c r="AP266" s="133">
        <f t="shared" si="529"/>
        <v>259.63700543169489</v>
      </c>
      <c r="AQ266" s="134">
        <f>+BB266/Outputs!$B$19</f>
        <v>5.5001584170996046E-3</v>
      </c>
      <c r="AR266" s="93">
        <f t="shared" si="515"/>
        <v>0.20991249310178181</v>
      </c>
      <c r="AS266" s="93">
        <f t="shared" si="516"/>
        <v>0.30399249625700175</v>
      </c>
      <c r="AT266" s="93">
        <f t="shared" si="517"/>
        <v>0.48609501064121652</v>
      </c>
      <c r="AU266" s="93">
        <f t="shared" ca="1" si="531"/>
        <v>-1.8626213441666595E-2</v>
      </c>
      <c r="AV266" s="132">
        <f t="shared" ca="1" si="533"/>
        <v>107.26520239693185</v>
      </c>
      <c r="AW266" s="134">
        <f t="shared" ca="1" si="534"/>
        <v>-1.8626213441666678E-2</v>
      </c>
      <c r="AX266" s="56">
        <f>+AJ266/$AL$16</f>
        <v>5.5943678329134121E-3</v>
      </c>
      <c r="AY266" s="135">
        <f t="shared" ca="1" si="532"/>
        <v>-1.0420188932703947E-4</v>
      </c>
      <c r="AZ266" s="93"/>
      <c r="BA266" s="93"/>
      <c r="BB266" s="234">
        <f>IFERROR(INDEX('Total Customers'!$E$7:$AA$91,MATCH($C266,'Total Customers'!$C$7:$C$91,0),MATCH($G266,'Total Customers'!$E$5:$AA$5,0)),"NA")</f>
        <v>195488</v>
      </c>
      <c r="BC266" s="411">
        <f t="shared" si="524"/>
        <v>-2.4472002077335984E-2</v>
      </c>
      <c r="BD266" s="92"/>
      <c r="BE266" s="281" t="str">
        <f t="shared" si="518"/>
        <v>COLONIAL GAS COMPANY</v>
      </c>
      <c r="BF266" s="290">
        <f t="shared" si="519"/>
        <v>4057114</v>
      </c>
      <c r="BG266" s="46" t="str">
        <f t="shared" si="520"/>
        <v>MA</v>
      </c>
      <c r="BH266" s="46"/>
      <c r="BI266" s="46" t="str">
        <f t="shared" si="521"/>
        <v>2011 Y</v>
      </c>
      <c r="BJ266" s="129"/>
      <c r="BK266" s="129"/>
      <c r="BL266" s="129">
        <f>INDEX('Dist. Plant Gas Additions'!$E$7:$AD$91,MATCH($C266,'Dist. Plant Gas Additions'!$C$7:$C$91,0),MATCH(Calculation!$G266,'Dist. Plant Gas Additions'!$E$5:$AD$5,0))</f>
        <v>15303</v>
      </c>
      <c r="BM266" s="129">
        <f>INDEX('Gen. Plant Additions'!$E$7:$AD$91,MATCH($C266,'Gen. Plant Additions'!$C$7:$C$91,0),MATCH(Calculation!$G266,'Gen. Plant Additions'!$E$5:$AD$5,0))</f>
        <v>309</v>
      </c>
      <c r="BN266" s="393">
        <f t="shared" si="492"/>
        <v>0.93233054374672431</v>
      </c>
      <c r="BO266" s="46">
        <f t="shared" si="493"/>
        <v>288.09013801773779</v>
      </c>
      <c r="BP266" s="46">
        <f t="shared" si="494"/>
        <v>-20.909861982262214</v>
      </c>
      <c r="BQ266" s="129"/>
      <c r="BR266" s="129"/>
      <c r="BS266" s="129"/>
      <c r="BT266" s="129"/>
      <c r="BU266" s="129"/>
      <c r="BV266" s="129"/>
      <c r="BW266" s="129"/>
      <c r="BX266" s="129"/>
      <c r="BY266" s="129">
        <f>INDEX('Gross Dx Plant'!$D$7:$AC$91,MATCH($C266,'Gross Dx Plant'!$C$7:$C$91,0),MATCH(Calculation!$G266,'Gross Dx Plant'!$D$5:$AC$5,0))</f>
        <v>272165</v>
      </c>
      <c r="BZ266" s="129">
        <f>INDEX('Gross Gen Plant'!$D$7:$AC$91,MATCH($C266,'Gross Gen Plant'!$C$7:$C$91,0),MATCH(Calculation!$G266,'Gross Gen Plant'!$D$5:$AC$5,0))</f>
        <v>19754</v>
      </c>
      <c r="CA266" s="129">
        <f t="shared" si="441"/>
        <v>291919</v>
      </c>
      <c r="CB266" s="129"/>
      <c r="CC266" s="133">
        <v>2011</v>
      </c>
      <c r="CD266" s="129"/>
      <c r="CE266" s="129"/>
      <c r="CF266" s="129"/>
      <c r="CG266" s="137"/>
      <c r="CH266" s="129">
        <f t="shared" si="495"/>
        <v>15612</v>
      </c>
      <c r="CI266" s="46">
        <f t="shared" si="504"/>
        <v>15591.090138017738</v>
      </c>
      <c r="CJ266" s="46">
        <f t="shared" si="496"/>
        <v>25.49183662110428</v>
      </c>
      <c r="CK266" s="443">
        <v>0.8539325842696629</v>
      </c>
      <c r="CL266" s="46">
        <f>+CL253*CK266+CJ254*CK265+CJ255*CK264+CJ256*CK263+CJ257*CK262+CJ258*CK261+CJ259*CK260+CJ260*CK259+CJ261*CK258+CJ262*CK257+CJ263*CK256+CJ264*CK255+CJ265*CK254+CJ266</f>
        <v>1642.3794102567283</v>
      </c>
      <c r="CM266" s="134">
        <f t="shared" si="497"/>
        <v>1.4166199197711482E-3</v>
      </c>
      <c r="CN266" s="135">
        <f t="shared" si="498"/>
        <v>1.4125663150859761E-2</v>
      </c>
      <c r="CO266" s="135">
        <f t="shared" si="507"/>
        <v>1.3689851439934973E-2</v>
      </c>
      <c r="CP266" s="134">
        <f>VLOOKUP($H266,RoR!$E:$F,2,FALSE)</f>
        <v>4.6391666666666664E-2</v>
      </c>
      <c r="CQ266" s="135">
        <v>2.0840920205183799E-2</v>
      </c>
      <c r="CR266" s="135">
        <f t="shared" si="505"/>
        <v>2.5550746461482865E-2</v>
      </c>
      <c r="CS266" s="135">
        <f t="shared" si="508"/>
        <v>1.7212090168598652E-2</v>
      </c>
      <c r="CT266" s="135">
        <f t="shared" si="509"/>
        <v>2.4810540821321614E-2</v>
      </c>
      <c r="CU266" s="139">
        <f t="shared" si="499"/>
        <v>0.84940815000000003</v>
      </c>
      <c r="CV266" s="335">
        <f t="shared" si="500"/>
        <v>1.1054151524782025</v>
      </c>
      <c r="CW266" s="335">
        <f t="shared" si="501"/>
        <v>0.43611011316687626</v>
      </c>
      <c r="CX266" s="335">
        <f t="shared" si="502"/>
        <v>0.83698442246886229</v>
      </c>
      <c r="CY266" s="335">
        <f t="shared" si="503"/>
        <v>0.40349573304423936</v>
      </c>
      <c r="CZ266" s="336">
        <f>INDEX('State Tax Lookup'!$D$7:$Z$91,MATCH(Calculation!$C266,'State Tax Lookup'!$B$7:$B$91,0),MATCH($H266,'State Tax Lookup'!$D$6:$Z$6,0))</f>
        <v>0.40700500000000001</v>
      </c>
      <c r="DA266" s="303">
        <v>0.37</v>
      </c>
      <c r="DB266" s="57">
        <f t="shared" si="506"/>
        <v>15.043524467360745</v>
      </c>
      <c r="DC266" s="56">
        <f t="shared" si="510"/>
        <v>5.0456176254655816E-2</v>
      </c>
      <c r="DD266" s="303">
        <f>VLOOKUP($H266,RoR!$E:$F,2,FALSE)</f>
        <v>4.6391666666666664E-2</v>
      </c>
      <c r="DE266" s="304">
        <f>HLOOKUP($H266,'GDP-PI'!$D$8:$CQ$11,3,FALSE)</f>
        <v>2.0840920205183799E-2</v>
      </c>
      <c r="DF266" s="303">
        <f>VLOOKUP(H266,'HW Dx Data'!$E:$F,2,FALSE)</f>
        <v>611.61109612283201</v>
      </c>
      <c r="DG266" s="89">
        <f ca="1">VLOOKUP(CC266,'ECI - Input Price'!M$13:N$33,2,FALSE)</f>
        <v>120.875</v>
      </c>
      <c r="DH266" s="89"/>
      <c r="DI266" s="89"/>
      <c r="DJ266" s="56">
        <f t="shared" ca="1" si="522"/>
        <v>3.3224250161508609E-2</v>
      </c>
      <c r="DK266" s="53">
        <f>HLOOKUP(H266,'GDP-PI'!$8:$9,2,FALSE)</f>
        <v>98.111999999999995</v>
      </c>
      <c r="DL266" s="355">
        <f t="shared" si="511"/>
        <v>2.0626719212849295E-2</v>
      </c>
      <c r="EC266"/>
    </row>
    <row r="267" spans="1:133" s="126" customFormat="1" ht="21" customHeight="1" x14ac:dyDescent="0.4">
      <c r="A267" s="233" t="s">
        <v>197</v>
      </c>
      <c r="B267" s="127" t="s">
        <v>197</v>
      </c>
      <c r="C267" s="127">
        <v>4057114</v>
      </c>
      <c r="D267" s="127" t="s">
        <v>187</v>
      </c>
      <c r="E267" s="127" t="s">
        <v>15</v>
      </c>
      <c r="F267" s="127"/>
      <c r="G267" s="127" t="s">
        <v>168</v>
      </c>
      <c r="H267" s="128">
        <v>2012</v>
      </c>
      <c r="I267" s="129"/>
      <c r="J267" s="125">
        <f>IFERROR(INDEX('Labor Expenditures'!$E$7:$W$91,MATCH($C267,'Labor Expenditures'!$C$7:$C$91,0),MATCH($G267,'Labor Expenditures'!$E$5:$W$5,0)),"NA")</f>
        <v>8384.0890162192154</v>
      </c>
      <c r="K267" s="125">
        <f t="shared" ca="1" si="512"/>
        <v>67.180200450474473</v>
      </c>
      <c r="L267" s="47"/>
      <c r="M267" s="131">
        <f t="shared" ca="1" si="523"/>
        <v>-0.27158346266767996</v>
      </c>
      <c r="N267" s="131"/>
      <c r="O267" s="131"/>
      <c r="P267" s="59">
        <f t="shared" ca="1" si="525"/>
        <v>-1.3528819719048359E-3</v>
      </c>
      <c r="Q267" s="61"/>
      <c r="R267" s="387"/>
      <c r="S267" s="49">
        <f t="shared" ca="1" si="530"/>
        <v>114.82582223125712</v>
      </c>
      <c r="T267" s="61">
        <f ca="1">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</f>
        <v>-1.8185500969923492E-2</v>
      </c>
      <c r="U267" s="61"/>
      <c r="V267" s="125">
        <f>IFERROR(INDEX('Non-Labor Expenditures'!$E$7:$AA$91,MATCH($C267,'Non-Labor Expenditures'!$C$7:$C$91,0),MATCH($G267,'Non-Labor Expenditures'!$E$5:$AA$5,0)),"NA")</f>
        <v>12141.726827309809</v>
      </c>
      <c r="W267" s="125">
        <f t="shared" si="513"/>
        <v>121.41726827309809</v>
      </c>
      <c r="X267" s="131">
        <f t="shared" si="526"/>
        <v>-0.25868846324455336</v>
      </c>
      <c r="Y267" s="131">
        <f t="shared" si="527"/>
        <v>-1.2886460568166697E-3</v>
      </c>
      <c r="Z267" s="131"/>
      <c r="AA267" s="131"/>
      <c r="AB267" s="131"/>
      <c r="AC267" s="125">
        <f t="shared" si="491"/>
        <v>26241.919090394389</v>
      </c>
      <c r="AD267" s="129"/>
      <c r="AE267" s="133">
        <v>1770.2680234376805</v>
      </c>
      <c r="AF267" s="134">
        <v>6.854901820286495E-3</v>
      </c>
      <c r="AG267" s="59">
        <f t="shared" si="514"/>
        <v>3.4147414576531535E-5</v>
      </c>
      <c r="AH267" s="134"/>
      <c r="AI267" s="134"/>
      <c r="AJ267" s="129">
        <f t="shared" si="444"/>
        <v>46767.734933923413</v>
      </c>
      <c r="AK267" s="134">
        <f t="shared" si="528"/>
        <v>-8.1834699371617706E-2</v>
      </c>
      <c r="AL267" s="129"/>
      <c r="AM267" s="129"/>
      <c r="AN267" s="129"/>
      <c r="AO267" s="129"/>
      <c r="AP267" s="133">
        <f t="shared" si="529"/>
        <v>236.01115737323772</v>
      </c>
      <c r="AQ267" s="134">
        <f>+BB267/Outputs!$B$20</f>
        <v>5.548589760386571E-3</v>
      </c>
      <c r="AR267" s="93">
        <f t="shared" si="515"/>
        <v>0.17927079487738326</v>
      </c>
      <c r="AS267" s="93">
        <f t="shared" si="516"/>
        <v>0.25961759414828306</v>
      </c>
      <c r="AT267" s="93">
        <f t="shared" si="517"/>
        <v>0.56111161097433371</v>
      </c>
      <c r="AU267" s="93">
        <f t="shared" ca="1" si="531"/>
        <v>-0.12574758655892071</v>
      </c>
      <c r="AV267" s="132">
        <f t="shared" ca="1" si="533"/>
        <v>94.590467868805035</v>
      </c>
      <c r="AW267" s="134">
        <f t="shared" ca="1" si="534"/>
        <v>-0.12574758655892074</v>
      </c>
      <c r="AX267" s="56">
        <f>+AJ267/$AL$17</f>
        <v>4.9814593223604141E-3</v>
      </c>
      <c r="AY267" s="135">
        <f t="shared" ca="1" si="532"/>
        <v>-6.2640648732825883E-4</v>
      </c>
      <c r="AZ267" s="93"/>
      <c r="BA267" s="93"/>
      <c r="BB267" s="234">
        <f>IFERROR(INDEX('Total Customers'!$E$7:$AA$91,MATCH($C267,'Total Customers'!$C$7:$C$91,0),MATCH($G267,'Total Customers'!$E$5:$AA$5,0)),"NA")</f>
        <v>198159</v>
      </c>
      <c r="BC267" s="411">
        <f t="shared" si="524"/>
        <v>1.357074227388478E-2</v>
      </c>
      <c r="BD267" s="92"/>
      <c r="BE267" s="281" t="str">
        <f t="shared" si="518"/>
        <v>COLONIAL GAS COMPANY</v>
      </c>
      <c r="BF267" s="290">
        <f t="shared" si="519"/>
        <v>4057114</v>
      </c>
      <c r="BG267" s="46" t="str">
        <f t="shared" si="520"/>
        <v>MA</v>
      </c>
      <c r="BH267" s="46"/>
      <c r="BI267" s="46" t="str">
        <f t="shared" si="521"/>
        <v>2012 Y</v>
      </c>
      <c r="BJ267" s="129"/>
      <c r="BK267" s="129"/>
      <c r="BL267" s="129">
        <f>INDEX('Dist. Plant Gas Additions'!$E$7:$AD$91,MATCH($C267,'Dist. Plant Gas Additions'!$C$7:$C$91,0),MATCH(Calculation!$G267,'Dist. Plant Gas Additions'!$E$5:$AD$5,0))</f>
        <v>17040</v>
      </c>
      <c r="BM267" s="129">
        <f>INDEX('Gen. Plant Additions'!$E$7:$AD$91,MATCH($C267,'Gen. Plant Additions'!$C$7:$C$91,0),MATCH(Calculation!$G267,'Gen. Plant Additions'!$E$5:$AD$5,0))</f>
        <v>311</v>
      </c>
      <c r="BN267" s="393">
        <f t="shared" si="492"/>
        <v>0.93769323327005605</v>
      </c>
      <c r="BO267" s="46">
        <f t="shared" si="493"/>
        <v>291.62259554698744</v>
      </c>
      <c r="BP267" s="46">
        <f t="shared" si="494"/>
        <v>-19.377404453012559</v>
      </c>
      <c r="BQ267" s="129"/>
      <c r="BR267" s="129"/>
      <c r="BS267" s="129"/>
      <c r="BT267" s="129"/>
      <c r="BU267" s="129"/>
      <c r="BV267" s="129"/>
      <c r="BW267" s="129"/>
      <c r="BX267" s="129"/>
      <c r="BY267" s="129">
        <f>INDEX('Gross Dx Plant'!$D$7:$AC$91,MATCH($C267,'Gross Dx Plant'!$C$7:$C$91,0),MATCH(Calculation!$G267,'Gross Dx Plant'!$D$5:$AC$5,0))</f>
        <v>286003</v>
      </c>
      <c r="BZ267" s="129">
        <f>INDEX('Gross Gen Plant'!$D$7:$AC$91,MATCH($C267,'Gross Gen Plant'!$C$7:$C$91,0),MATCH(Calculation!$G267,'Gross Gen Plant'!$D$5:$AC$5,0))</f>
        <v>19004</v>
      </c>
      <c r="CA267" s="129">
        <f t="shared" si="441"/>
        <v>305007</v>
      </c>
      <c r="CB267" s="129"/>
      <c r="CC267" s="133">
        <v>2012</v>
      </c>
      <c r="CD267" s="129"/>
      <c r="CE267" s="129"/>
      <c r="CF267" s="129"/>
      <c r="CG267" s="137"/>
      <c r="CH267" s="129">
        <f t="shared" si="495"/>
        <v>17351</v>
      </c>
      <c r="CI267" s="46">
        <f t="shared" si="504"/>
        <v>17331.622595546989</v>
      </c>
      <c r="CJ267" s="46">
        <f t="shared" si="496"/>
        <v>25.909884828575745</v>
      </c>
      <c r="CK267" s="443">
        <v>0.84090909090909094</v>
      </c>
      <c r="CL267" s="46">
        <f>+CL253*CK267+CJ254*CK266+CJ255*CK265+CJ256*CK264+CJ257*CK263+CJ258*CK262+CJ259*CK261+CJ260*CK260+CJ261*CK259+CJ262*CK258+CJ263*CK257+CJ264*CK256+CJ265*CK255+CJ266*CK254+CJ267</f>
        <v>1644.349239167565</v>
      </c>
      <c r="CM267" s="134">
        <f t="shared" si="497"/>
        <v>1.1986563886448047E-3</v>
      </c>
      <c r="CN267" s="135">
        <f t="shared" si="498"/>
        <v>1.4576446689621426E-2</v>
      </c>
      <c r="CO267" s="135">
        <f t="shared" si="507"/>
        <v>1.4125939128307924E-2</v>
      </c>
      <c r="CP267" s="134">
        <f>VLOOKUP($H267,RoR!$E:$F,2,FALSE)</f>
        <v>3.6733333333333333E-2</v>
      </c>
      <c r="CQ267" s="135">
        <v>1.924331376386168E-2</v>
      </c>
      <c r="CR267" s="135">
        <f t="shared" si="505"/>
        <v>1.7490019569471653E-2</v>
      </c>
      <c r="CS267" s="135">
        <f t="shared" si="508"/>
        <v>1.6776002480225701E-2</v>
      </c>
      <c r="CT267" s="135">
        <f t="shared" si="509"/>
        <v>6.7122682943869583E-2</v>
      </c>
      <c r="CU267" s="139">
        <f t="shared" si="499"/>
        <v>0.84940815000000003</v>
      </c>
      <c r="CV267" s="335">
        <f t="shared" si="500"/>
        <v>1.3960631020522127</v>
      </c>
      <c r="CW267" s="335">
        <f t="shared" si="501"/>
        <v>0.29441923774954631</v>
      </c>
      <c r="CX267" s="335">
        <f t="shared" si="502"/>
        <v>0.76377954189366437</v>
      </c>
      <c r="CY267" s="335">
        <f t="shared" si="503"/>
        <v>0.31393465103033691</v>
      </c>
      <c r="CZ267" s="336">
        <f>INDEX('State Tax Lookup'!$D$7:$Z$91,MATCH(Calculation!$C267,'State Tax Lookup'!$B$7:$B$91,0),MATCH($H267,'State Tax Lookup'!$D$6:$Z$6,0))</f>
        <v>0.40700500000000001</v>
      </c>
      <c r="DA267" s="303">
        <v>0.37</v>
      </c>
      <c r="DB267" s="57">
        <f t="shared" si="506"/>
        <v>15.977988354281905</v>
      </c>
      <c r="DC267" s="56">
        <f t="shared" si="510"/>
        <v>6.0264416546403798E-2</v>
      </c>
      <c r="DD267" s="303">
        <f>VLOOKUP($H267,RoR!$E:$F,2,FALSE)</f>
        <v>3.6733333333333333E-2</v>
      </c>
      <c r="DE267" s="304">
        <f>HLOOKUP($H267,'GDP-PI'!$D$8:$CQ$11,3,FALSE)</f>
        <v>1.924331376386168E-2</v>
      </c>
      <c r="DF267" s="303">
        <f>VLOOKUP(H267,'HW Dx Data'!$E:$F,2,FALSE)</f>
        <v>668.91932211262167</v>
      </c>
      <c r="DG267" s="89">
        <f ca="1">VLOOKUP(CC267,'ECI - Input Price'!M$13:N$33,2,FALSE)</f>
        <v>124.80000000000001</v>
      </c>
      <c r="DH267" s="89"/>
      <c r="DI267" s="89"/>
      <c r="DJ267" s="56">
        <f t="shared" ca="1" si="522"/>
        <v>3.1955502161869064E-2</v>
      </c>
      <c r="DK267" s="53">
        <f>HLOOKUP(H267,'GDP-PI'!$8:$9,2,FALSE)</f>
        <v>100</v>
      </c>
      <c r="DL267" s="355">
        <f t="shared" si="511"/>
        <v>1.9060502738742411E-2</v>
      </c>
      <c r="EC267"/>
    </row>
    <row r="268" spans="1:133" s="126" customFormat="1" ht="21" customHeight="1" x14ac:dyDescent="0.4">
      <c r="A268" s="233" t="s">
        <v>197</v>
      </c>
      <c r="B268" s="127" t="s">
        <v>197</v>
      </c>
      <c r="C268" s="127">
        <v>4057114</v>
      </c>
      <c r="D268" s="127" t="s">
        <v>187</v>
      </c>
      <c r="E268" s="127" t="s">
        <v>15</v>
      </c>
      <c r="F268" s="127"/>
      <c r="G268" s="127" t="s">
        <v>169</v>
      </c>
      <c r="H268" s="128">
        <v>2013</v>
      </c>
      <c r="I268" s="129"/>
      <c r="J268" s="125">
        <f>IFERROR(INDEX('Labor Expenditures'!$E$7:$W$91,MATCH($C268,'Labor Expenditures'!$C$7:$C$91,0),MATCH($G268,'Labor Expenditures'!$E$5:$W$5,0)),"NA")</f>
        <v>10460.506545021377</v>
      </c>
      <c r="K268" s="125">
        <f t="shared" ca="1" si="512"/>
        <v>82.496108399222223</v>
      </c>
      <c r="L268" s="47"/>
      <c r="M268" s="131">
        <f t="shared" ca="1" si="523"/>
        <v>0.20537255334784316</v>
      </c>
      <c r="N268" s="131"/>
      <c r="O268" s="131"/>
      <c r="P268" s="59">
        <f t="shared" ca="1" si="525"/>
        <v>1.0759281840152836E-3</v>
      </c>
      <c r="Q268" s="61"/>
      <c r="R268" s="387"/>
      <c r="S268" s="49">
        <f t="shared" ca="1" si="530"/>
        <v>108.27025289893278</v>
      </c>
      <c r="T268" s="61">
        <f ca="1">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</f>
        <v>-5.878594778268563E-2</v>
      </c>
      <c r="U268" s="61"/>
      <c r="V268" s="125">
        <f>IFERROR(INDEX('Non-Labor Expenditures'!$E$7:$AA$91,MATCH($C268,'Non-Labor Expenditures'!$C$7:$C$91,0),MATCH($G268,'Non-Labor Expenditures'!$E$5:$AA$5,0)),"NA")</f>
        <v>15148.767230313842</v>
      </c>
      <c r="W268" s="125">
        <f t="shared" si="513"/>
        <v>148.84858685814353</v>
      </c>
      <c r="X268" s="131">
        <f t="shared" si="526"/>
        <v>0.20369648239913049</v>
      </c>
      <c r="Y268" s="131">
        <f t="shared" si="527"/>
        <v>1.0671474002993853E-3</v>
      </c>
      <c r="Z268" s="131"/>
      <c r="AA268" s="131"/>
      <c r="AB268" s="131"/>
      <c r="AC268" s="125">
        <f t="shared" si="491"/>
        <v>25368.345061316373</v>
      </c>
      <c r="AD268" s="129"/>
      <c r="AE268" s="133">
        <v>1775.1909458958817</v>
      </c>
      <c r="AF268" s="134">
        <v>2.7770315011626519E-3</v>
      </c>
      <c r="AG268" s="59">
        <f t="shared" si="514"/>
        <v>1.4548616216201647E-5</v>
      </c>
      <c r="AH268" s="134"/>
      <c r="AI268" s="134"/>
      <c r="AJ268" s="129">
        <f t="shared" si="444"/>
        <v>50977.618836651593</v>
      </c>
      <c r="AK268" s="134">
        <f t="shared" si="528"/>
        <v>8.6193149390488097E-2</v>
      </c>
      <c r="AL268" s="129"/>
      <c r="AM268" s="129"/>
      <c r="AN268" s="129"/>
      <c r="AO268" s="129"/>
      <c r="AP268" s="133">
        <f t="shared" si="529"/>
        <v>253.69319921495551</v>
      </c>
      <c r="AQ268" s="134">
        <f>+BB268/Outputs!$B$21</f>
        <v>5.5906560906550887E-3</v>
      </c>
      <c r="AR268" s="93">
        <f t="shared" si="515"/>
        <v>0.20519802187191494</v>
      </c>
      <c r="AS268" s="93">
        <f t="shared" si="516"/>
        <v>0.29716506137439025</v>
      </c>
      <c r="AT268" s="93">
        <f t="shared" si="517"/>
        <v>0.49763691675369481</v>
      </c>
      <c r="AU268" s="93">
        <f t="shared" ca="1" si="531"/>
        <v>9.6187005484621391E-2</v>
      </c>
      <c r="AV268" s="132">
        <f t="shared" ca="1" si="533"/>
        <v>104.14078795169522</v>
      </c>
      <c r="AW268" s="134">
        <f t="shared" ca="1" si="534"/>
        <v>9.6187005484621363E-2</v>
      </c>
      <c r="AX268" s="56">
        <f>+AJ268/$AL$18</f>
        <v>5.2389093210180072E-3</v>
      </c>
      <c r="AY268" s="135">
        <f t="shared" ca="1" si="532"/>
        <v>5.0391499959419306E-4</v>
      </c>
      <c r="AZ268" s="93"/>
      <c r="BA268" s="93"/>
      <c r="BB268" s="234">
        <f>IFERROR(INDEX('Total Customers'!$E$7:$AA$91,MATCH($C268,'Total Customers'!$C$7:$C$91,0),MATCH($G268,'Total Customers'!$E$5:$AA$5,0)),"NA")</f>
        <v>200942</v>
      </c>
      <c r="BC268" s="411">
        <f t="shared" si="524"/>
        <v>1.3946570463260659E-2</v>
      </c>
      <c r="BD268" s="92"/>
      <c r="BE268" s="281" t="str">
        <f t="shared" si="518"/>
        <v>COLONIAL GAS COMPANY</v>
      </c>
      <c r="BF268" s="290">
        <f t="shared" si="519"/>
        <v>4057114</v>
      </c>
      <c r="BG268" s="46" t="str">
        <f t="shared" si="520"/>
        <v>MA</v>
      </c>
      <c r="BH268" s="46"/>
      <c r="BI268" s="46" t="str">
        <f t="shared" si="521"/>
        <v>2013 Y</v>
      </c>
      <c r="BJ268" s="129"/>
      <c r="BK268" s="129"/>
      <c r="BL268" s="129">
        <f>INDEX('Dist. Plant Gas Additions'!$E$7:$AD$91,MATCH($C268,'Dist. Plant Gas Additions'!$C$7:$C$91,0),MATCH(Calculation!$G268,'Dist. Plant Gas Additions'!$E$5:$AD$5,0))</f>
        <v>11885</v>
      </c>
      <c r="BM268" s="129">
        <f>INDEX('Gen. Plant Additions'!$E$7:$AD$91,MATCH($C268,'Gen. Plant Additions'!$C$7:$C$91,0),MATCH(Calculation!$G268,'Gen. Plant Additions'!$E$5:$AD$5,0))</f>
        <v>989</v>
      </c>
      <c r="BN268" s="393">
        <f t="shared" si="492"/>
        <v>0.93645399900187865</v>
      </c>
      <c r="BO268" s="46">
        <f t="shared" si="493"/>
        <v>926.15300501285799</v>
      </c>
      <c r="BP268" s="46">
        <f t="shared" si="494"/>
        <v>-62.846994987142011</v>
      </c>
      <c r="BQ268" s="129"/>
      <c r="BR268" s="129"/>
      <c r="BS268" s="129"/>
      <c r="BT268" s="129"/>
      <c r="BU268" s="129"/>
      <c r="BV268" s="129"/>
      <c r="BW268" s="129"/>
      <c r="BX268" s="129"/>
      <c r="BY268" s="129">
        <f>INDEX('Gross Dx Plant'!$D$7:$AC$91,MATCH($C268,'Gross Dx Plant'!$C$7:$C$91,0),MATCH(Calculation!$G268,'Gross Dx Plant'!$D$5:$AC$5,0))</f>
        <v>294600</v>
      </c>
      <c r="BZ268" s="129">
        <f>INDEX('Gross Gen Plant'!$D$7:$AC$91,MATCH($C268,'Gross Gen Plant'!$C$7:$C$91,0),MATCH(Calculation!$G268,'Gross Gen Plant'!$D$5:$AC$5,0))</f>
        <v>19991</v>
      </c>
      <c r="CA268" s="129">
        <f t="shared" si="441"/>
        <v>314591</v>
      </c>
      <c r="CB268" s="129"/>
      <c r="CC268" s="133">
        <v>2013</v>
      </c>
      <c r="CD268" s="129"/>
      <c r="CE268" s="129"/>
      <c r="CF268" s="129"/>
      <c r="CG268" s="137"/>
      <c r="CH268" s="129">
        <f t="shared" si="495"/>
        <v>12874</v>
      </c>
      <c r="CI268" s="46">
        <f t="shared" si="504"/>
        <v>12811.153005012859</v>
      </c>
      <c r="CJ268" s="46">
        <f t="shared" si="496"/>
        <v>19.315769022592118</v>
      </c>
      <c r="CK268" s="443">
        <v>0.82758620689655171</v>
      </c>
      <c r="CL268" s="46">
        <f>+CL253*CK268+CJ254*CK267+CJ255*CK266+CJ256*CK265+CJ257*CK264+CJ258*CK263+CJ259*CK262+CJ260*CK261+CJ261*CK260+CJ262*CK259+CJ263*CK258+CJ264*CK257+CJ265*CK256+CJ266*CK255+CJ267*CK254+CJ268</f>
        <v>1638.9247916008674</v>
      </c>
      <c r="CM268" s="134">
        <f t="shared" si="497"/>
        <v>-3.3042947078862034E-3</v>
      </c>
      <c r="CN268" s="135">
        <f t="shared" si="498"/>
        <v>1.5045597370674254E-2</v>
      </c>
      <c r="CO268" s="135">
        <f t="shared" si="507"/>
        <v>1.4582569070385146E-2</v>
      </c>
      <c r="CP268" s="134">
        <f>VLOOKUP($H268,RoR!$E:$F,2,FALSE)</f>
        <v>4.2350000000000006E-2</v>
      </c>
      <c r="CQ268" s="135">
        <v>1.7730000000000024E-2</v>
      </c>
      <c r="CR268" s="135">
        <f t="shared" si="505"/>
        <v>2.4619999999999982E-2</v>
      </c>
      <c r="CS268" s="135">
        <f t="shared" si="508"/>
        <v>1.6319372538148479E-2</v>
      </c>
      <c r="CT268" s="135">
        <f t="shared" si="509"/>
        <v>5.3376742735721204E-2</v>
      </c>
      <c r="CU268" s="139">
        <f t="shared" si="499"/>
        <v>0.84940815000000003</v>
      </c>
      <c r="CV268" s="335">
        <f t="shared" si="500"/>
        <v>1.2109103018193925</v>
      </c>
      <c r="CW268" s="335">
        <f t="shared" si="501"/>
        <v>0.38468122786304604</v>
      </c>
      <c r="CX268" s="335">
        <f t="shared" si="502"/>
        <v>0.80969194503422559</v>
      </c>
      <c r="CY268" s="335">
        <f t="shared" si="503"/>
        <v>0.37716621754800816</v>
      </c>
      <c r="CZ268" s="336">
        <f>INDEX('State Tax Lookup'!$D$7:$Z$91,MATCH(Calculation!$C268,'State Tax Lookup'!$B$7:$B$91,0),MATCH($H268,'State Tax Lookup'!$D$6:$Z$6,0))</f>
        <v>0.40700500000000001</v>
      </c>
      <c r="DA268" s="303">
        <v>0.37</v>
      </c>
      <c r="DB268" s="57">
        <f t="shared" si="506"/>
        <v>15.427589502920219</v>
      </c>
      <c r="DC268" s="56">
        <f t="shared" si="510"/>
        <v>-3.5054614485683047E-2</v>
      </c>
      <c r="DD268" s="303">
        <f>VLOOKUP($H268,RoR!$E:$F,2,FALSE)</f>
        <v>4.2350000000000006E-2</v>
      </c>
      <c r="DE268" s="304">
        <f>HLOOKUP($H268,'GDP-PI'!$D$8:$CQ$11,3,FALSE)</f>
        <v>1.7730000000000024E-2</v>
      </c>
      <c r="DF268" s="303">
        <f>VLOOKUP(H268,'HW Dx Data'!$E:$F,2,FALSE)</f>
        <v>663.24840548821396</v>
      </c>
      <c r="DG268" s="89">
        <f ca="1">VLOOKUP(CC268,'ECI - Input Price'!M$13:N$33,2,FALSE)</f>
        <v>126.8</v>
      </c>
      <c r="DH268" s="89"/>
      <c r="DI268" s="89"/>
      <c r="DJ268" s="56">
        <f t="shared" ca="1" si="522"/>
        <v>1.5898586067798204E-2</v>
      </c>
      <c r="DK268" s="53">
        <f>HLOOKUP(H268,'GDP-PI'!$8:$9,2,FALSE)</f>
        <v>101.773</v>
      </c>
      <c r="DL268" s="355">
        <f t="shared" si="511"/>
        <v>1.7574657016510519E-2</v>
      </c>
      <c r="EC268"/>
    </row>
    <row r="269" spans="1:133" s="126" customFormat="1" ht="21" customHeight="1" x14ac:dyDescent="0.4">
      <c r="A269" s="233" t="s">
        <v>197</v>
      </c>
      <c r="B269" s="127" t="s">
        <v>197</v>
      </c>
      <c r="C269" s="127">
        <v>4057114</v>
      </c>
      <c r="D269" s="127" t="s">
        <v>187</v>
      </c>
      <c r="E269" s="127" t="s">
        <v>15</v>
      </c>
      <c r="F269" s="127"/>
      <c r="G269" s="127" t="s">
        <v>170</v>
      </c>
      <c r="H269" s="128">
        <v>2014</v>
      </c>
      <c r="I269" s="129"/>
      <c r="J269" s="125">
        <f>IFERROR(INDEX('Labor Expenditures'!$E$7:$W$91,MATCH($C269,'Labor Expenditures'!$C$7:$C$91,0),MATCH($G269,'Labor Expenditures'!$E$5:$W$5,0)),"NA")</f>
        <v>10814.407376252071</v>
      </c>
      <c r="K269" s="125">
        <f t="shared" ca="1" si="512"/>
        <v>83.573472768563136</v>
      </c>
      <c r="L269" s="47"/>
      <c r="M269" s="131">
        <f t="shared" ca="1" si="523"/>
        <v>1.2975037046389692E-2</v>
      </c>
      <c r="N269" s="131"/>
      <c r="O269" s="131"/>
      <c r="P269" s="59">
        <f t="shared" ca="1" si="525"/>
        <v>6.7878224533584166E-5</v>
      </c>
      <c r="Q269" s="61"/>
      <c r="R269" s="387"/>
      <c r="S269" s="49">
        <f t="shared" ca="1" si="530"/>
        <v>121.0564688804542</v>
      </c>
      <c r="T269" s="61">
        <f ca="1">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</f>
        <v>0.11162667855829322</v>
      </c>
      <c r="U269" s="61"/>
      <c r="V269" s="125">
        <f>IFERROR(INDEX('Non-Labor Expenditures'!$E$7:$AA$91,MATCH($C269,'Non-Labor Expenditures'!$C$7:$C$91,0),MATCH($G269,'Non-Labor Expenditures'!$E$5:$AA$5,0)),"NA")</f>
        <v>15661.281733493423</v>
      </c>
      <c r="W269" s="125">
        <f t="shared" si="513"/>
        <v>151.10212291232185</v>
      </c>
      <c r="X269" s="131">
        <f t="shared" si="526"/>
        <v>1.5026325211808689E-2</v>
      </c>
      <c r="Y269" s="131">
        <f t="shared" si="527"/>
        <v>7.8609430785834324E-5</v>
      </c>
      <c r="Z269" s="131"/>
      <c r="AA269" s="131"/>
      <c r="AB269" s="131"/>
      <c r="AC269" s="125">
        <f t="shared" si="491"/>
        <v>25363.859010573382</v>
      </c>
      <c r="AD269" s="129"/>
      <c r="AE269" s="133">
        <v>1784.8855922718926</v>
      </c>
      <c r="AF269" s="134">
        <v>5.4463269179734252E-3</v>
      </c>
      <c r="AG269" s="59">
        <f t="shared" si="514"/>
        <v>2.8492173093591981E-5</v>
      </c>
      <c r="AH269" s="134"/>
      <c r="AI269" s="134"/>
      <c r="AJ269" s="129">
        <f t="shared" si="444"/>
        <v>51839.548120318876</v>
      </c>
      <c r="AK269" s="134">
        <f t="shared" si="528"/>
        <v>1.6766645128266464E-2</v>
      </c>
      <c r="AL269" s="129"/>
      <c r="AM269" s="129"/>
      <c r="AN269" s="129"/>
      <c r="AO269" s="129"/>
      <c r="AP269" s="133">
        <f t="shared" si="529"/>
        <v>254.24504708439045</v>
      </c>
      <c r="AQ269" s="134">
        <f>+BB269/Outputs!$B$22</f>
        <v>5.6425289541579115E-3</v>
      </c>
      <c r="AR269" s="93">
        <f t="shared" si="515"/>
        <v>0.20861307184144393</v>
      </c>
      <c r="AS269" s="93">
        <f t="shared" si="516"/>
        <v>0.30211069157361875</v>
      </c>
      <c r="AT269" s="93">
        <f t="shared" si="517"/>
        <v>0.48927623658493735</v>
      </c>
      <c r="AU269" s="93">
        <f t="shared" ca="1" si="531"/>
        <v>7.1870633132430856E-3</v>
      </c>
      <c r="AV269" s="132">
        <f t="shared" ca="1" si="533"/>
        <v>104.89195048115519</v>
      </c>
      <c r="AW269" s="134">
        <f t="shared" ca="1" si="534"/>
        <v>7.1870633132429867E-3</v>
      </c>
      <c r="AX269" s="56">
        <f>+AJ269/$AL$19</f>
        <v>5.231447454901202E-3</v>
      </c>
      <c r="AY269" s="135">
        <f t="shared" ca="1" si="532"/>
        <v>3.7598744078278824E-5</v>
      </c>
      <c r="AZ269" s="93"/>
      <c r="BA269" s="93"/>
      <c r="BB269" s="234">
        <f>IFERROR(INDEX('Total Customers'!$E$7:$AA$91,MATCH($C269,'Total Customers'!$C$7:$C$91,0),MATCH($G269,'Total Customers'!$E$5:$AA$5,0)),"NA")</f>
        <v>203896</v>
      </c>
      <c r="BC269" s="411">
        <f t="shared" si="524"/>
        <v>1.459375072394384E-2</v>
      </c>
      <c r="BD269" s="92"/>
      <c r="BE269" s="281" t="str">
        <f t="shared" si="518"/>
        <v>COLONIAL GAS COMPANY</v>
      </c>
      <c r="BF269" s="290">
        <f t="shared" si="519"/>
        <v>4057114</v>
      </c>
      <c r="BG269" s="46" t="str">
        <f t="shared" si="520"/>
        <v>MA</v>
      </c>
      <c r="BH269" s="46"/>
      <c r="BI269" s="46" t="str">
        <f t="shared" si="521"/>
        <v>2014 Y</v>
      </c>
      <c r="BJ269" s="129"/>
      <c r="BK269" s="129"/>
      <c r="BL269" s="129">
        <f>INDEX('Dist. Plant Gas Additions'!$E$7:$AD$91,MATCH($C269,'Dist. Plant Gas Additions'!$C$7:$C$91,0),MATCH(Calculation!$G269,'Dist. Plant Gas Additions'!$E$5:$AD$5,0))</f>
        <v>15374</v>
      </c>
      <c r="BM269" s="129">
        <f>INDEX('Gen. Plant Additions'!$E$7:$AD$91,MATCH($C269,'Gen. Plant Additions'!$C$7:$C$91,0),MATCH(Calculation!$G269,'Gen. Plant Additions'!$E$5:$AD$5,0))</f>
        <v>1618</v>
      </c>
      <c r="BN269" s="393">
        <f t="shared" si="492"/>
        <v>0.93341762782951954</v>
      </c>
      <c r="BO269" s="46">
        <f t="shared" si="493"/>
        <v>1510.2697218281626</v>
      </c>
      <c r="BP269" s="46">
        <f t="shared" si="494"/>
        <v>-107.73027817183743</v>
      </c>
      <c r="BQ269" s="129"/>
      <c r="BR269" s="129"/>
      <c r="BS269" s="129"/>
      <c r="BT269" s="129"/>
      <c r="BU269" s="129"/>
      <c r="BV269" s="129"/>
      <c r="BW269" s="129"/>
      <c r="BX269" s="129"/>
      <c r="BY269" s="129">
        <f>INDEX('Gross Dx Plant'!$D$7:$AC$91,MATCH($C269,'Gross Dx Plant'!$C$7:$C$91,0),MATCH(Calculation!$G269,'Gross Dx Plant'!$D$5:$AC$5,0))</f>
        <v>302670</v>
      </c>
      <c r="BZ269" s="129">
        <f>INDEX('Gross Gen Plant'!$D$7:$AC$91,MATCH($C269,'Gross Gen Plant'!$C$7:$C$91,0),MATCH(Calculation!$G269,'Gross Gen Plant'!$D$5:$AC$5,0))</f>
        <v>21590</v>
      </c>
      <c r="CA269" s="129">
        <f t="shared" si="441"/>
        <v>324260</v>
      </c>
      <c r="CB269" s="129"/>
      <c r="CC269" s="133">
        <v>2014</v>
      </c>
      <c r="CD269" s="129"/>
      <c r="CE269" s="129"/>
      <c r="CF269" s="129"/>
      <c r="CG269" s="137"/>
      <c r="CH269" s="129">
        <f t="shared" si="495"/>
        <v>16992</v>
      </c>
      <c r="CI269" s="46">
        <f t="shared" si="504"/>
        <v>16884.269721828161</v>
      </c>
      <c r="CJ269" s="46">
        <f t="shared" si="496"/>
        <v>24.667685750616425</v>
      </c>
      <c r="CK269" s="443">
        <v>0.81395348837209303</v>
      </c>
      <c r="CL269" s="46">
        <f>+CL253*CK269+CJ254*CK268+CJ255*CK267+CJ256*CK266+CJ257*CK265+CJ258*CK264+CJ259*CK263+CJ260*CK262+CJ261*CK261+CJ262*CK260+CJ263*CK259+CJ264*CK258+CJ265*CK257+CJ266*CK256+CJ267*CK255+CJ268*CK254+CJ269</f>
        <v>1638.0935118674533</v>
      </c>
      <c r="CM269" s="134">
        <f t="shared" si="497"/>
        <v>-5.0733909564354461E-4</v>
      </c>
      <c r="CN269" s="135">
        <f t="shared" si="498"/>
        <v>1.5558349971095129E-2</v>
      </c>
      <c r="CO269" s="135">
        <f t="shared" si="507"/>
        <v>1.5060131343796935E-2</v>
      </c>
      <c r="CP269" s="134">
        <f>VLOOKUP($H269,RoR!$E:$F,2,FALSE)</f>
        <v>4.1625000000000002E-2</v>
      </c>
      <c r="CQ269" s="135">
        <v>1.841352814597208E-2</v>
      </c>
      <c r="CR269" s="135">
        <f t="shared" si="505"/>
        <v>2.3211471854027922E-2</v>
      </c>
      <c r="CS269" s="135">
        <f t="shared" si="508"/>
        <v>1.5841810264736689E-2</v>
      </c>
      <c r="CT269" s="135">
        <f t="shared" si="509"/>
        <v>3.9072621432650924E-2</v>
      </c>
      <c r="CU269" s="139">
        <f t="shared" si="499"/>
        <v>0.84940815000000003</v>
      </c>
      <c r="CV269" s="335">
        <f t="shared" si="500"/>
        <v>1.2320012320012319</v>
      </c>
      <c r="CW269" s="335">
        <f t="shared" si="501"/>
        <v>0.37439939939939942</v>
      </c>
      <c r="CX269" s="335">
        <f t="shared" si="502"/>
        <v>0.80432100613819935</v>
      </c>
      <c r="CY269" s="335">
        <f t="shared" si="503"/>
        <v>0.37100152660040037</v>
      </c>
      <c r="CZ269" s="336">
        <f>INDEX('State Tax Lookup'!$D$7:$Z$91,MATCH(Calculation!$C269,'State Tax Lookup'!$B$7:$B$91,0),MATCH($H269,'State Tax Lookup'!$D$6:$Z$6,0))</f>
        <v>0.40700500000000001</v>
      </c>
      <c r="DA269" s="303">
        <v>0.37</v>
      </c>
      <c r="DB269" s="57">
        <f t="shared" si="506"/>
        <v>15.475913928788945</v>
      </c>
      <c r="DC269" s="56">
        <f t="shared" si="510"/>
        <v>3.1274425156050797E-3</v>
      </c>
      <c r="DD269" s="303">
        <f>VLOOKUP($H269,RoR!$E:$F,2,FALSE)</f>
        <v>4.1625000000000002E-2</v>
      </c>
      <c r="DE269" s="304">
        <f>HLOOKUP($H269,'GDP-PI'!$D$8:$CQ$11,3,FALSE)</f>
        <v>1.841352814597208E-2</v>
      </c>
      <c r="DF269" s="303">
        <f>VLOOKUP(H269,'HW Dx Data'!$E:$F,2,FALSE)</f>
        <v>684.46914285042885</v>
      </c>
      <c r="DG269" s="89">
        <f ca="1">VLOOKUP(CC269,'ECI - Input Price'!M$13:N$33,2,FALSE)</f>
        <v>129.4</v>
      </c>
      <c r="DH269" s="89"/>
      <c r="DI269" s="89"/>
      <c r="DJ269" s="56">
        <f t="shared" ca="1" si="522"/>
        <v>2.0297340063674733E-2</v>
      </c>
      <c r="DK269" s="53">
        <f>HLOOKUP(H269,'GDP-PI'!$8:$9,2,FALSE)</f>
        <v>103.64700000000001</v>
      </c>
      <c r="DL269" s="355">
        <f t="shared" si="511"/>
        <v>1.8246051898256087E-2</v>
      </c>
      <c r="EC269"/>
    </row>
    <row r="270" spans="1:133" s="126" customFormat="1" ht="21" customHeight="1" x14ac:dyDescent="0.4">
      <c r="A270" s="233" t="s">
        <v>197</v>
      </c>
      <c r="B270" s="127" t="s">
        <v>197</v>
      </c>
      <c r="C270" s="127">
        <v>4057114</v>
      </c>
      <c r="D270" s="127" t="s">
        <v>187</v>
      </c>
      <c r="E270" s="127" t="s">
        <v>15</v>
      </c>
      <c r="F270" s="127"/>
      <c r="G270" s="127" t="s">
        <v>171</v>
      </c>
      <c r="H270" s="128">
        <v>2015</v>
      </c>
      <c r="I270" s="129"/>
      <c r="J270" s="125">
        <f>IFERROR(INDEX('Labor Expenditures'!$E$7:$W$91,MATCH($C270,'Labor Expenditures'!$C$7:$C$91,0),MATCH($G270,'Labor Expenditures'!$E$5:$W$5,0)),"NA")</f>
        <v>10744.200366256906</v>
      </c>
      <c r="K270" s="125">
        <f t="shared" ca="1" si="512"/>
        <v>80.480901619901914</v>
      </c>
      <c r="L270" s="47"/>
      <c r="M270" s="131">
        <f t="shared" ca="1" si="523"/>
        <v>-3.7706249036657848E-2</v>
      </c>
      <c r="N270" s="131"/>
      <c r="O270" s="131"/>
      <c r="P270" s="59">
        <f t="shared" ca="1" si="525"/>
        <v>-1.9161171777006358E-4</v>
      </c>
      <c r="Q270" s="61"/>
      <c r="R270" s="387"/>
      <c r="S270" s="49">
        <f t="shared" ca="1" si="530"/>
        <v>119.56063019486463</v>
      </c>
      <c r="T270" s="61">
        <f ca="1">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</f>
        <v>-1.2433513343077294E-2</v>
      </c>
      <c r="U270" s="61"/>
      <c r="V270" s="125">
        <f>IFERROR(INDEX('Non-Labor Expenditures'!$E$7:$AA$91,MATCH($C270,'Non-Labor Expenditures'!$C$7:$C$91,0),MATCH($G270,'Non-Labor Expenditures'!$E$5:$AA$5,0)),"NA")</f>
        <v>15559.608870159738</v>
      </c>
      <c r="W270" s="125">
        <f t="shared" si="513"/>
        <v>148.69798899224705</v>
      </c>
      <c r="X270" s="131">
        <f t="shared" si="526"/>
        <v>-1.6038589448596704E-2</v>
      </c>
      <c r="Y270" s="131">
        <f t="shared" si="527"/>
        <v>-8.150324557254946E-5</v>
      </c>
      <c r="Z270" s="131"/>
      <c r="AA270" s="131"/>
      <c r="AB270" s="131"/>
      <c r="AC270" s="125">
        <f t="shared" si="491"/>
        <v>24312.765105761791</v>
      </c>
      <c r="AD270" s="129"/>
      <c r="AE270" s="133">
        <v>1791.2810321298016</v>
      </c>
      <c r="AF270" s="134">
        <v>3.5767050854086653E-3</v>
      </c>
      <c r="AG270" s="59">
        <f t="shared" si="514"/>
        <v>1.8175730094653358E-5</v>
      </c>
      <c r="AH270" s="134"/>
      <c r="AI270" s="134"/>
      <c r="AJ270" s="129">
        <f t="shared" si="444"/>
        <v>50616.574342178435</v>
      </c>
      <c r="AK270" s="134">
        <f t="shared" si="528"/>
        <v>-2.3874256363047037E-2</v>
      </c>
      <c r="AL270" s="129"/>
      <c r="AM270" s="129"/>
      <c r="AN270" s="129"/>
      <c r="AO270" s="129"/>
      <c r="AP270" s="133">
        <f t="shared" si="529"/>
        <v>247.97216538236171</v>
      </c>
      <c r="AQ270" s="134">
        <f>+BB270/Outputs!$B$23</f>
        <v>5.6028512227556757E-3</v>
      </c>
      <c r="AR270" s="93">
        <f t="shared" si="515"/>
        <v>0.21226644643361095</v>
      </c>
      <c r="AS270" s="93">
        <f t="shared" si="516"/>
        <v>0.30740146033932653</v>
      </c>
      <c r="AT270" s="93">
        <f t="shared" si="517"/>
        <v>0.4803320932270625</v>
      </c>
      <c r="AU270" s="93">
        <f t="shared" ca="1" si="531"/>
        <v>-1.2822751549485121E-2</v>
      </c>
      <c r="AV270" s="132">
        <f t="shared" ca="1" si="533"/>
        <v>103.55553364255562</v>
      </c>
      <c r="AW270" s="134">
        <f t="shared" ca="1" si="534"/>
        <v>-1.2822751549485161E-2</v>
      </c>
      <c r="AX270" s="56">
        <f>+AJ270/$AL$20</f>
        <v>5.0816966064107707E-3</v>
      </c>
      <c r="AY270" s="135">
        <f t="shared" ca="1" si="532"/>
        <v>-6.5161333033867189E-5</v>
      </c>
      <c r="AZ270" s="93"/>
      <c r="BA270" s="93"/>
      <c r="BB270" s="234">
        <f>IFERROR(INDEX('Total Customers'!$E$7:$AA$91,MATCH($C270,'Total Customers'!$C$7:$C$91,0),MATCH($G270,'Total Customers'!$E$5:$AA$5,0)),"NA")</f>
        <v>204122</v>
      </c>
      <c r="BC270" s="411">
        <f t="shared" si="524"/>
        <v>1.107794377269748E-3</v>
      </c>
      <c r="BD270" s="92"/>
      <c r="BE270" s="281" t="str">
        <f t="shared" si="518"/>
        <v>COLONIAL GAS COMPANY</v>
      </c>
      <c r="BF270" s="290">
        <f t="shared" si="519"/>
        <v>4057114</v>
      </c>
      <c r="BG270" s="46" t="str">
        <f t="shared" si="520"/>
        <v>MA</v>
      </c>
      <c r="BH270" s="46"/>
      <c r="BI270" s="46" t="str">
        <f t="shared" si="521"/>
        <v>2015 Y</v>
      </c>
      <c r="BJ270" s="129"/>
      <c r="BK270" s="129"/>
      <c r="BL270" s="129">
        <f>INDEX('Dist. Plant Gas Additions'!$E$7:$AD$91,MATCH($C270,'Dist. Plant Gas Additions'!$C$7:$C$91,0),MATCH(Calculation!$G270,'Dist. Plant Gas Additions'!$E$5:$AD$5,0))</f>
        <v>12714</v>
      </c>
      <c r="BM270" s="129">
        <f>INDEX('Gen. Plant Additions'!$E$7:$AD$91,MATCH($C270,'Gen. Plant Additions'!$C$7:$C$91,0),MATCH(Calculation!$G270,'Gen. Plant Additions'!$E$5:$AD$5,0))</f>
        <v>2305</v>
      </c>
      <c r="BN270" s="393">
        <f t="shared" si="492"/>
        <v>0.92813892517626617</v>
      </c>
      <c r="BO270" s="46">
        <f t="shared" si="493"/>
        <v>2139.3602225312934</v>
      </c>
      <c r="BP270" s="46">
        <f t="shared" si="494"/>
        <v>-165.6397774687066</v>
      </c>
      <c r="BQ270" s="129"/>
      <c r="BR270" s="129"/>
      <c r="BS270" s="129"/>
      <c r="BT270" s="129"/>
      <c r="BU270" s="129"/>
      <c r="BV270" s="129"/>
      <c r="BW270" s="129"/>
      <c r="BX270" s="129"/>
      <c r="BY270" s="129">
        <f>INDEX('Gross Dx Plant'!$D$7:$AC$91,MATCH($C270,'Gross Dx Plant'!$C$7:$C$91,0),MATCH(Calculation!$G270,'Gross Dx Plant'!$D$5:$AC$5,0))</f>
        <v>307640</v>
      </c>
      <c r="BZ270" s="129">
        <f>INDEX('Gross Gen Plant'!$D$7:$AC$91,MATCH($C270,'Gross Gen Plant'!$C$7:$C$91,0),MATCH(Calculation!$G270,'Gross Gen Plant'!$D$5:$AC$5,0))</f>
        <v>23819</v>
      </c>
      <c r="CA270" s="129">
        <f t="shared" si="441"/>
        <v>331459</v>
      </c>
      <c r="CB270" s="129"/>
      <c r="CC270" s="133">
        <v>2015</v>
      </c>
      <c r="CD270" s="129"/>
      <c r="CE270" s="129"/>
      <c r="CF270" s="129"/>
      <c r="CG270" s="137"/>
      <c r="CH270" s="129">
        <f t="shared" si="495"/>
        <v>15019</v>
      </c>
      <c r="CI270" s="46">
        <f t="shared" si="504"/>
        <v>14853.360222531293</v>
      </c>
      <c r="CJ270" s="46">
        <f t="shared" si="496"/>
        <v>21.984959317223854</v>
      </c>
      <c r="CK270" s="443">
        <v>0.8</v>
      </c>
      <c r="CL270" s="46">
        <f>+CL253*CK270+CJ254*CK269+CJ255*CK268+CJ256*CK267+CJ257*CK266+CJ258*CK265+CJ259*CK264+CJ260*CK263+CJ261*CK262+CJ262*CK261+CJ263*CK260+CJ264*CK259+CJ265*CK258+CJ266*CK257+CJ267*CK256+CJ268*CK255+CJ269*CK254+CJ270</f>
        <v>1633.7441687079779</v>
      </c>
      <c r="CM270" s="134">
        <f t="shared" si="497"/>
        <v>-2.658656171865672E-3</v>
      </c>
      <c r="CN270" s="135">
        <f t="shared" si="498"/>
        <v>1.6076189964685079E-2</v>
      </c>
      <c r="CO270" s="135">
        <f t="shared" si="507"/>
        <v>1.5560045768818155E-2</v>
      </c>
      <c r="CP270" s="134">
        <f>VLOOKUP($H270,RoR!$E:$F,2,FALSE)</f>
        <v>3.8866666666666674E-2</v>
      </c>
      <c r="CQ270" s="135">
        <v>9.5709475431029478E-3</v>
      </c>
      <c r="CR270" s="135">
        <f t="shared" si="505"/>
        <v>2.9295719123563727E-2</v>
      </c>
      <c r="CS270" s="135">
        <f t="shared" si="508"/>
        <v>1.534189583971547E-2</v>
      </c>
      <c r="CT270" s="135">
        <f t="shared" si="509"/>
        <v>3.5270373279175926E-3</v>
      </c>
      <c r="CU270" s="139">
        <f t="shared" si="499"/>
        <v>0.84940815000000003</v>
      </c>
      <c r="CV270" s="335">
        <f t="shared" si="500"/>
        <v>1.3194352816994324</v>
      </c>
      <c r="CW270" s="335">
        <f t="shared" si="501"/>
        <v>0.33177530017152673</v>
      </c>
      <c r="CX270" s="335">
        <f t="shared" si="502"/>
        <v>0.78242572977668579</v>
      </c>
      <c r="CY270" s="335">
        <f t="shared" si="503"/>
        <v>0.34251158643433932</v>
      </c>
      <c r="CZ270" s="336">
        <f>INDEX('State Tax Lookup'!$D$7:$Z$91,MATCH(Calculation!$C270,'State Tax Lookup'!$B$7:$B$91,0),MATCH($H270,'State Tax Lookup'!$D$6:$Z$6,0))</f>
        <v>0.40700500000000001</v>
      </c>
      <c r="DA270" s="303">
        <v>0.37</v>
      </c>
      <c r="DB270" s="57">
        <f t="shared" si="506"/>
        <v>14.84211061799814</v>
      </c>
      <c r="DC270" s="56">
        <f t="shared" si="510"/>
        <v>-4.1816422671227003E-2</v>
      </c>
      <c r="DD270" s="303">
        <f>VLOOKUP($H270,RoR!$E:$F,2,FALSE)</f>
        <v>3.8866666666666674E-2</v>
      </c>
      <c r="DE270" s="304">
        <f>HLOOKUP($H270,'GDP-PI'!$D$8:$CQ$11,3,FALSE)</f>
        <v>9.5709475431029478E-3</v>
      </c>
      <c r="DF270" s="303">
        <f>VLOOKUP(H270,'HW Dx Data'!$E:$F,2,FALSE)</f>
        <v>675.61463308665782</v>
      </c>
      <c r="DG270" s="89">
        <f ca="1">VLOOKUP(CC270,'ECI - Input Price'!M$13:N$33,2,FALSE)</f>
        <v>133.5</v>
      </c>
      <c r="DH270" s="89"/>
      <c r="DI270" s="89"/>
      <c r="DJ270" s="56">
        <f t="shared" ca="1" si="522"/>
        <v>3.1193095773504077E-2</v>
      </c>
      <c r="DK270" s="53">
        <f>HLOOKUP(H270,'GDP-PI'!$8:$9,2,FALSE)</f>
        <v>104.639</v>
      </c>
      <c r="DL270" s="355">
        <f t="shared" si="511"/>
        <v>9.5254361854427965E-3</v>
      </c>
      <c r="EC270"/>
    </row>
    <row r="271" spans="1:133" s="126" customFormat="1" ht="21" customHeight="1" x14ac:dyDescent="0.4">
      <c r="A271" s="233" t="s">
        <v>197</v>
      </c>
      <c r="B271" s="127" t="s">
        <v>197</v>
      </c>
      <c r="C271" s="127">
        <v>4057114</v>
      </c>
      <c r="D271" s="127" t="s">
        <v>187</v>
      </c>
      <c r="E271" s="127" t="s">
        <v>15</v>
      </c>
      <c r="F271" s="127"/>
      <c r="G271" s="127" t="s">
        <v>172</v>
      </c>
      <c r="H271" s="128">
        <v>2016</v>
      </c>
      <c r="I271" s="129"/>
      <c r="J271" s="125">
        <f>IFERROR(INDEX('Labor Expenditures'!$E$7:$W$91,MATCH($C271,'Labor Expenditures'!$C$7:$C$91,0),MATCH($G271,'Labor Expenditures'!$E$5:$W$5,0)),"NA")</f>
        <v>11487.015952919062</v>
      </c>
      <c r="K271" s="125">
        <f t="shared" ca="1" si="512"/>
        <v>83.877443978963584</v>
      </c>
      <c r="L271" s="47"/>
      <c r="M271" s="131">
        <f t="shared" ca="1" si="523"/>
        <v>4.1336823896365435E-2</v>
      </c>
      <c r="N271" s="131"/>
      <c r="O271" s="131"/>
      <c r="P271" s="59">
        <f t="shared" ca="1" si="525"/>
        <v>2.0659157307893072E-4</v>
      </c>
      <c r="Q271" s="61"/>
      <c r="R271" s="387"/>
      <c r="S271" s="49">
        <f t="shared" ca="1" si="530"/>
        <v>298.38225397586001</v>
      </c>
      <c r="T271" s="61">
        <f ca="1">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</f>
        <v>0.91455178761834188</v>
      </c>
      <c r="U271" s="61"/>
      <c r="V271" s="125">
        <f>IFERROR(INDEX('Non-Labor Expenditures'!$E$7:$AA$91,MATCH($C271,'Non-Labor Expenditures'!$C$7:$C$91,0),MATCH($G271,'Non-Labor Expenditures'!$E$5:$AA$5,0)),"NA")</f>
        <v>16635.344578460565</v>
      </c>
      <c r="W271" s="125">
        <f t="shared" si="513"/>
        <v>157.32905139650228</v>
      </c>
      <c r="X271" s="131">
        <f t="shared" si="526"/>
        <v>5.6422151397943258E-2</v>
      </c>
      <c r="Y271" s="131">
        <f t="shared" si="527"/>
        <v>2.8198443700033711E-4</v>
      </c>
      <c r="Z271" s="131"/>
      <c r="AA271" s="131"/>
      <c r="AB271" s="131"/>
      <c r="AC271" s="125">
        <f t="shared" si="491"/>
        <v>23267.357006953334</v>
      </c>
      <c r="AD271" s="129"/>
      <c r="AE271" s="133">
        <v>1800.9332191873921</v>
      </c>
      <c r="AF271" s="134">
        <v>5.3739613572342101E-3</v>
      </c>
      <c r="AG271" s="59">
        <f t="shared" si="514"/>
        <v>2.6857775363675616E-5</v>
      </c>
      <c r="AH271" s="134"/>
      <c r="AI271" s="134"/>
      <c r="AJ271" s="129">
        <f t="shared" si="444"/>
        <v>51389.71753833296</v>
      </c>
      <c r="AK271" s="134">
        <f t="shared" si="528"/>
        <v>1.5159025728371849E-2</v>
      </c>
      <c r="AL271" s="129"/>
      <c r="AM271" s="129"/>
      <c r="AN271" s="129"/>
      <c r="AO271" s="129"/>
      <c r="AP271" s="133">
        <f t="shared" si="529"/>
        <v>243.51623231705599</v>
      </c>
      <c r="AQ271" s="134">
        <f>+BB271/Outputs!$B$24</f>
        <v>5.7424651641685108E-3</v>
      </c>
      <c r="AR271" s="93">
        <f t="shared" si="515"/>
        <v>0.22352751684907765</v>
      </c>
      <c r="AS271" s="93">
        <f t="shared" si="516"/>
        <v>0.32370959357875079</v>
      </c>
      <c r="AT271" s="93">
        <f t="shared" si="517"/>
        <v>0.45276288957217159</v>
      </c>
      <c r="AU271" s="93">
        <f t="shared" ca="1" si="531"/>
        <v>2.6811490874198464E-2</v>
      </c>
      <c r="AV271" s="132">
        <f t="shared" ca="1" si="533"/>
        <v>106.36956753808771</v>
      </c>
      <c r="AW271" s="134">
        <f t="shared" ca="1" si="534"/>
        <v>2.6811490874198554E-2</v>
      </c>
      <c r="AX271" s="56">
        <f>+AJ271/$AL$21</f>
        <v>4.997761163191239E-3</v>
      </c>
      <c r="AY271" s="135">
        <f t="shared" ca="1" si="532"/>
        <v>1.3399742781832586E-4</v>
      </c>
      <c r="AZ271" s="93"/>
      <c r="BA271" s="93"/>
      <c r="BB271" s="234">
        <f>IFERROR(INDEX('Total Customers'!$E$7:$AA$91,MATCH($C271,'Total Customers'!$C$7:$C$91,0),MATCH($G271,'Total Customers'!$E$5:$AA$5,0)),"NA")</f>
        <v>211032</v>
      </c>
      <c r="BC271" s="411">
        <f t="shared" si="524"/>
        <v>3.3291926439095315E-2</v>
      </c>
      <c r="BD271" s="92"/>
      <c r="BE271" s="281" t="str">
        <f t="shared" si="518"/>
        <v>COLONIAL GAS COMPANY</v>
      </c>
      <c r="BF271" s="290">
        <f t="shared" si="519"/>
        <v>4057114</v>
      </c>
      <c r="BG271" s="46" t="str">
        <f t="shared" si="520"/>
        <v>MA</v>
      </c>
      <c r="BH271" s="46"/>
      <c r="BI271" s="46" t="str">
        <f t="shared" si="521"/>
        <v>2016 Y</v>
      </c>
      <c r="BJ271" s="129"/>
      <c r="BK271" s="129"/>
      <c r="BL271" s="129">
        <f>INDEX('Dist. Plant Gas Additions'!$E$7:$AD$91,MATCH($C271,'Dist. Plant Gas Additions'!$C$7:$C$91,0),MATCH(Calculation!$G271,'Dist. Plant Gas Additions'!$E$5:$AD$5,0))</f>
        <v>15411</v>
      </c>
      <c r="BM271" s="129">
        <f>INDEX('Gen. Plant Additions'!$E$7:$AD$91,MATCH($C271,'Gen. Plant Additions'!$C$7:$C$91,0),MATCH(Calculation!$G271,'Gen. Plant Additions'!$E$5:$AD$5,0))</f>
        <v>2192</v>
      </c>
      <c r="BN271" s="393">
        <f t="shared" si="492"/>
        <v>0.93517188633852144</v>
      </c>
      <c r="BO271" s="46">
        <f t="shared" si="493"/>
        <v>2049.896774854039</v>
      </c>
      <c r="BP271" s="46">
        <f t="shared" si="494"/>
        <v>-142.10322514596101</v>
      </c>
      <c r="BQ271" s="129"/>
      <c r="BR271" s="129"/>
      <c r="BS271" s="129"/>
      <c r="BT271" s="129"/>
      <c r="BU271" s="129"/>
      <c r="BV271" s="129"/>
      <c r="BW271" s="129"/>
      <c r="BX271" s="129"/>
      <c r="BY271" s="129">
        <f>INDEX('Gross Dx Plant'!$D$7:$AC$91,MATCH($C271,'Gross Dx Plant'!$C$7:$C$91,0),MATCH(Calculation!$G271,'Gross Dx Plant'!$D$5:$AC$5,0))</f>
        <v>310579</v>
      </c>
      <c r="BZ271" s="129">
        <f>INDEX('Gross Gen Plant'!$D$7:$AC$91,MATCH($C271,'Gross Gen Plant'!$C$7:$C$91,0),MATCH(Calculation!$G271,'Gross Gen Plant'!$D$5:$AC$5,0))</f>
        <v>21530</v>
      </c>
      <c r="CA271" s="129">
        <f t="shared" si="441"/>
        <v>332109</v>
      </c>
      <c r="CB271" s="129"/>
      <c r="CC271" s="133">
        <v>2016</v>
      </c>
      <c r="CD271" s="129"/>
      <c r="CE271" s="129"/>
      <c r="CF271" s="129"/>
      <c r="CG271" s="137"/>
      <c r="CH271" s="129">
        <f t="shared" si="495"/>
        <v>17603</v>
      </c>
      <c r="CI271" s="46">
        <f t="shared" si="504"/>
        <v>17460.896774854038</v>
      </c>
      <c r="CJ271" s="46">
        <f t="shared" si="496"/>
        <v>26.004513374999828</v>
      </c>
      <c r="CK271" s="443">
        <v>0.7857142857142857</v>
      </c>
      <c r="CL271" s="46">
        <f>+CL253*CK271+CJ254*CK270+CJ255*CK269+CJ256*CK268+CJ257*CK267+CJ258*CK266+CJ259*CK265+CJ260*CK264+CJ261*CK263+CJ262*CK262+CJ263*CK261+CJ264*CK260+CJ265*CK259+CJ266*CK258+CJ267*CK257+CJ268*CK256+CJ269*CK255+CJ270*CK254+CJ271</f>
        <v>1632.5798993723424</v>
      </c>
      <c r="CM271" s="134">
        <f t="shared" si="497"/>
        <v>-7.128927569199124E-4</v>
      </c>
      <c r="CN271" s="135">
        <f t="shared" si="498"/>
        <v>1.6629765682420972E-2</v>
      </c>
      <c r="CO271" s="135">
        <f t="shared" si="507"/>
        <v>1.6088101872733726E-2</v>
      </c>
      <c r="CP271" s="134">
        <f>VLOOKUP($H271,RoR!$E:$F,2,FALSE)</f>
        <v>3.6658333333333334E-2</v>
      </c>
      <c r="CQ271" s="135">
        <v>1.0483662879041455E-2</v>
      </c>
      <c r="CR271" s="135">
        <f t="shared" si="505"/>
        <v>2.6174670454291879E-2</v>
      </c>
      <c r="CS271" s="135">
        <f t="shared" si="508"/>
        <v>1.4813839735799899E-2</v>
      </c>
      <c r="CT271" s="135">
        <f t="shared" si="509"/>
        <v>4.301363574220729E-3</v>
      </c>
      <c r="CU271" s="139">
        <f t="shared" si="499"/>
        <v>0.84940815000000003</v>
      </c>
      <c r="CV271" s="335">
        <f t="shared" si="500"/>
        <v>1.3989193348138562</v>
      </c>
      <c r="CW271" s="335">
        <f t="shared" si="501"/>
        <v>0.29302682427824522</v>
      </c>
      <c r="CX271" s="335">
        <f t="shared" si="502"/>
        <v>0.76309497491941802</v>
      </c>
      <c r="CY271" s="335">
        <f t="shared" si="503"/>
        <v>0.31280857135128509</v>
      </c>
      <c r="CZ271" s="336">
        <f>INDEX('State Tax Lookup'!$D$7:$Z$91,MATCH(Calculation!$C271,'State Tax Lookup'!$B$7:$B$91,0),MATCH($H271,'State Tax Lookup'!$D$6:$Z$6,0))</f>
        <v>0.40700500000000001</v>
      </c>
      <c r="DA271" s="303">
        <v>0.37</v>
      </c>
      <c r="DB271" s="57">
        <f t="shared" si="506"/>
        <v>14.241738365532454</v>
      </c>
      <c r="DC271" s="56">
        <f t="shared" si="510"/>
        <v>-4.1291477794372186E-2</v>
      </c>
      <c r="DD271" s="303">
        <f>VLOOKUP($H271,RoR!$E:$F,2,FALSE)</f>
        <v>3.6658333333333334E-2</v>
      </c>
      <c r="DE271" s="304">
        <f>HLOOKUP($H271,'GDP-PI'!$D$8:$CQ$11,3,FALSE)</f>
        <v>1.0483662879041455E-2</v>
      </c>
      <c r="DF271" s="303">
        <f>VLOOKUP(H271,'HW Dx Data'!$E:$F,2,FALSE)</f>
        <v>671.45639385971219</v>
      </c>
      <c r="DG271" s="89">
        <f ca="1">VLOOKUP(CC271,'ECI - Input Price'!M$13:N$33,2,FALSE)</f>
        <v>136.94999999999999</v>
      </c>
      <c r="DH271" s="89"/>
      <c r="DI271" s="89"/>
      <c r="DJ271" s="56">
        <f t="shared" ca="1" si="522"/>
        <v>2.5514417868782811E-2</v>
      </c>
      <c r="DK271" s="53">
        <f>HLOOKUP(H271,'GDP-PI'!$8:$9,2,FALSE)</f>
        <v>105.736</v>
      </c>
      <c r="DL271" s="355">
        <f t="shared" si="511"/>
        <v>1.0429090367205095E-2</v>
      </c>
      <c r="EC271"/>
    </row>
    <row r="272" spans="1:133" s="126" customFormat="1" ht="21" customHeight="1" x14ac:dyDescent="0.4">
      <c r="A272" s="233" t="s">
        <v>197</v>
      </c>
      <c r="B272" s="127" t="s">
        <v>197</v>
      </c>
      <c r="C272" s="127">
        <v>4057114</v>
      </c>
      <c r="D272" s="127" t="s">
        <v>187</v>
      </c>
      <c r="E272" s="127" t="s">
        <v>15</v>
      </c>
      <c r="F272" s="127"/>
      <c r="G272" s="127" t="s">
        <v>173</v>
      </c>
      <c r="H272" s="128">
        <v>2017</v>
      </c>
      <c r="I272" s="129"/>
      <c r="J272" s="125">
        <f>IFERROR(INDEX('Labor Expenditures'!$E$7:$W$91,MATCH($C272,'Labor Expenditures'!$C$7:$C$91,0),MATCH($G272,'Labor Expenditures'!$E$5:$W$5,0)),"NA")</f>
        <v>11882.023200725536</v>
      </c>
      <c r="K272" s="125">
        <f t="shared" ca="1" si="512"/>
        <v>84.599666790498659</v>
      </c>
      <c r="L272" s="47"/>
      <c r="M272" s="131">
        <f t="shared" ca="1" si="523"/>
        <v>8.5735947422016998E-3</v>
      </c>
      <c r="N272" s="131"/>
      <c r="O272" s="131"/>
      <c r="P272" s="59">
        <f t="shared" ca="1" si="525"/>
        <v>4.1258524779606249E-5</v>
      </c>
      <c r="Q272" s="61"/>
      <c r="R272" s="387"/>
      <c r="S272" s="49">
        <f t="shared" ca="1" si="530"/>
        <v>166.64971241713249</v>
      </c>
      <c r="T272" s="61">
        <f ca="1">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</f>
        <v>-0.58248131688839089</v>
      </c>
      <c r="U272" s="61"/>
      <c r="V272" s="125">
        <f>IFERROR(INDEX('Non-Labor Expenditures'!$E$7:$AA$91,MATCH($C272,'Non-Labor Expenditures'!$C$7:$C$91,0),MATCH($G272,'Non-Labor Expenditures'!$E$5:$AA$5,0)),"NA")</f>
        <v>17207.388850461444</v>
      </c>
      <c r="W272" s="125">
        <f t="shared" si="513"/>
        <v>159.69586222365865</v>
      </c>
      <c r="X272" s="131">
        <f t="shared" si="526"/>
        <v>1.4931664355622116E-2</v>
      </c>
      <c r="Y272" s="131">
        <f t="shared" si="527"/>
        <v>7.1855325839554972E-5</v>
      </c>
      <c r="Z272" s="131"/>
      <c r="AA272" s="131"/>
      <c r="AB272" s="131"/>
      <c r="AC272" s="125">
        <f t="shared" si="491"/>
        <v>20376.609928165097</v>
      </c>
      <c r="AD272" s="129"/>
      <c r="AE272" s="133">
        <v>1809.0292736157623</v>
      </c>
      <c r="AF272" s="134">
        <v>4.4854028362383853E-3</v>
      </c>
      <c r="AG272" s="59">
        <f t="shared" si="514"/>
        <v>2.1585007179606191E-5</v>
      </c>
      <c r="AH272" s="134"/>
      <c r="AI272" s="134"/>
      <c r="AJ272" s="129">
        <f t="shared" si="444"/>
        <v>49466.021979352081</v>
      </c>
      <c r="AK272" s="134">
        <f t="shared" si="528"/>
        <v>-3.8152095338696984E-2</v>
      </c>
      <c r="AL272" s="129"/>
      <c r="AM272" s="129"/>
      <c r="AN272" s="129"/>
      <c r="AO272" s="129"/>
      <c r="AP272" s="133">
        <f t="shared" si="529"/>
        <v>232.6838264414061</v>
      </c>
      <c r="AQ272" s="134">
        <f>+BB272/Outputs!$B$25</f>
        <v>5.7413708618400212E-3</v>
      </c>
      <c r="AR272" s="93">
        <f t="shared" si="515"/>
        <v>0.24020575589614393</v>
      </c>
      <c r="AS272" s="93">
        <f t="shared" si="516"/>
        <v>0.34786279878426624</v>
      </c>
      <c r="AT272" s="93">
        <f t="shared" si="517"/>
        <v>0.41193144531958975</v>
      </c>
      <c r="AU272" s="93">
        <f t="shared" ca="1" si="531"/>
        <v>7.0017773511295758E-3</v>
      </c>
      <c r="AV272" s="132">
        <f t="shared" ca="1" si="533"/>
        <v>107.11695704098432</v>
      </c>
      <c r="AW272" s="134">
        <f t="shared" ca="1" si="534"/>
        <v>7.0017773511294925E-3</v>
      </c>
      <c r="AX272" s="56">
        <f>+AJ272/$AL$22</f>
        <v>4.812278398991723E-3</v>
      </c>
      <c r="AY272" s="135">
        <f t="shared" ca="1" si="532"/>
        <v>3.3694501901389942E-5</v>
      </c>
      <c r="AZ272" s="93"/>
      <c r="BA272" s="93"/>
      <c r="BB272" s="234">
        <f>IFERROR(INDEX('Total Customers'!$E$7:$AA$91,MATCH($C272,'Total Customers'!$C$7:$C$91,0),MATCH($G272,'Total Customers'!$E$5:$AA$5,0)),"NA")</f>
        <v>212589</v>
      </c>
      <c r="BC272" s="411">
        <f t="shared" si="524"/>
        <v>7.350943466979485E-3</v>
      </c>
      <c r="BD272" s="92"/>
      <c r="BE272" s="281" t="str">
        <f t="shared" si="518"/>
        <v>COLONIAL GAS COMPANY</v>
      </c>
      <c r="BF272" s="290">
        <f t="shared" si="519"/>
        <v>4057114</v>
      </c>
      <c r="BG272" s="46" t="str">
        <f t="shared" si="520"/>
        <v>MA</v>
      </c>
      <c r="BH272" s="46"/>
      <c r="BI272" s="46" t="str">
        <f t="shared" si="521"/>
        <v>2017 Y</v>
      </c>
      <c r="BJ272" s="129"/>
      <c r="BK272" s="129"/>
      <c r="BL272" s="129">
        <f>INDEX('Dist. Plant Gas Additions'!$E$7:$AD$91,MATCH($C272,'Dist. Plant Gas Additions'!$C$7:$C$91,0),MATCH(Calculation!$G272,'Dist. Plant Gas Additions'!$E$5:$AD$5,0))</f>
        <v>16910</v>
      </c>
      <c r="BM272" s="129">
        <f>INDEX('Gen. Plant Additions'!$E$7:$AD$91,MATCH($C272,'Gen. Plant Additions'!$C$7:$C$91,0),MATCH(Calculation!$G272,'Gen. Plant Additions'!$E$5:$AD$5,0))</f>
        <v>1221</v>
      </c>
      <c r="BN272" s="393">
        <f t="shared" si="492"/>
        <v>0.93307481940449255</v>
      </c>
      <c r="BO272" s="46">
        <f t="shared" si="493"/>
        <v>1139.2843544928853</v>
      </c>
      <c r="BP272" s="46">
        <f t="shared" si="494"/>
        <v>-81.715645507114687</v>
      </c>
      <c r="BQ272" s="129"/>
      <c r="BR272" s="129"/>
      <c r="BS272" s="129"/>
      <c r="BT272" s="129"/>
      <c r="BU272" s="129"/>
      <c r="BV272" s="129"/>
      <c r="BW272" s="129"/>
      <c r="BX272" s="129"/>
      <c r="BY272" s="129">
        <f>INDEX('Gross Dx Plant'!$D$7:$AC$91,MATCH($C272,'Gross Dx Plant'!$C$7:$C$91,0),MATCH(Calculation!$G272,'Gross Dx Plant'!$D$5:$AC$5,0))</f>
        <v>315941</v>
      </c>
      <c r="BZ272" s="129">
        <f>INDEX('Gross Gen Plant'!$D$7:$AC$91,MATCH($C272,'Gross Gen Plant'!$C$7:$C$91,0),MATCH(Calculation!$G272,'Gross Gen Plant'!$D$5:$AC$5,0))</f>
        <v>22661</v>
      </c>
      <c r="CA272" s="129">
        <f t="shared" si="441"/>
        <v>338602</v>
      </c>
      <c r="CB272" s="129"/>
      <c r="CC272" s="133">
        <v>2017</v>
      </c>
      <c r="CD272" s="129"/>
      <c r="CE272" s="129"/>
      <c r="CF272" s="129"/>
      <c r="CG272" s="137"/>
      <c r="CH272" s="129">
        <f t="shared" si="495"/>
        <v>18131</v>
      </c>
      <c r="CI272" s="46">
        <f t="shared" si="504"/>
        <v>18049.284354492884</v>
      </c>
      <c r="CJ272" s="46">
        <f t="shared" si="496"/>
        <v>25.334868318583837</v>
      </c>
      <c r="CK272" s="443">
        <v>0.77108433734939763</v>
      </c>
      <c r="CL272" s="46">
        <f>+CL253*CK272+CJ254*CK271+CJ255*CK270+CJ256*CK269+CJ257*CK268+CJ258*CK267+CJ259*CK266+CJ260*CK265+CJ261*CK264+CJ262*CK263+CJ263*CK262+CJ264*CK261+CJ265*CK260+CJ266*CK259+CJ267*CK258+CJ268*CK257+CJ269*CK256+CJ270*CK255+CJ271*CK254+CJ272</f>
        <v>1629.8453949788111</v>
      </c>
      <c r="CM272" s="134">
        <f t="shared" si="497"/>
        <v>-1.6763633108412038E-3</v>
      </c>
      <c r="CN272" s="135">
        <f t="shared" si="498"/>
        <v>1.7193261244308252E-2</v>
      </c>
      <c r="CO272" s="135">
        <f t="shared" si="507"/>
        <v>1.6633072297138101E-2</v>
      </c>
      <c r="CP272" s="134">
        <f>VLOOKUP($H272,RoR!$E:$F,2,FALSE)</f>
        <v>3.7433333333333339E-2</v>
      </c>
      <c r="CQ272" s="135">
        <v>1.9056896421275615E-2</v>
      </c>
      <c r="CR272" s="135">
        <f t="shared" si="505"/>
        <v>1.8376436912057724E-2</v>
      </c>
      <c r="CS272" s="135">
        <f t="shared" si="508"/>
        <v>1.4268869311395524E-2</v>
      </c>
      <c r="CT272" s="135">
        <f t="shared" si="509"/>
        <v>1.3976271617800498E-2</v>
      </c>
      <c r="CU272" s="139">
        <f t="shared" si="499"/>
        <v>0.90120814999999999</v>
      </c>
      <c r="CV272" s="335">
        <f t="shared" si="500"/>
        <v>1.3699568463593395</v>
      </c>
      <c r="CW272" s="335">
        <f t="shared" si="501"/>
        <v>0.30714603739982199</v>
      </c>
      <c r="CX272" s="335">
        <f t="shared" si="502"/>
        <v>0.77007188472689425</v>
      </c>
      <c r="CY272" s="335">
        <f t="shared" si="503"/>
        <v>0.32402839633793828</v>
      </c>
      <c r="CZ272" s="336">
        <f>INDEX('State Tax Lookup'!$D$7:$Z$91,MATCH(Calculation!$C272,'State Tax Lookup'!$B$7:$B$91,0),MATCH($H272,'State Tax Lookup'!$D$6:$Z$6,0))</f>
        <v>0.26700499999999999</v>
      </c>
      <c r="DA272" s="303">
        <v>0.37</v>
      </c>
      <c r="DB272" s="57">
        <f t="shared" si="506"/>
        <v>12.481232885446548</v>
      </c>
      <c r="DC272" s="56">
        <f t="shared" si="510"/>
        <v>-0.13195082780440429</v>
      </c>
      <c r="DD272" s="303">
        <f>VLOOKUP($H272,RoR!$E:$F,2,FALSE)</f>
        <v>3.7433333333333339E-2</v>
      </c>
      <c r="DE272" s="304">
        <f>HLOOKUP($H272,'GDP-PI'!$D$8:$CQ$11,3,FALSE)</f>
        <v>1.9056896421275615E-2</v>
      </c>
      <c r="DF272" s="303">
        <f>VLOOKUP(H272,'HW Dx Data'!$E:$F,2,FALSE)</f>
        <v>712.42858370229726</v>
      </c>
      <c r="DG272" s="89">
        <f ca="1">VLOOKUP(CC272,'ECI - Input Price'!M$13:N$33,2,FALSE)</f>
        <v>140.44999999999999</v>
      </c>
      <c r="DH272" s="89"/>
      <c r="DI272" s="89"/>
      <c r="DJ272" s="56">
        <f t="shared" ca="1" si="522"/>
        <v>2.5235657841165486E-2</v>
      </c>
      <c r="DK272" s="53">
        <f>HLOOKUP(H272,'GDP-PI'!$8:$9,2,FALSE)</f>
        <v>107.751</v>
      </c>
      <c r="DL272" s="355">
        <f t="shared" si="511"/>
        <v>1.8877588227745139E-2</v>
      </c>
      <c r="EC272"/>
    </row>
    <row r="273" spans="1:133" s="126" customFormat="1" ht="21" customHeight="1" x14ac:dyDescent="0.4">
      <c r="A273" s="233" t="s">
        <v>197</v>
      </c>
      <c r="B273" s="127" t="s">
        <v>197</v>
      </c>
      <c r="C273" s="127">
        <v>4057114</v>
      </c>
      <c r="D273" s="127" t="s">
        <v>187</v>
      </c>
      <c r="E273" s="127" t="s">
        <v>15</v>
      </c>
      <c r="F273" s="127"/>
      <c r="G273" s="127" t="s">
        <v>174</v>
      </c>
      <c r="H273" s="128">
        <v>2018</v>
      </c>
      <c r="I273" s="129"/>
      <c r="J273" s="125">
        <f>IFERROR(INDEX('Labor Expenditures'!$E$7:$W$91,MATCH($C273,'Labor Expenditures'!$C$7:$C$91,0),MATCH($G273,'Labor Expenditures'!$E$5:$W$5,0)),"NA")</f>
        <v>38409.184834861066</v>
      </c>
      <c r="K273" s="125">
        <f t="shared" ca="1" si="512"/>
        <v>265.89951426002818</v>
      </c>
      <c r="L273" s="47"/>
      <c r="M273" s="131">
        <f t="shared" ca="1" si="523"/>
        <v>1.1451881435125946</v>
      </c>
      <c r="N273" s="131"/>
      <c r="O273" s="131"/>
      <c r="P273" s="59">
        <f t="shared" ca="1" si="525"/>
        <v>1.1802284945811009E-2</v>
      </c>
      <c r="Q273" s="61"/>
      <c r="R273" s="387"/>
      <c r="S273" s="49">
        <f t="shared" ca="1" si="530"/>
        <v>116.24232580877002</v>
      </c>
      <c r="T273" s="61">
        <f ca="1">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</f>
        <v>-0.36021705134229315</v>
      </c>
      <c r="U273" s="61"/>
      <c r="V273" s="125">
        <f>IFERROR(INDEX('Non-Labor Expenditures'!$E$7:$AA$91,MATCH($C273,'Non-Labor Expenditures'!$C$7:$C$91,0),MATCH($G273,'Non-Labor Expenditures'!$E$5:$AA$5,0)),"NA")</f>
        <v>55623.673487049251</v>
      </c>
      <c r="W273" s="125">
        <f t="shared" si="513"/>
        <v>504.19384607829124</v>
      </c>
      <c r="X273" s="131">
        <f t="shared" si="526"/>
        <v>1.1496896641580774</v>
      </c>
      <c r="Y273" s="131">
        <f t="shared" si="527"/>
        <v>1.1848677523003157E-2</v>
      </c>
      <c r="Z273" s="131"/>
      <c r="AA273" s="131"/>
      <c r="AB273" s="131"/>
      <c r="AC273" s="125">
        <f t="shared" si="491"/>
        <v>20651.533690559078</v>
      </c>
      <c r="AD273" s="129"/>
      <c r="AE273" s="133">
        <v>1819.3902790851735</v>
      </c>
      <c r="AF273" s="134">
        <v>5.7110449771036065E-3</v>
      </c>
      <c r="AG273" s="59">
        <f t="shared" si="514"/>
        <v>5.8857909540851078E-5</v>
      </c>
      <c r="AH273" s="134"/>
      <c r="AI273" s="134"/>
      <c r="AJ273" s="129">
        <f t="shared" si="444"/>
        <v>114684.3920124694</v>
      </c>
      <c r="AK273" s="134">
        <f t="shared" si="528"/>
        <v>0.84089792904507366</v>
      </c>
      <c r="AL273" s="129"/>
      <c r="AM273" s="129"/>
      <c r="AN273" s="129"/>
      <c r="AO273" s="129"/>
      <c r="AP273" s="133">
        <f t="shared" si="529"/>
        <v>535.08823864576436</v>
      </c>
      <c r="AQ273" s="134">
        <f>+BB273/Outputs!$B$26</f>
        <v>5.7376423367801804E-3</v>
      </c>
      <c r="AR273" s="93">
        <f t="shared" si="515"/>
        <v>0.33491205002582142</v>
      </c>
      <c r="AS273" s="93">
        <f t="shared" si="516"/>
        <v>0.48501520137981291</v>
      </c>
      <c r="AT273" s="93">
        <f t="shared" si="517"/>
        <v>0.18007274859436564</v>
      </c>
      <c r="AU273" s="93">
        <f t="shared" ca="1" si="531"/>
        <v>0.80808466037905169</v>
      </c>
      <c r="AV273" s="132">
        <f t="shared" ca="1" si="533"/>
        <v>240.32831179639788</v>
      </c>
      <c r="AW273" s="134">
        <f t="shared" ca="1" si="534"/>
        <v>0.80808466037905169</v>
      </c>
      <c r="AX273" s="56">
        <f>+AJ273/$AL$23</f>
        <v>1.0305978989277939E-2</v>
      </c>
      <c r="AY273" s="135">
        <f t="shared" ca="1" si="532"/>
        <v>8.3281035314243055E-3</v>
      </c>
      <c r="AZ273" s="93"/>
      <c r="BA273" s="93"/>
      <c r="BB273" s="234">
        <f>IFERROR(INDEX('Total Customers'!$E$7:$AA$91,MATCH($C273,'Total Customers'!$C$7:$C$91,0),MATCH($G273,'Total Customers'!$E$5:$AA$5,0)),"NA")</f>
        <v>214328</v>
      </c>
      <c r="BC273" s="411">
        <f t="shared" si="524"/>
        <v>8.1468276888699512E-3</v>
      </c>
      <c r="BD273" s="92"/>
      <c r="BE273" s="281" t="str">
        <f t="shared" si="518"/>
        <v>COLONIAL GAS COMPANY</v>
      </c>
      <c r="BF273" s="290">
        <f t="shared" si="519"/>
        <v>4057114</v>
      </c>
      <c r="BG273" s="46" t="str">
        <f t="shared" si="520"/>
        <v>MA</v>
      </c>
      <c r="BH273" s="46"/>
      <c r="BI273" s="46" t="str">
        <f t="shared" si="521"/>
        <v>2018 Y</v>
      </c>
      <c r="BJ273" s="129"/>
      <c r="BK273" s="129"/>
      <c r="BL273" s="129">
        <f>INDEX('Dist. Plant Gas Additions'!$E$7:$AD$91,MATCH($C273,'Dist. Plant Gas Additions'!$C$7:$C$91,0),MATCH(Calculation!$G273,'Dist. Plant Gas Additions'!$E$5:$AD$5,0))</f>
        <v>20302</v>
      </c>
      <c r="BM273" s="129">
        <f>INDEX('Gen. Plant Additions'!$E$7:$AD$91,MATCH($C273,'Gen. Plant Additions'!$C$7:$C$91,0),MATCH(Calculation!$G273,'Gen. Plant Additions'!$E$5:$AD$5,0))</f>
        <v>1253</v>
      </c>
      <c r="BN273" s="393">
        <f t="shared" si="492"/>
        <v>0.93157314718635897</v>
      </c>
      <c r="BO273" s="46">
        <f>+BN273*BM273</f>
        <v>1167.2611534245077</v>
      </c>
      <c r="BP273" s="46">
        <f>+BO273-BM273</f>
        <v>-85.738846575492289</v>
      </c>
      <c r="BQ273" s="129"/>
      <c r="BR273" s="129"/>
      <c r="BS273" s="129"/>
      <c r="BT273" s="129"/>
      <c r="BU273" s="129"/>
      <c r="BV273" s="129"/>
      <c r="BW273" s="129"/>
      <c r="BX273" s="129"/>
      <c r="BY273" s="129">
        <f>INDEX('Gross Dx Plant'!$D$7:$AC$91,MATCH($C273,'Gross Dx Plant'!$C$7:$C$91,0),MATCH(Calculation!$G273,'Gross Dx Plant'!$D$5:$AC$5,0))</f>
        <v>323758</v>
      </c>
      <c r="BZ273" s="129">
        <f>INDEX('Gross Gen Plant'!$D$7:$AC$91,MATCH($C273,'Gross Gen Plant'!$C$7:$C$91,0),MATCH(Calculation!$G273,'Gross Gen Plant'!$D$5:$AC$5,0))</f>
        <v>23781</v>
      </c>
      <c r="CA273" s="129">
        <f t="shared" si="441"/>
        <v>347539</v>
      </c>
      <c r="CB273" s="129"/>
      <c r="CC273" s="133">
        <v>2018</v>
      </c>
      <c r="CD273" s="129"/>
      <c r="CE273" s="129"/>
      <c r="CF273" s="129"/>
      <c r="CG273" s="137"/>
      <c r="CH273" s="129">
        <f t="shared" si="495"/>
        <v>21555</v>
      </c>
      <c r="CI273" s="46">
        <f t="shared" si="504"/>
        <v>21469.261153424508</v>
      </c>
      <c r="CJ273" s="46">
        <f t="shared" si="496"/>
        <v>28.430959249729014</v>
      </c>
      <c r="CK273" s="443">
        <v>0.75609756097560976</v>
      </c>
      <c r="CL273" s="46">
        <f>+CL253*CK273++CJ254*CK272+CJ255*CK271+CJ256*CK270+CJ257*CK269+CJ258*CK268+CJ259*CK267+CJ260*CK266+CJ261*CK265+CJ262*CK264+CJ263*CK263+CJ264*CK262+CJ265*CK261+CJ266*CK260+CJ267*CK259+CJ268*CK258+CJ269*CK257+CJ270*CK256+CJ271*CK255+CJ272*CK254+CJ273</f>
        <v>1629.2847253426871</v>
      </c>
      <c r="CM273" s="134">
        <f t="shared" si="497"/>
        <v>-3.4406091254778173E-4</v>
      </c>
      <c r="CN273" s="135">
        <f t="shared" si="498"/>
        <v>1.778796257311872E-2</v>
      </c>
      <c r="CO273" s="135">
        <f t="shared" si="507"/>
        <v>1.7203663166615982E-2</v>
      </c>
      <c r="CP273" s="134">
        <f>VLOOKUP($H273,RoR!$E:$F,2,FALSE)</f>
        <v>3.9299999999999995E-2</v>
      </c>
      <c r="CQ273" s="135">
        <v>2.386056741932796E-2</v>
      </c>
      <c r="CR273" s="135">
        <f t="shared" si="505"/>
        <v>1.5439432580672034E-2</v>
      </c>
      <c r="CS273" s="135">
        <f t="shared" si="508"/>
        <v>1.3698278441917643E-2</v>
      </c>
      <c r="CT273" s="135">
        <f t="shared" si="509"/>
        <v>3.8270792163076606E-2</v>
      </c>
      <c r="CU273" s="139">
        <f t="shared" si="499"/>
        <v>0.90120814999999999</v>
      </c>
      <c r="CV273" s="335">
        <f t="shared" si="500"/>
        <v>1.3048868010700074</v>
      </c>
      <c r="CW273" s="335">
        <f t="shared" si="501"/>
        <v>0.33886768447837151</v>
      </c>
      <c r="CX273" s="335">
        <f t="shared" si="502"/>
        <v>0.78602506232557801</v>
      </c>
      <c r="CY273" s="335">
        <f t="shared" si="503"/>
        <v>0.34756768162358759</v>
      </c>
      <c r="CZ273" s="336">
        <f>INDEX('State Tax Lookup'!$D$7:$Z$91,MATCH(Calculation!$C273,'State Tax Lookup'!$B$7:$B$91,0),MATCH($H273,'State Tax Lookup'!$D$6:$Z$6,0))</f>
        <v>0.26700499999999999</v>
      </c>
      <c r="DA273" s="303">
        <v>0.37</v>
      </c>
      <c r="DB273" s="57">
        <f t="shared" si="506"/>
        <v>12.670854397712709</v>
      </c>
      <c r="DC273" s="56">
        <f t="shared" si="510"/>
        <v>1.507827980451814E-2</v>
      </c>
      <c r="DD273" s="303">
        <f>VLOOKUP($H273,RoR!$E:$F,2,FALSE)</f>
        <v>3.9299999999999995E-2</v>
      </c>
      <c r="DE273" s="304">
        <f>HLOOKUP($H273,'GDP-PI'!$D$8:$CQ$11,3,FALSE)</f>
        <v>2.386056741932796E-2</v>
      </c>
      <c r="DF273" s="303">
        <f>VLOOKUP(H273,'HW Dx Data'!$E:$F,2,FALSE)</f>
        <v>755.13671434174842</v>
      </c>
      <c r="DG273" s="89">
        <f ca="1">VLOOKUP(CC273,'ECI - Input Price'!M$13:N$33,2,FALSE)</f>
        <v>144.44999999999999</v>
      </c>
      <c r="DH273" s="89"/>
      <c r="DI273" s="89"/>
      <c r="DJ273" s="56">
        <f t="shared" ca="1" si="522"/>
        <v>2.80818733619915E-2</v>
      </c>
      <c r="DK273" s="53">
        <f>HLOOKUP(H273,'GDP-PI'!$8:$9,2,FALSE)</f>
        <v>110.322</v>
      </c>
      <c r="DL273" s="355">
        <f t="shared" si="511"/>
        <v>2.3580352716508712E-2</v>
      </c>
      <c r="EC273"/>
    </row>
    <row r="274" spans="1:133" s="126" customFormat="1" ht="21" customHeight="1" x14ac:dyDescent="0.4">
      <c r="A274" s="233" t="s">
        <v>197</v>
      </c>
      <c r="B274" s="127" t="s">
        <v>197</v>
      </c>
      <c r="C274" s="127">
        <v>4057114</v>
      </c>
      <c r="D274" s="127" t="s">
        <v>187</v>
      </c>
      <c r="E274" s="127" t="s">
        <v>15</v>
      </c>
      <c r="F274" s="127"/>
      <c r="G274" s="127" t="s">
        <v>175</v>
      </c>
      <c r="H274" s="128">
        <v>2019</v>
      </c>
      <c r="I274" s="129"/>
      <c r="J274" s="125">
        <f>IFERROR(INDEX('Labor Expenditures'!$E$7:$W$91,MATCH($C274,'Labor Expenditures'!$C$7:$C$91,0),MATCH($G274,'Labor Expenditures'!$E$5:$W$5,0)),"NA")</f>
        <v>19236.025816726495</v>
      </c>
      <c r="K274" s="125">
        <f t="shared" ca="1" si="512"/>
        <v>128.51862914131613</v>
      </c>
      <c r="L274" s="47"/>
      <c r="M274" s="131">
        <f t="shared" ca="1" si="523"/>
        <v>-0.72704460378046576</v>
      </c>
      <c r="N274" s="131"/>
      <c r="O274" s="131"/>
      <c r="P274" s="59">
        <f t="shared" ca="1" si="525"/>
        <v>-4.2953207540201745E-3</v>
      </c>
      <c r="Q274" s="61"/>
      <c r="R274" s="387"/>
      <c r="S274" s="49">
        <f t="shared" ca="1" si="530"/>
        <v>116.50688540766895</v>
      </c>
      <c r="T274" s="61">
        <f ca="1">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</f>
        <v>2.2733457308443134E-3</v>
      </c>
      <c r="U274" s="61"/>
      <c r="V274" s="125">
        <f>IFERROR(INDEX('Non-Labor Expenditures'!$E$7:$AA$91,MATCH($C274,'Non-Labor Expenditures'!$C$7:$C$91,0),MATCH($G274,'Non-Labor Expenditures'!$E$5:$AA$5,0)),"NA")</f>
        <v>27857.358176654332</v>
      </c>
      <c r="W274" s="125">
        <f t="shared" si="513"/>
        <v>248.02220638414443</v>
      </c>
      <c r="X274" s="131">
        <f t="shared" si="526"/>
        <v>-0.70944252533269558</v>
      </c>
      <c r="Y274" s="131">
        <f t="shared" si="527"/>
        <v>-4.191329097280737E-3</v>
      </c>
      <c r="Z274" s="131"/>
      <c r="AA274" s="131"/>
      <c r="AB274" s="131"/>
      <c r="AC274" s="125">
        <f t="shared" si="491"/>
        <v>20216.205404930442</v>
      </c>
      <c r="AD274" s="129"/>
      <c r="AE274" s="133">
        <v>1827.6491278717051</v>
      </c>
      <c r="AF274" s="134">
        <v>4.5290779629496881E-3</v>
      </c>
      <c r="AG274" s="59">
        <f t="shared" si="514"/>
        <v>2.6757426531574097E-5</v>
      </c>
      <c r="AH274" s="134"/>
      <c r="AI274" s="134"/>
      <c r="AJ274" s="129">
        <f t="shared" si="444"/>
        <v>67309.589398311276</v>
      </c>
      <c r="AK274" s="134">
        <f t="shared" si="528"/>
        <v>-0.53288122441767538</v>
      </c>
      <c r="AL274" s="129"/>
      <c r="AM274" s="129"/>
      <c r="AN274" s="129"/>
      <c r="AO274" s="129"/>
      <c r="AP274" s="133">
        <f t="shared" si="529"/>
        <v>310.15814152030151</v>
      </c>
      <c r="AQ274" s="134">
        <f>+BB274/Outputs!$B$27</f>
        <v>5.7617148323781632E-3</v>
      </c>
      <c r="AR274" s="93">
        <f t="shared" si="515"/>
        <v>0.28578432863251285</v>
      </c>
      <c r="AS274" s="93">
        <f t="shared" si="516"/>
        <v>0.41386908500965008</v>
      </c>
      <c r="AT274" s="93">
        <f t="shared" si="517"/>
        <v>0.3003465863578369</v>
      </c>
      <c r="AU274" s="93">
        <f t="shared" ca="1" si="531"/>
        <v>-0.54449034540381858</v>
      </c>
      <c r="AV274" s="132">
        <f t="shared" ca="1" si="533"/>
        <v>139.42343658996128</v>
      </c>
      <c r="AW274" s="134">
        <f t="shared" ca="1" si="534"/>
        <v>-0.54449034540381858</v>
      </c>
      <c r="AX274" s="56">
        <f>+AJ274/$AL$24</f>
        <v>5.9079191726140162E-3</v>
      </c>
      <c r="AY274" s="135">
        <f t="shared" ca="1" si="532"/>
        <v>-3.2168049509144476E-3</v>
      </c>
      <c r="AZ274" s="93"/>
      <c r="BA274" s="93"/>
      <c r="BB274" s="234">
        <f>IFERROR(INDEX('Total Customers'!$E$7:$AA$91,MATCH($C274,'Total Customers'!$C$7:$C$91,0),MATCH($G274,'Total Customers'!$E$5:$AA$5,0)),"NA")</f>
        <v>217017</v>
      </c>
      <c r="BC274" s="411">
        <f t="shared" si="524"/>
        <v>1.2468139585127143E-2</v>
      </c>
      <c r="BD274" s="92"/>
      <c r="BE274" s="281" t="str">
        <f t="shared" si="518"/>
        <v>COLONIAL GAS COMPANY</v>
      </c>
      <c r="BF274" s="290">
        <f t="shared" si="519"/>
        <v>4057114</v>
      </c>
      <c r="BG274" s="46" t="str">
        <f t="shared" si="520"/>
        <v>MA</v>
      </c>
      <c r="BH274" s="46"/>
      <c r="BI274" s="46" t="str">
        <f t="shared" si="521"/>
        <v>2019 Y</v>
      </c>
      <c r="BJ274" s="129"/>
      <c r="BK274" s="129"/>
      <c r="BL274" s="129">
        <f>INDEX('Dist. Plant Gas Additions'!$E$7:$AD$91,MATCH($C274,'Dist. Plant Gas Additions'!$C$7:$C$91,0),MATCH(Calculation!$G274,'Dist. Plant Gas Additions'!$E$5:$AD$5,0))</f>
        <v>20813</v>
      </c>
      <c r="BM274" s="129">
        <f>INDEX('Gen. Plant Additions'!$E$7:$AD$91,MATCH($C274,'Gen. Plant Additions'!$C$7:$C$91,0),MATCH(Calculation!$G274,'Gen. Plant Additions'!$E$5:$AD$5,0))</f>
        <v>332</v>
      </c>
      <c r="BN274" s="393">
        <f t="shared" si="492"/>
        <v>0.93318942736179189</v>
      </c>
      <c r="BO274" s="46">
        <f t="shared" ref="BO274:BO292" si="535">+BN274*BM274</f>
        <v>309.81888988411492</v>
      </c>
      <c r="BP274" s="46">
        <f t="shared" ref="BP274:BP292" si="536">+BO274-BM274</f>
        <v>-22.181110115885076</v>
      </c>
      <c r="BQ274" s="129"/>
      <c r="BR274" s="129"/>
      <c r="BS274" s="129"/>
      <c r="BT274" s="129"/>
      <c r="BU274" s="129"/>
      <c r="BV274" s="129"/>
      <c r="BW274" s="129"/>
      <c r="BX274" s="129"/>
      <c r="BY274" s="129">
        <f>INDEX('Gross Dx Plant'!$D$7:$AC$91,MATCH($C274,'Gross Dx Plant'!$C$7:$C$91,0),MATCH(Calculation!$G274,'Gross Dx Plant'!$D$5:$AC$5,0))</f>
        <v>335476</v>
      </c>
      <c r="BZ274" s="129">
        <f>INDEX('Gross Gen Plant'!$D$7:$AC$91,MATCH($C274,'Gross Gen Plant'!$C$7:$C$91,0),MATCH(Calculation!$G274,'Gross Gen Plant'!$D$5:$AC$5,0))</f>
        <v>24018</v>
      </c>
      <c r="CA274" s="129">
        <f t="shared" si="441"/>
        <v>359494</v>
      </c>
      <c r="CB274" s="129"/>
      <c r="CC274" s="133">
        <v>2019</v>
      </c>
      <c r="CD274" s="129"/>
      <c r="CE274" s="129"/>
      <c r="CF274" s="129"/>
      <c r="CG274" s="137"/>
      <c r="CH274" s="129">
        <f t="shared" si="495"/>
        <v>21145</v>
      </c>
      <c r="CI274" s="46">
        <f t="shared" si="504"/>
        <v>21122.818889884114</v>
      </c>
      <c r="CJ274" s="46">
        <f t="shared" si="496"/>
        <v>27.306717249081832</v>
      </c>
      <c r="CK274" s="443">
        <v>0.7407407407407407</v>
      </c>
      <c r="CL274" s="46">
        <f>CL253*CK274+CJ254*CK273+CJ255*CK272+CJ256*CK271+CJ257*CK270+CJ258*CK269+CJ259*CK268+CJ260*CK267+CJ261*CK266+CJ262*CK265+CJ263*CK264+CJ264*CK263+CJ265*CK262+CJ266*CK261+CJ267*CK260+CJ268*CK259+CJ269*CK258+CJ270*CK257+CJ271*CK256+CJ272*CK255+CJ273*CK254+CJ274</f>
        <v>1626.6174574162942</v>
      </c>
      <c r="CM274" s="134">
        <f t="shared" si="497"/>
        <v>-1.6384205503406691E-3</v>
      </c>
      <c r="CN274" s="135">
        <f t="shared" si="498"/>
        <v>1.8397020919207557E-2</v>
      </c>
      <c r="CO274" s="135">
        <f t="shared" si="507"/>
        <v>1.7792748245544845E-2</v>
      </c>
      <c r="CP274" s="134">
        <f>VLOOKUP($H274,RoR!$E:$F,2,FALSE)</f>
        <v>3.3875000000000009E-2</v>
      </c>
      <c r="CQ274" s="135">
        <v>1.8092492884465461E-2</v>
      </c>
      <c r="CR274" s="135">
        <f t="shared" si="505"/>
        <v>1.5782507115534548E-2</v>
      </c>
      <c r="CS274" s="135">
        <f t="shared" si="508"/>
        <v>1.310919336298878E-2</v>
      </c>
      <c r="CT274" s="135">
        <f t="shared" si="509"/>
        <v>4.8445665544254078E-2</v>
      </c>
      <c r="CU274" s="139">
        <f t="shared" si="499"/>
        <v>0.90120814999999999</v>
      </c>
      <c r="CV274" s="335">
        <f t="shared" si="500"/>
        <v>1.513861292459078</v>
      </c>
      <c r="CW274" s="335">
        <f t="shared" si="501"/>
        <v>0.23699261992619944</v>
      </c>
      <c r="CX274" s="335">
        <f t="shared" si="502"/>
        <v>0.73619765810468829</v>
      </c>
      <c r="CY274" s="335">
        <f t="shared" si="503"/>
        <v>0.26412854465362851</v>
      </c>
      <c r="CZ274" s="336">
        <f>INDEX('State Tax Lookup'!$D$7:$Z$91,MATCH(Calculation!$C274,'State Tax Lookup'!$B$7:$B$91,0),MATCH($H274,'State Tax Lookup'!$D$6:$Z$6,0))</f>
        <v>0.26700499999999999</v>
      </c>
      <c r="DA274" s="303">
        <v>0.37</v>
      </c>
      <c r="DB274" s="57">
        <f t="shared" si="506"/>
        <v>12.408024877713361</v>
      </c>
      <c r="DC274" s="56">
        <f t="shared" si="510"/>
        <v>-2.0960995918555665E-2</v>
      </c>
      <c r="DD274" s="303">
        <f>VLOOKUP($H274,RoR!$E:$F,2,FALSE)</f>
        <v>3.3875000000000009E-2</v>
      </c>
      <c r="DE274" s="304">
        <f>HLOOKUP($H274,'GDP-PI'!$D$8:$CQ$11,3,FALSE)</f>
        <v>1.8092492884465461E-2</v>
      </c>
      <c r="DF274" s="303">
        <f>VLOOKUP(H274,'HW Dx Data'!$E:$F,2,FALSE)</f>
        <v>773.53929793938721</v>
      </c>
      <c r="DG274" s="89">
        <f ca="1">VLOOKUP(CC274,'ECI - Input Price'!M$13:N$33,2,FALSE)</f>
        <v>149.67500000000001</v>
      </c>
      <c r="DH274" s="89"/>
      <c r="DI274" s="89"/>
      <c r="DJ274" s="56">
        <f t="shared" ca="1" si="522"/>
        <v>3.5532849899171604E-2</v>
      </c>
      <c r="DK274" s="53">
        <f>HLOOKUP(H274,'GDP-PI'!$8:$9,2,FALSE)</f>
        <v>112.318</v>
      </c>
      <c r="DL274" s="355">
        <f t="shared" si="511"/>
        <v>1.7930771451401852E-2</v>
      </c>
      <c r="EC274"/>
    </row>
    <row r="275" spans="1:133" s="126" customFormat="1" ht="21" customHeight="1" x14ac:dyDescent="0.4">
      <c r="A275" s="233" t="s">
        <v>197</v>
      </c>
      <c r="B275" s="126" t="s">
        <v>197</v>
      </c>
      <c r="C275" s="126">
        <v>4057114</v>
      </c>
      <c r="D275" s="126" t="s">
        <v>187</v>
      </c>
      <c r="E275" s="126" t="s">
        <v>15</v>
      </c>
      <c r="G275" s="127" t="s">
        <v>176</v>
      </c>
      <c r="H275" s="128">
        <v>2020</v>
      </c>
      <c r="I275" s="129"/>
      <c r="J275" s="125">
        <f>IFERROR(INDEX('Labor Expenditures'!$E$7:$W$91,MATCH($C275,'Labor Expenditures'!$C$7:$C$91,0),MATCH($G275,'Labor Expenditures'!$E$5:$W$5,0)),"NA")</f>
        <v>11301.535771974532</v>
      </c>
      <c r="K275" s="125">
        <f t="shared" ca="1" si="512"/>
        <v>73.793899914949606</v>
      </c>
      <c r="L275" s="47"/>
      <c r="M275" s="131">
        <f t="shared" ca="1" si="523"/>
        <v>-0.55479779647881422</v>
      </c>
      <c r="N275" s="131"/>
      <c r="O275" s="131"/>
      <c r="P275" s="59">
        <f t="shared" ca="1" si="525"/>
        <v>-2.290121831177105E-3</v>
      </c>
      <c r="Q275" s="61"/>
      <c r="R275" s="387"/>
      <c r="S275" s="49">
        <f t="shared" ca="1" si="530"/>
        <v>115.18240700355895</v>
      </c>
      <c r="T275" s="61">
        <f ca="1">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</f>
        <v>-1.1433353854669256E-2</v>
      </c>
      <c r="U275" s="61"/>
      <c r="V275" s="125">
        <f>IFERROR(INDEX('Non-Labor Expenditures'!$E$7:$AA$91,MATCH($C275,'Non-Labor Expenditures'!$C$7:$C$91,0),MATCH($G275,'Non-Labor Expenditures'!$E$5:$AA$5,0)),"NA")</f>
        <v>16366.734633533715</v>
      </c>
      <c r="W275" s="125">
        <f t="shared" si="513"/>
        <v>144.04420437353102</v>
      </c>
      <c r="X275" s="131">
        <f t="shared" si="526"/>
        <v>-0.54339805674283859</v>
      </c>
      <c r="Y275" s="131">
        <f t="shared" si="527"/>
        <v>-2.2430654207068594E-3</v>
      </c>
      <c r="Z275" s="131"/>
      <c r="AA275" s="131"/>
      <c r="AB275" s="131"/>
      <c r="AC275" s="125">
        <f t="shared" si="491"/>
        <v>20223.434949590806</v>
      </c>
      <c r="AD275" s="129"/>
      <c r="AE275" s="133">
        <v>1856.6114546194096</v>
      </c>
      <c r="AF275" s="134">
        <v>1.5722516208991288E-2</v>
      </c>
      <c r="AG275" s="59">
        <f t="shared" si="514"/>
        <v>6.4900181362962224E-5</v>
      </c>
      <c r="AH275" s="134"/>
      <c r="AI275" s="134"/>
      <c r="AJ275" s="129">
        <f t="shared" si="444"/>
        <v>47891.705355099053</v>
      </c>
      <c r="AK275" s="134">
        <f t="shared" si="528"/>
        <v>-0.34036039028760745</v>
      </c>
      <c r="AL275" s="129"/>
      <c r="AM275" s="129"/>
      <c r="AN275" s="129"/>
      <c r="AO275" s="129"/>
      <c r="AP275" s="133">
        <f t="shared" si="529"/>
        <v>221.3243187210833</v>
      </c>
      <c r="AQ275" s="134">
        <f>+BB275/Outputs!$B$28</f>
        <v>5.7044199546798261E-3</v>
      </c>
      <c r="AR275" s="93">
        <f t="shared" si="515"/>
        <v>0.23598106787340059</v>
      </c>
      <c r="AS275" s="93">
        <f t="shared" si="516"/>
        <v>0.3417446614644542</v>
      </c>
      <c r="AT275" s="93">
        <f t="shared" si="517"/>
        <v>0.42227427066214518</v>
      </c>
      <c r="AU275" s="93">
        <f t="shared" ca="1" si="531"/>
        <v>-0.35003666687128987</v>
      </c>
      <c r="AV275" s="132">
        <f t="shared" ca="1" si="533"/>
        <v>98.246432737249137</v>
      </c>
      <c r="AW275" s="134">
        <f t="shared" ca="1" si="534"/>
        <v>-0.35003666687128993</v>
      </c>
      <c r="AX275" s="56">
        <f>+AJ275/$AL$25</f>
        <v>4.1278495439456145E-3</v>
      </c>
      <c r="AY275" s="135">
        <f t="shared" ca="1" si="532"/>
        <v>-1.4448986957088972E-3</v>
      </c>
      <c r="AZ275" s="93"/>
      <c r="BA275" s="93"/>
      <c r="BB275" s="234">
        <f>IFERROR(INDEX('Total Customers'!$E$7:$AA$91,MATCH($C275,'Total Customers'!$C$7:$C$91,0),MATCH($G275,'Total Customers'!$E$5:$AA$5,0)),"NA")</f>
        <v>216387</v>
      </c>
      <c r="BC275" s="411">
        <f t="shared" si="524"/>
        <v>-2.9072202551256865E-3</v>
      </c>
      <c r="BD275" s="92"/>
      <c r="BE275" s="281" t="str">
        <f t="shared" si="518"/>
        <v>COLONIAL GAS COMPANY</v>
      </c>
      <c r="BF275" s="290">
        <f t="shared" si="519"/>
        <v>4057114</v>
      </c>
      <c r="BG275" s="46" t="str">
        <f t="shared" si="520"/>
        <v>MA</v>
      </c>
      <c r="BH275" s="46"/>
      <c r="BI275" s="46" t="str">
        <f t="shared" si="521"/>
        <v>2020 Y</v>
      </c>
      <c r="BJ275" s="129"/>
      <c r="BK275" s="129"/>
      <c r="BL275" s="129">
        <f>INDEX('Dist. Plant Gas Additions'!$E$7:$AD$91,MATCH($C275,'Dist. Plant Gas Additions'!$C$7:$C$91,0),MATCH(Calculation!$G275,'Dist. Plant Gas Additions'!$E$5:$AD$5,0))</f>
        <v>37935</v>
      </c>
      <c r="BM275" s="129">
        <f>INDEX('Gen. Plant Additions'!$E$7:$AD$91,MATCH($C275,'Gen. Plant Additions'!$C$7:$C$91,0),MATCH(Calculation!$G275,'Gen. Plant Additions'!$E$5:$AD$5,0))</f>
        <v>1888</v>
      </c>
      <c r="BN275" s="393">
        <f t="shared" si="492"/>
        <v>0.93467550743562766</v>
      </c>
      <c r="BO275" s="46">
        <f t="shared" si="535"/>
        <v>1764.667358038465</v>
      </c>
      <c r="BP275" s="46">
        <f t="shared" si="536"/>
        <v>-123.33264196153505</v>
      </c>
      <c r="BQ275" s="129"/>
      <c r="BR275" s="129"/>
      <c r="BS275" s="129"/>
      <c r="BT275" s="129"/>
      <c r="BU275" s="129"/>
      <c r="BV275" s="129"/>
      <c r="BW275" s="129"/>
      <c r="BX275" s="129"/>
      <c r="BY275" s="129">
        <f>INDEX('Gross Dx Plant'!$D$7:$AC$91,MATCH($C275,'Gross Dx Plant'!$C$7:$C$91,0),MATCH(Calculation!$G275,'Gross Dx Plant'!$D$5:$AC$5,0))</f>
        <v>368622</v>
      </c>
      <c r="BZ275" s="129">
        <f>INDEX('Gross Gen Plant'!$D$7:$AC$91,MATCH($C275,'Gross Gen Plant'!$C$7:$C$91,0),MATCH(Calculation!$G275,'Gross Gen Plant'!$D$5:$AC$5,0))</f>
        <v>25763</v>
      </c>
      <c r="CA275" s="129">
        <f t="shared" si="441"/>
        <v>394385</v>
      </c>
      <c r="CB275" s="129"/>
      <c r="CC275" s="133">
        <v>2020</v>
      </c>
      <c r="CD275" s="129"/>
      <c r="CE275" s="129"/>
      <c r="CF275" s="129"/>
      <c r="CG275" s="137"/>
      <c r="CH275" s="129">
        <f t="shared" si="495"/>
        <v>39823</v>
      </c>
      <c r="CI275" s="46">
        <f t="shared" si="504"/>
        <v>39699.667358038467</v>
      </c>
      <c r="CJ275" s="46">
        <f t="shared" si="496"/>
        <v>48.826264851897058</v>
      </c>
      <c r="CK275" s="443">
        <v>0.72499999999999998</v>
      </c>
      <c r="CL275" s="46">
        <f>CL253*CK275+CJ254*CK274+CJ255*CK273+CJ256*CK272+CJ257*CK271+CJ258*CK270+CJ259*CK269+CJ260*CK268+CJ261*CK267+CJ262*CK266+CJ263*CK265+CJ264*CK264+CJ265*CK263+CJ266*CK262+CJ267*CK261+CJ268*CK260+CJ269*CK259+CJ270*CK258+CJ271*CK257+CJ272*CK256+CJ273*CK255+CJ274*CK254+CJ275</f>
        <v>1644.4670992847043</v>
      </c>
      <c r="CM275" s="134">
        <f t="shared" si="497"/>
        <v>1.0913700779989641E-2</v>
      </c>
      <c r="CN275" s="135">
        <f t="shared" si="498"/>
        <v>1.9043582031075673E-2</v>
      </c>
      <c r="CO275" s="135">
        <f t="shared" si="507"/>
        <v>1.8409521841133984E-2</v>
      </c>
      <c r="CP275" s="134">
        <f>VLOOKUP($H275,RoR!$E:$F,2,FALSE)</f>
        <v>2.4766666666666666E-2</v>
      </c>
      <c r="CQ275" s="135">
        <v>1.1618796630994188E-2</v>
      </c>
      <c r="CR275" s="135">
        <f t="shared" si="505"/>
        <v>1.3147870035672478E-2</v>
      </c>
      <c r="CS275" s="135">
        <f t="shared" si="508"/>
        <v>1.2492419767399641E-2</v>
      </c>
      <c r="CT275" s="135">
        <f t="shared" si="509"/>
        <v>4.5144642961987357E-2</v>
      </c>
      <c r="CU275" s="139">
        <f t="shared" si="499"/>
        <v>0.90120814999999999</v>
      </c>
      <c r="CV275" s="335">
        <f t="shared" si="500"/>
        <v>2.0706077233668081</v>
      </c>
      <c r="CW275" s="335">
        <f t="shared" si="501"/>
        <v>-3.4421265141318998E-2</v>
      </c>
      <c r="CX275" s="335">
        <f t="shared" si="502"/>
        <v>0.62416226176410472</v>
      </c>
      <c r="CY275" s="335">
        <f t="shared" si="503"/>
        <v>-4.4485877841158712E-2</v>
      </c>
      <c r="CZ275" s="336">
        <f>INDEX('State Tax Lookup'!$D$7:$Z$91,MATCH(Calculation!$C275,'State Tax Lookup'!$B$7:$B$91,0),MATCH($H275,'State Tax Lookup'!$D$6:$Z$6,0))</f>
        <v>0.26700499999999999</v>
      </c>
      <c r="DA275" s="303">
        <v>0.37</v>
      </c>
      <c r="DB275" s="57">
        <f t="shared" si="506"/>
        <v>12.432815630611481</v>
      </c>
      <c r="DC275" s="56">
        <f t="shared" si="510"/>
        <v>1.9959679802387799E-3</v>
      </c>
      <c r="DD275" s="303">
        <f>VLOOKUP($H275,RoR!$E:$F,2,FALSE)</f>
        <v>2.4766666666666666E-2</v>
      </c>
      <c r="DE275" s="304">
        <f>HLOOKUP($H275,'GDP-PI'!$D$8:$CQ$11,3,FALSE)</f>
        <v>1.1618796630994188E-2</v>
      </c>
      <c r="DF275" s="303">
        <f>VLOOKUP(H275,'HW Dx Data'!$E:$F,2,FALSE)</f>
        <v>813.080162458833</v>
      </c>
      <c r="DG275" s="89">
        <f ca="1">VLOOKUP(CC275,'ECI - Input Price'!M$13:N$33,2,FALSE)</f>
        <v>153.15</v>
      </c>
      <c r="DH275" s="89"/>
      <c r="DI275" s="89"/>
      <c r="DJ275" s="56">
        <f t="shared" ca="1" si="522"/>
        <v>2.2951556467368479E-2</v>
      </c>
      <c r="DK275" s="53">
        <f>HLOOKUP(H275,'GDP-PI'!$8:$9,2,FALSE)</f>
        <v>113.623</v>
      </c>
      <c r="DL275" s="355">
        <f t="shared" si="511"/>
        <v>1.1551816731392881E-2</v>
      </c>
      <c r="EC275"/>
    </row>
    <row r="276" spans="1:133" s="126" customFormat="1" ht="21" customHeight="1" x14ac:dyDescent="0.4">
      <c r="A276" s="233" t="s">
        <v>197</v>
      </c>
      <c r="B276" s="126" t="s">
        <v>197</v>
      </c>
      <c r="C276" s="126">
        <v>4057114</v>
      </c>
      <c r="D276" s="126" t="s">
        <v>187</v>
      </c>
      <c r="E276" s="126" t="s">
        <v>15</v>
      </c>
      <c r="G276" s="127" t="s">
        <v>177</v>
      </c>
      <c r="H276" s="128">
        <v>2021</v>
      </c>
      <c r="I276" s="129"/>
      <c r="J276" s="125">
        <v>0</v>
      </c>
      <c r="K276" s="125">
        <f t="shared" ca="1" si="512"/>
        <v>0</v>
      </c>
      <c r="L276" s="47"/>
      <c r="M276" s="130"/>
      <c r="N276" s="130"/>
      <c r="O276" s="130"/>
      <c r="P276" s="59"/>
      <c r="Q276" s="61"/>
      <c r="R276" s="387"/>
      <c r="S276" s="132"/>
      <c r="T276" s="134"/>
      <c r="U276" s="134"/>
      <c r="V276" s="125"/>
      <c r="W276" s="125"/>
      <c r="X276" s="131"/>
      <c r="Y276" s="131">
        <f t="shared" si="527"/>
        <v>0</v>
      </c>
      <c r="Z276" s="131"/>
      <c r="AA276" s="131"/>
      <c r="AB276" s="131"/>
      <c r="AC276" s="125"/>
      <c r="AD276" s="129"/>
      <c r="AE276" s="133"/>
      <c r="AF276" s="134"/>
      <c r="AG276" s="59">
        <f t="shared" si="514"/>
        <v>0</v>
      </c>
      <c r="AH276" s="134"/>
      <c r="AI276" s="134"/>
      <c r="AJ276" s="129">
        <f t="shared" si="444"/>
        <v>0</v>
      </c>
      <c r="AK276" s="134"/>
      <c r="AL276" s="129"/>
      <c r="AM276" s="134"/>
      <c r="AN276" s="134"/>
      <c r="AO276" s="134"/>
      <c r="AP276" s="132">
        <f>+(AP273+AP274+AP275)/3</f>
        <v>355.52356629571636</v>
      </c>
      <c r="AQ276" s="134"/>
      <c r="AR276" s="93"/>
      <c r="AS276" s="93"/>
      <c r="AT276" s="93"/>
      <c r="AU276" s="93"/>
      <c r="AV276" s="132"/>
      <c r="AW276" s="134"/>
      <c r="AX276" s="56">
        <f>+AJ276/$AL$26</f>
        <v>0</v>
      </c>
      <c r="AY276" s="135"/>
      <c r="AZ276" s="93"/>
      <c r="BA276" s="93"/>
      <c r="BB276" s="234"/>
      <c r="BC276" s="411"/>
      <c r="BD276" s="91"/>
      <c r="BE276" s="281" t="str">
        <f t="shared" si="518"/>
        <v>COLONIAL GAS COMPANY</v>
      </c>
      <c r="BF276" s="290">
        <f t="shared" si="519"/>
        <v>4057114</v>
      </c>
      <c r="BG276" s="46" t="str">
        <f t="shared" si="520"/>
        <v>MA</v>
      </c>
      <c r="BH276" s="46"/>
      <c r="BI276" s="46" t="str">
        <f t="shared" si="521"/>
        <v>2021 Y</v>
      </c>
      <c r="BJ276" s="129"/>
      <c r="BK276" s="129"/>
      <c r="BL276" s="129"/>
      <c r="BM276" s="129"/>
      <c r="BN276" s="343"/>
      <c r="BO276" s="46"/>
      <c r="BP276" s="46"/>
      <c r="BQ276" s="129"/>
      <c r="BR276" s="129"/>
      <c r="BS276" s="137"/>
      <c r="BT276" s="137"/>
      <c r="BU276" s="333"/>
      <c r="BV276" s="93"/>
      <c r="BW276" s="334"/>
      <c r="BX276" s="334"/>
      <c r="BY276" s="129"/>
      <c r="BZ276" s="129"/>
      <c r="CA276" s="129"/>
      <c r="CB276" s="129"/>
      <c r="CC276" s="133">
        <v>2021</v>
      </c>
      <c r="CD276" s="129"/>
      <c r="CE276" s="129"/>
      <c r="CF276" s="129"/>
      <c r="CG276" s="137"/>
      <c r="CH276" s="129"/>
      <c r="CI276" s="46">
        <f t="shared" si="504"/>
        <v>0</v>
      </c>
      <c r="CJ276" s="46">
        <f t="shared" si="496"/>
        <v>0</v>
      </c>
      <c r="CK276" s="443">
        <v>0.70886075949367089</v>
      </c>
      <c r="CL276" s="129"/>
      <c r="CM276" s="134"/>
      <c r="CN276" s="135"/>
      <c r="CO276" s="135"/>
      <c r="CP276" s="134">
        <f>VLOOKUP($H276,RoR!$E:$F,2,FALSE)</f>
        <v>2.7033333333333336E-2</v>
      </c>
      <c r="CQ276" s="135"/>
      <c r="CR276" s="135"/>
      <c r="CS276" s="135"/>
      <c r="CT276" s="135">
        <f t="shared" si="509"/>
        <v>7.433422950153494E-2</v>
      </c>
      <c r="CU276" s="139">
        <f t="shared" si="499"/>
        <v>0.90120814999999999</v>
      </c>
      <c r="CV276" s="335">
        <f t="shared" si="500"/>
        <v>1.8969932656739068</v>
      </c>
      <c r="CW276" s="335">
        <f t="shared" si="501"/>
        <v>5.0215782983970621E-2</v>
      </c>
      <c r="CX276" s="335">
        <f t="shared" si="502"/>
        <v>0.655952481704143</v>
      </c>
      <c r="CY276" s="335">
        <f t="shared" si="503"/>
        <v>6.2485378865697057E-2</v>
      </c>
      <c r="CZ276" s="336">
        <f>CZ275</f>
        <v>0.26700499999999999</v>
      </c>
      <c r="DA276" s="303">
        <v>0.37</v>
      </c>
      <c r="DB276" s="141">
        <f t="shared" si="506"/>
        <v>-9.1393001931464365E-2</v>
      </c>
      <c r="DC276" s="135"/>
      <c r="DD276" s="336">
        <f>VLOOKUP($H276,RoR!$E:$F,2,FALSE)</f>
        <v>2.7033333333333336E-2</v>
      </c>
      <c r="DE276" s="342">
        <f>HLOOKUP($H276,'GDP-PI'!$D$8:$CR$11,3,FALSE)</f>
        <v>4.2834637353352578E-2</v>
      </c>
      <c r="DF276" s="336">
        <f>VLOOKUP(H276,'HW Dx Data'!$E:$F,2,FALSE)</f>
        <v>933.02249921662576</v>
      </c>
      <c r="DG276" s="89">
        <f ca="1">VLOOKUP(CC276,'ECI - Input Price'!M$13:N$33,2,FALSE)</f>
        <v>157.25</v>
      </c>
      <c r="DH276" s="89"/>
      <c r="DI276" s="89"/>
      <c r="DJ276" s="135">
        <f t="shared" ca="1" si="522"/>
        <v>2.6419062301765574E-2</v>
      </c>
      <c r="DK276" s="137">
        <f>HLOOKUP(H276,'GDP-PI'!$8:$9,2,FALSE)</f>
        <v>118.49</v>
      </c>
      <c r="DL276" s="356">
        <f t="shared" si="511"/>
        <v>4.194261824609434E-2</v>
      </c>
      <c r="EC276"/>
    </row>
    <row r="277" spans="1:133" s="126" customFormat="1" ht="21" customHeight="1" thickBot="1" x14ac:dyDescent="0.45">
      <c r="A277" s="235"/>
      <c r="B277" s="236"/>
      <c r="C277" s="236"/>
      <c r="D277" s="236"/>
      <c r="E277" s="236"/>
      <c r="F277" s="236"/>
      <c r="G277" s="237" t="s">
        <v>178</v>
      </c>
      <c r="H277" s="238"/>
      <c r="I277" s="239"/>
      <c r="J277" s="240"/>
      <c r="K277" s="240"/>
      <c r="L277" s="47"/>
      <c r="M277" s="241"/>
      <c r="N277" s="241"/>
      <c r="O277" s="241"/>
      <c r="P277" s="242"/>
      <c r="Q277" s="61"/>
      <c r="R277" s="387"/>
      <c r="S277" s="206"/>
      <c r="T277" s="243"/>
      <c r="U277" s="243"/>
      <c r="V277" s="240"/>
      <c r="W277" s="240"/>
      <c r="X277" s="244"/>
      <c r="Y277" s="244"/>
      <c r="Z277" s="244"/>
      <c r="AA277" s="244"/>
      <c r="AB277" s="244"/>
      <c r="AC277" s="240"/>
      <c r="AD277" s="244"/>
      <c r="AE277" s="245"/>
      <c r="AF277" s="243"/>
      <c r="AG277" s="242">
        <f t="shared" si="514"/>
        <v>0</v>
      </c>
      <c r="AH277" s="243"/>
      <c r="AI277" s="243"/>
      <c r="AJ277" s="239">
        <f t="shared" si="444"/>
        <v>0</v>
      </c>
      <c r="AK277" s="243"/>
      <c r="AL277" s="239"/>
      <c r="AM277" s="243"/>
      <c r="AN277" s="243"/>
      <c r="AO277" s="243"/>
      <c r="AP277" s="245"/>
      <c r="AQ277" s="243"/>
      <c r="AR277" s="207"/>
      <c r="AS277" s="207"/>
      <c r="AT277" s="207"/>
      <c r="AU277" s="207"/>
      <c r="AV277" s="206"/>
      <c r="AW277" s="243"/>
      <c r="AX277" s="248">
        <f>+AJ277/$AL$27</f>
        <v>0</v>
      </c>
      <c r="AY277" s="249"/>
      <c r="AZ277" s="207"/>
      <c r="BA277" s="207"/>
      <c r="BB277" s="250"/>
      <c r="BC277" s="412"/>
      <c r="BD277" s="91"/>
      <c r="BE277" s="401">
        <f t="shared" si="518"/>
        <v>0</v>
      </c>
      <c r="BF277" s="402">
        <f t="shared" si="519"/>
        <v>0</v>
      </c>
      <c r="BG277" s="313">
        <f t="shared" si="520"/>
        <v>0</v>
      </c>
      <c r="BH277" s="313"/>
      <c r="BI277" s="313" t="str">
        <f t="shared" si="521"/>
        <v>2022Y</v>
      </c>
      <c r="BJ277" s="239"/>
      <c r="BK277" s="239"/>
      <c r="BL277" s="239"/>
      <c r="BM277" s="239"/>
      <c r="BN277" s="337"/>
      <c r="BO277" s="313">
        <f t="shared" si="535"/>
        <v>0</v>
      </c>
      <c r="BP277" s="313">
        <f t="shared" si="536"/>
        <v>0</v>
      </c>
      <c r="BQ277" s="239"/>
      <c r="BR277" s="239"/>
      <c r="BS277" s="310"/>
      <c r="BT277" s="310"/>
      <c r="BU277" s="311"/>
      <c r="BV277" s="207"/>
      <c r="BW277" s="312"/>
      <c r="BX277" s="312"/>
      <c r="BY277" s="239"/>
      <c r="BZ277" s="239"/>
      <c r="CA277" s="239"/>
      <c r="CB277" s="239"/>
      <c r="CC277" s="245">
        <v>2022</v>
      </c>
      <c r="CD277" s="239"/>
      <c r="CE277" s="239"/>
      <c r="CF277" s="239"/>
      <c r="CG277" s="310"/>
      <c r="CH277" s="239"/>
      <c r="CI277" s="313">
        <f t="shared" si="504"/>
        <v>0</v>
      </c>
      <c r="CJ277" s="313">
        <f t="shared" si="496"/>
        <v>0</v>
      </c>
      <c r="CK277" s="443">
        <v>0.69230769230769229</v>
      </c>
      <c r="CL277" s="239"/>
      <c r="CM277" s="243"/>
      <c r="CN277" s="249"/>
      <c r="CO277" s="249"/>
      <c r="CP277" s="243"/>
      <c r="CQ277" s="249"/>
      <c r="CR277" s="249"/>
      <c r="CS277" s="248"/>
      <c r="CT277" s="249">
        <f t="shared" si="509"/>
        <v>0.10114668178709289</v>
      </c>
      <c r="CU277" s="314">
        <f t="shared" si="499"/>
        <v>0.90120814999999999</v>
      </c>
      <c r="CV277" s="315"/>
      <c r="CW277" s="315"/>
      <c r="CX277" s="315"/>
      <c r="CY277" s="315"/>
      <c r="CZ277" s="316">
        <f>CZ276</f>
        <v>0.26700499999999999</v>
      </c>
      <c r="DA277" s="360">
        <v>0.37</v>
      </c>
      <c r="DB277" s="318">
        <f t="shared" si="506"/>
        <v>-0.12435857539544563</v>
      </c>
      <c r="DC277" s="249"/>
      <c r="DD277" s="316">
        <v>0.04</v>
      </c>
      <c r="DE277" s="319">
        <v>7.0000000000000001E-3</v>
      </c>
      <c r="DF277" s="316">
        <v>1030.81</v>
      </c>
      <c r="DG277" s="89">
        <f ca="1">VLOOKUP(CC277,'ECI - Input Price'!M$13:N$33,2,FALSE)</f>
        <v>162.55000000000001</v>
      </c>
      <c r="DH277" s="89"/>
      <c r="DI277" s="89"/>
      <c r="DJ277" s="249">
        <f t="shared" ca="1" si="522"/>
        <v>3.3148751169364422E-2</v>
      </c>
      <c r="DK277" s="310">
        <v>127.25</v>
      </c>
      <c r="DL277" s="357">
        <f t="shared" si="511"/>
        <v>7.1325086601983473E-2</v>
      </c>
      <c r="EC277"/>
    </row>
    <row r="278" spans="1:133" s="126" customFormat="1" ht="21" customHeight="1" x14ac:dyDescent="0.4">
      <c r="A278" s="251" t="s">
        <v>198</v>
      </c>
      <c r="B278" s="252" t="s">
        <v>198</v>
      </c>
      <c r="C278" s="252">
        <v>4059355</v>
      </c>
      <c r="D278" s="252" t="s">
        <v>199</v>
      </c>
      <c r="E278" s="252"/>
      <c r="F278" s="252"/>
      <c r="G278" s="252" t="s">
        <v>150</v>
      </c>
      <c r="H278" s="253">
        <v>1998</v>
      </c>
      <c r="I278" s="254"/>
      <c r="J278" s="255"/>
      <c r="K278" s="255"/>
      <c r="L278" s="47"/>
      <c r="M278" s="255"/>
      <c r="N278" s="255"/>
      <c r="O278" s="255"/>
      <c r="P278" s="219"/>
      <c r="Q278" s="218"/>
      <c r="R278" s="385"/>
      <c r="S278" s="257"/>
      <c r="T278" s="258"/>
      <c r="U278" s="258"/>
      <c r="V278" s="259"/>
      <c r="W278" s="259"/>
      <c r="X278" s="259"/>
      <c r="Y278" s="255"/>
      <c r="Z278" s="259"/>
      <c r="AA278" s="259"/>
      <c r="AB278" s="259"/>
      <c r="AC278" s="255"/>
      <c r="AD278" s="254"/>
      <c r="AE278" s="260">
        <v>564.0160449581681</v>
      </c>
      <c r="AF278" s="256"/>
      <c r="AG278" s="225"/>
      <c r="AH278" s="256"/>
      <c r="AI278" s="256"/>
      <c r="AJ278" s="254">
        <f t="shared" si="444"/>
        <v>0</v>
      </c>
      <c r="AK278" s="254"/>
      <c r="AL278" s="254"/>
      <c r="AM278" s="256"/>
      <c r="AN278" s="256"/>
      <c r="AO278" s="256"/>
      <c r="AP278" s="260"/>
      <c r="AQ278" s="256"/>
      <c r="AR278" s="261"/>
      <c r="AS278" s="261"/>
      <c r="AT278" s="261"/>
      <c r="AU278" s="261"/>
      <c r="AV278" s="261"/>
      <c r="AW278" s="256">
        <f ca="1">AVERAGE(AW287:AW301)</f>
        <v>2.8139488944369021E-2</v>
      </c>
      <c r="AX278" s="223"/>
      <c r="AY278" s="261"/>
      <c r="AZ278" s="261"/>
      <c r="BA278" s="261"/>
      <c r="BB278" s="262">
        <f>IFERROR(INDEX('Total Customers'!$E$7:$AA$91,MATCH($C278,'Total Customers'!$C$7:$C$91,0),MATCH($G278,'Total Customers'!$E$5:$AA$5,0)),"NA")</f>
        <v>140078</v>
      </c>
      <c r="BC278" s="413"/>
      <c r="BD278" s="92"/>
      <c r="BE278" s="407" t="str">
        <f t="shared" si="518"/>
        <v>COLUMBIA GAS OF KENTUCKY, INCORPORATED</v>
      </c>
      <c r="BF278" s="408">
        <f t="shared" si="519"/>
        <v>4059355</v>
      </c>
      <c r="BG278" s="218" t="str">
        <f t="shared" si="520"/>
        <v>OH</v>
      </c>
      <c r="BH278" s="218"/>
      <c r="BI278" s="218" t="str">
        <f t="shared" si="521"/>
        <v>1998 Y</v>
      </c>
      <c r="BJ278" s="254">
        <f>INDEX('Gross Dx Plant'!$D$7:$AC$91,MATCH($C278,'Gross Dx Plant'!$C$7:$C$91,0),MATCH(Calculation!$G278,'Gross Dx Plant'!$D$5:$AC$5,0))</f>
        <v>186927</v>
      </c>
      <c r="BK278" s="254">
        <f>INDEX('Gross Gen Plant'!$D$7:$AC$91,MATCH($C278,'Gross Gen Plant'!$C$7:$C$91,0),MATCH(Calculation!$G278,'Gross Gen Plant'!$D$5:$AC$5,0))</f>
        <v>5084</v>
      </c>
      <c r="BL278" s="254">
        <f>INDEX('Dist. Plant Gas Additions'!$E$7:$AD$91,MATCH($C278,'Dist. Plant Gas Additions'!$C$7:$C$91,0),MATCH(Calculation!$G278,'Dist. Plant Gas Additions'!$E$5:$AD$5,0))</f>
        <v>10063</v>
      </c>
      <c r="BM278" s="254">
        <f>INDEX('Gen. Plant Additions'!$E$7:$AD$91,MATCH($C278,'Gen. Plant Additions'!$C$7:$C$91,0),MATCH(Calculation!$G278,'Gen. Plant Additions'!$E$5:$AD$5,0))</f>
        <v>482</v>
      </c>
      <c r="BN278" s="409">
        <f>+(BY278/(BY278+BZ278))</f>
        <v>0.97352235028201506</v>
      </c>
      <c r="BO278" s="218">
        <f t="shared" si="535"/>
        <v>469.23777283593125</v>
      </c>
      <c r="BP278" s="218">
        <f t="shared" si="536"/>
        <v>-12.762227164068747</v>
      </c>
      <c r="BQ278" s="254">
        <f>INDEX('Dist Plant Depreciation'!$D$7:$AC$94,MATCH($C278,'Dist Plant Depreciation'!$C$7:$C$94,0),MATCH(Calculation!$G278,'Dist Plant Depreciation'!$D$5:$AC$5,0))</f>
        <v>77619</v>
      </c>
      <c r="BR278" s="254">
        <f>INDEX('Gen. Plant Depreciation'!$D$7:$AC$94,MATCH($C278,'Gen. Plant Depreciation'!$C$7:$C$94,0),MATCH(Calculation!$G278,'Gen. Plant Depreciation'!$D$5:$AC$5,0))</f>
        <v>619</v>
      </c>
      <c r="BS278" s="254"/>
      <c r="BT278" s="254"/>
      <c r="BU278" s="254"/>
      <c r="BV278" s="254"/>
      <c r="BW278" s="254"/>
      <c r="BX278" s="254"/>
      <c r="BY278" s="254">
        <f>INDEX('Gross Dx Plant'!$D$7:$AC$91,MATCH($C278,'Gross Dx Plant'!$C$7:$C$91,0),MATCH(Calculation!$G278,'Gross Dx Plant'!$D$5:$AC$5,0))</f>
        <v>186927</v>
      </c>
      <c r="BZ278" s="254">
        <f>INDEX('Gross Gen Plant'!$D$7:$AC$91,MATCH($C278,'Gross Gen Plant'!$C$7:$C$91,0),MATCH(Calculation!$G278,'Gross Gen Plant'!$D$5:$AC$5,0))</f>
        <v>5084</v>
      </c>
      <c r="CA278" s="254">
        <f t="shared" si="441"/>
        <v>113773</v>
      </c>
      <c r="CB278" s="254"/>
      <c r="CC278" s="260">
        <v>1998</v>
      </c>
      <c r="CD278" s="254">
        <f>BJ278+BK278</f>
        <v>192011</v>
      </c>
      <c r="CE278" s="254">
        <f>77619+619</f>
        <v>78238</v>
      </c>
      <c r="CF278" s="254">
        <f>+CD278-CE278</f>
        <v>113773</v>
      </c>
      <c r="CG278" s="254">
        <f>CF278/$BX$3</f>
        <v>564.0160449581681</v>
      </c>
      <c r="CH278" s="323"/>
      <c r="CI278" s="344"/>
      <c r="CJ278" s="344"/>
      <c r="CK278" s="443">
        <v>1</v>
      </c>
      <c r="CL278" s="254">
        <f>+CG278</f>
        <v>564.0160449581681</v>
      </c>
      <c r="CM278" s="256"/>
      <c r="CN278" s="325"/>
      <c r="CO278" s="325"/>
      <c r="CP278" s="256"/>
      <c r="CQ278" s="325">
        <v>1.1028127770464469E-2</v>
      </c>
      <c r="CR278" s="325"/>
      <c r="CS278" s="325"/>
      <c r="CT278" s="325"/>
      <c r="CU278" s="327"/>
      <c r="CV278" s="331" t="e">
        <f>2/(DD278*39)</f>
        <v>#N/A</v>
      </c>
      <c r="CW278" s="328" t="e">
        <f>+(DD278*40-(1+DD278))/(DD278*40)</f>
        <v>#N/A</v>
      </c>
      <c r="CX278" s="328" t="e">
        <f>+(1-(1/(1+DD278)^40))</f>
        <v>#N/A</v>
      </c>
      <c r="CY278" s="328" t="e">
        <f>+CX278*CW278*CV278</f>
        <v>#N/A</v>
      </c>
      <c r="CZ278" s="329">
        <f>INDEX('State Tax Lookup'!$D$7:$Z$91,MATCH(Calculation!$C278,'State Tax Lookup'!$B$7:$B$91,0),MATCH($H278,'State Tax Lookup'!$D$6:$Z$6,0))</f>
        <v>0.35</v>
      </c>
      <c r="DA278" s="351">
        <v>0.37</v>
      </c>
      <c r="DB278" s="344"/>
      <c r="DC278" s="326"/>
      <c r="DD278" s="351" t="e">
        <f>VLOOKUP($H278,RoR!$E:$F,2,FALSE)</f>
        <v>#N/A</v>
      </c>
      <c r="DE278" s="354">
        <f>HLOOKUP($H278,'GDP-PI'!$D$8:$CQ$11,3,FALSE)</f>
        <v>1.1028127770464469E-2</v>
      </c>
      <c r="DF278" s="351">
        <f>VLOOKUP(H278,'HW Dx Data'!$E:$F,2,FALSE)</f>
        <v>329.24564746449528</v>
      </c>
      <c r="DG278" s="351"/>
      <c r="DH278" s="351"/>
      <c r="DI278" s="351"/>
      <c r="DJ278" s="326"/>
      <c r="DK278" s="344">
        <f>HLOOKUP(H278,'GDP-PI'!$8:$9,2,FALSE)</f>
        <v>75.266999999999996</v>
      </c>
      <c r="DL278" s="292"/>
      <c r="EC278"/>
    </row>
    <row r="279" spans="1:133" s="126" customFormat="1" ht="21" customHeight="1" x14ac:dyDescent="0.4">
      <c r="A279" s="233" t="s">
        <v>198</v>
      </c>
      <c r="B279" s="127" t="s">
        <v>198</v>
      </c>
      <c r="C279" s="127">
        <v>4059355</v>
      </c>
      <c r="D279" s="127" t="s">
        <v>199</v>
      </c>
      <c r="E279" s="127"/>
      <c r="F279" s="127"/>
      <c r="G279" s="127" t="s">
        <v>155</v>
      </c>
      <c r="H279" s="128">
        <v>1999</v>
      </c>
      <c r="I279" s="129"/>
      <c r="J279" s="125"/>
      <c r="K279" s="129"/>
      <c r="L279" s="47"/>
      <c r="M279" s="129"/>
      <c r="N279" s="129"/>
      <c r="O279" s="129"/>
      <c r="P279" s="47"/>
      <c r="Q279" s="47"/>
      <c r="R279" s="386"/>
      <c r="S279" s="119"/>
      <c r="T279" s="47"/>
      <c r="U279" s="46"/>
      <c r="V279" s="135"/>
      <c r="W279" s="135"/>
      <c r="X279" s="135"/>
      <c r="Y279" s="143"/>
      <c r="Z279" s="135"/>
      <c r="AA279" s="135"/>
      <c r="AB279" s="135"/>
      <c r="AC279" s="125">
        <f t="shared" ref="AC279:AC302" si="537">+CL278*DB279</f>
        <v>0</v>
      </c>
      <c r="AD279" s="129"/>
      <c r="AE279" s="133">
        <v>591.44335145230809</v>
      </c>
      <c r="AF279" s="134">
        <v>4.7483208229293077E-2</v>
      </c>
      <c r="AG279" s="61"/>
      <c r="AH279" s="134"/>
      <c r="AI279" s="134"/>
      <c r="AJ279" s="129">
        <f t="shared" si="444"/>
        <v>0</v>
      </c>
      <c r="AK279" s="134"/>
      <c r="AL279" s="129"/>
      <c r="AM279" s="129"/>
      <c r="AN279" s="129"/>
      <c r="AO279" s="129"/>
      <c r="AP279" s="133"/>
      <c r="AQ279" s="134"/>
      <c r="AR279" s="93"/>
      <c r="AS279" s="93"/>
      <c r="AT279" s="93"/>
      <c r="AU279" s="93"/>
      <c r="AV279" s="93"/>
      <c r="AW279" s="134"/>
      <c r="AX279" s="62"/>
      <c r="AY279" s="93"/>
      <c r="AZ279" s="93"/>
      <c r="BA279" s="93"/>
      <c r="BB279" s="234">
        <f>IFERROR(INDEX('Total Customers'!$E$7:$AA$91,MATCH($C279,'Total Customers'!$C$7:$C$91,0),MATCH($G279,'Total Customers'!$E$5:$AA$5,0)),"NA")</f>
        <v>141815</v>
      </c>
      <c r="BC279" s="411">
        <f t="shared" si="524"/>
        <v>1.2323980976099007E-2</v>
      </c>
      <c r="BD279" s="92"/>
      <c r="BE279" s="281" t="str">
        <f t="shared" si="518"/>
        <v>COLUMBIA GAS OF KENTUCKY, INCORPORATED</v>
      </c>
      <c r="BF279" s="290">
        <f t="shared" si="519"/>
        <v>4059355</v>
      </c>
      <c r="BG279" s="46" t="str">
        <f t="shared" si="520"/>
        <v>OH</v>
      </c>
      <c r="BH279" s="46"/>
      <c r="BI279" s="46" t="str">
        <f t="shared" si="521"/>
        <v>1999 Y</v>
      </c>
      <c r="BJ279" s="129"/>
      <c r="BK279" s="129"/>
      <c r="BL279" s="129">
        <f>INDEX('Dist. Plant Gas Additions'!$E$7:$AD$91,MATCH($C279,'Dist. Plant Gas Additions'!$C$7:$C$91,0),MATCH(Calculation!$G279,'Dist. Plant Gas Additions'!$E$5:$AD$5,0))</f>
        <v>9952</v>
      </c>
      <c r="BM279" s="129">
        <f>INDEX('Gen. Plant Additions'!$E$7:$AD$91,MATCH($C279,'Gen. Plant Additions'!$C$7:$C$91,0),MATCH(Calculation!$G279,'Gen. Plant Additions'!$E$5:$AD$5,0))</f>
        <v>186</v>
      </c>
      <c r="BN279" s="393">
        <f t="shared" ref="BN279:BN300" si="538">+(BY279/(BY279+BZ279))</f>
        <v>0.97470939208908991</v>
      </c>
      <c r="BO279" s="46">
        <f t="shared" si="535"/>
        <v>181.29594692857071</v>
      </c>
      <c r="BP279" s="46">
        <f t="shared" si="536"/>
        <v>-4.7040530714292856</v>
      </c>
      <c r="BQ279" s="129">
        <f>INDEX('Dist Plant Depreciation'!$D$7:$AC$94,MATCH($C279,'Dist Plant Depreciation'!$C$7:$C$94,0),MATCH(Calculation!$G279,'Dist Plant Depreciation'!$D$5:$AC$5,0))</f>
        <v>83207</v>
      </c>
      <c r="BR279" s="129">
        <f>INDEX('Gen. Plant Depreciation'!$D$7:$AC$94,MATCH($C279,'Gen. Plant Depreciation'!$C$7:$C$94,0),MATCH(Calculation!$G279,'Gen. Plant Depreciation'!$D$5:$AC$5,0))</f>
        <v>650</v>
      </c>
      <c r="BS279" s="129"/>
      <c r="BT279" s="129"/>
      <c r="BU279" s="129"/>
      <c r="BV279" s="129"/>
      <c r="BW279" s="129"/>
      <c r="BX279" s="129"/>
      <c r="BY279" s="129">
        <f>INDEX('Gross Dx Plant'!$D$7:$AC$91,MATCH($C279,'Gross Dx Plant'!$C$7:$C$91,0),MATCH(Calculation!$G279,'Gross Dx Plant'!$D$5:$AC$5,0))</f>
        <v>195708</v>
      </c>
      <c r="BZ279" s="129">
        <f>INDEX('Gross Gen Plant'!$D$7:$AC$91,MATCH($C279,'Gross Gen Plant'!$C$7:$C$91,0),MATCH(Calculation!$G279,'Gross Gen Plant'!$D$5:$AC$5,0))</f>
        <v>5078</v>
      </c>
      <c r="CA279" s="129">
        <f t="shared" si="441"/>
        <v>116929</v>
      </c>
      <c r="CB279" s="129"/>
      <c r="CC279" s="133">
        <v>1999</v>
      </c>
      <c r="CD279" s="129"/>
      <c r="CE279" s="129"/>
      <c r="CF279" s="129"/>
      <c r="CG279" s="137"/>
      <c r="CH279" s="129">
        <f t="shared" ref="CH279:CH301" si="539">+BM279+BL279</f>
        <v>10138</v>
      </c>
      <c r="CI279" s="46">
        <f>+CH279+BP279</f>
        <v>10133.295946928571</v>
      </c>
      <c r="CJ279" s="46">
        <f t="shared" ref="CJ279:CJ302" si="540">+CI279/$DF279</f>
        <v>30.219328128815814</v>
      </c>
      <c r="CK279" s="443">
        <v>0.99009900990099009</v>
      </c>
      <c r="CL279" s="46">
        <f>+CL278*CK279+CJ279</f>
        <v>588.65105581017042</v>
      </c>
      <c r="CM279" s="134">
        <f t="shared" ref="CM279:CM300" si="541">LN(CL279/CL278)</f>
        <v>4.2750873534591907E-2</v>
      </c>
      <c r="CN279" s="135">
        <f t="shared" ref="CN279:CN302" si="542">+(CL278-CL279+CJ279)/CL278</f>
        <v>9.9009900990098022E-3</v>
      </c>
      <c r="CO279" s="135"/>
      <c r="CP279" s="134">
        <f>VLOOKUP($H279,RoR!$E:$F,2,FALSE)</f>
        <v>7.0416666666666669E-2</v>
      </c>
      <c r="CQ279" s="135">
        <v>1.4335631817396832E-2</v>
      </c>
      <c r="CR279" s="135">
        <f>+CP279-CQ279</f>
        <v>5.6081034849269837E-2</v>
      </c>
      <c r="CS279" s="135"/>
      <c r="CT279" s="135"/>
      <c r="CU279" s="139">
        <f t="shared" ref="CU279:CU302" si="543">1-CZ279*DA279</f>
        <v>0.87050000000000005</v>
      </c>
      <c r="CV279" s="335">
        <f t="shared" ref="CV279:CV301" si="544">2/(DD279*39)</f>
        <v>0.72826581702321336</v>
      </c>
      <c r="CW279" s="335">
        <f t="shared" ref="CW279:CW301" si="545">+(DD279*40-(1+DD279))/(DD279*40)</f>
        <v>0.61997041420118348</v>
      </c>
      <c r="CX279" s="335">
        <f t="shared" ref="CX279:CX301" si="546">+(1-(1/(1+DD279)^40))</f>
        <v>0.93425155319585029</v>
      </c>
      <c r="CY279" s="335">
        <f t="shared" ref="CY279:CY301" si="547">+CX279*CW279*CV279</f>
        <v>0.42181762214141483</v>
      </c>
      <c r="CZ279" s="336">
        <f>INDEX('State Tax Lookup'!$D$7:$Z$91,MATCH(Calculation!$C279,'State Tax Lookup'!$B$7:$B$91,0),MATCH($H279,'State Tax Lookup'!$D$6:$Z$6,0))</f>
        <v>0.35</v>
      </c>
      <c r="DA279" s="303">
        <v>0.37</v>
      </c>
      <c r="DB279" s="57"/>
      <c r="DC279" s="56"/>
      <c r="DD279" s="303">
        <f>VLOOKUP($H279,RoR!$E:$F,2,FALSE)</f>
        <v>7.0416666666666669E-2</v>
      </c>
      <c r="DE279" s="304">
        <f>HLOOKUP($H279,'GDP-PI'!$D$8:$CQ$11,3,FALSE)</f>
        <v>1.4335631817396832E-2</v>
      </c>
      <c r="DF279" s="303">
        <f>VLOOKUP(H279,'HW Dx Data'!$E:$F,2,FALSE)</f>
        <v>335.32499146683239</v>
      </c>
      <c r="DG279" s="89"/>
      <c r="DH279" s="89"/>
      <c r="DI279" s="89"/>
      <c r="DJ279" s="56"/>
      <c r="DK279" s="53">
        <f>HLOOKUP(H279,'GDP-PI'!$8:$9,2,FALSE)</f>
        <v>76.346000000000004</v>
      </c>
      <c r="DL279" s="298"/>
      <c r="EC279"/>
    </row>
    <row r="280" spans="1:133" s="126" customFormat="1" ht="21" customHeight="1" x14ac:dyDescent="0.4">
      <c r="A280" s="233" t="s">
        <v>198</v>
      </c>
      <c r="B280" s="127" t="s">
        <v>198</v>
      </c>
      <c r="C280" s="127">
        <v>4059355</v>
      </c>
      <c r="D280" s="127" t="s">
        <v>199</v>
      </c>
      <c r="E280" s="127"/>
      <c r="F280" s="127"/>
      <c r="G280" s="127" t="s">
        <v>156</v>
      </c>
      <c r="H280" s="128">
        <v>2000</v>
      </c>
      <c r="I280" s="129"/>
      <c r="J280" s="125"/>
      <c r="K280" s="125"/>
      <c r="L280" s="47"/>
      <c r="M280" s="125"/>
      <c r="N280" s="125"/>
      <c r="O280" s="125"/>
      <c r="P280" s="47"/>
      <c r="Q280" s="47"/>
      <c r="R280" s="386"/>
      <c r="S280" s="119"/>
      <c r="T280" s="47"/>
      <c r="U280" s="47"/>
      <c r="V280" s="125"/>
      <c r="W280" s="125"/>
      <c r="X280" s="125"/>
      <c r="Y280" s="125"/>
      <c r="Z280" s="125"/>
      <c r="AA280" s="125"/>
      <c r="AB280" s="125"/>
      <c r="AC280" s="125">
        <f t="shared" si="537"/>
        <v>0</v>
      </c>
      <c r="AD280" s="129"/>
      <c r="AE280" s="133">
        <v>588.40185495116896</v>
      </c>
      <c r="AF280" s="134">
        <v>-5.1557665735003496E-3</v>
      </c>
      <c r="AG280" s="61"/>
      <c r="AH280" s="134"/>
      <c r="AI280" s="134"/>
      <c r="AJ280" s="129">
        <f t="shared" si="444"/>
        <v>0</v>
      </c>
      <c r="AK280" s="134"/>
      <c r="AL280" s="129"/>
      <c r="AM280" s="129"/>
      <c r="AN280" s="129"/>
      <c r="AO280" s="129"/>
      <c r="AP280" s="133"/>
      <c r="AQ280" s="134"/>
      <c r="AR280" s="93"/>
      <c r="AS280" s="93"/>
      <c r="AT280" s="93"/>
      <c r="AU280" s="93"/>
      <c r="AV280" s="93"/>
      <c r="AW280" s="134"/>
      <c r="AX280" s="62"/>
      <c r="AY280" s="93"/>
      <c r="AZ280" s="93"/>
      <c r="BA280" s="93"/>
      <c r="BB280" s="234">
        <f>IFERROR(INDEX('Total Customers'!$E$7:$AA$91,MATCH($C280,'Total Customers'!$C$7:$C$91,0),MATCH($G280,'Total Customers'!$E$5:$AA$5,0)),"NA")</f>
        <v>143182</v>
      </c>
      <c r="BC280" s="411">
        <f t="shared" si="524"/>
        <v>9.5931570057387165E-3</v>
      </c>
      <c r="BD280" s="92"/>
      <c r="BE280" s="281" t="str">
        <f t="shared" si="518"/>
        <v>COLUMBIA GAS OF KENTUCKY, INCORPORATED</v>
      </c>
      <c r="BF280" s="290">
        <f t="shared" si="519"/>
        <v>4059355</v>
      </c>
      <c r="BG280" s="46" t="str">
        <f t="shared" si="520"/>
        <v>OH</v>
      </c>
      <c r="BH280" s="46"/>
      <c r="BI280" s="46" t="str">
        <f t="shared" si="521"/>
        <v>2000 Y</v>
      </c>
      <c r="BJ280" s="129"/>
      <c r="BK280" s="129"/>
      <c r="BL280" s="129">
        <f>INDEX('Dist. Plant Gas Additions'!$E$7:$AD$91,MATCH($C280,'Dist. Plant Gas Additions'!$C$7:$C$91,0),MATCH(Calculation!$G280,'Dist. Plant Gas Additions'!$E$5:$AD$5,0))</f>
        <v>0</v>
      </c>
      <c r="BM280" s="129">
        <f>INDEX('Gen. Plant Additions'!$E$7:$AD$91,MATCH($C280,'Gen. Plant Additions'!$C$7:$C$91,0),MATCH(Calculation!$G280,'Gen. Plant Additions'!$E$5:$AD$5,0))</f>
        <v>0</v>
      </c>
      <c r="BN280" s="393">
        <f t="shared" si="538"/>
        <v>0.97558279213786969</v>
      </c>
      <c r="BO280" s="46">
        <f t="shared" si="535"/>
        <v>0</v>
      </c>
      <c r="BP280" s="46">
        <f t="shared" si="536"/>
        <v>0</v>
      </c>
      <c r="BQ280" s="129"/>
      <c r="BR280" s="129"/>
      <c r="BS280" s="129"/>
      <c r="BT280" s="129"/>
      <c r="BU280" s="129"/>
      <c r="BV280" s="129"/>
      <c r="BW280" s="129"/>
      <c r="BX280" s="129"/>
      <c r="BY280" s="129">
        <f>INDEX('Gross Dx Plant'!$D$7:$AC$91,MATCH($C280,'Gross Dx Plant'!$C$7:$C$91,0),MATCH(Calculation!$G280,'Gross Dx Plant'!$D$5:$AC$5,0))</f>
        <v>203849</v>
      </c>
      <c r="BZ280" s="129">
        <f>INDEX('Gross Gen Plant'!$D$7:$AC$91,MATCH($C280,'Gross Gen Plant'!$C$7:$C$91,0),MATCH(Calculation!$G280,'Gross Gen Plant'!$D$5:$AC$5,0))</f>
        <v>5102</v>
      </c>
      <c r="CA280" s="129">
        <f t="shared" si="441"/>
        <v>208951</v>
      </c>
      <c r="CB280" s="129"/>
      <c r="CC280" s="133">
        <v>2000</v>
      </c>
      <c r="CD280" s="129"/>
      <c r="CE280" s="129"/>
      <c r="CF280" s="129"/>
      <c r="CG280" s="137"/>
      <c r="CH280" s="129">
        <f t="shared" si="539"/>
        <v>0</v>
      </c>
      <c r="CI280" s="46">
        <f t="shared" ref="CI280:CI302" si="548">+CH280+BP280</f>
        <v>0</v>
      </c>
      <c r="CJ280" s="46">
        <f t="shared" si="540"/>
        <v>0</v>
      </c>
      <c r="CK280" s="443">
        <v>0.98</v>
      </c>
      <c r="CL280" s="46">
        <f>+CL278*CK280+CJ279*CK279+CJ280</f>
        <v>582.65585091921844</v>
      </c>
      <c r="CM280" s="134">
        <f t="shared" si="541"/>
        <v>-1.0236868255924706E-2</v>
      </c>
      <c r="CN280" s="135">
        <f t="shared" si="542"/>
        <v>1.0184649856272966E-2</v>
      </c>
      <c r="CO280" s="135"/>
      <c r="CP280" s="134">
        <f>VLOOKUP($H280,RoR!$E:$F,2,FALSE)</f>
        <v>7.6225000000000001E-2</v>
      </c>
      <c r="CQ280" s="135">
        <v>2.2568307442433211E-2</v>
      </c>
      <c r="CR280" s="135">
        <f t="shared" ref="CR280:CR300" si="549">+CP280-CQ280</f>
        <v>5.365669255756679E-2</v>
      </c>
      <c r="CS280" s="135"/>
      <c r="CT280" s="135"/>
      <c r="CU280" s="139">
        <f t="shared" si="543"/>
        <v>0.87050000000000005</v>
      </c>
      <c r="CV280" s="335">
        <f t="shared" si="544"/>
        <v>0.67277207323124022</v>
      </c>
      <c r="CW280" s="335">
        <f t="shared" si="545"/>
        <v>0.6470236142997704</v>
      </c>
      <c r="CX280" s="335">
        <f t="shared" si="546"/>
        <v>0.94704866037543145</v>
      </c>
      <c r="CY280" s="335">
        <f t="shared" si="547"/>
        <v>0.41224973107878493</v>
      </c>
      <c r="CZ280" s="336">
        <f>INDEX('State Tax Lookup'!$D$7:$Z$91,MATCH(Calculation!$C280,'State Tax Lookup'!$B$7:$B$91,0),MATCH($H280,'State Tax Lookup'!$D$6:$Z$6,0))</f>
        <v>0.35</v>
      </c>
      <c r="DA280" s="303">
        <v>0.37</v>
      </c>
      <c r="DB280" s="57"/>
      <c r="DC280" s="56"/>
      <c r="DD280" s="303">
        <f>VLOOKUP($H280,RoR!$E:$F,2,FALSE)</f>
        <v>7.6225000000000001E-2</v>
      </c>
      <c r="DE280" s="304">
        <f>HLOOKUP($H280,'GDP-PI'!$D$8:$CQ$11,3,FALSE)</f>
        <v>2.2568307442433211E-2</v>
      </c>
      <c r="DF280" s="303">
        <f>VLOOKUP(H280,'HW Dx Data'!$E:$F,2,FALSE)</f>
        <v>346.53371782150339</v>
      </c>
      <c r="DG280" s="89"/>
      <c r="DH280" s="89"/>
      <c r="DI280" s="89"/>
      <c r="DJ280" s="56"/>
      <c r="DK280" s="53">
        <f>HLOOKUP(H280,'GDP-PI'!$8:$9,2,FALSE)</f>
        <v>78.069000000000003</v>
      </c>
      <c r="DL280" s="298"/>
      <c r="EC280"/>
    </row>
    <row r="281" spans="1:133" s="126" customFormat="1" ht="21" customHeight="1" x14ac:dyDescent="0.4">
      <c r="A281" s="233" t="s">
        <v>198</v>
      </c>
      <c r="B281" s="127" t="s">
        <v>198</v>
      </c>
      <c r="C281" s="127">
        <v>4059355</v>
      </c>
      <c r="D281" s="127" t="s">
        <v>199</v>
      </c>
      <c r="E281" s="127"/>
      <c r="F281" s="127"/>
      <c r="G281" s="127" t="s">
        <v>157</v>
      </c>
      <c r="H281" s="128">
        <v>2001</v>
      </c>
      <c r="I281" s="129"/>
      <c r="J281" s="125"/>
      <c r="K281" s="125"/>
      <c r="L281" s="47"/>
      <c r="M281" s="125"/>
      <c r="N281" s="125"/>
      <c r="O281" s="125"/>
      <c r="P281" s="47"/>
      <c r="Q281" s="47"/>
      <c r="R281" s="386"/>
      <c r="S281" s="119"/>
      <c r="T281" s="47"/>
      <c r="U281" s="47"/>
      <c r="V281" s="125"/>
      <c r="W281" s="125"/>
      <c r="X281" s="125"/>
      <c r="Y281" s="125"/>
      <c r="Z281" s="125"/>
      <c r="AA281" s="125"/>
      <c r="AB281" s="125"/>
      <c r="AC281" s="125">
        <f t="shared" si="537"/>
        <v>5692.4601902691693</v>
      </c>
      <c r="AD281" s="129"/>
      <c r="AE281" s="133">
        <v>614.47628394016351</v>
      </c>
      <c r="AF281" s="134">
        <v>4.3360192928509234E-2</v>
      </c>
      <c r="AG281" s="61"/>
      <c r="AH281" s="134"/>
      <c r="AI281" s="134"/>
      <c r="AJ281" s="129">
        <f t="shared" si="444"/>
        <v>5692.4601902691693</v>
      </c>
      <c r="AK281" s="134"/>
      <c r="AL281" s="129"/>
      <c r="AM281" s="129"/>
      <c r="AN281" s="129"/>
      <c r="AO281" s="129"/>
      <c r="AP281" s="133"/>
      <c r="AQ281" s="134"/>
      <c r="AR281" s="93"/>
      <c r="AS281" s="93"/>
      <c r="AT281" s="93"/>
      <c r="AU281" s="93"/>
      <c r="AV281" s="93"/>
      <c r="AW281" s="134"/>
      <c r="AX281" s="62"/>
      <c r="AY281" s="93"/>
      <c r="AZ281" s="93"/>
      <c r="BA281" s="93"/>
      <c r="BB281" s="234">
        <f>IFERROR(INDEX('Total Customers'!$E$7:$AA$91,MATCH($C281,'Total Customers'!$C$7:$C$91,0),MATCH($G281,'Total Customers'!$E$5:$AA$5,0)),"NA")</f>
        <v>142162</v>
      </c>
      <c r="BC281" s="411">
        <f t="shared" si="524"/>
        <v>-7.1492958993565944E-3</v>
      </c>
      <c r="BD281" s="92"/>
      <c r="BE281" s="281" t="str">
        <f t="shared" si="518"/>
        <v>COLUMBIA GAS OF KENTUCKY, INCORPORATED</v>
      </c>
      <c r="BF281" s="290">
        <f t="shared" si="519"/>
        <v>4059355</v>
      </c>
      <c r="BG281" s="46" t="str">
        <f t="shared" si="520"/>
        <v>OH</v>
      </c>
      <c r="BH281" s="46"/>
      <c r="BI281" s="46" t="str">
        <f t="shared" si="521"/>
        <v>2001 Y</v>
      </c>
      <c r="BJ281" s="129"/>
      <c r="BK281" s="129"/>
      <c r="BL281" s="129">
        <f>INDEX('Dist. Plant Gas Additions'!$E$7:$AD$91,MATCH($C281,'Dist. Plant Gas Additions'!$C$7:$C$91,0),MATCH(Calculation!$G281,'Dist. Plant Gas Additions'!$E$5:$AD$5,0))</f>
        <v>10108</v>
      </c>
      <c r="BM281" s="129">
        <f>INDEX('Gen. Plant Additions'!$E$7:$AD$91,MATCH($C281,'Gen. Plant Additions'!$C$7:$C$91,0),MATCH(Calculation!$G281,'Gen. Plant Additions'!$E$5:$AD$5,0))</f>
        <v>216</v>
      </c>
      <c r="BN281" s="393">
        <f t="shared" si="538"/>
        <v>0.97675626005053984</v>
      </c>
      <c r="BO281" s="46">
        <f t="shared" si="535"/>
        <v>210.9793521709166</v>
      </c>
      <c r="BP281" s="46">
        <f t="shared" si="536"/>
        <v>-5.0206478290834013</v>
      </c>
      <c r="BQ281" s="129">
        <f>INDEX('Dist Plant Depreciation'!$D$7:$AC$94,MATCH($C281,'Dist Plant Depreciation'!$C$7:$C$94,0),MATCH(Calculation!$G281,'Dist Plant Depreciation'!$D$5:$AC$5,0))</f>
        <v>94318</v>
      </c>
      <c r="BR281" s="129">
        <f>INDEX('Gen. Plant Depreciation'!$D$7:$AC$94,MATCH($C281,'Gen. Plant Depreciation'!$C$7:$C$94,0),MATCH(Calculation!$G281,'Gen. Plant Depreciation'!$D$5:$AC$5,0))</f>
        <v>809</v>
      </c>
      <c r="BS281" s="129"/>
      <c r="BT281" s="129"/>
      <c r="BU281" s="129"/>
      <c r="BV281" s="129"/>
      <c r="BW281" s="129"/>
      <c r="BX281" s="129"/>
      <c r="BY281" s="129">
        <f>INDEX('Gross Dx Plant'!$D$7:$AC$91,MATCH($C281,'Gross Dx Plant'!$C$7:$C$91,0),MATCH(Calculation!$G281,'Gross Dx Plant'!$D$5:$AC$5,0))</f>
        <v>212591</v>
      </c>
      <c r="BZ281" s="129">
        <f>INDEX('Gross Gen Plant'!$D$7:$AC$91,MATCH($C281,'Gross Gen Plant'!$C$7:$C$91,0),MATCH(Calculation!$G281,'Gross Gen Plant'!$D$5:$AC$5,0))</f>
        <v>5059</v>
      </c>
      <c r="CA281" s="129">
        <f t="shared" si="441"/>
        <v>122523</v>
      </c>
      <c r="CB281" s="129"/>
      <c r="CC281" s="133">
        <v>2001</v>
      </c>
      <c r="CD281" s="129"/>
      <c r="CE281" s="129"/>
      <c r="CF281" s="129"/>
      <c r="CG281" s="137"/>
      <c r="CH281" s="129">
        <f t="shared" si="539"/>
        <v>10324</v>
      </c>
      <c r="CI281" s="46">
        <f t="shared" si="548"/>
        <v>10318.979352170916</v>
      </c>
      <c r="CJ281" s="46">
        <f t="shared" si="540"/>
        <v>29.195235078745451</v>
      </c>
      <c r="CK281" s="443">
        <v>0.96969696969696972</v>
      </c>
      <c r="CL281" s="46">
        <f>+CL278*CK281+CJ279*CK280+CJ280*CK278+CJ281</f>
        <v>605.7348263013904</v>
      </c>
      <c r="CM281" s="134">
        <f t="shared" si="541"/>
        <v>3.8845605062883252E-2</v>
      </c>
      <c r="CN281" s="135">
        <f t="shared" si="542"/>
        <v>1.0497208063600945E-2</v>
      </c>
      <c r="CO281" s="135">
        <f>+(CN281+CN280+CN279)/3</f>
        <v>1.0194282672961238E-2</v>
      </c>
      <c r="CP281" s="134">
        <f>VLOOKUP($H281,RoR!$E:$F,2,FALSE)</f>
        <v>7.0824999999999999E-2</v>
      </c>
      <c r="CQ281" s="135">
        <v>2.2454495382290052E-2</v>
      </c>
      <c r="CR281" s="135">
        <f t="shared" si="549"/>
        <v>4.8370504617709947E-2</v>
      </c>
      <c r="CS281" s="135">
        <f>+$CR$2-CO281</f>
        <v>2.0707658935572387E-2</v>
      </c>
      <c r="CT281" s="135">
        <f>+((DF279/DF278-1)+(DF280/DF279-1)+(DF281/DF280-1))/3</f>
        <v>2.3947275901631187E-2</v>
      </c>
      <c r="CU281" s="139">
        <f t="shared" si="543"/>
        <v>0.87050000000000005</v>
      </c>
      <c r="CV281" s="335">
        <f t="shared" si="544"/>
        <v>0.72406708481540816</v>
      </c>
      <c r="CW281" s="335">
        <f t="shared" si="545"/>
        <v>0.62201729615248857</v>
      </c>
      <c r="CX281" s="335">
        <f t="shared" si="546"/>
        <v>0.9352469954311422</v>
      </c>
      <c r="CY281" s="335">
        <f t="shared" si="547"/>
        <v>0.42121864641655071</v>
      </c>
      <c r="CZ281" s="336">
        <f>INDEX('State Tax Lookup'!$D$7:$Z$91,MATCH(Calculation!$C281,'State Tax Lookup'!$B$7:$B$91,0),MATCH($H281,'State Tax Lookup'!$D$6:$Z$6,0))</f>
        <v>0.35</v>
      </c>
      <c r="DA281" s="303">
        <v>0.37</v>
      </c>
      <c r="DB281" s="57">
        <f t="shared" ref="DB281:DB302" si="550">+(DF281*CS281-CT281)*CU281/(1-CZ281)</f>
        <v>9.7698498715640518</v>
      </c>
      <c r="DC281" s="56"/>
      <c r="DD281" s="303">
        <f>VLOOKUP($H281,RoR!$E:$F,2,FALSE)</f>
        <v>7.0824999999999999E-2</v>
      </c>
      <c r="DE281" s="304">
        <f>HLOOKUP($H281,'GDP-PI'!$D$8:$CQ$11,3,FALSE)</f>
        <v>2.2454495382290052E-2</v>
      </c>
      <c r="DF281" s="303">
        <f>VLOOKUP(H281,'HW Dx Data'!$E:$F,2,FALSE)</f>
        <v>353.44738017483138</v>
      </c>
      <c r="DG281" s="89"/>
      <c r="DH281" s="89"/>
      <c r="DI281" s="89"/>
      <c r="DJ281" s="56"/>
      <c r="DK281" s="53">
        <f>HLOOKUP(H281,'GDP-PI'!$8:$9,2,FALSE)</f>
        <v>79.822000000000003</v>
      </c>
      <c r="DL281" s="298"/>
      <c r="EC281"/>
    </row>
    <row r="282" spans="1:133" s="126" customFormat="1" ht="21" customHeight="1" x14ac:dyDescent="0.4">
      <c r="A282" s="233" t="s">
        <v>198</v>
      </c>
      <c r="B282" s="127" t="s">
        <v>198</v>
      </c>
      <c r="C282" s="127">
        <v>4059355</v>
      </c>
      <c r="D282" s="127" t="s">
        <v>199</v>
      </c>
      <c r="E282" s="127"/>
      <c r="F282" s="127"/>
      <c r="G282" s="127" t="s">
        <v>158</v>
      </c>
      <c r="H282" s="128">
        <v>2002</v>
      </c>
      <c r="I282" s="129"/>
      <c r="J282" s="125"/>
      <c r="K282" s="125"/>
      <c r="L282" s="47"/>
      <c r="M282" s="125"/>
      <c r="N282" s="125"/>
      <c r="O282" s="125"/>
      <c r="P282" s="47"/>
      <c r="Q282" s="47"/>
      <c r="R282" s="386"/>
      <c r="S282" s="119"/>
      <c r="T282" s="47"/>
      <c r="U282" s="47"/>
      <c r="V282" s="125"/>
      <c r="W282" s="125"/>
      <c r="X282" s="125"/>
      <c r="Y282" s="125"/>
      <c r="Z282" s="125"/>
      <c r="AA282" s="125"/>
      <c r="AB282" s="125"/>
      <c r="AC282" s="125">
        <f t="shared" si="537"/>
        <v>5963.677078789814</v>
      </c>
      <c r="AD282" s="129"/>
      <c r="AE282" s="133">
        <v>645.29776101899324</v>
      </c>
      <c r="AF282" s="134">
        <v>4.8941521076094098E-2</v>
      </c>
      <c r="AG282" s="61"/>
      <c r="AH282" s="134"/>
      <c r="AI282" s="134"/>
      <c r="AJ282" s="129">
        <f t="shared" si="444"/>
        <v>5963.677078789814</v>
      </c>
      <c r="AK282" s="134"/>
      <c r="AL282" s="129"/>
      <c r="AM282" s="129"/>
      <c r="AN282" s="129"/>
      <c r="AO282" s="129"/>
      <c r="AP282" s="133"/>
      <c r="AQ282" s="134"/>
      <c r="AR282" s="93"/>
      <c r="AS282" s="93"/>
      <c r="AT282" s="93"/>
      <c r="AU282" s="93"/>
      <c r="AV282" s="93"/>
      <c r="AW282" s="134"/>
      <c r="AX282" s="62"/>
      <c r="AY282" s="93"/>
      <c r="AZ282" s="93"/>
      <c r="BA282" s="93"/>
      <c r="BB282" s="234">
        <f>IFERROR(INDEX('Total Customers'!$E$7:$AA$91,MATCH($C282,'Total Customers'!$C$7:$C$91,0),MATCH($G282,'Total Customers'!$E$5:$AA$5,0)),"NA")</f>
        <v>143179</v>
      </c>
      <c r="BC282" s="411">
        <f t="shared" si="524"/>
        <v>7.1283433255067844E-3</v>
      </c>
      <c r="BD282" s="92"/>
      <c r="BE282" s="281" t="str">
        <f t="shared" si="518"/>
        <v>COLUMBIA GAS OF KENTUCKY, INCORPORATED</v>
      </c>
      <c r="BF282" s="290">
        <f t="shared" si="519"/>
        <v>4059355</v>
      </c>
      <c r="BG282" s="46" t="str">
        <f t="shared" si="520"/>
        <v>OH</v>
      </c>
      <c r="BH282" s="46"/>
      <c r="BI282" s="46" t="str">
        <f t="shared" si="521"/>
        <v>2002 Y</v>
      </c>
      <c r="BJ282" s="129"/>
      <c r="BK282" s="129"/>
      <c r="BL282" s="129">
        <f>INDEX('Dist. Plant Gas Additions'!$E$7:$AD$91,MATCH($C282,'Dist. Plant Gas Additions'!$C$7:$C$91,0),MATCH(Calculation!$G282,'Dist. Plant Gas Additions'!$E$5:$AD$5,0))</f>
        <v>11911</v>
      </c>
      <c r="BM282" s="129">
        <f>INDEX('Gen. Plant Additions'!$E$7:$AD$91,MATCH($C282,'Gen. Plant Additions'!$C$7:$C$91,0),MATCH(Calculation!$G282,'Gen. Plant Additions'!$E$5:$AD$5,0))</f>
        <v>447</v>
      </c>
      <c r="BN282" s="393">
        <f t="shared" si="538"/>
        <v>0.97684891399962359</v>
      </c>
      <c r="BO282" s="46">
        <f t="shared" si="535"/>
        <v>436.65146455783173</v>
      </c>
      <c r="BP282" s="46">
        <f t="shared" si="536"/>
        <v>-10.34853544216827</v>
      </c>
      <c r="BQ282" s="129">
        <f>INDEX('Dist Plant Depreciation'!$D$7:$AC$94,MATCH($C282,'Dist Plant Depreciation'!$C$7:$C$94,0),MATCH(Calculation!$G282,'Dist Plant Depreciation'!$D$5:$AC$5,0))</f>
        <v>100934</v>
      </c>
      <c r="BR282" s="129">
        <f>INDEX('Gen. Plant Depreciation'!$D$7:$AC$94,MATCH($C282,'Gen. Plant Depreciation'!$C$7:$C$94,0),MATCH(Calculation!$G282,'Gen. Plant Depreciation'!$D$5:$AC$5,0))</f>
        <v>662</v>
      </c>
      <c r="BS282" s="129"/>
      <c r="BT282" s="129"/>
      <c r="BU282" s="129"/>
      <c r="BV282" s="129"/>
      <c r="BW282" s="129"/>
      <c r="BX282" s="129"/>
      <c r="BY282" s="129">
        <f>INDEX('Gross Dx Plant'!$D$7:$AC$91,MATCH($C282,'Gross Dx Plant'!$C$7:$C$91,0),MATCH(Calculation!$G282,'Gross Dx Plant'!$D$5:$AC$5,0))</f>
        <v>223209</v>
      </c>
      <c r="BZ282" s="129">
        <f>INDEX('Gross Gen Plant'!$D$7:$AC$91,MATCH($C282,'Gross Gen Plant'!$C$7:$C$91,0),MATCH(Calculation!$G282,'Gross Gen Plant'!$D$5:$AC$5,0))</f>
        <v>5290</v>
      </c>
      <c r="CA282" s="129">
        <f t="shared" ref="CA282:CA325" si="551">IF(OR(BQ282="NA",BR282="NA"),"NA",(SUM(BY282:BZ282)-SUM(BQ282:BR282)))</f>
        <v>126903</v>
      </c>
      <c r="CB282" s="129"/>
      <c r="CC282" s="133">
        <v>2002</v>
      </c>
      <c r="CD282" s="129"/>
      <c r="CE282" s="129"/>
      <c r="CF282" s="129"/>
      <c r="CG282" s="137"/>
      <c r="CH282" s="129">
        <f t="shared" si="539"/>
        <v>12358</v>
      </c>
      <c r="CI282" s="46">
        <f t="shared" si="548"/>
        <v>12347.651464557832</v>
      </c>
      <c r="CJ282" s="46">
        <f t="shared" si="540"/>
        <v>34.171064462086377</v>
      </c>
      <c r="CK282" s="443">
        <v>0.95918367346938771</v>
      </c>
      <c r="CL282" s="46">
        <f>+CL278*CK282+CJ279*CK281+CJ280*CK280+CJ281*CK279+CJ282</f>
        <v>633.37581061882088</v>
      </c>
      <c r="CM282" s="134">
        <f t="shared" si="541"/>
        <v>4.4621633693160336E-2</v>
      </c>
      <c r="CN282" s="135">
        <f t="shared" si="542"/>
        <v>1.078042711284819E-2</v>
      </c>
      <c r="CO282" s="135">
        <f t="shared" ref="CO282:CO302" si="552">+(CN282+CN281+CN280)/3</f>
        <v>1.04874283442407E-2</v>
      </c>
      <c r="CP282" s="134">
        <f>VLOOKUP($H282,RoR!$E:$F,2,FALSE)</f>
        <v>6.4916666666666664E-2</v>
      </c>
      <c r="CQ282" s="135">
        <v>1.5246423291824351E-2</v>
      </c>
      <c r="CR282" s="135">
        <f t="shared" si="549"/>
        <v>4.9670243374842313E-2</v>
      </c>
      <c r="CS282" s="135">
        <f t="shared" ref="CS282:CS302" si="553">+$CR$2-CO282</f>
        <v>2.0414513264292923E-2</v>
      </c>
      <c r="CT282" s="135">
        <f t="shared" ref="CT282:CT302" si="554">+((DF280/DF279-1)+(DF281/DF280-1)+(DF282/DF281-1))/3</f>
        <v>2.5243621214759093E-2</v>
      </c>
      <c r="CU282" s="139">
        <f t="shared" si="543"/>
        <v>0.87050000000000005</v>
      </c>
      <c r="CV282" s="335">
        <f t="shared" si="544"/>
        <v>0.78996741384417901</v>
      </c>
      <c r="CW282" s="335">
        <f t="shared" si="545"/>
        <v>0.58989088575096271</v>
      </c>
      <c r="CX282" s="335">
        <f t="shared" si="546"/>
        <v>0.91920675783645744</v>
      </c>
      <c r="CY282" s="335">
        <f t="shared" si="547"/>
        <v>0.42834536472275586</v>
      </c>
      <c r="CZ282" s="336">
        <f>INDEX('State Tax Lookup'!$D$7:$Z$91,MATCH(Calculation!$C282,'State Tax Lookup'!$B$7:$B$91,0),MATCH($H282,'State Tax Lookup'!$D$6:$Z$6,0))</f>
        <v>0.35</v>
      </c>
      <c r="DA282" s="303">
        <v>0.37</v>
      </c>
      <c r="DB282" s="57">
        <f t="shared" si="550"/>
        <v>9.8453594210588076</v>
      </c>
      <c r="DC282" s="56">
        <f t="shared" ref="DC282:DC302" si="555">LN(DB282/DB281)</f>
        <v>7.6991197353768834E-3</v>
      </c>
      <c r="DD282" s="303">
        <f>VLOOKUP($H282,RoR!$E:$F,2,FALSE)</f>
        <v>6.4916666666666664E-2</v>
      </c>
      <c r="DE282" s="304">
        <f>HLOOKUP($H282,'GDP-PI'!$D$8:$CQ$11,3,FALSE)</f>
        <v>1.5246423291824351E-2</v>
      </c>
      <c r="DF282" s="303">
        <f>VLOOKUP(H282,'HW Dx Data'!$E:$F,2,FALSE)</f>
        <v>361.34816573413599</v>
      </c>
      <c r="DG282" s="89"/>
      <c r="DH282" s="89"/>
      <c r="DI282" s="89"/>
      <c r="DJ282" s="56"/>
      <c r="DK282" s="53">
        <f>HLOOKUP(H282,'GDP-PI'!$8:$9,2,FALSE)</f>
        <v>81.039000000000001</v>
      </c>
      <c r="DL282" s="355">
        <f>LN(DK282/DK281)</f>
        <v>1.513136459537477E-2</v>
      </c>
      <c r="EC282"/>
    </row>
    <row r="283" spans="1:133" s="126" customFormat="1" ht="21" customHeight="1" x14ac:dyDescent="0.4">
      <c r="A283" s="233" t="s">
        <v>198</v>
      </c>
      <c r="B283" s="127" t="s">
        <v>198</v>
      </c>
      <c r="C283" s="127">
        <v>4059355</v>
      </c>
      <c r="D283" s="127" t="s">
        <v>199</v>
      </c>
      <c r="E283" s="127"/>
      <c r="F283" s="127"/>
      <c r="G283" s="127" t="s">
        <v>159</v>
      </c>
      <c r="H283" s="128">
        <v>2003</v>
      </c>
      <c r="I283" s="129"/>
      <c r="J283" s="125"/>
      <c r="K283" s="125"/>
      <c r="L283" s="47"/>
      <c r="M283" s="125"/>
      <c r="N283" s="125"/>
      <c r="O283" s="125"/>
      <c r="P283" s="59"/>
      <c r="Q283" s="59"/>
      <c r="R283" s="386"/>
      <c r="S283" s="119"/>
      <c r="T283" s="59"/>
      <c r="U283" s="59"/>
      <c r="V283" s="125"/>
      <c r="W283" s="125"/>
      <c r="X283" s="125"/>
      <c r="Y283" s="125"/>
      <c r="Z283" s="125"/>
      <c r="AA283" s="125"/>
      <c r="AB283" s="125"/>
      <c r="AC283" s="125">
        <f t="shared" si="537"/>
        <v>6284.6294128245254</v>
      </c>
      <c r="AD283" s="129"/>
      <c r="AE283" s="133">
        <v>664.15125251348547</v>
      </c>
      <c r="AF283" s="134">
        <v>2.879805820500065E-2</v>
      </c>
      <c r="AG283" s="61"/>
      <c r="AH283" s="134"/>
      <c r="AI283" s="134"/>
      <c r="AJ283" s="129">
        <f t="shared" si="444"/>
        <v>6284.6294128245254</v>
      </c>
      <c r="AK283" s="134"/>
      <c r="AL283" s="129"/>
      <c r="AM283" s="129"/>
      <c r="AN283" s="129"/>
      <c r="AO283" s="129"/>
      <c r="AP283" s="133"/>
      <c r="AQ283" s="134"/>
      <c r="AR283" s="93"/>
      <c r="AS283" s="93"/>
      <c r="AT283" s="93"/>
      <c r="AU283" s="93"/>
      <c r="AV283" s="93"/>
      <c r="AW283" s="134"/>
      <c r="AX283" s="62"/>
      <c r="AY283" s="93"/>
      <c r="AZ283" s="93"/>
      <c r="BA283" s="93"/>
      <c r="BB283" s="234">
        <f>IFERROR(INDEX('Total Customers'!$E$7:$AA$91,MATCH($C283,'Total Customers'!$C$7:$C$91,0),MATCH($G283,'Total Customers'!$E$5:$AA$5,0)),"NA")</f>
        <v>142857</v>
      </c>
      <c r="BC283" s="411">
        <f t="shared" si="524"/>
        <v>-2.2514658016529235E-3</v>
      </c>
      <c r="BD283" s="92"/>
      <c r="BE283" s="281" t="str">
        <f t="shared" si="518"/>
        <v>COLUMBIA GAS OF KENTUCKY, INCORPORATED</v>
      </c>
      <c r="BF283" s="290">
        <f t="shared" si="519"/>
        <v>4059355</v>
      </c>
      <c r="BG283" s="46" t="str">
        <f t="shared" si="520"/>
        <v>OH</v>
      </c>
      <c r="BH283" s="46"/>
      <c r="BI283" s="46" t="str">
        <f t="shared" si="521"/>
        <v>2003 Y</v>
      </c>
      <c r="BJ283" s="129"/>
      <c r="BK283" s="129"/>
      <c r="BL283" s="129">
        <f>INDEX('Dist. Plant Gas Additions'!$E$7:$AD$91,MATCH($C283,'Dist. Plant Gas Additions'!$C$7:$C$91,0),MATCH(Calculation!$G283,'Dist. Plant Gas Additions'!$E$5:$AD$5,0))</f>
        <v>8279</v>
      </c>
      <c r="BM283" s="129">
        <f>INDEX('Gen. Plant Additions'!$E$7:$AD$91,MATCH($C283,'Gen. Plant Additions'!$C$7:$C$91,0),MATCH(Calculation!$G283,'Gen. Plant Additions'!$E$5:$AD$5,0))</f>
        <v>32</v>
      </c>
      <c r="BN283" s="393">
        <f t="shared" si="538"/>
        <v>0.97765674108710354</v>
      </c>
      <c r="BO283" s="46">
        <f t="shared" si="535"/>
        <v>31.285015714787313</v>
      </c>
      <c r="BP283" s="46">
        <f t="shared" si="536"/>
        <v>-0.71498428521268664</v>
      </c>
      <c r="BQ283" s="129">
        <f>INDEX('Dist Plant Depreciation'!$D$7:$AC$94,MATCH($C283,'Dist Plant Depreciation'!$C$7:$C$94,0),MATCH(Calculation!$G283,'Dist Plant Depreciation'!$D$5:$AC$5,0))</f>
        <v>103190</v>
      </c>
      <c r="BR283" s="129">
        <f>INDEX('Gen. Plant Depreciation'!$D$7:$AC$94,MATCH($C283,'Gen. Plant Depreciation'!$C$7:$C$94,0),MATCH(Calculation!$G283,'Gen. Plant Depreciation'!$D$5:$AC$5,0))</f>
        <v>944</v>
      </c>
      <c r="BS283" s="129"/>
      <c r="BT283" s="129"/>
      <c r="BU283" s="129"/>
      <c r="BV283" s="129"/>
      <c r="BW283" s="129"/>
      <c r="BX283" s="129"/>
      <c r="BY283" s="129">
        <f>INDEX('Gross Dx Plant'!$D$7:$AC$91,MATCH($C283,'Gross Dx Plant'!$C$7:$C$91,0),MATCH(Calculation!$G283,'Gross Dx Plant'!$D$5:$AC$5,0))</f>
        <v>228320</v>
      </c>
      <c r="BZ283" s="129">
        <f>INDEX('Gross Gen Plant'!$D$7:$AC$91,MATCH($C283,'Gross Gen Plant'!$C$7:$C$91,0),MATCH(Calculation!$G283,'Gross Gen Plant'!$D$5:$AC$5,0))</f>
        <v>5218</v>
      </c>
      <c r="CA283" s="129">
        <f t="shared" si="551"/>
        <v>129404</v>
      </c>
      <c r="CB283" s="129"/>
      <c r="CC283" s="133">
        <v>2003</v>
      </c>
      <c r="CD283" s="129"/>
      <c r="CE283" s="129"/>
      <c r="CF283" s="129"/>
      <c r="CG283" s="137"/>
      <c r="CH283" s="129">
        <f t="shared" si="539"/>
        <v>8311</v>
      </c>
      <c r="CI283" s="46">
        <f t="shared" si="548"/>
        <v>8310.2850157147877</v>
      </c>
      <c r="CJ283" s="46">
        <f t="shared" si="540"/>
        <v>22.506885270651086</v>
      </c>
      <c r="CK283" s="443">
        <v>0.94845360824742264</v>
      </c>
      <c r="CL283" s="46">
        <f>+CL278*CK283+CJ279*CK282+CJ280*CK281+CJ281*CK280+CJ282*CK279+CJ283</f>
        <v>648.87989185338574</v>
      </c>
      <c r="CM283" s="134">
        <f t="shared" si="541"/>
        <v>2.4183689459980624E-2</v>
      </c>
      <c r="CN283" s="135">
        <f t="shared" si="542"/>
        <v>1.1056317463788743E-2</v>
      </c>
      <c r="CO283" s="135">
        <f t="shared" si="552"/>
        <v>1.0777984213412625E-2</v>
      </c>
      <c r="CP283" s="134">
        <f>VLOOKUP($H283,RoR!$E:$F,2,FALSE)</f>
        <v>5.6666666666666671E-2</v>
      </c>
      <c r="CQ283" s="135">
        <v>1.8855119140166909E-2</v>
      </c>
      <c r="CR283" s="135">
        <f t="shared" si="549"/>
        <v>3.7811547526499761E-2</v>
      </c>
      <c r="CS283" s="135">
        <f t="shared" si="553"/>
        <v>2.0123957395121E-2</v>
      </c>
      <c r="CT283" s="135">
        <f t="shared" si="554"/>
        <v>2.1375012817671957E-2</v>
      </c>
      <c r="CU283" s="139">
        <f t="shared" si="543"/>
        <v>0.87050000000000005</v>
      </c>
      <c r="CV283" s="335">
        <f t="shared" si="544"/>
        <v>0.90497737556561086</v>
      </c>
      <c r="CW283" s="335">
        <f t="shared" si="545"/>
        <v>0.5338235294117647</v>
      </c>
      <c r="CX283" s="335">
        <f t="shared" si="546"/>
        <v>0.88972433127405692</v>
      </c>
      <c r="CY283" s="335">
        <f t="shared" si="547"/>
        <v>0.42982423775949252</v>
      </c>
      <c r="CZ283" s="336">
        <f>INDEX('State Tax Lookup'!$D$7:$Z$91,MATCH(Calculation!$C283,'State Tax Lookup'!$B$7:$B$91,0),MATCH($H283,'State Tax Lookup'!$D$6:$Z$6,0))</f>
        <v>0.35</v>
      </c>
      <c r="DA283" s="303">
        <v>0.37</v>
      </c>
      <c r="DB283" s="57">
        <f t="shared" si="550"/>
        <v>9.92243358123247</v>
      </c>
      <c r="DC283" s="56">
        <f t="shared" si="555"/>
        <v>7.7979924950860079E-3</v>
      </c>
      <c r="DD283" s="303">
        <f>VLOOKUP($H283,RoR!$E:$F,2,FALSE)</f>
        <v>5.6666666666666671E-2</v>
      </c>
      <c r="DE283" s="304">
        <f>HLOOKUP($H283,'GDP-PI'!$D$8:$CQ$11,3,FALSE)</f>
        <v>1.8855119140166909E-2</v>
      </c>
      <c r="DF283" s="303">
        <f>VLOOKUP(H283,'HW Dx Data'!$E:$F,2,FALSE)</f>
        <v>369.23301095560191</v>
      </c>
      <c r="DG283" s="89">
        <f ca="1">VLOOKUP(CC283,'ECI - Input Price'!M$13:N$33,2,FALSE)</f>
        <v>89.25</v>
      </c>
      <c r="DH283" s="89"/>
      <c r="DI283" s="89"/>
      <c r="DJ283" s="56"/>
      <c r="DK283" s="53">
        <f>HLOOKUP(H283,'GDP-PI'!$8:$9,2,FALSE)</f>
        <v>82.566999999999993</v>
      </c>
      <c r="DL283" s="355">
        <f t="shared" ref="DL283:DL302" si="556">LN(DK283/DK282)</f>
        <v>1.8679564681853753E-2</v>
      </c>
      <c r="EC283"/>
    </row>
    <row r="284" spans="1:133" s="126" customFormat="1" ht="21" customHeight="1" x14ac:dyDescent="0.4">
      <c r="A284" s="233" t="s">
        <v>198</v>
      </c>
      <c r="B284" s="127" t="s">
        <v>198</v>
      </c>
      <c r="C284" s="127">
        <v>4059355</v>
      </c>
      <c r="D284" s="127" t="s">
        <v>199</v>
      </c>
      <c r="E284" s="127"/>
      <c r="F284" s="127"/>
      <c r="G284" s="127" t="s">
        <v>160</v>
      </c>
      <c r="H284" s="128">
        <v>2004</v>
      </c>
      <c r="I284" s="129"/>
      <c r="J284" s="125">
        <f>IFERROR(INDEX('Labor Expenditures'!$E$7:$W$91,MATCH($C284,'Labor Expenditures'!$C$7:$C$91,0),MATCH($G284,'Labor Expenditures'!$E$5:$W$5,0)),"NA")</f>
        <v>9890.8518779825426</v>
      </c>
      <c r="K284" s="125">
        <f t="shared" ref="K284:K302" ca="1" si="557">+J284/DG284</f>
        <v>104.83149844178637</v>
      </c>
      <c r="L284" s="47"/>
      <c r="M284" s="131"/>
      <c r="N284" s="131"/>
      <c r="O284" s="131"/>
      <c r="P284" s="59"/>
      <c r="Q284" s="59"/>
      <c r="R284" s="386"/>
      <c r="S284" s="119"/>
      <c r="T284" s="59"/>
      <c r="U284" s="59"/>
      <c r="V284" s="125">
        <f>IFERROR(INDEX('Non-Labor Expenditures'!$E$7:$AA$91,MATCH($C284,'Non-Labor Expenditures'!$C$7:$C$91,0),MATCH($G284,'Non-Labor Expenditures'!$E$5:$AA$5,0)),"NA")</f>
        <v>14323.80087562613</v>
      </c>
      <c r="W284" s="125">
        <f t="shared" ref="W284:W302" si="558">+V284/DK284</f>
        <v>168.95657924964175</v>
      </c>
      <c r="X284" s="125"/>
      <c r="Y284" s="125"/>
      <c r="Z284" s="125"/>
      <c r="AA284" s="125"/>
      <c r="AB284" s="125"/>
      <c r="AC284" s="125">
        <f t="shared" si="537"/>
        <v>7103.1796239188861</v>
      </c>
      <c r="AD284" s="129"/>
      <c r="AE284" s="133">
        <v>679.99250814278992</v>
      </c>
      <c r="AF284" s="134">
        <v>2.3571867206191262E-2</v>
      </c>
      <c r="AG284" s="59">
        <f t="shared" ref="AG284:AG302" si="559">+AF284*$AX284</f>
        <v>0</v>
      </c>
      <c r="AH284" s="134"/>
      <c r="AI284" s="134"/>
      <c r="AJ284" s="129">
        <f t="shared" si="444"/>
        <v>31317.832377527557</v>
      </c>
      <c r="AK284" s="134"/>
      <c r="AL284" s="129"/>
      <c r="AM284" s="129"/>
      <c r="AN284" s="129"/>
      <c r="AO284" s="129"/>
      <c r="AP284" s="133"/>
      <c r="AQ284" s="134"/>
      <c r="AR284" s="93">
        <f t="shared" ref="AR284:AR302" si="560">+J284/AJ284</f>
        <v>0.31582172606172543</v>
      </c>
      <c r="AS284" s="93">
        <f t="shared" ref="AS284:AS302" si="561">+V284/AJ284</f>
        <v>0.45736884669911976</v>
      </c>
      <c r="AT284" s="93">
        <f t="shared" ref="AT284:AT302" si="562">+AC284/AJ284</f>
        <v>0.2268094272391549</v>
      </c>
      <c r="AU284" s="93"/>
      <c r="AV284" s="93"/>
      <c r="AW284" s="134"/>
      <c r="AX284" s="62"/>
      <c r="AY284" s="93"/>
      <c r="AZ284" s="93"/>
      <c r="BA284" s="93"/>
      <c r="BB284" s="234">
        <f>IFERROR(INDEX('Total Customers'!$E$7:$AA$91,MATCH($C284,'Total Customers'!$C$7:$C$91,0),MATCH($G284,'Total Customers'!$E$5:$AA$5,0)),"NA")</f>
        <v>142057</v>
      </c>
      <c r="BC284" s="411">
        <f t="shared" si="524"/>
        <v>-5.6157444171779673E-3</v>
      </c>
      <c r="BD284" s="92"/>
      <c r="BE284" s="281" t="str">
        <f t="shared" si="518"/>
        <v>COLUMBIA GAS OF KENTUCKY, INCORPORATED</v>
      </c>
      <c r="BF284" s="290">
        <f t="shared" si="519"/>
        <v>4059355</v>
      </c>
      <c r="BG284" s="46" t="str">
        <f t="shared" si="520"/>
        <v>OH</v>
      </c>
      <c r="BH284" s="46"/>
      <c r="BI284" s="46" t="str">
        <f t="shared" si="521"/>
        <v>2004 Y</v>
      </c>
      <c r="BJ284" s="129"/>
      <c r="BK284" s="129"/>
      <c r="BL284" s="129">
        <f>INDEX('Dist. Plant Gas Additions'!$E$7:$AD$91,MATCH($C284,'Dist. Plant Gas Additions'!$C$7:$C$91,0),MATCH(Calculation!$G284,'Dist. Plant Gas Additions'!$E$5:$AD$5,0))</f>
        <v>7903</v>
      </c>
      <c r="BM284" s="129">
        <f>INDEX('Gen. Plant Additions'!$E$7:$AD$91,MATCH($C284,'Gen. Plant Additions'!$C$7:$C$91,0),MATCH(Calculation!$G284,'Gen. Plant Additions'!$E$5:$AD$5,0))</f>
        <v>281</v>
      </c>
      <c r="BN284" s="393">
        <f t="shared" si="538"/>
        <v>0.97779665435950913</v>
      </c>
      <c r="BO284" s="46">
        <f t="shared" si="535"/>
        <v>274.76085987502205</v>
      </c>
      <c r="BP284" s="46">
        <f t="shared" si="536"/>
        <v>-6.2391401249779506</v>
      </c>
      <c r="BQ284" s="129">
        <f>INDEX('Dist Plant Depreciation'!$D$7:$AC$94,MATCH($C284,'Dist Plant Depreciation'!$C$7:$C$94,0),MATCH(Calculation!$G284,'Dist Plant Depreciation'!$D$5:$AC$5,0))</f>
        <v>103376</v>
      </c>
      <c r="BR284" s="129">
        <f>INDEX('Gen. Plant Depreciation'!$D$7:$AC$94,MATCH($C284,'Gen. Plant Depreciation'!$C$7:$C$94,0),MATCH(Calculation!$G284,'Gen. Plant Depreciation'!$D$5:$AC$5,0))</f>
        <v>1045</v>
      </c>
      <c r="BS284" s="129"/>
      <c r="BT284" s="129"/>
      <c r="BU284" s="129"/>
      <c r="BV284" s="129"/>
      <c r="BW284" s="129"/>
      <c r="BX284" s="129"/>
      <c r="BY284" s="129">
        <f>INDEX('Gross Dx Plant'!$D$7:$AC$91,MATCH($C284,'Gross Dx Plant'!$C$7:$C$91,0),MATCH(Calculation!$G284,'Gross Dx Plant'!$D$5:$AC$5,0))</f>
        <v>232522</v>
      </c>
      <c r="BZ284" s="129">
        <f>INDEX('Gross Gen Plant'!$D$7:$AC$91,MATCH($C284,'Gross Gen Plant'!$C$7:$C$91,0),MATCH(Calculation!$G284,'Gross Gen Plant'!$D$5:$AC$5,0))</f>
        <v>5280</v>
      </c>
      <c r="CA284" s="129">
        <f t="shared" si="551"/>
        <v>133381</v>
      </c>
      <c r="CB284" s="129"/>
      <c r="CC284" s="133">
        <v>2004</v>
      </c>
      <c r="CD284" s="129"/>
      <c r="CE284" s="129"/>
      <c r="CF284" s="129"/>
      <c r="CG284" s="137"/>
      <c r="CH284" s="129">
        <f t="shared" si="539"/>
        <v>8184</v>
      </c>
      <c r="CI284" s="46">
        <f t="shared" si="548"/>
        <v>8177.7608598750221</v>
      </c>
      <c r="CJ284" s="46">
        <f t="shared" si="540"/>
        <v>19.710805805357406</v>
      </c>
      <c r="CK284" s="443">
        <v>0.9375</v>
      </c>
      <c r="CL284" s="46">
        <f>+CL278*CK284+CJ279*CK283+CJ280*CK282+CJ281*CK281+CJ282*CK280+CJ283*CK279+CJ284</f>
        <v>661.2196977369498</v>
      </c>
      <c r="CM284" s="134">
        <f t="shared" si="541"/>
        <v>1.8838523298368541E-2</v>
      </c>
      <c r="CN284" s="135">
        <f t="shared" si="542"/>
        <v>1.1359575191549976E-2</v>
      </c>
      <c r="CO284" s="135">
        <f t="shared" si="552"/>
        <v>1.1065439922728971E-2</v>
      </c>
      <c r="CP284" s="134">
        <f>VLOOKUP($H284,RoR!$E:$F,2,FALSE)</f>
        <v>5.6283333333333331E-2</v>
      </c>
      <c r="CQ284" s="135">
        <v>2.6778252812867276E-2</v>
      </c>
      <c r="CR284" s="135">
        <f t="shared" si="549"/>
        <v>2.9505080520466055E-2</v>
      </c>
      <c r="CS284" s="135">
        <f t="shared" si="553"/>
        <v>1.9836501685804656E-2</v>
      </c>
      <c r="CT284" s="135">
        <f t="shared" si="554"/>
        <v>5.5940039414565046E-2</v>
      </c>
      <c r="CU284" s="139">
        <f t="shared" si="543"/>
        <v>0.87050000000000005</v>
      </c>
      <c r="CV284" s="335">
        <f t="shared" si="544"/>
        <v>0.91114097628755619</v>
      </c>
      <c r="CW284" s="335">
        <f t="shared" si="545"/>
        <v>0.53081877405981637</v>
      </c>
      <c r="CX284" s="335">
        <f t="shared" si="546"/>
        <v>0.88811215519385678</v>
      </c>
      <c r="CY284" s="335">
        <f t="shared" si="547"/>
        <v>0.42953609753547711</v>
      </c>
      <c r="CZ284" s="336">
        <f>INDEX('State Tax Lookup'!$D$7:$Z$91,MATCH(Calculation!$C284,'State Tax Lookup'!$B$7:$B$91,0),MATCH($H284,'State Tax Lookup'!$D$6:$Z$6,0))</f>
        <v>0.35</v>
      </c>
      <c r="DA284" s="303">
        <v>0.37</v>
      </c>
      <c r="DB284" s="57">
        <f t="shared" si="550"/>
        <v>10.946832708330939</v>
      </c>
      <c r="DC284" s="56">
        <f t="shared" si="555"/>
        <v>9.825195214147496E-2</v>
      </c>
      <c r="DD284" s="303">
        <f>VLOOKUP($H284,RoR!$E:$F,2,FALSE)</f>
        <v>5.6283333333333331E-2</v>
      </c>
      <c r="DE284" s="304">
        <f>HLOOKUP($H284,'GDP-PI'!$D$8:$CQ$11,3,FALSE)</f>
        <v>2.6778252812867276E-2</v>
      </c>
      <c r="DF284" s="303">
        <f>VLOOKUP(H284,'HW Dx Data'!$E:$F,2,FALSE)</f>
        <v>414.88719135228365</v>
      </c>
      <c r="DG284" s="89">
        <f ca="1">VLOOKUP(CC284,'ECI - Input Price'!M$13:N$33,2,FALSE)</f>
        <v>94.35</v>
      </c>
      <c r="DH284" s="89"/>
      <c r="DI284" s="89"/>
      <c r="DJ284" s="56">
        <f t="shared" ref="DJ284:DJ302" ca="1" si="563">LN(DG284/DG283)</f>
        <v>5.5569851154810786E-2</v>
      </c>
      <c r="DK284" s="53">
        <f>HLOOKUP(H284,'GDP-PI'!$8:$9,2,FALSE)</f>
        <v>84.778000000000006</v>
      </c>
      <c r="DL284" s="355">
        <f t="shared" si="556"/>
        <v>2.6425990216022755E-2</v>
      </c>
      <c r="EC284"/>
    </row>
    <row r="285" spans="1:133" s="126" customFormat="1" ht="21" customHeight="1" x14ac:dyDescent="0.4">
      <c r="A285" s="233" t="s">
        <v>198</v>
      </c>
      <c r="B285" s="127" t="s">
        <v>198</v>
      </c>
      <c r="C285" s="127">
        <v>4059355</v>
      </c>
      <c r="D285" s="127" t="s">
        <v>199</v>
      </c>
      <c r="E285" s="127"/>
      <c r="F285" s="127"/>
      <c r="G285" s="127" t="s">
        <v>161</v>
      </c>
      <c r="H285" s="128">
        <v>2005</v>
      </c>
      <c r="I285" s="129"/>
      <c r="J285" s="125">
        <f>IFERROR(INDEX('Labor Expenditures'!$E$7:$W$91,MATCH($C285,'Labor Expenditures'!$C$7:$C$91,0),MATCH($G285,'Labor Expenditures'!$E$5:$W$5,0)),"NA")</f>
        <v>10683.830243822675</v>
      </c>
      <c r="K285" s="125">
        <f t="shared" ca="1" si="557"/>
        <v>107.67276637765357</v>
      </c>
      <c r="L285" s="47"/>
      <c r="M285" s="131">
        <f t="shared" ref="M285:M301" ca="1" si="564">LN(K285/K284)</f>
        <v>2.6742402233033154E-2</v>
      </c>
      <c r="N285" s="131"/>
      <c r="O285" s="131"/>
      <c r="P285" s="59"/>
      <c r="Q285" s="61"/>
      <c r="R285" s="387"/>
      <c r="S285" s="49">
        <v>100</v>
      </c>
      <c r="T285" s="46"/>
      <c r="U285" s="46"/>
      <c r="V285" s="125">
        <f>IFERROR(INDEX('Non-Labor Expenditures'!$E$7:$AA$91,MATCH($C285,'Non-Labor Expenditures'!$C$7:$C$91,0),MATCH($G285,'Non-Labor Expenditures'!$E$5:$AA$5,0)),"NA")</f>
        <v>15472.181657291447</v>
      </c>
      <c r="W285" s="125">
        <f t="shared" si="558"/>
        <v>177.01307283502976</v>
      </c>
      <c r="X285" s="131">
        <f>LN(W285/W284)</f>
        <v>4.658183327686944E-2</v>
      </c>
      <c r="Y285" s="131"/>
      <c r="Z285" s="131"/>
      <c r="AA285" s="131"/>
      <c r="AB285" s="131"/>
      <c r="AC285" s="125">
        <f t="shared" si="537"/>
        <v>8036.2848426905703</v>
      </c>
      <c r="AD285" s="129"/>
      <c r="AE285" s="133">
        <v>689.98595019723348</v>
      </c>
      <c r="AF285" s="134">
        <v>1.4589454678614729E-2</v>
      </c>
      <c r="AG285" s="59">
        <f t="shared" si="559"/>
        <v>0</v>
      </c>
      <c r="AH285" s="134"/>
      <c r="AI285" s="134"/>
      <c r="AJ285" s="129">
        <f t="shared" si="444"/>
        <v>34192.296743804691</v>
      </c>
      <c r="AK285" s="134">
        <f>LN(AJ285/AJ284)</f>
        <v>8.7812717452329256E-2</v>
      </c>
      <c r="AL285" s="129"/>
      <c r="AM285" s="129"/>
      <c r="AN285" s="129"/>
      <c r="AO285" s="129"/>
      <c r="AP285" s="133"/>
      <c r="AQ285" s="134"/>
      <c r="AR285" s="93">
        <f t="shared" si="560"/>
        <v>0.31246307681154761</v>
      </c>
      <c r="AS285" s="93">
        <f t="shared" si="561"/>
        <v>0.45250489527571308</v>
      </c>
      <c r="AT285" s="93">
        <f t="shared" si="562"/>
        <v>0.23503202791273933</v>
      </c>
      <c r="AU285" s="93">
        <f t="shared" ref="AU285:AU301" ca="1" si="565">+(((AR285+AR284)/2)*M285+((AS284+AS285)/2)*X285+((AT284+AT285)/2)*AF285)</f>
        <v>3.2961723422828021E-2</v>
      </c>
      <c r="AV285" s="132">
        <v>100</v>
      </c>
      <c r="AW285" s="134"/>
      <c r="AX285" s="15"/>
      <c r="AY285" s="93"/>
      <c r="AZ285" s="93"/>
      <c r="BA285" s="93"/>
      <c r="BB285" s="234">
        <f>IFERROR(INDEX('Total Customers'!$E$7:$AA$91,MATCH($C285,'Total Customers'!$C$7:$C$91,0),MATCH($G285,'Total Customers'!$E$5:$AA$5,0)),"NA")</f>
        <v>141506</v>
      </c>
      <c r="BC285" s="411">
        <f t="shared" si="524"/>
        <v>-3.8862664979728238E-3</v>
      </c>
      <c r="BD285" s="92"/>
      <c r="BE285" s="281" t="str">
        <f t="shared" si="518"/>
        <v>COLUMBIA GAS OF KENTUCKY, INCORPORATED</v>
      </c>
      <c r="BF285" s="290">
        <f t="shared" si="519"/>
        <v>4059355</v>
      </c>
      <c r="BG285" s="46" t="str">
        <f t="shared" si="520"/>
        <v>OH</v>
      </c>
      <c r="BH285" s="46"/>
      <c r="BI285" s="46" t="str">
        <f t="shared" si="521"/>
        <v>2005 Y</v>
      </c>
      <c r="BJ285" s="129"/>
      <c r="BK285" s="129"/>
      <c r="BL285" s="129">
        <f>INDEX('Dist. Plant Gas Additions'!$E$7:$AD$91,MATCH($C285,'Dist. Plant Gas Additions'!$C$7:$C$91,0),MATCH(Calculation!$G285,'Dist. Plant Gas Additions'!$E$5:$AD$5,0))</f>
        <v>6468</v>
      </c>
      <c r="BM285" s="129">
        <f>INDEX('Gen. Plant Additions'!$E$7:$AD$91,MATCH($C285,'Gen. Plant Additions'!$C$7:$C$91,0),MATCH(Calculation!$G285,'Gen. Plant Additions'!$E$5:$AD$5,0))</f>
        <v>149</v>
      </c>
      <c r="BN285" s="393">
        <f t="shared" si="538"/>
        <v>0.98019594121763476</v>
      </c>
      <c r="BO285" s="46">
        <f t="shared" si="535"/>
        <v>146.04919524142758</v>
      </c>
      <c r="BP285" s="46">
        <f t="shared" si="536"/>
        <v>-2.9508047585724171</v>
      </c>
      <c r="BQ285" s="129">
        <f>INDEX('Dist Plant Depreciation'!$D$7:$AC$94,MATCH($C285,'Dist Plant Depreciation'!$C$7:$C$94,0),MATCH(Calculation!$G285,'Dist Plant Depreciation'!$D$5:$AC$5,0))</f>
        <v>106587</v>
      </c>
      <c r="BR285" s="129">
        <f>INDEX('Gen. Plant Depreciation'!$D$7:$AC$94,MATCH($C285,'Gen. Plant Depreciation'!$C$7:$C$94,0),MATCH(Calculation!$G285,'Gen. Plant Depreciation'!$D$5:$AC$5,0))</f>
        <v>775</v>
      </c>
      <c r="BS285" s="129"/>
      <c r="BT285" s="129"/>
      <c r="BU285" s="129"/>
      <c r="BV285" s="129"/>
      <c r="BW285" s="129"/>
      <c r="BX285" s="129"/>
      <c r="BY285" s="129">
        <f>INDEX('Gross Dx Plant'!$D$7:$AC$91,MATCH($C285,'Gross Dx Plant'!$C$7:$C$91,0),MATCH(Calculation!$G285,'Gross Dx Plant'!$D$5:$AC$5,0))</f>
        <v>238119</v>
      </c>
      <c r="BZ285" s="129">
        <f>INDEX('Gross Gen Plant'!$D$7:$AC$91,MATCH($C285,'Gross Gen Plant'!$C$7:$C$91,0),MATCH(Calculation!$G285,'Gross Gen Plant'!$D$5:$AC$5,0))</f>
        <v>4811</v>
      </c>
      <c r="CA285" s="129">
        <f t="shared" si="551"/>
        <v>135568</v>
      </c>
      <c r="CB285" s="129"/>
      <c r="CC285" s="133">
        <v>2005</v>
      </c>
      <c r="CD285" s="129"/>
      <c r="CE285" s="129"/>
      <c r="CF285" s="129"/>
      <c r="CG285" s="137"/>
      <c r="CH285" s="129">
        <f t="shared" si="539"/>
        <v>6617</v>
      </c>
      <c r="CI285" s="46">
        <f t="shared" si="548"/>
        <v>6614.0491952414277</v>
      </c>
      <c r="CJ285" s="46">
        <f t="shared" si="540"/>
        <v>14.096284602331325</v>
      </c>
      <c r="CK285" s="443">
        <v>0.9263157894736842</v>
      </c>
      <c r="CL285" s="46">
        <f>+CL278*CK285+CJ279*CK284+CJ280*CK283+CJ281*CK282+CJ282*CK281+CJ283*CK280+CJ284*CK279+CJ285</f>
        <v>667.59544005265809</v>
      </c>
      <c r="CM285" s="134">
        <f t="shared" si="541"/>
        <v>9.5962050119840613E-3</v>
      </c>
      <c r="CN285" s="135">
        <f t="shared" si="542"/>
        <v>1.1676213387240108E-2</v>
      </c>
      <c r="CO285" s="135">
        <f t="shared" si="552"/>
        <v>1.1364035347526275E-2</v>
      </c>
      <c r="CP285" s="134">
        <f>VLOOKUP($H285,RoR!$E:$F,2,FALSE)</f>
        <v>5.2350000000000001E-2</v>
      </c>
      <c r="CQ285" s="135">
        <v>3.1010403642454332E-2</v>
      </c>
      <c r="CR285" s="135">
        <f t="shared" si="549"/>
        <v>2.1339596357545669E-2</v>
      </c>
      <c r="CS285" s="135">
        <f t="shared" si="553"/>
        <v>1.9537906261007348E-2</v>
      </c>
      <c r="CT285" s="135">
        <f t="shared" si="554"/>
        <v>9.2129610649277341E-2</v>
      </c>
      <c r="CU285" s="139">
        <f t="shared" si="543"/>
        <v>0.87050000000000005</v>
      </c>
      <c r="CV285" s="335">
        <f t="shared" si="544"/>
        <v>0.97959983346802826</v>
      </c>
      <c r="CW285" s="335">
        <f t="shared" si="545"/>
        <v>0.49744508118433622</v>
      </c>
      <c r="CX285" s="335">
        <f t="shared" si="546"/>
        <v>0.87010519444335932</v>
      </c>
      <c r="CY285" s="335">
        <f t="shared" si="547"/>
        <v>0.42399975420741998</v>
      </c>
      <c r="CZ285" s="336">
        <f>INDEX('State Tax Lookup'!$D$7:$Z$91,MATCH(Calculation!$C285,'State Tax Lookup'!$B$7:$B$91,0),MATCH($H285,'State Tax Lookup'!$D$6:$Z$6,0))</f>
        <v>0.35</v>
      </c>
      <c r="DA285" s="303">
        <v>0.37</v>
      </c>
      <c r="DB285" s="57">
        <f t="shared" si="550"/>
        <v>12.153728738262137</v>
      </c>
      <c r="DC285" s="56">
        <f t="shared" si="555"/>
        <v>0.10458585070205062</v>
      </c>
      <c r="DD285" s="303">
        <f>VLOOKUP($H285,RoR!$E:$F,2,FALSE)</f>
        <v>5.2350000000000001E-2</v>
      </c>
      <c r="DE285" s="304">
        <f>HLOOKUP($H285,'GDP-PI'!$D$8:$CQ$11,3,FALSE)</f>
        <v>3.1010403642454332E-2</v>
      </c>
      <c r="DF285" s="303">
        <f>VLOOKUP(H285,'HW Dx Data'!$E:$F,2,FALSE)</f>
        <v>469.20514034936258</v>
      </c>
      <c r="DG285" s="89">
        <f ca="1">VLOOKUP(CC285,'ECI - Input Price'!M$13:N$33,2,FALSE)</f>
        <v>99.224999999999994</v>
      </c>
      <c r="DH285" s="89"/>
      <c r="DI285" s="89"/>
      <c r="DJ285" s="56">
        <f t="shared" ca="1" si="563"/>
        <v>5.0378726854569796E-2</v>
      </c>
      <c r="DK285" s="53">
        <f>HLOOKUP(H285,'GDP-PI'!$8:$9,2,FALSE)</f>
        <v>87.406999999999996</v>
      </c>
      <c r="DL285" s="355">
        <f t="shared" si="556"/>
        <v>3.0539295810733648E-2</v>
      </c>
      <c r="EC285"/>
    </row>
    <row r="286" spans="1:133" s="126" customFormat="1" ht="21" customHeight="1" x14ac:dyDescent="0.4">
      <c r="A286" s="233" t="s">
        <v>198</v>
      </c>
      <c r="B286" s="127" t="s">
        <v>198</v>
      </c>
      <c r="C286" s="127">
        <v>4059355</v>
      </c>
      <c r="D286" s="127" t="s">
        <v>199</v>
      </c>
      <c r="E286" s="127"/>
      <c r="F286" s="127"/>
      <c r="G286" s="127" t="s">
        <v>162</v>
      </c>
      <c r="H286" s="128">
        <v>2006</v>
      </c>
      <c r="I286" s="129"/>
      <c r="J286" s="125">
        <f>IFERROR(INDEX('Labor Expenditures'!$E$7:$W$91,MATCH($C286,'Labor Expenditures'!$C$7:$C$91,0),MATCH($G286,'Labor Expenditures'!$E$5:$W$5,0)),"NA")</f>
        <v>9924.2400097521058</v>
      </c>
      <c r="K286" s="125">
        <f t="shared" ca="1" si="557"/>
        <v>90.715173763730391</v>
      </c>
      <c r="L286" s="47"/>
      <c r="M286" s="131">
        <f t="shared" ca="1" si="564"/>
        <v>-0.17137204730130712</v>
      </c>
      <c r="N286" s="131"/>
      <c r="O286" s="131"/>
      <c r="P286" s="59">
        <f t="shared" ref="P286:P302" ca="1" si="566">+M286*$AX286</f>
        <v>-7.5331304304043529E-4</v>
      </c>
      <c r="Q286" s="61"/>
      <c r="R286" s="387"/>
      <c r="S286" s="49">
        <f ca="1">+S285*EXP(T286)</f>
        <v>106.01984813681622</v>
      </c>
      <c r="T286" s="61">
        <f ca="1">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</f>
        <v>5.8456137169262082E-2</v>
      </c>
      <c r="U286" s="61"/>
      <c r="V286" s="125">
        <f>IFERROR(INDEX('Non-Labor Expenditures'!$E$7:$AA$91,MATCH($C286,'Non-Labor Expenditures'!$C$7:$C$91,0),MATCH($G286,'Non-Labor Expenditures'!$E$5:$AA$5,0)),"NA")</f>
        <v>14372.153126471279</v>
      </c>
      <c r="W286" s="125">
        <f t="shared" si="558"/>
        <v>159.55939701213757</v>
      </c>
      <c r="X286" s="131">
        <f t="shared" ref="X286:X301" si="567">LN(W286/W285)</f>
        <v>-0.1038073397080093</v>
      </c>
      <c r="Y286" s="131">
        <f t="shared" ref="Y286:Y302" si="568">+X286*AX286</f>
        <v>-4.5631375826351721E-4</v>
      </c>
      <c r="Z286" s="131"/>
      <c r="AA286" s="131"/>
      <c r="AB286" s="131"/>
      <c r="AC286" s="125">
        <f t="shared" si="537"/>
        <v>7851.4253250716038</v>
      </c>
      <c r="AD286" s="129"/>
      <c r="AE286" s="133">
        <v>709.14386498461079</v>
      </c>
      <c r="AF286" s="134">
        <v>2.7387183128349094E-2</v>
      </c>
      <c r="AG286" s="59">
        <f t="shared" si="559"/>
        <v>1.2038790799090233E-4</v>
      </c>
      <c r="AH286" s="134"/>
      <c r="AI286" s="134"/>
      <c r="AJ286" s="129">
        <f t="shared" ref="AJ286:AJ349" si="569">+J286+V286+AC286</f>
        <v>32147.818461294988</v>
      </c>
      <c r="AK286" s="134">
        <f t="shared" ref="AK286:AK302" si="570">LN(AJ286/AJ285)</f>
        <v>-6.1655783921463897E-2</v>
      </c>
      <c r="AL286" s="129"/>
      <c r="AM286" s="129"/>
      <c r="AN286" s="129"/>
      <c r="AO286" s="129"/>
      <c r="AP286" s="133">
        <f t="shared" ref="AP286:AP302" si="571">+(AJ286*1000)/BB286</f>
        <v>231.58082439215804</v>
      </c>
      <c r="AQ286" s="134">
        <f>+BB286/Outputs!$B$14</f>
        <v>4.002687430966336E-3</v>
      </c>
      <c r="AR286" s="93">
        <f t="shared" si="560"/>
        <v>0.30870648413361529</v>
      </c>
      <c r="AS286" s="93">
        <f t="shared" si="561"/>
        <v>0.44706464744333807</v>
      </c>
      <c r="AT286" s="93">
        <f t="shared" si="562"/>
        <v>0.24422886842304664</v>
      </c>
      <c r="AU286" s="93">
        <f t="shared" ca="1" si="565"/>
        <v>-9.3353707279118431E-2</v>
      </c>
      <c r="AV286" s="132">
        <f ca="1">+AV285*EXP(AU286)</f>
        <v>91.087126151486132</v>
      </c>
      <c r="AW286" s="134">
        <f ca="1">LN(AV286/AV285)</f>
        <v>-9.3353707279118375E-2</v>
      </c>
      <c r="AX286" s="56">
        <f>+AJ286/$AL$11</f>
        <v>4.3957754774088496E-3</v>
      </c>
      <c r="AY286" s="135">
        <f ca="1">+AX286*AW286</f>
        <v>-4.1036193718275256E-4</v>
      </c>
      <c r="AZ286" s="93"/>
      <c r="BA286" s="93"/>
      <c r="BB286" s="234">
        <f>IFERROR(INDEX('Total Customers'!$E$7:$AA$91,MATCH($C286,'Total Customers'!$C$7:$C$91,0),MATCH($G286,'Total Customers'!$E$5:$AA$5,0)),"NA")</f>
        <v>138819</v>
      </c>
      <c r="BC286" s="411">
        <f t="shared" si="524"/>
        <v>-1.9171192698653413E-2</v>
      </c>
      <c r="BD286" s="92"/>
      <c r="BE286" s="281" t="str">
        <f t="shared" si="518"/>
        <v>COLUMBIA GAS OF KENTUCKY, INCORPORATED</v>
      </c>
      <c r="BF286" s="290">
        <f t="shared" si="519"/>
        <v>4059355</v>
      </c>
      <c r="BG286" s="46" t="str">
        <f t="shared" si="520"/>
        <v>OH</v>
      </c>
      <c r="BH286" s="46"/>
      <c r="BI286" s="46" t="str">
        <f t="shared" si="521"/>
        <v>2006 Y</v>
      </c>
      <c r="BJ286" s="129"/>
      <c r="BK286" s="129"/>
      <c r="BL286" s="129">
        <f>INDEX('Dist. Plant Gas Additions'!$E$7:$AD$91,MATCH($C286,'Dist. Plant Gas Additions'!$C$7:$C$91,0),MATCH(Calculation!$G286,'Dist. Plant Gas Additions'!$E$5:$AD$5,0))</f>
        <v>10771</v>
      </c>
      <c r="BM286" s="129">
        <f>INDEX('Gen. Plant Additions'!$E$7:$AD$91,MATCH($C286,'Gen. Plant Additions'!$C$7:$C$91,0),MATCH(Calculation!$G286,'Gen. Plant Additions'!$E$5:$AD$5,0))</f>
        <v>52</v>
      </c>
      <c r="BN286" s="393">
        <f t="shared" si="538"/>
        <v>0.9805619745609202</v>
      </c>
      <c r="BO286" s="46">
        <f t="shared" si="535"/>
        <v>50.989222677167852</v>
      </c>
      <c r="BP286" s="46">
        <f t="shared" si="536"/>
        <v>-1.0107773228321477</v>
      </c>
      <c r="BQ286" s="129">
        <f>INDEX('Dist Plant Depreciation'!$D$7:$AC$94,MATCH($C286,'Dist Plant Depreciation'!$C$7:$C$94,0),MATCH(Calculation!$G286,'Dist Plant Depreciation'!$D$5:$AC$5,0))</f>
        <v>109630</v>
      </c>
      <c r="BR286" s="129">
        <f>INDEX('Gen. Plant Depreciation'!$D$7:$AC$94,MATCH($C286,'Gen. Plant Depreciation'!$C$7:$C$94,0),MATCH(Calculation!$G286,'Gen. Plant Depreciation'!$D$5:$AC$5,0))</f>
        <v>745</v>
      </c>
      <c r="BS286" s="129"/>
      <c r="BT286" s="129"/>
      <c r="BU286" s="129"/>
      <c r="BV286" s="129"/>
      <c r="BW286" s="129"/>
      <c r="BX286" s="129"/>
      <c r="BY286" s="129">
        <f>INDEX('Gross Dx Plant'!$D$7:$AC$91,MATCH($C286,'Gross Dx Plant'!$C$7:$C$91,0),MATCH(Calculation!$G286,'Gross Dx Plant'!$D$5:$AC$5,0))</f>
        <v>247385</v>
      </c>
      <c r="BZ286" s="129">
        <f>INDEX('Gross Gen Plant'!$D$7:$AC$91,MATCH($C286,'Gross Gen Plant'!$C$7:$C$91,0),MATCH(Calculation!$G286,'Gross Gen Plant'!$D$5:$AC$5,0))</f>
        <v>4904</v>
      </c>
      <c r="CA286" s="129">
        <f t="shared" si="551"/>
        <v>141914</v>
      </c>
      <c r="CB286" s="134"/>
      <c r="CC286" s="133">
        <v>2006</v>
      </c>
      <c r="CD286" s="129"/>
      <c r="CE286" s="129"/>
      <c r="CF286" s="129"/>
      <c r="CG286" s="137"/>
      <c r="CH286" s="129">
        <f t="shared" si="539"/>
        <v>10823</v>
      </c>
      <c r="CI286" s="46">
        <f t="shared" si="548"/>
        <v>10821.989222677168</v>
      </c>
      <c r="CJ286" s="46">
        <f t="shared" si="540"/>
        <v>23.470669037727532</v>
      </c>
      <c r="CK286" s="443">
        <v>0.91489361702127658</v>
      </c>
      <c r="CL286" s="46">
        <f>+CL278*CK286+CJ279*CK285+CJ280*CK284+CJ281*CK283+CJ282*CK282+CJ283*CK281+CJ284*CK280+CJ285*CK279+CJ286</f>
        <v>683.04280801328923</v>
      </c>
      <c r="CM286" s="134">
        <f t="shared" si="541"/>
        <v>2.2875172647844277E-2</v>
      </c>
      <c r="CN286" s="135">
        <f t="shared" si="542"/>
        <v>1.201820832758165E-2</v>
      </c>
      <c r="CO286" s="135">
        <f t="shared" si="552"/>
        <v>1.1684665635457244E-2</v>
      </c>
      <c r="CP286" s="134">
        <f>VLOOKUP($H286,RoR!$E:$F,2,FALSE)</f>
        <v>5.5874999999999994E-2</v>
      </c>
      <c r="CQ286" s="135">
        <v>3.0512430354548314E-2</v>
      </c>
      <c r="CR286" s="135">
        <f t="shared" si="549"/>
        <v>2.536256964545168E-2</v>
      </c>
      <c r="CS286" s="135">
        <f t="shared" si="553"/>
        <v>1.9217275973076382E-2</v>
      </c>
      <c r="CT286" s="135">
        <f t="shared" si="554"/>
        <v>7.9087823893859641E-2</v>
      </c>
      <c r="CU286" s="139">
        <f t="shared" si="543"/>
        <v>0.87050000000000005</v>
      </c>
      <c r="CV286" s="335">
        <f t="shared" si="544"/>
        <v>0.91779957551769631</v>
      </c>
      <c r="CW286" s="335">
        <f t="shared" si="545"/>
        <v>0.52757270693512304</v>
      </c>
      <c r="CX286" s="335">
        <f t="shared" si="546"/>
        <v>0.88636824549024895</v>
      </c>
      <c r="CY286" s="335">
        <f t="shared" si="547"/>
        <v>0.42918482841932087</v>
      </c>
      <c r="CZ286" s="336">
        <f>INDEX('State Tax Lookup'!$D$7:$Z$91,MATCH(Calculation!$C286,'State Tax Lookup'!$B$7:$B$91,0),MATCH($H286,'State Tax Lookup'!$D$6:$Z$6,0))</f>
        <v>0.35</v>
      </c>
      <c r="DA286" s="303">
        <v>0.37</v>
      </c>
      <c r="DB286" s="57">
        <f t="shared" si="550"/>
        <v>11.760753375505837</v>
      </c>
      <c r="DC286" s="56">
        <f t="shared" si="555"/>
        <v>-3.2868011781287204E-2</v>
      </c>
      <c r="DD286" s="303">
        <f>VLOOKUP($H286,RoR!$E:$F,2,FALSE)</f>
        <v>5.5874999999999994E-2</v>
      </c>
      <c r="DE286" s="304">
        <f>HLOOKUP($H286,'GDP-PI'!$D$8:$CQ$11,3,FALSE)</f>
        <v>3.0512430354548314E-2</v>
      </c>
      <c r="DF286" s="303">
        <f>VLOOKUP(H286,'HW Dx Data'!$E:$F,2,FALSE)</f>
        <v>461.08567272971823</v>
      </c>
      <c r="DG286" s="89">
        <f ca="1">VLOOKUP(CC286,'ECI - Input Price'!M$13:N$33,2,FALSE)</f>
        <v>109.4</v>
      </c>
      <c r="DH286" s="89"/>
      <c r="DI286" s="89"/>
      <c r="DJ286" s="56">
        <f t="shared" ca="1" si="563"/>
        <v>9.7620891318751846E-2</v>
      </c>
      <c r="DK286" s="53">
        <f>HLOOKUP(H286,'GDP-PI'!$8:$9,2,FALSE)</f>
        <v>90.073999999999998</v>
      </c>
      <c r="DL286" s="355">
        <f t="shared" si="556"/>
        <v>3.005618372545445E-2</v>
      </c>
      <c r="EC286"/>
    </row>
    <row r="287" spans="1:133" s="126" customFormat="1" ht="21" customHeight="1" x14ac:dyDescent="0.4">
      <c r="A287" s="233" t="s">
        <v>198</v>
      </c>
      <c r="B287" s="127" t="s">
        <v>198</v>
      </c>
      <c r="C287" s="127">
        <v>4059355</v>
      </c>
      <c r="D287" s="127" t="s">
        <v>199</v>
      </c>
      <c r="E287" s="127"/>
      <c r="F287" s="127"/>
      <c r="G287" s="127" t="s">
        <v>163</v>
      </c>
      <c r="H287" s="128">
        <v>2007</v>
      </c>
      <c r="I287" s="129"/>
      <c r="J287" s="125">
        <f>IFERROR(INDEX('Labor Expenditures'!$E$7:$W$91,MATCH($C287,'Labor Expenditures'!$C$7:$C$91,0),MATCH($G287,'Labor Expenditures'!$E$5:$W$5,0)),"NA")</f>
        <v>9162.5988619010477</v>
      </c>
      <c r="K287" s="125">
        <f t="shared" ca="1" si="557"/>
        <v>87.659400735719188</v>
      </c>
      <c r="L287" s="47"/>
      <c r="M287" s="131">
        <f t="shared" ca="1" si="564"/>
        <v>-3.4265780577698218E-2</v>
      </c>
      <c r="N287" s="131"/>
      <c r="O287" s="131"/>
      <c r="P287" s="59">
        <f t="shared" ca="1" si="566"/>
        <v>-1.3848243146574878E-4</v>
      </c>
      <c r="Q287" s="61"/>
      <c r="R287" s="387"/>
      <c r="S287" s="49">
        <f t="shared" ref="S287:S300" ca="1" si="572">+S286*EXP(T287)</f>
        <v>117.50760828579284</v>
      </c>
      <c r="T287" s="61">
        <f ca="1">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</f>
        <v>0.10287675969903051</v>
      </c>
      <c r="U287" s="61"/>
      <c r="V287" s="125">
        <f>IFERROR(INDEX('Non-Labor Expenditures'!$E$7:$AA$91,MATCH($C287,'Non-Labor Expenditures'!$C$7:$C$91,0),MATCH($G287,'Non-Labor Expenditures'!$E$5:$AA$5,0)),"NA")</f>
        <v>13269.154489439103</v>
      </c>
      <c r="W287" s="125">
        <f t="shared" si="558"/>
        <v>143.45342050032542</v>
      </c>
      <c r="X287" s="131">
        <f t="shared" si="567"/>
        <v>-0.10640586127298858</v>
      </c>
      <c r="Y287" s="131">
        <f t="shared" si="568"/>
        <v>-4.3003083959748071E-4</v>
      </c>
      <c r="Z287" s="131"/>
      <c r="AA287" s="131"/>
      <c r="AB287" s="131"/>
      <c r="AC287" s="125">
        <f t="shared" si="537"/>
        <v>8547.2126540457211</v>
      </c>
      <c r="AD287" s="129"/>
      <c r="AE287" s="133">
        <v>722.85184640139266</v>
      </c>
      <c r="AF287" s="134">
        <v>1.9145867607306445E-2</v>
      </c>
      <c r="AG287" s="59">
        <f t="shared" si="559"/>
        <v>7.7376503732903384E-5</v>
      </c>
      <c r="AH287" s="134"/>
      <c r="AI287" s="134"/>
      <c r="AJ287" s="129">
        <f t="shared" si="569"/>
        <v>30978.966005385872</v>
      </c>
      <c r="AK287" s="134">
        <f t="shared" si="570"/>
        <v>-3.7036135133498009E-2</v>
      </c>
      <c r="AL287" s="129"/>
      <c r="AM287" s="129"/>
      <c r="AN287" s="129"/>
      <c r="AO287" s="129"/>
      <c r="AP287" s="133">
        <f t="shared" si="571"/>
        <v>223.35714547096094</v>
      </c>
      <c r="AQ287" s="134">
        <f>+BB287/Outputs!$B$15</f>
        <v>3.9690596665019201E-3</v>
      </c>
      <c r="AR287" s="93">
        <f t="shared" si="560"/>
        <v>0.29576838879348255</v>
      </c>
      <c r="AS287" s="93">
        <f t="shared" si="561"/>
        <v>0.42832786888794749</v>
      </c>
      <c r="AT287" s="93">
        <f t="shared" si="562"/>
        <v>0.27590374231856996</v>
      </c>
      <c r="AU287" s="93">
        <f t="shared" ca="1" si="565"/>
        <v>-5.1950653954554733E-2</v>
      </c>
      <c r="AV287" s="132">
        <f ca="1">+AV286*EXP(AU287)</f>
        <v>86.475905392038982</v>
      </c>
      <c r="AW287" s="134">
        <f ca="1">LN(AV287/AV286)</f>
        <v>-5.1950653954554712E-2</v>
      </c>
      <c r="AX287" s="56">
        <f>+AJ287/$AL$12</f>
        <v>4.0414205989482014E-3</v>
      </c>
      <c r="AY287" s="135">
        <f t="shared" ref="AY287:AY301" ca="1" si="573">+AX287*AW287</f>
        <v>-2.0995444302076725E-4</v>
      </c>
      <c r="AZ287" s="93"/>
      <c r="BA287" s="93"/>
      <c r="BB287" s="234">
        <f>IFERROR(INDEX('Total Customers'!$E$7:$AA$91,MATCH($C287,'Total Customers'!$C$7:$C$91,0),MATCH($G287,'Total Customers'!$E$5:$AA$5,0)),"NA")</f>
        <v>138697</v>
      </c>
      <c r="BC287" s="411">
        <f t="shared" si="524"/>
        <v>-8.7922864165862968E-4</v>
      </c>
      <c r="BD287" s="92"/>
      <c r="BE287" s="281" t="str">
        <f t="shared" si="518"/>
        <v>COLUMBIA GAS OF KENTUCKY, INCORPORATED</v>
      </c>
      <c r="BF287" s="290">
        <f t="shared" si="519"/>
        <v>4059355</v>
      </c>
      <c r="BG287" s="46" t="str">
        <f t="shared" si="520"/>
        <v>OH</v>
      </c>
      <c r="BH287" s="46"/>
      <c r="BI287" s="46" t="str">
        <f t="shared" si="521"/>
        <v>2007 Y</v>
      </c>
      <c r="BJ287" s="129"/>
      <c r="BK287" s="129"/>
      <c r="BL287" s="129">
        <f>INDEX('Dist. Plant Gas Additions'!$E$7:$AD$91,MATCH($C287,'Dist. Plant Gas Additions'!$C$7:$C$91,0),MATCH(Calculation!$G287,'Dist. Plant Gas Additions'!$E$5:$AD$5,0))</f>
        <v>9282</v>
      </c>
      <c r="BM287" s="129">
        <f>INDEX('Gen. Plant Additions'!$E$7:$AD$91,MATCH($C287,'Gen. Plant Additions'!$C$7:$C$91,0),MATCH(Calculation!$G287,'Gen. Plant Additions'!$E$5:$AD$5,0))</f>
        <v>-176</v>
      </c>
      <c r="BN287" s="393">
        <f t="shared" si="538"/>
        <v>0.98335604250539421</v>
      </c>
      <c r="BO287" s="46">
        <f t="shared" si="535"/>
        <v>-173.07066348094938</v>
      </c>
      <c r="BP287" s="46">
        <f t="shared" si="536"/>
        <v>2.9293365190506222</v>
      </c>
      <c r="BQ287" s="129">
        <f>INDEX('Dist Plant Depreciation'!$D$7:$AC$94,MATCH($C287,'Dist Plant Depreciation'!$C$7:$C$94,0),MATCH(Calculation!$G287,'Dist Plant Depreciation'!$D$5:$AC$5,0))</f>
        <v>112207</v>
      </c>
      <c r="BR287" s="129">
        <f>INDEX('Gen. Plant Depreciation'!$D$7:$AC$94,MATCH($C287,'Gen. Plant Depreciation'!$C$7:$C$94,0),MATCH(Calculation!$G287,'Gen. Plant Depreciation'!$D$5:$AC$5,0))</f>
        <v>568</v>
      </c>
      <c r="BS287" s="129"/>
      <c r="BT287" s="129"/>
      <c r="BU287" s="129"/>
      <c r="BV287" s="129"/>
      <c r="BW287" s="129"/>
      <c r="BX287" s="129"/>
      <c r="BY287" s="129">
        <f>INDEX('Gross Dx Plant'!$D$7:$AC$91,MATCH($C287,'Gross Dx Plant'!$C$7:$C$91,0),MATCH(Calculation!$G287,'Gross Dx Plant'!$D$5:$AC$5,0))</f>
        <v>254761</v>
      </c>
      <c r="BZ287" s="129">
        <f>INDEX('Gross Gen Plant'!$D$7:$AC$91,MATCH($C287,'Gross Gen Plant'!$C$7:$C$91,0),MATCH(Calculation!$G287,'Gross Gen Plant'!$D$5:$AC$5,0))</f>
        <v>4312</v>
      </c>
      <c r="CA287" s="129">
        <f t="shared" si="551"/>
        <v>146298</v>
      </c>
      <c r="CB287" s="129"/>
      <c r="CC287" s="133">
        <v>2007</v>
      </c>
      <c r="CD287" s="129"/>
      <c r="CE287" s="129"/>
      <c r="CF287" s="129"/>
      <c r="CG287" s="137"/>
      <c r="CH287" s="129">
        <f t="shared" si="539"/>
        <v>9106</v>
      </c>
      <c r="CI287" s="46">
        <f t="shared" si="548"/>
        <v>9108.9293365190515</v>
      </c>
      <c r="CJ287" s="46">
        <f t="shared" si="540"/>
        <v>18.290203176517906</v>
      </c>
      <c r="CK287" s="443">
        <v>0.90322580645161288</v>
      </c>
      <c r="CL287" s="46">
        <f>+CL278*CK287+CJ279*CK286+CJ280*CK285+CJ281*CK284+CJ282*CK283+CJ283*CK282+CJ284*CK281+CJ285*CK280+CJ286*CK279+CJ287</f>
        <v>692.90611356252884</v>
      </c>
      <c r="CM287" s="134">
        <f t="shared" si="541"/>
        <v>1.4336977693458573E-2</v>
      </c>
      <c r="CN287" s="135">
        <f t="shared" si="542"/>
        <v>1.233729061841515E-2</v>
      </c>
      <c r="CO287" s="135">
        <f t="shared" si="552"/>
        <v>1.2010570777745635E-2</v>
      </c>
      <c r="CP287" s="134">
        <f>VLOOKUP($H287,RoR!$E:$F,2,FALSE)</f>
        <v>5.5558333333333321E-2</v>
      </c>
      <c r="CQ287" s="135">
        <v>2.691120634145272E-2</v>
      </c>
      <c r="CR287" s="135">
        <f t="shared" si="549"/>
        <v>2.86471269918806E-2</v>
      </c>
      <c r="CS287" s="135">
        <f t="shared" si="553"/>
        <v>1.8891370830787992E-2</v>
      </c>
      <c r="CT287" s="135">
        <f t="shared" si="554"/>
        <v>6.4575155250632399E-2</v>
      </c>
      <c r="CU287" s="139">
        <f t="shared" si="543"/>
        <v>0.87050000000000005</v>
      </c>
      <c r="CV287" s="335">
        <f t="shared" si="544"/>
        <v>0.92303077153834634</v>
      </c>
      <c r="CW287" s="335">
        <f t="shared" si="545"/>
        <v>0.52502249887505614</v>
      </c>
      <c r="CX287" s="335">
        <f t="shared" si="546"/>
        <v>0.88499666072084604</v>
      </c>
      <c r="CY287" s="335">
        <f t="shared" si="547"/>
        <v>0.42887993290280618</v>
      </c>
      <c r="CZ287" s="336">
        <f>INDEX('State Tax Lookup'!$D$7:$Z$91,MATCH(Calculation!$C287,'State Tax Lookup'!$B$7:$B$91,0),MATCH($H287,'State Tax Lookup'!$D$6:$Z$6,0))</f>
        <v>0.35</v>
      </c>
      <c r="DA287" s="303">
        <v>0.37</v>
      </c>
      <c r="DB287" s="57">
        <f t="shared" si="550"/>
        <v>12.513436279208179</v>
      </c>
      <c r="DC287" s="56">
        <f t="shared" si="555"/>
        <v>6.2034966389468468E-2</v>
      </c>
      <c r="DD287" s="303">
        <f>VLOOKUP($H287,RoR!$E:$F,2,FALSE)</f>
        <v>5.5558333333333321E-2</v>
      </c>
      <c r="DE287" s="304">
        <f>HLOOKUP($H287,'GDP-PI'!$D$8:$CQ$11,3,FALSE)</f>
        <v>2.691120634145272E-2</v>
      </c>
      <c r="DF287" s="303">
        <f>VLOOKUP(H287,'HW Dx Data'!$E:$F,2,FALSE)</f>
        <v>498.0223154772637</v>
      </c>
      <c r="DG287" s="89">
        <f ca="1">VLOOKUP(CC287,'ECI - Input Price'!M$13:N$33,2,FALSE)</f>
        <v>104.52499999999999</v>
      </c>
      <c r="DH287" s="89"/>
      <c r="DI287" s="89"/>
      <c r="DJ287" s="56">
        <f t="shared" ca="1" si="563"/>
        <v>-4.5584612745252218E-2</v>
      </c>
      <c r="DK287" s="53">
        <f>HLOOKUP(H287,'GDP-PI'!$8:$9,2,FALSE)</f>
        <v>92.498000000000005</v>
      </c>
      <c r="DL287" s="355">
        <f t="shared" si="556"/>
        <v>2.6555467950038037E-2</v>
      </c>
      <c r="EC287"/>
    </row>
    <row r="288" spans="1:133" s="126" customFormat="1" ht="21" customHeight="1" x14ac:dyDescent="0.4">
      <c r="A288" s="233" t="s">
        <v>198</v>
      </c>
      <c r="B288" s="127" t="s">
        <v>198</v>
      </c>
      <c r="C288" s="127">
        <v>4059355</v>
      </c>
      <c r="D288" s="127" t="s">
        <v>199</v>
      </c>
      <c r="E288" s="127"/>
      <c r="F288" s="127"/>
      <c r="G288" s="127" t="s">
        <v>164</v>
      </c>
      <c r="H288" s="128">
        <v>2008</v>
      </c>
      <c r="I288" s="129"/>
      <c r="J288" s="125">
        <f>IFERROR(INDEX('Labor Expenditures'!$E$7:$W$91,MATCH($C288,'Labor Expenditures'!$C$7:$C$91,0),MATCH($G288,'Labor Expenditures'!$E$5:$W$5,0)),"NA")</f>
        <v>10229.445274352172</v>
      </c>
      <c r="K288" s="125">
        <f t="shared" ca="1" si="557"/>
        <v>94.8048681589636</v>
      </c>
      <c r="L288" s="47"/>
      <c r="M288" s="131">
        <f t="shared" ca="1" si="564"/>
        <v>7.8361901097114245E-2</v>
      </c>
      <c r="N288" s="131"/>
      <c r="O288" s="131"/>
      <c r="P288" s="59">
        <f t="shared" ca="1" si="566"/>
        <v>3.3701750116436842E-4</v>
      </c>
      <c r="Q288" s="61"/>
      <c r="R288" s="387"/>
      <c r="S288" s="49">
        <f t="shared" ca="1" si="572"/>
        <v>109.4475680401858</v>
      </c>
      <c r="T288" s="61">
        <f ca="1">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</f>
        <v>-7.1057478959083167E-2</v>
      </c>
      <c r="U288" s="61"/>
      <c r="V288" s="125">
        <f>IFERROR(INDEX('Non-Labor Expenditures'!$E$7:$AA$91,MATCH($C288,'Non-Labor Expenditures'!$C$7:$C$91,0),MATCH($G288,'Non-Labor Expenditures'!$E$5:$AA$5,0)),"NA")</f>
        <v>14814.147354092431</v>
      </c>
      <c r="W288" s="125">
        <f t="shared" si="558"/>
        <v>157.15593815340355</v>
      </c>
      <c r="X288" s="131">
        <f t="shared" si="567"/>
        <v>9.1228162370542404E-2</v>
      </c>
      <c r="Y288" s="131">
        <f t="shared" si="568"/>
        <v>3.92352493845631E-4</v>
      </c>
      <c r="Z288" s="131"/>
      <c r="AA288" s="131"/>
      <c r="AB288" s="131"/>
      <c r="AC288" s="125">
        <f t="shared" si="537"/>
        <v>9748.4277672863118</v>
      </c>
      <c r="AD288" s="129"/>
      <c r="AE288" s="133">
        <v>740.71441846520781</v>
      </c>
      <c r="AF288" s="134">
        <v>2.4410864741787313E-2</v>
      </c>
      <c r="AG288" s="59">
        <f t="shared" si="559"/>
        <v>1.049858224641963E-4</v>
      </c>
      <c r="AH288" s="134"/>
      <c r="AI288" s="134"/>
      <c r="AJ288" s="129">
        <f t="shared" si="569"/>
        <v>34792.020395730913</v>
      </c>
      <c r="AK288" s="134">
        <f t="shared" si="570"/>
        <v>0.11607960328042811</v>
      </c>
      <c r="AL288" s="129"/>
      <c r="AM288" s="129"/>
      <c r="AN288" s="129"/>
      <c r="AO288" s="129"/>
      <c r="AP288" s="133">
        <f t="shared" si="571"/>
        <v>252.96296584021079</v>
      </c>
      <c r="AQ288" s="134">
        <f>+BB288/Outputs!$B$16</f>
        <v>3.9148492813767533E-3</v>
      </c>
      <c r="AR288" s="93">
        <f t="shared" si="560"/>
        <v>0.29401699464419023</v>
      </c>
      <c r="AS288" s="93">
        <f t="shared" si="561"/>
        <v>0.42579152304446716</v>
      </c>
      <c r="AT288" s="93">
        <f t="shared" si="562"/>
        <v>0.28019148231134267</v>
      </c>
      <c r="AU288" s="93">
        <f t="shared" ca="1" si="565"/>
        <v>6.8855605884250201E-2</v>
      </c>
      <c r="AV288" s="132">
        <f t="shared" ref="AV288:AV301" ca="1" si="574">+AV287*EXP(AU288)</f>
        <v>92.640038613655449</v>
      </c>
      <c r="AW288" s="134">
        <f t="shared" ref="AW288:AW301" ca="1" si="575">LN(AV288/AV287)</f>
        <v>6.8855605884250104E-2</v>
      </c>
      <c r="AX288" s="56">
        <f>+AJ288/$AL$13</f>
        <v>4.3007826053977575E-3</v>
      </c>
      <c r="AY288" s="135">
        <f t="shared" ca="1" si="573"/>
        <v>2.9613299207110631E-4</v>
      </c>
      <c r="AZ288" s="93"/>
      <c r="BA288" s="93"/>
      <c r="BB288" s="234">
        <f>IFERROR(INDEX('Total Customers'!$E$7:$AA$91,MATCH($C288,'Total Customers'!$C$7:$C$91,0),MATCH($G288,'Total Customers'!$E$5:$AA$5,0)),"NA")</f>
        <v>137538</v>
      </c>
      <c r="BC288" s="411">
        <f t="shared" si="524"/>
        <v>-8.3914551092666261E-3</v>
      </c>
      <c r="BD288" s="92"/>
      <c r="BE288" s="281" t="str">
        <f t="shared" si="518"/>
        <v>COLUMBIA GAS OF KENTUCKY, INCORPORATED</v>
      </c>
      <c r="BF288" s="290">
        <f t="shared" si="519"/>
        <v>4059355</v>
      </c>
      <c r="BG288" s="46" t="str">
        <f t="shared" si="520"/>
        <v>OH</v>
      </c>
      <c r="BH288" s="46"/>
      <c r="BI288" s="46" t="str">
        <f t="shared" si="521"/>
        <v>2008 Y</v>
      </c>
      <c r="BJ288" s="129"/>
      <c r="BK288" s="129"/>
      <c r="BL288" s="129">
        <f>INDEX('Dist. Plant Gas Additions'!$E$7:$AD$91,MATCH($C288,'Dist. Plant Gas Additions'!$C$7:$C$91,0),MATCH(Calculation!$G288,'Dist. Plant Gas Additions'!$E$5:$AD$5,0))</f>
        <v>12674</v>
      </c>
      <c r="BM288" s="129">
        <f>INDEX('Gen. Plant Additions'!$E$7:$AD$91,MATCH($C288,'Gen. Plant Additions'!$C$7:$C$91,0),MATCH(Calculation!$G288,'Gen. Plant Additions'!$E$5:$AD$5,0))</f>
        <v>254</v>
      </c>
      <c r="BN288" s="393">
        <f t="shared" si="538"/>
        <v>0.98272984624493498</v>
      </c>
      <c r="BO288" s="46">
        <f t="shared" si="535"/>
        <v>249.61338094621348</v>
      </c>
      <c r="BP288" s="46">
        <f t="shared" si="536"/>
        <v>-4.386619053786518</v>
      </c>
      <c r="BQ288" s="129">
        <f>INDEX('Dist Plant Depreciation'!$D$7:$AC$94,MATCH($C288,'Dist Plant Depreciation'!$C$7:$C$94,0),MATCH(Calculation!$G288,'Dist Plant Depreciation'!$D$5:$AC$5,0))</f>
        <v>115070</v>
      </c>
      <c r="BR288" s="129">
        <f>INDEX('Gen. Plant Depreciation'!$D$7:$AC$94,MATCH($C288,'Gen. Plant Depreciation'!$C$7:$C$94,0),MATCH(Calculation!$G288,'Gen. Plant Depreciation'!$D$5:$AC$5,0))</f>
        <v>804</v>
      </c>
      <c r="BS288" s="129"/>
      <c r="BT288" s="129"/>
      <c r="BU288" s="129"/>
      <c r="BV288" s="129"/>
      <c r="BW288" s="129"/>
      <c r="BX288" s="129"/>
      <c r="BY288" s="129">
        <f>INDEX('Gross Dx Plant'!$D$7:$AC$91,MATCH($C288,'Gross Dx Plant'!$C$7:$C$91,0),MATCH(Calculation!$G288,'Gross Dx Plant'!$D$5:$AC$5,0))</f>
        <v>265568</v>
      </c>
      <c r="BZ288" s="129">
        <f>INDEX('Gross Gen Plant'!$D$7:$AC$91,MATCH($C288,'Gross Gen Plant'!$C$7:$C$91,0),MATCH(Calculation!$G288,'Gross Gen Plant'!$D$5:$AC$5,0))</f>
        <v>4667</v>
      </c>
      <c r="CA288" s="129">
        <f t="shared" si="551"/>
        <v>154361</v>
      </c>
      <c r="CB288" s="129"/>
      <c r="CC288" s="133">
        <v>2008</v>
      </c>
      <c r="CD288" s="129"/>
      <c r="CE288" s="129"/>
      <c r="CF288" s="129"/>
      <c r="CG288" s="137"/>
      <c r="CH288" s="129">
        <f t="shared" si="539"/>
        <v>12928</v>
      </c>
      <c r="CI288" s="46">
        <f t="shared" si="548"/>
        <v>12923.613380946214</v>
      </c>
      <c r="CJ288" s="46">
        <f t="shared" si="540"/>
        <v>22.677732315634483</v>
      </c>
      <c r="CK288" s="443">
        <v>0.89130434782608692</v>
      </c>
      <c r="CL288" s="46">
        <f>+CL278*CK288+CJ279*CK287+CJ280*CK286+CJ281*CK285+CJ282*CK284+CJ283*CK283+CJ284*CK282+CJ285*CK281+CJ286*CK280+CJ287*CK279+CJ288</f>
        <v>706.79445445472516</v>
      </c>
      <c r="CM288" s="134">
        <f t="shared" si="541"/>
        <v>1.9845382678263111E-2</v>
      </c>
      <c r="CN288" s="135">
        <f t="shared" si="542"/>
        <v>1.2684823024937857E-2</v>
      </c>
      <c r="CO288" s="135">
        <f t="shared" si="552"/>
        <v>1.2346773990311553E-2</v>
      </c>
      <c r="CP288" s="134">
        <f>VLOOKUP($H288,RoR!$E:$F,2,FALSE)</f>
        <v>5.6316666666666668E-2</v>
      </c>
      <c r="CQ288" s="135">
        <v>1.9092304698479889E-2</v>
      </c>
      <c r="CR288" s="135">
        <f t="shared" si="549"/>
        <v>3.7224361968186778E-2</v>
      </c>
      <c r="CS288" s="135">
        <f t="shared" si="553"/>
        <v>1.8555167618222072E-2</v>
      </c>
      <c r="CT288" s="135">
        <f t="shared" si="554"/>
        <v>6.9030581091053131E-2</v>
      </c>
      <c r="CU288" s="139">
        <f t="shared" si="543"/>
        <v>0.87050000000000005</v>
      </c>
      <c r="CV288" s="335">
        <f t="shared" si="544"/>
        <v>0.91060168006009956</v>
      </c>
      <c r="CW288" s="335">
        <f t="shared" si="545"/>
        <v>0.53108168097070152</v>
      </c>
      <c r="CX288" s="335">
        <f t="shared" si="546"/>
        <v>0.88825329850328805</v>
      </c>
      <c r="CY288" s="335">
        <f t="shared" si="547"/>
        <v>0.4295627335323573</v>
      </c>
      <c r="CZ288" s="336">
        <f>INDEX('State Tax Lookup'!$D$7:$Z$91,MATCH(Calculation!$C288,'State Tax Lookup'!$B$7:$B$91,0),MATCH($H288,'State Tax Lookup'!$D$6:$Z$6,0))</f>
        <v>0.35</v>
      </c>
      <c r="DA288" s="303">
        <v>0.37</v>
      </c>
      <c r="DB288" s="57">
        <f t="shared" si="550"/>
        <v>14.068901365533412</v>
      </c>
      <c r="DC288" s="56">
        <f t="shared" si="555"/>
        <v>0.11716381525347383</v>
      </c>
      <c r="DD288" s="303">
        <f>VLOOKUP($H288,RoR!$E:$F,2,FALSE)</f>
        <v>5.6316666666666668E-2</v>
      </c>
      <c r="DE288" s="304">
        <f>HLOOKUP($H288,'GDP-PI'!$D$8:$CQ$11,3,FALSE)</f>
        <v>1.9092304698479889E-2</v>
      </c>
      <c r="DF288" s="303">
        <f>VLOOKUP(H288,'HW Dx Data'!$E:$F,2,FALSE)</f>
        <v>569.88120333515076</v>
      </c>
      <c r="DG288" s="89">
        <f ca="1">VLOOKUP(CC288,'ECI - Input Price'!M$13:N$33,2,FALSE)</f>
        <v>107.9</v>
      </c>
      <c r="DH288" s="89"/>
      <c r="DI288" s="89"/>
      <c r="DJ288" s="56">
        <f t="shared" ca="1" si="563"/>
        <v>3.1778595021460486E-2</v>
      </c>
      <c r="DK288" s="53">
        <f>HLOOKUP(H288,'GDP-PI'!$8:$9,2,FALSE)</f>
        <v>94.263999999999996</v>
      </c>
      <c r="DL288" s="355">
        <f t="shared" si="556"/>
        <v>1.8912333748032254E-2</v>
      </c>
      <c r="EC288"/>
    </row>
    <row r="289" spans="1:133" s="126" customFormat="1" ht="21" customHeight="1" x14ac:dyDescent="0.4">
      <c r="A289" s="233" t="s">
        <v>198</v>
      </c>
      <c r="B289" s="127" t="s">
        <v>198</v>
      </c>
      <c r="C289" s="127">
        <v>4059355</v>
      </c>
      <c r="D289" s="127" t="s">
        <v>199</v>
      </c>
      <c r="E289" s="127"/>
      <c r="F289" s="127"/>
      <c r="G289" s="127" t="s">
        <v>165</v>
      </c>
      <c r="H289" s="128">
        <v>2009</v>
      </c>
      <c r="I289" s="129"/>
      <c r="J289" s="125">
        <f>IFERROR(INDEX('Labor Expenditures'!$E$7:$W$91,MATCH($C289,'Labor Expenditures'!$C$7:$C$91,0),MATCH($G289,'Labor Expenditures'!$E$5:$W$5,0)),"NA")</f>
        <v>11701.246745093305</v>
      </c>
      <c r="K289" s="125">
        <f t="shared" ca="1" si="557"/>
        <v>105.48791296004784</v>
      </c>
      <c r="L289" s="47"/>
      <c r="M289" s="131">
        <f t="shared" ca="1" si="564"/>
        <v>0.10677561742319315</v>
      </c>
      <c r="N289" s="131"/>
      <c r="O289" s="131"/>
      <c r="P289" s="59">
        <f t="shared" ca="1" si="566"/>
        <v>4.8090158576116028E-4</v>
      </c>
      <c r="Q289" s="61"/>
      <c r="R289" s="387"/>
      <c r="S289" s="49">
        <f t="shared" ca="1" si="572"/>
        <v>117.97328156620949</v>
      </c>
      <c r="T289" s="61">
        <f ca="1">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</f>
        <v>7.5012567524804619E-2</v>
      </c>
      <c r="U289" s="61"/>
      <c r="V289" s="125">
        <f>IFERROR(INDEX('Non-Labor Expenditures'!$E$7:$AA$91,MATCH($C289,'Non-Labor Expenditures'!$C$7:$C$91,0),MATCH($G289,'Non-Labor Expenditures'!$E$5:$AA$5,0)),"NA")</f>
        <v>16945.590778321508</v>
      </c>
      <c r="W289" s="125">
        <f t="shared" si="558"/>
        <v>178.37651741935713</v>
      </c>
      <c r="X289" s="131">
        <f t="shared" si="567"/>
        <v>0.12665803360576786</v>
      </c>
      <c r="Y289" s="131">
        <f t="shared" si="568"/>
        <v>5.7044904707967143E-4</v>
      </c>
      <c r="Z289" s="131"/>
      <c r="AA289" s="131"/>
      <c r="AB289" s="131"/>
      <c r="AC289" s="125">
        <f t="shared" si="537"/>
        <v>9441.446980622748</v>
      </c>
      <c r="AD289" s="129"/>
      <c r="AE289" s="133">
        <v>758.94332103195632</v>
      </c>
      <c r="AF289" s="134">
        <v>2.4311947931581319E-2</v>
      </c>
      <c r="AG289" s="59">
        <f t="shared" si="559"/>
        <v>1.0949741706387574E-4</v>
      </c>
      <c r="AH289" s="134"/>
      <c r="AI289" s="134"/>
      <c r="AJ289" s="129">
        <f t="shared" si="569"/>
        <v>38088.284504037561</v>
      </c>
      <c r="AK289" s="134">
        <f t="shared" si="570"/>
        <v>9.0518680000389345E-2</v>
      </c>
      <c r="AL289" s="129"/>
      <c r="AM289" s="129"/>
      <c r="AN289" s="129"/>
      <c r="AO289" s="129"/>
      <c r="AP289" s="133">
        <f t="shared" si="571"/>
        <v>280.87669705422041</v>
      </c>
      <c r="AQ289" s="134">
        <f>+BB289/Outputs!$B$17</f>
        <v>3.8549084166092668E-3</v>
      </c>
      <c r="AR289" s="93">
        <f t="shared" si="560"/>
        <v>0.307213803337688</v>
      </c>
      <c r="AS289" s="93">
        <f t="shared" si="561"/>
        <v>0.44490296685651948</v>
      </c>
      <c r="AT289" s="93">
        <f t="shared" si="562"/>
        <v>0.2478832298057925</v>
      </c>
      <c r="AU289" s="93">
        <f t="shared" ca="1" si="565"/>
        <v>9.3657883267783418E-2</v>
      </c>
      <c r="AV289" s="132">
        <f t="shared" ca="1" si="574"/>
        <v>101.73580580528832</v>
      </c>
      <c r="AW289" s="134">
        <f t="shared" ca="1" si="575"/>
        <v>9.3657883267783501E-2</v>
      </c>
      <c r="AX289" s="56">
        <f>+AJ289/$AL$14</f>
        <v>4.5038520719122696E-3</v>
      </c>
      <c r="AY289" s="135">
        <f t="shared" ca="1" si="573"/>
        <v>4.218212516065242E-4</v>
      </c>
      <c r="AZ289" s="93"/>
      <c r="BA289" s="93"/>
      <c r="BB289" s="234">
        <f>IFERROR(INDEX('Total Customers'!$E$7:$AA$91,MATCH($C289,'Total Customers'!$C$7:$C$91,0),MATCH($G289,'Total Customers'!$E$5:$AA$5,0)),"NA")</f>
        <v>135605</v>
      </c>
      <c r="BC289" s="411">
        <f t="shared" si="524"/>
        <v>-1.4153994578755096E-2</v>
      </c>
      <c r="BD289" s="92"/>
      <c r="BE289" s="281" t="str">
        <f t="shared" si="518"/>
        <v>COLUMBIA GAS OF KENTUCKY, INCORPORATED</v>
      </c>
      <c r="BF289" s="290">
        <f t="shared" si="519"/>
        <v>4059355</v>
      </c>
      <c r="BG289" s="46" t="str">
        <f t="shared" si="520"/>
        <v>OH</v>
      </c>
      <c r="BH289" s="46"/>
      <c r="BI289" s="46" t="str">
        <f t="shared" si="521"/>
        <v>2009 Y</v>
      </c>
      <c r="BJ289" s="129"/>
      <c r="BK289" s="129"/>
      <c r="BL289" s="129">
        <f>INDEX('Dist. Plant Gas Additions'!$E$7:$AD$91,MATCH($C289,'Dist. Plant Gas Additions'!$C$7:$C$91,0),MATCH(Calculation!$G289,'Dist. Plant Gas Additions'!$E$5:$AD$5,0))</f>
        <v>12789</v>
      </c>
      <c r="BM289" s="129">
        <f>INDEX('Gen. Plant Additions'!$E$7:$AD$91,MATCH($C289,'Gen. Plant Additions'!$C$7:$C$91,0),MATCH(Calculation!$G289,'Gen. Plant Additions'!$E$5:$AD$5,0))</f>
        <v>65</v>
      </c>
      <c r="BN289" s="393">
        <f t="shared" si="538"/>
        <v>0.98414394835702568</v>
      </c>
      <c r="BO289" s="46">
        <f t="shared" si="535"/>
        <v>63.969356643206666</v>
      </c>
      <c r="BP289" s="46">
        <f t="shared" si="536"/>
        <v>-1.030643356793334</v>
      </c>
      <c r="BQ289" s="129">
        <f>INDEX('Dist Plant Depreciation'!$D$7:$AC$94,MATCH($C289,'Dist Plant Depreciation'!$C$7:$C$94,0),MATCH(Calculation!$G289,'Dist Plant Depreciation'!$D$5:$AC$5,0))</f>
        <v>116859</v>
      </c>
      <c r="BR289" s="129">
        <f>INDEX('Gen. Plant Depreciation'!$D$7:$AC$94,MATCH($C289,'Gen. Plant Depreciation'!$C$7:$C$94,0),MATCH(Calculation!$G289,'Gen. Plant Depreciation'!$D$5:$AC$5,0))</f>
        <v>858</v>
      </c>
      <c r="BS289" s="129"/>
      <c r="BT289" s="129"/>
      <c r="BU289" s="129"/>
      <c r="BV289" s="129"/>
      <c r="BW289" s="129"/>
      <c r="BX289" s="129"/>
      <c r="BY289" s="129">
        <f>INDEX('Gross Dx Plant'!$D$7:$AC$91,MATCH($C289,'Gross Dx Plant'!$C$7:$C$91,0),MATCH(Calculation!$G289,'Gross Dx Plant'!$D$5:$AC$5,0))</f>
        <v>275331</v>
      </c>
      <c r="BZ289" s="129">
        <f>INDEX('Gross Gen Plant'!$D$7:$AC$91,MATCH($C289,'Gross Gen Plant'!$C$7:$C$91,0),MATCH(Calculation!$G289,'Gross Gen Plant'!$D$5:$AC$5,0))</f>
        <v>4436</v>
      </c>
      <c r="CA289" s="129">
        <f t="shared" si="551"/>
        <v>162050</v>
      </c>
      <c r="CB289" s="129"/>
      <c r="CC289" s="133">
        <v>2009</v>
      </c>
      <c r="CD289" s="129"/>
      <c r="CE289" s="129"/>
      <c r="CF289" s="129"/>
      <c r="CG289" s="137"/>
      <c r="CH289" s="129">
        <f t="shared" si="539"/>
        <v>12854</v>
      </c>
      <c r="CI289" s="46">
        <f t="shared" si="548"/>
        <v>12852.969356643207</v>
      </c>
      <c r="CJ289" s="46">
        <f t="shared" si="540"/>
        <v>23.329136567903412</v>
      </c>
      <c r="CK289" s="443">
        <v>0.87912087912087911</v>
      </c>
      <c r="CL289" s="46">
        <f>+CL278*CK289+CJ279*CK288+CJ280*CK287+CJ281*CK286+CJ282*CK285+CJ283*CK284+CJ284*CK283+CJ285*CK282+CJ286*CK281+CJ287*CK280+CJ288*CK279+CJ289</f>
        <v>720.91871911880651</v>
      </c>
      <c r="CM289" s="134">
        <f t="shared" si="541"/>
        <v>1.9786502966228022E-2</v>
      </c>
      <c r="CN289" s="135">
        <f t="shared" si="542"/>
        <v>1.3023407082223637E-2</v>
      </c>
      <c r="CO289" s="135">
        <f t="shared" si="552"/>
        <v>1.268184024185888E-2</v>
      </c>
      <c r="CP289" s="134">
        <f>VLOOKUP($H289,RoR!$E:$F,2,FALSE)</f>
        <v>5.3133333333333324E-2</v>
      </c>
      <c r="CQ289" s="135">
        <v>7.7972502758210105E-3</v>
      </c>
      <c r="CR289" s="135">
        <f t="shared" si="549"/>
        <v>4.5336083057512314E-2</v>
      </c>
      <c r="CS289" s="135">
        <f t="shared" si="553"/>
        <v>1.8220101366674745E-2</v>
      </c>
      <c r="CT289" s="135">
        <f t="shared" si="554"/>
        <v>6.3720160300892073E-2</v>
      </c>
      <c r="CU289" s="139">
        <f t="shared" si="543"/>
        <v>0.87050000000000005</v>
      </c>
      <c r="CV289" s="335">
        <f t="shared" si="544"/>
        <v>0.96515780330083989</v>
      </c>
      <c r="CW289" s="335">
        <f t="shared" si="545"/>
        <v>0.50448557089084056</v>
      </c>
      <c r="CX289" s="335">
        <f t="shared" si="546"/>
        <v>0.87391435735465484</v>
      </c>
      <c r="CY289" s="335">
        <f t="shared" si="547"/>
        <v>0.42551605393279146</v>
      </c>
      <c r="CZ289" s="336">
        <f>INDEX('State Tax Lookup'!$D$7:$Z$91,MATCH(Calculation!$C289,'State Tax Lookup'!$B$7:$B$91,0),MATCH($H289,'State Tax Lookup'!$D$6:$Z$6,0))</f>
        <v>0.35</v>
      </c>
      <c r="DA289" s="303">
        <v>0.37</v>
      </c>
      <c r="DB289" s="57">
        <f t="shared" si="550"/>
        <v>13.358122607097414</v>
      </c>
      <c r="DC289" s="56">
        <f t="shared" si="555"/>
        <v>-5.1842149791213071E-2</v>
      </c>
      <c r="DD289" s="303">
        <f>VLOOKUP($H289,RoR!$E:$F,2,FALSE)</f>
        <v>5.3133333333333324E-2</v>
      </c>
      <c r="DE289" s="304">
        <f>HLOOKUP($H289,'GDP-PI'!$D$8:$CQ$11,3,FALSE)</f>
        <v>7.7972502758210105E-3</v>
      </c>
      <c r="DF289" s="303">
        <f>VLOOKUP(H289,'HW Dx Data'!$E:$F,2,FALSE)</f>
        <v>550.94063679692806</v>
      </c>
      <c r="DG289" s="89">
        <f ca="1">VLOOKUP(CC289,'ECI - Input Price'!M$13:N$33,2,FALSE)</f>
        <v>110.925</v>
      </c>
      <c r="DH289" s="89"/>
      <c r="DI289" s="89"/>
      <c r="DJ289" s="56">
        <f t="shared" ca="1" si="563"/>
        <v>2.7649425000884052E-2</v>
      </c>
      <c r="DK289" s="53">
        <f>HLOOKUP(H289,'GDP-PI'!$8:$9,2,FALSE)</f>
        <v>94.998999999999995</v>
      </c>
      <c r="DL289" s="355">
        <f t="shared" si="556"/>
        <v>7.7670088183096342E-3</v>
      </c>
      <c r="EC289"/>
    </row>
    <row r="290" spans="1:133" s="126" customFormat="1" ht="21" customHeight="1" x14ac:dyDescent="0.4">
      <c r="A290" s="233" t="s">
        <v>198</v>
      </c>
      <c r="B290" s="127" t="s">
        <v>198</v>
      </c>
      <c r="C290" s="127">
        <v>4059355</v>
      </c>
      <c r="D290" s="127" t="s">
        <v>199</v>
      </c>
      <c r="E290" s="127"/>
      <c r="F290" s="127"/>
      <c r="G290" s="127" t="s">
        <v>166</v>
      </c>
      <c r="H290" s="128">
        <v>2010</v>
      </c>
      <c r="I290" s="129"/>
      <c r="J290" s="125">
        <f>IFERROR(INDEX('Labor Expenditures'!$E$7:$W$91,MATCH($C290,'Labor Expenditures'!$C$7:$C$91,0),MATCH($G290,'Labor Expenditures'!$E$5:$W$5,0)),"NA")</f>
        <v>12082.387581424464</v>
      </c>
      <c r="K290" s="125">
        <f t="shared" ca="1" si="557"/>
        <v>103.33450999721586</v>
      </c>
      <c r="L290" s="47"/>
      <c r="M290" s="131">
        <f t="shared" ca="1" si="564"/>
        <v>-2.0624981437427053E-2</v>
      </c>
      <c r="N290" s="131"/>
      <c r="O290" s="131"/>
      <c r="P290" s="59">
        <f t="shared" ca="1" si="566"/>
        <v>-9.3108171715504721E-5</v>
      </c>
      <c r="Q290" s="61"/>
      <c r="R290" s="387"/>
      <c r="S290" s="49">
        <f t="shared" ca="1" si="572"/>
        <v>97.278875601544755</v>
      </c>
      <c r="T290" s="61">
        <f ca="1">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</f>
        <v>-0.19287631164332539</v>
      </c>
      <c r="U290" s="61"/>
      <c r="V290" s="125">
        <f>IFERROR(INDEX('Non-Labor Expenditures'!$E$7:$AA$91,MATCH($C290,'Non-Labor Expenditures'!$C$7:$C$91,0),MATCH($G290,'Non-Labor Expenditures'!$E$5:$AA$5,0)),"NA")</f>
        <v>17497.553896617708</v>
      </c>
      <c r="W290" s="125">
        <f t="shared" si="558"/>
        <v>182.05947306306078</v>
      </c>
      <c r="X290" s="131">
        <f t="shared" si="567"/>
        <v>2.0436826102399025E-2</v>
      </c>
      <c r="Y290" s="131">
        <f t="shared" si="568"/>
        <v>9.225877462411207E-5</v>
      </c>
      <c r="Z290" s="131"/>
      <c r="AA290" s="131"/>
      <c r="AB290" s="131"/>
      <c r="AC290" s="125">
        <f t="shared" si="537"/>
        <v>9774.0309250351256</v>
      </c>
      <c r="AD290" s="129"/>
      <c r="AE290" s="133">
        <v>768.82979858605574</v>
      </c>
      <c r="AF290" s="134">
        <v>1.294251801231161E-2</v>
      </c>
      <c r="AG290" s="59">
        <f t="shared" si="559"/>
        <v>5.8426922379409986E-5</v>
      </c>
      <c r="AH290" s="134"/>
      <c r="AI290" s="134"/>
      <c r="AJ290" s="129">
        <f t="shared" si="569"/>
        <v>39353.9724030773</v>
      </c>
      <c r="AK290" s="134">
        <f t="shared" si="570"/>
        <v>3.2690178776641668E-2</v>
      </c>
      <c r="AL290" s="129"/>
      <c r="AM290" s="129"/>
      <c r="AN290" s="129"/>
      <c r="AO290" s="129"/>
      <c r="AP290" s="133">
        <f t="shared" si="571"/>
        <v>291.7940549946785</v>
      </c>
      <c r="AQ290" s="134">
        <f>+BB290/Outputs!$B$18</f>
        <v>3.8130084744013686E-3</v>
      </c>
      <c r="AR290" s="93">
        <f t="shared" si="560"/>
        <v>0.30701824602793282</v>
      </c>
      <c r="AS290" s="93">
        <f t="shared" si="561"/>
        <v>0.4446197633469266</v>
      </c>
      <c r="AT290" s="93">
        <f t="shared" si="562"/>
        <v>0.24836199062514058</v>
      </c>
      <c r="AU290" s="93">
        <f t="shared" ca="1" si="565"/>
        <v>5.9665797194056111E-3</v>
      </c>
      <c r="AV290" s="132">
        <f t="shared" ca="1" si="574"/>
        <v>102.34463510903544</v>
      </c>
      <c r="AW290" s="134">
        <f t="shared" ca="1" si="575"/>
        <v>5.9665797194055938E-3</v>
      </c>
      <c r="AX290" s="56">
        <f>+AJ290/$AL$15</f>
        <v>4.5143396612491631E-3</v>
      </c>
      <c r="AY290" s="135">
        <f t="shared" ca="1" si="573"/>
        <v>2.6935167469317574E-5</v>
      </c>
      <c r="AZ290" s="93"/>
      <c r="BA290" s="93"/>
      <c r="BB290" s="234">
        <f>IFERROR(INDEX('Total Customers'!$E$7:$AA$91,MATCH($C290,'Total Customers'!$C$7:$C$91,0),MATCH($G290,'Total Customers'!$E$5:$AA$5,0)),"NA")</f>
        <v>134869</v>
      </c>
      <c r="BC290" s="411">
        <f t="shared" si="524"/>
        <v>-5.4423110289027604E-3</v>
      </c>
      <c r="BD290" s="92"/>
      <c r="BE290" s="281" t="str">
        <f t="shared" si="518"/>
        <v>COLUMBIA GAS OF KENTUCKY, INCORPORATED</v>
      </c>
      <c r="BF290" s="290">
        <f t="shared" si="519"/>
        <v>4059355</v>
      </c>
      <c r="BG290" s="46" t="str">
        <f t="shared" si="520"/>
        <v>OH</v>
      </c>
      <c r="BH290" s="46"/>
      <c r="BI290" s="46" t="str">
        <f t="shared" si="521"/>
        <v>2010 Y</v>
      </c>
      <c r="BJ290" s="129"/>
      <c r="BK290" s="129"/>
      <c r="BL290" s="129">
        <f>INDEX('Dist. Plant Gas Additions'!$E$7:$AD$91,MATCH($C290,'Dist. Plant Gas Additions'!$C$7:$C$91,0),MATCH(Calculation!$G290,'Dist. Plant Gas Additions'!$E$5:$AD$5,0))</f>
        <v>8574</v>
      </c>
      <c r="BM290" s="129">
        <f>INDEX('Gen. Plant Additions'!$E$7:$AD$91,MATCH($C290,'Gen. Plant Additions'!$C$7:$C$91,0),MATCH(Calculation!$G290,'Gen. Plant Additions'!$E$5:$AD$5,0))</f>
        <v>122</v>
      </c>
      <c r="BN290" s="393">
        <f t="shared" si="538"/>
        <v>0.98441307102181752</v>
      </c>
      <c r="BO290" s="46">
        <f t="shared" si="535"/>
        <v>120.09839466466174</v>
      </c>
      <c r="BP290" s="46">
        <f t="shared" si="536"/>
        <v>-1.9016053353382603</v>
      </c>
      <c r="BQ290" s="129">
        <f>INDEX('Dist Plant Depreciation'!$D$7:$AC$94,MATCH($C290,'Dist Plant Depreciation'!$C$7:$C$94,0),MATCH(Calculation!$G290,'Dist Plant Depreciation'!$D$5:$AC$5,0))</f>
        <v>120907</v>
      </c>
      <c r="BR290" s="129">
        <f>INDEX('Gen. Plant Depreciation'!$D$7:$AC$94,MATCH($C290,'Gen. Plant Depreciation'!$C$7:$C$94,0),MATCH(Calculation!$G290,'Gen. Plant Depreciation'!$D$5:$AC$5,0))</f>
        <v>907</v>
      </c>
      <c r="BS290" s="129"/>
      <c r="BT290" s="129"/>
      <c r="BU290" s="129"/>
      <c r="BV290" s="129"/>
      <c r="BW290" s="129"/>
      <c r="BX290" s="129"/>
      <c r="BY290" s="129">
        <f>INDEX('Gross Dx Plant'!$D$7:$AC$91,MATCH($C290,'Gross Dx Plant'!$C$7:$C$91,0),MATCH(Calculation!$G290,'Gross Dx Plant'!$D$5:$AC$5,0))</f>
        <v>282814</v>
      </c>
      <c r="BZ290" s="129">
        <f>INDEX('Gross Gen Plant'!$D$7:$AC$91,MATCH($C290,'Gross Gen Plant'!$C$7:$C$91,0),MATCH(Calculation!$G290,'Gross Gen Plant'!$D$5:$AC$5,0))</f>
        <v>4478</v>
      </c>
      <c r="CA290" s="129">
        <f t="shared" si="551"/>
        <v>165478</v>
      </c>
      <c r="CB290" s="129"/>
      <c r="CC290" s="133">
        <v>2010</v>
      </c>
      <c r="CD290" s="129"/>
      <c r="CE290" s="129"/>
      <c r="CF290" s="129"/>
      <c r="CG290" s="137"/>
      <c r="CH290" s="129">
        <f t="shared" si="539"/>
        <v>8696</v>
      </c>
      <c r="CI290" s="46">
        <f t="shared" si="548"/>
        <v>8694.0983946646611</v>
      </c>
      <c r="CJ290" s="46">
        <f t="shared" si="540"/>
        <v>15.279892431201036</v>
      </c>
      <c r="CK290" s="443">
        <v>0.8666666666666667</v>
      </c>
      <c r="CL290" s="46">
        <f>+CL278*CK290+CJ279*CK289+CJ280*CK288+CJ281*CK287+CJ282*CK286+CJ283*CK285+CJ284*CK284+CJ285*CK283+CJ286*CK282+CJ287*CK281+CJ288*CK280+CJ289*CK279+CJ290</f>
        <v>726.56102434780405</v>
      </c>
      <c r="CM290" s="134">
        <f t="shared" si="541"/>
        <v>7.7960798169041633E-3</v>
      </c>
      <c r="CN290" s="135">
        <f t="shared" si="542"/>
        <v>1.3368479617208041E-2</v>
      </c>
      <c r="CO290" s="135">
        <f t="shared" si="552"/>
        <v>1.3025569908123176E-2</v>
      </c>
      <c r="CP290" s="134">
        <f>VLOOKUP($H290,RoR!$E:$F,2,FALSE)</f>
        <v>4.9433333333333322E-2</v>
      </c>
      <c r="CQ290" s="135">
        <v>1.1684333519300205E-2</v>
      </c>
      <c r="CR290" s="135">
        <f t="shared" si="549"/>
        <v>3.7748999814033117E-2</v>
      </c>
      <c r="CS290" s="135">
        <f t="shared" si="553"/>
        <v>1.7876371700410447E-2</v>
      </c>
      <c r="CT290" s="135">
        <f t="shared" si="554"/>
        <v>4.7937530248493419E-2</v>
      </c>
      <c r="CU290" s="139">
        <f t="shared" si="543"/>
        <v>0.87050000000000005</v>
      </c>
      <c r="CV290" s="335">
        <f t="shared" si="544"/>
        <v>1.037398205301105</v>
      </c>
      <c r="CW290" s="335">
        <f t="shared" si="545"/>
        <v>0.46926837491571133</v>
      </c>
      <c r="CX290" s="335">
        <f t="shared" si="546"/>
        <v>0.8548537519972772</v>
      </c>
      <c r="CY290" s="335">
        <f t="shared" si="547"/>
        <v>0.41615833911547367</v>
      </c>
      <c r="CZ290" s="336">
        <f>INDEX('State Tax Lookup'!$D$7:$Z$91,MATCH(Calculation!$C290,'State Tax Lookup'!$B$7:$B$91,0),MATCH($H290,'State Tax Lookup'!$D$6:$Z$6,0))</f>
        <v>0.35</v>
      </c>
      <c r="DA290" s="303">
        <v>0.37</v>
      </c>
      <c r="DB290" s="57">
        <f t="shared" si="550"/>
        <v>13.557743287595752</v>
      </c>
      <c r="DC290" s="56">
        <f t="shared" si="555"/>
        <v>1.4833209630293772E-2</v>
      </c>
      <c r="DD290" s="303">
        <f>VLOOKUP($H290,RoR!$E:$F,2,FALSE)</f>
        <v>4.9433333333333322E-2</v>
      </c>
      <c r="DE290" s="304">
        <f>HLOOKUP($H290,'GDP-PI'!$D$8:$CQ$11,3,FALSE)</f>
        <v>1.1684333519300205E-2</v>
      </c>
      <c r="DF290" s="303">
        <f>VLOOKUP(H290,'HW Dx Data'!$E:$F,2,FALSE)</f>
        <v>568.98950262971744</v>
      </c>
      <c r="DG290" s="89">
        <f ca="1">VLOOKUP(CC290,'ECI - Input Price'!M$13:N$33,2,FALSE)</f>
        <v>116.925</v>
      </c>
      <c r="DH290" s="89"/>
      <c r="DI290" s="89"/>
      <c r="DJ290" s="56">
        <f t="shared" ca="1" si="563"/>
        <v>5.2678406346976722E-2</v>
      </c>
      <c r="DK290" s="53">
        <f>HLOOKUP(H290,'GDP-PI'!$8:$9,2,FALSE)</f>
        <v>96.108999999999995</v>
      </c>
      <c r="DL290" s="355">
        <f t="shared" si="556"/>
        <v>1.1616598807150427E-2</v>
      </c>
      <c r="EC290"/>
    </row>
    <row r="291" spans="1:133" s="126" customFormat="1" ht="21" customHeight="1" x14ac:dyDescent="0.4">
      <c r="A291" s="233" t="s">
        <v>198</v>
      </c>
      <c r="B291" s="127" t="s">
        <v>198</v>
      </c>
      <c r="C291" s="127">
        <v>4059355</v>
      </c>
      <c r="D291" s="127" t="s">
        <v>199</v>
      </c>
      <c r="E291" s="127"/>
      <c r="F291" s="127"/>
      <c r="G291" s="127" t="s">
        <v>167</v>
      </c>
      <c r="H291" s="128">
        <v>2011</v>
      </c>
      <c r="I291" s="129"/>
      <c r="J291" s="125">
        <f>IFERROR(INDEX('Labor Expenditures'!$E$7:$W$91,MATCH($C291,'Labor Expenditures'!$C$7:$C$91,0),MATCH($G291,'Labor Expenditures'!$E$5:$W$5,0)),"NA")</f>
        <v>11846.609034720803</v>
      </c>
      <c r="K291" s="125">
        <f t="shared" ca="1" si="557"/>
        <v>98.007106802240358</v>
      </c>
      <c r="L291" s="47"/>
      <c r="M291" s="131">
        <f t="shared" ca="1" si="564"/>
        <v>-5.2931401384632613E-2</v>
      </c>
      <c r="N291" s="131"/>
      <c r="O291" s="131"/>
      <c r="P291" s="59">
        <f t="shared" ca="1" si="566"/>
        <v>-2.2988081901947527E-4</v>
      </c>
      <c r="Q291" s="61"/>
      <c r="R291" s="387"/>
      <c r="S291" s="49">
        <f t="shared" ca="1" si="572"/>
        <v>116.86632448339864</v>
      </c>
      <c r="T291" s="61">
        <f ca="1">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</f>
        <v>0.18344889605591208</v>
      </c>
      <c r="U291" s="61"/>
      <c r="V291" s="125">
        <f>IFERROR(INDEX('Non-Labor Expenditures'!$E$7:$AA$91,MATCH($C291,'Non-Labor Expenditures'!$C$7:$C$91,0),MATCH($G291,'Non-Labor Expenditures'!$E$5:$AA$5,0)),"NA")</f>
        <v>17156.102523632777</v>
      </c>
      <c r="W291" s="125">
        <f t="shared" si="558"/>
        <v>174.86242787460023</v>
      </c>
      <c r="X291" s="131">
        <f t="shared" si="567"/>
        <v>-4.033387043597312E-2</v>
      </c>
      <c r="Y291" s="131">
        <f t="shared" si="568"/>
        <v>-1.7516980332092253E-4</v>
      </c>
      <c r="Z291" s="131"/>
      <c r="AA291" s="131"/>
      <c r="AB291" s="131"/>
      <c r="AC291" s="125">
        <f t="shared" si="537"/>
        <v>10399.901180115996</v>
      </c>
      <c r="AD291" s="129"/>
      <c r="AE291" s="133">
        <v>787.42423049170395</v>
      </c>
      <c r="AF291" s="134">
        <v>2.38975340498375E-2</v>
      </c>
      <c r="AG291" s="59">
        <f t="shared" si="559"/>
        <v>1.037868742601887E-4</v>
      </c>
      <c r="AH291" s="134"/>
      <c r="AI291" s="134"/>
      <c r="AJ291" s="129">
        <f t="shared" si="569"/>
        <v>39402.612738469572</v>
      </c>
      <c r="AK291" s="134">
        <f t="shared" si="570"/>
        <v>1.2352069732127411E-3</v>
      </c>
      <c r="AL291" s="129"/>
      <c r="AM291" s="129"/>
      <c r="AN291" s="129"/>
      <c r="AO291" s="129"/>
      <c r="AP291" s="133">
        <f t="shared" si="571"/>
        <v>293.45368161991757</v>
      </c>
      <c r="AQ291" s="134">
        <f>+BB291/Outputs!$B$19</f>
        <v>3.7778138350220889E-3</v>
      </c>
      <c r="AR291" s="93">
        <f t="shared" si="560"/>
        <v>0.30065541880055879</v>
      </c>
      <c r="AS291" s="93">
        <f t="shared" si="561"/>
        <v>0.43540520110949205</v>
      </c>
      <c r="AT291" s="93">
        <f t="shared" si="562"/>
        <v>0.26393938008994922</v>
      </c>
      <c r="AU291" s="93">
        <f t="shared" ca="1" si="565"/>
        <v>-2.7708546055136174E-2</v>
      </c>
      <c r="AV291" s="132">
        <f t="shared" ca="1" si="574"/>
        <v>99.547741938984174</v>
      </c>
      <c r="AW291" s="134">
        <f t="shared" ca="1" si="575"/>
        <v>-2.7708546055136209E-2</v>
      </c>
      <c r="AX291" s="56">
        <f>+AJ291/$AL$16</f>
        <v>4.3429951409942411E-3</v>
      </c>
      <c r="AY291" s="135">
        <f t="shared" ca="1" si="573"/>
        <v>-1.203380808814717E-4</v>
      </c>
      <c r="AZ291" s="93"/>
      <c r="BA291" s="93"/>
      <c r="BB291" s="234">
        <f>IFERROR(INDEX('Total Customers'!$E$7:$AA$91,MATCH($C291,'Total Customers'!$C$7:$C$91,0),MATCH($G291,'Total Customers'!$E$5:$AA$5,0)),"NA")</f>
        <v>134272</v>
      </c>
      <c r="BC291" s="411">
        <f t="shared" si="524"/>
        <v>-4.436343620159126E-3</v>
      </c>
      <c r="BD291" s="92"/>
      <c r="BE291" s="281" t="str">
        <f t="shared" si="518"/>
        <v>COLUMBIA GAS OF KENTUCKY, INCORPORATED</v>
      </c>
      <c r="BF291" s="290">
        <f t="shared" si="519"/>
        <v>4059355</v>
      </c>
      <c r="BG291" s="46" t="str">
        <f t="shared" si="520"/>
        <v>OH</v>
      </c>
      <c r="BH291" s="46"/>
      <c r="BI291" s="46" t="str">
        <f t="shared" si="521"/>
        <v>2011 Y</v>
      </c>
      <c r="BJ291" s="129"/>
      <c r="BK291" s="129"/>
      <c r="BL291" s="129">
        <f>INDEX('Dist. Plant Gas Additions'!$E$7:$AD$91,MATCH($C291,'Dist. Plant Gas Additions'!$C$7:$C$91,0),MATCH(Calculation!$G291,'Dist. Plant Gas Additions'!$E$5:$AD$5,0))</f>
        <v>14062</v>
      </c>
      <c r="BM291" s="129">
        <f>INDEX('Gen. Plant Additions'!$E$7:$AD$91,MATCH($C291,'Gen. Plant Additions'!$C$7:$C$91,0),MATCH(Calculation!$G291,'Gen. Plant Additions'!$E$5:$AD$5,0))</f>
        <v>775</v>
      </c>
      <c r="BN291" s="393">
        <f t="shared" si="538"/>
        <v>0.98290305067132089</v>
      </c>
      <c r="BO291" s="46">
        <f t="shared" si="535"/>
        <v>761.74986427027363</v>
      </c>
      <c r="BP291" s="46">
        <f t="shared" si="536"/>
        <v>-13.250135729726367</v>
      </c>
      <c r="BQ291" s="129">
        <f>INDEX('Dist Plant Depreciation'!$D$7:$AC$94,MATCH($C291,'Dist Plant Depreciation'!$C$7:$C$94,0),MATCH(Calculation!$G291,'Dist Plant Depreciation'!$D$5:$AC$5,0))</f>
        <v>124253</v>
      </c>
      <c r="BR291" s="129">
        <f>INDEX('Gen. Plant Depreciation'!$D$7:$AC$94,MATCH($C291,'Gen. Plant Depreciation'!$C$7:$C$94,0),MATCH(Calculation!$G291,'Gen. Plant Depreciation'!$D$5:$AC$5,0))</f>
        <v>929</v>
      </c>
      <c r="BS291" s="129"/>
      <c r="BT291" s="129"/>
      <c r="BU291" s="129"/>
      <c r="BV291" s="129"/>
      <c r="BW291" s="129"/>
      <c r="BX291" s="129"/>
      <c r="BY291" s="129">
        <f>INDEX('Gross Dx Plant'!$D$7:$AC$91,MATCH($C291,'Gross Dx Plant'!$C$7:$C$91,0),MATCH(Calculation!$G291,'Gross Dx Plant'!$D$5:$AC$5,0))</f>
        <v>295096</v>
      </c>
      <c r="BZ291" s="129">
        <f>INDEX('Gross Gen Plant'!$D$7:$AC$91,MATCH($C291,'Gross Gen Plant'!$C$7:$C$91,0),MATCH(Calculation!$G291,'Gross Gen Plant'!$D$5:$AC$5,0))</f>
        <v>5133</v>
      </c>
      <c r="CA291" s="129">
        <f t="shared" si="551"/>
        <v>175047</v>
      </c>
      <c r="CB291" s="129"/>
      <c r="CC291" s="133">
        <v>2011</v>
      </c>
      <c r="CD291" s="129"/>
      <c r="CE291" s="129"/>
      <c r="CF291" s="129"/>
      <c r="CG291" s="137"/>
      <c r="CH291" s="129">
        <f t="shared" si="539"/>
        <v>14837</v>
      </c>
      <c r="CI291" s="46">
        <f t="shared" si="548"/>
        <v>14823.749864270274</v>
      </c>
      <c r="CJ291" s="46">
        <f t="shared" si="540"/>
        <v>24.237215377945283</v>
      </c>
      <c r="CK291" s="443">
        <v>0.8539325842696629</v>
      </c>
      <c r="CL291" s="46">
        <f>+CL278*CK291+CJ279*CK290+CJ280*CK289+CJ281*CK288+CJ282*CK287+CJ283*CK286+CJ284*CK285+CJ285*CK284+CJ286*CK283+CJ287*CK282+CJ288*CK281+CJ289*CK280+CJ290*CK279+CJ291</f>
        <v>740.7963024613988</v>
      </c>
      <c r="CM291" s="134">
        <f t="shared" si="541"/>
        <v>1.9403214833163325E-2</v>
      </c>
      <c r="CN291" s="135">
        <f t="shared" si="542"/>
        <v>1.3766135161638701E-2</v>
      </c>
      <c r="CO291" s="135">
        <f t="shared" si="552"/>
        <v>1.3386007287023459E-2</v>
      </c>
      <c r="CP291" s="134">
        <f>VLOOKUP($H291,RoR!$E:$F,2,FALSE)</f>
        <v>4.6391666666666664E-2</v>
      </c>
      <c r="CQ291" s="135">
        <v>2.0840920205183799E-2</v>
      </c>
      <c r="CR291" s="135">
        <f t="shared" si="549"/>
        <v>2.5550746461482865E-2</v>
      </c>
      <c r="CS291" s="135">
        <f t="shared" si="553"/>
        <v>1.7515934321510166E-2</v>
      </c>
      <c r="CT291" s="135">
        <f t="shared" si="554"/>
        <v>2.4810540821321614E-2</v>
      </c>
      <c r="CU291" s="139">
        <f t="shared" si="543"/>
        <v>0.87050000000000005</v>
      </c>
      <c r="CV291" s="335">
        <f t="shared" si="544"/>
        <v>1.1054151524782025</v>
      </c>
      <c r="CW291" s="335">
        <f t="shared" si="545"/>
        <v>0.43611011316687626</v>
      </c>
      <c r="CX291" s="335">
        <f t="shared" si="546"/>
        <v>0.83698442246886229</v>
      </c>
      <c r="CY291" s="335">
        <f t="shared" si="547"/>
        <v>0.40349573304423936</v>
      </c>
      <c r="CZ291" s="336">
        <f>INDEX('State Tax Lookup'!$D$7:$Z$91,MATCH(Calculation!$C291,'State Tax Lookup'!$B$7:$B$91,0),MATCH($H291,'State Tax Lookup'!$D$6:$Z$6,0))</f>
        <v>0.35</v>
      </c>
      <c r="DA291" s="303">
        <v>0.37</v>
      </c>
      <c r="DB291" s="57">
        <f t="shared" si="550"/>
        <v>14.3138715560079</v>
      </c>
      <c r="DC291" s="56">
        <f t="shared" si="555"/>
        <v>5.4271261520256478E-2</v>
      </c>
      <c r="DD291" s="303">
        <f>VLOOKUP($H291,RoR!$E:$F,2,FALSE)</f>
        <v>4.6391666666666664E-2</v>
      </c>
      <c r="DE291" s="304">
        <f>HLOOKUP($H291,'GDP-PI'!$D$8:$CQ$11,3,FALSE)</f>
        <v>2.0840920205183799E-2</v>
      </c>
      <c r="DF291" s="303">
        <f>VLOOKUP(H291,'HW Dx Data'!$E:$F,2,FALSE)</f>
        <v>611.61109612283201</v>
      </c>
      <c r="DG291" s="89">
        <f ca="1">VLOOKUP(CC291,'ECI - Input Price'!M$13:N$33,2,FALSE)</f>
        <v>120.875</v>
      </c>
      <c r="DH291" s="89"/>
      <c r="DI291" s="89"/>
      <c r="DJ291" s="56">
        <f t="shared" ca="1" si="563"/>
        <v>3.3224250161508609E-2</v>
      </c>
      <c r="DK291" s="53">
        <f>HLOOKUP(H291,'GDP-PI'!$8:$9,2,FALSE)</f>
        <v>98.111999999999995</v>
      </c>
      <c r="DL291" s="355">
        <f t="shared" si="556"/>
        <v>2.0626719212849295E-2</v>
      </c>
      <c r="EC291"/>
    </row>
    <row r="292" spans="1:133" s="126" customFormat="1" ht="21" customHeight="1" x14ac:dyDescent="0.4">
      <c r="A292" s="233" t="s">
        <v>198</v>
      </c>
      <c r="B292" s="127" t="s">
        <v>198</v>
      </c>
      <c r="C292" s="127">
        <v>4059355</v>
      </c>
      <c r="D292" s="127" t="s">
        <v>199</v>
      </c>
      <c r="E292" s="127"/>
      <c r="F292" s="127"/>
      <c r="G292" s="127" t="s">
        <v>168</v>
      </c>
      <c r="H292" s="128">
        <v>2012</v>
      </c>
      <c r="I292" s="129"/>
      <c r="J292" s="125">
        <f>IFERROR(INDEX('Labor Expenditures'!$E$7:$W$91,MATCH($C292,'Labor Expenditures'!$C$7:$C$91,0),MATCH($G292,'Labor Expenditures'!$E$5:$W$5,0)),"NA")</f>
        <v>12374.56672014634</v>
      </c>
      <c r="K292" s="125">
        <f t="shared" ca="1" si="557"/>
        <v>99.155182052454634</v>
      </c>
      <c r="L292" s="47"/>
      <c r="M292" s="131">
        <f t="shared" ca="1" si="564"/>
        <v>1.1646123943735789E-2</v>
      </c>
      <c r="N292" s="131"/>
      <c r="O292" s="131"/>
      <c r="P292" s="59">
        <f t="shared" ca="1" si="566"/>
        <v>5.1614993362866564E-5</v>
      </c>
      <c r="Q292" s="61"/>
      <c r="R292" s="387"/>
      <c r="S292" s="49">
        <f t="shared" ca="1" si="572"/>
        <v>114.91562194462071</v>
      </c>
      <c r="T292" s="61">
        <f ca="1">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</f>
        <v>-1.6832618998018658E-2</v>
      </c>
      <c r="U292" s="61"/>
      <c r="V292" s="125">
        <f>IFERROR(INDEX('Non-Labor Expenditures'!$E$7:$AA$91,MATCH($C292,'Non-Labor Expenditures'!$C$7:$C$91,0),MATCH($G292,'Non-Labor Expenditures'!$E$5:$AA$5,0)),"NA")</f>
        <v>17920.683861022531</v>
      </c>
      <c r="W292" s="125">
        <f t="shared" si="558"/>
        <v>179.2068386102253</v>
      </c>
      <c r="X292" s="131">
        <f t="shared" si="567"/>
        <v>2.4541123366862469E-2</v>
      </c>
      <c r="Y292" s="131">
        <f t="shared" si="568"/>
        <v>1.0876493551137436E-4</v>
      </c>
      <c r="Z292" s="131"/>
      <c r="AA292" s="131"/>
      <c r="AB292" s="131"/>
      <c r="AC292" s="125">
        <f t="shared" si="537"/>
        <v>11313.456046921865</v>
      </c>
      <c r="AD292" s="129"/>
      <c r="AE292" s="133">
        <v>808.11954706831955</v>
      </c>
      <c r="AF292" s="134">
        <v>2.5942851047238993E-2</v>
      </c>
      <c r="AG292" s="59">
        <f t="shared" si="559"/>
        <v>1.1497731701003567E-4</v>
      </c>
      <c r="AH292" s="134"/>
      <c r="AI292" s="134"/>
      <c r="AJ292" s="129">
        <f t="shared" si="569"/>
        <v>41608.706628090738</v>
      </c>
      <c r="AK292" s="134">
        <f t="shared" si="570"/>
        <v>5.4477312048390389E-2</v>
      </c>
      <c r="AL292" s="129"/>
      <c r="AM292" s="129"/>
      <c r="AN292" s="129"/>
      <c r="AO292" s="129"/>
      <c r="AP292" s="133">
        <f t="shared" si="571"/>
        <v>311.36783575858135</v>
      </c>
      <c r="AQ292" s="134">
        <f>+BB292/Outputs!$B$20</f>
        <v>3.7417889011348376E-3</v>
      </c>
      <c r="AR292" s="93">
        <f t="shared" si="560"/>
        <v>0.29740330144730004</v>
      </c>
      <c r="AS292" s="93">
        <f t="shared" si="561"/>
        <v>0.43069552777023778</v>
      </c>
      <c r="AT292" s="93">
        <f t="shared" si="562"/>
        <v>0.27190117078246218</v>
      </c>
      <c r="AU292" s="93">
        <f t="shared" ca="1" si="565"/>
        <v>2.1060691206779489E-2</v>
      </c>
      <c r="AV292" s="132">
        <f t="shared" ca="1" si="574"/>
        <v>101.66651933532363</v>
      </c>
      <c r="AW292" s="134">
        <f t="shared" ca="1" si="575"/>
        <v>2.1060691206779586E-2</v>
      </c>
      <c r="AX292" s="56">
        <f>+AJ292/$AL$17</f>
        <v>4.4319460802775684E-3</v>
      </c>
      <c r="AY292" s="135">
        <f t="shared" ca="1" si="573"/>
        <v>9.3339847841823043E-5</v>
      </c>
      <c r="AZ292" s="93"/>
      <c r="BA292" s="93"/>
      <c r="BB292" s="234">
        <f>IFERROR(INDEX('Total Customers'!$E$7:$AA$91,MATCH($C292,'Total Customers'!$C$7:$C$91,0),MATCH($G292,'Total Customers'!$E$5:$AA$5,0)),"NA")</f>
        <v>133632</v>
      </c>
      <c r="BC292" s="411">
        <f t="shared" si="524"/>
        <v>-4.7778399537131968E-3</v>
      </c>
      <c r="BD292" s="92"/>
      <c r="BE292" s="281" t="str">
        <f t="shared" si="518"/>
        <v>COLUMBIA GAS OF KENTUCKY, INCORPORATED</v>
      </c>
      <c r="BF292" s="290">
        <f t="shared" si="519"/>
        <v>4059355</v>
      </c>
      <c r="BG292" s="46" t="str">
        <f t="shared" si="520"/>
        <v>OH</v>
      </c>
      <c r="BH292" s="46"/>
      <c r="BI292" s="46" t="str">
        <f t="shared" si="521"/>
        <v>2012 Y</v>
      </c>
      <c r="BJ292" s="129"/>
      <c r="BK292" s="129"/>
      <c r="BL292" s="129">
        <f>INDEX('Dist. Plant Gas Additions'!$E$7:$AD$91,MATCH($C292,'Dist. Plant Gas Additions'!$C$7:$C$91,0),MATCH(Calculation!$G292,'Dist. Plant Gas Additions'!$E$5:$AD$5,0))</f>
        <v>17628</v>
      </c>
      <c r="BM292" s="129">
        <f>INDEX('Gen. Plant Additions'!$E$7:$AD$91,MATCH($C292,'Gen. Plant Additions'!$C$7:$C$91,0),MATCH(Calculation!$G292,'Gen. Plant Additions'!$E$5:$AD$5,0))</f>
        <v>222</v>
      </c>
      <c r="BN292" s="393">
        <f t="shared" si="538"/>
        <v>0.9831891741071429</v>
      </c>
      <c r="BO292" s="46">
        <f t="shared" si="535"/>
        <v>218.26799665178572</v>
      </c>
      <c r="BP292" s="46">
        <f t="shared" si="536"/>
        <v>-3.7320033482142776</v>
      </c>
      <c r="BQ292" s="129">
        <f>INDEX('Dist Plant Depreciation'!$D$7:$AC$94,MATCH($C292,'Dist Plant Depreciation'!$C$7:$C$94,0),MATCH(Calculation!$G292,'Dist Plant Depreciation'!$D$5:$AC$5,0))</f>
        <v>126822</v>
      </c>
      <c r="BR292" s="129">
        <f>INDEX('Gen. Plant Depreciation'!$D$7:$AC$94,MATCH($C292,'Gen. Plant Depreciation'!$C$7:$C$94,0),MATCH(Calculation!$G292,'Gen. Plant Depreciation'!$D$5:$AC$5,0))</f>
        <v>953</v>
      </c>
      <c r="BS292" s="129"/>
      <c r="BT292" s="129"/>
      <c r="BU292" s="129"/>
      <c r="BV292" s="129"/>
      <c r="BW292" s="129"/>
      <c r="BX292" s="129"/>
      <c r="BY292" s="129">
        <f>INDEX('Gross Dx Plant'!$D$7:$AC$91,MATCH($C292,'Gross Dx Plant'!$C$7:$C$91,0),MATCH(Calculation!$G292,'Gross Dx Plant'!$D$5:$AC$5,0))</f>
        <v>310090</v>
      </c>
      <c r="BZ292" s="129">
        <f>INDEX('Gross Gen Plant'!$D$7:$AC$91,MATCH($C292,'Gross Gen Plant'!$C$7:$C$91,0),MATCH(Calculation!$G292,'Gross Gen Plant'!$D$5:$AC$5,0))</f>
        <v>5302</v>
      </c>
      <c r="CA292" s="129">
        <f t="shared" si="551"/>
        <v>187617</v>
      </c>
      <c r="CB292" s="129"/>
      <c r="CC292" s="133">
        <v>2012</v>
      </c>
      <c r="CD292" s="129"/>
      <c r="CE292" s="129"/>
      <c r="CF292" s="129"/>
      <c r="CG292" s="137"/>
      <c r="CH292" s="129">
        <f t="shared" si="539"/>
        <v>17850</v>
      </c>
      <c r="CI292" s="46">
        <f t="shared" si="548"/>
        <v>17846.267996651786</v>
      </c>
      <c r="CJ292" s="46">
        <f t="shared" si="540"/>
        <v>26.679253247295382</v>
      </c>
      <c r="CK292" s="443">
        <v>0.84090909090909094</v>
      </c>
      <c r="CL292" s="46">
        <f>+CL278*CK292+CJ279*CK291+CJ280*CK290+CJ281*CK289+CJ282*CK288+CJ283*CK287+CJ284*CK286+CJ285*CK285+CJ286*CK284+CJ287*CK283+CJ288*CK282+CJ289*CK281+CJ290*CK280+CJ291*CK279+CJ292</f>
        <v>757.01040448189485</v>
      </c>
      <c r="CM292" s="134">
        <f t="shared" si="541"/>
        <v>2.1651305663108234E-2</v>
      </c>
      <c r="CN292" s="135">
        <f t="shared" si="542"/>
        <v>1.4126894521513408E-2</v>
      </c>
      <c r="CO292" s="135">
        <f t="shared" si="552"/>
        <v>1.3753836433453384E-2</v>
      </c>
      <c r="CP292" s="134">
        <f>VLOOKUP($H292,RoR!$E:$F,2,FALSE)</f>
        <v>3.6733333333333333E-2</v>
      </c>
      <c r="CQ292" s="135">
        <v>1.924331376386168E-2</v>
      </c>
      <c r="CR292" s="135">
        <f t="shared" si="549"/>
        <v>1.7490019569471653E-2</v>
      </c>
      <c r="CS292" s="135">
        <f t="shared" si="553"/>
        <v>1.7148105175080239E-2</v>
      </c>
      <c r="CT292" s="135">
        <f t="shared" si="554"/>
        <v>6.7122682943869583E-2</v>
      </c>
      <c r="CU292" s="139">
        <f t="shared" si="543"/>
        <v>0.87050000000000005</v>
      </c>
      <c r="CV292" s="335">
        <f t="shared" si="544"/>
        <v>1.3960631020522127</v>
      </c>
      <c r="CW292" s="335">
        <f t="shared" si="545"/>
        <v>0.29441923774954631</v>
      </c>
      <c r="CX292" s="335">
        <f t="shared" si="546"/>
        <v>0.76377954189366437</v>
      </c>
      <c r="CY292" s="335">
        <f t="shared" si="547"/>
        <v>0.31393465103033691</v>
      </c>
      <c r="CZ292" s="336">
        <f>INDEX('State Tax Lookup'!$D$7:$Z$91,MATCH(Calculation!$C292,'State Tax Lookup'!$B$7:$B$91,0),MATCH($H292,'State Tax Lookup'!$D$6:$Z$6,0))</f>
        <v>0.35</v>
      </c>
      <c r="DA292" s="303">
        <v>0.37</v>
      </c>
      <c r="DB292" s="57">
        <f t="shared" si="550"/>
        <v>15.272020134727095</v>
      </c>
      <c r="DC292" s="56">
        <f t="shared" si="555"/>
        <v>6.4793298866728535E-2</v>
      </c>
      <c r="DD292" s="303">
        <f>VLOOKUP($H292,RoR!$E:$F,2,FALSE)</f>
        <v>3.6733333333333333E-2</v>
      </c>
      <c r="DE292" s="304">
        <f>HLOOKUP($H292,'GDP-PI'!$D$8:$CQ$11,3,FALSE)</f>
        <v>1.924331376386168E-2</v>
      </c>
      <c r="DF292" s="303">
        <f>VLOOKUP(H292,'HW Dx Data'!$E:$F,2,FALSE)</f>
        <v>668.91932211262167</v>
      </c>
      <c r="DG292" s="89">
        <f ca="1">VLOOKUP(CC292,'ECI - Input Price'!M$13:N$33,2,FALSE)</f>
        <v>124.80000000000001</v>
      </c>
      <c r="DH292" s="89"/>
      <c r="DI292" s="89"/>
      <c r="DJ292" s="56">
        <f t="shared" ca="1" si="563"/>
        <v>3.1955502161869064E-2</v>
      </c>
      <c r="DK292" s="53">
        <f>HLOOKUP(H292,'GDP-PI'!$8:$9,2,FALSE)</f>
        <v>100</v>
      </c>
      <c r="DL292" s="355">
        <f t="shared" si="556"/>
        <v>1.9060502738742411E-2</v>
      </c>
      <c r="EC292"/>
    </row>
    <row r="293" spans="1:133" s="126" customFormat="1" ht="21" customHeight="1" x14ac:dyDescent="0.4">
      <c r="A293" s="233" t="s">
        <v>198</v>
      </c>
      <c r="B293" s="127" t="s">
        <v>198</v>
      </c>
      <c r="C293" s="127">
        <v>4059355</v>
      </c>
      <c r="D293" s="127" t="s">
        <v>199</v>
      </c>
      <c r="E293" s="127"/>
      <c r="F293" s="127"/>
      <c r="G293" s="127" t="s">
        <v>169</v>
      </c>
      <c r="H293" s="128">
        <v>2013</v>
      </c>
      <c r="I293" s="129"/>
      <c r="J293" s="125">
        <f>IFERROR(INDEX('Labor Expenditures'!$E$7:$W$91,MATCH($C293,'Labor Expenditures'!$C$7:$C$91,0),MATCH($G293,'Labor Expenditures'!$E$5:$W$5,0)),"NA")</f>
        <v>12830.418791516619</v>
      </c>
      <c r="K293" s="125">
        <f t="shared" ca="1" si="557"/>
        <v>101.18626807189763</v>
      </c>
      <c r="L293" s="47"/>
      <c r="M293" s="131">
        <f t="shared" ca="1" si="564"/>
        <v>2.0276938282172054E-2</v>
      </c>
      <c r="N293" s="131"/>
      <c r="O293" s="131"/>
      <c r="P293" s="59">
        <f t="shared" ca="1" si="566"/>
        <v>8.8849694283062454E-5</v>
      </c>
      <c r="Q293" s="61"/>
      <c r="R293" s="387"/>
      <c r="S293" s="49">
        <f t="shared" ca="1" si="572"/>
        <v>108.23840639501665</v>
      </c>
      <c r="T293" s="61">
        <f ca="1">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</f>
        <v>-5.9861875966700909E-2</v>
      </c>
      <c r="U293" s="61"/>
      <c r="V293" s="125">
        <f>IFERROR(INDEX('Non-Labor Expenditures'!$E$7:$AA$91,MATCH($C293,'Non-Labor Expenditures'!$C$7:$C$91,0),MATCH($G293,'Non-Labor Expenditures'!$E$5:$AA$5,0)),"NA")</f>
        <v>18580.842801789258</v>
      </c>
      <c r="W293" s="125">
        <f t="shared" si="558"/>
        <v>182.57143644964046</v>
      </c>
      <c r="X293" s="131">
        <f t="shared" si="567"/>
        <v>1.8600867333459427E-2</v>
      </c>
      <c r="Y293" s="131">
        <f t="shared" si="568"/>
        <v>8.1505469562470788E-5</v>
      </c>
      <c r="Z293" s="131"/>
      <c r="AA293" s="131"/>
      <c r="AB293" s="131"/>
      <c r="AC293" s="125">
        <f t="shared" si="537"/>
        <v>11226.286553926202</v>
      </c>
      <c r="AD293" s="129"/>
      <c r="AE293" s="133">
        <v>833.8398352093069</v>
      </c>
      <c r="AF293" s="134">
        <v>3.1331337932960578E-2</v>
      </c>
      <c r="AG293" s="59">
        <f t="shared" si="559"/>
        <v>1.3728797504258458E-4</v>
      </c>
      <c r="AH293" s="134"/>
      <c r="AI293" s="134"/>
      <c r="AJ293" s="129">
        <f t="shared" si="569"/>
        <v>42637.548147232083</v>
      </c>
      <c r="AK293" s="134">
        <f t="shared" si="570"/>
        <v>2.4425837654023716E-2</v>
      </c>
      <c r="AL293" s="129"/>
      <c r="AM293" s="129"/>
      <c r="AN293" s="129"/>
      <c r="AO293" s="129"/>
      <c r="AP293" s="133">
        <f t="shared" si="571"/>
        <v>316.31167206172353</v>
      </c>
      <c r="AQ293" s="134">
        <f>+BB293/Outputs!$B$21</f>
        <v>3.7503263548483812E-3</v>
      </c>
      <c r="AR293" s="93">
        <f t="shared" si="560"/>
        <v>0.3009183067284214</v>
      </c>
      <c r="AS293" s="93">
        <f t="shared" si="561"/>
        <v>0.43578591192972893</v>
      </c>
      <c r="AT293" s="93">
        <f t="shared" si="562"/>
        <v>0.26329578134184956</v>
      </c>
      <c r="AU293" s="93">
        <f t="shared" ca="1" si="565"/>
        <v>2.2508936598165184E-2</v>
      </c>
      <c r="AV293" s="132">
        <f t="shared" ca="1" si="574"/>
        <v>103.98087368731214</v>
      </c>
      <c r="AW293" s="134">
        <f t="shared" ca="1" si="575"/>
        <v>2.2508936598165174E-2</v>
      </c>
      <c r="AX293" s="56">
        <f>+AJ293/$AL$18</f>
        <v>4.3818101651560051E-3</v>
      </c>
      <c r="AY293" s="135">
        <f t="shared" ca="1" si="573"/>
        <v>9.8629887192692189E-5</v>
      </c>
      <c r="AZ293" s="93"/>
      <c r="BA293" s="93"/>
      <c r="BB293" s="234">
        <f>IFERROR(INDEX('Total Customers'!$E$7:$AA$91,MATCH($C293,'Total Customers'!$C$7:$C$91,0),MATCH($G293,'Total Customers'!$E$5:$AA$5,0)),"NA")</f>
        <v>134796</v>
      </c>
      <c r="BC293" s="411">
        <f t="shared" si="524"/>
        <v>8.6727710673684243E-3</v>
      </c>
      <c r="BD293" s="92"/>
      <c r="BE293" s="281" t="str">
        <f t="shared" si="518"/>
        <v>COLUMBIA GAS OF KENTUCKY, INCORPORATED</v>
      </c>
      <c r="BF293" s="290">
        <f t="shared" si="519"/>
        <v>4059355</v>
      </c>
      <c r="BG293" s="46" t="str">
        <f t="shared" si="520"/>
        <v>OH</v>
      </c>
      <c r="BH293" s="46"/>
      <c r="BI293" s="46" t="str">
        <f t="shared" si="521"/>
        <v>2013 Y</v>
      </c>
      <c r="BJ293" s="129"/>
      <c r="BK293" s="129"/>
      <c r="BL293" s="129">
        <f>INDEX('Dist. Plant Gas Additions'!$E$7:$AD$91,MATCH($C293,'Dist. Plant Gas Additions'!$C$7:$C$91,0),MATCH(Calculation!$G293,'Dist. Plant Gas Additions'!$E$5:$AD$5,0))</f>
        <v>20770</v>
      </c>
      <c r="BM293" s="129">
        <f>INDEX('Gen. Plant Additions'!$E$7:$AD$91,MATCH($C293,'Gen. Plant Additions'!$C$7:$C$91,0),MATCH(Calculation!$G293,'Gen. Plant Additions'!$E$5:$AD$5,0))</f>
        <v>495</v>
      </c>
      <c r="BN293" s="393">
        <f t="shared" si="538"/>
        <v>0.98438700768491838</v>
      </c>
      <c r="BO293" s="46">
        <f t="shared" ref="BO293:BO356" si="576">+BN293*BM293</f>
        <v>487.27156880403459</v>
      </c>
      <c r="BP293" s="46">
        <f t="shared" ref="BP293:BP356" si="577">+BO293-BM293</f>
        <v>-7.7284311959654133</v>
      </c>
      <c r="BQ293" s="129">
        <f>INDEX('Dist Plant Depreciation'!$D$7:$AC$94,MATCH($C293,'Dist Plant Depreciation'!$C$7:$C$94,0),MATCH(Calculation!$G293,'Dist Plant Depreciation'!$D$5:$AC$5,0))</f>
        <v>129304</v>
      </c>
      <c r="BR293" s="129">
        <f>INDEX('Gen. Plant Depreciation'!$D$7:$AC$94,MATCH($C293,'Gen. Plant Depreciation'!$C$7:$C$94,0),MATCH(Calculation!$G293,'Gen. Plant Depreciation'!$D$5:$AC$5,0))</f>
        <v>521</v>
      </c>
      <c r="BS293" s="129"/>
      <c r="BT293" s="129"/>
      <c r="BU293" s="129"/>
      <c r="BV293" s="129"/>
      <c r="BW293" s="129"/>
      <c r="BX293" s="129"/>
      <c r="BY293" s="129">
        <f>INDEX('Gross Dx Plant'!$D$7:$AC$91,MATCH($C293,'Gross Dx Plant'!$C$7:$C$91,0),MATCH(Calculation!$G293,'Gross Dx Plant'!$D$5:$AC$5,0))</f>
        <v>327919</v>
      </c>
      <c r="BZ293" s="129">
        <f>INDEX('Gross Gen Plant'!$D$7:$AC$91,MATCH($C293,'Gross Gen Plant'!$C$7:$C$91,0),MATCH(Calculation!$G293,'Gross Gen Plant'!$D$5:$AC$5,0))</f>
        <v>5201</v>
      </c>
      <c r="CA293" s="129">
        <f t="shared" si="551"/>
        <v>203295</v>
      </c>
      <c r="CB293" s="129"/>
      <c r="CC293" s="133">
        <v>2013</v>
      </c>
      <c r="CD293" s="129"/>
      <c r="CE293" s="129"/>
      <c r="CF293" s="129"/>
      <c r="CG293" s="137"/>
      <c r="CH293" s="129">
        <f t="shared" si="539"/>
        <v>21265</v>
      </c>
      <c r="CI293" s="46">
        <f t="shared" si="548"/>
        <v>21257.271568804033</v>
      </c>
      <c r="CJ293" s="46">
        <f t="shared" si="540"/>
        <v>32.050241497613037</v>
      </c>
      <c r="CK293" s="443">
        <v>0.82758620689655171</v>
      </c>
      <c r="CL293" s="46">
        <f>+CL278*CK293+CJ279*CK292+CJ280*CK291+CJ281*CK290+CJ282*CK289+CJ283*CK288+CJ284*CK287+CJ285*CK286+CJ286*CK285+CJ287*CK284+CJ288*CK283+CJ289*CK282+CJ290*CK281+CJ291*CK280+CJ292*CK279+CJ293</f>
        <v>778.09573522428309</v>
      </c>
      <c r="CM293" s="134">
        <f t="shared" si="541"/>
        <v>2.7472571890692014E-2</v>
      </c>
      <c r="CN293" s="135">
        <f t="shared" si="542"/>
        <v>1.4484491481631999E-2</v>
      </c>
      <c r="CO293" s="135">
        <f t="shared" si="552"/>
        <v>1.4125840388261368E-2</v>
      </c>
      <c r="CP293" s="134">
        <f>VLOOKUP($H293,RoR!$E:$F,2,FALSE)</f>
        <v>4.2350000000000006E-2</v>
      </c>
      <c r="CQ293" s="135">
        <v>1.7730000000000024E-2</v>
      </c>
      <c r="CR293" s="135">
        <f t="shared" si="549"/>
        <v>2.4619999999999982E-2</v>
      </c>
      <c r="CS293" s="135">
        <f t="shared" si="553"/>
        <v>1.6776101220272257E-2</v>
      </c>
      <c r="CT293" s="135">
        <f t="shared" si="554"/>
        <v>5.3376742735721204E-2</v>
      </c>
      <c r="CU293" s="139">
        <f t="shared" si="543"/>
        <v>0.87050000000000005</v>
      </c>
      <c r="CV293" s="335">
        <f t="shared" si="544"/>
        <v>1.2109103018193925</v>
      </c>
      <c r="CW293" s="335">
        <f t="shared" si="545"/>
        <v>0.38468122786304604</v>
      </c>
      <c r="CX293" s="335">
        <f t="shared" si="546"/>
        <v>0.80969194503422559</v>
      </c>
      <c r="CY293" s="335">
        <f t="shared" si="547"/>
        <v>0.37716621754800816</v>
      </c>
      <c r="CZ293" s="336">
        <f>INDEX('State Tax Lookup'!$D$7:$Z$91,MATCH(Calculation!$C293,'State Tax Lookup'!$B$7:$B$91,0),MATCH($H293,'State Tax Lookup'!$D$6:$Z$6,0))</f>
        <v>0.35</v>
      </c>
      <c r="DA293" s="303">
        <v>0.37</v>
      </c>
      <c r="DB293" s="57">
        <f t="shared" si="550"/>
        <v>14.82976520198501</v>
      </c>
      <c r="DC293" s="56">
        <f t="shared" si="555"/>
        <v>-2.9386081443640338E-2</v>
      </c>
      <c r="DD293" s="303">
        <f>VLOOKUP($H293,RoR!$E:$F,2,FALSE)</f>
        <v>4.2350000000000006E-2</v>
      </c>
      <c r="DE293" s="304">
        <f>HLOOKUP($H293,'GDP-PI'!$D$8:$CQ$11,3,FALSE)</f>
        <v>1.7730000000000024E-2</v>
      </c>
      <c r="DF293" s="303">
        <f>VLOOKUP(H293,'HW Dx Data'!$E:$F,2,FALSE)</f>
        <v>663.24840548821396</v>
      </c>
      <c r="DG293" s="89">
        <f ca="1">VLOOKUP(CC293,'ECI - Input Price'!M$13:N$33,2,FALSE)</f>
        <v>126.8</v>
      </c>
      <c r="DH293" s="89"/>
      <c r="DI293" s="89"/>
      <c r="DJ293" s="56">
        <f t="shared" ca="1" si="563"/>
        <v>1.5898586067798204E-2</v>
      </c>
      <c r="DK293" s="53">
        <f>HLOOKUP(H293,'GDP-PI'!$8:$9,2,FALSE)</f>
        <v>101.773</v>
      </c>
      <c r="DL293" s="355">
        <f t="shared" si="556"/>
        <v>1.7574657016510519E-2</v>
      </c>
      <c r="EC293"/>
    </row>
    <row r="294" spans="1:133" s="126" customFormat="1" ht="21" customHeight="1" x14ac:dyDescent="0.4">
      <c r="A294" s="233" t="s">
        <v>198</v>
      </c>
      <c r="B294" s="127" t="s">
        <v>198</v>
      </c>
      <c r="C294" s="127">
        <v>4059355</v>
      </c>
      <c r="D294" s="127" t="s">
        <v>199</v>
      </c>
      <c r="E294" s="127"/>
      <c r="F294" s="127"/>
      <c r="G294" s="127" t="s">
        <v>170</v>
      </c>
      <c r="H294" s="128">
        <v>2014</v>
      </c>
      <c r="I294" s="129"/>
      <c r="J294" s="125">
        <f>IFERROR(INDEX('Labor Expenditures'!$E$7:$W$91,MATCH($C294,'Labor Expenditures'!$C$7:$C$91,0),MATCH($G294,'Labor Expenditures'!$E$5:$W$5,0)),"NA")</f>
        <v>13275.035210369491</v>
      </c>
      <c r="K294" s="125">
        <f t="shared" ca="1" si="557"/>
        <v>102.5891438204752</v>
      </c>
      <c r="L294" s="47"/>
      <c r="M294" s="131">
        <f t="shared" ca="1" si="564"/>
        <v>1.3769059764348274E-2</v>
      </c>
      <c r="N294" s="131"/>
      <c r="O294" s="131"/>
      <c r="P294" s="59">
        <f t="shared" ca="1" si="566"/>
        <v>6.1380843581950644E-5</v>
      </c>
      <c r="Q294" s="61"/>
      <c r="R294" s="387"/>
      <c r="S294" s="49">
        <f t="shared" ca="1" si="572"/>
        <v>121.01264704934144</v>
      </c>
      <c r="T294" s="61">
        <f ca="1">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</f>
        <v>0.11155880033375964</v>
      </c>
      <c r="U294" s="61"/>
      <c r="V294" s="125">
        <f>IFERROR(INDEX('Non-Labor Expenditures'!$E$7:$AA$91,MATCH($C294,'Non-Labor Expenditures'!$C$7:$C$91,0),MATCH($G294,'Non-Labor Expenditures'!$E$5:$AA$5,0)),"NA")</f>
        <v>19224.730419180371</v>
      </c>
      <c r="W294" s="125">
        <f t="shared" si="558"/>
        <v>185.48274835914566</v>
      </c>
      <c r="X294" s="131">
        <f t="shared" si="567"/>
        <v>1.582034792976738E-2</v>
      </c>
      <c r="Y294" s="131">
        <f t="shared" si="568"/>
        <v>7.0525244156716851E-5</v>
      </c>
      <c r="Z294" s="131"/>
      <c r="AA294" s="131"/>
      <c r="AB294" s="131"/>
      <c r="AC294" s="125">
        <f t="shared" si="537"/>
        <v>11674.354453888121</v>
      </c>
      <c r="AD294" s="129"/>
      <c r="AE294" s="133">
        <v>871.48927385092077</v>
      </c>
      <c r="AF294" s="134">
        <v>4.4162217395123736E-2</v>
      </c>
      <c r="AG294" s="59">
        <f t="shared" si="559"/>
        <v>1.9686995369000749E-4</v>
      </c>
      <c r="AH294" s="134"/>
      <c r="AI294" s="134"/>
      <c r="AJ294" s="129">
        <f t="shared" si="569"/>
        <v>44174.120083437985</v>
      </c>
      <c r="AK294" s="134">
        <f t="shared" si="570"/>
        <v>3.5403822159708033E-2</v>
      </c>
      <c r="AL294" s="129"/>
      <c r="AM294" s="129"/>
      <c r="AN294" s="129"/>
      <c r="AO294" s="129"/>
      <c r="AP294" s="133">
        <f t="shared" si="571"/>
        <v>327.3248125926271</v>
      </c>
      <c r="AQ294" s="134">
        <f>+BB294/Outputs!$B$22</f>
        <v>3.7346857957408727E-3</v>
      </c>
      <c r="AR294" s="93">
        <f t="shared" si="560"/>
        <v>0.30051612087111257</v>
      </c>
      <c r="AS294" s="93">
        <f t="shared" si="561"/>
        <v>0.43520347169038953</v>
      </c>
      <c r="AT294" s="93">
        <f t="shared" si="562"/>
        <v>0.26428040743849784</v>
      </c>
      <c r="AU294" s="93">
        <f t="shared" ca="1" si="565"/>
        <v>2.2679738005683514E-2</v>
      </c>
      <c r="AV294" s="132">
        <f t="shared" ca="1" si="574"/>
        <v>106.36607832929208</v>
      </c>
      <c r="AW294" s="134">
        <f t="shared" ca="1" si="575"/>
        <v>2.2679738005683549E-2</v>
      </c>
      <c r="AX294" s="56">
        <f>+AJ294/$AL$19</f>
        <v>4.4578819928490568E-3</v>
      </c>
      <c r="AY294" s="135">
        <f t="shared" ca="1" si="573"/>
        <v>1.0110359565807107E-4</v>
      </c>
      <c r="AZ294" s="93"/>
      <c r="BA294" s="93"/>
      <c r="BB294" s="234">
        <f>IFERROR(INDEX('Total Customers'!$E$7:$AA$91,MATCH($C294,'Total Customers'!$C$7:$C$91,0),MATCH($G294,'Total Customers'!$E$5:$AA$5,0)),"NA")</f>
        <v>134955</v>
      </c>
      <c r="BC294" s="411">
        <f t="shared" si="524"/>
        <v>1.1788650897592409E-3</v>
      </c>
      <c r="BD294" s="92"/>
      <c r="BE294" s="281" t="str">
        <f t="shared" si="518"/>
        <v>COLUMBIA GAS OF KENTUCKY, INCORPORATED</v>
      </c>
      <c r="BF294" s="290">
        <f t="shared" si="519"/>
        <v>4059355</v>
      </c>
      <c r="BG294" s="46" t="str">
        <f t="shared" si="520"/>
        <v>OH</v>
      </c>
      <c r="BH294" s="46"/>
      <c r="BI294" s="46" t="str">
        <f t="shared" si="521"/>
        <v>2014 Y</v>
      </c>
      <c r="BJ294" s="129"/>
      <c r="BK294" s="129"/>
      <c r="BL294" s="129">
        <f>INDEX('Dist. Plant Gas Additions'!$E$7:$AD$91,MATCH($C294,'Dist. Plant Gas Additions'!$C$7:$C$91,0),MATCH(Calculation!$G294,'Dist. Plant Gas Additions'!$E$5:$AD$5,0))</f>
        <v>30152</v>
      </c>
      <c r="BM294" s="129">
        <f>INDEX('Gen. Plant Additions'!$E$7:$AD$91,MATCH($C294,'Gen. Plant Additions'!$C$7:$C$91,0),MATCH(Calculation!$G294,'Gen. Plant Additions'!$E$5:$AD$5,0))</f>
        <v>229</v>
      </c>
      <c r="BN294" s="393">
        <f t="shared" si="538"/>
        <v>0.98766108901881444</v>
      </c>
      <c r="BO294" s="46">
        <f t="shared" si="576"/>
        <v>226.1743893853085</v>
      </c>
      <c r="BP294" s="46">
        <f t="shared" si="577"/>
        <v>-2.8256106146914988</v>
      </c>
      <c r="BQ294" s="129">
        <f>INDEX('Dist Plant Depreciation'!$D$7:$AC$94,MATCH($C294,'Dist Plant Depreciation'!$C$7:$C$94,0),MATCH(Calculation!$G294,'Dist Plant Depreciation'!$D$5:$AC$5,0))</f>
        <v>132046</v>
      </c>
      <c r="BR294" s="129">
        <f>INDEX('Gen. Plant Depreciation'!$D$7:$AC$94,MATCH($C294,'Gen. Plant Depreciation'!$C$7:$C$94,0),MATCH(Calculation!$G294,'Gen. Plant Depreciation'!$D$5:$AC$5,0))</f>
        <v>538</v>
      </c>
      <c r="BS294" s="129"/>
      <c r="BT294" s="129"/>
      <c r="BU294" s="129"/>
      <c r="BV294" s="129"/>
      <c r="BW294" s="129"/>
      <c r="BX294" s="129"/>
      <c r="BY294" s="129">
        <f>INDEX('Gross Dx Plant'!$D$7:$AC$91,MATCH($C294,'Gross Dx Plant'!$C$7:$C$91,0),MATCH(Calculation!$G294,'Gross Dx Plant'!$D$5:$AC$5,0))</f>
        <v>354917</v>
      </c>
      <c r="BZ294" s="129">
        <f>INDEX('Gross Gen Plant'!$D$7:$AC$91,MATCH($C294,'Gross Gen Plant'!$C$7:$C$91,0),MATCH(Calculation!$G294,'Gross Gen Plant'!$D$5:$AC$5,0))</f>
        <v>4434</v>
      </c>
      <c r="CA294" s="129">
        <f t="shared" si="551"/>
        <v>226767</v>
      </c>
      <c r="CB294" s="129"/>
      <c r="CC294" s="133">
        <v>2014</v>
      </c>
      <c r="CD294" s="129"/>
      <c r="CE294" s="129"/>
      <c r="CF294" s="129"/>
      <c r="CG294" s="137"/>
      <c r="CH294" s="129">
        <f t="shared" si="539"/>
        <v>30381</v>
      </c>
      <c r="CI294" s="46">
        <f t="shared" si="548"/>
        <v>30378.174389385309</v>
      </c>
      <c r="CJ294" s="46">
        <f t="shared" si="540"/>
        <v>44.38209480543901</v>
      </c>
      <c r="CK294" s="443">
        <v>0.81395348837209303</v>
      </c>
      <c r="CL294" s="46">
        <f>+CL278*CK294+CJ279*CK293+CJ280*CK292+CJ281*CK291+CJ282*CK290+CJ283*CK289+CJ284*CK288+CJ285*CK287+CJ286*CK286+CJ287*CK285+CJ288*CK284+CJ289*CK283+CJ290*CK282+CJ291*CK281+CJ292*CK280+CJ293*CK279+CJ294</f>
        <v>810.94663931825721</v>
      </c>
      <c r="CM294" s="134">
        <f t="shared" si="541"/>
        <v>4.1352686200200175E-2</v>
      </c>
      <c r="CN294" s="135">
        <f t="shared" si="542"/>
        <v>1.4819758275813022E-2</v>
      </c>
      <c r="CO294" s="135">
        <f t="shared" si="552"/>
        <v>1.4477048092986144E-2</v>
      </c>
      <c r="CP294" s="134">
        <f>VLOOKUP($H294,RoR!$E:$F,2,FALSE)</f>
        <v>4.1625000000000002E-2</v>
      </c>
      <c r="CQ294" s="135">
        <v>1.841352814597208E-2</v>
      </c>
      <c r="CR294" s="135">
        <f t="shared" si="549"/>
        <v>2.3211471854027922E-2</v>
      </c>
      <c r="CS294" s="135">
        <f t="shared" si="553"/>
        <v>1.6424893515547483E-2</v>
      </c>
      <c r="CT294" s="135">
        <f t="shared" si="554"/>
        <v>3.9072621432650924E-2</v>
      </c>
      <c r="CU294" s="139">
        <f t="shared" si="543"/>
        <v>0.87050000000000005</v>
      </c>
      <c r="CV294" s="335">
        <f t="shared" si="544"/>
        <v>1.2320012320012319</v>
      </c>
      <c r="CW294" s="335">
        <f t="shared" si="545"/>
        <v>0.37439939939939942</v>
      </c>
      <c r="CX294" s="335">
        <f t="shared" si="546"/>
        <v>0.80432100613819935</v>
      </c>
      <c r="CY294" s="335">
        <f t="shared" si="547"/>
        <v>0.37100152660040037</v>
      </c>
      <c r="CZ294" s="336">
        <f>INDEX('State Tax Lookup'!$D$7:$Z$91,MATCH(Calculation!$C294,'State Tax Lookup'!$B$7:$B$91,0),MATCH($H294,'State Tax Lookup'!$D$6:$Z$6,0))</f>
        <v>0.35</v>
      </c>
      <c r="DA294" s="303">
        <v>0.37</v>
      </c>
      <c r="DB294" s="57">
        <f t="shared" si="550"/>
        <v>15.00375072808108</v>
      </c>
      <c r="DC294" s="56">
        <f t="shared" si="555"/>
        <v>1.16638949970784E-2</v>
      </c>
      <c r="DD294" s="303">
        <f>VLOOKUP($H294,RoR!$E:$F,2,FALSE)</f>
        <v>4.1625000000000002E-2</v>
      </c>
      <c r="DE294" s="304">
        <f>HLOOKUP($H294,'GDP-PI'!$D$8:$CQ$11,3,FALSE)</f>
        <v>1.841352814597208E-2</v>
      </c>
      <c r="DF294" s="303">
        <f>VLOOKUP(H294,'HW Dx Data'!$E:$F,2,FALSE)</f>
        <v>684.46914285042885</v>
      </c>
      <c r="DG294" s="89">
        <f ca="1">VLOOKUP(CC294,'ECI - Input Price'!M$13:N$33,2,FALSE)</f>
        <v>129.4</v>
      </c>
      <c r="DH294" s="89"/>
      <c r="DI294" s="89"/>
      <c r="DJ294" s="56">
        <f t="shared" ca="1" si="563"/>
        <v>2.0297340063674733E-2</v>
      </c>
      <c r="DK294" s="53">
        <f>HLOOKUP(H294,'GDP-PI'!$8:$9,2,FALSE)</f>
        <v>103.64700000000001</v>
      </c>
      <c r="DL294" s="355">
        <f t="shared" si="556"/>
        <v>1.8246051898256087E-2</v>
      </c>
      <c r="EC294"/>
    </row>
    <row r="295" spans="1:133" s="126" customFormat="1" ht="21" customHeight="1" x14ac:dyDescent="0.4">
      <c r="A295" s="233" t="s">
        <v>198</v>
      </c>
      <c r="B295" s="127" t="s">
        <v>198</v>
      </c>
      <c r="C295" s="127">
        <v>4059355</v>
      </c>
      <c r="D295" s="127" t="s">
        <v>199</v>
      </c>
      <c r="E295" s="127"/>
      <c r="F295" s="127"/>
      <c r="G295" s="127" t="s">
        <v>171</v>
      </c>
      <c r="H295" s="128">
        <v>2015</v>
      </c>
      <c r="I295" s="129"/>
      <c r="J295" s="125">
        <f>IFERROR(INDEX('Labor Expenditures'!$E$7:$W$91,MATCH($C295,'Labor Expenditures'!$C$7:$C$91,0),MATCH($G295,'Labor Expenditures'!$E$5:$W$5,0)),"NA")</f>
        <v>13488.956706700192</v>
      </c>
      <c r="K295" s="125">
        <f t="shared" ca="1" si="557"/>
        <v>101.04087420749207</v>
      </c>
      <c r="L295" s="47"/>
      <c r="M295" s="131">
        <f t="shared" ca="1" si="564"/>
        <v>-1.5206986323745992E-2</v>
      </c>
      <c r="N295" s="131"/>
      <c r="O295" s="131"/>
      <c r="P295" s="59">
        <f t="shared" ca="1" si="566"/>
        <v>-6.8452941586186327E-5</v>
      </c>
      <c r="Q295" s="61"/>
      <c r="R295" s="387"/>
      <c r="S295" s="49">
        <f t="shared" ca="1" si="572"/>
        <v>119.54025296870182</v>
      </c>
      <c r="T295" s="61">
        <f ca="1">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</f>
        <v>-1.2241901625307231E-2</v>
      </c>
      <c r="U295" s="61"/>
      <c r="V295" s="125">
        <f>IFERROR(INDEX('Non-Labor Expenditures'!$E$7:$AA$91,MATCH($C295,'Non-Labor Expenditures'!$C$7:$C$91,0),MATCH($G295,'Non-Labor Expenditures'!$E$5:$AA$5,0)),"NA")</f>
        <v>19534.528700891358</v>
      </c>
      <c r="W295" s="125">
        <f t="shared" si="558"/>
        <v>186.68497119516968</v>
      </c>
      <c r="X295" s="131">
        <f t="shared" si="567"/>
        <v>6.4606732643149858E-3</v>
      </c>
      <c r="Y295" s="131">
        <f t="shared" si="568"/>
        <v>2.9082165272878859E-5</v>
      </c>
      <c r="Z295" s="131"/>
      <c r="AA295" s="131"/>
      <c r="AB295" s="131"/>
      <c r="AC295" s="125">
        <f t="shared" si="537"/>
        <v>11813.146041152571</v>
      </c>
      <c r="AD295" s="129"/>
      <c r="AE295" s="133">
        <v>912.80390404364277</v>
      </c>
      <c r="AF295" s="134">
        <v>4.6317518339077872E-2</v>
      </c>
      <c r="AG295" s="59">
        <f t="shared" si="559"/>
        <v>2.0849432686942756E-4</v>
      </c>
      <c r="AH295" s="134"/>
      <c r="AI295" s="134"/>
      <c r="AJ295" s="129">
        <f t="shared" si="569"/>
        <v>44836.63144874412</v>
      </c>
      <c r="AK295" s="134">
        <f t="shared" si="570"/>
        <v>1.4886372454084484E-2</v>
      </c>
      <c r="AL295" s="129"/>
      <c r="AM295" s="129"/>
      <c r="AN295" s="129"/>
      <c r="AO295" s="129"/>
      <c r="AP295" s="133">
        <f t="shared" si="571"/>
        <v>332.47044282357217</v>
      </c>
      <c r="AQ295" s="134">
        <f>+BB295/Outputs!$B$23</f>
        <v>3.7016828810692019E-3</v>
      </c>
      <c r="AR295" s="93">
        <f t="shared" si="560"/>
        <v>0.30084679135898867</v>
      </c>
      <c r="AS295" s="93">
        <f t="shared" si="561"/>
        <v>0.43568234431756186</v>
      </c>
      <c r="AT295" s="93">
        <f t="shared" si="562"/>
        <v>0.26347086432344952</v>
      </c>
      <c r="AU295" s="93">
        <f t="shared" ca="1" si="565"/>
        <v>1.0462860167084084E-2</v>
      </c>
      <c r="AV295" s="132">
        <f t="shared" ca="1" si="574"/>
        <v>107.48481411563769</v>
      </c>
      <c r="AW295" s="134">
        <f t="shared" ca="1" si="575"/>
        <v>1.0462860167084073E-2</v>
      </c>
      <c r="AX295" s="56">
        <f>+AJ295/$AL$20</f>
        <v>4.5014140296355618E-3</v>
      </c>
      <c r="AY295" s="135">
        <f t="shared" ca="1" si="573"/>
        <v>4.7097665546227328E-5</v>
      </c>
      <c r="AZ295" s="93"/>
      <c r="BA295" s="93"/>
      <c r="BB295" s="234">
        <f>IFERROR(INDEX('Total Customers'!$E$7:$AA$91,MATCH($C295,'Total Customers'!$C$7:$C$91,0),MATCH($G295,'Total Customers'!$E$5:$AA$5,0)),"NA")</f>
        <v>134859</v>
      </c>
      <c r="BC295" s="411">
        <f t="shared" si="524"/>
        <v>-7.1160135538569089E-4</v>
      </c>
      <c r="BD295" s="92"/>
      <c r="BE295" s="281" t="str">
        <f t="shared" si="518"/>
        <v>COLUMBIA GAS OF KENTUCKY, INCORPORATED</v>
      </c>
      <c r="BF295" s="290">
        <f t="shared" si="519"/>
        <v>4059355</v>
      </c>
      <c r="BG295" s="46" t="str">
        <f t="shared" si="520"/>
        <v>OH</v>
      </c>
      <c r="BH295" s="46"/>
      <c r="BI295" s="46" t="str">
        <f t="shared" si="521"/>
        <v>2015 Y</v>
      </c>
      <c r="BJ295" s="129"/>
      <c r="BK295" s="129"/>
      <c r="BL295" s="129">
        <f>INDEX('Dist. Plant Gas Additions'!$E$7:$AD$91,MATCH($C295,'Dist. Plant Gas Additions'!$C$7:$C$91,0),MATCH(Calculation!$G295,'Dist. Plant Gas Additions'!$E$5:$AD$5,0))</f>
        <v>31981</v>
      </c>
      <c r="BM295" s="129">
        <f>INDEX('Gen. Plant Additions'!$E$7:$AD$91,MATCH($C295,'Gen. Plant Additions'!$C$7:$C$91,0),MATCH(Calculation!$G295,'Gen. Plant Additions'!$E$5:$AD$5,0))</f>
        <v>804</v>
      </c>
      <c r="BN295" s="393">
        <f t="shared" si="538"/>
        <v>0.98760541816621839</v>
      </c>
      <c r="BO295" s="46">
        <f t="shared" si="576"/>
        <v>794.03475620563961</v>
      </c>
      <c r="BP295" s="46">
        <f t="shared" si="577"/>
        <v>-9.96524379436039</v>
      </c>
      <c r="BQ295" s="129">
        <f>INDEX('Dist Plant Depreciation'!$D$7:$AC$94,MATCH($C295,'Dist Plant Depreciation'!$C$7:$C$94,0),MATCH(Calculation!$G295,'Dist Plant Depreciation'!$D$5:$AC$5,0))</f>
        <v>137047</v>
      </c>
      <c r="BR295" s="129">
        <f>INDEX('Gen. Plant Depreciation'!$D$7:$AC$94,MATCH($C295,'Gen. Plant Depreciation'!$C$7:$C$94,0),MATCH(Calculation!$G295,'Gen. Plant Depreciation'!$D$5:$AC$5,0))</f>
        <v>207</v>
      </c>
      <c r="BS295" s="129"/>
      <c r="BT295" s="129"/>
      <c r="BU295" s="129"/>
      <c r="BV295" s="129"/>
      <c r="BW295" s="129"/>
      <c r="BX295" s="129"/>
      <c r="BY295" s="129">
        <f>INDEX('Gross Dx Plant'!$D$7:$AC$91,MATCH($C295,'Gross Dx Plant'!$C$7:$C$91,0),MATCH(Calculation!$G295,'Gross Dx Plant'!$D$5:$AC$5,0))</f>
        <v>384458</v>
      </c>
      <c r="BZ295" s="129">
        <f>INDEX('Gross Gen Plant'!$D$7:$AC$91,MATCH($C295,'Gross Gen Plant'!$C$7:$C$91,0),MATCH(Calculation!$G295,'Gross Gen Plant'!$D$5:$AC$5,0))</f>
        <v>4825</v>
      </c>
      <c r="CA295" s="129">
        <f t="shared" si="551"/>
        <v>252029</v>
      </c>
      <c r="CB295" s="129"/>
      <c r="CC295" s="133">
        <v>2015</v>
      </c>
      <c r="CD295" s="129"/>
      <c r="CE295" s="129"/>
      <c r="CF295" s="129"/>
      <c r="CG295" s="137"/>
      <c r="CH295" s="129">
        <f t="shared" si="539"/>
        <v>32785</v>
      </c>
      <c r="CI295" s="46">
        <f t="shared" si="548"/>
        <v>32775.034756205641</v>
      </c>
      <c r="CJ295" s="46">
        <f t="shared" si="540"/>
        <v>48.51143410921614</v>
      </c>
      <c r="CK295" s="443">
        <v>0.8</v>
      </c>
      <c r="CL295" s="46">
        <f>+CL278*CK295+CJ279*CK294+CJ280*CK293+CJ281*CK292+CJ282*CK291+CJ283*CK290+CJ284*CK289+CJ285*CK288+CJ286*CK287+CJ287*CK286+CJ288*CK285+CJ289*CK284+CJ290*CK283+CJ291*CK282+CJ292*CK281+CJ293*CK280+CJ294*CK279+CJ295</f>
        <v>847.22356687741137</v>
      </c>
      <c r="CM295" s="134">
        <f t="shared" si="541"/>
        <v>4.376235547642298E-2</v>
      </c>
      <c r="CN295" s="135">
        <f t="shared" si="542"/>
        <v>1.5086697393982947E-2</v>
      </c>
      <c r="CO295" s="135">
        <f t="shared" si="552"/>
        <v>1.4796982383809323E-2</v>
      </c>
      <c r="CP295" s="134">
        <f>VLOOKUP($H295,RoR!$E:$F,2,FALSE)</f>
        <v>3.8866666666666674E-2</v>
      </c>
      <c r="CQ295" s="135">
        <v>9.5709475431029478E-3</v>
      </c>
      <c r="CR295" s="135">
        <f t="shared" si="549"/>
        <v>2.9295719123563727E-2</v>
      </c>
      <c r="CS295" s="135">
        <f t="shared" si="553"/>
        <v>1.6104959224724304E-2</v>
      </c>
      <c r="CT295" s="135">
        <f t="shared" si="554"/>
        <v>3.5270373279175926E-3</v>
      </c>
      <c r="CU295" s="139">
        <f t="shared" si="543"/>
        <v>0.87050000000000005</v>
      </c>
      <c r="CV295" s="335">
        <f t="shared" si="544"/>
        <v>1.3194352816994324</v>
      </c>
      <c r="CW295" s="335">
        <f t="shared" si="545"/>
        <v>0.33177530017152673</v>
      </c>
      <c r="CX295" s="335">
        <f t="shared" si="546"/>
        <v>0.78242572977668579</v>
      </c>
      <c r="CY295" s="335">
        <f t="shared" si="547"/>
        <v>0.34251158643433932</v>
      </c>
      <c r="CZ295" s="336">
        <f>INDEX('State Tax Lookup'!$D$7:$Z$91,MATCH(Calculation!$C295,'State Tax Lookup'!$B$7:$B$91,0),MATCH($H295,'State Tax Lookup'!$D$6:$Z$6,0))</f>
        <v>0.35</v>
      </c>
      <c r="DA295" s="303">
        <v>0.37</v>
      </c>
      <c r="DB295" s="57">
        <f t="shared" si="550"/>
        <v>14.567106475813983</v>
      </c>
      <c r="DC295" s="56">
        <f t="shared" si="555"/>
        <v>-2.9534212558741505E-2</v>
      </c>
      <c r="DD295" s="303">
        <f>VLOOKUP($H295,RoR!$E:$F,2,FALSE)</f>
        <v>3.8866666666666674E-2</v>
      </c>
      <c r="DE295" s="304">
        <f>HLOOKUP($H295,'GDP-PI'!$D$8:$CQ$11,3,FALSE)</f>
        <v>9.5709475431029478E-3</v>
      </c>
      <c r="DF295" s="303">
        <f>VLOOKUP(H295,'HW Dx Data'!$E:$F,2,FALSE)</f>
        <v>675.61463308665782</v>
      </c>
      <c r="DG295" s="89">
        <f ca="1">VLOOKUP(CC295,'ECI - Input Price'!M$13:N$33,2,FALSE)</f>
        <v>133.5</v>
      </c>
      <c r="DH295" s="89"/>
      <c r="DI295" s="89"/>
      <c r="DJ295" s="56">
        <f t="shared" ca="1" si="563"/>
        <v>3.1193095773504077E-2</v>
      </c>
      <c r="DK295" s="53">
        <f>HLOOKUP(H295,'GDP-PI'!$8:$9,2,FALSE)</f>
        <v>104.639</v>
      </c>
      <c r="DL295" s="355">
        <f t="shared" si="556"/>
        <v>9.5254361854427965E-3</v>
      </c>
      <c r="EC295"/>
    </row>
    <row r="296" spans="1:133" s="126" customFormat="1" ht="21" customHeight="1" x14ac:dyDescent="0.4">
      <c r="A296" s="233" t="s">
        <v>198</v>
      </c>
      <c r="B296" s="127" t="s">
        <v>198</v>
      </c>
      <c r="C296" s="127">
        <v>4059355</v>
      </c>
      <c r="D296" s="127" t="s">
        <v>199</v>
      </c>
      <c r="E296" s="127"/>
      <c r="F296" s="127"/>
      <c r="G296" s="127" t="s">
        <v>172</v>
      </c>
      <c r="H296" s="128">
        <v>2016</v>
      </c>
      <c r="I296" s="129"/>
      <c r="J296" s="125">
        <f>IFERROR(INDEX('Labor Expenditures'!$E$7:$W$91,MATCH($C296,'Labor Expenditures'!$C$7:$C$91,0),MATCH($G296,'Labor Expenditures'!$E$5:$W$5,0)),"NA")</f>
        <v>15091.395736535351</v>
      </c>
      <c r="K296" s="125">
        <f t="shared" ca="1" si="557"/>
        <v>110.19639092030195</v>
      </c>
      <c r="L296" s="47"/>
      <c r="M296" s="131">
        <f t="shared" ca="1" si="564"/>
        <v>8.6739015815061701E-2</v>
      </c>
      <c r="N296" s="131"/>
      <c r="O296" s="131"/>
      <c r="P296" s="59">
        <f t="shared" ca="1" si="566"/>
        <v>4.1329125375884617E-4</v>
      </c>
      <c r="Q296" s="61"/>
      <c r="R296" s="387"/>
      <c r="S296" s="49">
        <f t="shared" ca="1" si="572"/>
        <v>298.26977303348474</v>
      </c>
      <c r="T296" s="61">
        <f ca="1">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</f>
        <v>0.91434519604526299</v>
      </c>
      <c r="U296" s="61"/>
      <c r="V296" s="125">
        <f>IFERROR(INDEX('Non-Labor Expenditures'!$E$7:$AA$91,MATCH($C296,'Non-Labor Expenditures'!$C$7:$C$91,0),MATCH($G296,'Non-Labor Expenditures'!$E$5:$AA$5,0)),"NA")</f>
        <v>21855.159710418935</v>
      </c>
      <c r="W296" s="125">
        <f t="shared" si="558"/>
        <v>206.69554087934983</v>
      </c>
      <c r="X296" s="131">
        <f t="shared" si="567"/>
        <v>0.10182434331663955</v>
      </c>
      <c r="Y296" s="131">
        <f t="shared" si="568"/>
        <v>4.8516933374286302E-4</v>
      </c>
      <c r="Z296" s="131"/>
      <c r="AA296" s="131"/>
      <c r="AB296" s="131"/>
      <c r="AC296" s="125">
        <f t="shared" si="537"/>
        <v>12047.394848221376</v>
      </c>
      <c r="AD296" s="129"/>
      <c r="AE296" s="133">
        <v>956.07963760740927</v>
      </c>
      <c r="AF296" s="134">
        <v>4.6320136981949624E-2</v>
      </c>
      <c r="AG296" s="59">
        <f t="shared" si="559"/>
        <v>2.2070468874546843E-4</v>
      </c>
      <c r="AH296" s="134"/>
      <c r="AI296" s="134"/>
      <c r="AJ296" s="129">
        <f t="shared" si="569"/>
        <v>48993.950295175659</v>
      </c>
      <c r="AK296" s="134">
        <f t="shared" si="570"/>
        <v>8.8671355544035727E-2</v>
      </c>
      <c r="AL296" s="129"/>
      <c r="AM296" s="129"/>
      <c r="AN296" s="129"/>
      <c r="AO296" s="129"/>
      <c r="AP296" s="133">
        <f t="shared" si="571"/>
        <v>361.77654435024039</v>
      </c>
      <c r="AQ296" s="134">
        <f>+BB296/Outputs!$B$24</f>
        <v>3.6851239969420977E-3</v>
      </c>
      <c r="AR296" s="93">
        <f t="shared" si="560"/>
        <v>0.30802569798135609</v>
      </c>
      <c r="AS296" s="93">
        <f t="shared" si="561"/>
        <v>0.44607874194155295</v>
      </c>
      <c r="AT296" s="93">
        <f t="shared" si="562"/>
        <v>0.24589556007709099</v>
      </c>
      <c r="AU296" s="93">
        <f t="shared" ca="1" si="565"/>
        <v>8.3095833302494093E-2</v>
      </c>
      <c r="AV296" s="132">
        <f t="shared" ca="1" si="574"/>
        <v>116.79793691637508</v>
      </c>
      <c r="AW296" s="134">
        <f t="shared" ca="1" si="575"/>
        <v>8.309583330249401E-2</v>
      </c>
      <c r="AX296" s="56">
        <f>+AJ296/$AL$21</f>
        <v>4.7647676178391761E-3</v>
      </c>
      <c r="AY296" s="135">
        <f t="shared" ca="1" si="573"/>
        <v>3.9593233569708568E-4</v>
      </c>
      <c r="AZ296" s="93"/>
      <c r="BA296" s="93"/>
      <c r="BB296" s="234">
        <f>IFERROR(INDEX('Total Customers'!$E$7:$AA$91,MATCH($C296,'Total Customers'!$C$7:$C$91,0),MATCH($G296,'Total Customers'!$E$5:$AA$5,0)),"NA")</f>
        <v>135426</v>
      </c>
      <c r="BC296" s="411">
        <f t="shared" si="524"/>
        <v>4.1955774958682612E-3</v>
      </c>
      <c r="BD296" s="92"/>
      <c r="BE296" s="281" t="str">
        <f t="shared" si="518"/>
        <v>COLUMBIA GAS OF KENTUCKY, INCORPORATED</v>
      </c>
      <c r="BF296" s="290">
        <f t="shared" si="519"/>
        <v>4059355</v>
      </c>
      <c r="BG296" s="46" t="str">
        <f t="shared" si="520"/>
        <v>OH</v>
      </c>
      <c r="BH296" s="46"/>
      <c r="BI296" s="46" t="str">
        <f t="shared" si="521"/>
        <v>2016 Y</v>
      </c>
      <c r="BJ296" s="129"/>
      <c r="BK296" s="129"/>
      <c r="BL296" s="129">
        <f>INDEX('Dist. Plant Gas Additions'!$E$7:$AD$91,MATCH($C296,'Dist. Plant Gas Additions'!$C$7:$C$91,0),MATCH(Calculation!$G296,'Dist. Plant Gas Additions'!$E$5:$AD$5,0))</f>
        <v>33397</v>
      </c>
      <c r="BM296" s="129">
        <f>INDEX('Gen. Plant Additions'!$E$7:$AD$91,MATCH($C296,'Gen. Plant Additions'!$C$7:$C$91,0),MATCH(Calculation!$G296,'Gen. Plant Additions'!$E$5:$AD$5,0))</f>
        <v>850</v>
      </c>
      <c r="BN296" s="393">
        <f t="shared" si="538"/>
        <v>0.98824635525141324</v>
      </c>
      <c r="BO296" s="46">
        <f t="shared" si="576"/>
        <v>840.00940196370129</v>
      </c>
      <c r="BP296" s="46">
        <f t="shared" si="577"/>
        <v>-9.9905980362987066</v>
      </c>
      <c r="BQ296" s="129">
        <f>INDEX('Dist Plant Depreciation'!$D$7:$AC$94,MATCH($C296,'Dist Plant Depreciation'!$C$7:$C$94,0),MATCH(Calculation!$G296,'Dist Plant Depreciation'!$D$5:$AC$5,0))</f>
        <v>140752</v>
      </c>
      <c r="BR296" s="129">
        <f>INDEX('Gen. Plant Depreciation'!$D$7:$AC$94,MATCH($C296,'Gen. Plant Depreciation'!$C$7:$C$94,0),MATCH(Calculation!$G296,'Gen. Plant Depreciation'!$D$5:$AC$5,0))</f>
        <v>227</v>
      </c>
      <c r="BS296" s="129"/>
      <c r="BT296" s="129"/>
      <c r="BU296" s="129"/>
      <c r="BV296" s="129"/>
      <c r="BW296" s="129"/>
      <c r="BX296" s="129"/>
      <c r="BY296" s="129">
        <f>INDEX('Gross Dx Plant'!$D$7:$AC$91,MATCH($C296,'Gross Dx Plant'!$C$7:$C$91,0),MATCH(Calculation!$G296,'Gross Dx Plant'!$D$5:$AC$5,0))</f>
        <v>415187</v>
      </c>
      <c r="BZ296" s="129">
        <f>INDEX('Gross Gen Plant'!$D$7:$AC$91,MATCH($C296,'Gross Gen Plant'!$C$7:$C$91,0),MATCH(Calculation!$G296,'Gross Gen Plant'!$D$5:$AC$5,0))</f>
        <v>4938</v>
      </c>
      <c r="CA296" s="129">
        <f t="shared" si="551"/>
        <v>279146</v>
      </c>
      <c r="CB296" s="129"/>
      <c r="CC296" s="133">
        <v>2016</v>
      </c>
      <c r="CD296" s="129"/>
      <c r="CE296" s="129"/>
      <c r="CF296" s="129"/>
      <c r="CG296" s="137"/>
      <c r="CH296" s="129">
        <f t="shared" si="539"/>
        <v>34247</v>
      </c>
      <c r="CI296" s="46">
        <f t="shared" si="548"/>
        <v>34237.009401963704</v>
      </c>
      <c r="CJ296" s="46">
        <f t="shared" si="540"/>
        <v>50.989177726285625</v>
      </c>
      <c r="CK296" s="443">
        <v>0.7857142857142857</v>
      </c>
      <c r="CL296" s="46">
        <f>+CL278*CK296+CJ279*CK295+CJ280*CK294+CJ281*CK293+CJ282*CK292+CJ283*CK291+CJ284*CK290+CJ285*CK289+CJ286*CK288+CJ287*CK287+CJ288*CK286+CJ289*CK285+CJ290*CK284+CJ291*CK283+CJ292*CK282+CJ293*CK281+CJ294*CK280+CJ295*CK279+CJ296</f>
        <v>885.21606440737685</v>
      </c>
      <c r="CM296" s="134">
        <f t="shared" si="541"/>
        <v>4.3867144511649525E-2</v>
      </c>
      <c r="CN296" s="135">
        <f t="shared" si="542"/>
        <v>1.5340319491136982E-2</v>
      </c>
      <c r="CO296" s="135">
        <f t="shared" si="552"/>
        <v>1.5082258386977651E-2</v>
      </c>
      <c r="CP296" s="134">
        <f>VLOOKUP($H296,RoR!$E:$F,2,FALSE)</f>
        <v>3.6658333333333334E-2</v>
      </c>
      <c r="CQ296" s="135">
        <v>1.0483662879041455E-2</v>
      </c>
      <c r="CR296" s="135">
        <f t="shared" si="549"/>
        <v>2.6174670454291879E-2</v>
      </c>
      <c r="CS296" s="135">
        <f t="shared" si="553"/>
        <v>1.5819683221555976E-2</v>
      </c>
      <c r="CT296" s="135">
        <f t="shared" si="554"/>
        <v>4.301363574220729E-3</v>
      </c>
      <c r="CU296" s="139">
        <f t="shared" si="543"/>
        <v>0.87050000000000005</v>
      </c>
      <c r="CV296" s="335">
        <f t="shared" si="544"/>
        <v>1.3989193348138562</v>
      </c>
      <c r="CW296" s="335">
        <f t="shared" si="545"/>
        <v>0.29302682427824522</v>
      </c>
      <c r="CX296" s="335">
        <f t="shared" si="546"/>
        <v>0.76309497491941802</v>
      </c>
      <c r="CY296" s="335">
        <f t="shared" si="547"/>
        <v>0.31280857135128509</v>
      </c>
      <c r="CZ296" s="336">
        <f>INDEX('State Tax Lookup'!$D$7:$Z$91,MATCH(Calculation!$C296,'State Tax Lookup'!$B$7:$B$91,0),MATCH($H296,'State Tax Lookup'!$D$6:$Z$6,0))</f>
        <v>0.35</v>
      </c>
      <c r="DA296" s="303">
        <v>0.37</v>
      </c>
      <c r="DB296" s="57">
        <f t="shared" si="550"/>
        <v>14.219853317612644</v>
      </c>
      <c r="DC296" s="56">
        <f t="shared" si="555"/>
        <v>-2.4126896720502781E-2</v>
      </c>
      <c r="DD296" s="303">
        <f>VLOOKUP($H296,RoR!$E:$F,2,FALSE)</f>
        <v>3.6658333333333334E-2</v>
      </c>
      <c r="DE296" s="304">
        <f>HLOOKUP($H296,'GDP-PI'!$D$8:$CQ$11,3,FALSE)</f>
        <v>1.0483662879041455E-2</v>
      </c>
      <c r="DF296" s="303">
        <f>VLOOKUP(H296,'HW Dx Data'!$E:$F,2,FALSE)</f>
        <v>671.45639385971219</v>
      </c>
      <c r="DG296" s="89">
        <f ca="1">VLOOKUP(CC296,'ECI - Input Price'!M$13:N$33,2,FALSE)</f>
        <v>136.94999999999999</v>
      </c>
      <c r="DH296" s="89"/>
      <c r="DI296" s="89"/>
      <c r="DJ296" s="56">
        <f t="shared" ca="1" si="563"/>
        <v>2.5514417868782811E-2</v>
      </c>
      <c r="DK296" s="53">
        <f>HLOOKUP(H296,'GDP-PI'!$8:$9,2,FALSE)</f>
        <v>105.736</v>
      </c>
      <c r="DL296" s="355">
        <f t="shared" si="556"/>
        <v>1.0429090367205095E-2</v>
      </c>
      <c r="EC296"/>
    </row>
    <row r="297" spans="1:133" s="126" customFormat="1" ht="21" customHeight="1" x14ac:dyDescent="0.4">
      <c r="A297" s="233" t="s">
        <v>198</v>
      </c>
      <c r="B297" s="127" t="s">
        <v>198</v>
      </c>
      <c r="C297" s="127">
        <v>4059355</v>
      </c>
      <c r="D297" s="127" t="s">
        <v>199</v>
      </c>
      <c r="E297" s="127"/>
      <c r="F297" s="127"/>
      <c r="G297" s="127" t="s">
        <v>173</v>
      </c>
      <c r="H297" s="128">
        <v>2017</v>
      </c>
      <c r="I297" s="129"/>
      <c r="J297" s="125">
        <f>IFERROR(INDEX('Labor Expenditures'!$E$7:$W$91,MATCH($C297,'Labor Expenditures'!$C$7:$C$91,0),MATCH($G297,'Labor Expenditures'!$E$5:$W$5,0)),"NA")</f>
        <v>17908.976896463082</v>
      </c>
      <c r="K297" s="125">
        <f t="shared" ca="1" si="557"/>
        <v>127.51140545719532</v>
      </c>
      <c r="L297" s="47"/>
      <c r="M297" s="131">
        <f t="shared" ca="1" si="564"/>
        <v>0.14594166925087748</v>
      </c>
      <c r="N297" s="131"/>
      <c r="O297" s="131"/>
      <c r="P297" s="59">
        <f t="shared" ca="1" si="566"/>
        <v>7.8497032487160375E-4</v>
      </c>
      <c r="Q297" s="61"/>
      <c r="R297" s="387"/>
      <c r="S297" s="49">
        <f t="shared" ca="1" si="572"/>
        <v>166.58001760806047</v>
      </c>
      <c r="T297" s="61">
        <f ca="1">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</f>
        <v>-0.58252257541317054</v>
      </c>
      <c r="U297" s="61"/>
      <c r="V297" s="125">
        <f>IFERROR(INDEX('Non-Labor Expenditures'!$E$7:$AA$91,MATCH($C297,'Non-Labor Expenditures'!$C$7:$C$91,0),MATCH($G297,'Non-Labor Expenditures'!$E$5:$AA$5,0)),"NA")</f>
        <v>25935.543481564087</v>
      </c>
      <c r="W297" s="125">
        <f t="shared" si="558"/>
        <v>240.69886573269935</v>
      </c>
      <c r="X297" s="131">
        <f t="shared" si="567"/>
        <v>0.15229973886429798</v>
      </c>
      <c r="Y297" s="131">
        <f t="shared" si="568"/>
        <v>8.1916820677621247E-4</v>
      </c>
      <c r="Z297" s="131"/>
      <c r="AA297" s="131"/>
      <c r="AB297" s="131"/>
      <c r="AC297" s="125">
        <f t="shared" si="537"/>
        <v>11443.389447127291</v>
      </c>
      <c r="AD297" s="129"/>
      <c r="AE297" s="133">
        <v>996.23023821370225</v>
      </c>
      <c r="AF297" s="134">
        <v>4.1137181217217961E-2</v>
      </c>
      <c r="AG297" s="59">
        <f t="shared" si="559"/>
        <v>2.2126282829389705E-4</v>
      </c>
      <c r="AH297" s="134"/>
      <c r="AI297" s="134"/>
      <c r="AJ297" s="129">
        <f t="shared" si="569"/>
        <v>55287.909825154464</v>
      </c>
      <c r="AK297" s="134">
        <f t="shared" si="570"/>
        <v>0.1208574286610011</v>
      </c>
      <c r="AL297" s="129"/>
      <c r="AM297" s="129"/>
      <c r="AN297" s="129"/>
      <c r="AO297" s="129"/>
      <c r="AP297" s="133">
        <f t="shared" si="571"/>
        <v>407.32542933350862</v>
      </c>
      <c r="AQ297" s="134">
        <f>+BB297/Outputs!$B$25</f>
        <v>3.6657552016378715E-3</v>
      </c>
      <c r="AR297" s="93">
        <f t="shared" si="560"/>
        <v>0.32392211883392624</v>
      </c>
      <c r="AS297" s="93">
        <f t="shared" si="561"/>
        <v>0.46909972837794162</v>
      </c>
      <c r="AT297" s="93">
        <f t="shared" si="562"/>
        <v>0.20697815278813211</v>
      </c>
      <c r="AU297" s="93">
        <f t="shared" ca="1" si="565"/>
        <v>0.12511945465200389</v>
      </c>
      <c r="AV297" s="132">
        <f t="shared" ca="1" si="574"/>
        <v>132.36521223420263</v>
      </c>
      <c r="AW297" s="134">
        <f t="shared" ca="1" si="575"/>
        <v>0.12511945465200383</v>
      </c>
      <c r="AX297" s="56">
        <f>+AJ297/$AL$22</f>
        <v>5.3786579864467604E-3</v>
      </c>
      <c r="AY297" s="135">
        <f t="shared" ca="1" si="573"/>
        <v>6.7297475402386365E-4</v>
      </c>
      <c r="AZ297" s="93"/>
      <c r="BA297" s="93"/>
      <c r="BB297" s="234">
        <f>IFERROR(INDEX('Total Customers'!$E$7:$AA$91,MATCH($C297,'Total Customers'!$C$7:$C$91,0),MATCH($G297,'Total Customers'!$E$5:$AA$5,0)),"NA")</f>
        <v>135734</v>
      </c>
      <c r="BC297" s="411">
        <f t="shared" si="524"/>
        <v>2.2717224698225783E-3</v>
      </c>
      <c r="BD297" s="92"/>
      <c r="BE297" s="281" t="str">
        <f t="shared" si="518"/>
        <v>COLUMBIA GAS OF KENTUCKY, INCORPORATED</v>
      </c>
      <c r="BF297" s="290">
        <f t="shared" si="519"/>
        <v>4059355</v>
      </c>
      <c r="BG297" s="46" t="str">
        <f t="shared" si="520"/>
        <v>OH</v>
      </c>
      <c r="BH297" s="46"/>
      <c r="BI297" s="46" t="str">
        <f t="shared" si="521"/>
        <v>2017 Y</v>
      </c>
      <c r="BJ297" s="129"/>
      <c r="BK297" s="129"/>
      <c r="BL297" s="129">
        <f>INDEX('Dist. Plant Gas Additions'!$E$7:$AD$91,MATCH($C297,'Dist. Plant Gas Additions'!$C$7:$C$91,0),MATCH(Calculation!$G297,'Dist. Plant Gas Additions'!$E$5:$AD$5,0))</f>
        <v>33566</v>
      </c>
      <c r="BM297" s="129">
        <f>INDEX('Gen. Plant Additions'!$E$7:$AD$91,MATCH($C297,'Gen. Plant Additions'!$C$7:$C$91,0),MATCH(Calculation!$G297,'Gen. Plant Additions'!$E$5:$AD$5,0))</f>
        <v>938</v>
      </c>
      <c r="BN297" s="393">
        <f t="shared" si="538"/>
        <v>0.98726904384984115</v>
      </c>
      <c r="BO297" s="46">
        <f t="shared" si="576"/>
        <v>926.05836313115105</v>
      </c>
      <c r="BP297" s="46">
        <f t="shared" si="577"/>
        <v>-11.941636868848946</v>
      </c>
      <c r="BQ297" s="129">
        <f>INDEX('Dist Plant Depreciation'!$D$7:$AC$94,MATCH($C297,'Dist Plant Depreciation'!$C$7:$C$94,0),MATCH(Calculation!$G297,'Dist Plant Depreciation'!$D$5:$AC$5,0))</f>
        <v>146970</v>
      </c>
      <c r="BR297" s="129">
        <f>INDEX('Gen. Plant Depreciation'!$D$7:$AC$94,MATCH($C297,'Gen. Plant Depreciation'!$C$7:$C$94,0),MATCH(Calculation!$G297,'Gen. Plant Depreciation'!$D$5:$AC$5,0))</f>
        <v>239</v>
      </c>
      <c r="BS297" s="129"/>
      <c r="BT297" s="129"/>
      <c r="BU297" s="129"/>
      <c r="BV297" s="129"/>
      <c r="BW297" s="129"/>
      <c r="BX297" s="129"/>
      <c r="BY297" s="129">
        <f>INDEX('Gross Dx Plant'!$D$7:$AC$91,MATCH($C297,'Gross Dx Plant'!$C$7:$C$91,0),MATCH(Calculation!$G297,'Gross Dx Plant'!$D$5:$AC$5,0))</f>
        <v>445905</v>
      </c>
      <c r="BZ297" s="129">
        <f>INDEX('Gross Gen Plant'!$D$7:$AC$91,MATCH($C297,'Gross Gen Plant'!$C$7:$C$91,0),MATCH(Calculation!$G297,'Gross Gen Plant'!$D$5:$AC$5,0))</f>
        <v>5750</v>
      </c>
      <c r="CA297" s="129">
        <f t="shared" si="551"/>
        <v>304446</v>
      </c>
      <c r="CB297" s="129"/>
      <c r="CC297" s="133">
        <v>2017</v>
      </c>
      <c r="CD297" s="129"/>
      <c r="CE297" s="129"/>
      <c r="CF297" s="129"/>
      <c r="CG297" s="137"/>
      <c r="CH297" s="129">
        <f t="shared" si="539"/>
        <v>34504</v>
      </c>
      <c r="CI297" s="46">
        <f t="shared" si="548"/>
        <v>34492.058363131153</v>
      </c>
      <c r="CJ297" s="46">
        <f t="shared" si="540"/>
        <v>48.414759250513676</v>
      </c>
      <c r="CK297" s="443">
        <v>0.77108433734939763</v>
      </c>
      <c r="CL297" s="46">
        <f>+CL278*CK297+CJ279*CK296+CJ280*CK295+CJ281*CK294+CJ282*CK293+CJ283*CK292+CJ284*CK291+CJ285*CK290+CJ286*CK289+CJ287*CK288+CJ288*CK287+CJ289*CK286+CJ290*CK285+CJ291*CK284+CJ292*CK283+CJ293*CK282+CJ294*CK281+CJ295*CK280+CJ296*CK279+CJ297</f>
        <v>919.82794824639609</v>
      </c>
      <c r="CM297" s="134">
        <f t="shared" si="541"/>
        <v>3.8354883994583186E-2</v>
      </c>
      <c r="CN297" s="135">
        <f t="shared" si="542"/>
        <v>1.5592662589935042E-2</v>
      </c>
      <c r="CO297" s="135">
        <f t="shared" si="552"/>
        <v>1.5339893158351657E-2</v>
      </c>
      <c r="CP297" s="134">
        <f>VLOOKUP($H297,RoR!$E:$F,2,FALSE)</f>
        <v>3.7433333333333339E-2</v>
      </c>
      <c r="CQ297" s="135">
        <v>1.9056896421275615E-2</v>
      </c>
      <c r="CR297" s="135">
        <f t="shared" si="549"/>
        <v>1.8376436912057724E-2</v>
      </c>
      <c r="CS297" s="135">
        <f t="shared" si="553"/>
        <v>1.5562048450181968E-2</v>
      </c>
      <c r="CT297" s="135">
        <f t="shared" si="554"/>
        <v>1.3976271617800498E-2</v>
      </c>
      <c r="CU297" s="139">
        <f t="shared" si="543"/>
        <v>0.92230000000000001</v>
      </c>
      <c r="CV297" s="335">
        <f t="shared" si="544"/>
        <v>1.3699568463593395</v>
      </c>
      <c r="CW297" s="335">
        <f t="shared" si="545"/>
        <v>0.30714603739982199</v>
      </c>
      <c r="CX297" s="335">
        <f t="shared" si="546"/>
        <v>0.77007188472689425</v>
      </c>
      <c r="CY297" s="335">
        <f t="shared" si="547"/>
        <v>0.32402839633793828</v>
      </c>
      <c r="CZ297" s="336">
        <f>INDEX('State Tax Lookup'!$D$7:$Z$91,MATCH(Calculation!$C297,'State Tax Lookup'!$B$7:$B$91,0),MATCH($H297,'State Tax Lookup'!$D$6:$Z$6,0))</f>
        <v>0.20999999999999996</v>
      </c>
      <c r="DA297" s="303">
        <v>0.37</v>
      </c>
      <c r="DB297" s="57">
        <f t="shared" si="550"/>
        <v>12.927227495344049</v>
      </c>
      <c r="DC297" s="56">
        <f t="shared" si="555"/>
        <v>-9.5303363493825621E-2</v>
      </c>
      <c r="DD297" s="303">
        <f>VLOOKUP($H297,RoR!$E:$F,2,FALSE)</f>
        <v>3.7433333333333339E-2</v>
      </c>
      <c r="DE297" s="304">
        <f>HLOOKUP($H297,'GDP-PI'!$D$8:$CQ$11,3,FALSE)</f>
        <v>1.9056896421275615E-2</v>
      </c>
      <c r="DF297" s="303">
        <f>VLOOKUP(H297,'HW Dx Data'!$E:$F,2,FALSE)</f>
        <v>712.42858370229726</v>
      </c>
      <c r="DG297" s="89">
        <f ca="1">VLOOKUP(CC297,'ECI - Input Price'!M$13:N$33,2,FALSE)</f>
        <v>140.44999999999999</v>
      </c>
      <c r="DH297" s="89"/>
      <c r="DI297" s="89"/>
      <c r="DJ297" s="56">
        <f t="shared" ca="1" si="563"/>
        <v>2.5235657841165486E-2</v>
      </c>
      <c r="DK297" s="53">
        <f>HLOOKUP(H297,'GDP-PI'!$8:$9,2,FALSE)</f>
        <v>107.751</v>
      </c>
      <c r="DL297" s="355">
        <f t="shared" si="556"/>
        <v>1.8877588227745139E-2</v>
      </c>
      <c r="EC297"/>
    </row>
    <row r="298" spans="1:133" s="126" customFormat="1" ht="21" customHeight="1" x14ac:dyDescent="0.4">
      <c r="A298" s="233" t="s">
        <v>198</v>
      </c>
      <c r="B298" s="127" t="s">
        <v>198</v>
      </c>
      <c r="C298" s="127">
        <v>4059355</v>
      </c>
      <c r="D298" s="127" t="s">
        <v>199</v>
      </c>
      <c r="E298" s="127"/>
      <c r="F298" s="127"/>
      <c r="G298" s="127" t="s">
        <v>174</v>
      </c>
      <c r="H298" s="128">
        <v>2018</v>
      </c>
      <c r="I298" s="129"/>
      <c r="J298" s="125">
        <f>IFERROR(INDEX('Labor Expenditures'!$E$7:$W$91,MATCH($C298,'Labor Expenditures'!$C$7:$C$91,0),MATCH($G298,'Labor Expenditures'!$E$5:$W$5,0)),"NA")</f>
        <v>16461.631404846739</v>
      </c>
      <c r="K298" s="125">
        <f t="shared" ca="1" si="557"/>
        <v>113.9607573890394</v>
      </c>
      <c r="L298" s="47"/>
      <c r="M298" s="131">
        <f t="shared" ca="1" si="564"/>
        <v>-0.11235165946080838</v>
      </c>
      <c r="N298" s="131"/>
      <c r="O298" s="131"/>
      <c r="P298" s="59">
        <f t="shared" ca="1" si="566"/>
        <v>-5.3173359728739386E-4</v>
      </c>
      <c r="Q298" s="61"/>
      <c r="R298" s="387"/>
      <c r="S298" s="49">
        <f t="shared" ca="1" si="572"/>
        <v>114.8304214422968</v>
      </c>
      <c r="T298" s="61">
        <f ca="1">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</f>
        <v>-0.37201933628810419</v>
      </c>
      <c r="U298" s="61"/>
      <c r="V298" s="125">
        <f>IFERROR(INDEX('Non-Labor Expenditures'!$E$7:$AA$91,MATCH($C298,'Non-Labor Expenditures'!$C$7:$C$91,0),MATCH($G298,'Non-Labor Expenditures'!$E$5:$AA$5,0)),"NA")</f>
        <v>23839.516882854536</v>
      </c>
      <c r="W298" s="125">
        <f t="shared" si="558"/>
        <v>216.090325436944</v>
      </c>
      <c r="X298" s="131">
        <f t="shared" si="567"/>
        <v>-0.10785013881532557</v>
      </c>
      <c r="Y298" s="131">
        <f t="shared" si="568"/>
        <v>-5.104289741285254E-4</v>
      </c>
      <c r="Z298" s="131"/>
      <c r="AA298" s="131"/>
      <c r="AB298" s="131"/>
      <c r="AC298" s="125">
        <f t="shared" si="537"/>
        <v>12364.771605259759</v>
      </c>
      <c r="AD298" s="129"/>
      <c r="AE298" s="133">
        <v>1036.732685903713</v>
      </c>
      <c r="AF298" s="134">
        <v>3.9851004893169541E-2</v>
      </c>
      <c r="AG298" s="59">
        <f t="shared" si="559"/>
        <v>1.8860529776824813E-4</v>
      </c>
      <c r="AH298" s="134"/>
      <c r="AI298" s="134"/>
      <c r="AJ298" s="129">
        <f t="shared" si="569"/>
        <v>52665.919892961036</v>
      </c>
      <c r="AK298" s="134">
        <f t="shared" si="570"/>
        <v>-4.8585690774881896E-2</v>
      </c>
      <c r="AL298" s="129"/>
      <c r="AM298" s="129"/>
      <c r="AN298" s="129"/>
      <c r="AO298" s="129"/>
      <c r="AP298" s="133">
        <f t="shared" si="571"/>
        <v>386.36021430796058</v>
      </c>
      <c r="AQ298" s="134">
        <f>+BB298/Outputs!$B$26</f>
        <v>3.6491510201817623E-3</v>
      </c>
      <c r="AR298" s="93">
        <f t="shared" si="560"/>
        <v>0.3125670535766506</v>
      </c>
      <c r="AS298" s="93">
        <f t="shared" si="561"/>
        <v>0.45265547305176307</v>
      </c>
      <c r="AT298" s="93">
        <f t="shared" si="562"/>
        <v>0.23477747337158633</v>
      </c>
      <c r="AU298" s="93">
        <f t="shared" ca="1" si="565"/>
        <v>-7.6658817778715402E-2</v>
      </c>
      <c r="AV298" s="132">
        <f t="shared" ca="1" si="574"/>
        <v>122.59742790621112</v>
      </c>
      <c r="AW298" s="134">
        <f t="shared" ca="1" si="575"/>
        <v>-7.6658817778715402E-2</v>
      </c>
      <c r="AX298" s="56">
        <f>+AJ298/$AL$23</f>
        <v>4.7327614014715863E-3</v>
      </c>
      <c r="AY298" s="135">
        <f t="shared" ca="1" si="573"/>
        <v>-3.6280789386554808E-4</v>
      </c>
      <c r="AZ298" s="93"/>
      <c r="BA298" s="93"/>
      <c r="BB298" s="234">
        <f>IFERROR(INDEX('Total Customers'!$E$7:$AA$91,MATCH($C298,'Total Customers'!$C$7:$C$91,0),MATCH($G298,'Total Customers'!$E$5:$AA$5,0)),"NA")</f>
        <v>136313</v>
      </c>
      <c r="BC298" s="411">
        <f t="shared" si="524"/>
        <v>4.2566238498060703E-3</v>
      </c>
      <c r="BD298" s="92"/>
      <c r="BE298" s="281" t="str">
        <f t="shared" si="518"/>
        <v>COLUMBIA GAS OF KENTUCKY, INCORPORATED</v>
      </c>
      <c r="BF298" s="290">
        <f t="shared" si="519"/>
        <v>4059355</v>
      </c>
      <c r="BG298" s="46" t="str">
        <f t="shared" si="520"/>
        <v>OH</v>
      </c>
      <c r="BH298" s="46"/>
      <c r="BI298" s="46" t="str">
        <f t="shared" si="521"/>
        <v>2018 Y</v>
      </c>
      <c r="BJ298" s="129"/>
      <c r="BK298" s="129"/>
      <c r="BL298" s="129">
        <f>INDEX('Dist. Plant Gas Additions'!$E$7:$AD$91,MATCH($C298,'Dist. Plant Gas Additions'!$C$7:$C$91,0),MATCH(Calculation!$G298,'Dist. Plant Gas Additions'!$E$5:$AD$5,0))</f>
        <v>36820</v>
      </c>
      <c r="BM298" s="129">
        <f>INDEX('Gen. Plant Additions'!$E$7:$AD$91,MATCH($C298,'Gen. Plant Additions'!$C$7:$C$91,0),MATCH(Calculation!$G298,'Gen. Plant Additions'!$E$5:$AD$5,0))</f>
        <v>445</v>
      </c>
      <c r="BN298" s="393">
        <f t="shared" si="538"/>
        <v>0.98766469439409388</v>
      </c>
      <c r="BO298" s="46">
        <f t="shared" si="576"/>
        <v>439.51078900537175</v>
      </c>
      <c r="BP298" s="46">
        <f t="shared" si="577"/>
        <v>-5.4892109946282517</v>
      </c>
      <c r="BQ298" s="129">
        <f>INDEX('Dist Plant Depreciation'!$D$7:$AC$94,MATCH($C298,'Dist Plant Depreciation'!$C$7:$C$94,0),MATCH(Calculation!$G298,'Dist Plant Depreciation'!$D$5:$AC$5,0))</f>
        <v>152230</v>
      </c>
      <c r="BR298" s="129">
        <f>INDEX('Gen. Plant Depreciation'!$D$7:$AC$94,MATCH($C298,'Gen. Plant Depreciation'!$C$7:$C$94,0),MATCH(Calculation!$G298,'Gen. Plant Depreciation'!$D$5:$AC$5,0))</f>
        <v>291</v>
      </c>
      <c r="BS298" s="129"/>
      <c r="BT298" s="129"/>
      <c r="BU298" s="129"/>
      <c r="BV298" s="129"/>
      <c r="BW298" s="129"/>
      <c r="BX298" s="129"/>
      <c r="BY298" s="129">
        <f>INDEX('Gross Dx Plant'!$D$7:$AC$91,MATCH($C298,'Gross Dx Plant'!$C$7:$C$91,0),MATCH(Calculation!$G298,'Gross Dx Plant'!$D$5:$AC$5,0))</f>
        <v>478407</v>
      </c>
      <c r="BZ298" s="129">
        <f>INDEX('Gross Gen Plant'!$D$7:$AC$91,MATCH($C298,'Gross Gen Plant'!$C$7:$C$91,0),MATCH(Calculation!$G298,'Gross Gen Plant'!$D$5:$AC$5,0))</f>
        <v>5975</v>
      </c>
      <c r="CA298" s="129">
        <f t="shared" si="551"/>
        <v>331861</v>
      </c>
      <c r="CB298" s="129"/>
      <c r="CC298" s="133">
        <v>2018</v>
      </c>
      <c r="CD298" s="129"/>
      <c r="CE298" s="129"/>
      <c r="CF298" s="129"/>
      <c r="CG298" s="137"/>
      <c r="CH298" s="129">
        <f t="shared" si="539"/>
        <v>37265</v>
      </c>
      <c r="CI298" s="46">
        <f t="shared" si="548"/>
        <v>37259.51078900537</v>
      </c>
      <c r="CJ298" s="46">
        <f t="shared" si="540"/>
        <v>49.341410742403689</v>
      </c>
      <c r="CK298" s="443">
        <v>0.75609756097560976</v>
      </c>
      <c r="CL298" s="46">
        <f>+CL278*CK298++CJ279*CK297+CJ280*CK296+CJ281*CK295+CJ282*CK294+CJ283*CK293+CJ284*CK292+CJ285*CK291+CJ286*CK290+CJ287*CK289+CJ288*CK288+CJ289*CK287+CJ290*CK286+CJ291*CK285+CJ292*CK284+CJ293*CK283+CJ294*CK282+CJ295*CK281+CJ296*CK280+CJ297*CK279+CJ298</f>
        <v>954.56503763038859</v>
      </c>
      <c r="CM298" s="134">
        <f t="shared" si="541"/>
        <v>3.7069138971230015E-2</v>
      </c>
      <c r="CN298" s="135">
        <f t="shared" si="542"/>
        <v>1.587723159124874E-2</v>
      </c>
      <c r="CO298" s="135">
        <f t="shared" si="552"/>
        <v>1.5603404557440255E-2</v>
      </c>
      <c r="CP298" s="134">
        <f>VLOOKUP($H298,RoR!$E:$F,2,FALSE)</f>
        <v>3.9299999999999995E-2</v>
      </c>
      <c r="CQ298" s="135">
        <v>2.386056741932796E-2</v>
      </c>
      <c r="CR298" s="135">
        <f t="shared" si="549"/>
        <v>1.5439432580672034E-2</v>
      </c>
      <c r="CS298" s="135">
        <f t="shared" si="553"/>
        <v>1.529853705109337E-2</v>
      </c>
      <c r="CT298" s="135">
        <f t="shared" si="554"/>
        <v>3.8270792163076606E-2</v>
      </c>
      <c r="CU298" s="139">
        <f t="shared" si="543"/>
        <v>0.92230000000000001</v>
      </c>
      <c r="CV298" s="335">
        <f t="shared" si="544"/>
        <v>1.3048868010700074</v>
      </c>
      <c r="CW298" s="335">
        <f t="shared" si="545"/>
        <v>0.33886768447837151</v>
      </c>
      <c r="CX298" s="335">
        <f t="shared" si="546"/>
        <v>0.78602506232557801</v>
      </c>
      <c r="CY298" s="335">
        <f t="shared" si="547"/>
        <v>0.34756768162358759</v>
      </c>
      <c r="CZ298" s="336">
        <f>INDEX('State Tax Lookup'!$D$7:$Z$91,MATCH(Calculation!$C298,'State Tax Lookup'!$B$7:$B$91,0),MATCH($H298,'State Tax Lookup'!$D$6:$Z$6,0))</f>
        <v>0.20999999999999996</v>
      </c>
      <c r="DA298" s="303">
        <v>0.37</v>
      </c>
      <c r="DB298" s="57">
        <f t="shared" si="550"/>
        <v>13.442483052219222</v>
      </c>
      <c r="DC298" s="56">
        <f t="shared" si="555"/>
        <v>3.9084323328870983E-2</v>
      </c>
      <c r="DD298" s="303">
        <f>VLOOKUP($H298,RoR!$E:$F,2,FALSE)</f>
        <v>3.9299999999999995E-2</v>
      </c>
      <c r="DE298" s="304">
        <f>HLOOKUP($H298,'GDP-PI'!$D$8:$CQ$11,3,FALSE)</f>
        <v>2.386056741932796E-2</v>
      </c>
      <c r="DF298" s="303">
        <f>VLOOKUP(H298,'HW Dx Data'!$E:$F,2,FALSE)</f>
        <v>755.13671434174842</v>
      </c>
      <c r="DG298" s="89">
        <f ca="1">VLOOKUP(CC298,'ECI - Input Price'!M$13:N$33,2,FALSE)</f>
        <v>144.44999999999999</v>
      </c>
      <c r="DH298" s="89"/>
      <c r="DI298" s="89"/>
      <c r="DJ298" s="56">
        <f t="shared" ca="1" si="563"/>
        <v>2.80818733619915E-2</v>
      </c>
      <c r="DK298" s="53">
        <f>HLOOKUP(H298,'GDP-PI'!$8:$9,2,FALSE)</f>
        <v>110.322</v>
      </c>
      <c r="DL298" s="355">
        <f t="shared" si="556"/>
        <v>2.3580352716508712E-2</v>
      </c>
      <c r="EC298"/>
    </row>
    <row r="299" spans="1:133" s="126" customFormat="1" ht="21" customHeight="1" x14ac:dyDescent="0.4">
      <c r="A299" s="233" t="s">
        <v>198</v>
      </c>
      <c r="B299" s="127" t="s">
        <v>198</v>
      </c>
      <c r="C299" s="127">
        <v>4059355</v>
      </c>
      <c r="D299" s="127" t="s">
        <v>199</v>
      </c>
      <c r="E299" s="127"/>
      <c r="F299" s="127"/>
      <c r="G299" s="127" t="s">
        <v>175</v>
      </c>
      <c r="H299" s="128">
        <v>2019</v>
      </c>
      <c r="I299" s="129"/>
      <c r="J299" s="125">
        <f>IFERROR(INDEX('Labor Expenditures'!$E$7:$W$91,MATCH($C299,'Labor Expenditures'!$C$7:$C$91,0),MATCH($G299,'Labor Expenditures'!$E$5:$W$5,0)),"NA")</f>
        <v>19082.827967727819</v>
      </c>
      <c r="K299" s="125">
        <f t="shared" ca="1" si="557"/>
        <v>127.4950924852368</v>
      </c>
      <c r="L299" s="47"/>
      <c r="M299" s="131">
        <f t="shared" ca="1" si="564"/>
        <v>0.11222371784275238</v>
      </c>
      <c r="N299" s="131"/>
      <c r="O299" s="131"/>
      <c r="P299" s="59">
        <f t="shared" ca="1" si="566"/>
        <v>5.8720455204532625E-4</v>
      </c>
      <c r="Q299" s="61"/>
      <c r="R299" s="387"/>
      <c r="S299" s="49">
        <f t="shared" ca="1" si="572"/>
        <v>115.58718693208716</v>
      </c>
      <c r="T299" s="61">
        <f ca="1">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</f>
        <v>6.5686664848644896E-3</v>
      </c>
      <c r="U299" s="61"/>
      <c r="V299" s="125">
        <f>IFERROR(INDEX('Non-Labor Expenditures'!$E$7:$AA$91,MATCH($C299,'Non-Labor Expenditures'!$C$7:$C$91,0),MATCH($G299,'Non-Labor Expenditures'!$E$5:$AA$5,0)),"NA")</f>
        <v>27635.499077892979</v>
      </c>
      <c r="W299" s="125">
        <f t="shared" si="558"/>
        <v>246.04692994794226</v>
      </c>
      <c r="X299" s="131">
        <f t="shared" si="567"/>
        <v>0.12982579629052232</v>
      </c>
      <c r="Y299" s="131">
        <f t="shared" si="568"/>
        <v>6.793064783464335E-4</v>
      </c>
      <c r="Z299" s="131"/>
      <c r="AA299" s="131"/>
      <c r="AB299" s="131"/>
      <c r="AC299" s="125">
        <f t="shared" si="537"/>
        <v>12895.521185052952</v>
      </c>
      <c r="AD299" s="129"/>
      <c r="AE299" s="133">
        <v>1097.7307950252266</v>
      </c>
      <c r="AF299" s="134">
        <v>5.717101580697552E-2</v>
      </c>
      <c r="AG299" s="59">
        <f t="shared" si="559"/>
        <v>2.9914425731244305E-4</v>
      </c>
      <c r="AH299" s="134"/>
      <c r="AI299" s="134"/>
      <c r="AJ299" s="129">
        <f t="shared" si="569"/>
        <v>59613.84823067375</v>
      </c>
      <c r="AK299" s="134">
        <f t="shared" si="570"/>
        <v>0.12391933493445635</v>
      </c>
      <c r="AL299" s="129"/>
      <c r="AM299" s="129"/>
      <c r="AN299" s="129"/>
      <c r="AO299" s="129"/>
      <c r="AP299" s="133">
        <f t="shared" si="571"/>
        <v>435.78011543058926</v>
      </c>
      <c r="AQ299" s="134">
        <f>+BB299/Outputs!$B$27</f>
        <v>3.6319323630852325E-3</v>
      </c>
      <c r="AR299" s="93">
        <f t="shared" si="560"/>
        <v>0.3201072994631628</v>
      </c>
      <c r="AS299" s="93">
        <f t="shared" si="561"/>
        <v>0.46357515741910099</v>
      </c>
      <c r="AT299" s="93">
        <f t="shared" si="562"/>
        <v>0.21631754311773624</v>
      </c>
      <c r="AU299" s="93">
        <f t="shared" ca="1" si="565"/>
        <v>0.10787049979334604</v>
      </c>
      <c r="AV299" s="132">
        <f t="shared" ca="1" si="574"/>
        <v>136.56170223529398</v>
      </c>
      <c r="AW299" s="134">
        <f t="shared" ca="1" si="575"/>
        <v>0.10787049979334594</v>
      </c>
      <c r="AX299" s="56">
        <f>+AJ299/$AL$24</f>
        <v>5.2324460758653166E-3</v>
      </c>
      <c r="AY299" s="135">
        <f t="shared" ca="1" si="573"/>
        <v>5.644265733453234E-4</v>
      </c>
      <c r="AZ299" s="93"/>
      <c r="BA299" s="93"/>
      <c r="BB299" s="234">
        <f>IFERROR(INDEX('Total Customers'!$E$7:$AA$91,MATCH($C299,'Total Customers'!$C$7:$C$91,0),MATCH($G299,'Total Customers'!$E$5:$AA$5,0)),"NA")</f>
        <v>136798</v>
      </c>
      <c r="BC299" s="411">
        <f t="shared" si="524"/>
        <v>3.551673201234503E-3</v>
      </c>
      <c r="BD299" s="92"/>
      <c r="BE299" s="281" t="str">
        <f t="shared" si="518"/>
        <v>COLUMBIA GAS OF KENTUCKY, INCORPORATED</v>
      </c>
      <c r="BF299" s="290">
        <f t="shared" si="519"/>
        <v>4059355</v>
      </c>
      <c r="BG299" s="46" t="str">
        <f t="shared" si="520"/>
        <v>OH</v>
      </c>
      <c r="BH299" s="46"/>
      <c r="BI299" s="46" t="str">
        <f t="shared" si="521"/>
        <v>2019 Y</v>
      </c>
      <c r="BJ299" s="129"/>
      <c r="BK299" s="129"/>
      <c r="BL299" s="129">
        <f>INDEX('Dist. Plant Gas Additions'!$E$7:$AD$91,MATCH($C299,'Dist. Plant Gas Additions'!$C$7:$C$91,0),MATCH(Calculation!$G299,'Dist. Plant Gas Additions'!$E$5:$AD$5,0))</f>
        <v>54071</v>
      </c>
      <c r="BM299" s="129">
        <f>INDEX('Gen. Plant Additions'!$E$7:$AD$91,MATCH($C299,'Gen. Plant Additions'!$C$7:$C$91,0),MATCH(Calculation!$G299,'Gen. Plant Additions'!$E$5:$AD$5,0))</f>
        <v>418</v>
      </c>
      <c r="BN299" s="393">
        <f t="shared" si="538"/>
        <v>0.98842832275394288</v>
      </c>
      <c r="BO299" s="46">
        <f t="shared" si="576"/>
        <v>413.16303891114813</v>
      </c>
      <c r="BP299" s="46">
        <f t="shared" si="577"/>
        <v>-4.836961088851865</v>
      </c>
      <c r="BQ299" s="129">
        <f>INDEX('Dist Plant Depreciation'!$D$7:$AC$94,MATCH($C299,'Dist Plant Depreciation'!$C$7:$C$94,0),MATCH(Calculation!$G299,'Dist Plant Depreciation'!$D$5:$AC$5,0))</f>
        <v>157411</v>
      </c>
      <c r="BR299" s="129">
        <f>INDEX('Gen. Plant Depreciation'!$D$7:$AC$94,MATCH($C299,'Gen. Plant Depreciation'!$C$7:$C$94,0),MATCH(Calculation!$G299,'Gen. Plant Depreciation'!$D$5:$AC$5,0))</f>
        <v>236</v>
      </c>
      <c r="BS299" s="129"/>
      <c r="BT299" s="129"/>
      <c r="BU299" s="129"/>
      <c r="BV299" s="129"/>
      <c r="BW299" s="129"/>
      <c r="BX299" s="129"/>
      <c r="BY299" s="129">
        <f>INDEX('Gross Dx Plant'!$D$7:$AC$91,MATCH($C299,'Gross Dx Plant'!$C$7:$C$91,0),MATCH(Calculation!$G299,'Gross Dx Plant'!$D$5:$AC$5,0))</f>
        <v>526943</v>
      </c>
      <c r="BZ299" s="129">
        <f>INDEX('Gross Gen Plant'!$D$7:$AC$91,MATCH($C299,'Gross Gen Plant'!$C$7:$C$91,0),MATCH(Calculation!$G299,'Gross Gen Plant'!$D$5:$AC$5,0))</f>
        <v>6169</v>
      </c>
      <c r="CA299" s="129">
        <f t="shared" si="551"/>
        <v>375465</v>
      </c>
      <c r="CB299" s="129"/>
      <c r="CC299" s="133">
        <v>2019</v>
      </c>
      <c r="CD299" s="129"/>
      <c r="CE299" s="129"/>
      <c r="CF299" s="129"/>
      <c r="CG299" s="137"/>
      <c r="CH299" s="129">
        <f t="shared" si="539"/>
        <v>54489</v>
      </c>
      <c r="CI299" s="46">
        <f t="shared" si="548"/>
        <v>54484.163038911145</v>
      </c>
      <c r="CJ299" s="46">
        <f t="shared" si="540"/>
        <v>70.43489992564075</v>
      </c>
      <c r="CK299" s="443">
        <v>0.7407407407407407</v>
      </c>
      <c r="CL299" s="46">
        <f>CL278*CK299+CJ279*CK298+CJ280*CK297+CJ281*CK296+CJ282*CK295+CJ283*CK294+CJ284*CK293+CJ285*CK292+CJ286*CK291+CJ287*CK290+CJ288*CK289+CJ289*CK288+CJ290*CK287+CJ291*CK286+CJ292*CK285+CJ293*CK284+CJ294*CK283+CJ295*CK282+CJ296*CK281+CJ297*CK280+CJ298*CK279+CJ299</f>
        <v>1009.5639503620398</v>
      </c>
      <c r="CM299" s="134">
        <f t="shared" si="541"/>
        <v>5.6018005547674665E-2</v>
      </c>
      <c r="CN299" s="135">
        <f t="shared" si="542"/>
        <v>1.6170702451357127E-2</v>
      </c>
      <c r="CO299" s="135">
        <f t="shared" si="552"/>
        <v>1.5880198877513633E-2</v>
      </c>
      <c r="CP299" s="134">
        <f>VLOOKUP($H299,RoR!$E:$F,2,FALSE)</f>
        <v>3.3875000000000009E-2</v>
      </c>
      <c r="CQ299" s="135">
        <v>1.8092492884465461E-2</v>
      </c>
      <c r="CR299" s="135">
        <f t="shared" si="549"/>
        <v>1.5782507115534548E-2</v>
      </c>
      <c r="CS299" s="135">
        <f t="shared" si="553"/>
        <v>1.5021742731019992E-2</v>
      </c>
      <c r="CT299" s="135">
        <f t="shared" si="554"/>
        <v>4.8445665544254078E-2</v>
      </c>
      <c r="CU299" s="139">
        <f t="shared" si="543"/>
        <v>0.92230000000000001</v>
      </c>
      <c r="CV299" s="335">
        <f t="shared" si="544"/>
        <v>1.513861292459078</v>
      </c>
      <c r="CW299" s="335">
        <f t="shared" si="545"/>
        <v>0.23699261992619944</v>
      </c>
      <c r="CX299" s="335">
        <f t="shared" si="546"/>
        <v>0.73619765810468829</v>
      </c>
      <c r="CY299" s="335">
        <f t="shared" si="547"/>
        <v>0.26412854465362851</v>
      </c>
      <c r="CZ299" s="336">
        <f>INDEX('State Tax Lookup'!$D$7:$Z$91,MATCH(Calculation!$C299,'State Tax Lookup'!$B$7:$B$91,0),MATCH($H299,'State Tax Lookup'!$D$6:$Z$6,0))</f>
        <v>0.20999999999999996</v>
      </c>
      <c r="DA299" s="303">
        <v>0.37</v>
      </c>
      <c r="DB299" s="57">
        <f t="shared" si="550"/>
        <v>13.509316470530685</v>
      </c>
      <c r="DC299" s="56">
        <f t="shared" si="555"/>
        <v>4.9594874170901301E-3</v>
      </c>
      <c r="DD299" s="303">
        <f>VLOOKUP($H299,RoR!$E:$F,2,FALSE)</f>
        <v>3.3875000000000009E-2</v>
      </c>
      <c r="DE299" s="304">
        <f>HLOOKUP($H299,'GDP-PI'!$D$8:$CQ$11,3,FALSE)</f>
        <v>1.8092492884465461E-2</v>
      </c>
      <c r="DF299" s="303">
        <f>VLOOKUP(H299,'HW Dx Data'!$E:$F,2,FALSE)</f>
        <v>773.53929793938721</v>
      </c>
      <c r="DG299" s="89">
        <f ca="1">VLOOKUP(CC299,'ECI - Input Price'!M$13:N$33,2,FALSE)</f>
        <v>149.67500000000001</v>
      </c>
      <c r="DH299" s="89"/>
      <c r="DI299" s="89"/>
      <c r="DJ299" s="56">
        <f t="shared" ca="1" si="563"/>
        <v>3.5532849899171604E-2</v>
      </c>
      <c r="DK299" s="53">
        <f>HLOOKUP(H299,'GDP-PI'!$8:$9,2,FALSE)</f>
        <v>112.318</v>
      </c>
      <c r="DL299" s="355">
        <f t="shared" si="556"/>
        <v>1.7930771451401852E-2</v>
      </c>
      <c r="EC299"/>
    </row>
    <row r="300" spans="1:133" s="126" customFormat="1" ht="21" customHeight="1" x14ac:dyDescent="0.4">
      <c r="A300" s="233" t="s">
        <v>198</v>
      </c>
      <c r="B300" s="126" t="s">
        <v>198</v>
      </c>
      <c r="C300" s="126">
        <v>4059355</v>
      </c>
      <c r="D300" s="126" t="s">
        <v>199</v>
      </c>
      <c r="G300" s="127" t="s">
        <v>176</v>
      </c>
      <c r="H300" s="128">
        <v>2020</v>
      </c>
      <c r="I300" s="129"/>
      <c r="J300" s="125">
        <f>IFERROR(INDEX('Labor Expenditures'!$E$7:$W$91,MATCH($C300,'Labor Expenditures'!$C$7:$C$91,0),MATCH($G300,'Labor Expenditures'!$E$5:$W$5,0)),"NA")</f>
        <v>18565.88580238758</v>
      </c>
      <c r="K300" s="125">
        <f t="shared" ca="1" si="557"/>
        <v>121.22680902636355</v>
      </c>
      <c r="L300" s="47"/>
      <c r="M300" s="131">
        <f t="shared" ca="1" si="564"/>
        <v>-5.0414627783827506E-2</v>
      </c>
      <c r="N300" s="131"/>
      <c r="O300" s="131"/>
      <c r="P300" s="59">
        <f t="shared" ca="1" si="566"/>
        <v>-2.587879659504544E-4</v>
      </c>
      <c r="Q300" s="61"/>
      <c r="R300" s="387"/>
      <c r="S300" s="49">
        <f t="shared" ca="1" si="572"/>
        <v>114.53516324035169</v>
      </c>
      <c r="T300" s="61">
        <f ca="1">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</f>
        <v>-9.1432320234921451E-3</v>
      </c>
      <c r="U300" s="61"/>
      <c r="V300" s="125">
        <f>IFERROR(INDEX('Non-Labor Expenditures'!$E$7:$AA$91,MATCH($C300,'Non-Labor Expenditures'!$C$7:$C$91,0),MATCH($G300,'Non-Labor Expenditures'!$E$5:$AA$5,0)),"NA")</f>
        <v>26886.870271002088</v>
      </c>
      <c r="W300" s="125">
        <f t="shared" si="558"/>
        <v>236.63228634169215</v>
      </c>
      <c r="X300" s="131">
        <f t="shared" si="567"/>
        <v>-3.9014888047851949E-2</v>
      </c>
      <c r="Y300" s="131">
        <f t="shared" si="568"/>
        <v>-2.0027091269980932E-4</v>
      </c>
      <c r="Z300" s="131"/>
      <c r="AA300" s="131"/>
      <c r="AB300" s="131"/>
      <c r="AC300" s="125">
        <f t="shared" si="537"/>
        <v>14103.029090049289</v>
      </c>
      <c r="AD300" s="129"/>
      <c r="AE300" s="133">
        <v>1161.074924035405</v>
      </c>
      <c r="AF300" s="134">
        <v>5.6101099232660989E-2</v>
      </c>
      <c r="AG300" s="59">
        <f t="shared" si="559"/>
        <v>2.8797771591724917E-4</v>
      </c>
      <c r="AH300" s="134"/>
      <c r="AI300" s="134"/>
      <c r="AJ300" s="129">
        <f t="shared" si="569"/>
        <v>59555.785163438959</v>
      </c>
      <c r="AK300" s="134">
        <f t="shared" si="570"/>
        <v>-9.7446086180973536E-4</v>
      </c>
      <c r="AL300" s="129"/>
      <c r="AM300" s="129"/>
      <c r="AN300" s="129"/>
      <c r="AO300" s="129"/>
      <c r="AP300" s="133">
        <f t="shared" si="571"/>
        <v>497.73750063465991</v>
      </c>
      <c r="AQ300" s="134">
        <f>+BB300/Outputs!$B$28</f>
        <v>3.154306685879028E-3</v>
      </c>
      <c r="AR300" s="93">
        <f t="shared" si="560"/>
        <v>0.31173941794969562</v>
      </c>
      <c r="AS300" s="93">
        <f t="shared" si="561"/>
        <v>0.45145690208292011</v>
      </c>
      <c r="AT300" s="93">
        <f t="shared" si="562"/>
        <v>0.23680367996738422</v>
      </c>
      <c r="AU300" s="93">
        <f t="shared" ca="1" si="565"/>
        <v>-2.1066795867873099E-2</v>
      </c>
      <c r="AV300" s="132">
        <f t="shared" ca="1" si="574"/>
        <v>133.71487676314283</v>
      </c>
      <c r="AW300" s="134">
        <f t="shared" ca="1" si="575"/>
        <v>-2.1066795867872998E-2</v>
      </c>
      <c r="AX300" s="56">
        <f>+AJ300/$AL$25</f>
        <v>5.1331920382336116E-3</v>
      </c>
      <c r="AY300" s="135">
        <f t="shared" ca="1" si="573"/>
        <v>-1.0813990882005842E-4</v>
      </c>
      <c r="AZ300" s="93"/>
      <c r="BA300" s="93"/>
      <c r="BB300" s="234">
        <v>119653</v>
      </c>
      <c r="BC300" s="411">
        <f t="shared" si="524"/>
        <v>-0.13390949802851862</v>
      </c>
      <c r="BD300" s="92"/>
      <c r="BE300" s="281" t="str">
        <f t="shared" si="518"/>
        <v>COLUMBIA GAS OF KENTUCKY, INCORPORATED</v>
      </c>
      <c r="BF300" s="290">
        <f t="shared" si="519"/>
        <v>4059355</v>
      </c>
      <c r="BG300" s="46" t="str">
        <f t="shared" si="520"/>
        <v>OH</v>
      </c>
      <c r="BH300" s="46"/>
      <c r="BI300" s="46" t="str">
        <f t="shared" si="521"/>
        <v>2020 Y</v>
      </c>
      <c r="BJ300" s="129"/>
      <c r="BK300" s="129"/>
      <c r="BL300" s="129">
        <f>INDEX('Dist. Plant Gas Additions'!$E$7:$AD$91,MATCH($C300,'Dist. Plant Gas Additions'!$C$7:$C$91,0),MATCH(Calculation!$G300,'Dist. Plant Gas Additions'!$E$5:$AD$5,0))</f>
        <v>59334</v>
      </c>
      <c r="BM300" s="129">
        <f>INDEX('Gen. Plant Additions'!$E$7:$AD$91,MATCH($C300,'Gen. Plant Additions'!$C$7:$C$91,0),MATCH(Calculation!$G300,'Gen. Plant Additions'!$E$5:$AD$5,0))</f>
        <v>442</v>
      </c>
      <c r="BN300" s="393">
        <f t="shared" si="538"/>
        <v>0.9893383350599303</v>
      </c>
      <c r="BO300" s="46">
        <f t="shared" si="576"/>
        <v>437.28754409648917</v>
      </c>
      <c r="BP300" s="46">
        <f t="shared" si="577"/>
        <v>-4.7124559035108291</v>
      </c>
      <c r="BQ300" s="129">
        <f>INDEX('Dist Plant Depreciation'!$D$7:$AC$94,MATCH($C300,'Dist Plant Depreciation'!$C$7:$C$94,0),MATCH(Calculation!$G300,'Dist Plant Depreciation'!$D$5:$AC$5,0))</f>
        <v>161472</v>
      </c>
      <c r="BR300" s="129">
        <f>INDEX('Gen. Plant Depreciation'!$D$7:$AC$94,MATCH($C300,'Gen. Plant Depreciation'!$C$7:$C$94,0),MATCH(Calculation!$G300,'Gen. Plant Depreciation'!$D$5:$AC$5,0))</f>
        <v>248</v>
      </c>
      <c r="BS300" s="129"/>
      <c r="BT300" s="129"/>
      <c r="BU300" s="129"/>
      <c r="BV300" s="129"/>
      <c r="BW300" s="129"/>
      <c r="BX300" s="129"/>
      <c r="BY300" s="129">
        <f>INDEX('Gross Dx Plant'!$D$7:$AC$91,MATCH($C300,'Gross Dx Plant'!$C$7:$C$91,0),MATCH(Calculation!$G300,'Gross Dx Plant'!$D$5:$AC$5,0))</f>
        <v>579684</v>
      </c>
      <c r="BZ300" s="129">
        <f>INDEX('Gross Gen Plant'!$D$7:$AC$91,MATCH($C300,'Gross Gen Plant'!$C$7:$C$91,0),MATCH(Calculation!$G300,'Gross Gen Plant'!$D$5:$AC$5,0))</f>
        <v>6247</v>
      </c>
      <c r="CA300" s="129">
        <f t="shared" si="551"/>
        <v>424211</v>
      </c>
      <c r="CB300" s="129"/>
      <c r="CC300" s="133">
        <v>2020</v>
      </c>
      <c r="CD300" s="129"/>
      <c r="CE300" s="129"/>
      <c r="CF300" s="129"/>
      <c r="CG300" s="137"/>
      <c r="CH300" s="129">
        <f t="shared" si="539"/>
        <v>59776</v>
      </c>
      <c r="CI300" s="46">
        <f t="shared" si="548"/>
        <v>59771.287544096493</v>
      </c>
      <c r="CJ300" s="46">
        <f t="shared" si="540"/>
        <v>73.512170513842506</v>
      </c>
      <c r="CK300" s="443">
        <v>0.72499999999999998</v>
      </c>
      <c r="CL300" s="46">
        <f>CL278*CK300+CJ279*CK299+CJ280*CK298+CJ281*CK297+CJ282*CK296+CJ283*CK295+CJ284*CK294+CJ285*CK293+CJ286*CK292+CJ287*CK291+CJ288*CK290+CJ289*CK289+CJ290*CK288+CJ291*CK287+CJ292*CK286+CJ293*CK285+CJ294*CK284+CJ295*CK283+CJ296*CK282+CJ297*CK281+CJ298*CK280+CJ299*CK279+CJ300</f>
        <v>1066.5775499924778</v>
      </c>
      <c r="CM300" s="134">
        <f t="shared" si="541"/>
        <v>5.4936465450156423E-2</v>
      </c>
      <c r="CN300" s="135">
        <f t="shared" si="542"/>
        <v>1.6342274184303021E-2</v>
      </c>
      <c r="CO300" s="135">
        <f t="shared" si="552"/>
        <v>1.6130069408969629E-2</v>
      </c>
      <c r="CP300" s="134">
        <f>VLOOKUP($H300,RoR!$E:$F,2,FALSE)</f>
        <v>2.4766666666666666E-2</v>
      </c>
      <c r="CQ300" s="135">
        <v>1.1618796630994188E-2</v>
      </c>
      <c r="CR300" s="135">
        <f t="shared" si="549"/>
        <v>1.3147870035672478E-2</v>
      </c>
      <c r="CS300" s="135">
        <f t="shared" si="553"/>
        <v>1.4771872199563996E-2</v>
      </c>
      <c r="CT300" s="135">
        <f t="shared" si="554"/>
        <v>4.5144642961987357E-2</v>
      </c>
      <c r="CU300" s="139">
        <f t="shared" si="543"/>
        <v>0.92230000000000001</v>
      </c>
      <c r="CV300" s="335">
        <f t="shared" si="544"/>
        <v>2.0706077233668081</v>
      </c>
      <c r="CW300" s="335">
        <f t="shared" si="545"/>
        <v>-3.4421265141318998E-2</v>
      </c>
      <c r="CX300" s="335">
        <f t="shared" si="546"/>
        <v>0.62416226176410472</v>
      </c>
      <c r="CY300" s="335">
        <f t="shared" si="547"/>
        <v>-4.4485877841158712E-2</v>
      </c>
      <c r="CZ300" s="336">
        <f>INDEX('State Tax Lookup'!$D$7:$Z$91,MATCH(Calculation!$C300,'State Tax Lookup'!$B$7:$B$91,0),MATCH($H300,'State Tax Lookup'!$D$6:$Z$6,0))</f>
        <v>0.20999999999999996</v>
      </c>
      <c r="DA300" s="303">
        <v>0.37</v>
      </c>
      <c r="DB300" s="57">
        <f t="shared" si="550"/>
        <v>13.969426191368859</v>
      </c>
      <c r="DC300" s="56">
        <f t="shared" si="555"/>
        <v>3.3491541721127796E-2</v>
      </c>
      <c r="DD300" s="303">
        <f>VLOOKUP($H300,RoR!$E:$F,2,FALSE)</f>
        <v>2.4766666666666666E-2</v>
      </c>
      <c r="DE300" s="304">
        <f>HLOOKUP($H300,'GDP-PI'!$D$8:$CQ$11,3,FALSE)</f>
        <v>1.1618796630994188E-2</v>
      </c>
      <c r="DF300" s="303">
        <f>VLOOKUP(H300,'HW Dx Data'!$E:$F,2,FALSE)</f>
        <v>813.080162458833</v>
      </c>
      <c r="DG300" s="89">
        <f ca="1">VLOOKUP(CC300,'ECI - Input Price'!M$13:N$33,2,FALSE)</f>
        <v>153.15</v>
      </c>
      <c r="DH300" s="89"/>
      <c r="DI300" s="89"/>
      <c r="DJ300" s="56">
        <f t="shared" ca="1" si="563"/>
        <v>2.2951556467368479E-2</v>
      </c>
      <c r="DK300" s="53">
        <f>HLOOKUP(H300,'GDP-PI'!$8:$9,2,FALSE)</f>
        <v>113.623</v>
      </c>
      <c r="DL300" s="355">
        <f t="shared" si="556"/>
        <v>1.1551816731392881E-2</v>
      </c>
      <c r="EC300"/>
    </row>
    <row r="301" spans="1:133" s="126" customFormat="1" ht="21" customHeight="1" x14ac:dyDescent="0.4">
      <c r="A301" s="233" t="s">
        <v>198</v>
      </c>
      <c r="B301" s="126" t="s">
        <v>198</v>
      </c>
      <c r="C301" s="126">
        <v>4059355</v>
      </c>
      <c r="D301" s="126" t="s">
        <v>199</v>
      </c>
      <c r="G301" s="127" t="s">
        <v>177</v>
      </c>
      <c r="H301" s="128">
        <v>2021</v>
      </c>
      <c r="I301" s="129"/>
      <c r="J301" s="125">
        <v>20535.01216012827</v>
      </c>
      <c r="K301" s="125">
        <f t="shared" ca="1" si="557"/>
        <v>130.58831262402714</v>
      </c>
      <c r="L301" s="47"/>
      <c r="M301" s="130">
        <f t="shared" ca="1" si="564"/>
        <v>7.4386477213893298E-2</v>
      </c>
      <c r="N301" s="130"/>
      <c r="O301" s="130"/>
      <c r="P301" s="59">
        <f t="shared" ca="1" si="566"/>
        <v>3.6560098326586353E-4</v>
      </c>
      <c r="Q301" s="61"/>
      <c r="R301" s="387"/>
      <c r="S301" s="132">
        <f ca="1">+S300*EXP(T301)</f>
        <v>119.93266283141827</v>
      </c>
      <c r="T301" s="134">
        <f ca="1">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</f>
        <v>4.6048563827049964E-2</v>
      </c>
      <c r="U301" s="134"/>
      <c r="V301" s="125">
        <v>28946.944852229008</v>
      </c>
      <c r="W301" s="125">
        <f t="shared" si="558"/>
        <v>244.29863154889873</v>
      </c>
      <c r="X301" s="131">
        <f t="shared" si="567"/>
        <v>3.1883974893041289E-2</v>
      </c>
      <c r="Y301" s="131">
        <f t="shared" si="568"/>
        <v>1.5670607088707299E-4</v>
      </c>
      <c r="Z301" s="131"/>
      <c r="AA301" s="131"/>
      <c r="AB301" s="131"/>
      <c r="AC301" s="125">
        <f t="shared" si="537"/>
        <v>13650.601813614576</v>
      </c>
      <c r="AD301" s="129"/>
      <c r="AE301" s="133">
        <v>1211.4748584957433</v>
      </c>
      <c r="AF301" s="134"/>
      <c r="AG301" s="59">
        <f t="shared" si="559"/>
        <v>0</v>
      </c>
      <c r="AH301" s="134"/>
      <c r="AI301" s="134"/>
      <c r="AJ301" s="129">
        <f t="shared" si="569"/>
        <v>63132.55882597185</v>
      </c>
      <c r="AK301" s="134">
        <f t="shared" si="570"/>
        <v>5.8323185121179989E-2</v>
      </c>
      <c r="AL301" s="129"/>
      <c r="AM301" s="134"/>
      <c r="AN301" s="134"/>
      <c r="AO301" s="134"/>
      <c r="AP301" s="133">
        <f t="shared" si="571"/>
        <v>522.73302884703537</v>
      </c>
      <c r="AQ301" s="134">
        <f>+BB301/Outputs!$B$29</f>
        <v>3.1283514960430046E-3</v>
      </c>
      <c r="AR301" s="93">
        <f t="shared" si="560"/>
        <v>0.32526817448876244</v>
      </c>
      <c r="AS301" s="93">
        <f t="shared" si="561"/>
        <v>0.45851055921909883</v>
      </c>
      <c r="AT301" s="93">
        <f t="shared" si="562"/>
        <v>0.21622126629213878</v>
      </c>
      <c r="AU301" s="93">
        <f t="shared" ca="1" si="565"/>
        <v>3.8199065224819244E-2</v>
      </c>
      <c r="AV301" s="132">
        <f t="shared" ca="1" si="574"/>
        <v>138.92147047579283</v>
      </c>
      <c r="AW301" s="134">
        <f t="shared" ca="1" si="575"/>
        <v>3.8199065224819313E-2</v>
      </c>
      <c r="AX301" s="56">
        <f>+AJ301/$AL$26</f>
        <v>4.9148850296351927E-3</v>
      </c>
      <c r="AY301" s="135">
        <f t="shared" ca="1" si="573"/>
        <v>1.8774401381952273E-4</v>
      </c>
      <c r="AZ301" s="93"/>
      <c r="BA301" s="93"/>
      <c r="BB301" s="234">
        <v>120774</v>
      </c>
      <c r="BC301" s="411">
        <f t="shared" si="524"/>
        <v>9.32514337693067E-3</v>
      </c>
      <c r="BD301" s="91"/>
      <c r="BE301" s="281" t="str">
        <f t="shared" si="518"/>
        <v>COLUMBIA GAS OF KENTUCKY, INCORPORATED</v>
      </c>
      <c r="BF301" s="290">
        <f t="shared" si="519"/>
        <v>4059355</v>
      </c>
      <c r="BG301" s="46" t="str">
        <f t="shared" si="520"/>
        <v>OH</v>
      </c>
      <c r="BH301" s="46"/>
      <c r="BI301" s="46" t="str">
        <f t="shared" si="521"/>
        <v>2021 Y</v>
      </c>
      <c r="BJ301" s="129"/>
      <c r="BK301" s="129"/>
      <c r="BL301" s="129">
        <f>INDEX('Dist. Plant Gas Additions'!$D$7:$AD$91,MATCH($C301,'Dist. Plant Gas Additions'!$C$7:$C$91,0),MATCH(Calculation!$G301,'Dist. Plant Gas Additions'!$D$5:$AD$5,0))</f>
        <v>65321</v>
      </c>
      <c r="BM301" s="129">
        <f>INDEX('Gen. Plant Additions'!$D$7:$AD$91,MATCH($C301,'Gen. Plant Additions'!$C$7:$C$91,0),MATCH(Calculation!$G301,'Gen. Plant Additions'!$D$5:$AD$5,0))</f>
        <v>441</v>
      </c>
      <c r="BN301" s="343">
        <v>0.9893383350599303</v>
      </c>
      <c r="BO301" s="46">
        <f t="shared" si="576"/>
        <v>436.29820576142924</v>
      </c>
      <c r="BP301" s="46">
        <f t="shared" si="577"/>
        <v>-4.7017942385707556</v>
      </c>
      <c r="BQ301" s="129"/>
      <c r="BR301" s="129"/>
      <c r="BS301" s="137"/>
      <c r="BT301" s="137"/>
      <c r="BU301" s="333"/>
      <c r="BV301" s="93"/>
      <c r="BW301" s="334"/>
      <c r="BX301" s="334"/>
      <c r="BY301" s="129"/>
      <c r="BZ301" s="129"/>
      <c r="CA301" s="129"/>
      <c r="CB301" s="129"/>
      <c r="CC301" s="133">
        <v>2021</v>
      </c>
      <c r="CD301" s="129"/>
      <c r="CE301" s="129"/>
      <c r="CF301" s="129"/>
      <c r="CG301" s="137"/>
      <c r="CH301" s="129">
        <f t="shared" si="539"/>
        <v>65762</v>
      </c>
      <c r="CI301" s="46">
        <f t="shared" si="548"/>
        <v>65757.298205761428</v>
      </c>
      <c r="CJ301" s="46">
        <f t="shared" si="540"/>
        <v>70.477719734488559</v>
      </c>
      <c r="CK301" s="443">
        <v>0.70886075949367089</v>
      </c>
      <c r="CL301" s="129">
        <f>CL278*CK301+CJ279*CK300+CJ280*CK299+CJ281*CK298+CJ282*CK297+CJ283*CK296+CJ284*CK295+CJ285*CK294+CJ286*CK293+CJ287*CK292+CJ288*CK291+CJ289*CK290+CJ290*CK289+CJ291*CK288+CJ292*CK287+CJ283*CK286+CJ294*CK285+CJ295*CK284+CJ296*CK283+CJ297*CK282+CJ298*CK281+CJ299*CK280+CJ301+CJ300*CK279</f>
        <v>1110.7053490358805</v>
      </c>
      <c r="CM301" s="134"/>
      <c r="CN301" s="135">
        <f t="shared" si="542"/>
        <v>2.4705114683195445E-2</v>
      </c>
      <c r="CO301" s="135">
        <f t="shared" si="552"/>
        <v>1.9072697106285199E-2</v>
      </c>
      <c r="CP301" s="134">
        <f>VLOOKUP($H301,RoR!$E:$F,2,FALSE)</f>
        <v>2.7033333333333336E-2</v>
      </c>
      <c r="CQ301" s="135"/>
      <c r="CR301" s="135"/>
      <c r="CS301" s="135">
        <f t="shared" si="553"/>
        <v>1.1829244502248426E-2</v>
      </c>
      <c r="CT301" s="135">
        <f t="shared" si="554"/>
        <v>7.433422950153494E-2</v>
      </c>
      <c r="CU301" s="139">
        <f t="shared" si="543"/>
        <v>0.92230000000000001</v>
      </c>
      <c r="CV301" s="335">
        <f t="shared" si="544"/>
        <v>1.8969932656739068</v>
      </c>
      <c r="CW301" s="335">
        <f t="shared" si="545"/>
        <v>5.0215782983970621E-2</v>
      </c>
      <c r="CX301" s="335">
        <f t="shared" si="546"/>
        <v>0.655952481704143</v>
      </c>
      <c r="CY301" s="335">
        <f t="shared" si="547"/>
        <v>6.2485378865697057E-2</v>
      </c>
      <c r="CZ301" s="336">
        <f>CZ300</f>
        <v>0.20999999999999996</v>
      </c>
      <c r="DA301" s="303">
        <v>0.37</v>
      </c>
      <c r="DB301" s="141">
        <f t="shared" si="550"/>
        <v>12.79850847574173</v>
      </c>
      <c r="DC301" s="135">
        <f t="shared" si="555"/>
        <v>-8.7542459274752016E-2</v>
      </c>
      <c r="DD301" s="336">
        <f>VLOOKUP($H301,RoR!$E:$F,2,FALSE)</f>
        <v>2.7033333333333336E-2</v>
      </c>
      <c r="DE301" s="342">
        <f>HLOOKUP($H301,'GDP-PI'!$D$8:$CR$11,3,FALSE)</f>
        <v>4.2834637353352578E-2</v>
      </c>
      <c r="DF301" s="336">
        <f>VLOOKUP(H301,'HW Dx Data'!$E:$F,2,FALSE)</f>
        <v>933.02249921662576</v>
      </c>
      <c r="DG301" s="89">
        <f ca="1">VLOOKUP(CC301,'ECI - Input Price'!M$13:N$33,2,FALSE)</f>
        <v>157.25</v>
      </c>
      <c r="DH301" s="89"/>
      <c r="DI301" s="89"/>
      <c r="DJ301" s="135">
        <f t="shared" ca="1" si="563"/>
        <v>2.6419062301765574E-2</v>
      </c>
      <c r="DK301" s="137">
        <f>HLOOKUP(H301,'GDP-PI'!$8:$9,2,FALSE)</f>
        <v>118.49</v>
      </c>
      <c r="DL301" s="356">
        <f t="shared" si="556"/>
        <v>4.194261824609434E-2</v>
      </c>
      <c r="EC301"/>
    </row>
    <row r="302" spans="1:133" s="126" customFormat="1" ht="21" customHeight="1" thickBot="1" x14ac:dyDescent="0.45">
      <c r="A302" s="235"/>
      <c r="B302" s="236"/>
      <c r="C302" s="236"/>
      <c r="D302" s="236"/>
      <c r="E302" s="236"/>
      <c r="F302" s="236"/>
      <c r="G302" s="237" t="s">
        <v>178</v>
      </c>
      <c r="H302" s="238"/>
      <c r="I302" s="239"/>
      <c r="J302" s="240">
        <v>20556.46004182765</v>
      </c>
      <c r="K302" s="240">
        <f t="shared" ca="1" si="557"/>
        <v>126.46238106322761</v>
      </c>
      <c r="L302" s="47"/>
      <c r="M302" s="241">
        <f t="shared" ref="M302" ca="1" si="578">LN(K302/K301)</f>
        <v>-3.2104841934781775E-2</v>
      </c>
      <c r="N302" s="241"/>
      <c r="O302" s="241"/>
      <c r="P302" s="242">
        <f t="shared" ca="1" si="566"/>
        <v>-1.6596359474480672E-4</v>
      </c>
      <c r="Q302" s="61"/>
      <c r="R302" s="387"/>
      <c r="S302" s="206">
        <f ca="1">+S301*EXP(T302)</f>
        <v>119.95516669864962</v>
      </c>
      <c r="T302" s="243">
        <f ca="1">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</f>
        <v>1.8761991670394597E-4</v>
      </c>
      <c r="U302" s="243"/>
      <c r="V302" s="239">
        <v>28977.178613178734</v>
      </c>
      <c r="W302" s="240">
        <f t="shared" si="558"/>
        <v>227.71849597782895</v>
      </c>
      <c r="X302" s="244">
        <f t="shared" ref="X302" si="579">LN(W302/W301)</f>
        <v>-7.0281177367401027E-2</v>
      </c>
      <c r="Y302" s="244">
        <f t="shared" si="568"/>
        <v>-3.6331332396795086E-4</v>
      </c>
      <c r="Z302" s="206"/>
      <c r="AA302" s="243"/>
      <c r="AB302" s="243"/>
      <c r="AC302" s="240">
        <f t="shared" si="537"/>
        <v>18871.417611808673</v>
      </c>
      <c r="AD302" s="243"/>
      <c r="AE302" s="245">
        <v>1272.6426555259975</v>
      </c>
      <c r="AF302" s="243">
        <v>4.9257060980302012E-2</v>
      </c>
      <c r="AG302" s="242">
        <f t="shared" si="559"/>
        <v>2.5463071655863116E-4</v>
      </c>
      <c r="AH302" s="206"/>
      <c r="AI302" s="243"/>
      <c r="AJ302" s="239">
        <f t="shared" si="569"/>
        <v>68405.056266815052</v>
      </c>
      <c r="AK302" s="243">
        <f t="shared" si="570"/>
        <v>8.0210119721284098E-2</v>
      </c>
      <c r="AL302" s="239"/>
      <c r="AM302" s="243"/>
      <c r="AN302" s="243"/>
      <c r="AO302" s="243"/>
      <c r="AP302" s="245">
        <f t="shared" si="571"/>
        <v>553.99475417745191</v>
      </c>
      <c r="AQ302" s="243"/>
      <c r="AR302" s="207">
        <f t="shared" si="560"/>
        <v>0.30051082717696831</v>
      </c>
      <c r="AS302" s="207">
        <f t="shared" si="561"/>
        <v>0.42361164794825651</v>
      </c>
      <c r="AT302" s="207">
        <f t="shared" si="562"/>
        <v>0.27587752487477529</v>
      </c>
      <c r="AU302" s="207"/>
      <c r="AV302" s="206"/>
      <c r="AW302" s="243"/>
      <c r="AX302" s="248">
        <f>+AJ302/$AL$27</f>
        <v>5.1694256922973636E-3</v>
      </c>
      <c r="AY302" s="249"/>
      <c r="AZ302" s="206"/>
      <c r="BA302" s="243"/>
      <c r="BB302" s="250">
        <v>123476</v>
      </c>
      <c r="BC302" s="412">
        <f t="shared" si="524"/>
        <v>2.2125774652369774E-2</v>
      </c>
      <c r="BD302" s="91"/>
      <c r="BE302" s="401">
        <f t="shared" si="518"/>
        <v>0</v>
      </c>
      <c r="BF302" s="402">
        <f t="shared" si="519"/>
        <v>0</v>
      </c>
      <c r="BG302" s="313">
        <f t="shared" si="520"/>
        <v>0</v>
      </c>
      <c r="BH302" s="313"/>
      <c r="BI302" s="313" t="str">
        <f t="shared" si="521"/>
        <v>2022Y</v>
      </c>
      <c r="BJ302" s="239"/>
      <c r="BK302" s="239"/>
      <c r="BL302" s="239"/>
      <c r="BM302" s="239"/>
      <c r="BN302" s="337">
        <v>0.9893383350599303</v>
      </c>
      <c r="BO302" s="313">
        <f t="shared" si="576"/>
        <v>0</v>
      </c>
      <c r="BP302" s="313">
        <f t="shared" si="577"/>
        <v>0</v>
      </c>
      <c r="BQ302" s="239"/>
      <c r="BR302" s="239"/>
      <c r="BS302" s="310"/>
      <c r="BT302" s="310"/>
      <c r="BU302" s="311"/>
      <c r="BV302" s="207"/>
      <c r="BW302" s="312"/>
      <c r="BX302" s="312"/>
      <c r="BY302" s="239"/>
      <c r="BZ302" s="239"/>
      <c r="CA302" s="239"/>
      <c r="CB302" s="239"/>
      <c r="CC302" s="245">
        <v>2022</v>
      </c>
      <c r="CD302" s="239"/>
      <c r="CE302" s="239"/>
      <c r="CF302" s="239"/>
      <c r="CG302" s="310"/>
      <c r="CH302" s="239">
        <v>74949</v>
      </c>
      <c r="CI302" s="313">
        <f t="shared" si="548"/>
        <v>74949</v>
      </c>
      <c r="CJ302" s="313">
        <f t="shared" si="540"/>
        <v>72.708840620482931</v>
      </c>
      <c r="CK302" s="443">
        <v>0.69230769230769229</v>
      </c>
      <c r="CL302" s="239">
        <f>+CL278*CK302+CJ279*CK301+CJ280*CK300+CJ281*CK299+CJ282*CK298+CJ283*CK297+CJ284*CK296+CJ285*CK295+CJ286*CK294+CJ287*CK293+CJ288*CK292+CJ289*CK291+CJ290*CK290+CJ291*CK289+CJ292*CK288+CJ293*CK287+CJ294*CK286+CJ295*CK285+CJ296*CK284+CJ297*CK283+CJ298*CK282+CJ299*CK281+CJ300*CK280+CJ301*CK279+CJ302*CK278</f>
        <v>1173.4076089122495</v>
      </c>
      <c r="CM302" s="243">
        <f t="shared" ref="CM302" si="580">LN(CL302/CL301)</f>
        <v>5.491673889503372E-2</v>
      </c>
      <c r="CN302" s="249">
        <f t="shared" si="542"/>
        <v>9.009212706862257E-3</v>
      </c>
      <c r="CO302" s="249">
        <f t="shared" si="552"/>
        <v>1.668553385812024E-2</v>
      </c>
      <c r="CP302" s="243"/>
      <c r="CQ302" s="249"/>
      <c r="CR302" s="249"/>
      <c r="CS302" s="248">
        <f t="shared" si="553"/>
        <v>1.4216407750413385E-2</v>
      </c>
      <c r="CT302" s="249">
        <f t="shared" si="554"/>
        <v>0.10114668178709289</v>
      </c>
      <c r="CU302" s="314">
        <f t="shared" si="543"/>
        <v>0.92230000000000001</v>
      </c>
      <c r="CV302" s="315"/>
      <c r="CW302" s="315"/>
      <c r="CX302" s="315"/>
      <c r="CY302" s="315"/>
      <c r="CZ302" s="316">
        <f>CZ301</f>
        <v>0.20999999999999996</v>
      </c>
      <c r="DA302" s="360">
        <v>0.37</v>
      </c>
      <c r="DB302" s="318">
        <f t="shared" si="550"/>
        <v>16.990480534004384</v>
      </c>
      <c r="DC302" s="249">
        <f t="shared" si="555"/>
        <v>0.28332457982398535</v>
      </c>
      <c r="DD302" s="316">
        <v>0.04</v>
      </c>
      <c r="DE302" s="319">
        <v>7.0000000000000001E-3</v>
      </c>
      <c r="DF302" s="316">
        <v>1030.81</v>
      </c>
      <c r="DG302" s="89">
        <f ca="1">VLOOKUP(CC302,'ECI - Input Price'!M$13:N$33,2,FALSE)</f>
        <v>162.55000000000001</v>
      </c>
      <c r="DH302" s="89"/>
      <c r="DI302" s="89"/>
      <c r="DJ302" s="249">
        <f t="shared" ca="1" si="563"/>
        <v>3.3148751169364422E-2</v>
      </c>
      <c r="DK302" s="310">
        <v>127.25</v>
      </c>
      <c r="DL302" s="357">
        <f t="shared" si="556"/>
        <v>7.1325086601983473E-2</v>
      </c>
      <c r="EC302"/>
    </row>
    <row r="303" spans="1:133" s="126" customFormat="1" ht="21" customHeight="1" x14ac:dyDescent="0.4">
      <c r="A303" s="251" t="s">
        <v>200</v>
      </c>
      <c r="B303" s="252" t="s">
        <v>200</v>
      </c>
      <c r="C303" s="252">
        <v>4088325</v>
      </c>
      <c r="D303" s="252" t="s">
        <v>201</v>
      </c>
      <c r="E303" s="252"/>
      <c r="F303" s="252"/>
      <c r="G303" s="252" t="s">
        <v>150</v>
      </c>
      <c r="H303" s="253">
        <v>1998</v>
      </c>
      <c r="I303" s="254"/>
      <c r="J303" s="255"/>
      <c r="K303" s="255"/>
      <c r="L303" s="47"/>
      <c r="M303" s="255"/>
      <c r="N303" s="255"/>
      <c r="O303" s="255"/>
      <c r="P303" s="219"/>
      <c r="Q303" s="218"/>
      <c r="R303" s="385"/>
      <c r="S303" s="257"/>
      <c r="T303" s="258"/>
      <c r="U303" s="258"/>
      <c r="V303" s="259"/>
      <c r="W303" s="259"/>
      <c r="X303" s="259"/>
      <c r="Y303" s="255"/>
      <c r="Z303" s="259"/>
      <c r="AA303" s="259"/>
      <c r="AB303" s="259"/>
      <c r="AC303" s="255"/>
      <c r="AD303" s="254"/>
      <c r="AE303" s="260">
        <v>202.96011265091329</v>
      </c>
      <c r="AF303" s="256"/>
      <c r="AG303" s="225"/>
      <c r="AH303" s="256"/>
      <c r="AI303" s="256"/>
      <c r="AJ303" s="254">
        <f t="shared" si="569"/>
        <v>0</v>
      </c>
      <c r="AK303" s="254"/>
      <c r="AL303" s="254"/>
      <c r="AM303" s="256"/>
      <c r="AN303" s="256"/>
      <c r="AO303" s="256"/>
      <c r="AP303" s="226">
        <f>+(AP300+AP301+AP302)/3</f>
        <v>524.82176121971577</v>
      </c>
      <c r="AQ303" s="256"/>
      <c r="AR303" s="261"/>
      <c r="AS303" s="261"/>
      <c r="AT303" s="261"/>
      <c r="AU303" s="261"/>
      <c r="AV303" s="261"/>
      <c r="AW303" s="256">
        <f ca="1">AVERAGE(AW312:AW326)</f>
        <v>2.4835743931310456E-2</v>
      </c>
      <c r="AX303" s="223"/>
      <c r="AY303" s="261"/>
      <c r="AZ303" s="261"/>
      <c r="BA303" s="261"/>
      <c r="BB303" s="262">
        <f>IFERROR(INDEX('Total Customers'!$E$7:$AA$91,MATCH($C303,'Total Customers'!$C$7:$C$91,0),MATCH($G303,'Total Customers'!$E$5:$AA$5,0)),"NA")</f>
        <v>31751</v>
      </c>
      <c r="BC303" s="413"/>
      <c r="BD303" s="92"/>
      <c r="BE303" s="407" t="str">
        <f t="shared" si="518"/>
        <v>COLUMBIA GAS OF MARYLAND, INCORPORATED</v>
      </c>
      <c r="BF303" s="408">
        <f t="shared" si="519"/>
        <v>4088325</v>
      </c>
      <c r="BG303" s="218" t="str">
        <f t="shared" si="520"/>
        <v>PA</v>
      </c>
      <c r="BH303" s="218"/>
      <c r="BI303" s="218" t="str">
        <f t="shared" si="521"/>
        <v>1998 Y</v>
      </c>
      <c r="BJ303" s="254">
        <f>INDEX('Gross Dx Plant'!$D$7:$AC$91,MATCH($C303,'Gross Dx Plant'!$C$7:$C$91,0),MATCH(Calculation!$G303,'Gross Dx Plant'!$D$5:$AC$5,0))</f>
        <v>67741</v>
      </c>
      <c r="BK303" s="254">
        <f>INDEX('Gross Gen Plant'!$D$7:$AC$91,MATCH($C303,'Gross Gen Plant'!$C$7:$C$91,0),MATCH(Calculation!$G303,'Gross Gen Plant'!$D$5:$AC$5,0))</f>
        <v>1018</v>
      </c>
      <c r="BL303" s="254">
        <f>INDEX('Dist. Plant Gas Additions'!$E$7:$AD$91,MATCH($C303,'Dist. Plant Gas Additions'!$C$7:$C$91,0),MATCH(Calculation!$G303,'Dist. Plant Gas Additions'!$E$5:$AD$5,0))</f>
        <v>5144</v>
      </c>
      <c r="BM303" s="254">
        <f>INDEX('Gen. Plant Additions'!$E$7:$AD$91,MATCH($C303,'Gen. Plant Additions'!$C$7:$C$91,0),MATCH(Calculation!$G303,'Gen. Plant Additions'!$E$5:$AD$5,0))</f>
        <v>69</v>
      </c>
      <c r="BN303" s="409">
        <f>+(BY303/(BY303+BZ303))</f>
        <v>0.98519466542561696</v>
      </c>
      <c r="BO303" s="218">
        <f t="shared" si="576"/>
        <v>67.978431914367576</v>
      </c>
      <c r="BP303" s="218">
        <f t="shared" si="577"/>
        <v>-1.0215680856324241</v>
      </c>
      <c r="BQ303" s="254">
        <f>INDEX('Dist Plant Depreciation'!$D$7:$AC$94,MATCH($C303,'Dist Plant Depreciation'!$C$7:$C$94,0),MATCH(Calculation!$G303,'Dist Plant Depreciation'!$D$5:$AC$5,0))</f>
        <v>27613</v>
      </c>
      <c r="BR303" s="254">
        <f>INDEX('Gen. Plant Depreciation'!$D$7:$AC$94,MATCH($C303,'Gen. Plant Depreciation'!$C$7:$C$94,0),MATCH(Calculation!$G303,'Gen. Plant Depreciation'!$D$5:$AC$5,0))</f>
        <v>205</v>
      </c>
      <c r="BS303" s="254"/>
      <c r="BT303" s="254"/>
      <c r="BU303" s="254"/>
      <c r="BV303" s="254"/>
      <c r="BW303" s="254"/>
      <c r="BX303" s="254"/>
      <c r="BY303" s="254">
        <f>INDEX('Gross Dx Plant'!$D$7:$AC$91,MATCH($C303,'Gross Dx Plant'!$C$7:$C$91,0),MATCH(Calculation!$G303,'Gross Dx Plant'!$D$5:$AC$5,0))</f>
        <v>67741</v>
      </c>
      <c r="BZ303" s="254">
        <f>INDEX('Gross Gen Plant'!$D$7:$AC$91,MATCH($C303,'Gross Gen Plant'!$C$7:$C$91,0),MATCH(Calculation!$G303,'Gross Gen Plant'!$D$5:$AC$5,0))</f>
        <v>1018</v>
      </c>
      <c r="CA303" s="254">
        <f t="shared" si="551"/>
        <v>40941</v>
      </c>
      <c r="CB303" s="254"/>
      <c r="CC303" s="260">
        <v>1998</v>
      </c>
      <c r="CD303" s="254">
        <f>BJ303+BK303</f>
        <v>68759</v>
      </c>
      <c r="CE303" s="254">
        <f>27613+205</f>
        <v>27818</v>
      </c>
      <c r="CF303" s="254">
        <f>+CD303-CE303</f>
        <v>40941</v>
      </c>
      <c r="CG303" s="254">
        <f>CF303/$BX$3</f>
        <v>202.96011265091329</v>
      </c>
      <c r="CH303" s="323"/>
      <c r="CI303" s="344"/>
      <c r="CJ303" s="344"/>
      <c r="CK303" s="443">
        <v>1</v>
      </c>
      <c r="CL303" s="254">
        <f>+CG303</f>
        <v>202.96011265091329</v>
      </c>
      <c r="CM303" s="256"/>
      <c r="CN303" s="325"/>
      <c r="CO303" s="325"/>
      <c r="CP303" s="256" t="e">
        <f>VLOOKUP($H303,RoR!$E:$F,2,FALSE)</f>
        <v>#N/A</v>
      </c>
      <c r="CQ303" s="325">
        <v>1.1028127770464469E-2</v>
      </c>
      <c r="CR303" s="325"/>
      <c r="CS303" s="325"/>
      <c r="CT303" s="325"/>
      <c r="CU303" s="327"/>
      <c r="CV303" s="331" t="e">
        <f>2/(DD303*39)</f>
        <v>#N/A</v>
      </c>
      <c r="CW303" s="328" t="e">
        <f>+(DD303*40-(1+DD303))/(DD303*40)</f>
        <v>#N/A</v>
      </c>
      <c r="CX303" s="328" t="e">
        <f>+(1-(1/(1+DD303)^40))</f>
        <v>#N/A</v>
      </c>
      <c r="CY303" s="328" t="e">
        <f>+CX303*CW303*CV303</f>
        <v>#N/A</v>
      </c>
      <c r="CZ303" s="329">
        <f>INDEX('State Tax Lookup'!$D$7:$Z$91,MATCH(Calculation!$C303,'State Tax Lookup'!$B$7:$B$91,0),MATCH($H303,'State Tax Lookup'!$D$6:$Z$6,0))</f>
        <v>0.414935</v>
      </c>
      <c r="DA303" s="351">
        <v>0.37</v>
      </c>
      <c r="DB303" s="344"/>
      <c r="DC303" s="326"/>
      <c r="DD303" s="351" t="e">
        <f>VLOOKUP($H303,RoR!$E:$F,2,FALSE)</f>
        <v>#N/A</v>
      </c>
      <c r="DE303" s="354">
        <f>HLOOKUP($H303,'GDP-PI'!$D$8:$CQ$11,3,FALSE)</f>
        <v>1.1028127770464469E-2</v>
      </c>
      <c r="DF303" s="351">
        <f>VLOOKUP(H303,'HW Dx Data'!$E:$F,2,FALSE)</f>
        <v>329.24564746449528</v>
      </c>
      <c r="DG303" s="351"/>
      <c r="DH303" s="351"/>
      <c r="DI303" s="351"/>
      <c r="DJ303" s="326"/>
      <c r="DK303" s="344">
        <f>HLOOKUP(H303,'GDP-PI'!$8:$9,2,FALSE)</f>
        <v>75.266999999999996</v>
      </c>
      <c r="DL303" s="292"/>
      <c r="EC303"/>
    </row>
    <row r="304" spans="1:133" s="126" customFormat="1" ht="21" customHeight="1" x14ac:dyDescent="0.4">
      <c r="A304" s="233" t="s">
        <v>200</v>
      </c>
      <c r="B304" s="127" t="s">
        <v>200</v>
      </c>
      <c r="C304" s="127">
        <v>4088325</v>
      </c>
      <c r="D304" s="127" t="s">
        <v>201</v>
      </c>
      <c r="E304" s="127"/>
      <c r="F304" s="127"/>
      <c r="G304" s="127" t="s">
        <v>155</v>
      </c>
      <c r="H304" s="128">
        <v>1999</v>
      </c>
      <c r="I304" s="129"/>
      <c r="J304" s="125"/>
      <c r="K304" s="129"/>
      <c r="L304" s="47"/>
      <c r="M304" s="129"/>
      <c r="N304" s="129"/>
      <c r="O304" s="129"/>
      <c r="P304" s="47"/>
      <c r="Q304" s="47"/>
      <c r="R304" s="386"/>
      <c r="S304" s="119"/>
      <c r="T304" s="47"/>
      <c r="U304" s="46"/>
      <c r="V304" s="135"/>
      <c r="W304" s="135"/>
      <c r="X304" s="135"/>
      <c r="Y304" s="143"/>
      <c r="Z304" s="135"/>
      <c r="AA304" s="135"/>
      <c r="AB304" s="135"/>
      <c r="AC304" s="125">
        <f t="shared" ref="AC304:AC327" si="581">+CL303*DB304</f>
        <v>0</v>
      </c>
      <c r="AD304" s="129"/>
      <c r="AE304" s="133">
        <v>211.89891846956132</v>
      </c>
      <c r="AF304" s="134">
        <v>4.3099890964176601E-2</v>
      </c>
      <c r="AG304" s="61"/>
      <c r="AH304" s="134"/>
      <c r="AI304" s="134"/>
      <c r="AJ304" s="129">
        <f t="shared" si="569"/>
        <v>0</v>
      </c>
      <c r="AK304" s="134"/>
      <c r="AL304" s="129"/>
      <c r="AM304" s="134"/>
      <c r="AN304" s="134"/>
      <c r="AO304" s="134"/>
      <c r="AP304" s="133"/>
      <c r="AQ304" s="134"/>
      <c r="AR304" s="93"/>
      <c r="AS304" s="93"/>
      <c r="AT304" s="93"/>
      <c r="AU304" s="93"/>
      <c r="AV304" s="93"/>
      <c r="AW304" s="134"/>
      <c r="AX304" s="62"/>
      <c r="AY304" s="93"/>
      <c r="AZ304" s="93"/>
      <c r="BA304" s="93"/>
      <c r="BB304" s="234">
        <f>IFERROR(INDEX('Total Customers'!$E$7:$AA$91,MATCH($C304,'Total Customers'!$C$7:$C$91,0),MATCH($G304,'Total Customers'!$E$5:$AA$5,0)),"NA")</f>
        <v>31935</v>
      </c>
      <c r="BC304" s="411">
        <f t="shared" si="524"/>
        <v>5.7783661078503225E-3</v>
      </c>
      <c r="BD304" s="92"/>
      <c r="BE304" s="281" t="str">
        <f t="shared" si="518"/>
        <v>COLUMBIA GAS OF MARYLAND, INCORPORATED</v>
      </c>
      <c r="BF304" s="290">
        <f t="shared" si="519"/>
        <v>4088325</v>
      </c>
      <c r="BG304" s="46" t="str">
        <f t="shared" si="520"/>
        <v>PA</v>
      </c>
      <c r="BH304" s="46"/>
      <c r="BI304" s="46" t="str">
        <f t="shared" si="521"/>
        <v>1999 Y</v>
      </c>
      <c r="BJ304" s="129"/>
      <c r="BK304" s="129"/>
      <c r="BL304" s="129">
        <f>INDEX('Dist. Plant Gas Additions'!$E$7:$AD$91,MATCH($C304,'Dist. Plant Gas Additions'!$C$7:$C$91,0),MATCH(Calculation!$G304,'Dist. Plant Gas Additions'!$E$5:$AD$5,0))</f>
        <v>3292</v>
      </c>
      <c r="BM304" s="129">
        <f>INDEX('Gen. Plant Additions'!$E$7:$AD$91,MATCH($C304,'Gen. Plant Additions'!$C$7:$C$91,0),MATCH(Calculation!$G304,'Gen. Plant Additions'!$E$5:$AD$5,0))</f>
        <v>44</v>
      </c>
      <c r="BN304" s="393">
        <f t="shared" ref="BN304:BN325" si="582">+(BY304/(BY304+BZ304))</f>
        <v>0.98517452421540952</v>
      </c>
      <c r="BO304" s="46">
        <f t="shared" si="576"/>
        <v>43.347679065478019</v>
      </c>
      <c r="BP304" s="46">
        <f t="shared" si="577"/>
        <v>-0.65232093452198114</v>
      </c>
      <c r="BQ304" s="129">
        <f>INDEX('Dist Plant Depreciation'!$D$7:$AC$94,MATCH($C304,'Dist Plant Depreciation'!$C$7:$C$94,0),MATCH(Calculation!$G304,'Dist Plant Depreciation'!$D$5:$AC$5,0))</f>
        <v>29035</v>
      </c>
      <c r="BR304" s="129">
        <f>INDEX('Gen. Plant Depreciation'!$D$7:$AC$94,MATCH($C304,'Gen. Plant Depreciation'!$C$7:$C$94,0),MATCH(Calculation!$G304,'Gen. Plant Depreciation'!$D$5:$AC$5,0))</f>
        <v>225</v>
      </c>
      <c r="BS304" s="129"/>
      <c r="BT304" s="129"/>
      <c r="BU304" s="129"/>
      <c r="BV304" s="129"/>
      <c r="BW304" s="129"/>
      <c r="BX304" s="129"/>
      <c r="BY304" s="129">
        <f>INDEX('Gross Dx Plant'!$D$7:$AC$91,MATCH($C304,'Gross Dx Plant'!$C$7:$C$91,0),MATCH(Calculation!$G304,'Gross Dx Plant'!$D$5:$AC$5,0))</f>
        <v>70505</v>
      </c>
      <c r="BZ304" s="129">
        <f>INDEX('Gross Gen Plant'!$D$7:$AC$91,MATCH($C304,'Gross Gen Plant'!$C$7:$C$91,0),MATCH(Calculation!$G304,'Gross Gen Plant'!$D$5:$AC$5,0))</f>
        <v>1061</v>
      </c>
      <c r="CA304" s="129">
        <f t="shared" si="551"/>
        <v>42306</v>
      </c>
      <c r="CB304" s="129"/>
      <c r="CC304" s="133">
        <v>1999</v>
      </c>
      <c r="CD304" s="129"/>
      <c r="CE304" s="129"/>
      <c r="CF304" s="129"/>
      <c r="CG304" s="137"/>
      <c r="CH304" s="129">
        <f t="shared" ref="CH304:CH326" si="583">+BM304+BL304</f>
        <v>3336</v>
      </c>
      <c r="CI304" s="46">
        <f>+CH304+BP304</f>
        <v>3335.3476790654781</v>
      </c>
      <c r="CJ304" s="46">
        <f t="shared" ref="CJ304:CJ327" si="584">+CI304/$DF304</f>
        <v>9.9466122834312625</v>
      </c>
      <c r="CK304" s="443">
        <v>0.99009900990099009</v>
      </c>
      <c r="CL304" s="46">
        <f>+CL303*CK304+CJ304</f>
        <v>210.89721886849392</v>
      </c>
      <c r="CM304" s="134">
        <f t="shared" ref="CM304:CM325" si="585">LN(CL304/CL303)</f>
        <v>3.8361430099146797E-2</v>
      </c>
      <c r="CN304" s="135">
        <f t="shared" ref="CN304:CN327" si="586">+(CL303-CL304+CJ304)/CL303</f>
        <v>9.900990099009908E-3</v>
      </c>
      <c r="CO304" s="135"/>
      <c r="CP304" s="134">
        <f>VLOOKUP($H304,RoR!$E:$F,2,FALSE)</f>
        <v>7.0416666666666669E-2</v>
      </c>
      <c r="CQ304" s="135">
        <v>1.4335631817396832E-2</v>
      </c>
      <c r="CR304" s="135">
        <f>+CP304-CQ304</f>
        <v>5.6081034849269837E-2</v>
      </c>
      <c r="CS304" s="135"/>
      <c r="CT304" s="135"/>
      <c r="CU304" s="139">
        <f t="shared" ref="CU304:CU327" si="587">1-CZ304*DA304</f>
        <v>0.84647404999999998</v>
      </c>
      <c r="CV304" s="335">
        <f t="shared" ref="CV304:CV326" si="588">2/(DD304*39)</f>
        <v>0.72826581702321336</v>
      </c>
      <c r="CW304" s="335">
        <f t="shared" ref="CW304:CW326" si="589">+(DD304*40-(1+DD304))/(DD304*40)</f>
        <v>0.61997041420118348</v>
      </c>
      <c r="CX304" s="335">
        <f t="shared" ref="CX304:CX326" si="590">+(1-(1/(1+DD304)^40))</f>
        <v>0.93425155319585029</v>
      </c>
      <c r="CY304" s="335">
        <f t="shared" ref="CY304:CY326" si="591">+CX304*CW304*CV304</f>
        <v>0.42181762214141483</v>
      </c>
      <c r="CZ304" s="336">
        <f>INDEX('State Tax Lookup'!$D$7:$Z$91,MATCH(Calculation!$C304,'State Tax Lookup'!$B$7:$B$91,0),MATCH($H304,'State Tax Lookup'!$D$6:$Z$6,0))</f>
        <v>0.414935</v>
      </c>
      <c r="DA304" s="303">
        <v>0.37</v>
      </c>
      <c r="DB304" s="57"/>
      <c r="DC304" s="56"/>
      <c r="DD304" s="303">
        <f>VLOOKUP($H304,RoR!$E:$F,2,FALSE)</f>
        <v>7.0416666666666669E-2</v>
      </c>
      <c r="DE304" s="304">
        <f>HLOOKUP($H304,'GDP-PI'!$D$8:$CQ$11,3,FALSE)</f>
        <v>1.4335631817396832E-2</v>
      </c>
      <c r="DF304" s="303">
        <f>VLOOKUP(H304,'HW Dx Data'!$E:$F,2,FALSE)</f>
        <v>335.32499146683239</v>
      </c>
      <c r="DG304" s="89"/>
      <c r="DH304" s="89"/>
      <c r="DI304" s="89"/>
      <c r="DJ304" s="56"/>
      <c r="DK304" s="53">
        <f>HLOOKUP(H304,'GDP-PI'!$8:$9,2,FALSE)</f>
        <v>76.346000000000004</v>
      </c>
      <c r="DL304" s="298"/>
      <c r="EC304"/>
    </row>
    <row r="305" spans="1:133" s="126" customFormat="1" ht="21" customHeight="1" x14ac:dyDescent="0.4">
      <c r="A305" s="233" t="s">
        <v>200</v>
      </c>
      <c r="B305" s="127" t="s">
        <v>200</v>
      </c>
      <c r="C305" s="127">
        <v>4088325</v>
      </c>
      <c r="D305" s="127" t="s">
        <v>201</v>
      </c>
      <c r="E305" s="127"/>
      <c r="F305" s="127"/>
      <c r="G305" s="127" t="s">
        <v>156</v>
      </c>
      <c r="H305" s="128">
        <v>2000</v>
      </c>
      <c r="I305" s="129"/>
      <c r="J305" s="125"/>
      <c r="K305" s="125"/>
      <c r="L305" s="47"/>
      <c r="M305" s="125"/>
      <c r="N305" s="125"/>
      <c r="O305" s="125"/>
      <c r="P305" s="47"/>
      <c r="Q305" s="47"/>
      <c r="R305" s="386"/>
      <c r="S305" s="119"/>
      <c r="T305" s="47"/>
      <c r="U305" s="47"/>
      <c r="V305" s="125"/>
      <c r="W305" s="125"/>
      <c r="X305" s="125"/>
      <c r="Y305" s="125"/>
      <c r="Z305" s="125"/>
      <c r="AA305" s="125"/>
      <c r="AB305" s="125"/>
      <c r="AC305" s="125">
        <f t="shared" si="581"/>
        <v>0</v>
      </c>
      <c r="AD305" s="129"/>
      <c r="AE305" s="133">
        <v>220.86869997525051</v>
      </c>
      <c r="AF305" s="134">
        <v>4.1459045905791511E-2</v>
      </c>
      <c r="AG305" s="61"/>
      <c r="AH305" s="134"/>
      <c r="AI305" s="134"/>
      <c r="AJ305" s="129">
        <f t="shared" si="569"/>
        <v>0</v>
      </c>
      <c r="AK305" s="134"/>
      <c r="AL305" s="129"/>
      <c r="AM305" s="129"/>
      <c r="AN305" s="129"/>
      <c r="AO305" s="129"/>
      <c r="AP305" s="133"/>
      <c r="AQ305" s="134"/>
      <c r="AR305" s="93"/>
      <c r="AS305" s="93"/>
      <c r="AT305" s="93"/>
      <c r="AU305" s="93"/>
      <c r="AV305" s="93"/>
      <c r="AW305" s="134"/>
      <c r="AX305" s="62"/>
      <c r="AY305" s="93"/>
      <c r="AZ305" s="93"/>
      <c r="BA305" s="93"/>
      <c r="BB305" s="234">
        <f>IFERROR(INDEX('Total Customers'!$E$7:$AA$91,MATCH($C305,'Total Customers'!$C$7:$C$91,0),MATCH($G305,'Total Customers'!$E$5:$AA$5,0)),"NA")</f>
        <v>32156</v>
      </c>
      <c r="BC305" s="411">
        <f t="shared" si="524"/>
        <v>6.8964714521620027E-3</v>
      </c>
      <c r="BD305" s="92"/>
      <c r="BE305" s="281" t="str">
        <f t="shared" si="518"/>
        <v>COLUMBIA GAS OF MARYLAND, INCORPORATED</v>
      </c>
      <c r="BF305" s="290">
        <f t="shared" si="519"/>
        <v>4088325</v>
      </c>
      <c r="BG305" s="46" t="str">
        <f t="shared" si="520"/>
        <v>PA</v>
      </c>
      <c r="BH305" s="46"/>
      <c r="BI305" s="46" t="str">
        <f t="shared" si="521"/>
        <v>2000 Y</v>
      </c>
      <c r="BJ305" s="129"/>
      <c r="BK305" s="129"/>
      <c r="BL305" s="129">
        <f>INDEX('Dist. Plant Gas Additions'!$E$7:$AD$91,MATCH($C305,'Dist. Plant Gas Additions'!$C$7:$C$91,0),MATCH(Calculation!$G305,'Dist. Plant Gas Additions'!$E$5:$AD$5,0))</f>
        <v>3364</v>
      </c>
      <c r="BM305" s="129">
        <f>INDEX('Gen. Plant Additions'!$E$7:$AD$91,MATCH($C305,'Gen. Plant Additions'!$C$7:$C$91,0),MATCH(Calculation!$G305,'Gen. Plant Additions'!$E$5:$AD$5,0))</f>
        <v>122</v>
      </c>
      <c r="BN305" s="393">
        <f t="shared" si="582"/>
        <v>0.98412996777658435</v>
      </c>
      <c r="BO305" s="46">
        <f t="shared" si="576"/>
        <v>120.06385606874329</v>
      </c>
      <c r="BP305" s="46">
        <f t="shared" si="577"/>
        <v>-1.9361439312567086</v>
      </c>
      <c r="BQ305" s="129"/>
      <c r="BR305" s="129"/>
      <c r="BS305" s="129"/>
      <c r="BT305" s="129"/>
      <c r="BU305" s="129"/>
      <c r="BV305" s="129"/>
      <c r="BW305" s="129"/>
      <c r="BX305" s="129"/>
      <c r="BY305" s="129">
        <f>INDEX('Gross Dx Plant'!$D$7:$AC$91,MATCH($C305,'Gross Dx Plant'!$C$7:$C$91,0),MATCH(Calculation!$G305,'Gross Dx Plant'!$D$5:$AC$5,0))</f>
        <v>73298</v>
      </c>
      <c r="BZ305" s="129">
        <f>INDEX('Gross Gen Plant'!$D$7:$AC$91,MATCH($C305,'Gross Gen Plant'!$C$7:$C$91,0),MATCH(Calculation!$G305,'Gross Gen Plant'!$D$5:$AC$5,0))</f>
        <v>1182</v>
      </c>
      <c r="CA305" s="129">
        <f t="shared" si="551"/>
        <v>74480</v>
      </c>
      <c r="CB305" s="129"/>
      <c r="CC305" s="133">
        <v>2000</v>
      </c>
      <c r="CD305" s="129"/>
      <c r="CE305" s="129"/>
      <c r="CF305" s="129"/>
      <c r="CG305" s="137"/>
      <c r="CH305" s="129">
        <f t="shared" si="583"/>
        <v>3486</v>
      </c>
      <c r="CI305" s="46">
        <f t="shared" ref="CI305:CI327" si="592">+CH305+BP305</f>
        <v>3484.0638560687435</v>
      </c>
      <c r="CJ305" s="46">
        <f t="shared" si="584"/>
        <v>10.054039987714429</v>
      </c>
      <c r="CK305" s="443">
        <v>0.98</v>
      </c>
      <c r="CL305" s="46">
        <f>+CL303*CK305+CJ304*CK304+CJ305</f>
        <v>218.80308135930375</v>
      </c>
      <c r="CM305" s="134">
        <f t="shared" si="585"/>
        <v>3.6801253013657345E-2</v>
      </c>
      <c r="CN305" s="135">
        <f t="shared" si="586"/>
        <v>1.0185897701401707E-2</v>
      </c>
      <c r="CO305" s="135"/>
      <c r="CP305" s="134">
        <f>VLOOKUP($H305,RoR!$E:$F,2,FALSE)</f>
        <v>7.6225000000000001E-2</v>
      </c>
      <c r="CQ305" s="135">
        <v>2.2568307442433211E-2</v>
      </c>
      <c r="CR305" s="135">
        <f t="shared" ref="CR305:CR325" si="593">+CP305-CQ305</f>
        <v>5.365669255756679E-2</v>
      </c>
      <c r="CS305" s="135"/>
      <c r="CT305" s="135"/>
      <c r="CU305" s="139">
        <f t="shared" si="587"/>
        <v>0.84647404999999998</v>
      </c>
      <c r="CV305" s="335">
        <f t="shared" si="588"/>
        <v>0.67277207323124022</v>
      </c>
      <c r="CW305" s="335">
        <f t="shared" si="589"/>
        <v>0.6470236142997704</v>
      </c>
      <c r="CX305" s="335">
        <f t="shared" si="590"/>
        <v>0.94704866037543145</v>
      </c>
      <c r="CY305" s="335">
        <f t="shared" si="591"/>
        <v>0.41224973107878493</v>
      </c>
      <c r="CZ305" s="336">
        <f>INDEX('State Tax Lookup'!$D$7:$Z$91,MATCH(Calculation!$C305,'State Tax Lookup'!$B$7:$B$91,0),MATCH($H305,'State Tax Lookup'!$D$6:$Z$6,0))</f>
        <v>0.414935</v>
      </c>
      <c r="DA305" s="303">
        <v>0.37</v>
      </c>
      <c r="DB305" s="57"/>
      <c r="DC305" s="56"/>
      <c r="DD305" s="303">
        <f>VLOOKUP($H305,RoR!$E:$F,2,FALSE)</f>
        <v>7.6225000000000001E-2</v>
      </c>
      <c r="DE305" s="304">
        <f>HLOOKUP($H305,'GDP-PI'!$D$8:$CQ$11,3,FALSE)</f>
        <v>2.2568307442433211E-2</v>
      </c>
      <c r="DF305" s="303">
        <f>VLOOKUP(H305,'HW Dx Data'!$E:$F,2,FALSE)</f>
        <v>346.53371782150339</v>
      </c>
      <c r="DG305" s="89"/>
      <c r="DH305" s="89"/>
      <c r="DI305" s="89"/>
      <c r="DJ305" s="56"/>
      <c r="DK305" s="53">
        <f>HLOOKUP(H305,'GDP-PI'!$8:$9,2,FALSE)</f>
        <v>78.069000000000003</v>
      </c>
      <c r="DL305" s="298"/>
      <c r="EC305"/>
    </row>
    <row r="306" spans="1:133" s="126" customFormat="1" ht="21" customHeight="1" x14ac:dyDescent="0.4">
      <c r="A306" s="233" t="s">
        <v>200</v>
      </c>
      <c r="B306" s="127" t="s">
        <v>200</v>
      </c>
      <c r="C306" s="127">
        <v>4088325</v>
      </c>
      <c r="D306" s="127" t="s">
        <v>201</v>
      </c>
      <c r="E306" s="127"/>
      <c r="F306" s="127"/>
      <c r="G306" s="127" t="s">
        <v>157</v>
      </c>
      <c r="H306" s="128">
        <v>2001</v>
      </c>
      <c r="I306" s="129"/>
      <c r="J306" s="125"/>
      <c r="K306" s="125"/>
      <c r="L306" s="47"/>
      <c r="M306" s="125"/>
      <c r="N306" s="125"/>
      <c r="O306" s="125"/>
      <c r="P306" s="47"/>
      <c r="Q306" s="47"/>
      <c r="R306" s="386"/>
      <c r="S306" s="119"/>
      <c r="T306" s="47"/>
      <c r="U306" s="47"/>
      <c r="V306" s="125"/>
      <c r="W306" s="125"/>
      <c r="X306" s="125"/>
      <c r="Y306" s="125"/>
      <c r="Z306" s="125"/>
      <c r="AA306" s="125"/>
      <c r="AB306" s="125"/>
      <c r="AC306" s="125">
        <f t="shared" si="581"/>
        <v>2327.2769574139779</v>
      </c>
      <c r="AD306" s="129"/>
      <c r="AE306" s="133">
        <v>230.74273740479282</v>
      </c>
      <c r="AF306" s="134">
        <v>4.3734991818113529E-2</v>
      </c>
      <c r="AG306" s="61"/>
      <c r="AH306" s="134"/>
      <c r="AI306" s="134"/>
      <c r="AJ306" s="129">
        <f t="shared" si="569"/>
        <v>2327.2769574139779</v>
      </c>
      <c r="AK306" s="134"/>
      <c r="AL306" s="129"/>
      <c r="AM306" s="129"/>
      <c r="AN306" s="129"/>
      <c r="AO306" s="129"/>
      <c r="AP306" s="133"/>
      <c r="AQ306" s="134"/>
      <c r="AR306" s="93"/>
      <c r="AS306" s="93"/>
      <c r="AT306" s="93"/>
      <c r="AU306" s="93"/>
      <c r="AV306" s="93"/>
      <c r="AW306" s="134"/>
      <c r="AX306" s="62"/>
      <c r="AY306" s="93"/>
      <c r="AZ306" s="93"/>
      <c r="BA306" s="93"/>
      <c r="BB306" s="234">
        <f>IFERROR(INDEX('Total Customers'!$E$7:$AA$91,MATCH($C306,'Total Customers'!$C$7:$C$91,0),MATCH($G306,'Total Customers'!$E$5:$AA$5,0)),"NA")</f>
        <v>31856</v>
      </c>
      <c r="BC306" s="411">
        <f t="shared" si="524"/>
        <v>-9.3733111438739081E-3</v>
      </c>
      <c r="BD306" s="92"/>
      <c r="BE306" s="281" t="str">
        <f t="shared" si="518"/>
        <v>COLUMBIA GAS OF MARYLAND, INCORPORATED</v>
      </c>
      <c r="BF306" s="290">
        <f t="shared" si="519"/>
        <v>4088325</v>
      </c>
      <c r="BG306" s="46" t="str">
        <f t="shared" si="520"/>
        <v>PA</v>
      </c>
      <c r="BH306" s="46"/>
      <c r="BI306" s="46" t="str">
        <f t="shared" si="521"/>
        <v>2001 Y</v>
      </c>
      <c r="BJ306" s="129"/>
      <c r="BK306" s="129"/>
      <c r="BL306" s="129">
        <f>INDEX('Dist. Plant Gas Additions'!$E$7:$AD$91,MATCH($C306,'Dist. Plant Gas Additions'!$C$7:$C$91,0),MATCH(Calculation!$G306,'Dist. Plant Gas Additions'!$E$5:$AD$5,0))</f>
        <v>3868</v>
      </c>
      <c r="BM306" s="129">
        <f>INDEX('Gen. Plant Additions'!$E$7:$AD$91,MATCH($C306,'Gen. Plant Additions'!$C$7:$C$91,0),MATCH(Calculation!$G306,'Gen. Plant Additions'!$E$5:$AD$5,0))</f>
        <v>19</v>
      </c>
      <c r="BN306" s="393">
        <f t="shared" si="582"/>
        <v>0.9846128179461513</v>
      </c>
      <c r="BO306" s="46">
        <f t="shared" si="576"/>
        <v>18.707643540976875</v>
      </c>
      <c r="BP306" s="46">
        <f t="shared" si="577"/>
        <v>-0.29235645902312513</v>
      </c>
      <c r="BQ306" s="129"/>
      <c r="BR306" s="129"/>
      <c r="BS306" s="129"/>
      <c r="BT306" s="129"/>
      <c r="BU306" s="129"/>
      <c r="BV306" s="129"/>
      <c r="BW306" s="129"/>
      <c r="BX306" s="129"/>
      <c r="BY306" s="129">
        <f>INDEX('Gross Dx Plant'!$D$7:$AC$91,MATCH($C306,'Gross Dx Plant'!$C$7:$C$91,0),MATCH(Calculation!$G306,'Gross Dx Plant'!$D$5:$AC$5,0))</f>
        <v>76723</v>
      </c>
      <c r="BZ306" s="129">
        <f>INDEX('Gross Gen Plant'!$D$7:$AC$91,MATCH($C306,'Gross Gen Plant'!$C$7:$C$91,0),MATCH(Calculation!$G306,'Gross Gen Plant'!$D$5:$AC$5,0))</f>
        <v>1199</v>
      </c>
      <c r="CA306" s="129">
        <f t="shared" si="551"/>
        <v>77922</v>
      </c>
      <c r="CB306" s="129"/>
      <c r="CC306" s="133">
        <v>2001</v>
      </c>
      <c r="CD306" s="129"/>
      <c r="CE306" s="129"/>
      <c r="CF306" s="129"/>
      <c r="CG306" s="137"/>
      <c r="CH306" s="129">
        <f t="shared" si="583"/>
        <v>3887</v>
      </c>
      <c r="CI306" s="46">
        <f t="shared" si="592"/>
        <v>3886.7076435409767</v>
      </c>
      <c r="CJ306" s="46">
        <f t="shared" si="584"/>
        <v>10.996566565632575</v>
      </c>
      <c r="CK306" s="443">
        <v>0.96969696969696972</v>
      </c>
      <c r="CL306" s="46">
        <f>+CL303*CK306+CJ304*CK305+CJ305*CK303+CJ306</f>
        <v>227.60809279805588</v>
      </c>
      <c r="CM306" s="134">
        <f t="shared" si="585"/>
        <v>3.9453105285594023E-2</v>
      </c>
      <c r="CN306" s="135">
        <f t="shared" si="586"/>
        <v>1.0016107237912332E-2</v>
      </c>
      <c r="CO306" s="135">
        <f>+(CN306+CN305+CN304)/3</f>
        <v>1.0034331679441316E-2</v>
      </c>
      <c r="CP306" s="134">
        <f>VLOOKUP($H306,RoR!$E:$F,2,FALSE)</f>
        <v>7.0824999999999999E-2</v>
      </c>
      <c r="CQ306" s="135">
        <v>2.2454495382290052E-2</v>
      </c>
      <c r="CR306" s="135">
        <f t="shared" si="593"/>
        <v>4.8370504617709947E-2</v>
      </c>
      <c r="CS306" s="135">
        <f>+$CR$2-CO306</f>
        <v>2.0867609929092309E-2</v>
      </c>
      <c r="CT306" s="135">
        <f>+((DF304/DF303-1)+(DF305/DF304-1)+(DF306/DF305-1))/3</f>
        <v>2.3947275901631187E-2</v>
      </c>
      <c r="CU306" s="139">
        <f t="shared" si="587"/>
        <v>0.84647404999999998</v>
      </c>
      <c r="CV306" s="335">
        <f t="shared" si="588"/>
        <v>0.72406708481540816</v>
      </c>
      <c r="CW306" s="335">
        <f t="shared" si="589"/>
        <v>0.62201729615248857</v>
      </c>
      <c r="CX306" s="335">
        <f t="shared" si="590"/>
        <v>0.9352469954311422</v>
      </c>
      <c r="CY306" s="335">
        <f t="shared" si="591"/>
        <v>0.42121864641655071</v>
      </c>
      <c r="CZ306" s="336">
        <f>INDEX('State Tax Lookup'!$D$7:$Z$91,MATCH(Calculation!$C306,'State Tax Lookup'!$B$7:$B$91,0),MATCH($H306,'State Tax Lookup'!$D$6:$Z$6,0))</f>
        <v>0.414935</v>
      </c>
      <c r="DA306" s="303">
        <v>0.37</v>
      </c>
      <c r="DB306" s="57">
        <f t="shared" ref="DB306:DB327" si="594">+(DF306*CS306-CT306)*CU306/(1-CZ306)</f>
        <v>10.636399373152701</v>
      </c>
      <c r="DC306" s="56"/>
      <c r="DD306" s="303">
        <f>VLOOKUP($H306,RoR!$E:$F,2,FALSE)</f>
        <v>7.0824999999999999E-2</v>
      </c>
      <c r="DE306" s="304">
        <f>HLOOKUP($H306,'GDP-PI'!$D$8:$CQ$11,3,FALSE)</f>
        <v>2.2454495382290052E-2</v>
      </c>
      <c r="DF306" s="303">
        <f>VLOOKUP(H306,'HW Dx Data'!$E:$F,2,FALSE)</f>
        <v>353.44738017483138</v>
      </c>
      <c r="DG306" s="89"/>
      <c r="DH306" s="89"/>
      <c r="DI306" s="89"/>
      <c r="DJ306" s="56"/>
      <c r="DK306" s="53">
        <f>HLOOKUP(H306,'GDP-PI'!$8:$9,2,FALSE)</f>
        <v>79.822000000000003</v>
      </c>
      <c r="DL306" s="298"/>
      <c r="EC306"/>
    </row>
    <row r="307" spans="1:133" s="126" customFormat="1" ht="21" customHeight="1" x14ac:dyDescent="0.4">
      <c r="A307" s="233" t="s">
        <v>200</v>
      </c>
      <c r="B307" s="127" t="s">
        <v>200</v>
      </c>
      <c r="C307" s="127">
        <v>4088325</v>
      </c>
      <c r="D307" s="127" t="s">
        <v>201</v>
      </c>
      <c r="E307" s="127"/>
      <c r="F307" s="127"/>
      <c r="G307" s="127" t="s">
        <v>158</v>
      </c>
      <c r="H307" s="128">
        <v>2002</v>
      </c>
      <c r="I307" s="129"/>
      <c r="J307" s="125"/>
      <c r="K307" s="125"/>
      <c r="L307" s="47"/>
      <c r="M307" s="125"/>
      <c r="N307" s="125"/>
      <c r="O307" s="125"/>
      <c r="P307" s="47"/>
      <c r="Q307" s="47"/>
      <c r="R307" s="386"/>
      <c r="S307" s="119"/>
      <c r="T307" s="47"/>
      <c r="U307" s="47"/>
      <c r="V307" s="125"/>
      <c r="W307" s="125"/>
      <c r="X307" s="125"/>
      <c r="Y307" s="125"/>
      <c r="Z307" s="125"/>
      <c r="AA307" s="125"/>
      <c r="AB307" s="125"/>
      <c r="AC307" s="125">
        <f t="shared" si="581"/>
        <v>2423.7932344871274</v>
      </c>
      <c r="AD307" s="129"/>
      <c r="AE307" s="133">
        <v>234.97940758273128</v>
      </c>
      <c r="AF307" s="134">
        <v>1.8194483978206971E-2</v>
      </c>
      <c r="AG307" s="61"/>
      <c r="AH307" s="134"/>
      <c r="AI307" s="134"/>
      <c r="AJ307" s="129">
        <f t="shared" si="569"/>
        <v>2423.7932344871274</v>
      </c>
      <c r="AK307" s="134"/>
      <c r="AL307" s="129"/>
      <c r="AM307" s="129"/>
      <c r="AN307" s="129"/>
      <c r="AO307" s="129"/>
      <c r="AP307" s="133"/>
      <c r="AQ307" s="134"/>
      <c r="AR307" s="93"/>
      <c r="AS307" s="93"/>
      <c r="AT307" s="93"/>
      <c r="AU307" s="93"/>
      <c r="AV307" s="93"/>
      <c r="AW307" s="134"/>
      <c r="AX307" s="62"/>
      <c r="AY307" s="93"/>
      <c r="AZ307" s="93"/>
      <c r="BA307" s="93"/>
      <c r="BB307" s="234">
        <f>IFERROR(INDEX('Total Customers'!$E$7:$AA$91,MATCH($C307,'Total Customers'!$C$7:$C$91,0),MATCH($G307,'Total Customers'!$E$5:$AA$5,0)),"NA")</f>
        <v>32074</v>
      </c>
      <c r="BC307" s="411">
        <f t="shared" si="524"/>
        <v>6.8199857647766688E-3</v>
      </c>
      <c r="BD307" s="92"/>
      <c r="BE307" s="281" t="str">
        <f t="shared" si="518"/>
        <v>COLUMBIA GAS OF MARYLAND, INCORPORATED</v>
      </c>
      <c r="BF307" s="290">
        <f t="shared" si="519"/>
        <v>4088325</v>
      </c>
      <c r="BG307" s="46" t="str">
        <f t="shared" si="520"/>
        <v>PA</v>
      </c>
      <c r="BH307" s="46"/>
      <c r="BI307" s="46" t="str">
        <f t="shared" si="521"/>
        <v>2002 Y</v>
      </c>
      <c r="BJ307" s="129"/>
      <c r="BK307" s="129"/>
      <c r="BL307" s="129">
        <f>INDEX('Dist. Plant Gas Additions'!$E$7:$AD$91,MATCH($C307,'Dist. Plant Gas Additions'!$C$7:$C$91,0),MATCH(Calculation!$G307,'Dist. Plant Gas Additions'!$E$5:$AD$5,0))</f>
        <v>1751</v>
      </c>
      <c r="BM307" s="129">
        <f>INDEX('Gen. Plant Additions'!$E$7:$AD$91,MATCH($C307,'Gen. Plant Additions'!$C$7:$C$91,0),MATCH(Calculation!$G307,'Gen. Plant Additions'!$E$5:$AD$5,0))</f>
        <v>255</v>
      </c>
      <c r="BN307" s="393">
        <f t="shared" si="582"/>
        <v>0.98177410440637092</v>
      </c>
      <c r="BO307" s="46">
        <f t="shared" si="576"/>
        <v>250.35239662362457</v>
      </c>
      <c r="BP307" s="46">
        <f t="shared" si="577"/>
        <v>-4.6476033763754288</v>
      </c>
      <c r="BQ307" s="129"/>
      <c r="BR307" s="129"/>
      <c r="BS307" s="129"/>
      <c r="BT307" s="129"/>
      <c r="BU307" s="129"/>
      <c r="BV307" s="129"/>
      <c r="BW307" s="129"/>
      <c r="BX307" s="129"/>
      <c r="BY307" s="129">
        <f>INDEX('Gross Dx Plant'!$D$7:$AC$91,MATCH($C307,'Gross Dx Plant'!$C$7:$C$91,0),MATCH(Calculation!$G307,'Gross Dx Plant'!$D$5:$AC$5,0))</f>
        <v>78161</v>
      </c>
      <c r="BZ307" s="129">
        <f>INDEX('Gross Gen Plant'!$D$7:$AC$91,MATCH($C307,'Gross Gen Plant'!$C$7:$C$91,0),MATCH(Calculation!$G307,'Gross Gen Plant'!$D$5:$AC$5,0))</f>
        <v>1451</v>
      </c>
      <c r="CA307" s="129">
        <f t="shared" si="551"/>
        <v>79612</v>
      </c>
      <c r="CB307" s="129"/>
      <c r="CC307" s="133">
        <v>2002</v>
      </c>
      <c r="CD307" s="129"/>
      <c r="CE307" s="129"/>
      <c r="CF307" s="129"/>
      <c r="CG307" s="137"/>
      <c r="CH307" s="129">
        <f t="shared" si="583"/>
        <v>2006</v>
      </c>
      <c r="CI307" s="46">
        <f t="shared" si="592"/>
        <v>2001.3523966236246</v>
      </c>
      <c r="CJ307" s="46">
        <f t="shared" si="584"/>
        <v>5.5385707924033891</v>
      </c>
      <c r="CK307" s="443">
        <v>0.95918367346938771</v>
      </c>
      <c r="CL307" s="46">
        <f>+CL303*CK307+CJ304*CK306+CJ305*CK305+CJ306*CK304+CJ307</f>
        <v>230.60044585956439</v>
      </c>
      <c r="CM307" s="134">
        <f t="shared" si="585"/>
        <v>1.3061282579838799E-2</v>
      </c>
      <c r="CN307" s="135">
        <f t="shared" si="586"/>
        <v>1.118685060620405E-2</v>
      </c>
      <c r="CO307" s="135">
        <f t="shared" ref="CO307:CO327" si="595">+(CN307+CN306+CN305)/3</f>
        <v>1.0462951848506029E-2</v>
      </c>
      <c r="CP307" s="134">
        <f>VLOOKUP($H307,RoR!$E:$F,2,FALSE)</f>
        <v>6.4916666666666664E-2</v>
      </c>
      <c r="CQ307" s="135">
        <v>1.5246423291824351E-2</v>
      </c>
      <c r="CR307" s="135">
        <f t="shared" si="593"/>
        <v>4.9670243374842313E-2</v>
      </c>
      <c r="CS307" s="135">
        <f t="shared" ref="CS307:CS327" si="596">+$CR$2-CO307</f>
        <v>2.0438989760027594E-2</v>
      </c>
      <c r="CT307" s="135">
        <f t="shared" ref="CT307:CT327" si="597">+((DF305/DF304-1)+(DF306/DF305-1)+(DF307/DF306-1))/3</f>
        <v>2.5243621214759093E-2</v>
      </c>
      <c r="CU307" s="139">
        <f t="shared" si="587"/>
        <v>0.84647404999999998</v>
      </c>
      <c r="CV307" s="335">
        <f t="shared" si="588"/>
        <v>0.78996741384417901</v>
      </c>
      <c r="CW307" s="335">
        <f t="shared" si="589"/>
        <v>0.58989088575096271</v>
      </c>
      <c r="CX307" s="335">
        <f t="shared" si="590"/>
        <v>0.91920675783645744</v>
      </c>
      <c r="CY307" s="335">
        <f t="shared" si="591"/>
        <v>0.42834536472275586</v>
      </c>
      <c r="CZ307" s="336">
        <f>INDEX('State Tax Lookup'!$D$7:$Z$91,MATCH(Calculation!$C307,'State Tax Lookup'!$B$7:$B$91,0),MATCH($H307,'State Tax Lookup'!$D$6:$Z$6,0))</f>
        <v>0.414935</v>
      </c>
      <c r="DA307" s="303">
        <v>0.37</v>
      </c>
      <c r="DB307" s="57">
        <f t="shared" si="594"/>
        <v>10.648976513491661</v>
      </c>
      <c r="DC307" s="56">
        <f t="shared" ref="DC307:DC327" si="598">LN(DB307/DB306)</f>
        <v>1.1817636549782949E-3</v>
      </c>
      <c r="DD307" s="303">
        <f>VLOOKUP($H307,RoR!$E:$F,2,FALSE)</f>
        <v>6.4916666666666664E-2</v>
      </c>
      <c r="DE307" s="304">
        <f>HLOOKUP($H307,'GDP-PI'!$D$8:$CQ$11,3,FALSE)</f>
        <v>1.5246423291824351E-2</v>
      </c>
      <c r="DF307" s="303">
        <f>VLOOKUP(H307,'HW Dx Data'!$E:$F,2,FALSE)</f>
        <v>361.34816573413599</v>
      </c>
      <c r="DG307" s="89"/>
      <c r="DH307" s="89"/>
      <c r="DI307" s="89"/>
      <c r="DJ307" s="56"/>
      <c r="DK307" s="53">
        <f>HLOOKUP(H307,'GDP-PI'!$8:$9,2,FALSE)</f>
        <v>81.039000000000001</v>
      </c>
      <c r="DL307" s="355">
        <f>LN(DK307/DK306)</f>
        <v>1.513136459537477E-2</v>
      </c>
      <c r="EC307"/>
    </row>
    <row r="308" spans="1:133" s="126" customFormat="1" ht="21" customHeight="1" x14ac:dyDescent="0.4">
      <c r="A308" s="233" t="s">
        <v>200</v>
      </c>
      <c r="B308" s="127" t="s">
        <v>200</v>
      </c>
      <c r="C308" s="127">
        <v>4088325</v>
      </c>
      <c r="D308" s="127" t="s">
        <v>201</v>
      </c>
      <c r="E308" s="127"/>
      <c r="F308" s="127"/>
      <c r="G308" s="127" t="s">
        <v>159</v>
      </c>
      <c r="H308" s="128">
        <v>2003</v>
      </c>
      <c r="I308" s="129"/>
      <c r="J308" s="125"/>
      <c r="K308" s="125"/>
      <c r="L308" s="47"/>
      <c r="M308" s="125"/>
      <c r="N308" s="125"/>
      <c r="O308" s="125"/>
      <c r="P308" s="59"/>
      <c r="Q308" s="59"/>
      <c r="R308" s="386"/>
      <c r="S308" s="119"/>
      <c r="T308" s="59"/>
      <c r="U308" s="59"/>
      <c r="V308" s="125"/>
      <c r="W308" s="125"/>
      <c r="X308" s="125"/>
      <c r="Y308" s="125"/>
      <c r="Z308" s="125"/>
      <c r="AA308" s="125"/>
      <c r="AB308" s="125"/>
      <c r="AC308" s="125">
        <f t="shared" si="581"/>
        <v>2474.5775125693349</v>
      </c>
      <c r="AD308" s="129"/>
      <c r="AE308" s="133">
        <v>236.26602211129978</v>
      </c>
      <c r="AF308" s="134">
        <v>5.4604995376766581E-3</v>
      </c>
      <c r="AG308" s="61"/>
      <c r="AH308" s="134"/>
      <c r="AI308" s="134"/>
      <c r="AJ308" s="129">
        <f t="shared" si="569"/>
        <v>2474.5775125693349</v>
      </c>
      <c r="AK308" s="134"/>
      <c r="AL308" s="129"/>
      <c r="AM308" s="129"/>
      <c r="AN308" s="129"/>
      <c r="AO308" s="129"/>
      <c r="AP308" s="133"/>
      <c r="AQ308" s="134"/>
      <c r="AR308" s="93"/>
      <c r="AS308" s="93"/>
      <c r="AT308" s="93"/>
      <c r="AU308" s="93"/>
      <c r="AV308" s="93"/>
      <c r="AW308" s="134"/>
      <c r="AX308" s="62"/>
      <c r="AY308" s="93"/>
      <c r="AZ308" s="93"/>
      <c r="BA308" s="93"/>
      <c r="BB308" s="234">
        <f>IFERROR(INDEX('Total Customers'!$E$7:$AA$91,MATCH($C308,'Total Customers'!$C$7:$C$91,0),MATCH($G308,'Total Customers'!$E$5:$AA$5,0)),"NA")</f>
        <v>32119</v>
      </c>
      <c r="BC308" s="411">
        <f t="shared" si="524"/>
        <v>1.4020222569827397E-3</v>
      </c>
      <c r="BD308" s="92"/>
      <c r="BE308" s="281" t="str">
        <f t="shared" si="518"/>
        <v>COLUMBIA GAS OF MARYLAND, INCORPORATED</v>
      </c>
      <c r="BF308" s="290">
        <f t="shared" si="519"/>
        <v>4088325</v>
      </c>
      <c r="BG308" s="46" t="str">
        <f t="shared" si="520"/>
        <v>PA</v>
      </c>
      <c r="BH308" s="46"/>
      <c r="BI308" s="46" t="str">
        <f t="shared" si="521"/>
        <v>2003 Y</v>
      </c>
      <c r="BJ308" s="129"/>
      <c r="BK308" s="129"/>
      <c r="BL308" s="129">
        <f>INDEX('Dist. Plant Gas Additions'!$E$7:$AD$91,MATCH($C308,'Dist. Plant Gas Additions'!$C$7:$C$91,0),MATCH(Calculation!$G308,'Dist. Plant Gas Additions'!$E$5:$AD$5,0))</f>
        <v>943</v>
      </c>
      <c r="BM308" s="129">
        <f>INDEX('Gen. Plant Additions'!$E$7:$AD$91,MATCH($C308,'Gen. Plant Additions'!$C$7:$C$91,0),MATCH(Calculation!$G308,'Gen. Plant Additions'!$E$5:$AD$5,0))</f>
        <v>24</v>
      </c>
      <c r="BN308" s="393">
        <f t="shared" si="582"/>
        <v>0.98204097021490511</v>
      </c>
      <c r="BO308" s="46">
        <f t="shared" si="576"/>
        <v>23.568983285157721</v>
      </c>
      <c r="BP308" s="46">
        <f t="shared" si="577"/>
        <v>-0.43101671484227921</v>
      </c>
      <c r="BQ308" s="129">
        <f>INDEX('Dist Plant Depreciation'!$D$7:$AC$94,MATCH($C308,'Dist Plant Depreciation'!$C$7:$C$94,0),MATCH(Calculation!$G308,'Dist Plant Depreciation'!$D$5:$AC$5,0))</f>
        <v>35195</v>
      </c>
      <c r="BR308" s="129">
        <f>INDEX('Gen. Plant Depreciation'!$D$7:$AC$94,MATCH($C308,'Gen. Plant Depreciation'!$C$7:$C$94,0),MATCH(Calculation!$G308,'Gen. Plant Depreciation'!$D$5:$AC$5,0))</f>
        <v>213</v>
      </c>
      <c r="BS308" s="129"/>
      <c r="BT308" s="129"/>
      <c r="BU308" s="129"/>
      <c r="BV308" s="129"/>
      <c r="BW308" s="129"/>
      <c r="BX308" s="129"/>
      <c r="BY308" s="129">
        <f>INDEX('Gross Dx Plant'!$D$7:$AC$91,MATCH($C308,'Gross Dx Plant'!$C$7:$C$91,0),MATCH(Calculation!$G308,'Gross Dx Plant'!$D$5:$AC$5,0))</f>
        <v>78141</v>
      </c>
      <c r="BZ308" s="129">
        <f>INDEX('Gross Gen Plant'!$D$7:$AC$91,MATCH($C308,'Gross Gen Plant'!$C$7:$C$91,0),MATCH(Calculation!$G308,'Gross Gen Plant'!$D$5:$AC$5,0))</f>
        <v>1429</v>
      </c>
      <c r="CA308" s="129">
        <f t="shared" si="551"/>
        <v>44162</v>
      </c>
      <c r="CB308" s="129"/>
      <c r="CC308" s="133">
        <v>2003</v>
      </c>
      <c r="CD308" s="129"/>
      <c r="CE308" s="129"/>
      <c r="CF308" s="129"/>
      <c r="CG308" s="137"/>
      <c r="CH308" s="129">
        <f t="shared" si="583"/>
        <v>967</v>
      </c>
      <c r="CI308" s="46">
        <f t="shared" si="592"/>
        <v>966.56898328515774</v>
      </c>
      <c r="CJ308" s="46">
        <f t="shared" si="584"/>
        <v>2.6177751029996124</v>
      </c>
      <c r="CK308" s="443">
        <v>0.94845360824742264</v>
      </c>
      <c r="CL308" s="46">
        <f>+CL303*CK308+CJ304*CK307+CJ305*CK306+CJ306*CK305+CJ307*CK304+CJ308</f>
        <v>230.66639518710292</v>
      </c>
      <c r="CM308" s="134">
        <f t="shared" si="585"/>
        <v>2.8594870525812556E-4</v>
      </c>
      <c r="CN308" s="135">
        <f t="shared" si="586"/>
        <v>1.106600538411422E-2</v>
      </c>
      <c r="CO308" s="135">
        <f t="shared" si="595"/>
        <v>1.0756321076076866E-2</v>
      </c>
      <c r="CP308" s="134">
        <f>VLOOKUP($H308,RoR!$E:$F,2,FALSE)</f>
        <v>5.6666666666666671E-2</v>
      </c>
      <c r="CQ308" s="135">
        <v>1.8855119140166909E-2</v>
      </c>
      <c r="CR308" s="135">
        <f t="shared" si="593"/>
        <v>3.7811547526499761E-2</v>
      </c>
      <c r="CS308" s="135">
        <f t="shared" si="596"/>
        <v>2.0145620532456759E-2</v>
      </c>
      <c r="CT308" s="135">
        <f t="shared" si="597"/>
        <v>2.1375012817671957E-2</v>
      </c>
      <c r="CU308" s="139">
        <f t="shared" si="587"/>
        <v>0.84647404999999998</v>
      </c>
      <c r="CV308" s="335">
        <f t="shared" si="588"/>
        <v>0.90497737556561086</v>
      </c>
      <c r="CW308" s="335">
        <f t="shared" si="589"/>
        <v>0.5338235294117647</v>
      </c>
      <c r="CX308" s="335">
        <f t="shared" si="590"/>
        <v>0.88972433127405692</v>
      </c>
      <c r="CY308" s="335">
        <f t="shared" si="591"/>
        <v>0.42982423775949252</v>
      </c>
      <c r="CZ308" s="336">
        <f>INDEX('State Tax Lookup'!$D$7:$Z$91,MATCH(Calculation!$C308,'State Tax Lookup'!$B$7:$B$91,0),MATCH($H308,'State Tax Lookup'!$D$6:$Z$6,0))</f>
        <v>0.414935</v>
      </c>
      <c r="DA308" s="303">
        <v>0.37</v>
      </c>
      <c r="DB308" s="57">
        <f t="shared" si="594"/>
        <v>10.731017901311223</v>
      </c>
      <c r="DC308" s="56">
        <f t="shared" si="598"/>
        <v>7.6746316124984525E-3</v>
      </c>
      <c r="DD308" s="303">
        <f>VLOOKUP($H308,RoR!$E:$F,2,FALSE)</f>
        <v>5.6666666666666671E-2</v>
      </c>
      <c r="DE308" s="304">
        <f>HLOOKUP($H308,'GDP-PI'!$D$8:$CQ$11,3,FALSE)</f>
        <v>1.8855119140166909E-2</v>
      </c>
      <c r="DF308" s="303">
        <f>VLOOKUP(H308,'HW Dx Data'!$E:$F,2,FALSE)</f>
        <v>369.23301095560191</v>
      </c>
      <c r="DG308" s="89">
        <f ca="1">VLOOKUP(CC308,'ECI - Input Price'!M$13:N$33,2,FALSE)</f>
        <v>89.25</v>
      </c>
      <c r="DH308" s="89"/>
      <c r="DI308" s="89"/>
      <c r="DJ308" s="56"/>
      <c r="DK308" s="53">
        <f>HLOOKUP(H308,'GDP-PI'!$8:$9,2,FALSE)</f>
        <v>82.566999999999993</v>
      </c>
      <c r="DL308" s="355">
        <f t="shared" ref="DL308:DL327" si="599">LN(DK308/DK307)</f>
        <v>1.8679564681853753E-2</v>
      </c>
      <c r="EC308"/>
    </row>
    <row r="309" spans="1:133" s="126" customFormat="1" ht="21" customHeight="1" x14ac:dyDescent="0.4">
      <c r="A309" s="233" t="s">
        <v>200</v>
      </c>
      <c r="B309" s="127" t="s">
        <v>200</v>
      </c>
      <c r="C309" s="127">
        <v>4088325</v>
      </c>
      <c r="D309" s="127" t="s">
        <v>201</v>
      </c>
      <c r="E309" s="127"/>
      <c r="F309" s="127"/>
      <c r="G309" s="127" t="s">
        <v>160</v>
      </c>
      <c r="H309" s="128">
        <v>2004</v>
      </c>
      <c r="I309" s="129"/>
      <c r="J309" s="125">
        <f>IFERROR(INDEX('Labor Expenditures'!$E$7:$W$91,MATCH($C309,'Labor Expenditures'!$C$7:$C$91,0),MATCH($G309,'Labor Expenditures'!$E$5:$W$5,0)),"NA")</f>
        <v>2834.6657903603973</v>
      </c>
      <c r="K309" s="125">
        <f t="shared" ref="K309:K327" ca="1" si="600">+J309/DG309</f>
        <v>30.0441525210429</v>
      </c>
      <c r="L309" s="47"/>
      <c r="M309" s="131"/>
      <c r="N309" s="131"/>
      <c r="O309" s="131"/>
      <c r="P309" s="59"/>
      <c r="Q309" s="59"/>
      <c r="R309" s="386"/>
      <c r="S309" s="119"/>
      <c r="T309" s="59"/>
      <c r="U309" s="59"/>
      <c r="V309" s="125">
        <f>IFERROR(INDEX('Non-Labor Expenditures'!$E$7:$AA$91,MATCH($C309,'Non-Labor Expenditures'!$C$7:$C$91,0),MATCH($G309,'Non-Labor Expenditures'!$E$5:$AA$5,0)),"NA")</f>
        <v>4105.1255069804574</v>
      </c>
      <c r="W309" s="125">
        <f t="shared" ref="W309:W327" si="601">+V309/DK309</f>
        <v>48.4220612302774</v>
      </c>
      <c r="X309" s="125"/>
      <c r="Y309" s="125"/>
      <c r="Z309" s="125"/>
      <c r="AA309" s="125"/>
      <c r="AB309" s="125"/>
      <c r="AC309" s="125">
        <f t="shared" si="581"/>
        <v>2706.5940465607455</v>
      </c>
      <c r="AD309" s="129"/>
      <c r="AE309" s="133">
        <v>242.53058820602524</v>
      </c>
      <c r="AF309" s="134">
        <v>2.6169456820194413E-2</v>
      </c>
      <c r="AG309" s="59">
        <f t="shared" ref="AG309:AG327" si="602">+AF309*$AX309</f>
        <v>0</v>
      </c>
      <c r="AH309" s="134"/>
      <c r="AI309" s="134"/>
      <c r="AJ309" s="129">
        <f t="shared" si="569"/>
        <v>9646.3853439016002</v>
      </c>
      <c r="AK309" s="134"/>
      <c r="AL309" s="129"/>
      <c r="AM309" s="129"/>
      <c r="AN309" s="129"/>
      <c r="AO309" s="129"/>
      <c r="AP309" s="133"/>
      <c r="AQ309" s="134"/>
      <c r="AR309" s="93">
        <f t="shared" ref="AR309:AR327" si="603">+J309/AJ309</f>
        <v>0.29385782231397795</v>
      </c>
      <c r="AS309" s="93">
        <f t="shared" ref="AS309:AS327" si="604">+V309/AJ309</f>
        <v>0.42556101178102934</v>
      </c>
      <c r="AT309" s="93">
        <f t="shared" ref="AT309:AT327" si="605">+AC309/AJ309</f>
        <v>0.28058116590499277</v>
      </c>
      <c r="AU309" s="93"/>
      <c r="AV309" s="93"/>
      <c r="AW309" s="134"/>
      <c r="AX309" s="62"/>
      <c r="AY309" s="93"/>
      <c r="AZ309" s="93"/>
      <c r="BA309" s="93"/>
      <c r="BB309" s="234">
        <f>IFERROR(INDEX('Total Customers'!$E$7:$AA$91,MATCH($C309,'Total Customers'!$C$7:$C$91,0),MATCH($G309,'Total Customers'!$E$5:$AA$5,0)),"NA")</f>
        <v>32391</v>
      </c>
      <c r="BC309" s="411">
        <f t="shared" si="524"/>
        <v>8.432851089513152E-3</v>
      </c>
      <c r="BD309" s="92"/>
      <c r="BE309" s="281" t="str">
        <f t="shared" si="518"/>
        <v>COLUMBIA GAS OF MARYLAND, INCORPORATED</v>
      </c>
      <c r="BF309" s="290">
        <f t="shared" si="519"/>
        <v>4088325</v>
      </c>
      <c r="BG309" s="46" t="str">
        <f t="shared" si="520"/>
        <v>PA</v>
      </c>
      <c r="BH309" s="46"/>
      <c r="BI309" s="46" t="str">
        <f t="shared" si="521"/>
        <v>2004 Y</v>
      </c>
      <c r="BJ309" s="129"/>
      <c r="BK309" s="129"/>
      <c r="BL309" s="129">
        <f>INDEX('Dist. Plant Gas Additions'!$E$7:$AD$91,MATCH($C309,'Dist. Plant Gas Additions'!$C$7:$C$91,0),MATCH(Calculation!$G309,'Dist. Plant Gas Additions'!$E$5:$AD$5,0))</f>
        <v>3107</v>
      </c>
      <c r="BM309" s="129">
        <f>INDEX('Gen. Plant Additions'!$E$7:$AD$91,MATCH($C309,'Gen. Plant Additions'!$C$7:$C$91,0),MATCH(Calculation!$G309,'Gen. Plant Additions'!$E$5:$AD$5,0))</f>
        <v>68</v>
      </c>
      <c r="BN309" s="393">
        <f t="shared" si="582"/>
        <v>0.98186253582972494</v>
      </c>
      <c r="BO309" s="46">
        <f t="shared" si="576"/>
        <v>66.766652436421296</v>
      </c>
      <c r="BP309" s="46">
        <f t="shared" si="577"/>
        <v>-1.2333475635787039</v>
      </c>
      <c r="BQ309" s="129">
        <f>INDEX('Dist Plant Depreciation'!$D$7:$AC$94,MATCH($C309,'Dist Plant Depreciation'!$C$7:$C$94,0),MATCH(Calculation!$G309,'Dist Plant Depreciation'!$D$5:$AC$5,0))</f>
        <v>36733</v>
      </c>
      <c r="BR309" s="129">
        <f>INDEX('Gen. Plant Depreciation'!$D$7:$AC$94,MATCH($C309,'Gen. Plant Depreciation'!$C$7:$C$94,0),MATCH(Calculation!$G309,'Gen. Plant Depreciation'!$D$5:$AC$5,0))</f>
        <v>212</v>
      </c>
      <c r="BS309" s="129"/>
      <c r="BT309" s="129"/>
      <c r="BU309" s="129"/>
      <c r="BV309" s="129"/>
      <c r="BW309" s="129"/>
      <c r="BX309" s="129"/>
      <c r="BY309" s="129">
        <f>INDEX('Gross Dx Plant'!$D$7:$AC$91,MATCH($C309,'Gross Dx Plant'!$C$7:$C$91,0),MATCH(Calculation!$G309,'Gross Dx Plant'!$D$5:$AC$5,0))</f>
        <v>80498</v>
      </c>
      <c r="BZ309" s="129">
        <f>INDEX('Gross Gen Plant'!$D$7:$AC$91,MATCH($C309,'Gross Gen Plant'!$C$7:$C$91,0),MATCH(Calculation!$G309,'Gross Gen Plant'!$D$5:$AC$5,0))</f>
        <v>1487</v>
      </c>
      <c r="CA309" s="129">
        <f t="shared" si="551"/>
        <v>45040</v>
      </c>
      <c r="CB309" s="129"/>
      <c r="CC309" s="133">
        <v>2004</v>
      </c>
      <c r="CD309" s="129"/>
      <c r="CE309" s="129"/>
      <c r="CF309" s="129"/>
      <c r="CG309" s="137"/>
      <c r="CH309" s="129">
        <f t="shared" si="583"/>
        <v>3175</v>
      </c>
      <c r="CI309" s="46">
        <f t="shared" si="592"/>
        <v>3173.7666524364213</v>
      </c>
      <c r="CJ309" s="46">
        <f t="shared" si="584"/>
        <v>7.6497098936504733</v>
      </c>
      <c r="CK309" s="443">
        <v>0.9375</v>
      </c>
      <c r="CL309" s="46">
        <f>+CL303*CK309+CJ304*CK308+CJ305*CK307+CJ306*CK306+CJ307*CK305+CJ308*CK304+CJ309</f>
        <v>235.68538001250786</v>
      </c>
      <c r="CM309" s="134">
        <f t="shared" si="585"/>
        <v>2.1525290055300166E-2</v>
      </c>
      <c r="CN309" s="135">
        <f t="shared" si="586"/>
        <v>1.1404890886302024E-2</v>
      </c>
      <c r="CO309" s="135">
        <f t="shared" si="595"/>
        <v>1.1219248958873431E-2</v>
      </c>
      <c r="CP309" s="134">
        <f>VLOOKUP($H309,RoR!$E:$F,2,FALSE)</f>
        <v>5.6283333333333331E-2</v>
      </c>
      <c r="CQ309" s="135">
        <v>2.6778252812867276E-2</v>
      </c>
      <c r="CR309" s="135">
        <f t="shared" si="593"/>
        <v>2.9505080520466055E-2</v>
      </c>
      <c r="CS309" s="135">
        <f t="shared" si="596"/>
        <v>1.9682692649660195E-2</v>
      </c>
      <c r="CT309" s="135">
        <f t="shared" si="597"/>
        <v>5.5940039414565046E-2</v>
      </c>
      <c r="CU309" s="139">
        <f t="shared" si="587"/>
        <v>0.84647404999999998</v>
      </c>
      <c r="CV309" s="335">
        <f t="shared" si="588"/>
        <v>0.91114097628755619</v>
      </c>
      <c r="CW309" s="335">
        <f t="shared" si="589"/>
        <v>0.53081877405981637</v>
      </c>
      <c r="CX309" s="335">
        <f t="shared" si="590"/>
        <v>0.88811215519385678</v>
      </c>
      <c r="CY309" s="335">
        <f t="shared" si="591"/>
        <v>0.42953609753547711</v>
      </c>
      <c r="CZ309" s="336">
        <f>INDEX('State Tax Lookup'!$D$7:$Z$91,MATCH(Calculation!$C309,'State Tax Lookup'!$B$7:$B$91,0),MATCH($H309,'State Tax Lookup'!$D$6:$Z$6,0))</f>
        <v>0.414935</v>
      </c>
      <c r="DA309" s="303">
        <v>0.37</v>
      </c>
      <c r="DB309" s="57">
        <f t="shared" si="594"/>
        <v>11.733803029111877</v>
      </c>
      <c r="DC309" s="56">
        <f t="shared" si="598"/>
        <v>8.9335406894668609E-2</v>
      </c>
      <c r="DD309" s="303">
        <f>VLOOKUP($H309,RoR!$E:$F,2,FALSE)</f>
        <v>5.6283333333333331E-2</v>
      </c>
      <c r="DE309" s="304">
        <f>HLOOKUP($H309,'GDP-PI'!$D$8:$CQ$11,3,FALSE)</f>
        <v>2.6778252812867276E-2</v>
      </c>
      <c r="DF309" s="303">
        <f>VLOOKUP(H309,'HW Dx Data'!$E:$F,2,FALSE)</f>
        <v>414.88719135228365</v>
      </c>
      <c r="DG309" s="89">
        <f ca="1">VLOOKUP(CC309,'ECI - Input Price'!M$13:N$33,2,FALSE)</f>
        <v>94.35</v>
      </c>
      <c r="DH309" s="89"/>
      <c r="DI309" s="89"/>
      <c r="DJ309" s="56">
        <f t="shared" ref="DJ309:DJ327" ca="1" si="606">LN(DG309/DG308)</f>
        <v>5.5569851154810786E-2</v>
      </c>
      <c r="DK309" s="53">
        <f>HLOOKUP(H309,'GDP-PI'!$8:$9,2,FALSE)</f>
        <v>84.778000000000006</v>
      </c>
      <c r="DL309" s="355">
        <f t="shared" si="599"/>
        <v>2.6425990216022755E-2</v>
      </c>
      <c r="EC309"/>
    </row>
    <row r="310" spans="1:133" s="126" customFormat="1" ht="21" customHeight="1" x14ac:dyDescent="0.4">
      <c r="A310" s="233" t="s">
        <v>200</v>
      </c>
      <c r="B310" s="127" t="s">
        <v>200</v>
      </c>
      <c r="C310" s="127">
        <v>4088325</v>
      </c>
      <c r="D310" s="127" t="s">
        <v>201</v>
      </c>
      <c r="E310" s="127"/>
      <c r="F310" s="127"/>
      <c r="G310" s="127" t="s">
        <v>161</v>
      </c>
      <c r="H310" s="128">
        <v>2005</v>
      </c>
      <c r="I310" s="129"/>
      <c r="J310" s="125">
        <f>IFERROR(INDEX('Labor Expenditures'!$E$7:$W$91,MATCH($C310,'Labor Expenditures'!$C$7:$C$91,0),MATCH($G310,'Labor Expenditures'!$E$5:$W$5,0)),"NA")</f>
        <v>3099.5316322556978</v>
      </c>
      <c r="K310" s="125">
        <f t="shared" ca="1" si="600"/>
        <v>31.23740622076793</v>
      </c>
      <c r="L310" s="47"/>
      <c r="M310" s="131">
        <f t="shared" ref="M310:M326" ca="1" si="607">LN(K310/K309)</f>
        <v>3.8948243620304766E-2</v>
      </c>
      <c r="N310" s="131"/>
      <c r="O310" s="131"/>
      <c r="P310" s="59"/>
      <c r="Q310" s="61"/>
      <c r="R310" s="387"/>
      <c r="S310" s="49">
        <v>100</v>
      </c>
      <c r="T310" s="46"/>
      <c r="U310" s="46"/>
      <c r="V310" s="125">
        <f>IFERROR(INDEX('Non-Labor Expenditures'!$E$7:$AA$91,MATCH($C310,'Non-Labor Expenditures'!$C$7:$C$91,0),MATCH($G310,'Non-Labor Expenditures'!$E$5:$AA$5,0)),"NA")</f>
        <v>4488.700716160236</v>
      </c>
      <c r="W310" s="125">
        <f t="shared" si="601"/>
        <v>51.354018741751077</v>
      </c>
      <c r="X310" s="131">
        <f>LN(W310/W309)</f>
        <v>5.8787674664141178E-2</v>
      </c>
      <c r="Y310" s="131"/>
      <c r="Z310" s="131"/>
      <c r="AA310" s="131"/>
      <c r="AB310" s="131"/>
      <c r="AC310" s="125">
        <f t="shared" si="581"/>
        <v>3089.4088240007545</v>
      </c>
      <c r="AD310" s="129"/>
      <c r="AE310" s="133">
        <v>249.3945256210161</v>
      </c>
      <c r="AF310" s="134">
        <v>2.7908243453613198E-2</v>
      </c>
      <c r="AG310" s="59">
        <f t="shared" si="602"/>
        <v>0</v>
      </c>
      <c r="AH310" s="134"/>
      <c r="AI310" s="134"/>
      <c r="AJ310" s="129">
        <f t="shared" si="569"/>
        <v>10677.641172416688</v>
      </c>
      <c r="AK310" s="134">
        <f>LN(AJ310/AJ309)</f>
        <v>0.10156867571369592</v>
      </c>
      <c r="AL310" s="129"/>
      <c r="AM310" s="129"/>
      <c r="AN310" s="129"/>
      <c r="AO310" s="129"/>
      <c r="AP310" s="133"/>
      <c r="AQ310" s="134"/>
      <c r="AR310" s="93">
        <f t="shared" si="603"/>
        <v>0.29028243056740366</v>
      </c>
      <c r="AS310" s="93">
        <f t="shared" si="604"/>
        <v>0.42038317674092629</v>
      </c>
      <c r="AT310" s="93">
        <f t="shared" si="605"/>
        <v>0.28933439269167005</v>
      </c>
      <c r="AU310" s="93">
        <f t="shared" ref="AU310:AU326" ca="1" si="608">+(((AR310+AR309)/2)*M310+((AS309+AS310)/2)*X310+((AT309+AT310)/2)*AF310)</f>
        <v>4.4193835386908881E-2</v>
      </c>
      <c r="AV310" s="132">
        <v>100</v>
      </c>
      <c r="AW310" s="134"/>
      <c r="AX310" s="15"/>
      <c r="AY310" s="93"/>
      <c r="AZ310" s="93"/>
      <c r="BA310" s="93"/>
      <c r="BB310" s="234">
        <f>IFERROR(INDEX('Total Customers'!$E$7:$AA$91,MATCH($C310,'Total Customers'!$C$7:$C$91,0),MATCH($G310,'Total Customers'!$E$5:$AA$5,0)),"NA")</f>
        <v>32794</v>
      </c>
      <c r="BC310" s="411">
        <f t="shared" si="524"/>
        <v>1.2364965394563559E-2</v>
      </c>
      <c r="BD310" s="92"/>
      <c r="BE310" s="281" t="str">
        <f t="shared" si="518"/>
        <v>COLUMBIA GAS OF MARYLAND, INCORPORATED</v>
      </c>
      <c r="BF310" s="290">
        <f t="shared" si="519"/>
        <v>4088325</v>
      </c>
      <c r="BG310" s="46" t="str">
        <f t="shared" si="520"/>
        <v>PA</v>
      </c>
      <c r="BH310" s="46"/>
      <c r="BI310" s="46" t="str">
        <f t="shared" si="521"/>
        <v>2005 Y</v>
      </c>
      <c r="BJ310" s="129"/>
      <c r="BK310" s="129"/>
      <c r="BL310" s="129">
        <f>INDEX('Dist. Plant Gas Additions'!$E$7:$AD$91,MATCH($C310,'Dist. Plant Gas Additions'!$C$7:$C$91,0),MATCH(Calculation!$G310,'Dist. Plant Gas Additions'!$E$5:$AD$5,0))</f>
        <v>3900</v>
      </c>
      <c r="BM310" s="129">
        <f>INDEX('Gen. Plant Additions'!$E$7:$AD$91,MATCH($C310,'Gen. Plant Additions'!$C$7:$C$91,0),MATCH(Calculation!$G310,'Gen. Plant Additions'!$E$5:$AD$5,0))</f>
        <v>11</v>
      </c>
      <c r="BN310" s="393">
        <f t="shared" si="582"/>
        <v>0.98291048797057656</v>
      </c>
      <c r="BO310" s="46">
        <f t="shared" si="576"/>
        <v>10.812015367676342</v>
      </c>
      <c r="BP310" s="46">
        <f t="shared" si="577"/>
        <v>-0.18798463232365847</v>
      </c>
      <c r="BQ310" s="129">
        <f>INDEX('Dist Plant Depreciation'!$D$7:$AC$94,MATCH($C310,'Dist Plant Depreciation'!$C$7:$C$94,0),MATCH(Calculation!$G310,'Dist Plant Depreciation'!$D$5:$AC$5,0))</f>
        <v>38321</v>
      </c>
      <c r="BR310" s="129">
        <f>INDEX('Gen. Plant Depreciation'!$D$7:$AC$94,MATCH($C310,'Gen. Plant Depreciation'!$C$7:$C$94,0),MATCH(Calculation!$G310,'Gen. Plant Depreciation'!$D$5:$AC$5,0))</f>
        <v>222</v>
      </c>
      <c r="BS310" s="129"/>
      <c r="BT310" s="129"/>
      <c r="BU310" s="129"/>
      <c r="BV310" s="129"/>
      <c r="BW310" s="129"/>
      <c r="BX310" s="129"/>
      <c r="BY310" s="129">
        <f>INDEX('Gross Dx Plant'!$D$7:$AC$91,MATCH($C310,'Gross Dx Plant'!$C$7:$C$91,0),MATCH(Calculation!$G310,'Gross Dx Plant'!$D$5:$AC$5,0))</f>
        <v>83915</v>
      </c>
      <c r="BZ310" s="129">
        <f>INDEX('Gross Gen Plant'!$D$7:$AC$91,MATCH($C310,'Gross Gen Plant'!$C$7:$C$91,0),MATCH(Calculation!$G310,'Gross Gen Plant'!$D$5:$AC$5,0))</f>
        <v>1459</v>
      </c>
      <c r="CA310" s="129">
        <f t="shared" si="551"/>
        <v>46831</v>
      </c>
      <c r="CB310" s="129"/>
      <c r="CC310" s="133">
        <v>2005</v>
      </c>
      <c r="CD310" s="129"/>
      <c r="CE310" s="129"/>
      <c r="CF310" s="129"/>
      <c r="CG310" s="137"/>
      <c r="CH310" s="129">
        <f t="shared" si="583"/>
        <v>3911</v>
      </c>
      <c r="CI310" s="46">
        <f t="shared" si="592"/>
        <v>3910.8120153676764</v>
      </c>
      <c r="CJ310" s="46">
        <f t="shared" si="584"/>
        <v>8.3349726570679703</v>
      </c>
      <c r="CK310" s="443">
        <v>0.9263157894736842</v>
      </c>
      <c r="CL310" s="46">
        <f>+CL303*CK310+CJ304*CK309+CJ305*CK308+CJ306*CK307+CJ307*CK306+CJ308*CK305+CJ309*CK304+CJ310</f>
        <v>241.25872137898759</v>
      </c>
      <c r="CM310" s="134">
        <f t="shared" si="585"/>
        <v>2.3372110289759458E-2</v>
      </c>
      <c r="CN310" s="135">
        <f t="shared" si="586"/>
        <v>1.1717448449461253E-2</v>
      </c>
      <c r="CO310" s="135">
        <f t="shared" si="595"/>
        <v>1.1396114906625834E-2</v>
      </c>
      <c r="CP310" s="134">
        <f>VLOOKUP($H310,RoR!$E:$F,2,FALSE)</f>
        <v>5.2350000000000001E-2</v>
      </c>
      <c r="CQ310" s="135">
        <v>3.1010403642454332E-2</v>
      </c>
      <c r="CR310" s="135">
        <f t="shared" si="593"/>
        <v>2.1339596357545669E-2</v>
      </c>
      <c r="CS310" s="135">
        <f t="shared" si="596"/>
        <v>1.9505826701907793E-2</v>
      </c>
      <c r="CT310" s="135">
        <f t="shared" si="597"/>
        <v>9.2129610649277341E-2</v>
      </c>
      <c r="CU310" s="139">
        <f t="shared" si="587"/>
        <v>0.84647404999999998</v>
      </c>
      <c r="CV310" s="335">
        <f t="shared" si="588"/>
        <v>0.97959983346802826</v>
      </c>
      <c r="CW310" s="335">
        <f t="shared" si="589"/>
        <v>0.49744508118433622</v>
      </c>
      <c r="CX310" s="335">
        <f t="shared" si="590"/>
        <v>0.87010519444335932</v>
      </c>
      <c r="CY310" s="335">
        <f t="shared" si="591"/>
        <v>0.42399975420741998</v>
      </c>
      <c r="CZ310" s="336">
        <f>INDEX('State Tax Lookup'!$D$7:$Z$91,MATCH(Calculation!$C310,'State Tax Lookup'!$B$7:$B$91,0),MATCH($H310,'State Tax Lookup'!$D$6:$Z$6,0))</f>
        <v>0.414935</v>
      </c>
      <c r="DA310" s="303">
        <v>0.37</v>
      </c>
      <c r="DB310" s="57">
        <f t="shared" si="594"/>
        <v>13.108190350359445</v>
      </c>
      <c r="DC310" s="56">
        <f t="shared" si="598"/>
        <v>0.11076342839976543</v>
      </c>
      <c r="DD310" s="303">
        <f>VLOOKUP($H310,RoR!$E:$F,2,FALSE)</f>
        <v>5.2350000000000001E-2</v>
      </c>
      <c r="DE310" s="304">
        <f>HLOOKUP($H310,'GDP-PI'!$D$8:$CQ$11,3,FALSE)</f>
        <v>3.1010403642454332E-2</v>
      </c>
      <c r="DF310" s="303">
        <f>VLOOKUP(H310,'HW Dx Data'!$E:$F,2,FALSE)</f>
        <v>469.20514034936258</v>
      </c>
      <c r="DG310" s="89">
        <f ca="1">VLOOKUP(CC310,'ECI - Input Price'!M$13:N$33,2,FALSE)</f>
        <v>99.224999999999994</v>
      </c>
      <c r="DH310" s="89"/>
      <c r="DI310" s="89"/>
      <c r="DJ310" s="56">
        <f t="shared" ca="1" si="606"/>
        <v>5.0378726854569796E-2</v>
      </c>
      <c r="DK310" s="53">
        <f>HLOOKUP(H310,'GDP-PI'!$8:$9,2,FALSE)</f>
        <v>87.406999999999996</v>
      </c>
      <c r="DL310" s="355">
        <f t="shared" si="599"/>
        <v>3.0539295810733648E-2</v>
      </c>
      <c r="EC310"/>
    </row>
    <row r="311" spans="1:133" s="126" customFormat="1" ht="21" customHeight="1" x14ac:dyDescent="0.4">
      <c r="A311" s="233" t="s">
        <v>200</v>
      </c>
      <c r="B311" s="127" t="s">
        <v>200</v>
      </c>
      <c r="C311" s="127">
        <v>4088325</v>
      </c>
      <c r="D311" s="127" t="s">
        <v>201</v>
      </c>
      <c r="E311" s="127"/>
      <c r="F311" s="127"/>
      <c r="G311" s="127" t="s">
        <v>162</v>
      </c>
      <c r="H311" s="128">
        <v>2006</v>
      </c>
      <c r="I311" s="129"/>
      <c r="J311" s="125">
        <f>IFERROR(INDEX('Labor Expenditures'!$E$7:$W$91,MATCH($C311,'Labor Expenditures'!$C$7:$C$91,0),MATCH($G311,'Labor Expenditures'!$E$5:$W$5,0)),"NA")</f>
        <v>3157.6096215471598</v>
      </c>
      <c r="K311" s="125">
        <f t="shared" ca="1" si="600"/>
        <v>28.86297643096124</v>
      </c>
      <c r="L311" s="47"/>
      <c r="M311" s="131">
        <f t="shared" ca="1" si="607"/>
        <v>-7.9056612556505632E-2</v>
      </c>
      <c r="N311" s="131"/>
      <c r="O311" s="131"/>
      <c r="P311" s="59">
        <f t="shared" ref="P311:P327" ca="1" si="609">+M311*$AX311</f>
        <v>-1.1664308980537867E-4</v>
      </c>
      <c r="Q311" s="61"/>
      <c r="R311" s="387"/>
      <c r="S311" s="49">
        <f ca="1">+S310*EXP(T311)</f>
        <v>106.09974436089441</v>
      </c>
      <c r="T311" s="61">
        <f ca="1">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</f>
        <v>5.9209450212302506E-2</v>
      </c>
      <c r="U311" s="61"/>
      <c r="V311" s="125">
        <f>IFERROR(INDEX('Non-Labor Expenditures'!$E$7:$AA$91,MATCH($C311,'Non-Labor Expenditures'!$C$7:$C$91,0),MATCH($G311,'Non-Labor Expenditures'!$E$5:$AA$5,0)),"NA")</f>
        <v>4572.808492126378</v>
      </c>
      <c r="W311" s="125">
        <f t="shared" si="601"/>
        <v>50.767241291897527</v>
      </c>
      <c r="X311" s="131">
        <f t="shared" ref="X311:X326" si="610">LN(W311/W310)</f>
        <v>-1.1491904963208231E-2</v>
      </c>
      <c r="Y311" s="131">
        <f t="shared" ref="Y311:Y327" si="611">+X311*AX311</f>
        <v>-1.6955587386194777E-5</v>
      </c>
      <c r="Z311" s="131"/>
      <c r="AA311" s="131"/>
      <c r="AB311" s="131"/>
      <c r="AC311" s="125">
        <f t="shared" si="581"/>
        <v>3059.9638666702481</v>
      </c>
      <c r="AD311" s="129"/>
      <c r="AE311" s="133">
        <v>256.12427150858309</v>
      </c>
      <c r="AF311" s="134">
        <v>2.6626679465610505E-2</v>
      </c>
      <c r="AG311" s="59">
        <f t="shared" si="602"/>
        <v>3.9286001052807035E-5</v>
      </c>
      <c r="AH311" s="134"/>
      <c r="AI311" s="134"/>
      <c r="AJ311" s="129">
        <f t="shared" si="569"/>
        <v>10790.381980343785</v>
      </c>
      <c r="AK311" s="134">
        <f t="shared" ref="AK311:AK327" si="612">LN(AJ311/AJ310)</f>
        <v>1.0503234840716047E-2</v>
      </c>
      <c r="AL311" s="129"/>
      <c r="AM311" s="129"/>
      <c r="AN311" s="129"/>
      <c r="AO311" s="129"/>
      <c r="AP311" s="133">
        <f t="shared" ref="AP311:AP327" si="613">+(AJ311*1000)/BB311</f>
        <v>333.82984191887465</v>
      </c>
      <c r="AQ311" s="134">
        <f>+BB311/Outputs!$B$14</f>
        <v>9.3199681478129705E-4</v>
      </c>
      <c r="AR311" s="93">
        <f t="shared" si="603"/>
        <v>0.29263186672160396</v>
      </c>
      <c r="AS311" s="93">
        <f t="shared" si="604"/>
        <v>0.42378559910635216</v>
      </c>
      <c r="AT311" s="93">
        <f t="shared" si="605"/>
        <v>0.28358253417204388</v>
      </c>
      <c r="AU311" s="93">
        <f t="shared" ca="1" si="608"/>
        <v>-2.0264730863673419E-2</v>
      </c>
      <c r="AV311" s="132">
        <f ca="1">+AV310*EXP(AU311)</f>
        <v>97.99392188097211</v>
      </c>
      <c r="AW311" s="134">
        <f ca="1">LN(AV311/AV310)</f>
        <v>-2.0264730863673367E-2</v>
      </c>
      <c r="AX311" s="56">
        <f>+AJ311/$AL$11</f>
        <v>1.4754374875600462E-3</v>
      </c>
      <c r="AY311" s="135">
        <f ca="1">+AX311*AW311</f>
        <v>-2.9899343591578759E-5</v>
      </c>
      <c r="AZ311" s="93"/>
      <c r="BA311" s="93"/>
      <c r="BB311" s="234">
        <f>IFERROR(INDEX('Total Customers'!$E$7:$AA$91,MATCH($C311,'Total Customers'!$C$7:$C$91,0),MATCH($G311,'Total Customers'!$E$5:$AA$5,0)),"NA")</f>
        <v>32323</v>
      </c>
      <c r="BC311" s="411">
        <f t="shared" si="524"/>
        <v>-1.4466520700278866E-2</v>
      </c>
      <c r="BD311" s="92"/>
      <c r="BE311" s="281" t="str">
        <f t="shared" si="518"/>
        <v>COLUMBIA GAS OF MARYLAND, INCORPORATED</v>
      </c>
      <c r="BF311" s="290">
        <f t="shared" si="519"/>
        <v>4088325</v>
      </c>
      <c r="BG311" s="46" t="str">
        <f t="shared" si="520"/>
        <v>PA</v>
      </c>
      <c r="BH311" s="46"/>
      <c r="BI311" s="46" t="str">
        <f t="shared" si="521"/>
        <v>2006 Y</v>
      </c>
      <c r="BJ311" s="129"/>
      <c r="BK311" s="129"/>
      <c r="BL311" s="129">
        <f>INDEX('Dist. Plant Gas Additions'!$E$7:$AD$91,MATCH($C311,'Dist. Plant Gas Additions'!$C$7:$C$91,0),MATCH(Calculation!$G311,'Dist. Plant Gas Additions'!$E$5:$AD$5,0))</f>
        <v>3823</v>
      </c>
      <c r="BM311" s="129">
        <f>INDEX('Gen. Plant Additions'!$E$7:$AD$91,MATCH($C311,'Gen. Plant Additions'!$C$7:$C$91,0),MATCH(Calculation!$G311,'Gen. Plant Additions'!$E$5:$AD$5,0))</f>
        <v>0</v>
      </c>
      <c r="BN311" s="393">
        <f t="shared" si="582"/>
        <v>0.98375613932321004</v>
      </c>
      <c r="BO311" s="46">
        <f t="shared" si="576"/>
        <v>0</v>
      </c>
      <c r="BP311" s="46">
        <f t="shared" si="577"/>
        <v>0</v>
      </c>
      <c r="BQ311" s="129">
        <f>INDEX('Dist Plant Depreciation'!$D$7:$AC$94,MATCH($C311,'Dist Plant Depreciation'!$C$7:$C$94,0),MATCH(Calculation!$G311,'Dist Plant Depreciation'!$D$5:$AC$5,0))</f>
        <v>40227</v>
      </c>
      <c r="BR311" s="129">
        <f>INDEX('Gen. Plant Depreciation'!$D$7:$AC$94,MATCH($C311,'Gen. Plant Depreciation'!$C$7:$C$94,0),MATCH(Calculation!$G311,'Gen. Plant Depreciation'!$D$5:$AC$5,0))</f>
        <v>251</v>
      </c>
      <c r="BS311" s="129"/>
      <c r="BT311" s="129"/>
      <c r="BU311" s="129"/>
      <c r="BV311" s="129"/>
      <c r="BW311" s="129"/>
      <c r="BX311" s="129"/>
      <c r="BY311" s="129">
        <f>INDEX('Gross Dx Plant'!$D$7:$AC$91,MATCH($C311,'Gross Dx Plant'!$C$7:$C$91,0),MATCH(Calculation!$G311,'Gross Dx Plant'!$D$5:$AC$5,0))</f>
        <v>87330</v>
      </c>
      <c r="BZ311" s="129">
        <f>INDEX('Gross Gen Plant'!$D$7:$AC$91,MATCH($C311,'Gross Gen Plant'!$C$7:$C$91,0),MATCH(Calculation!$G311,'Gross Gen Plant'!$D$5:$AC$5,0))</f>
        <v>1442</v>
      </c>
      <c r="CA311" s="129">
        <f t="shared" si="551"/>
        <v>48294</v>
      </c>
      <c r="CB311" s="134"/>
      <c r="CC311" s="133">
        <v>2006</v>
      </c>
      <c r="CD311" s="129"/>
      <c r="CE311" s="129"/>
      <c r="CF311" s="129"/>
      <c r="CG311" s="137"/>
      <c r="CH311" s="129">
        <f t="shared" si="583"/>
        <v>3823</v>
      </c>
      <c r="CI311" s="46">
        <f t="shared" si="592"/>
        <v>3823</v>
      </c>
      <c r="CJ311" s="46">
        <f t="shared" si="584"/>
        <v>8.2913007844444291</v>
      </c>
      <c r="CK311" s="443">
        <v>0.91489361702127658</v>
      </c>
      <c r="CL311" s="46">
        <f>+CL303*CK311+CJ304*CK310+CJ305*CK309+CJ306*CK308+CJ307*CK307+CJ308*CK306+CJ309*CK305+CJ310*CK304+CJ311</f>
        <v>246.64743122883587</v>
      </c>
      <c r="CM311" s="134">
        <f t="shared" si="585"/>
        <v>2.2090022625268685E-2</v>
      </c>
      <c r="CN311" s="135">
        <f t="shared" si="586"/>
        <v>1.203103008258315E-2</v>
      </c>
      <c r="CO311" s="135">
        <f t="shared" si="595"/>
        <v>1.1717789806115477E-2</v>
      </c>
      <c r="CP311" s="134">
        <f>VLOOKUP($H311,RoR!$E:$F,2,FALSE)</f>
        <v>5.5874999999999994E-2</v>
      </c>
      <c r="CQ311" s="135">
        <v>3.0512430354548314E-2</v>
      </c>
      <c r="CR311" s="135">
        <f t="shared" si="593"/>
        <v>2.536256964545168E-2</v>
      </c>
      <c r="CS311" s="135">
        <f t="shared" si="596"/>
        <v>1.9184151802418149E-2</v>
      </c>
      <c r="CT311" s="135">
        <f t="shared" si="597"/>
        <v>7.9087823893859641E-2</v>
      </c>
      <c r="CU311" s="139">
        <f t="shared" si="587"/>
        <v>0.84647404999999998</v>
      </c>
      <c r="CV311" s="335">
        <f t="shared" si="588"/>
        <v>0.91779957551769631</v>
      </c>
      <c r="CW311" s="335">
        <f t="shared" si="589"/>
        <v>0.52757270693512304</v>
      </c>
      <c r="CX311" s="335">
        <f t="shared" si="590"/>
        <v>0.88636824549024895</v>
      </c>
      <c r="CY311" s="335">
        <f t="shared" si="591"/>
        <v>0.42918482841932087</v>
      </c>
      <c r="CZ311" s="336">
        <f>INDEX('State Tax Lookup'!$D$7:$Z$91,MATCH(Calculation!$C311,'State Tax Lookup'!$B$7:$B$91,0),MATCH($H311,'State Tax Lookup'!$D$6:$Z$6,0))</f>
        <v>0.414935</v>
      </c>
      <c r="DA311" s="303">
        <v>0.37</v>
      </c>
      <c r="DB311" s="57">
        <f t="shared" si="594"/>
        <v>12.68332953594421</v>
      </c>
      <c r="DC311" s="56">
        <f t="shared" si="598"/>
        <v>-3.2948756185099771E-2</v>
      </c>
      <c r="DD311" s="303">
        <f>VLOOKUP($H311,RoR!$E:$F,2,FALSE)</f>
        <v>5.5874999999999994E-2</v>
      </c>
      <c r="DE311" s="304">
        <f>HLOOKUP($H311,'GDP-PI'!$D$8:$CQ$11,3,FALSE)</f>
        <v>3.0512430354548314E-2</v>
      </c>
      <c r="DF311" s="303">
        <f>VLOOKUP(H311,'HW Dx Data'!$E:$F,2,FALSE)</f>
        <v>461.08567272971823</v>
      </c>
      <c r="DG311" s="89">
        <f ca="1">VLOOKUP(CC311,'ECI - Input Price'!M$13:N$33,2,FALSE)</f>
        <v>109.4</v>
      </c>
      <c r="DH311" s="89"/>
      <c r="DI311" s="89"/>
      <c r="DJ311" s="56">
        <f t="shared" ca="1" si="606"/>
        <v>9.7620891318751846E-2</v>
      </c>
      <c r="DK311" s="53">
        <f>HLOOKUP(H311,'GDP-PI'!$8:$9,2,FALSE)</f>
        <v>90.073999999999998</v>
      </c>
      <c r="DL311" s="355">
        <f t="shared" si="599"/>
        <v>3.005618372545445E-2</v>
      </c>
      <c r="EC311"/>
    </row>
    <row r="312" spans="1:133" s="126" customFormat="1" ht="21" customHeight="1" x14ac:dyDescent="0.4">
      <c r="A312" s="233" t="s">
        <v>200</v>
      </c>
      <c r="B312" s="127" t="s">
        <v>200</v>
      </c>
      <c r="C312" s="127">
        <v>4088325</v>
      </c>
      <c r="D312" s="127" t="s">
        <v>201</v>
      </c>
      <c r="E312" s="127"/>
      <c r="F312" s="127"/>
      <c r="G312" s="127" t="s">
        <v>163</v>
      </c>
      <c r="H312" s="128">
        <v>2007</v>
      </c>
      <c r="I312" s="129"/>
      <c r="J312" s="125">
        <f>IFERROR(INDEX('Labor Expenditures'!$E$7:$W$91,MATCH($C312,'Labor Expenditures'!$C$7:$C$91,0),MATCH($G312,'Labor Expenditures'!$E$5:$W$5,0)),"NA")</f>
        <v>3080.2837756403401</v>
      </c>
      <c r="K312" s="125">
        <f t="shared" ca="1" si="600"/>
        <v>29.469349683236931</v>
      </c>
      <c r="L312" s="47"/>
      <c r="M312" s="131">
        <f t="shared" ca="1" si="607"/>
        <v>2.0791047965212181E-2</v>
      </c>
      <c r="N312" s="131"/>
      <c r="O312" s="131"/>
      <c r="P312" s="59">
        <f t="shared" ca="1" si="609"/>
        <v>2.9486737603731537E-5</v>
      </c>
      <c r="Q312" s="61"/>
      <c r="R312" s="387"/>
      <c r="S312" s="49">
        <f t="shared" ref="S312:S325" ca="1" si="614">+S311*EXP(T312)</f>
        <v>117.61244777982708</v>
      </c>
      <c r="T312" s="61">
        <f ca="1">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</f>
        <v>0.10301524213049626</v>
      </c>
      <c r="U312" s="61"/>
      <c r="V312" s="125">
        <f>IFERROR(INDEX('Non-Labor Expenditures'!$E$7:$AA$91,MATCH($C312,'Non-Labor Expenditures'!$C$7:$C$91,0),MATCH($G312,'Non-Labor Expenditures'!$E$5:$AA$5,0)),"NA")</f>
        <v>4460.8262247774746</v>
      </c>
      <c r="W312" s="125">
        <f t="shared" si="601"/>
        <v>48.226191104429006</v>
      </c>
      <c r="X312" s="131">
        <f t="shared" si="610"/>
        <v>-5.134903273007816E-2</v>
      </c>
      <c r="Y312" s="131">
        <f t="shared" si="611"/>
        <v>-7.2825355261104316E-5</v>
      </c>
      <c r="Z312" s="131"/>
      <c r="AA312" s="131"/>
      <c r="AB312" s="131"/>
      <c r="AC312" s="125">
        <f t="shared" si="581"/>
        <v>3330.2333456502261</v>
      </c>
      <c r="AD312" s="129"/>
      <c r="AE312" s="133">
        <v>263.35224193537994</v>
      </c>
      <c r="AF312" s="134">
        <v>2.7829696758782871E-2</v>
      </c>
      <c r="AG312" s="59">
        <f t="shared" si="602"/>
        <v>3.9469244998650264E-5</v>
      </c>
      <c r="AH312" s="134"/>
      <c r="AI312" s="134"/>
      <c r="AJ312" s="129">
        <f t="shared" si="569"/>
        <v>10871.343346068041</v>
      </c>
      <c r="AK312" s="134">
        <f t="shared" si="612"/>
        <v>7.4750964195348943E-3</v>
      </c>
      <c r="AL312" s="129"/>
      <c r="AM312" s="129"/>
      <c r="AN312" s="129"/>
      <c r="AO312" s="129"/>
      <c r="AP312" s="133">
        <f t="shared" si="613"/>
        <v>329.91452251966621</v>
      </c>
      <c r="AQ312" s="134">
        <f>+BB312/Outputs!$B$15</f>
        <v>9.4297969048048099E-4</v>
      </c>
      <c r="AR312" s="93">
        <f t="shared" si="603"/>
        <v>0.28333975642066539</v>
      </c>
      <c r="AS312" s="93">
        <f t="shared" si="604"/>
        <v>0.41032888786378652</v>
      </c>
      <c r="AT312" s="93">
        <f t="shared" si="605"/>
        <v>0.30633135571554809</v>
      </c>
      <c r="AU312" s="93">
        <f t="shared" ca="1" si="608"/>
        <v>-7.2193968896721271E-3</v>
      </c>
      <c r="AV312" s="132">
        <f ca="1">+AV311*EXP(AU312)</f>
        <v>97.28901243829273</v>
      </c>
      <c r="AW312" s="134">
        <f ca="1">LN(AV312/AV311)</f>
        <v>-7.2193968896721574E-3</v>
      </c>
      <c r="AX312" s="56">
        <f>+AJ312/$AL$12</f>
        <v>1.4182420074769239E-3</v>
      </c>
      <c r="AY312" s="135">
        <f t="shared" ref="AY312:AY326" ca="1" si="615">+AX312*AW312</f>
        <v>-1.0238851937581302E-5</v>
      </c>
      <c r="AZ312" s="93"/>
      <c r="BA312" s="93"/>
      <c r="BB312" s="234">
        <f>IFERROR(INDEX('Total Customers'!$E$7:$AA$91,MATCH($C312,'Total Customers'!$C$7:$C$91,0),MATCH($G312,'Total Customers'!$E$5:$AA$5,0)),"NA")</f>
        <v>32952</v>
      </c>
      <c r="BC312" s="411">
        <f t="shared" si="524"/>
        <v>1.9272906006381912E-2</v>
      </c>
      <c r="BD312" s="92"/>
      <c r="BE312" s="281" t="str">
        <f t="shared" si="518"/>
        <v>COLUMBIA GAS OF MARYLAND, INCORPORATED</v>
      </c>
      <c r="BF312" s="290">
        <f t="shared" si="519"/>
        <v>4088325</v>
      </c>
      <c r="BG312" s="46" t="str">
        <f t="shared" si="520"/>
        <v>PA</v>
      </c>
      <c r="BH312" s="46"/>
      <c r="BI312" s="46" t="str">
        <f t="shared" si="521"/>
        <v>2007 Y</v>
      </c>
      <c r="BJ312" s="129"/>
      <c r="BK312" s="129"/>
      <c r="BL312" s="129">
        <f>INDEX('Dist. Plant Gas Additions'!$E$7:$AD$91,MATCH($C312,'Dist. Plant Gas Additions'!$C$7:$C$91,0),MATCH(Calculation!$G312,'Dist. Plant Gas Additions'!$E$5:$AD$5,0))</f>
        <v>4424</v>
      </c>
      <c r="BM312" s="129">
        <f>INDEX('Gen. Plant Additions'!$E$7:$AD$91,MATCH($C312,'Gen. Plant Additions'!$C$7:$C$91,0),MATCH(Calculation!$G312,'Gen. Plant Additions'!$E$5:$AD$5,0))</f>
        <v>0</v>
      </c>
      <c r="BN312" s="393">
        <f t="shared" si="582"/>
        <v>0.9853407118055556</v>
      </c>
      <c r="BO312" s="46">
        <f t="shared" si="576"/>
        <v>0</v>
      </c>
      <c r="BP312" s="46">
        <f t="shared" si="577"/>
        <v>0</v>
      </c>
      <c r="BQ312" s="129">
        <f>INDEX('Dist Plant Depreciation'!$D$7:$AC$94,MATCH($C312,'Dist Plant Depreciation'!$C$7:$C$94,0),MATCH(Calculation!$G312,'Dist Plant Depreciation'!$D$5:$AC$5,0))</f>
        <v>41417</v>
      </c>
      <c r="BR312" s="129">
        <f>INDEX('Gen. Plant Depreciation'!$D$7:$AC$94,MATCH($C312,'Gen. Plant Depreciation'!$C$7:$C$94,0),MATCH(Calculation!$G312,'Gen. Plant Depreciation'!$D$5:$AC$5,0))</f>
        <v>243</v>
      </c>
      <c r="BS312" s="129"/>
      <c r="BT312" s="129"/>
      <c r="BU312" s="129"/>
      <c r="BV312" s="129"/>
      <c r="BW312" s="129"/>
      <c r="BX312" s="129"/>
      <c r="BY312" s="129">
        <f>INDEX('Gross Dx Plant'!$D$7:$AC$91,MATCH($C312,'Gross Dx Plant'!$C$7:$C$91,0),MATCH(Calculation!$G312,'Gross Dx Plant'!$D$5:$AC$5,0))</f>
        <v>90809</v>
      </c>
      <c r="BZ312" s="129">
        <f>INDEX('Gross Gen Plant'!$D$7:$AC$91,MATCH($C312,'Gross Gen Plant'!$C$7:$C$91,0),MATCH(Calculation!$G312,'Gross Gen Plant'!$D$5:$AC$5,0))</f>
        <v>1351</v>
      </c>
      <c r="CA312" s="129">
        <f t="shared" si="551"/>
        <v>50500</v>
      </c>
      <c r="CB312" s="129"/>
      <c r="CC312" s="133">
        <v>2007</v>
      </c>
      <c r="CD312" s="129"/>
      <c r="CE312" s="129"/>
      <c r="CF312" s="129"/>
      <c r="CG312" s="137"/>
      <c r="CH312" s="129">
        <f t="shared" si="583"/>
        <v>4424</v>
      </c>
      <c r="CI312" s="46">
        <f t="shared" si="592"/>
        <v>4424</v>
      </c>
      <c r="CJ312" s="46">
        <f t="shared" si="584"/>
        <v>8.8831360814834195</v>
      </c>
      <c r="CK312" s="443">
        <v>0.90322580645161288</v>
      </c>
      <c r="CL312" s="46">
        <f>+CL303*CK312+CJ304*CK311+CJ305*CK310+CJ306*CK309+CJ307*CK308+CJ308*CK307+CJ309*CK306+CJ310*CK305+CJ311*CK304+CJ312</f>
        <v>252.48392373764247</v>
      </c>
      <c r="CM312" s="134">
        <f t="shared" si="585"/>
        <v>2.3387665338054926E-2</v>
      </c>
      <c r="CN312" s="135">
        <f t="shared" si="586"/>
        <v>1.2352220971846198E-2</v>
      </c>
      <c r="CO312" s="135">
        <f t="shared" si="595"/>
        <v>1.2033566501296868E-2</v>
      </c>
      <c r="CP312" s="134">
        <f>VLOOKUP($H312,RoR!$E:$F,2,FALSE)</f>
        <v>5.5558333333333321E-2</v>
      </c>
      <c r="CQ312" s="135">
        <v>2.691120634145272E-2</v>
      </c>
      <c r="CR312" s="135">
        <f t="shared" si="593"/>
        <v>2.86471269918806E-2</v>
      </c>
      <c r="CS312" s="135">
        <f t="shared" si="596"/>
        <v>1.8868375107236757E-2</v>
      </c>
      <c r="CT312" s="135">
        <f t="shared" si="597"/>
        <v>6.4575155250632399E-2</v>
      </c>
      <c r="CU312" s="139">
        <f t="shared" si="587"/>
        <v>0.84647404999999998</v>
      </c>
      <c r="CV312" s="335">
        <f t="shared" si="588"/>
        <v>0.92303077153834634</v>
      </c>
      <c r="CW312" s="335">
        <f t="shared" si="589"/>
        <v>0.52502249887505614</v>
      </c>
      <c r="CX312" s="335">
        <f t="shared" si="590"/>
        <v>0.88499666072084604</v>
      </c>
      <c r="CY312" s="335">
        <f t="shared" si="591"/>
        <v>0.42887993290280618</v>
      </c>
      <c r="CZ312" s="336">
        <f>INDEX('State Tax Lookup'!$D$7:$Z$91,MATCH(Calculation!$C312,'State Tax Lookup'!$B$7:$B$91,0),MATCH($H312,'State Tax Lookup'!$D$6:$Z$6,0))</f>
        <v>0.414935</v>
      </c>
      <c r="DA312" s="303">
        <v>0.37</v>
      </c>
      <c r="DB312" s="57">
        <f t="shared" si="594"/>
        <v>13.501998902070399</v>
      </c>
      <c r="DC312" s="56">
        <f t="shared" si="598"/>
        <v>6.2549245063994202E-2</v>
      </c>
      <c r="DD312" s="303">
        <f>VLOOKUP($H312,RoR!$E:$F,2,FALSE)</f>
        <v>5.5558333333333321E-2</v>
      </c>
      <c r="DE312" s="304">
        <f>HLOOKUP($H312,'GDP-PI'!$D$8:$CQ$11,3,FALSE)</f>
        <v>2.691120634145272E-2</v>
      </c>
      <c r="DF312" s="303">
        <f>VLOOKUP(H312,'HW Dx Data'!$E:$F,2,FALSE)</f>
        <v>498.0223154772637</v>
      </c>
      <c r="DG312" s="89">
        <f ca="1">VLOOKUP(CC312,'ECI - Input Price'!M$13:N$33,2,FALSE)</f>
        <v>104.52499999999999</v>
      </c>
      <c r="DH312" s="89"/>
      <c r="DI312" s="89"/>
      <c r="DJ312" s="56">
        <f t="shared" ca="1" si="606"/>
        <v>-4.5584612745252218E-2</v>
      </c>
      <c r="DK312" s="53">
        <f>HLOOKUP(H312,'GDP-PI'!$8:$9,2,FALSE)</f>
        <v>92.498000000000005</v>
      </c>
      <c r="DL312" s="355">
        <f t="shared" si="599"/>
        <v>2.6555467950038037E-2</v>
      </c>
      <c r="EC312"/>
    </row>
    <row r="313" spans="1:133" s="126" customFormat="1" ht="21" customHeight="1" x14ac:dyDescent="0.4">
      <c r="A313" s="233" t="s">
        <v>200</v>
      </c>
      <c r="B313" s="127" t="s">
        <v>200</v>
      </c>
      <c r="C313" s="127">
        <v>4088325</v>
      </c>
      <c r="D313" s="127" t="s">
        <v>201</v>
      </c>
      <c r="E313" s="127"/>
      <c r="F313" s="127"/>
      <c r="G313" s="127" t="s">
        <v>164</v>
      </c>
      <c r="H313" s="128">
        <v>2008</v>
      </c>
      <c r="I313" s="129"/>
      <c r="J313" s="125">
        <f>IFERROR(INDEX('Labor Expenditures'!$E$7:$W$91,MATCH($C313,'Labor Expenditures'!$C$7:$C$91,0),MATCH($G313,'Labor Expenditures'!$E$5:$W$5,0)),"NA")</f>
        <v>3296.1447671949059</v>
      </c>
      <c r="K313" s="125">
        <f t="shared" ca="1" si="600"/>
        <v>30.548144274280869</v>
      </c>
      <c r="L313" s="47"/>
      <c r="M313" s="131">
        <f t="shared" ca="1" si="607"/>
        <v>3.595321045756953E-2</v>
      </c>
      <c r="N313" s="131"/>
      <c r="O313" s="131"/>
      <c r="P313" s="59">
        <f t="shared" ca="1" si="609"/>
        <v>5.2913382044061907E-5</v>
      </c>
      <c r="Q313" s="61"/>
      <c r="R313" s="387"/>
      <c r="S313" s="49">
        <f t="shared" ca="1" si="614"/>
        <v>109.50830398609504</v>
      </c>
      <c r="T313" s="61">
        <f ca="1">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</f>
        <v>-7.1394496460247536E-2</v>
      </c>
      <c r="U313" s="61"/>
      <c r="V313" s="125">
        <f>IFERROR(INDEX('Non-Labor Expenditures'!$E$7:$AA$91,MATCH($C313,'Non-Labor Expenditures'!$C$7:$C$91,0),MATCH($G313,'Non-Labor Expenditures'!$E$5:$AA$5,0)),"NA")</f>
        <v>4773.4332578203648</v>
      </c>
      <c r="W313" s="125">
        <f t="shared" si="601"/>
        <v>50.638984743065912</v>
      </c>
      <c r="X313" s="131">
        <f t="shared" si="610"/>
        <v>4.881947173099787E-2</v>
      </c>
      <c r="Y313" s="131">
        <f t="shared" si="611"/>
        <v>7.1849031728061079E-5</v>
      </c>
      <c r="Z313" s="131"/>
      <c r="AA313" s="131"/>
      <c r="AB313" s="131"/>
      <c r="AC313" s="125">
        <f t="shared" si="581"/>
        <v>3836.2609041943419</v>
      </c>
      <c r="AD313" s="129"/>
      <c r="AE313" s="133">
        <v>270.49142698206623</v>
      </c>
      <c r="AF313" s="134">
        <v>2.6747945524169908E-2</v>
      </c>
      <c r="AG313" s="59">
        <f t="shared" si="602"/>
        <v>3.9365726798847749E-5</v>
      </c>
      <c r="AH313" s="134"/>
      <c r="AI313" s="134"/>
      <c r="AJ313" s="129">
        <f t="shared" si="569"/>
        <v>11905.838929209613</v>
      </c>
      <c r="AK313" s="134">
        <f t="shared" si="612"/>
        <v>9.0898669707937238E-2</v>
      </c>
      <c r="AL313" s="129"/>
      <c r="AM313" s="129"/>
      <c r="AN313" s="129"/>
      <c r="AO313" s="129"/>
      <c r="AP313" s="133">
        <f t="shared" si="613"/>
        <v>363.62589118592672</v>
      </c>
      <c r="AQ313" s="134">
        <f>+BB313/Outputs!$B$16</f>
        <v>9.319605866803186E-4</v>
      </c>
      <c r="AR313" s="93">
        <f t="shared" si="603"/>
        <v>0.27685111370927351</v>
      </c>
      <c r="AS313" s="93">
        <f t="shared" si="604"/>
        <v>0.4009321213064031</v>
      </c>
      <c r="AT313" s="93">
        <f t="shared" si="605"/>
        <v>0.32221676498432339</v>
      </c>
      <c r="AU313" s="93">
        <f t="shared" ca="1" si="608"/>
        <v>3.8279182522817548E-2</v>
      </c>
      <c r="AV313" s="132">
        <f t="shared" ref="AV313:AV326" ca="1" si="616">+AV312*EXP(AU313)</f>
        <v>101.08535316039928</v>
      </c>
      <c r="AW313" s="134">
        <f t="shared" ref="AW313:AW326" ca="1" si="617">LN(AV313/AV312)</f>
        <v>3.8279182522817472E-2</v>
      </c>
      <c r="AX313" s="56">
        <f>+AJ313/$AL$13</f>
        <v>1.4717289880554077E-3</v>
      </c>
      <c r="AY313" s="135">
        <f t="shared" ca="1" si="615"/>
        <v>5.6336582557894405E-5</v>
      </c>
      <c r="AZ313" s="93"/>
      <c r="BA313" s="93"/>
      <c r="BB313" s="234">
        <f>IFERROR(INDEX('Total Customers'!$E$7:$AA$91,MATCH($C313,'Total Customers'!$C$7:$C$91,0),MATCH($G313,'Total Customers'!$E$5:$AA$5,0)),"NA")</f>
        <v>32742</v>
      </c>
      <c r="BC313" s="411">
        <f t="shared" si="524"/>
        <v>-6.3932997016297446E-3</v>
      </c>
      <c r="BD313" s="92"/>
      <c r="BE313" s="281" t="str">
        <f t="shared" si="518"/>
        <v>COLUMBIA GAS OF MARYLAND, INCORPORATED</v>
      </c>
      <c r="BF313" s="290">
        <f t="shared" si="519"/>
        <v>4088325</v>
      </c>
      <c r="BG313" s="46" t="str">
        <f t="shared" si="520"/>
        <v>PA</v>
      </c>
      <c r="BH313" s="46"/>
      <c r="BI313" s="46" t="str">
        <f t="shared" si="521"/>
        <v>2008 Y</v>
      </c>
      <c r="BJ313" s="129"/>
      <c r="BK313" s="129"/>
      <c r="BL313" s="129">
        <f>INDEX('Dist. Plant Gas Additions'!$E$7:$AD$91,MATCH($C313,'Dist. Plant Gas Additions'!$C$7:$C$91,0),MATCH(Calculation!$G313,'Dist. Plant Gas Additions'!$E$5:$AD$5,0))</f>
        <v>4823</v>
      </c>
      <c r="BM313" s="129">
        <f>INDEX('Gen. Plant Additions'!$E$7:$AD$91,MATCH($C313,'Gen. Plant Additions'!$C$7:$C$91,0),MATCH(Calculation!$G313,'Gen. Plant Additions'!$E$5:$AD$5,0))</f>
        <v>246</v>
      </c>
      <c r="BN313" s="393">
        <f t="shared" si="582"/>
        <v>0.98369271677261205</v>
      </c>
      <c r="BO313" s="46">
        <f t="shared" si="576"/>
        <v>241.98840832606257</v>
      </c>
      <c r="BP313" s="46">
        <f t="shared" si="577"/>
        <v>-4.0115916739374313</v>
      </c>
      <c r="BQ313" s="129">
        <f>INDEX('Dist Plant Depreciation'!$D$7:$AC$94,MATCH($C313,'Dist Plant Depreciation'!$C$7:$C$94,0),MATCH(Calculation!$G313,'Dist Plant Depreciation'!$D$5:$AC$5,0))</f>
        <v>42735</v>
      </c>
      <c r="BR313" s="129">
        <f>INDEX('Gen. Plant Depreciation'!$D$7:$AC$94,MATCH($C313,'Gen. Plant Depreciation'!$C$7:$C$94,0),MATCH(Calculation!$G313,'Gen. Plant Depreciation'!$D$5:$AC$5,0))</f>
        <v>255</v>
      </c>
      <c r="BS313" s="129"/>
      <c r="BT313" s="129"/>
      <c r="BU313" s="129"/>
      <c r="BV313" s="129"/>
      <c r="BW313" s="129"/>
      <c r="BX313" s="129"/>
      <c r="BY313" s="129">
        <f>INDEX('Gross Dx Plant'!$D$7:$AC$91,MATCH($C313,'Gross Dx Plant'!$C$7:$C$91,0),MATCH(Calculation!$G313,'Gross Dx Plant'!$D$5:$AC$5,0))</f>
        <v>94706</v>
      </c>
      <c r="BZ313" s="129">
        <f>INDEX('Gross Gen Plant'!$D$7:$AC$91,MATCH($C313,'Gross Gen Plant'!$C$7:$C$91,0),MATCH(Calculation!$G313,'Gross Gen Plant'!$D$5:$AC$5,0))</f>
        <v>1570</v>
      </c>
      <c r="CA313" s="129">
        <f t="shared" si="551"/>
        <v>53286</v>
      </c>
      <c r="CB313" s="129"/>
      <c r="CC313" s="133">
        <v>2008</v>
      </c>
      <c r="CD313" s="129"/>
      <c r="CE313" s="129"/>
      <c r="CF313" s="129"/>
      <c r="CG313" s="137"/>
      <c r="CH313" s="129">
        <f t="shared" si="583"/>
        <v>5069</v>
      </c>
      <c r="CI313" s="46">
        <f t="shared" si="592"/>
        <v>5064.9884083260622</v>
      </c>
      <c r="CJ313" s="46">
        <f t="shared" si="584"/>
        <v>8.8877969279981848</v>
      </c>
      <c r="CK313" s="443">
        <v>0.89130434782608692</v>
      </c>
      <c r="CL313" s="46">
        <f>+CL303*CK313+CJ304*CK312+CJ305*CK311+CJ306*CK310+CJ307*CK309+CJ308*CK308+CJ309*CK307+CJ310*CK306+CJ311*CK305+CJ312*CK304+CJ313</f>
        <v>258.17151685255294</v>
      </c>
      <c r="CM313" s="134">
        <f t="shared" si="585"/>
        <v>2.2276579723388912E-2</v>
      </c>
      <c r="CN313" s="135">
        <f t="shared" si="586"/>
        <v>1.2674881496269304E-2</v>
      </c>
      <c r="CO313" s="135">
        <f t="shared" si="595"/>
        <v>1.2352710850232882E-2</v>
      </c>
      <c r="CP313" s="134">
        <f>VLOOKUP($H313,RoR!$E:$F,2,FALSE)</f>
        <v>5.6316666666666668E-2</v>
      </c>
      <c r="CQ313" s="135">
        <v>1.9092304698479889E-2</v>
      </c>
      <c r="CR313" s="135">
        <f t="shared" si="593"/>
        <v>3.7224361968186778E-2</v>
      </c>
      <c r="CS313" s="135">
        <f t="shared" si="596"/>
        <v>1.8549230758300742E-2</v>
      </c>
      <c r="CT313" s="135">
        <f t="shared" si="597"/>
        <v>6.9030581091053131E-2</v>
      </c>
      <c r="CU313" s="139">
        <f t="shared" si="587"/>
        <v>0.84647404999999998</v>
      </c>
      <c r="CV313" s="335">
        <f t="shared" si="588"/>
        <v>0.91060168006009956</v>
      </c>
      <c r="CW313" s="335">
        <f t="shared" si="589"/>
        <v>0.53108168097070152</v>
      </c>
      <c r="CX313" s="335">
        <f t="shared" si="590"/>
        <v>0.88825329850328805</v>
      </c>
      <c r="CY313" s="335">
        <f t="shared" si="591"/>
        <v>0.4295627335323573</v>
      </c>
      <c r="CZ313" s="336">
        <f>INDEX('State Tax Lookup'!$D$7:$Z$91,MATCH(Calculation!$C313,'State Tax Lookup'!$B$7:$B$91,0),MATCH($H313,'State Tax Lookup'!$D$6:$Z$6,0))</f>
        <v>0.414935</v>
      </c>
      <c r="DA313" s="303">
        <v>0.37</v>
      </c>
      <c r="DB313" s="57">
        <f t="shared" si="594"/>
        <v>15.194079874093779</v>
      </c>
      <c r="DC313" s="56">
        <f t="shared" si="598"/>
        <v>0.11806812871331099</v>
      </c>
      <c r="DD313" s="303">
        <f>VLOOKUP($H313,RoR!$E:$F,2,FALSE)</f>
        <v>5.6316666666666668E-2</v>
      </c>
      <c r="DE313" s="304">
        <f>HLOOKUP($H313,'GDP-PI'!$D$8:$CQ$11,3,FALSE)</f>
        <v>1.9092304698479889E-2</v>
      </c>
      <c r="DF313" s="303">
        <f>VLOOKUP(H313,'HW Dx Data'!$E:$F,2,FALSE)</f>
        <v>569.88120333515076</v>
      </c>
      <c r="DG313" s="89">
        <f ca="1">VLOOKUP(CC313,'ECI - Input Price'!M$13:N$33,2,FALSE)</f>
        <v>107.9</v>
      </c>
      <c r="DH313" s="89"/>
      <c r="DI313" s="89"/>
      <c r="DJ313" s="56">
        <f t="shared" ca="1" si="606"/>
        <v>3.1778595021460486E-2</v>
      </c>
      <c r="DK313" s="53">
        <f>HLOOKUP(H313,'GDP-PI'!$8:$9,2,FALSE)</f>
        <v>94.263999999999996</v>
      </c>
      <c r="DL313" s="355">
        <f t="shared" si="599"/>
        <v>1.8912333748032254E-2</v>
      </c>
      <c r="EC313"/>
    </row>
    <row r="314" spans="1:133" s="126" customFormat="1" ht="21" customHeight="1" x14ac:dyDescent="0.4">
      <c r="A314" s="233" t="s">
        <v>200</v>
      </c>
      <c r="B314" s="127" t="s">
        <v>200</v>
      </c>
      <c r="C314" s="127">
        <v>4088325</v>
      </c>
      <c r="D314" s="127" t="s">
        <v>201</v>
      </c>
      <c r="E314" s="127"/>
      <c r="F314" s="127"/>
      <c r="G314" s="127" t="s">
        <v>165</v>
      </c>
      <c r="H314" s="128">
        <v>2009</v>
      </c>
      <c r="I314" s="129"/>
      <c r="J314" s="125">
        <f>IFERROR(INDEX('Labor Expenditures'!$E$7:$W$91,MATCH($C314,'Labor Expenditures'!$C$7:$C$91,0),MATCH($G314,'Labor Expenditures'!$E$5:$W$5,0)),"NA")</f>
        <v>3641.5845614927307</v>
      </c>
      <c r="K314" s="125">
        <f t="shared" ca="1" si="600"/>
        <v>32.829250047263741</v>
      </c>
      <c r="L314" s="47"/>
      <c r="M314" s="131">
        <f t="shared" ca="1" si="607"/>
        <v>7.2015947846796255E-2</v>
      </c>
      <c r="N314" s="131"/>
      <c r="O314" s="131"/>
      <c r="P314" s="59">
        <f t="shared" ca="1" si="609"/>
        <v>1.0765444481137293E-4</v>
      </c>
      <c r="Q314" s="61"/>
      <c r="R314" s="387"/>
      <c r="S314" s="49">
        <f t="shared" ca="1" si="614"/>
        <v>117.98199732802317</v>
      </c>
      <c r="T314" s="61">
        <f ca="1">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</f>
        <v>7.4531665939043451E-2</v>
      </c>
      <c r="U314" s="61"/>
      <c r="V314" s="125">
        <f>IFERROR(INDEX('Non-Labor Expenditures'!$E$7:$AA$91,MATCH($C314,'Non-Labor Expenditures'!$C$7:$C$91,0),MATCH($G314,'Non-Labor Expenditures'!$E$5:$AA$5,0)),"NA")</f>
        <v>5273.6945992174369</v>
      </c>
      <c r="W314" s="125">
        <f t="shared" si="601"/>
        <v>55.513159077647522</v>
      </c>
      <c r="X314" s="131">
        <f t="shared" si="610"/>
        <v>9.1898364029370738E-2</v>
      </c>
      <c r="Y314" s="131">
        <f t="shared" si="611"/>
        <v>1.3737606258688531E-4</v>
      </c>
      <c r="Z314" s="131"/>
      <c r="AA314" s="131"/>
      <c r="AB314" s="131"/>
      <c r="AC314" s="125">
        <f t="shared" si="581"/>
        <v>3726.569274584042</v>
      </c>
      <c r="AD314" s="129"/>
      <c r="AE314" s="133">
        <v>286.41509861069176</v>
      </c>
      <c r="AF314" s="134">
        <v>5.720174775248045E-2</v>
      </c>
      <c r="AG314" s="59">
        <f t="shared" si="602"/>
        <v>8.5509148746244431E-5</v>
      </c>
      <c r="AH314" s="134"/>
      <c r="AI314" s="134"/>
      <c r="AJ314" s="129">
        <f t="shared" si="569"/>
        <v>12641.848435294211</v>
      </c>
      <c r="AK314" s="134">
        <f t="shared" si="612"/>
        <v>5.9983668896344329E-2</v>
      </c>
      <c r="AL314" s="129"/>
      <c r="AM314" s="129"/>
      <c r="AN314" s="129"/>
      <c r="AO314" s="129"/>
      <c r="AP314" s="133">
        <f t="shared" si="613"/>
        <v>386.74279354179549</v>
      </c>
      <c r="AQ314" s="134">
        <f>+BB314/Outputs!$B$17</f>
        <v>9.2923746412096689E-4</v>
      </c>
      <c r="AR314" s="93">
        <f t="shared" si="603"/>
        <v>0.28805791970468131</v>
      </c>
      <c r="AS314" s="93">
        <f t="shared" si="604"/>
        <v>0.41716166953038647</v>
      </c>
      <c r="AT314" s="93">
        <f t="shared" si="605"/>
        <v>0.29478041076493211</v>
      </c>
      <c r="AU314" s="93">
        <f t="shared" ca="1" si="608"/>
        <v>7.55786286501062E-2</v>
      </c>
      <c r="AV314" s="132">
        <f t="shared" ca="1" si="616"/>
        <v>109.02136469599417</v>
      </c>
      <c r="AW314" s="134">
        <f t="shared" ca="1" si="617"/>
        <v>7.55786286501062E-2</v>
      </c>
      <c r="AX314" s="56">
        <f>+AJ314/$AL$14</f>
        <v>1.4948695119641074E-3</v>
      </c>
      <c r="AY314" s="135">
        <f t="shared" ca="1" si="615"/>
        <v>1.1298018772510076E-4</v>
      </c>
      <c r="AZ314" s="93"/>
      <c r="BA314" s="93"/>
      <c r="BB314" s="234">
        <f>IFERROR(INDEX('Total Customers'!$E$7:$AA$91,MATCH($C314,'Total Customers'!$C$7:$C$91,0),MATCH($G314,'Total Customers'!$E$5:$AA$5,0)),"NA")</f>
        <v>32688</v>
      </c>
      <c r="BC314" s="411">
        <f t="shared" si="524"/>
        <v>-1.6506193568836766E-3</v>
      </c>
      <c r="BD314" s="92"/>
      <c r="BE314" s="281" t="str">
        <f t="shared" si="518"/>
        <v>COLUMBIA GAS OF MARYLAND, INCORPORATED</v>
      </c>
      <c r="BF314" s="290">
        <f t="shared" si="519"/>
        <v>4088325</v>
      </c>
      <c r="BG314" s="46" t="str">
        <f t="shared" si="520"/>
        <v>PA</v>
      </c>
      <c r="BH314" s="46"/>
      <c r="BI314" s="46" t="str">
        <f t="shared" si="521"/>
        <v>2009 Y</v>
      </c>
      <c r="BJ314" s="129"/>
      <c r="BK314" s="129"/>
      <c r="BL314" s="129">
        <f>INDEX('Dist. Plant Gas Additions'!$E$7:$AD$91,MATCH($C314,'Dist. Plant Gas Additions'!$C$7:$C$91,0),MATCH(Calculation!$G314,'Dist. Plant Gas Additions'!$E$5:$AD$5,0))</f>
        <v>9773</v>
      </c>
      <c r="BM314" s="129">
        <f>INDEX('Gen. Plant Additions'!$E$7:$AD$91,MATCH($C314,'Gen. Plant Additions'!$C$7:$C$91,0),MATCH(Calculation!$G314,'Gen. Plant Additions'!$E$5:$AD$5,0))</f>
        <v>25</v>
      </c>
      <c r="BN314" s="393">
        <f t="shared" si="582"/>
        <v>0.98661545957410224</v>
      </c>
      <c r="BO314" s="46">
        <f t="shared" si="576"/>
        <v>24.665386489352557</v>
      </c>
      <c r="BP314" s="46">
        <f t="shared" si="577"/>
        <v>-0.33461351064744349</v>
      </c>
      <c r="BQ314" s="129">
        <f>INDEX('Dist Plant Depreciation'!$D$7:$AC$94,MATCH($C314,'Dist Plant Depreciation'!$C$7:$C$94,0),MATCH(Calculation!$G314,'Dist Plant Depreciation'!$D$5:$AC$5,0))</f>
        <v>43251</v>
      </c>
      <c r="BR314" s="129">
        <f>INDEX('Gen. Plant Depreciation'!$D$7:$AC$94,MATCH($C314,'Gen. Plant Depreciation'!$C$7:$C$94,0),MATCH(Calculation!$G314,'Gen. Plant Depreciation'!$D$5:$AC$5,0))</f>
        <v>258</v>
      </c>
      <c r="BS314" s="129"/>
      <c r="BT314" s="129"/>
      <c r="BU314" s="129"/>
      <c r="BV314" s="129"/>
      <c r="BW314" s="129"/>
      <c r="BX314" s="129"/>
      <c r="BY314" s="129">
        <f>INDEX('Gross Dx Plant'!$D$7:$AC$91,MATCH($C314,'Gross Dx Plant'!$C$7:$C$91,0),MATCH(Calculation!$G314,'Gross Dx Plant'!$D$5:$AC$5,0))</f>
        <v>103272</v>
      </c>
      <c r="BZ314" s="129">
        <f>INDEX('Gross Gen Plant'!$D$7:$AC$91,MATCH($C314,'Gross Gen Plant'!$C$7:$C$91,0),MATCH(Calculation!$G314,'Gross Gen Plant'!$D$5:$AC$5,0))</f>
        <v>1401</v>
      </c>
      <c r="CA314" s="129">
        <f t="shared" si="551"/>
        <v>61164</v>
      </c>
      <c r="CB314" s="129"/>
      <c r="CC314" s="133">
        <v>2009</v>
      </c>
      <c r="CD314" s="129"/>
      <c r="CE314" s="129"/>
      <c r="CF314" s="129"/>
      <c r="CG314" s="137"/>
      <c r="CH314" s="129">
        <f t="shared" si="583"/>
        <v>9798</v>
      </c>
      <c r="CI314" s="46">
        <f t="shared" si="592"/>
        <v>9797.6653864893524</v>
      </c>
      <c r="CJ314" s="46">
        <f t="shared" si="584"/>
        <v>17.783522819175683</v>
      </c>
      <c r="CK314" s="443">
        <v>0.87912087912087911</v>
      </c>
      <c r="CL314" s="46">
        <f>+CL303*CK314+CJ304*CK313+CJ305*CK312+CJ306*CK311+CJ307*CK310+CJ308*CK309+CJ309*CK308+CJ310*CK307+CJ311*CK306+CJ312*CK305+CJ313*CK304+CJ314</f>
        <v>272.59732711105187</v>
      </c>
      <c r="CM314" s="134">
        <f t="shared" si="585"/>
        <v>5.4371555999691484E-2</v>
      </c>
      <c r="CN314" s="135">
        <f t="shared" si="586"/>
        <v>1.3005743629706504E-2</v>
      </c>
      <c r="CO314" s="135">
        <f t="shared" si="595"/>
        <v>1.267761536594067E-2</v>
      </c>
      <c r="CP314" s="134">
        <f>VLOOKUP($H314,RoR!$E:$F,2,FALSE)</f>
        <v>5.3133333333333324E-2</v>
      </c>
      <c r="CQ314" s="135">
        <v>7.7972502758210105E-3</v>
      </c>
      <c r="CR314" s="135">
        <f t="shared" si="593"/>
        <v>4.5336083057512314E-2</v>
      </c>
      <c r="CS314" s="135">
        <f t="shared" si="596"/>
        <v>1.8224326242592955E-2</v>
      </c>
      <c r="CT314" s="135">
        <f t="shared" si="597"/>
        <v>6.3720160300892073E-2</v>
      </c>
      <c r="CU314" s="139">
        <f t="shared" si="587"/>
        <v>0.84647404999999998</v>
      </c>
      <c r="CV314" s="335">
        <f t="shared" si="588"/>
        <v>0.96515780330083989</v>
      </c>
      <c r="CW314" s="335">
        <f t="shared" si="589"/>
        <v>0.50448557089084056</v>
      </c>
      <c r="CX314" s="335">
        <f t="shared" si="590"/>
        <v>0.87391435735465484</v>
      </c>
      <c r="CY314" s="335">
        <f t="shared" si="591"/>
        <v>0.42551605393279146</v>
      </c>
      <c r="CZ314" s="336">
        <f>INDEX('State Tax Lookup'!$D$7:$Z$91,MATCH(Calculation!$C314,'State Tax Lookup'!$B$7:$B$91,0),MATCH($H314,'State Tax Lookup'!$D$6:$Z$6,0))</f>
        <v>0.414935</v>
      </c>
      <c r="DA314" s="303">
        <v>0.37</v>
      </c>
      <c r="DB314" s="57">
        <f t="shared" si="594"/>
        <v>14.4344710060032</v>
      </c>
      <c r="DC314" s="56">
        <f t="shared" si="598"/>
        <v>-5.1286704196090181E-2</v>
      </c>
      <c r="DD314" s="303">
        <f>VLOOKUP($H314,RoR!$E:$F,2,FALSE)</f>
        <v>5.3133333333333324E-2</v>
      </c>
      <c r="DE314" s="304">
        <f>HLOOKUP($H314,'GDP-PI'!$D$8:$CQ$11,3,FALSE)</f>
        <v>7.7972502758210105E-3</v>
      </c>
      <c r="DF314" s="303">
        <f>VLOOKUP(H314,'HW Dx Data'!$E:$F,2,FALSE)</f>
        <v>550.94063679692806</v>
      </c>
      <c r="DG314" s="89">
        <f ca="1">VLOOKUP(CC314,'ECI - Input Price'!M$13:N$33,2,FALSE)</f>
        <v>110.925</v>
      </c>
      <c r="DH314" s="89"/>
      <c r="DI314" s="89"/>
      <c r="DJ314" s="56">
        <f t="shared" ca="1" si="606"/>
        <v>2.7649425000884052E-2</v>
      </c>
      <c r="DK314" s="53">
        <f>HLOOKUP(H314,'GDP-PI'!$8:$9,2,FALSE)</f>
        <v>94.998999999999995</v>
      </c>
      <c r="DL314" s="355">
        <f t="shared" si="599"/>
        <v>7.7670088183096342E-3</v>
      </c>
      <c r="EC314"/>
    </row>
    <row r="315" spans="1:133" s="126" customFormat="1" ht="21" customHeight="1" x14ac:dyDescent="0.4">
      <c r="A315" s="233" t="s">
        <v>200</v>
      </c>
      <c r="B315" s="127" t="s">
        <v>200</v>
      </c>
      <c r="C315" s="127">
        <v>4088325</v>
      </c>
      <c r="D315" s="127" t="s">
        <v>201</v>
      </c>
      <c r="E315" s="127"/>
      <c r="F315" s="127"/>
      <c r="G315" s="127" t="s">
        <v>166</v>
      </c>
      <c r="H315" s="128">
        <v>2010</v>
      </c>
      <c r="I315" s="129"/>
      <c r="J315" s="125">
        <f>IFERROR(INDEX('Labor Expenditures'!$E$7:$W$91,MATCH($C315,'Labor Expenditures'!$C$7:$C$91,0),MATCH($G315,'Labor Expenditures'!$E$5:$W$5,0)),"NA")</f>
        <v>3640.6603340527267</v>
      </c>
      <c r="K315" s="125">
        <f t="shared" ca="1" si="600"/>
        <v>31.13671442422687</v>
      </c>
      <c r="L315" s="47"/>
      <c r="M315" s="131">
        <f t="shared" ca="1" si="607"/>
        <v>-5.2932236713360399E-2</v>
      </c>
      <c r="N315" s="131"/>
      <c r="O315" s="131"/>
      <c r="P315" s="59">
        <f t="shared" ca="1" si="609"/>
        <v>-7.8436211550884062E-5</v>
      </c>
      <c r="Q315" s="61"/>
      <c r="R315" s="387"/>
      <c r="S315" s="49">
        <f t="shared" ca="1" si="614"/>
        <v>97.295121028045841</v>
      </c>
      <c r="T315" s="61">
        <f ca="1">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</f>
        <v>-0.19278320347160988</v>
      </c>
      <c r="U315" s="61"/>
      <c r="V315" s="125">
        <f>IFERROR(INDEX('Non-Labor Expenditures'!$E$7:$AA$91,MATCH($C315,'Non-Labor Expenditures'!$C$7:$C$91,0),MATCH($G315,'Non-Labor Expenditures'!$E$5:$AA$5,0)),"NA")</f>
        <v>5272.3561452624363</v>
      </c>
      <c r="W315" s="125">
        <f t="shared" si="601"/>
        <v>54.858089723776509</v>
      </c>
      <c r="X315" s="131">
        <f t="shared" si="610"/>
        <v>-1.1870429173534296E-2</v>
      </c>
      <c r="Y315" s="131">
        <f t="shared" si="611"/>
        <v>-1.7589876258150154E-5</v>
      </c>
      <c r="Z315" s="131"/>
      <c r="AA315" s="131"/>
      <c r="AB315" s="131"/>
      <c r="AC315" s="125">
        <f t="shared" si="581"/>
        <v>4004.8475046526864</v>
      </c>
      <c r="AD315" s="129"/>
      <c r="AE315" s="133">
        <v>295.45048697441632</v>
      </c>
      <c r="AF315" s="134">
        <v>3.1059113727120512E-2</v>
      </c>
      <c r="AG315" s="59">
        <f t="shared" si="602"/>
        <v>4.6024112452978792E-5</v>
      </c>
      <c r="AH315" s="134"/>
      <c r="AI315" s="134"/>
      <c r="AJ315" s="129">
        <f t="shared" si="569"/>
        <v>12917.863983967851</v>
      </c>
      <c r="AK315" s="134">
        <f t="shared" si="612"/>
        <v>2.1598543371669072E-2</v>
      </c>
      <c r="AL315" s="129"/>
      <c r="AM315" s="129"/>
      <c r="AN315" s="129"/>
      <c r="AO315" s="129"/>
      <c r="AP315" s="133">
        <f t="shared" si="613"/>
        <v>395.0658750984112</v>
      </c>
      <c r="AQ315" s="134">
        <f>+BB315/Outputs!$B$18</f>
        <v>9.2443594225489882E-4</v>
      </c>
      <c r="AR315" s="93">
        <f t="shared" si="603"/>
        <v>0.28183144973279567</v>
      </c>
      <c r="AS315" s="93">
        <f t="shared" si="604"/>
        <v>0.40814457806692123</v>
      </c>
      <c r="AT315" s="93">
        <f t="shared" si="605"/>
        <v>0.31002397220028305</v>
      </c>
      <c r="AU315" s="93">
        <f t="shared" ca="1" si="608"/>
        <v>-1.0588785124446927E-2</v>
      </c>
      <c r="AV315" s="132">
        <f t="shared" ca="1" si="616"/>
        <v>107.87305124274246</v>
      </c>
      <c r="AW315" s="134">
        <f t="shared" ca="1" si="617"/>
        <v>-1.0588785124446908E-2</v>
      </c>
      <c r="AX315" s="56">
        <f>+AJ315/$AL$15</f>
        <v>1.4818231085837776E-3</v>
      </c>
      <c r="AY315" s="135">
        <f t="shared" ca="1" si="615"/>
        <v>-1.5690706489233577E-5</v>
      </c>
      <c r="AZ315" s="93"/>
      <c r="BA315" s="93"/>
      <c r="BB315" s="234">
        <f>IFERROR(INDEX('Total Customers'!$E$7:$AA$91,MATCH($C315,'Total Customers'!$C$7:$C$91,0),MATCH($G315,'Total Customers'!$E$5:$AA$5,0)),"NA")</f>
        <v>32698</v>
      </c>
      <c r="BC315" s="411">
        <f t="shared" si="524"/>
        <v>3.0587587795451903E-4</v>
      </c>
      <c r="BD315" s="92"/>
      <c r="BE315" s="281" t="str">
        <f t="shared" si="518"/>
        <v>COLUMBIA GAS OF MARYLAND, INCORPORATED</v>
      </c>
      <c r="BF315" s="290">
        <f t="shared" si="519"/>
        <v>4088325</v>
      </c>
      <c r="BG315" s="46" t="str">
        <f t="shared" si="520"/>
        <v>PA</v>
      </c>
      <c r="BH315" s="46"/>
      <c r="BI315" s="46" t="str">
        <f t="shared" si="521"/>
        <v>2010 Y</v>
      </c>
      <c r="BJ315" s="129"/>
      <c r="BK315" s="129"/>
      <c r="BL315" s="129">
        <f>INDEX('Dist. Plant Gas Additions'!$E$7:$AD$91,MATCH($C315,'Dist. Plant Gas Additions'!$C$7:$C$91,0),MATCH(Calculation!$G315,'Dist. Plant Gas Additions'!$E$5:$AD$5,0))</f>
        <v>6179</v>
      </c>
      <c r="BM315" s="129">
        <f>INDEX('Gen. Plant Additions'!$E$7:$AD$91,MATCH($C315,'Gen. Plant Additions'!$C$7:$C$91,0),MATCH(Calculation!$G315,'Gen. Plant Additions'!$E$5:$AD$5,0))</f>
        <v>108</v>
      </c>
      <c r="BN315" s="393">
        <f t="shared" si="582"/>
        <v>0.98663512714370194</v>
      </c>
      <c r="BO315" s="46">
        <f t="shared" si="576"/>
        <v>106.55659373151981</v>
      </c>
      <c r="BP315" s="46">
        <f t="shared" si="577"/>
        <v>-1.4434062684801887</v>
      </c>
      <c r="BQ315" s="129">
        <f>INDEX('Dist Plant Depreciation'!$D$7:$AC$94,MATCH($C315,'Dist Plant Depreciation'!$C$7:$C$94,0),MATCH(Calculation!$G315,'Dist Plant Depreciation'!$D$5:$AC$5,0))</f>
        <v>43718</v>
      </c>
      <c r="BR315" s="129">
        <f>INDEX('Gen. Plant Depreciation'!$D$7:$AC$94,MATCH($C315,'Gen. Plant Depreciation'!$C$7:$C$94,0),MATCH(Calculation!$G315,'Gen. Plant Depreciation'!$D$5:$AC$5,0))</f>
        <v>262</v>
      </c>
      <c r="BS315" s="129"/>
      <c r="BT315" s="129"/>
      <c r="BU315" s="129"/>
      <c r="BV315" s="129"/>
      <c r="BW315" s="129"/>
      <c r="BX315" s="129"/>
      <c r="BY315" s="129">
        <f>INDEX('Gross Dx Plant'!$D$7:$AC$91,MATCH($C315,'Gross Dx Plant'!$C$7:$C$91,0),MATCH(Calculation!$G315,'Gross Dx Plant'!$D$5:$AC$5,0))</f>
        <v>108446</v>
      </c>
      <c r="BZ315" s="129">
        <f>INDEX('Gross Gen Plant'!$D$7:$AC$91,MATCH($C315,'Gross Gen Plant'!$C$7:$C$91,0),MATCH(Calculation!$G315,'Gross Gen Plant'!$D$5:$AC$5,0))</f>
        <v>1469</v>
      </c>
      <c r="CA315" s="129">
        <f t="shared" si="551"/>
        <v>65935</v>
      </c>
      <c r="CB315" s="129"/>
      <c r="CC315" s="133">
        <v>2010</v>
      </c>
      <c r="CD315" s="129"/>
      <c r="CE315" s="129"/>
      <c r="CF315" s="129"/>
      <c r="CG315" s="137"/>
      <c r="CH315" s="129">
        <f t="shared" si="583"/>
        <v>6287</v>
      </c>
      <c r="CI315" s="46">
        <f t="shared" si="592"/>
        <v>6285.5565937315196</v>
      </c>
      <c r="CJ315" s="46">
        <f t="shared" si="584"/>
        <v>11.046876198385659</v>
      </c>
      <c r="CK315" s="443">
        <v>0.8666666666666667</v>
      </c>
      <c r="CL315" s="46">
        <f>+CL303*CK315+CJ304*CK314+CJ305*CK313+CJ306*CK312+CJ307*CK311+CJ308*CK310+CJ309*CK309+CJ310*CK308+CJ311*CK307+CJ312*CK306+CJ313*CK305+CJ314*CK304+CJ315</f>
        <v>280.0368544917041</v>
      </c>
      <c r="CM315" s="134">
        <f t="shared" si="585"/>
        <v>2.6925503646529753E-2</v>
      </c>
      <c r="CN315" s="135">
        <f t="shared" si="586"/>
        <v>1.3233250875801307E-2</v>
      </c>
      <c r="CO315" s="135">
        <f t="shared" si="595"/>
        <v>1.297129200059237E-2</v>
      </c>
      <c r="CP315" s="134">
        <f>VLOOKUP($H315,RoR!$E:$F,2,FALSE)</f>
        <v>4.9433333333333322E-2</v>
      </c>
      <c r="CQ315" s="135">
        <v>1.1684333519300205E-2</v>
      </c>
      <c r="CR315" s="135">
        <f t="shared" si="593"/>
        <v>3.7748999814033117E-2</v>
      </c>
      <c r="CS315" s="135">
        <f t="shared" si="596"/>
        <v>1.7930649607941253E-2</v>
      </c>
      <c r="CT315" s="135">
        <f t="shared" si="597"/>
        <v>4.7937530248493419E-2</v>
      </c>
      <c r="CU315" s="139">
        <f t="shared" si="587"/>
        <v>0.84647404999999998</v>
      </c>
      <c r="CV315" s="335">
        <f t="shared" si="588"/>
        <v>1.037398205301105</v>
      </c>
      <c r="CW315" s="335">
        <f t="shared" si="589"/>
        <v>0.46926837491571133</v>
      </c>
      <c r="CX315" s="335">
        <f t="shared" si="590"/>
        <v>0.8548537519972772</v>
      </c>
      <c r="CY315" s="335">
        <f t="shared" si="591"/>
        <v>0.41615833911547367</v>
      </c>
      <c r="CZ315" s="336">
        <f>INDEX('State Tax Lookup'!$D$7:$Z$91,MATCH(Calculation!$C315,'State Tax Lookup'!$B$7:$B$91,0),MATCH($H315,'State Tax Lookup'!$D$6:$Z$6,0))</f>
        <v>0.414935</v>
      </c>
      <c r="DA315" s="303">
        <v>0.37</v>
      </c>
      <c r="DB315" s="57">
        <f t="shared" si="594"/>
        <v>14.691440840948431</v>
      </c>
      <c r="DC315" s="56">
        <f t="shared" si="598"/>
        <v>1.7645902669383991E-2</v>
      </c>
      <c r="DD315" s="303">
        <f>VLOOKUP($H315,RoR!$E:$F,2,FALSE)</f>
        <v>4.9433333333333322E-2</v>
      </c>
      <c r="DE315" s="304">
        <f>HLOOKUP($H315,'GDP-PI'!$D$8:$CQ$11,3,FALSE)</f>
        <v>1.1684333519300205E-2</v>
      </c>
      <c r="DF315" s="303">
        <f>VLOOKUP(H315,'HW Dx Data'!$E:$F,2,FALSE)</f>
        <v>568.98950262971744</v>
      </c>
      <c r="DG315" s="89">
        <f ca="1">VLOOKUP(CC315,'ECI - Input Price'!M$13:N$33,2,FALSE)</f>
        <v>116.925</v>
      </c>
      <c r="DH315" s="89"/>
      <c r="DI315" s="89"/>
      <c r="DJ315" s="56">
        <f t="shared" ca="1" si="606"/>
        <v>5.2678406346976722E-2</v>
      </c>
      <c r="DK315" s="53">
        <f>HLOOKUP(H315,'GDP-PI'!$8:$9,2,FALSE)</f>
        <v>96.108999999999995</v>
      </c>
      <c r="DL315" s="355">
        <f t="shared" si="599"/>
        <v>1.1616598807150427E-2</v>
      </c>
      <c r="EC315"/>
    </row>
    <row r="316" spans="1:133" s="126" customFormat="1" ht="21" customHeight="1" x14ac:dyDescent="0.4">
      <c r="A316" s="233" t="s">
        <v>200</v>
      </c>
      <c r="B316" s="127" t="s">
        <v>200</v>
      </c>
      <c r="C316" s="127">
        <v>4088325</v>
      </c>
      <c r="D316" s="127" t="s">
        <v>201</v>
      </c>
      <c r="E316" s="127"/>
      <c r="F316" s="127"/>
      <c r="G316" s="127" t="s">
        <v>167</v>
      </c>
      <c r="H316" s="128">
        <v>2011</v>
      </c>
      <c r="I316" s="129"/>
      <c r="J316" s="125">
        <f>IFERROR(INDEX('Labor Expenditures'!$E$7:$W$91,MATCH($C316,'Labor Expenditures'!$C$7:$C$91,0),MATCH($G316,'Labor Expenditures'!$E$5:$W$5,0)),"NA")</f>
        <v>3739.2431116265225</v>
      </c>
      <c r="K316" s="125">
        <f t="shared" ca="1" si="600"/>
        <v>30.934793064128417</v>
      </c>
      <c r="L316" s="47"/>
      <c r="M316" s="131">
        <f t="shared" ca="1" si="607"/>
        <v>-6.5061114362263946E-3</v>
      </c>
      <c r="N316" s="131"/>
      <c r="O316" s="131"/>
      <c r="P316" s="59">
        <f t="shared" ca="1" si="609"/>
        <v>-9.6915373800080925E-6</v>
      </c>
      <c r="Q316" s="61"/>
      <c r="R316" s="387"/>
      <c r="S316" s="49">
        <f t="shared" ca="1" si="614"/>
        <v>116.91271388604214</v>
      </c>
      <c r="T316" s="61">
        <f ca="1">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</f>
        <v>0.18367877687493156</v>
      </c>
      <c r="U316" s="61"/>
      <c r="V316" s="125">
        <f>IFERROR(INDEX('Non-Labor Expenditures'!$E$7:$AA$91,MATCH($C316,'Non-Labor Expenditures'!$C$7:$C$91,0),MATCH($G316,'Non-Labor Expenditures'!$E$5:$AA$5,0)),"NA")</f>
        <v>5415.1224199123017</v>
      </c>
      <c r="W316" s="125">
        <f t="shared" si="601"/>
        <v>55.193273197083968</v>
      </c>
      <c r="X316" s="131">
        <f t="shared" si="610"/>
        <v>6.0914195124330741E-3</v>
      </c>
      <c r="Y316" s="131">
        <f t="shared" si="611"/>
        <v>9.0738101369343872E-6</v>
      </c>
      <c r="Z316" s="131"/>
      <c r="AA316" s="131"/>
      <c r="AB316" s="131"/>
      <c r="AC316" s="125">
        <f t="shared" si="581"/>
        <v>4360.3483093969917</v>
      </c>
      <c r="AD316" s="129"/>
      <c r="AE316" s="133">
        <v>307.37309611484437</v>
      </c>
      <c r="AF316" s="134">
        <v>3.9561040466056387E-2</v>
      </c>
      <c r="AG316" s="59">
        <f t="shared" si="602"/>
        <v>5.8930331308800645E-5</v>
      </c>
      <c r="AH316" s="134"/>
      <c r="AI316" s="134"/>
      <c r="AJ316" s="129">
        <f t="shared" si="569"/>
        <v>13514.713840935816</v>
      </c>
      <c r="AK316" s="134">
        <f t="shared" si="612"/>
        <v>4.516784769430373E-2</v>
      </c>
      <c r="AL316" s="129"/>
      <c r="AM316" s="129"/>
      <c r="AN316" s="129"/>
      <c r="AO316" s="129"/>
      <c r="AP316" s="133">
        <f t="shared" si="613"/>
        <v>414.82899539383698</v>
      </c>
      <c r="AQ316" s="134">
        <f>+BB316/Outputs!$B$19</f>
        <v>9.1662741994745468E-4</v>
      </c>
      <c r="AR316" s="93">
        <f t="shared" si="603"/>
        <v>0.27667941442462696</v>
      </c>
      <c r="AS316" s="93">
        <f t="shared" si="604"/>
        <v>0.40068346867323207</v>
      </c>
      <c r="AT316" s="93">
        <f t="shared" si="605"/>
        <v>0.32263711690214097</v>
      </c>
      <c r="AU316" s="93">
        <f t="shared" ca="1" si="608"/>
        <v>1.3160953986422554E-2</v>
      </c>
      <c r="AV316" s="132">
        <f t="shared" ca="1" si="616"/>
        <v>109.30214701051261</v>
      </c>
      <c r="AW316" s="134">
        <f t="shared" ca="1" si="617"/>
        <v>1.3160953986422494E-2</v>
      </c>
      <c r="AX316" s="56">
        <f>+AJ316/$AL$16</f>
        <v>1.489605192749246E-3</v>
      </c>
      <c r="AY316" s="135">
        <f t="shared" ca="1" si="615"/>
        <v>1.9604625399708838E-5</v>
      </c>
      <c r="AZ316" s="93"/>
      <c r="BA316" s="93"/>
      <c r="BB316" s="234">
        <f>IFERROR(INDEX('Total Customers'!$E$7:$AA$91,MATCH($C316,'Total Customers'!$C$7:$C$91,0),MATCH($G316,'Total Customers'!$E$5:$AA$5,0)),"NA")</f>
        <v>32579</v>
      </c>
      <c r="BC316" s="411">
        <f t="shared" si="524"/>
        <v>-3.6460049274846897E-3</v>
      </c>
      <c r="BD316" s="92"/>
      <c r="BE316" s="281" t="str">
        <f t="shared" si="518"/>
        <v>COLUMBIA GAS OF MARYLAND, INCORPORATED</v>
      </c>
      <c r="BF316" s="290">
        <f t="shared" si="519"/>
        <v>4088325</v>
      </c>
      <c r="BG316" s="46" t="str">
        <f t="shared" si="520"/>
        <v>PA</v>
      </c>
      <c r="BH316" s="46"/>
      <c r="BI316" s="46" t="str">
        <f t="shared" si="521"/>
        <v>2011 Y</v>
      </c>
      <c r="BJ316" s="129"/>
      <c r="BK316" s="129"/>
      <c r="BL316" s="129">
        <f>INDEX('Dist. Plant Gas Additions'!$E$7:$AD$91,MATCH($C316,'Dist. Plant Gas Additions'!$C$7:$C$91,0),MATCH(Calculation!$G316,'Dist. Plant Gas Additions'!$E$5:$AD$5,0))</f>
        <v>8306</v>
      </c>
      <c r="BM316" s="129">
        <f>INDEX('Gen. Plant Additions'!$E$7:$AD$91,MATCH($C316,'Gen. Plant Additions'!$C$7:$C$91,0),MATCH(Calculation!$G316,'Gen. Plant Additions'!$E$5:$AD$5,0))</f>
        <v>295</v>
      </c>
      <c r="BN316" s="393">
        <f t="shared" si="582"/>
        <v>0.98567215216926696</v>
      </c>
      <c r="BO316" s="46">
        <f t="shared" si="576"/>
        <v>290.77328488993373</v>
      </c>
      <c r="BP316" s="46">
        <f t="shared" si="577"/>
        <v>-4.2267151100662659</v>
      </c>
      <c r="BQ316" s="129">
        <f>INDEX('Dist Plant Depreciation'!$D$7:$AC$94,MATCH($C316,'Dist Plant Depreciation'!$C$7:$C$94,0),MATCH(Calculation!$G316,'Dist Plant Depreciation'!$D$5:$AC$5,0))</f>
        <v>43960</v>
      </c>
      <c r="BR316" s="129">
        <f>INDEX('Gen. Plant Depreciation'!$D$7:$AC$94,MATCH($C316,'Gen. Plant Depreciation'!$C$7:$C$94,0),MATCH(Calculation!$G316,'Gen. Plant Depreciation'!$D$5:$AC$5,0))</f>
        <v>201</v>
      </c>
      <c r="BS316" s="129"/>
      <c r="BT316" s="129"/>
      <c r="BU316" s="129"/>
      <c r="BV316" s="129"/>
      <c r="BW316" s="129"/>
      <c r="BX316" s="129"/>
      <c r="BY316" s="129">
        <f>INDEX('Gross Dx Plant'!$D$7:$AC$91,MATCH($C316,'Gross Dx Plant'!$C$7:$C$91,0),MATCH(Calculation!$G316,'Gross Dx Plant'!$D$5:$AC$5,0))</f>
        <v>115299</v>
      </c>
      <c r="BZ316" s="129">
        <f>INDEX('Gross Gen Plant'!$D$7:$AC$91,MATCH($C316,'Gross Gen Plant'!$C$7:$C$91,0),MATCH(Calculation!$G316,'Gross Gen Plant'!$D$5:$AC$5,0))</f>
        <v>1676</v>
      </c>
      <c r="CA316" s="129">
        <f t="shared" si="551"/>
        <v>72814</v>
      </c>
      <c r="CB316" s="129"/>
      <c r="CC316" s="133">
        <v>2011</v>
      </c>
      <c r="CD316" s="129"/>
      <c r="CE316" s="129"/>
      <c r="CF316" s="129"/>
      <c r="CG316" s="137"/>
      <c r="CH316" s="129">
        <f t="shared" si="583"/>
        <v>8601</v>
      </c>
      <c r="CI316" s="46">
        <f t="shared" si="592"/>
        <v>8596.7732848899341</v>
      </c>
      <c r="CJ316" s="46">
        <f t="shared" si="584"/>
        <v>14.055947217745398</v>
      </c>
      <c r="CK316" s="443">
        <v>0.8539325842696629</v>
      </c>
      <c r="CL316" s="46">
        <f>+CL303*CK316+CJ304*CK315+CJ305*CK314+CJ306*CK313+CJ307*CK312+CJ308*CK311+CJ309*CK310+CJ310*CK309+CJ311*CK308+CJ312*CK307+CJ313*CK306+CJ314*CK305+CJ315*CK304+CJ316</f>
        <v>290.29654836431553</v>
      </c>
      <c r="CM316" s="134">
        <f t="shared" si="585"/>
        <v>3.5981763375436092E-2</v>
      </c>
      <c r="CN316" s="135">
        <f t="shared" si="586"/>
        <v>1.355626334263956E-2</v>
      </c>
      <c r="CO316" s="135">
        <f t="shared" si="595"/>
        <v>1.3265085949382457E-2</v>
      </c>
      <c r="CP316" s="134">
        <f>VLOOKUP($H316,RoR!$E:$F,2,FALSE)</f>
        <v>4.6391666666666664E-2</v>
      </c>
      <c r="CQ316" s="135">
        <v>2.0840920205183799E-2</v>
      </c>
      <c r="CR316" s="135">
        <f t="shared" si="593"/>
        <v>2.5550746461482865E-2</v>
      </c>
      <c r="CS316" s="135">
        <f t="shared" si="596"/>
        <v>1.7636855659151168E-2</v>
      </c>
      <c r="CT316" s="135">
        <f t="shared" si="597"/>
        <v>2.4810540821321614E-2</v>
      </c>
      <c r="CU316" s="139">
        <f t="shared" si="587"/>
        <v>0.84647404999999998</v>
      </c>
      <c r="CV316" s="335">
        <f t="shared" si="588"/>
        <v>1.1054151524782025</v>
      </c>
      <c r="CW316" s="335">
        <f t="shared" si="589"/>
        <v>0.43611011316687626</v>
      </c>
      <c r="CX316" s="335">
        <f t="shared" si="590"/>
        <v>0.83698442246886229</v>
      </c>
      <c r="CY316" s="335">
        <f t="shared" si="591"/>
        <v>0.40349573304423936</v>
      </c>
      <c r="CZ316" s="336">
        <f>INDEX('State Tax Lookup'!$D$7:$Z$91,MATCH(Calculation!$C316,'State Tax Lookup'!$B$7:$B$91,0),MATCH($H316,'State Tax Lookup'!$D$6:$Z$6,0))</f>
        <v>0.414935</v>
      </c>
      <c r="DA316" s="303">
        <v>0.37</v>
      </c>
      <c r="DB316" s="57">
        <f t="shared" si="594"/>
        <v>15.570623078563981</v>
      </c>
      <c r="DC316" s="56">
        <f t="shared" si="598"/>
        <v>5.8120934446075412E-2</v>
      </c>
      <c r="DD316" s="303">
        <f>VLOOKUP($H316,RoR!$E:$F,2,FALSE)</f>
        <v>4.6391666666666664E-2</v>
      </c>
      <c r="DE316" s="304">
        <f>HLOOKUP($H316,'GDP-PI'!$D$8:$CQ$11,3,FALSE)</f>
        <v>2.0840920205183799E-2</v>
      </c>
      <c r="DF316" s="303">
        <f>VLOOKUP(H316,'HW Dx Data'!$E:$F,2,FALSE)</f>
        <v>611.61109612283201</v>
      </c>
      <c r="DG316" s="89">
        <f ca="1">VLOOKUP(CC316,'ECI - Input Price'!M$13:N$33,2,FALSE)</f>
        <v>120.875</v>
      </c>
      <c r="DH316" s="89"/>
      <c r="DI316" s="89"/>
      <c r="DJ316" s="56">
        <f t="shared" ca="1" si="606"/>
        <v>3.3224250161508609E-2</v>
      </c>
      <c r="DK316" s="53">
        <f>HLOOKUP(H316,'GDP-PI'!$8:$9,2,FALSE)</f>
        <v>98.111999999999995</v>
      </c>
      <c r="DL316" s="355">
        <f t="shared" si="599"/>
        <v>2.0626719212849295E-2</v>
      </c>
      <c r="EC316"/>
    </row>
    <row r="317" spans="1:133" s="126" customFormat="1" ht="21" customHeight="1" x14ac:dyDescent="0.4">
      <c r="A317" s="233" t="s">
        <v>200</v>
      </c>
      <c r="B317" s="127" t="s">
        <v>200</v>
      </c>
      <c r="C317" s="127">
        <v>4088325</v>
      </c>
      <c r="D317" s="127" t="s">
        <v>201</v>
      </c>
      <c r="E317" s="127"/>
      <c r="F317" s="127"/>
      <c r="G317" s="127" t="s">
        <v>168</v>
      </c>
      <c r="H317" s="128">
        <v>2012</v>
      </c>
      <c r="I317" s="129"/>
      <c r="J317" s="125">
        <f>IFERROR(INDEX('Labor Expenditures'!$E$7:$W$91,MATCH($C317,'Labor Expenditures'!$C$7:$C$91,0),MATCH($G317,'Labor Expenditures'!$E$5:$W$5,0)),"NA")</f>
        <v>3801.358971622321</v>
      </c>
      <c r="K317" s="125">
        <f t="shared" ca="1" si="600"/>
        <v>30.45960714440962</v>
      </c>
      <c r="L317" s="47"/>
      <c r="M317" s="131">
        <f t="shared" ca="1" si="607"/>
        <v>-1.5480089625742823E-2</v>
      </c>
      <c r="N317" s="131"/>
      <c r="O317" s="131"/>
      <c r="P317" s="59">
        <f t="shared" ca="1" si="609"/>
        <v>-2.3338738634205749E-5</v>
      </c>
      <c r="Q317" s="61"/>
      <c r="R317" s="387"/>
      <c r="S317" s="49">
        <f t="shared" ca="1" si="614"/>
        <v>114.95530345696871</v>
      </c>
      <c r="T317" s="61">
        <f ca="1">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</f>
        <v>-1.6884233991381527E-2</v>
      </c>
      <c r="U317" s="61"/>
      <c r="V317" s="125">
        <f>IFERROR(INDEX('Non-Labor Expenditures'!$E$7:$AA$91,MATCH($C317,'Non-Labor Expenditures'!$C$7:$C$91,0),MATCH($G317,'Non-Labor Expenditures'!$E$5:$AA$5,0)),"NA")</f>
        <v>5505.0777868285404</v>
      </c>
      <c r="W317" s="125">
        <f t="shared" si="601"/>
        <v>55.050777868285401</v>
      </c>
      <c r="X317" s="131">
        <f t="shared" si="610"/>
        <v>-2.5850902026165034E-3</v>
      </c>
      <c r="Y317" s="131">
        <f t="shared" si="611"/>
        <v>-3.897441555143286E-6</v>
      </c>
      <c r="Z317" s="131"/>
      <c r="AA317" s="131"/>
      <c r="AB317" s="131"/>
      <c r="AC317" s="125">
        <f t="shared" si="581"/>
        <v>4848.0347286810193</v>
      </c>
      <c r="AD317" s="129"/>
      <c r="AE317" s="133">
        <v>318.69013683620335</v>
      </c>
      <c r="AF317" s="134">
        <v>3.615696632797144E-2</v>
      </c>
      <c r="AG317" s="59">
        <f t="shared" si="602"/>
        <v>5.4512474238585707E-5</v>
      </c>
      <c r="AH317" s="134"/>
      <c r="AI317" s="134"/>
      <c r="AJ317" s="129">
        <f t="shared" si="569"/>
        <v>14154.471487131881</v>
      </c>
      <c r="AK317" s="134">
        <f t="shared" si="612"/>
        <v>4.6251574264967801E-2</v>
      </c>
      <c r="AL317" s="129"/>
      <c r="AM317" s="129"/>
      <c r="AN317" s="129"/>
      <c r="AO317" s="129"/>
      <c r="AP317" s="133">
        <f t="shared" si="613"/>
        <v>430.89504968589245</v>
      </c>
      <c r="AQ317" s="134">
        <f>+BB317/Outputs!$B$20</f>
        <v>9.1979483666620478E-4</v>
      </c>
      <c r="AR317" s="93">
        <f t="shared" si="603"/>
        <v>0.26856240977123125</v>
      </c>
      <c r="AS317" s="93">
        <f t="shared" si="604"/>
        <v>0.3889285298877686</v>
      </c>
      <c r="AT317" s="93">
        <f t="shared" si="605"/>
        <v>0.34250906034100015</v>
      </c>
      <c r="AU317" s="93">
        <f t="shared" ca="1" si="608"/>
        <v>6.7840286930776483E-3</v>
      </c>
      <c r="AV317" s="132">
        <f t="shared" ca="1" si="616"/>
        <v>110.04617681828822</v>
      </c>
      <c r="AW317" s="134">
        <f t="shared" ca="1" si="617"/>
        <v>6.7840286930776674E-3</v>
      </c>
      <c r="AX317" s="56">
        <f>+AJ317/$AL$17</f>
        <v>1.5076617253813752E-3</v>
      </c>
      <c r="AY317" s="135">
        <f t="shared" ca="1" si="615"/>
        <v>1.0228020404442233E-5</v>
      </c>
      <c r="AZ317" s="93"/>
      <c r="BA317" s="93"/>
      <c r="BB317" s="234">
        <f>IFERROR(INDEX('Total Customers'!$E$7:$AA$91,MATCH($C317,'Total Customers'!$C$7:$C$91,0),MATCH($G317,'Total Customers'!$E$5:$AA$5,0)),"NA")</f>
        <v>32849</v>
      </c>
      <c r="BC317" s="411">
        <f t="shared" si="524"/>
        <v>8.2533940412302803E-3</v>
      </c>
      <c r="BD317" s="92"/>
      <c r="BE317" s="281" t="str">
        <f t="shared" si="518"/>
        <v>COLUMBIA GAS OF MARYLAND, INCORPORATED</v>
      </c>
      <c r="BF317" s="290">
        <f t="shared" si="519"/>
        <v>4088325</v>
      </c>
      <c r="BG317" s="46" t="str">
        <f t="shared" si="520"/>
        <v>PA</v>
      </c>
      <c r="BH317" s="46"/>
      <c r="BI317" s="46" t="str">
        <f t="shared" si="521"/>
        <v>2012 Y</v>
      </c>
      <c r="BJ317" s="129"/>
      <c r="BK317" s="129"/>
      <c r="BL317" s="129">
        <f>INDEX('Dist. Plant Gas Additions'!$E$7:$AD$91,MATCH($C317,'Dist. Plant Gas Additions'!$C$7:$C$91,0),MATCH(Calculation!$G317,'Dist. Plant Gas Additions'!$E$5:$AD$5,0))</f>
        <v>8967</v>
      </c>
      <c r="BM317" s="129">
        <f>INDEX('Gen. Plant Additions'!$E$7:$AD$91,MATCH($C317,'Gen. Plant Additions'!$C$7:$C$91,0),MATCH(Calculation!$G317,'Gen. Plant Additions'!$E$5:$AD$5,0))</f>
        <v>133</v>
      </c>
      <c r="BN317" s="393">
        <f t="shared" si="582"/>
        <v>0.98611066790056479</v>
      </c>
      <c r="BO317" s="46">
        <f t="shared" si="576"/>
        <v>131.15271883077511</v>
      </c>
      <c r="BP317" s="46">
        <f t="shared" si="577"/>
        <v>-1.8472811692248854</v>
      </c>
      <c r="BQ317" s="129">
        <f>INDEX('Dist Plant Depreciation'!$D$7:$AC$94,MATCH($C317,'Dist Plant Depreciation'!$C$7:$C$94,0),MATCH(Calculation!$G317,'Dist Plant Depreciation'!$D$5:$AC$5,0))</f>
        <v>45096</v>
      </c>
      <c r="BR317" s="129">
        <f>INDEX('Gen. Plant Depreciation'!$D$7:$AC$94,MATCH($C317,'Gen. Plant Depreciation'!$C$7:$C$94,0),MATCH(Calculation!$G317,'Gen. Plant Depreciation'!$D$5:$AC$5,0))</f>
        <v>169</v>
      </c>
      <c r="BS317" s="129"/>
      <c r="BT317" s="129"/>
      <c r="BU317" s="129"/>
      <c r="BV317" s="129"/>
      <c r="BW317" s="129"/>
      <c r="BX317" s="129"/>
      <c r="BY317" s="129">
        <f>INDEX('Gross Dx Plant'!$D$7:$AC$91,MATCH($C317,'Gross Dx Plant'!$C$7:$C$91,0),MATCH(Calculation!$G317,'Gross Dx Plant'!$D$5:$AC$5,0))</f>
        <v>123607</v>
      </c>
      <c r="BZ317" s="129">
        <f>INDEX('Gross Gen Plant'!$D$7:$AC$91,MATCH($C317,'Gross Gen Plant'!$C$7:$C$91,0),MATCH(Calculation!$G317,'Gross Gen Plant'!$D$5:$AC$5,0))</f>
        <v>1741</v>
      </c>
      <c r="CA317" s="129">
        <f t="shared" si="551"/>
        <v>80083</v>
      </c>
      <c r="CB317" s="129"/>
      <c r="CC317" s="133">
        <v>2012</v>
      </c>
      <c r="CD317" s="129"/>
      <c r="CE317" s="129"/>
      <c r="CF317" s="129"/>
      <c r="CG317" s="137"/>
      <c r="CH317" s="129">
        <f t="shared" si="583"/>
        <v>9100</v>
      </c>
      <c r="CI317" s="46">
        <f t="shared" si="592"/>
        <v>9098.1527188307755</v>
      </c>
      <c r="CJ317" s="46">
        <f t="shared" si="584"/>
        <v>13.60127061376615</v>
      </c>
      <c r="CK317" s="443">
        <v>0.84090909090909094</v>
      </c>
      <c r="CL317" s="46">
        <f>+CL303*CK317+CJ304*CK316+CJ305*CK315+CJ306*CK314+CJ307*CK313+CJ308*CK312+CJ309*CK311+CJ310*CK310+CJ311*CK309+CJ312*CK308+CJ313*CK307+CJ314*CK306+CJ315*CK305+CJ316*CK304+CJ317</f>
        <v>299.87801808943306</v>
      </c>
      <c r="CM317" s="134">
        <f t="shared" si="585"/>
        <v>3.2472804533088456E-2</v>
      </c>
      <c r="CN317" s="135">
        <f t="shared" si="586"/>
        <v>1.3847222474046999E-2</v>
      </c>
      <c r="CO317" s="135">
        <f t="shared" si="595"/>
        <v>1.3545578897495955E-2</v>
      </c>
      <c r="CP317" s="134">
        <f>VLOOKUP($H317,RoR!$E:$F,2,FALSE)</f>
        <v>3.6733333333333333E-2</v>
      </c>
      <c r="CQ317" s="135">
        <v>1.924331376386168E-2</v>
      </c>
      <c r="CR317" s="135">
        <f t="shared" si="593"/>
        <v>1.7490019569471653E-2</v>
      </c>
      <c r="CS317" s="135">
        <f t="shared" si="596"/>
        <v>1.735636271103767E-2</v>
      </c>
      <c r="CT317" s="135">
        <f t="shared" si="597"/>
        <v>6.7122682943869583E-2</v>
      </c>
      <c r="CU317" s="139">
        <f t="shared" si="587"/>
        <v>0.84647404999999998</v>
      </c>
      <c r="CV317" s="335">
        <f t="shared" si="588"/>
        <v>1.3960631020522127</v>
      </c>
      <c r="CW317" s="335">
        <f t="shared" si="589"/>
        <v>0.29441923774954631</v>
      </c>
      <c r="CX317" s="335">
        <f t="shared" si="590"/>
        <v>0.76377954189366437</v>
      </c>
      <c r="CY317" s="335">
        <f t="shared" si="591"/>
        <v>0.31393465103033691</v>
      </c>
      <c r="CZ317" s="336">
        <f>INDEX('State Tax Lookup'!$D$7:$Z$91,MATCH(Calculation!$C317,'State Tax Lookup'!$B$7:$B$91,0),MATCH($H317,'State Tax Lookup'!$D$6:$Z$6,0))</f>
        <v>0.414935</v>
      </c>
      <c r="DA317" s="303">
        <v>0.37</v>
      </c>
      <c r="DB317" s="57">
        <f t="shared" si="594"/>
        <v>16.700283747765567</v>
      </c>
      <c r="DC317" s="56">
        <f t="shared" si="598"/>
        <v>7.0039707226247777E-2</v>
      </c>
      <c r="DD317" s="303">
        <f>VLOOKUP($H317,RoR!$E:$F,2,FALSE)</f>
        <v>3.6733333333333333E-2</v>
      </c>
      <c r="DE317" s="304">
        <f>HLOOKUP($H317,'GDP-PI'!$D$8:$CQ$11,3,FALSE)</f>
        <v>1.924331376386168E-2</v>
      </c>
      <c r="DF317" s="303">
        <f>VLOOKUP(H317,'HW Dx Data'!$E:$F,2,FALSE)</f>
        <v>668.91932211262167</v>
      </c>
      <c r="DG317" s="89">
        <f ca="1">VLOOKUP(CC317,'ECI - Input Price'!M$13:N$33,2,FALSE)</f>
        <v>124.80000000000001</v>
      </c>
      <c r="DH317" s="89"/>
      <c r="DI317" s="89"/>
      <c r="DJ317" s="56">
        <f t="shared" ca="1" si="606"/>
        <v>3.1955502161869064E-2</v>
      </c>
      <c r="DK317" s="53">
        <f>HLOOKUP(H317,'GDP-PI'!$8:$9,2,FALSE)</f>
        <v>100</v>
      </c>
      <c r="DL317" s="355">
        <f t="shared" si="599"/>
        <v>1.9060502738742411E-2</v>
      </c>
      <c r="EC317"/>
    </row>
    <row r="318" spans="1:133" s="126" customFormat="1" ht="21" customHeight="1" x14ac:dyDescent="0.4">
      <c r="A318" s="233" t="s">
        <v>200</v>
      </c>
      <c r="B318" s="127" t="s">
        <v>200</v>
      </c>
      <c r="C318" s="127">
        <v>4088325</v>
      </c>
      <c r="D318" s="127" t="s">
        <v>201</v>
      </c>
      <c r="E318" s="127"/>
      <c r="F318" s="127"/>
      <c r="G318" s="127" t="s">
        <v>169</v>
      </c>
      <c r="H318" s="128">
        <v>2013</v>
      </c>
      <c r="I318" s="129"/>
      <c r="J318" s="125">
        <f>IFERROR(INDEX('Labor Expenditures'!$E$7:$W$91,MATCH($C318,'Labor Expenditures'!$C$7:$C$91,0),MATCH($G318,'Labor Expenditures'!$E$5:$W$5,0)),"NA")</f>
        <v>6743.2155906801063</v>
      </c>
      <c r="K318" s="125">
        <f t="shared" ca="1" si="600"/>
        <v>53.179933680442481</v>
      </c>
      <c r="L318" s="47"/>
      <c r="M318" s="131">
        <f t="shared" ca="1" si="607"/>
        <v>0.55727968877901979</v>
      </c>
      <c r="N318" s="131"/>
      <c r="O318" s="131"/>
      <c r="P318" s="59">
        <f t="shared" ca="1" si="609"/>
        <v>1.2251199580494314E-3</v>
      </c>
      <c r="Q318" s="61"/>
      <c r="R318" s="387"/>
      <c r="S318" s="49">
        <f t="shared" ca="1" si="614"/>
        <v>108.26616235534495</v>
      </c>
      <c r="T318" s="61">
        <f ca="1">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</f>
        <v>-5.9950725660983972E-2</v>
      </c>
      <c r="U318" s="61"/>
      <c r="V318" s="125">
        <f>IFERROR(INDEX('Non-Labor Expenditures'!$E$7:$AA$91,MATCH($C318,'Non-Labor Expenditures'!$C$7:$C$91,0),MATCH($G318,'Non-Labor Expenditures'!$E$5:$AA$5,0)),"NA")</f>
        <v>9765.4356342480023</v>
      </c>
      <c r="W318" s="125">
        <f t="shared" si="601"/>
        <v>95.953107742210634</v>
      </c>
      <c r="X318" s="131">
        <f t="shared" si="610"/>
        <v>0.55560361783030754</v>
      </c>
      <c r="Y318" s="131">
        <f t="shared" si="611"/>
        <v>1.2214352948332408E-3</v>
      </c>
      <c r="Z318" s="131"/>
      <c r="AA318" s="131"/>
      <c r="AB318" s="131"/>
      <c r="AC318" s="125">
        <f t="shared" si="581"/>
        <v>4882.9879560203563</v>
      </c>
      <c r="AD318" s="129"/>
      <c r="AE318" s="133">
        <v>330.07069550590887</v>
      </c>
      <c r="AF318" s="134">
        <v>3.5087587491784478E-2</v>
      </c>
      <c r="AG318" s="59">
        <f t="shared" si="602"/>
        <v>7.7136318766924154E-5</v>
      </c>
      <c r="AH318" s="134"/>
      <c r="AI318" s="134"/>
      <c r="AJ318" s="129">
        <f t="shared" si="569"/>
        <v>21391.639180948463</v>
      </c>
      <c r="AK318" s="134">
        <f t="shared" si="612"/>
        <v>0.41296957288102393</v>
      </c>
      <c r="AL318" s="129"/>
      <c r="AM318" s="129"/>
      <c r="AN318" s="129"/>
      <c r="AO318" s="129"/>
      <c r="AP318" s="133">
        <f t="shared" si="613"/>
        <v>648.90005402379609</v>
      </c>
      <c r="AQ318" s="134">
        <f>+BB318/Outputs!$B$21</f>
        <v>9.1718788846799403E-4</v>
      </c>
      <c r="AR318" s="93">
        <f t="shared" si="603"/>
        <v>0.31522668897134631</v>
      </c>
      <c r="AS318" s="93">
        <f t="shared" si="604"/>
        <v>0.45650712185465264</v>
      </c>
      <c r="AT318" s="93">
        <f t="shared" si="605"/>
        <v>0.22826618917400113</v>
      </c>
      <c r="AU318" s="93">
        <f t="shared" ca="1" si="608"/>
        <v>0.40754402025808201</v>
      </c>
      <c r="AV318" s="132">
        <f t="shared" ca="1" si="616"/>
        <v>165.41278668023119</v>
      </c>
      <c r="AW318" s="134">
        <f t="shared" ca="1" si="617"/>
        <v>0.40754402025808195</v>
      </c>
      <c r="AX318" s="56">
        <f>+AJ318/$AL$18</f>
        <v>2.1983933430870703E-3</v>
      </c>
      <c r="AY318" s="135">
        <f t="shared" ca="1" si="615"/>
        <v>8.9594206115030947E-4</v>
      </c>
      <c r="AZ318" s="93"/>
      <c r="BA318" s="93"/>
      <c r="BB318" s="234">
        <f>IFERROR(INDEX('Total Customers'!$E$7:$AA$91,MATCH($C318,'Total Customers'!$C$7:$C$91,0),MATCH($G318,'Total Customers'!$E$5:$AA$5,0)),"NA")</f>
        <v>32966</v>
      </c>
      <c r="BC318" s="411">
        <f t="shared" si="524"/>
        <v>3.5554242421980018E-3</v>
      </c>
      <c r="BD318" s="92"/>
      <c r="BE318" s="281" t="str">
        <f t="shared" si="518"/>
        <v>COLUMBIA GAS OF MARYLAND, INCORPORATED</v>
      </c>
      <c r="BF318" s="290">
        <f t="shared" si="519"/>
        <v>4088325</v>
      </c>
      <c r="BG318" s="46" t="str">
        <f t="shared" si="520"/>
        <v>PA</v>
      </c>
      <c r="BH318" s="46"/>
      <c r="BI318" s="46" t="str">
        <f t="shared" si="521"/>
        <v>2013 Y</v>
      </c>
      <c r="BJ318" s="129"/>
      <c r="BK318" s="129"/>
      <c r="BL318" s="129">
        <f>INDEX('Dist. Plant Gas Additions'!$E$7:$AD$91,MATCH($C318,'Dist. Plant Gas Additions'!$C$7:$C$91,0),MATCH(Calculation!$G318,'Dist. Plant Gas Additions'!$E$5:$AD$5,0))</f>
        <v>8974</v>
      </c>
      <c r="BM318" s="129">
        <f>INDEX('Gen. Plant Additions'!$E$7:$AD$91,MATCH($C318,'Gen. Plant Additions'!$C$7:$C$91,0),MATCH(Calculation!$G318,'Gen. Plant Additions'!$E$5:$AD$5,0))</f>
        <v>191</v>
      </c>
      <c r="BN318" s="393">
        <f t="shared" si="582"/>
        <v>0.98586498048916194</v>
      </c>
      <c r="BO318" s="46">
        <f t="shared" si="576"/>
        <v>188.30021127342994</v>
      </c>
      <c r="BP318" s="46">
        <f t="shared" si="577"/>
        <v>-2.6997887265700626</v>
      </c>
      <c r="BQ318" s="129">
        <f>INDEX('Dist Plant Depreciation'!$D$7:$AC$94,MATCH($C318,'Dist Plant Depreciation'!$C$7:$C$94,0),MATCH(Calculation!$G318,'Dist Plant Depreciation'!$D$5:$AC$5,0))</f>
        <v>45645</v>
      </c>
      <c r="BR318" s="129">
        <f>INDEX('Gen. Plant Depreciation'!$D$7:$AC$94,MATCH($C318,'Gen. Plant Depreciation'!$C$7:$C$94,0),MATCH(Calculation!$G318,'Gen. Plant Depreciation'!$D$5:$AC$5,0))</f>
        <v>172</v>
      </c>
      <c r="BS318" s="129"/>
      <c r="BT318" s="129"/>
      <c r="BU318" s="129"/>
      <c r="BV318" s="129"/>
      <c r="BW318" s="129"/>
      <c r="BX318" s="129"/>
      <c r="BY318" s="129">
        <f>INDEX('Gross Dx Plant'!$D$7:$AC$91,MATCH($C318,'Gross Dx Plant'!$C$7:$C$91,0),MATCH(Calculation!$G318,'Gross Dx Plant'!$D$5:$AC$5,0))</f>
        <v>131123</v>
      </c>
      <c r="BZ318" s="129">
        <f>INDEX('Gross Gen Plant'!$D$7:$AC$91,MATCH($C318,'Gross Gen Plant'!$C$7:$C$91,0),MATCH(Calculation!$G318,'Gross Gen Plant'!$D$5:$AC$5,0))</f>
        <v>1880</v>
      </c>
      <c r="CA318" s="129">
        <f t="shared" si="551"/>
        <v>87186</v>
      </c>
      <c r="CB318" s="129"/>
      <c r="CC318" s="133">
        <v>2013</v>
      </c>
      <c r="CD318" s="129"/>
      <c r="CE318" s="129"/>
      <c r="CF318" s="129"/>
      <c r="CG318" s="137"/>
      <c r="CH318" s="129">
        <f t="shared" si="583"/>
        <v>9165</v>
      </c>
      <c r="CI318" s="46">
        <f t="shared" si="592"/>
        <v>9162.3002112734303</v>
      </c>
      <c r="CJ318" s="46">
        <f t="shared" si="584"/>
        <v>13.814281550408108</v>
      </c>
      <c r="CK318" s="443">
        <v>0.82758620689655171</v>
      </c>
      <c r="CL318" s="46">
        <f>+CL303*CK318+CJ304*CK317+CJ305*CK316+CJ306*CK315+CJ307*CK314+CJ308*CK313+CJ309*CK312+CJ310*CK311+CJ311*CK310+CJ312*CK309+CJ313*CK308+CJ314*CK307+CJ315*CK306+CJ316*CK305+CJ317*CK304+CJ318</f>
        <v>309.44782022209006</v>
      </c>
      <c r="CM318" s="134">
        <f t="shared" si="585"/>
        <v>3.1413698520567065E-2</v>
      </c>
      <c r="CN318" s="135">
        <f t="shared" si="586"/>
        <v>1.4154019840444816E-2</v>
      </c>
      <c r="CO318" s="135">
        <f t="shared" si="595"/>
        <v>1.385250188571046E-2</v>
      </c>
      <c r="CP318" s="134">
        <f>VLOOKUP($H318,RoR!$E:$F,2,FALSE)</f>
        <v>4.2350000000000006E-2</v>
      </c>
      <c r="CQ318" s="135">
        <v>1.7730000000000024E-2</v>
      </c>
      <c r="CR318" s="135">
        <f t="shared" si="593"/>
        <v>2.4619999999999982E-2</v>
      </c>
      <c r="CS318" s="135">
        <f t="shared" si="596"/>
        <v>1.7049439722823165E-2</v>
      </c>
      <c r="CT318" s="135">
        <f t="shared" si="597"/>
        <v>5.3376742735721204E-2</v>
      </c>
      <c r="CU318" s="139">
        <f t="shared" si="587"/>
        <v>0.84647404999999998</v>
      </c>
      <c r="CV318" s="335">
        <f t="shared" si="588"/>
        <v>1.2109103018193925</v>
      </c>
      <c r="CW318" s="335">
        <f t="shared" si="589"/>
        <v>0.38468122786304604</v>
      </c>
      <c r="CX318" s="335">
        <f t="shared" si="590"/>
        <v>0.80969194503422559</v>
      </c>
      <c r="CY318" s="335">
        <f t="shared" si="591"/>
        <v>0.37716621754800816</v>
      </c>
      <c r="CZ318" s="336">
        <f>INDEX('State Tax Lookup'!$D$7:$Z$91,MATCH(Calculation!$C318,'State Tax Lookup'!$B$7:$B$91,0),MATCH($H318,'State Tax Lookup'!$D$6:$Z$6,0))</f>
        <v>0.414935</v>
      </c>
      <c r="DA318" s="303">
        <v>0.37</v>
      </c>
      <c r="DB318" s="57">
        <f t="shared" si="594"/>
        <v>16.283247392158287</v>
      </c>
      <c r="DC318" s="56">
        <f t="shared" si="598"/>
        <v>-2.5288898217090579E-2</v>
      </c>
      <c r="DD318" s="303">
        <f>VLOOKUP($H318,RoR!$E:$F,2,FALSE)</f>
        <v>4.2350000000000006E-2</v>
      </c>
      <c r="DE318" s="304">
        <f>HLOOKUP($H318,'GDP-PI'!$D$8:$CQ$11,3,FALSE)</f>
        <v>1.7730000000000024E-2</v>
      </c>
      <c r="DF318" s="303">
        <f>VLOOKUP(H318,'HW Dx Data'!$E:$F,2,FALSE)</f>
        <v>663.24840548821396</v>
      </c>
      <c r="DG318" s="89">
        <f ca="1">VLOOKUP(CC318,'ECI - Input Price'!M$13:N$33,2,FALSE)</f>
        <v>126.8</v>
      </c>
      <c r="DH318" s="89"/>
      <c r="DI318" s="89"/>
      <c r="DJ318" s="56">
        <f t="shared" ca="1" si="606"/>
        <v>1.5898586067798204E-2</v>
      </c>
      <c r="DK318" s="53">
        <f>HLOOKUP(H318,'GDP-PI'!$8:$9,2,FALSE)</f>
        <v>101.773</v>
      </c>
      <c r="DL318" s="355">
        <f t="shared" si="599"/>
        <v>1.7574657016510519E-2</v>
      </c>
      <c r="EC318"/>
    </row>
    <row r="319" spans="1:133" s="126" customFormat="1" ht="21" customHeight="1" x14ac:dyDescent="0.4">
      <c r="A319" s="233" t="s">
        <v>200</v>
      </c>
      <c r="B319" s="127" t="s">
        <v>200</v>
      </c>
      <c r="C319" s="127">
        <v>4088325</v>
      </c>
      <c r="D319" s="127" t="s">
        <v>201</v>
      </c>
      <c r="E319" s="127"/>
      <c r="F319" s="127"/>
      <c r="G319" s="127" t="s">
        <v>170</v>
      </c>
      <c r="H319" s="128">
        <v>2014</v>
      </c>
      <c r="I319" s="129"/>
      <c r="J319" s="125">
        <f>IFERROR(INDEX('Labor Expenditures'!$E$7:$W$91,MATCH($C319,'Labor Expenditures'!$C$7:$C$91,0),MATCH($G319,'Labor Expenditures'!$E$5:$W$5,0)),"NA")</f>
        <v>4582.3217983813502</v>
      </c>
      <c r="K319" s="125">
        <f t="shared" ca="1" si="600"/>
        <v>35.412069539268543</v>
      </c>
      <c r="L319" s="47"/>
      <c r="M319" s="131">
        <f t="shared" ca="1" si="607"/>
        <v>-0.40662842926972242</v>
      </c>
      <c r="N319" s="131"/>
      <c r="O319" s="131"/>
      <c r="P319" s="59">
        <f t="shared" ca="1" si="609"/>
        <v>-6.7020908409976682E-4</v>
      </c>
      <c r="Q319" s="61"/>
      <c r="R319" s="387"/>
      <c r="S319" s="49">
        <f t="shared" ca="1" si="614"/>
        <v>121.03624921863559</v>
      </c>
      <c r="T319" s="61">
        <f ca="1">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</f>
        <v>0.11149741949017769</v>
      </c>
      <c r="U319" s="61"/>
      <c r="V319" s="125">
        <f>IFERROR(INDEX('Non-Labor Expenditures'!$E$7:$AA$91,MATCH($C319,'Non-Labor Expenditures'!$C$7:$C$91,0),MATCH($G319,'Non-Labor Expenditures'!$E$5:$AA$5,0)),"NA")</f>
        <v>6636.0578237112841</v>
      </c>
      <c r="W319" s="125">
        <f t="shared" si="601"/>
        <v>64.025565850543515</v>
      </c>
      <c r="X319" s="131">
        <f t="shared" si="610"/>
        <v>-0.40457714110430365</v>
      </c>
      <c r="Y319" s="131">
        <f t="shared" si="611"/>
        <v>-6.6682813022736042E-4</v>
      </c>
      <c r="Z319" s="131"/>
      <c r="AA319" s="131"/>
      <c r="AB319" s="131"/>
      <c r="AC319" s="125">
        <f t="shared" si="581"/>
        <v>5114.0919418062749</v>
      </c>
      <c r="AD319" s="129"/>
      <c r="AE319" s="133">
        <v>347.27363229128019</v>
      </c>
      <c r="AF319" s="134">
        <v>5.0806174550625083E-2</v>
      </c>
      <c r="AG319" s="59">
        <f t="shared" si="602"/>
        <v>8.3739250040485894E-5</v>
      </c>
      <c r="AH319" s="134"/>
      <c r="AI319" s="134"/>
      <c r="AJ319" s="129">
        <f t="shared" si="569"/>
        <v>16332.471563898909</v>
      </c>
      <c r="AK319" s="134">
        <f t="shared" si="612"/>
        <v>-0.26984490655192983</v>
      </c>
      <c r="AL319" s="129"/>
      <c r="AM319" s="129"/>
      <c r="AN319" s="129"/>
      <c r="AO319" s="129"/>
      <c r="AP319" s="133">
        <f t="shared" si="613"/>
        <v>493.02597771904823</v>
      </c>
      <c r="AQ319" s="134">
        <f>+BB319/Outputs!$B$22</f>
        <v>9.167421463117919E-4</v>
      </c>
      <c r="AR319" s="93">
        <f t="shared" si="603"/>
        <v>0.28056511719328853</v>
      </c>
      <c r="AS319" s="93">
        <f t="shared" si="604"/>
        <v>0.40631069203142184</v>
      </c>
      <c r="AT319" s="93">
        <f t="shared" si="605"/>
        <v>0.31312419077528963</v>
      </c>
      <c r="AU319" s="93">
        <f t="shared" ca="1" si="608"/>
        <v>-0.28191813830232831</v>
      </c>
      <c r="AV319" s="132">
        <f t="shared" ca="1" si="616"/>
        <v>124.7767260947378</v>
      </c>
      <c r="AW319" s="134">
        <f t="shared" ca="1" si="617"/>
        <v>-0.28191813830232831</v>
      </c>
      <c r="AX319" s="56">
        <f>+AJ319/$AL$19</f>
        <v>1.6482101000744531E-3</v>
      </c>
      <c r="AY319" s="135">
        <f t="shared" ca="1" si="615"/>
        <v>-4.6466032294408406E-4</v>
      </c>
      <c r="AZ319" s="93"/>
      <c r="BA319" s="93"/>
      <c r="BB319" s="234">
        <f>IFERROR(INDEX('Total Customers'!$E$7:$AA$91,MATCH($C319,'Total Customers'!$C$7:$C$91,0),MATCH($G319,'Total Customers'!$E$5:$AA$5,0)),"NA")</f>
        <v>33127</v>
      </c>
      <c r="BC319" s="411">
        <f t="shared" si="524"/>
        <v>4.8719325330732165E-3</v>
      </c>
      <c r="BD319" s="92"/>
      <c r="BE319" s="281" t="str">
        <f t="shared" si="518"/>
        <v>COLUMBIA GAS OF MARYLAND, INCORPORATED</v>
      </c>
      <c r="BF319" s="290">
        <f t="shared" si="519"/>
        <v>4088325</v>
      </c>
      <c r="BG319" s="46" t="str">
        <f t="shared" si="520"/>
        <v>PA</v>
      </c>
      <c r="BH319" s="46"/>
      <c r="BI319" s="46" t="str">
        <f t="shared" si="521"/>
        <v>2014 Y</v>
      </c>
      <c r="BJ319" s="129"/>
      <c r="BK319" s="129"/>
      <c r="BL319" s="129">
        <f>INDEX('Dist. Plant Gas Additions'!$E$7:$AD$91,MATCH($C319,'Dist. Plant Gas Additions'!$C$7:$C$91,0),MATCH(Calculation!$G319,'Dist. Plant Gas Additions'!$E$5:$AD$5,0))</f>
        <v>13403</v>
      </c>
      <c r="BM319" s="129">
        <f>INDEX('Gen. Plant Additions'!$E$7:$AD$91,MATCH($C319,'Gen. Plant Additions'!$C$7:$C$91,0),MATCH(Calculation!$G319,'Gen. Plant Additions'!$E$5:$AD$5,0))</f>
        <v>149</v>
      </c>
      <c r="BN319" s="393">
        <f t="shared" si="582"/>
        <v>0.98623542737167802</v>
      </c>
      <c r="BO319" s="46">
        <f t="shared" si="576"/>
        <v>146.94907867838003</v>
      </c>
      <c r="BP319" s="46">
        <f t="shared" si="577"/>
        <v>-2.0509213216199669</v>
      </c>
      <c r="BQ319" s="129">
        <f>INDEX('Dist Plant Depreciation'!$D$7:$AC$94,MATCH($C319,'Dist Plant Depreciation'!$C$7:$C$94,0),MATCH(Calculation!$G319,'Dist Plant Depreciation'!$D$5:$AC$5,0))</f>
        <v>46704</v>
      </c>
      <c r="BR319" s="129">
        <f>INDEX('Gen. Plant Depreciation'!$D$7:$AC$94,MATCH($C319,'Gen. Plant Depreciation'!$C$7:$C$94,0),MATCH(Calculation!$G319,'Gen. Plant Depreciation'!$D$5:$AC$5,0))</f>
        <v>182</v>
      </c>
      <c r="BS319" s="129"/>
      <c r="BT319" s="129"/>
      <c r="BU319" s="129"/>
      <c r="BV319" s="129"/>
      <c r="BW319" s="129"/>
      <c r="BX319" s="129"/>
      <c r="BY319" s="129">
        <f>INDEX('Gross Dx Plant'!$D$7:$AC$91,MATCH($C319,'Gross Dx Plant'!$C$7:$C$91,0),MATCH(Calculation!$G319,'Gross Dx Plant'!$D$5:$AC$5,0))</f>
        <v>142799</v>
      </c>
      <c r="BZ319" s="129">
        <f>INDEX('Gross Gen Plant'!$D$7:$AC$91,MATCH($C319,'Gross Gen Plant'!$C$7:$C$91,0),MATCH(Calculation!$G319,'Gross Gen Plant'!$D$5:$AC$5,0))</f>
        <v>1993</v>
      </c>
      <c r="CA319" s="129">
        <f t="shared" si="551"/>
        <v>97906</v>
      </c>
      <c r="CB319" s="129"/>
      <c r="CC319" s="133">
        <v>2014</v>
      </c>
      <c r="CD319" s="129"/>
      <c r="CE319" s="129"/>
      <c r="CF319" s="129"/>
      <c r="CG319" s="137"/>
      <c r="CH319" s="129">
        <f t="shared" si="583"/>
        <v>13552</v>
      </c>
      <c r="CI319" s="46">
        <f t="shared" si="592"/>
        <v>13549.949078678381</v>
      </c>
      <c r="CJ319" s="46">
        <f t="shared" si="584"/>
        <v>19.796289168347993</v>
      </c>
      <c r="CK319" s="443">
        <v>0.81395348837209303</v>
      </c>
      <c r="CL319" s="46">
        <f>+CL303*CK319+CJ304*CK318+CJ305*CK317+CJ306*CK316+CJ307*CK315+CJ308*CK314+CJ309*CK313+CJ310*CK312+CJ311*CK311+CJ312*CK310+CJ313*CK309+CJ314*CK308+CJ315*CK307+CJ316*CK306+CJ317*CK305+CJ318*CK304+CJ319</f>
        <v>324.76708543262441</v>
      </c>
      <c r="CM319" s="134">
        <f t="shared" si="585"/>
        <v>4.8318781077315576E-2</v>
      </c>
      <c r="CN319" s="135">
        <f t="shared" si="586"/>
        <v>1.4467783145476637E-2</v>
      </c>
      <c r="CO319" s="135">
        <f t="shared" si="595"/>
        <v>1.4156341819989484E-2</v>
      </c>
      <c r="CP319" s="134">
        <f>VLOOKUP($H319,RoR!$E:$F,2,FALSE)</f>
        <v>4.1625000000000002E-2</v>
      </c>
      <c r="CQ319" s="135">
        <v>1.841352814597208E-2</v>
      </c>
      <c r="CR319" s="135">
        <f t="shared" si="593"/>
        <v>2.3211471854027922E-2</v>
      </c>
      <c r="CS319" s="135">
        <f t="shared" si="596"/>
        <v>1.674559978854414E-2</v>
      </c>
      <c r="CT319" s="135">
        <f t="shared" si="597"/>
        <v>3.9072621432650924E-2</v>
      </c>
      <c r="CU319" s="139">
        <f t="shared" si="587"/>
        <v>0.84647404999999998</v>
      </c>
      <c r="CV319" s="335">
        <f t="shared" si="588"/>
        <v>1.2320012320012319</v>
      </c>
      <c r="CW319" s="335">
        <f t="shared" si="589"/>
        <v>0.37439939939939942</v>
      </c>
      <c r="CX319" s="335">
        <f t="shared" si="590"/>
        <v>0.80432100613819935</v>
      </c>
      <c r="CY319" s="335">
        <f t="shared" si="591"/>
        <v>0.37100152660040037</v>
      </c>
      <c r="CZ319" s="336">
        <f>INDEX('State Tax Lookup'!$D$7:$Z$91,MATCH(Calculation!$C319,'State Tax Lookup'!$B$7:$B$91,0),MATCH($H319,'State Tax Lookup'!$D$6:$Z$6,0))</f>
        <v>0.414935</v>
      </c>
      <c r="DA319" s="303">
        <v>0.37</v>
      </c>
      <c r="DB319" s="57">
        <f t="shared" si="594"/>
        <v>16.526508211096466</v>
      </c>
      <c r="DC319" s="56">
        <f t="shared" si="598"/>
        <v>1.4828838075189974E-2</v>
      </c>
      <c r="DD319" s="303">
        <f>VLOOKUP($H319,RoR!$E:$F,2,FALSE)</f>
        <v>4.1625000000000002E-2</v>
      </c>
      <c r="DE319" s="304">
        <f>HLOOKUP($H319,'GDP-PI'!$D$8:$CQ$11,3,FALSE)</f>
        <v>1.841352814597208E-2</v>
      </c>
      <c r="DF319" s="303">
        <f>VLOOKUP(H319,'HW Dx Data'!$E:$F,2,FALSE)</f>
        <v>684.46914285042885</v>
      </c>
      <c r="DG319" s="89">
        <f ca="1">VLOOKUP(CC319,'ECI - Input Price'!M$13:N$33,2,FALSE)</f>
        <v>129.4</v>
      </c>
      <c r="DH319" s="89"/>
      <c r="DI319" s="89"/>
      <c r="DJ319" s="56">
        <f t="shared" ca="1" si="606"/>
        <v>2.0297340063674733E-2</v>
      </c>
      <c r="DK319" s="53">
        <f>HLOOKUP(H319,'GDP-PI'!$8:$9,2,FALSE)</f>
        <v>103.64700000000001</v>
      </c>
      <c r="DL319" s="355">
        <f t="shared" si="599"/>
        <v>1.8246051898256087E-2</v>
      </c>
      <c r="EC319"/>
    </row>
    <row r="320" spans="1:133" s="126" customFormat="1" ht="21" customHeight="1" x14ac:dyDescent="0.4">
      <c r="A320" s="233" t="s">
        <v>200</v>
      </c>
      <c r="B320" s="127" t="s">
        <v>200</v>
      </c>
      <c r="C320" s="127">
        <v>4088325</v>
      </c>
      <c r="D320" s="127" t="s">
        <v>201</v>
      </c>
      <c r="E320" s="127"/>
      <c r="F320" s="127"/>
      <c r="G320" s="127" t="s">
        <v>171</v>
      </c>
      <c r="H320" s="128">
        <v>2015</v>
      </c>
      <c r="I320" s="129"/>
      <c r="J320" s="125">
        <f>IFERROR(INDEX('Labor Expenditures'!$E$7:$W$91,MATCH($C320,'Labor Expenditures'!$C$7:$C$91,0),MATCH($G320,'Labor Expenditures'!$E$5:$W$5,0)),"NA")</f>
        <v>4786.9114993028243</v>
      </c>
      <c r="K320" s="125">
        <f t="shared" ca="1" si="600"/>
        <v>35.857014976051119</v>
      </c>
      <c r="L320" s="47"/>
      <c r="M320" s="131">
        <f t="shared" ca="1" si="607"/>
        <v>1.2486514197838366E-2</v>
      </c>
      <c r="N320" s="131"/>
      <c r="O320" s="131"/>
      <c r="P320" s="59">
        <f t="shared" ca="1" si="609"/>
        <v>2.1239745576894705E-5</v>
      </c>
      <c r="Q320" s="61"/>
      <c r="R320" s="387"/>
      <c r="S320" s="49">
        <f t="shared" ca="1" si="614"/>
        <v>119.57175272199197</v>
      </c>
      <c r="T320" s="61">
        <f ca="1">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</f>
        <v>-1.2173448683721043E-2</v>
      </c>
      <c r="U320" s="61"/>
      <c r="V320" s="125">
        <f>IFERROR(INDEX('Non-Labor Expenditures'!$E$7:$AA$91,MATCH($C320,'Non-Labor Expenditures'!$C$7:$C$91,0),MATCH($G320,'Non-Labor Expenditures'!$E$5:$AA$5,0)),"NA")</f>
        <v>6932.341922730754</v>
      </c>
      <c r="W320" s="125">
        <f t="shared" si="601"/>
        <v>66.250078104060194</v>
      </c>
      <c r="X320" s="131">
        <f t="shared" si="610"/>
        <v>3.4154173785899286E-2</v>
      </c>
      <c r="Y320" s="131">
        <f t="shared" si="611"/>
        <v>5.809675543612735E-5</v>
      </c>
      <c r="Z320" s="131"/>
      <c r="AA320" s="131"/>
      <c r="AB320" s="131"/>
      <c r="AC320" s="125">
        <f t="shared" si="581"/>
        <v>5223.8168280356113</v>
      </c>
      <c r="AD320" s="129"/>
      <c r="AE320" s="133">
        <v>367.92120308561397</v>
      </c>
      <c r="AF320" s="134">
        <v>5.7755758318348199E-2</v>
      </c>
      <c r="AG320" s="59">
        <f t="shared" si="602"/>
        <v>9.8243400267362198E-5</v>
      </c>
      <c r="AH320" s="134"/>
      <c r="AI320" s="134"/>
      <c r="AJ320" s="129">
        <f t="shared" si="569"/>
        <v>16943.070250069191</v>
      </c>
      <c r="AK320" s="134">
        <f t="shared" si="612"/>
        <v>3.6703668769906612E-2</v>
      </c>
      <c r="AL320" s="129"/>
      <c r="AM320" s="129"/>
      <c r="AN320" s="129"/>
      <c r="AO320" s="129"/>
      <c r="AP320" s="133">
        <f t="shared" si="613"/>
        <v>512.69616758160169</v>
      </c>
      <c r="AQ320" s="134">
        <f>+BB320/Outputs!$B$23</f>
        <v>9.0709195656718436E-4</v>
      </c>
      <c r="AR320" s="93">
        <f t="shared" si="603"/>
        <v>0.28252916553204255</v>
      </c>
      <c r="AS320" s="93">
        <f t="shared" si="604"/>
        <v>0.40915500085956641</v>
      </c>
      <c r="AT320" s="93">
        <f t="shared" si="605"/>
        <v>0.30831583360839093</v>
      </c>
      <c r="AU320" s="93">
        <f t="shared" ca="1" si="608"/>
        <v>3.5387190802530652E-2</v>
      </c>
      <c r="AV320" s="132">
        <f t="shared" ca="1" si="616"/>
        <v>129.2712797050234</v>
      </c>
      <c r="AW320" s="134">
        <f t="shared" ca="1" si="617"/>
        <v>3.5387190802530659E-2</v>
      </c>
      <c r="AX320" s="56">
        <f>+AJ320/$AL$20</f>
        <v>1.7010148100878046E-3</v>
      </c>
      <c r="AY320" s="135">
        <f t="shared" ca="1" si="615"/>
        <v>6.0194135642507595E-5</v>
      </c>
      <c r="AZ320" s="93"/>
      <c r="BA320" s="93"/>
      <c r="BB320" s="234">
        <f>IFERROR(INDEX('Total Customers'!$E$7:$AA$91,MATCH($C320,'Total Customers'!$C$7:$C$91,0),MATCH($G320,'Total Customers'!$E$5:$AA$5,0)),"NA")</f>
        <v>33047</v>
      </c>
      <c r="BC320" s="411">
        <f t="shared" si="524"/>
        <v>-2.4178692227745254E-3</v>
      </c>
      <c r="BD320" s="92"/>
      <c r="BE320" s="281" t="str">
        <f t="shared" si="518"/>
        <v>COLUMBIA GAS OF MARYLAND, INCORPORATED</v>
      </c>
      <c r="BF320" s="290">
        <f t="shared" si="519"/>
        <v>4088325</v>
      </c>
      <c r="BG320" s="46" t="str">
        <f t="shared" si="520"/>
        <v>PA</v>
      </c>
      <c r="BH320" s="46"/>
      <c r="BI320" s="46" t="str">
        <f t="shared" si="521"/>
        <v>2015 Y</v>
      </c>
      <c r="BJ320" s="129"/>
      <c r="BK320" s="129"/>
      <c r="BL320" s="129">
        <f>INDEX('Dist. Plant Gas Additions'!$E$7:$AD$91,MATCH($C320,'Dist. Plant Gas Additions'!$C$7:$C$91,0),MATCH(Calculation!$G320,'Dist. Plant Gas Additions'!$E$5:$AD$5,0))</f>
        <v>15680</v>
      </c>
      <c r="BM320" s="129">
        <f>INDEX('Gen. Plant Additions'!$E$7:$AD$91,MATCH($C320,'Gen. Plant Additions'!$C$7:$C$91,0),MATCH(Calculation!$G320,'Gen. Plant Additions'!$E$5:$AD$5,0))</f>
        <v>156</v>
      </c>
      <c r="BN320" s="393">
        <f t="shared" si="582"/>
        <v>0.98672927469271432</v>
      </c>
      <c r="BO320" s="46">
        <f t="shared" si="576"/>
        <v>153.92976685206344</v>
      </c>
      <c r="BP320" s="46">
        <f t="shared" si="577"/>
        <v>-2.0702331479365625</v>
      </c>
      <c r="BQ320" s="129">
        <f>INDEX('Dist Plant Depreciation'!$D$7:$AC$94,MATCH($C320,'Dist Plant Depreciation'!$C$7:$C$94,0),MATCH(Calculation!$G320,'Dist Plant Depreciation'!$D$5:$AC$5,0))</f>
        <v>48866</v>
      </c>
      <c r="BR320" s="129">
        <f>INDEX('Gen. Plant Depreciation'!$D$7:$AC$94,MATCH($C320,'Gen. Plant Depreciation'!$C$7:$C$94,0),MATCH(Calculation!$G320,'Gen. Plant Depreciation'!$D$5:$AC$5,0))</f>
        <v>220</v>
      </c>
      <c r="BS320" s="129"/>
      <c r="BT320" s="129"/>
      <c r="BU320" s="129"/>
      <c r="BV320" s="129"/>
      <c r="BW320" s="129"/>
      <c r="BX320" s="129"/>
      <c r="BY320" s="129">
        <f>INDEX('Gross Dx Plant'!$D$7:$AC$91,MATCH($C320,'Gross Dx Plant'!$C$7:$C$91,0),MATCH(Calculation!$G320,'Gross Dx Plant'!$D$5:$AC$5,0))</f>
        <v>157184</v>
      </c>
      <c r="BZ320" s="129">
        <f>INDEX('Gross Gen Plant'!$D$7:$AC$91,MATCH($C320,'Gross Gen Plant'!$C$7:$C$91,0),MATCH(Calculation!$G320,'Gross Gen Plant'!$D$5:$AC$5,0))</f>
        <v>2114</v>
      </c>
      <c r="CA320" s="129">
        <f t="shared" si="551"/>
        <v>110212</v>
      </c>
      <c r="CB320" s="129"/>
      <c r="CC320" s="133">
        <v>2015</v>
      </c>
      <c r="CD320" s="129"/>
      <c r="CE320" s="129"/>
      <c r="CF320" s="129"/>
      <c r="CG320" s="137"/>
      <c r="CH320" s="129">
        <f t="shared" si="583"/>
        <v>15836</v>
      </c>
      <c r="CI320" s="46">
        <f t="shared" si="592"/>
        <v>15833.929766852063</v>
      </c>
      <c r="CJ320" s="46">
        <f t="shared" si="584"/>
        <v>23.436333364350208</v>
      </c>
      <c r="CK320" s="443">
        <v>0.8</v>
      </c>
      <c r="CL320" s="46">
        <f>+CL303*CK320+CJ304*CK319+CJ305*CK318+CJ306*CK317+CJ307*CK316+CJ308*CK315+CJ309*CK314+CJ310*CK313+CJ311*CK312+CJ312*CK311+CJ313*CK310+CJ314*CK309+CJ315*CK308+CJ316*CK307+CJ317*CK306+CJ318*CK305+CJ319*CK304+CJ320</f>
        <v>343.42860081759346</v>
      </c>
      <c r="CM320" s="134">
        <f t="shared" si="585"/>
        <v>5.5870966976393557E-2</v>
      </c>
      <c r="CN320" s="135">
        <f t="shared" si="586"/>
        <v>1.4702284170886933E-2</v>
      </c>
      <c r="CO320" s="135">
        <f t="shared" si="595"/>
        <v>1.4441362385602794E-2</v>
      </c>
      <c r="CP320" s="134">
        <f>VLOOKUP($H320,RoR!$E:$F,2,FALSE)</f>
        <v>3.8866666666666674E-2</v>
      </c>
      <c r="CQ320" s="135">
        <v>9.5709475431029478E-3</v>
      </c>
      <c r="CR320" s="135">
        <f t="shared" si="593"/>
        <v>2.9295719123563727E-2</v>
      </c>
      <c r="CS320" s="135">
        <f t="shared" si="596"/>
        <v>1.646057922293083E-2</v>
      </c>
      <c r="CT320" s="135">
        <f t="shared" si="597"/>
        <v>3.5270373279175926E-3</v>
      </c>
      <c r="CU320" s="139">
        <f t="shared" si="587"/>
        <v>0.84647404999999998</v>
      </c>
      <c r="CV320" s="335">
        <f t="shared" si="588"/>
        <v>1.3194352816994324</v>
      </c>
      <c r="CW320" s="335">
        <f t="shared" si="589"/>
        <v>0.33177530017152673</v>
      </c>
      <c r="CX320" s="335">
        <f t="shared" si="590"/>
        <v>0.78242572977668579</v>
      </c>
      <c r="CY320" s="335">
        <f t="shared" si="591"/>
        <v>0.34251158643433932</v>
      </c>
      <c r="CZ320" s="336">
        <f>INDEX('State Tax Lookup'!$D$7:$Z$91,MATCH(Calculation!$C320,'State Tax Lookup'!$B$7:$B$91,0),MATCH($H320,'State Tax Lookup'!$D$6:$Z$6,0))</f>
        <v>0.414935</v>
      </c>
      <c r="DA320" s="303">
        <v>0.37</v>
      </c>
      <c r="DB320" s="57">
        <f t="shared" si="594"/>
        <v>16.084809890992894</v>
      </c>
      <c r="DC320" s="56">
        <f t="shared" si="598"/>
        <v>-2.7090308423863806E-2</v>
      </c>
      <c r="DD320" s="303">
        <f>VLOOKUP($H320,RoR!$E:$F,2,FALSE)</f>
        <v>3.8866666666666674E-2</v>
      </c>
      <c r="DE320" s="304">
        <f>HLOOKUP($H320,'GDP-PI'!$D$8:$CQ$11,3,FALSE)</f>
        <v>9.5709475431029478E-3</v>
      </c>
      <c r="DF320" s="303">
        <f>VLOOKUP(H320,'HW Dx Data'!$E:$F,2,FALSE)</f>
        <v>675.61463308665782</v>
      </c>
      <c r="DG320" s="89">
        <f ca="1">VLOOKUP(CC320,'ECI - Input Price'!M$13:N$33,2,FALSE)</f>
        <v>133.5</v>
      </c>
      <c r="DH320" s="89"/>
      <c r="DI320" s="89"/>
      <c r="DJ320" s="56">
        <f t="shared" ca="1" si="606"/>
        <v>3.1193095773504077E-2</v>
      </c>
      <c r="DK320" s="53">
        <f>HLOOKUP(H320,'GDP-PI'!$8:$9,2,FALSE)</f>
        <v>104.639</v>
      </c>
      <c r="DL320" s="355">
        <f t="shared" si="599"/>
        <v>9.5254361854427965E-3</v>
      </c>
      <c r="EC320"/>
    </row>
    <row r="321" spans="1:133" s="126" customFormat="1" ht="21" customHeight="1" x14ac:dyDescent="0.4">
      <c r="A321" s="233" t="s">
        <v>200</v>
      </c>
      <c r="B321" s="127" t="s">
        <v>200</v>
      </c>
      <c r="C321" s="127">
        <v>4088325</v>
      </c>
      <c r="D321" s="127" t="s">
        <v>201</v>
      </c>
      <c r="E321" s="127"/>
      <c r="F321" s="127"/>
      <c r="G321" s="127" t="s">
        <v>172</v>
      </c>
      <c r="H321" s="128">
        <v>2016</v>
      </c>
      <c r="I321" s="129"/>
      <c r="J321" s="125">
        <f>IFERROR(INDEX('Labor Expenditures'!$E$7:$W$91,MATCH($C321,'Labor Expenditures'!$C$7:$C$91,0),MATCH($G321,'Labor Expenditures'!$E$5:$W$5,0)),"NA")</f>
        <v>5347.0945751826512</v>
      </c>
      <c r="K321" s="125">
        <f t="shared" ca="1" si="600"/>
        <v>39.044137095163578</v>
      </c>
      <c r="L321" s="47"/>
      <c r="M321" s="131">
        <f t="shared" ca="1" si="607"/>
        <v>8.5153502940530965E-2</v>
      </c>
      <c r="N321" s="131"/>
      <c r="O321" s="131"/>
      <c r="P321" s="59">
        <f t="shared" ca="1" si="609"/>
        <v>1.5318563308713205E-4</v>
      </c>
      <c r="Q321" s="61"/>
      <c r="R321" s="387"/>
      <c r="S321" s="49">
        <f t="shared" ca="1" si="614"/>
        <v>298.22509006115831</v>
      </c>
      <c r="T321" s="61">
        <f ca="1">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</f>
        <v>0.9139319047915041</v>
      </c>
      <c r="U321" s="61"/>
      <c r="V321" s="125">
        <f>IFERROR(INDEX('Non-Labor Expenditures'!$E$7:$AA$91,MATCH($C321,'Non-Labor Expenditures'!$C$7:$C$91,0),MATCH($G321,'Non-Labor Expenditures'!$E$5:$AA$5,0)),"NA")</f>
        <v>7743.5916443710175</v>
      </c>
      <c r="W321" s="125">
        <f t="shared" si="601"/>
        <v>73.235148335202936</v>
      </c>
      <c r="X321" s="131">
        <f t="shared" si="610"/>
        <v>0.10023883044210884</v>
      </c>
      <c r="Y321" s="131">
        <f t="shared" si="611"/>
        <v>1.8032315959933876E-4</v>
      </c>
      <c r="Z321" s="131"/>
      <c r="AA321" s="131"/>
      <c r="AB321" s="131"/>
      <c r="AC321" s="125">
        <f t="shared" si="581"/>
        <v>5406.9506868399703</v>
      </c>
      <c r="AD321" s="129"/>
      <c r="AE321" s="133">
        <v>382.47799180832396</v>
      </c>
      <c r="AF321" s="134">
        <v>3.880232066364471E-2</v>
      </c>
      <c r="AG321" s="59">
        <f t="shared" si="602"/>
        <v>6.980286013907648E-5</v>
      </c>
      <c r="AH321" s="134"/>
      <c r="AI321" s="134"/>
      <c r="AJ321" s="129">
        <f t="shared" si="569"/>
        <v>18497.63690639364</v>
      </c>
      <c r="AK321" s="134">
        <f t="shared" si="612"/>
        <v>8.7784073709415308E-2</v>
      </c>
      <c r="AL321" s="129"/>
      <c r="AM321" s="129"/>
      <c r="AN321" s="129"/>
      <c r="AO321" s="129"/>
      <c r="AP321" s="133">
        <f t="shared" si="613"/>
        <v>556.42031363234389</v>
      </c>
      <c r="AQ321" s="134">
        <f>+BB321/Outputs!$B$24</f>
        <v>9.0461404866379487E-4</v>
      </c>
      <c r="AR321" s="93">
        <f t="shared" si="603"/>
        <v>0.28906906337503291</v>
      </c>
      <c r="AS321" s="93">
        <f t="shared" si="604"/>
        <v>0.41862599442064263</v>
      </c>
      <c r="AT321" s="93">
        <f t="shared" si="605"/>
        <v>0.29230494220432435</v>
      </c>
      <c r="AU321" s="93">
        <f t="shared" ca="1" si="608"/>
        <v>7.7477435117732987E-2</v>
      </c>
      <c r="AV321" s="132">
        <f t="shared" ca="1" si="616"/>
        <v>139.68509600312109</v>
      </c>
      <c r="AW321" s="134">
        <f t="shared" ca="1" si="617"/>
        <v>7.7477435117733071E-2</v>
      </c>
      <c r="AX321" s="56">
        <f>+AJ321/$AL$21</f>
        <v>1.7989351911231767E-3</v>
      </c>
      <c r="AY321" s="135">
        <f t="shared" ca="1" si="615"/>
        <v>1.3937688455125267E-4</v>
      </c>
      <c r="AZ321" s="93"/>
      <c r="BA321" s="93"/>
      <c r="BB321" s="234">
        <f>IFERROR(INDEX('Total Customers'!$E$7:$AA$91,MATCH($C321,'Total Customers'!$C$7:$C$91,0),MATCH($G321,'Total Customers'!$E$5:$AA$5,0)),"NA")</f>
        <v>33244</v>
      </c>
      <c r="BC321" s="411">
        <f t="shared" si="524"/>
        <v>5.9435090713169346E-3</v>
      </c>
      <c r="BD321" s="92"/>
      <c r="BE321" s="281" t="str">
        <f t="shared" si="518"/>
        <v>COLUMBIA GAS OF MARYLAND, INCORPORATED</v>
      </c>
      <c r="BF321" s="290">
        <f t="shared" si="519"/>
        <v>4088325</v>
      </c>
      <c r="BG321" s="46" t="str">
        <f t="shared" si="520"/>
        <v>PA</v>
      </c>
      <c r="BH321" s="46"/>
      <c r="BI321" s="46" t="str">
        <f t="shared" si="521"/>
        <v>2016 Y</v>
      </c>
      <c r="BJ321" s="129"/>
      <c r="BK321" s="129"/>
      <c r="BL321" s="129">
        <f>INDEX('Dist. Plant Gas Additions'!$E$7:$AD$91,MATCH($C321,'Dist. Plant Gas Additions'!$C$7:$C$91,0),MATCH(Calculation!$G321,'Dist. Plant Gas Additions'!$E$5:$AD$5,0))</f>
        <v>11541</v>
      </c>
      <c r="BM321" s="129">
        <f>INDEX('Gen. Plant Additions'!$E$7:$AD$91,MATCH($C321,'Gen. Plant Additions'!$C$7:$C$91,0),MATCH(Calculation!$G321,'Gen. Plant Additions'!$E$5:$AD$5,0))</f>
        <v>257</v>
      </c>
      <c r="BN321" s="393">
        <f t="shared" si="582"/>
        <v>0.98725235129224775</v>
      </c>
      <c r="BO321" s="46">
        <f t="shared" si="576"/>
        <v>253.72385428210768</v>
      </c>
      <c r="BP321" s="46">
        <f t="shared" si="577"/>
        <v>-3.2761457178923195</v>
      </c>
      <c r="BQ321" s="129">
        <f>INDEX('Dist Plant Depreciation'!$D$7:$AC$94,MATCH($C321,'Dist Plant Depreciation'!$C$7:$C$94,0),MATCH(Calculation!$G321,'Dist Plant Depreciation'!$D$5:$AC$5,0))</f>
        <v>50168</v>
      </c>
      <c r="BR321" s="129">
        <f>INDEX('Gen. Plant Depreciation'!$D$7:$AC$94,MATCH($C321,'Gen. Plant Depreciation'!$C$7:$C$94,0),MATCH(Calculation!$G321,'Gen. Plant Depreciation'!$D$5:$AC$5,0))</f>
        <v>224</v>
      </c>
      <c r="BS321" s="129"/>
      <c r="BT321" s="129"/>
      <c r="BU321" s="129"/>
      <c r="BV321" s="129"/>
      <c r="BW321" s="129"/>
      <c r="BX321" s="129"/>
      <c r="BY321" s="129">
        <f>INDEX('Gross Dx Plant'!$D$7:$AC$91,MATCH($C321,'Gross Dx Plant'!$C$7:$C$91,0),MATCH(Calculation!$G321,'Gross Dx Plant'!$D$5:$AC$5,0))</f>
        <v>166586</v>
      </c>
      <c r="BZ321" s="129">
        <f>INDEX('Gross Gen Plant'!$D$7:$AC$91,MATCH($C321,'Gross Gen Plant'!$C$7:$C$91,0),MATCH(Calculation!$G321,'Gross Gen Plant'!$D$5:$AC$5,0))</f>
        <v>2151</v>
      </c>
      <c r="CA321" s="129">
        <f t="shared" si="551"/>
        <v>118345</v>
      </c>
      <c r="CB321" s="129"/>
      <c r="CC321" s="133">
        <v>2016</v>
      </c>
      <c r="CD321" s="129"/>
      <c r="CE321" s="129"/>
      <c r="CF321" s="129"/>
      <c r="CG321" s="137"/>
      <c r="CH321" s="129">
        <f t="shared" si="583"/>
        <v>11798</v>
      </c>
      <c r="CI321" s="46">
        <f t="shared" si="592"/>
        <v>11794.723854282107</v>
      </c>
      <c r="CJ321" s="46">
        <f t="shared" si="584"/>
        <v>17.565882106629228</v>
      </c>
      <c r="CK321" s="443">
        <v>0.7857142857142857</v>
      </c>
      <c r="CL321" s="46">
        <f>+CL303*CK321+CJ304*CK320+CJ305*CK319+CJ306*CK318+CJ307*CK317+CJ308*CK316+CJ309*CK315+CJ310*CK314+CJ311*CK313+CJ312*CK312+CJ313*CK311+CJ314*CK310+CJ315*CK309+CJ316*CK308+CJ317*CK307+CJ318*CK306+CJ319*CK305+CJ320*CK304+CJ321</f>
        <v>355.87838931335392</v>
      </c>
      <c r="CM321" s="134">
        <f t="shared" si="585"/>
        <v>3.5609837264903542E-2</v>
      </c>
      <c r="CN321" s="135">
        <f t="shared" si="586"/>
        <v>1.4897109904908881E-2</v>
      </c>
      <c r="CO321" s="135">
        <f t="shared" si="595"/>
        <v>1.4689059073757484E-2</v>
      </c>
      <c r="CP321" s="134">
        <f>VLOOKUP($H321,RoR!$E:$F,2,FALSE)</f>
        <v>3.6658333333333334E-2</v>
      </c>
      <c r="CQ321" s="135">
        <v>1.0483662879041455E-2</v>
      </c>
      <c r="CR321" s="135">
        <f t="shared" si="593"/>
        <v>2.6174670454291879E-2</v>
      </c>
      <c r="CS321" s="135">
        <f t="shared" si="596"/>
        <v>1.6212882534776141E-2</v>
      </c>
      <c r="CT321" s="135">
        <f t="shared" si="597"/>
        <v>4.301363574220729E-3</v>
      </c>
      <c r="CU321" s="139">
        <f t="shared" si="587"/>
        <v>0.84647404999999998</v>
      </c>
      <c r="CV321" s="335">
        <f t="shared" si="588"/>
        <v>1.3989193348138562</v>
      </c>
      <c r="CW321" s="335">
        <f t="shared" si="589"/>
        <v>0.29302682427824522</v>
      </c>
      <c r="CX321" s="335">
        <f t="shared" si="590"/>
        <v>0.76309497491941802</v>
      </c>
      <c r="CY321" s="335">
        <f t="shared" si="591"/>
        <v>0.31280857135128509</v>
      </c>
      <c r="CZ321" s="336">
        <f>INDEX('State Tax Lookup'!$D$7:$Z$91,MATCH(Calculation!$C321,'State Tax Lookup'!$B$7:$B$91,0),MATCH($H321,'State Tax Lookup'!$D$6:$Z$6,0))</f>
        <v>0.414935</v>
      </c>
      <c r="DA321" s="303">
        <v>0.37</v>
      </c>
      <c r="DB321" s="57">
        <f t="shared" si="594"/>
        <v>15.744031434678861</v>
      </c>
      <c r="DC321" s="56">
        <f t="shared" si="598"/>
        <v>-2.1414004675622256E-2</v>
      </c>
      <c r="DD321" s="303">
        <f>VLOOKUP($H321,RoR!$E:$F,2,FALSE)</f>
        <v>3.6658333333333334E-2</v>
      </c>
      <c r="DE321" s="304">
        <f>HLOOKUP($H321,'GDP-PI'!$D$8:$CQ$11,3,FALSE)</f>
        <v>1.0483662879041455E-2</v>
      </c>
      <c r="DF321" s="303">
        <f>VLOOKUP(H321,'HW Dx Data'!$E:$F,2,FALSE)</f>
        <v>671.45639385971219</v>
      </c>
      <c r="DG321" s="89">
        <f ca="1">VLOOKUP(CC321,'ECI - Input Price'!M$13:N$33,2,FALSE)</f>
        <v>136.94999999999999</v>
      </c>
      <c r="DH321" s="89"/>
      <c r="DI321" s="89"/>
      <c r="DJ321" s="56">
        <f t="shared" ca="1" si="606"/>
        <v>2.5514417868782811E-2</v>
      </c>
      <c r="DK321" s="53">
        <f>HLOOKUP(H321,'GDP-PI'!$8:$9,2,FALSE)</f>
        <v>105.736</v>
      </c>
      <c r="DL321" s="355">
        <f t="shared" si="599"/>
        <v>1.0429090367205095E-2</v>
      </c>
      <c r="EC321"/>
    </row>
    <row r="322" spans="1:133" s="126" customFormat="1" ht="21" customHeight="1" x14ac:dyDescent="0.4">
      <c r="A322" s="233" t="s">
        <v>200</v>
      </c>
      <c r="B322" s="127" t="s">
        <v>200</v>
      </c>
      <c r="C322" s="127">
        <v>4088325</v>
      </c>
      <c r="D322" s="127" t="s">
        <v>201</v>
      </c>
      <c r="E322" s="127"/>
      <c r="F322" s="127"/>
      <c r="G322" s="127" t="s">
        <v>173</v>
      </c>
      <c r="H322" s="128">
        <v>2017</v>
      </c>
      <c r="I322" s="129"/>
      <c r="J322" s="125">
        <f>IFERROR(INDEX('Labor Expenditures'!$E$7:$W$91,MATCH($C322,'Labor Expenditures'!$C$7:$C$91,0),MATCH($G322,'Labor Expenditures'!$E$5:$W$5,0)),"NA")</f>
        <v>5856.3101794986287</v>
      </c>
      <c r="K322" s="125">
        <f t="shared" ca="1" si="600"/>
        <v>41.696761690983479</v>
      </c>
      <c r="L322" s="47"/>
      <c r="M322" s="131">
        <f t="shared" ca="1" si="607"/>
        <v>6.5730741893015282E-2</v>
      </c>
      <c r="N322" s="131"/>
      <c r="O322" s="131"/>
      <c r="P322" s="59">
        <f t="shared" ca="1" si="609"/>
        <v>1.2371953659767292E-4</v>
      </c>
      <c r="Q322" s="61"/>
      <c r="R322" s="387"/>
      <c r="S322" s="49">
        <f t="shared" ca="1" si="614"/>
        <v>166.42437323361182</v>
      </c>
      <c r="T322" s="61">
        <f ca="1">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</f>
        <v>-0.58330754573804211</v>
      </c>
      <c r="U322" s="61"/>
      <c r="V322" s="125">
        <f>IFERROR(INDEX('Non-Labor Expenditures'!$E$7:$AA$91,MATCH($C322,'Non-Labor Expenditures'!$C$7:$C$91,0),MATCH($G322,'Non-Labor Expenditures'!$E$5:$AA$5,0)),"NA")</f>
        <v>8481.0309477762403</v>
      </c>
      <c r="W322" s="125">
        <f t="shared" si="601"/>
        <v>78.709533533574998</v>
      </c>
      <c r="X322" s="131">
        <f t="shared" si="610"/>
        <v>7.2088811506435507E-2</v>
      </c>
      <c r="Y322" s="131">
        <f t="shared" si="611"/>
        <v>1.3568680493473826E-4</v>
      </c>
      <c r="Z322" s="131"/>
      <c r="AA322" s="131"/>
      <c r="AB322" s="131"/>
      <c r="AC322" s="125">
        <f t="shared" si="581"/>
        <v>5010.2095344506788</v>
      </c>
      <c r="AD322" s="129"/>
      <c r="AE322" s="133">
        <v>404.77973576516143</v>
      </c>
      <c r="AF322" s="134">
        <v>5.6671942996331798E-2</v>
      </c>
      <c r="AG322" s="59">
        <f t="shared" si="602"/>
        <v>1.066689090016335E-4</v>
      </c>
      <c r="AH322" s="134"/>
      <c r="AI322" s="134"/>
      <c r="AJ322" s="129">
        <f t="shared" si="569"/>
        <v>19347.550661725549</v>
      </c>
      <c r="AK322" s="134">
        <f t="shared" si="612"/>
        <v>4.4922841538426017E-2</v>
      </c>
      <c r="AL322" s="129"/>
      <c r="AM322" s="129"/>
      <c r="AN322" s="129"/>
      <c r="AO322" s="129"/>
      <c r="AP322" s="133">
        <f t="shared" si="613"/>
        <v>581.58387175656196</v>
      </c>
      <c r="AQ322" s="134">
        <f>+BB322/Outputs!$B$25</f>
        <v>8.9843869843139572E-4</v>
      </c>
      <c r="AR322" s="93">
        <f t="shared" si="603"/>
        <v>0.30269000360257087</v>
      </c>
      <c r="AS322" s="93">
        <f t="shared" si="604"/>
        <v>0.43835165991082836</v>
      </c>
      <c r="AT322" s="93">
        <f t="shared" si="605"/>
        <v>0.25895833648660072</v>
      </c>
      <c r="AU322" s="93">
        <f t="shared" ca="1" si="608"/>
        <v>6.5958212094314073E-2</v>
      </c>
      <c r="AV322" s="132">
        <f t="shared" ca="1" si="616"/>
        <v>149.20911627367389</v>
      </c>
      <c r="AW322" s="134">
        <f t="shared" ca="1" si="617"/>
        <v>6.5958212094314128E-2</v>
      </c>
      <c r="AX322" s="56">
        <f>+AJ322/$AL$22</f>
        <v>1.8822172553451689E-3</v>
      </c>
      <c r="AY322" s="135">
        <f t="shared" ca="1" si="615"/>
        <v>1.2414768493563446E-4</v>
      </c>
      <c r="AZ322" s="93"/>
      <c r="BA322" s="93"/>
      <c r="BB322" s="234">
        <f>IFERROR(INDEX('Total Customers'!$E$7:$AA$91,MATCH($C322,'Total Customers'!$C$7:$C$91,0),MATCH($G322,'Total Customers'!$E$5:$AA$5,0)),"NA")</f>
        <v>33267</v>
      </c>
      <c r="BC322" s="411">
        <f t="shared" si="524"/>
        <v>6.9161494840858453E-4</v>
      </c>
      <c r="BD322" s="92"/>
      <c r="BE322" s="281" t="str">
        <f t="shared" si="518"/>
        <v>COLUMBIA GAS OF MARYLAND, INCORPORATED</v>
      </c>
      <c r="BF322" s="290">
        <f t="shared" si="519"/>
        <v>4088325</v>
      </c>
      <c r="BG322" s="46" t="str">
        <f t="shared" si="520"/>
        <v>PA</v>
      </c>
      <c r="BH322" s="46"/>
      <c r="BI322" s="46" t="str">
        <f t="shared" si="521"/>
        <v>2017 Y</v>
      </c>
      <c r="BJ322" s="129"/>
      <c r="BK322" s="129"/>
      <c r="BL322" s="129">
        <f>INDEX('Dist. Plant Gas Additions'!$E$7:$AD$91,MATCH($C322,'Dist. Plant Gas Additions'!$C$7:$C$91,0),MATCH(Calculation!$G322,'Dist. Plant Gas Additions'!$E$5:$AD$5,0))</f>
        <v>17957</v>
      </c>
      <c r="BM322" s="129">
        <f>INDEX('Gen. Plant Additions'!$E$7:$AD$91,MATCH($C322,'Gen. Plant Additions'!$C$7:$C$91,0),MATCH(Calculation!$G322,'Gen. Plant Additions'!$E$5:$AD$5,0))</f>
        <v>223</v>
      </c>
      <c r="BN322" s="393">
        <f t="shared" si="582"/>
        <v>0.9874507980448981</v>
      </c>
      <c r="BO322" s="46">
        <f t="shared" si="576"/>
        <v>220.20152796401229</v>
      </c>
      <c r="BP322" s="46">
        <f t="shared" si="577"/>
        <v>-2.7984720359877144</v>
      </c>
      <c r="BQ322" s="129">
        <f>INDEX('Dist Plant Depreciation'!$D$7:$AC$94,MATCH($C322,'Dist Plant Depreciation'!$C$7:$C$94,0),MATCH(Calculation!$G322,'Dist Plant Depreciation'!$D$5:$AC$5,0))</f>
        <v>51742</v>
      </c>
      <c r="BR322" s="129">
        <f>INDEX('Gen. Plant Depreciation'!$D$7:$AC$94,MATCH($C322,'Gen. Plant Depreciation'!$C$7:$C$94,0),MATCH(Calculation!$G322,'Gen. Plant Depreciation'!$D$5:$AC$5,0))</f>
        <v>206</v>
      </c>
      <c r="BS322" s="129"/>
      <c r="BT322" s="129"/>
      <c r="BU322" s="129"/>
      <c r="BV322" s="129"/>
      <c r="BW322" s="129"/>
      <c r="BX322" s="129"/>
      <c r="BY322" s="129">
        <f>INDEX('Gross Dx Plant'!$D$7:$AC$91,MATCH($C322,'Gross Dx Plant'!$C$7:$C$91,0),MATCH(Calculation!$G322,'Gross Dx Plant'!$D$5:$AC$5,0))</f>
        <v>182631</v>
      </c>
      <c r="BZ322" s="129">
        <f>INDEX('Gross Gen Plant'!$D$7:$AC$91,MATCH($C322,'Gross Gen Plant'!$C$7:$C$91,0),MATCH(Calculation!$G322,'Gross Gen Plant'!$D$5:$AC$5,0))</f>
        <v>2321</v>
      </c>
      <c r="CA322" s="129">
        <f t="shared" si="551"/>
        <v>133004</v>
      </c>
      <c r="CB322" s="129"/>
      <c r="CC322" s="133">
        <v>2017</v>
      </c>
      <c r="CD322" s="129"/>
      <c r="CE322" s="129"/>
      <c r="CF322" s="129"/>
      <c r="CG322" s="137"/>
      <c r="CH322" s="129">
        <f t="shared" si="583"/>
        <v>18180</v>
      </c>
      <c r="CI322" s="46">
        <f t="shared" si="592"/>
        <v>18177.201527964011</v>
      </c>
      <c r="CJ322" s="46">
        <f t="shared" si="584"/>
        <v>25.51441919062546</v>
      </c>
      <c r="CK322" s="443">
        <v>0.77108433734939763</v>
      </c>
      <c r="CL322" s="46">
        <f>+CL303*CK322+CJ304*CK321+CJ305*CK320+CJ306*CK319+CJ307*CK318+CJ308*CK317+CJ309*CK316+CJ310*CK315+CJ311*CK314+CJ312*CK313+CJ313*CK312+CJ314*CK311+CJ315*CK310+CJ316*CK309+CJ317*CK308+CJ318*CK307+CJ319*CK306+CJ320*CK305+CJ321*CK304+CJ322</f>
        <v>375.98511660217338</v>
      </c>
      <c r="CM322" s="134">
        <f t="shared" si="585"/>
        <v>5.496048966154872E-2</v>
      </c>
      <c r="CN322" s="135">
        <f t="shared" si="586"/>
        <v>1.5195336564942373E-2</v>
      </c>
      <c r="CO322" s="135">
        <f t="shared" si="595"/>
        <v>1.4931576880246064E-2</v>
      </c>
      <c r="CP322" s="134">
        <f>VLOOKUP($H322,RoR!$E:$F,2,FALSE)</f>
        <v>3.7433333333333339E-2</v>
      </c>
      <c r="CQ322" s="135">
        <v>1.9056896421275615E-2</v>
      </c>
      <c r="CR322" s="135">
        <f t="shared" si="593"/>
        <v>1.8376436912057724E-2</v>
      </c>
      <c r="CS322" s="135">
        <f t="shared" si="596"/>
        <v>1.5970364728287563E-2</v>
      </c>
      <c r="CT322" s="135">
        <f t="shared" si="597"/>
        <v>1.3976271617800498E-2</v>
      </c>
      <c r="CU322" s="139">
        <f t="shared" si="587"/>
        <v>0.89827405000000005</v>
      </c>
      <c r="CV322" s="335">
        <f t="shared" si="588"/>
        <v>1.3699568463593395</v>
      </c>
      <c r="CW322" s="335">
        <f t="shared" si="589"/>
        <v>0.30714603739982199</v>
      </c>
      <c r="CX322" s="335">
        <f t="shared" si="590"/>
        <v>0.77007188472689425</v>
      </c>
      <c r="CY322" s="335">
        <f t="shared" si="591"/>
        <v>0.32402839633793828</v>
      </c>
      <c r="CZ322" s="336">
        <f>INDEX('State Tax Lookup'!$D$7:$Z$91,MATCH(Calculation!$C322,'State Tax Lookup'!$B$7:$B$91,0),MATCH($H322,'State Tax Lookup'!$D$6:$Z$6,0))</f>
        <v>0.27493499999999998</v>
      </c>
      <c r="DA322" s="303">
        <v>0.37</v>
      </c>
      <c r="DB322" s="57">
        <f t="shared" si="594"/>
        <v>14.078431522963726</v>
      </c>
      <c r="DC322" s="56">
        <f t="shared" si="598"/>
        <v>-0.11181738991319372</v>
      </c>
      <c r="DD322" s="303">
        <f>VLOOKUP($H322,RoR!$E:$F,2,FALSE)</f>
        <v>3.7433333333333339E-2</v>
      </c>
      <c r="DE322" s="304">
        <f>HLOOKUP($H322,'GDP-PI'!$D$8:$CQ$11,3,FALSE)</f>
        <v>1.9056896421275615E-2</v>
      </c>
      <c r="DF322" s="303">
        <f>VLOOKUP(H322,'HW Dx Data'!$E:$F,2,FALSE)</f>
        <v>712.42858370229726</v>
      </c>
      <c r="DG322" s="89">
        <f ca="1">VLOOKUP(CC322,'ECI - Input Price'!M$13:N$33,2,FALSE)</f>
        <v>140.44999999999999</v>
      </c>
      <c r="DH322" s="89"/>
      <c r="DI322" s="89"/>
      <c r="DJ322" s="56">
        <f t="shared" ca="1" si="606"/>
        <v>2.5235657841165486E-2</v>
      </c>
      <c r="DK322" s="53">
        <f>HLOOKUP(H322,'GDP-PI'!$8:$9,2,FALSE)</f>
        <v>107.751</v>
      </c>
      <c r="DL322" s="355">
        <f t="shared" si="599"/>
        <v>1.8877588227745139E-2</v>
      </c>
      <c r="EC322"/>
    </row>
    <row r="323" spans="1:133" s="126" customFormat="1" ht="21" customHeight="1" x14ac:dyDescent="0.4">
      <c r="A323" s="233" t="s">
        <v>200</v>
      </c>
      <c r="B323" s="127" t="s">
        <v>200</v>
      </c>
      <c r="C323" s="127">
        <v>4088325</v>
      </c>
      <c r="D323" s="127" t="s">
        <v>201</v>
      </c>
      <c r="E323" s="127"/>
      <c r="F323" s="127"/>
      <c r="G323" s="127" t="s">
        <v>174</v>
      </c>
      <c r="H323" s="128">
        <v>2018</v>
      </c>
      <c r="I323" s="129"/>
      <c r="J323" s="125">
        <f>IFERROR(INDEX('Labor Expenditures'!$E$7:$W$91,MATCH($C323,'Labor Expenditures'!$C$7:$C$91,0),MATCH($G323,'Labor Expenditures'!$E$5:$W$5,0)),"NA")</f>
        <v>5458.8267704417294</v>
      </c>
      <c r="K323" s="125">
        <f t="shared" ca="1" si="600"/>
        <v>37.790424163667218</v>
      </c>
      <c r="L323" s="47"/>
      <c r="M323" s="131">
        <f t="shared" ca="1" si="607"/>
        <v>-9.8367726969891114E-2</v>
      </c>
      <c r="N323" s="131"/>
      <c r="O323" s="131"/>
      <c r="P323" s="59">
        <f t="shared" ca="1" si="609"/>
        <v>-1.669246817244334E-4</v>
      </c>
      <c r="Q323" s="61"/>
      <c r="R323" s="387"/>
      <c r="S323" s="49">
        <f t="shared" ca="1" si="614"/>
        <v>114.78414777070635</v>
      </c>
      <c r="T323" s="61">
        <f ca="1">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</f>
        <v>-0.37148760269081676</v>
      </c>
      <c r="U323" s="61"/>
      <c r="V323" s="125">
        <f>IFERROR(INDEX('Non-Labor Expenditures'!$E$7:$AA$91,MATCH($C323,'Non-Labor Expenditures'!$C$7:$C$91,0),MATCH($G323,'Non-Labor Expenditures'!$E$5:$AA$5,0)),"NA")</f>
        <v>7905.4007318016202</v>
      </c>
      <c r="W323" s="125">
        <f t="shared" si="601"/>
        <v>71.657518281046578</v>
      </c>
      <c r="X323" s="131">
        <f t="shared" si="610"/>
        <v>-9.3866206324407855E-2</v>
      </c>
      <c r="Y323" s="131">
        <f t="shared" si="611"/>
        <v>-1.592858460598332E-4</v>
      </c>
      <c r="Z323" s="131"/>
      <c r="AA323" s="131"/>
      <c r="AB323" s="131"/>
      <c r="AC323" s="125">
        <f t="shared" si="581"/>
        <v>5519.2938906154159</v>
      </c>
      <c r="AD323" s="129"/>
      <c r="AE323" s="133">
        <v>430.50754799281628</v>
      </c>
      <c r="AF323" s="134">
        <v>6.1621799946894651E-2</v>
      </c>
      <c r="AG323" s="59">
        <f t="shared" si="602"/>
        <v>1.0456884244738672E-4</v>
      </c>
      <c r="AH323" s="134"/>
      <c r="AI323" s="134"/>
      <c r="AJ323" s="129">
        <f t="shared" si="569"/>
        <v>18883.521392858765</v>
      </c>
      <c r="AK323" s="134">
        <f t="shared" si="612"/>
        <v>-2.4276172896427421E-2</v>
      </c>
      <c r="AL323" s="129"/>
      <c r="AM323" s="129"/>
      <c r="AN323" s="129"/>
      <c r="AO323" s="129"/>
      <c r="AP323" s="133">
        <f t="shared" si="613"/>
        <v>564.09133088955571</v>
      </c>
      <c r="AQ323" s="134">
        <f>+BB323/Outputs!$B$26</f>
        <v>8.9616529275714479E-4</v>
      </c>
      <c r="AR323" s="93">
        <f t="shared" si="603"/>
        <v>0.28907885647356585</v>
      </c>
      <c r="AS323" s="93">
        <f t="shared" si="604"/>
        <v>0.41864017665641684</v>
      </c>
      <c r="AT323" s="93">
        <f t="shared" si="605"/>
        <v>0.29228096687001731</v>
      </c>
      <c r="AU323" s="93">
        <f t="shared" ca="1" si="608"/>
        <v>-5.2342586066250141E-2</v>
      </c>
      <c r="AV323" s="132">
        <f t="shared" ca="1" si="616"/>
        <v>141.60000277637741</v>
      </c>
      <c r="AW323" s="134">
        <f t="shared" ca="1" si="617"/>
        <v>-5.234258606625012E-2</v>
      </c>
      <c r="AX323" s="56">
        <f>+AJ323/$AL$23</f>
        <v>1.696945602652042E-3</v>
      </c>
      <c r="AY323" s="135">
        <f t="shared" ca="1" si="615"/>
        <v>-8.8822521256559195E-5</v>
      </c>
      <c r="AZ323" s="93"/>
      <c r="BA323" s="93"/>
      <c r="BB323" s="234">
        <f>IFERROR(INDEX('Total Customers'!$E$7:$AA$91,MATCH($C323,'Total Customers'!$C$7:$C$91,0),MATCH($G323,'Total Customers'!$E$5:$AA$5,0)),"NA")</f>
        <v>33476</v>
      </c>
      <c r="BC323" s="411">
        <f t="shared" si="524"/>
        <v>6.2628495314391488E-3</v>
      </c>
      <c r="BD323" s="92"/>
      <c r="BE323" s="281" t="str">
        <f t="shared" ref="BE323:BE386" si="618">A323</f>
        <v>COLUMBIA GAS OF MARYLAND, INCORPORATED</v>
      </c>
      <c r="BF323" s="290">
        <f t="shared" ref="BF323:BF386" si="619">C323</f>
        <v>4088325</v>
      </c>
      <c r="BG323" s="46" t="str">
        <f t="shared" ref="BG323:BG386" si="620">D323</f>
        <v>PA</v>
      </c>
      <c r="BH323" s="46"/>
      <c r="BI323" s="46" t="str">
        <f t="shared" ref="BI323:BI386" si="621">G323</f>
        <v>2018 Y</v>
      </c>
      <c r="BJ323" s="129"/>
      <c r="BK323" s="129"/>
      <c r="BL323" s="129">
        <f>INDEX('Dist. Plant Gas Additions'!$E$7:$AD$91,MATCH($C323,'Dist. Plant Gas Additions'!$C$7:$C$91,0),MATCH(Calculation!$G323,'Dist. Plant Gas Additions'!$E$5:$AD$5,0))</f>
        <v>21894</v>
      </c>
      <c r="BM323" s="129">
        <f>INDEX('Gen. Plant Additions'!$E$7:$AD$91,MATCH($C323,'Gen. Plant Additions'!$C$7:$C$91,0),MATCH(Calculation!$G323,'Gen. Plant Additions'!$E$5:$AD$5,0))</f>
        <v>153</v>
      </c>
      <c r="BN323" s="393">
        <f t="shared" si="582"/>
        <v>0.98858366036389578</v>
      </c>
      <c r="BO323" s="46">
        <f t="shared" si="576"/>
        <v>151.25330003567606</v>
      </c>
      <c r="BP323" s="46">
        <f t="shared" si="577"/>
        <v>-1.7466999643239376</v>
      </c>
      <c r="BQ323" s="129">
        <f>INDEX('Dist Plant Depreciation'!$D$7:$AC$94,MATCH($C323,'Dist Plant Depreciation'!$C$7:$C$94,0),MATCH(Calculation!$G323,'Dist Plant Depreciation'!$D$5:$AC$5,0))</f>
        <v>54223</v>
      </c>
      <c r="BR323" s="129">
        <f>INDEX('Gen. Plant Depreciation'!$D$7:$AC$94,MATCH($C323,'Gen. Plant Depreciation'!$C$7:$C$94,0),MATCH(Calculation!$G323,'Gen. Plant Depreciation'!$D$5:$AC$5,0))</f>
        <v>988</v>
      </c>
      <c r="BS323" s="129"/>
      <c r="BT323" s="129"/>
      <c r="BU323" s="129"/>
      <c r="BV323" s="129"/>
      <c r="BW323" s="129"/>
      <c r="BX323" s="129"/>
      <c r="BY323" s="129">
        <f>INDEX('Gross Dx Plant'!$D$7:$AC$91,MATCH($C323,'Gross Dx Plant'!$C$7:$C$91,0),MATCH(Calculation!$G323,'Gross Dx Plant'!$D$5:$AC$5,0))</f>
        <v>202283</v>
      </c>
      <c r="BZ323" s="129">
        <f>INDEX('Gross Gen Plant'!$D$7:$AC$91,MATCH($C323,'Gross Gen Plant'!$C$7:$C$91,0),MATCH(Calculation!$G323,'Gross Gen Plant'!$D$5:$AC$5,0))</f>
        <v>2336</v>
      </c>
      <c r="CA323" s="129">
        <f t="shared" si="551"/>
        <v>149408</v>
      </c>
      <c r="CB323" s="129"/>
      <c r="CC323" s="133">
        <v>2018</v>
      </c>
      <c r="CD323" s="129"/>
      <c r="CE323" s="129"/>
      <c r="CF323" s="129"/>
      <c r="CG323" s="137"/>
      <c r="CH323" s="129">
        <f t="shared" si="583"/>
        <v>22047</v>
      </c>
      <c r="CI323" s="46">
        <f t="shared" si="592"/>
        <v>22045.253300035674</v>
      </c>
      <c r="CJ323" s="46">
        <f t="shared" si="584"/>
        <v>29.193724634687495</v>
      </c>
      <c r="CK323" s="443">
        <v>0.75609756097560976</v>
      </c>
      <c r="CL323" s="46">
        <f>+CL303*CK323++CJ304*CK322+CJ305*CK321+CJ306*CK320+CJ307*CK319+CJ308*CK318+CJ309*CK317+CJ310*CK316+CJ311*CK315+CJ312*CK314+CJ313*CK313+CJ314*CK312+CJ315*CK311+CJ316*CK310+CJ317*CK309+CJ318*CK308+CJ319*CK307+CJ320*CK306+CJ321*CK305+CJ322*CK304+CJ323</f>
        <v>399.39324914513219</v>
      </c>
      <c r="CM323" s="134">
        <f t="shared" si="585"/>
        <v>6.0396959246371382E-2</v>
      </c>
      <c r="CN323" s="135">
        <f t="shared" si="586"/>
        <v>1.5387822113848112E-2</v>
      </c>
      <c r="CO323" s="135">
        <f t="shared" si="595"/>
        <v>1.5160089527899788E-2</v>
      </c>
      <c r="CP323" s="134">
        <f>VLOOKUP($H323,RoR!$E:$F,2,FALSE)</f>
        <v>3.9299999999999995E-2</v>
      </c>
      <c r="CQ323" s="135">
        <v>2.386056741932796E-2</v>
      </c>
      <c r="CR323" s="135">
        <f t="shared" si="593"/>
        <v>1.5439432580672034E-2</v>
      </c>
      <c r="CS323" s="135">
        <f t="shared" si="596"/>
        <v>1.5741852080633837E-2</v>
      </c>
      <c r="CT323" s="135">
        <f t="shared" si="597"/>
        <v>3.8270792163076606E-2</v>
      </c>
      <c r="CU323" s="139">
        <f t="shared" si="587"/>
        <v>0.89827405000000005</v>
      </c>
      <c r="CV323" s="335">
        <f t="shared" si="588"/>
        <v>1.3048868010700074</v>
      </c>
      <c r="CW323" s="335">
        <f t="shared" si="589"/>
        <v>0.33886768447837151</v>
      </c>
      <c r="CX323" s="335">
        <f t="shared" si="590"/>
        <v>0.78602506232557801</v>
      </c>
      <c r="CY323" s="335">
        <f t="shared" si="591"/>
        <v>0.34756768162358759</v>
      </c>
      <c r="CZ323" s="336">
        <f>INDEX('State Tax Lookup'!$D$7:$Z$91,MATCH(Calculation!$C323,'State Tax Lookup'!$B$7:$B$91,0),MATCH($H323,'State Tax Lookup'!$D$6:$Z$6,0))</f>
        <v>0.27493499999999998</v>
      </c>
      <c r="DA323" s="303">
        <v>0.37</v>
      </c>
      <c r="DB323" s="57">
        <f t="shared" si="594"/>
        <v>14.67955418154313</v>
      </c>
      <c r="DC323" s="56">
        <f t="shared" si="598"/>
        <v>4.1811706612576154E-2</v>
      </c>
      <c r="DD323" s="303">
        <f>VLOOKUP($H323,RoR!$E:$F,2,FALSE)</f>
        <v>3.9299999999999995E-2</v>
      </c>
      <c r="DE323" s="304">
        <f>HLOOKUP($H323,'GDP-PI'!$D$8:$CQ$11,3,FALSE)</f>
        <v>2.386056741932796E-2</v>
      </c>
      <c r="DF323" s="303">
        <f>VLOOKUP(H323,'HW Dx Data'!$E:$F,2,FALSE)</f>
        <v>755.13671434174842</v>
      </c>
      <c r="DG323" s="89">
        <f ca="1">VLOOKUP(CC323,'ECI - Input Price'!M$13:N$33,2,FALSE)</f>
        <v>144.44999999999999</v>
      </c>
      <c r="DH323" s="89"/>
      <c r="DI323" s="89"/>
      <c r="DJ323" s="56">
        <f t="shared" ca="1" si="606"/>
        <v>2.80818733619915E-2</v>
      </c>
      <c r="DK323" s="53">
        <f>HLOOKUP(H323,'GDP-PI'!$8:$9,2,FALSE)</f>
        <v>110.322</v>
      </c>
      <c r="DL323" s="355">
        <f t="shared" si="599"/>
        <v>2.3580352716508712E-2</v>
      </c>
      <c r="EC323"/>
    </row>
    <row r="324" spans="1:133" s="126" customFormat="1" ht="21" customHeight="1" x14ac:dyDescent="0.4">
      <c r="A324" s="233" t="s">
        <v>200</v>
      </c>
      <c r="B324" s="127" t="s">
        <v>200</v>
      </c>
      <c r="C324" s="127">
        <v>4088325</v>
      </c>
      <c r="D324" s="127" t="s">
        <v>201</v>
      </c>
      <c r="E324" s="127"/>
      <c r="F324" s="127"/>
      <c r="G324" s="127" t="s">
        <v>175</v>
      </c>
      <c r="H324" s="128">
        <v>2019</v>
      </c>
      <c r="I324" s="129"/>
      <c r="J324" s="125">
        <f>IFERROR(INDEX('Labor Expenditures'!$E$7:$W$91,MATCH($C324,'Labor Expenditures'!$C$7:$C$91,0),MATCH($G324,'Labor Expenditures'!$E$5:$W$5,0)),"NA")</f>
        <v>4247.7567483600315</v>
      </c>
      <c r="K324" s="125">
        <f t="shared" ca="1" si="600"/>
        <v>28.379868036479245</v>
      </c>
      <c r="L324" s="47"/>
      <c r="M324" s="131">
        <f t="shared" ca="1" si="607"/>
        <v>-0.28637571968513625</v>
      </c>
      <c r="N324" s="131"/>
      <c r="O324" s="131"/>
      <c r="P324" s="59">
        <f t="shared" ca="1" si="609"/>
        <v>-4.1015686657642104E-4</v>
      </c>
      <c r="Q324" s="61"/>
      <c r="R324" s="387"/>
      <c r="S324" s="49">
        <f t="shared" ca="1" si="614"/>
        <v>115.47278224838888</v>
      </c>
      <c r="T324" s="61">
        <f ca="1">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</f>
        <v>5.9814619328191591E-3</v>
      </c>
      <c r="U324" s="61"/>
      <c r="V324" s="125">
        <f>IFERROR(INDEX('Non-Labor Expenditures'!$E$7:$AA$91,MATCH($C324,'Non-Labor Expenditures'!$C$7:$C$91,0),MATCH($G324,'Non-Labor Expenditures'!$E$5:$AA$5,0)),"NA")</f>
        <v>6151.5451431486517</v>
      </c>
      <c r="W324" s="125">
        <f t="shared" si="601"/>
        <v>54.769005352202242</v>
      </c>
      <c r="X324" s="131">
        <f t="shared" si="610"/>
        <v>-0.26877364123736652</v>
      </c>
      <c r="Y324" s="131">
        <f t="shared" si="611"/>
        <v>-3.8494658216645989E-4</v>
      </c>
      <c r="Z324" s="131"/>
      <c r="AA324" s="131"/>
      <c r="AB324" s="131"/>
      <c r="AC324" s="125">
        <f t="shared" si="581"/>
        <v>5918.2945912642544</v>
      </c>
      <c r="AD324" s="129"/>
      <c r="AE324" s="133">
        <v>462.23009867864704</v>
      </c>
      <c r="AF324" s="134">
        <v>7.1097959385996751E-2</v>
      </c>
      <c r="AG324" s="59">
        <f t="shared" si="602"/>
        <v>1.0182887108516144E-4</v>
      </c>
      <c r="AH324" s="134"/>
      <c r="AI324" s="134"/>
      <c r="AJ324" s="129">
        <f t="shared" si="569"/>
        <v>16317.596482772937</v>
      </c>
      <c r="AK324" s="134">
        <f t="shared" si="612"/>
        <v>-0.14604559342782489</v>
      </c>
      <c r="AL324" s="129"/>
      <c r="AM324" s="129"/>
      <c r="AN324" s="129"/>
      <c r="AO324" s="129"/>
      <c r="AP324" s="133">
        <f t="shared" si="613"/>
        <v>484.18730847075568</v>
      </c>
      <c r="AQ324" s="134">
        <f>+BB324/Outputs!$B$27</f>
        <v>8.9474811450705001E-4</v>
      </c>
      <c r="AR324" s="93">
        <f t="shared" si="603"/>
        <v>0.26031755061749068</v>
      </c>
      <c r="AS324" s="93">
        <f t="shared" si="604"/>
        <v>0.37698843390587916</v>
      </c>
      <c r="AT324" s="93">
        <f t="shared" si="605"/>
        <v>0.36269401547663022</v>
      </c>
      <c r="AU324" s="93">
        <f t="shared" ca="1" si="608"/>
        <v>-0.16230520275642923</v>
      </c>
      <c r="AV324" s="132">
        <f t="shared" ca="1" si="616"/>
        <v>120.38572926017889</v>
      </c>
      <c r="AW324" s="134">
        <f t="shared" ca="1" si="617"/>
        <v>-0.16230520275642923</v>
      </c>
      <c r="AX324" s="56">
        <f>+AJ324/$AL$24</f>
        <v>1.4322333856633496E-3</v>
      </c>
      <c r="AY324" s="135">
        <f t="shared" ca="1" si="615"/>
        <v>-2.3245893005461706E-4</v>
      </c>
      <c r="AZ324" s="93"/>
      <c r="BA324" s="93"/>
      <c r="BB324" s="234">
        <f>IFERROR(INDEX('Total Customers'!$E$7:$AA$91,MATCH($C324,'Total Customers'!$C$7:$C$91,0),MATCH($G324,'Total Customers'!$E$5:$AA$5,0)),"NA")</f>
        <v>33701</v>
      </c>
      <c r="BC324" s="411">
        <f t="shared" ref="BC324:BC387" si="622">LN(BB324/BB323)</f>
        <v>6.6987463379405924E-3</v>
      </c>
      <c r="BD324" s="92"/>
      <c r="BE324" s="281" t="str">
        <f t="shared" si="618"/>
        <v>COLUMBIA GAS OF MARYLAND, INCORPORATED</v>
      </c>
      <c r="BF324" s="290">
        <f t="shared" si="619"/>
        <v>4088325</v>
      </c>
      <c r="BG324" s="46" t="str">
        <f t="shared" si="620"/>
        <v>PA</v>
      </c>
      <c r="BH324" s="46"/>
      <c r="BI324" s="46" t="str">
        <f t="shared" si="621"/>
        <v>2019 Y</v>
      </c>
      <c r="BJ324" s="129"/>
      <c r="BK324" s="129"/>
      <c r="BL324" s="129">
        <f>INDEX('Dist. Plant Gas Additions'!$E$7:$AD$91,MATCH($C324,'Dist. Plant Gas Additions'!$C$7:$C$91,0),MATCH(Calculation!$G324,'Dist. Plant Gas Additions'!$E$5:$AD$5,0))</f>
        <v>26770</v>
      </c>
      <c r="BM324" s="129">
        <f>INDEX('Gen. Plant Additions'!$E$7:$AD$91,MATCH($C324,'Gen. Plant Additions'!$C$7:$C$91,0),MATCH(Calculation!$G324,'Gen. Plant Additions'!$E$5:$AD$5,0))</f>
        <v>669</v>
      </c>
      <c r="BN324" s="393">
        <f t="shared" si="582"/>
        <v>0.987208999305073</v>
      </c>
      <c r="BO324" s="46">
        <f t="shared" si="576"/>
        <v>660.4428205350938</v>
      </c>
      <c r="BP324" s="46">
        <f t="shared" si="577"/>
        <v>-8.5571794649061985</v>
      </c>
      <c r="BQ324" s="129">
        <f>INDEX('Dist Plant Depreciation'!$D$7:$AC$94,MATCH($C324,'Dist Plant Depreciation'!$C$7:$C$94,0),MATCH(Calculation!$G324,'Dist Plant Depreciation'!$D$5:$AC$5,0))</f>
        <v>57307</v>
      </c>
      <c r="BR324" s="129">
        <f>INDEX('Gen. Plant Depreciation'!$D$7:$AC$94,MATCH($C324,'Gen. Plant Depreciation'!$C$7:$C$94,0),MATCH(Calculation!$G324,'Gen. Plant Depreciation'!$D$5:$AC$5,0))</f>
        <v>1055</v>
      </c>
      <c r="BS324" s="129"/>
      <c r="BT324" s="129"/>
      <c r="BU324" s="129"/>
      <c r="BV324" s="129"/>
      <c r="BW324" s="129"/>
      <c r="BX324" s="129"/>
      <c r="BY324" s="129">
        <f>INDEX('Gross Dx Plant'!$D$7:$AC$91,MATCH($C324,'Gross Dx Plant'!$C$7:$C$91,0),MATCH(Calculation!$G324,'Gross Dx Plant'!$D$5:$AC$5,0))</f>
        <v>227295</v>
      </c>
      <c r="BZ324" s="129">
        <f>INDEX('Gross Gen Plant'!$D$7:$AC$91,MATCH($C324,'Gross Gen Plant'!$C$7:$C$91,0),MATCH(Calculation!$G324,'Gross Gen Plant'!$D$5:$AC$5,0))</f>
        <v>2945</v>
      </c>
      <c r="CA324" s="129">
        <f t="shared" si="551"/>
        <v>171878</v>
      </c>
      <c r="CB324" s="129"/>
      <c r="CC324" s="133">
        <v>2019</v>
      </c>
      <c r="CD324" s="129"/>
      <c r="CE324" s="129"/>
      <c r="CF324" s="129"/>
      <c r="CG324" s="137"/>
      <c r="CH324" s="129">
        <f t="shared" si="583"/>
        <v>27439</v>
      </c>
      <c r="CI324" s="46">
        <f t="shared" si="592"/>
        <v>27430.442820535092</v>
      </c>
      <c r="CJ324" s="46">
        <f t="shared" si="584"/>
        <v>35.460955757007291</v>
      </c>
      <c r="CK324" s="443">
        <v>0.7407407407407407</v>
      </c>
      <c r="CL324" s="46">
        <f>CL303*CK324+CJ304*CK323+CJ305*CK322+CJ306*CK321+CJ307*CK320+CJ308*CK319+CJ309*CK318+CJ310*CK317+CJ311*CK316+CJ312*CK315+CJ313*CK314+CJ314*CK313+CJ315*CK312+CJ316*CK311+CJ317*CK310+CJ318*CK309+CJ319*CK308+CJ320*CK307+CJ321*CK306+CJ322*CK305+CJ323*CK304+CJ324</f>
        <v>428.64480508819832</v>
      </c>
      <c r="CM324" s="134">
        <f t="shared" si="585"/>
        <v>7.0682097464356081E-2</v>
      </c>
      <c r="CN324" s="135">
        <f t="shared" si="586"/>
        <v>1.554708254892103E-2</v>
      </c>
      <c r="CO324" s="135">
        <f t="shared" si="595"/>
        <v>1.537674707590384E-2</v>
      </c>
      <c r="CP324" s="134">
        <f>VLOOKUP($H324,RoR!$E:$F,2,FALSE)</f>
        <v>3.3875000000000009E-2</v>
      </c>
      <c r="CQ324" s="135">
        <v>1.8092492884465461E-2</v>
      </c>
      <c r="CR324" s="135">
        <f t="shared" si="593"/>
        <v>1.5782507115534548E-2</v>
      </c>
      <c r="CS324" s="135">
        <f t="shared" si="596"/>
        <v>1.5525194532629785E-2</v>
      </c>
      <c r="CT324" s="135">
        <f t="shared" si="597"/>
        <v>4.8445665544254078E-2</v>
      </c>
      <c r="CU324" s="139">
        <f t="shared" si="587"/>
        <v>0.89827405000000005</v>
      </c>
      <c r="CV324" s="335">
        <f t="shared" si="588"/>
        <v>1.513861292459078</v>
      </c>
      <c r="CW324" s="335">
        <f t="shared" si="589"/>
        <v>0.23699261992619944</v>
      </c>
      <c r="CX324" s="335">
        <f t="shared" si="590"/>
        <v>0.73619765810468829</v>
      </c>
      <c r="CY324" s="335">
        <f t="shared" si="591"/>
        <v>0.26412854465362851</v>
      </c>
      <c r="CZ324" s="336">
        <f>INDEX('State Tax Lookup'!$D$7:$Z$91,MATCH(Calculation!$C324,'State Tax Lookup'!$B$7:$B$91,0),MATCH($H324,'State Tax Lookup'!$D$6:$Z$6,0))</f>
        <v>0.27493499999999998</v>
      </c>
      <c r="DA324" s="303">
        <v>0.37</v>
      </c>
      <c r="DB324" s="57">
        <f t="shared" si="594"/>
        <v>14.818213888021063</v>
      </c>
      <c r="DC324" s="56">
        <f t="shared" si="598"/>
        <v>9.4014386078026865E-3</v>
      </c>
      <c r="DD324" s="303">
        <f>VLOOKUP($H324,RoR!$E:$F,2,FALSE)</f>
        <v>3.3875000000000009E-2</v>
      </c>
      <c r="DE324" s="304">
        <f>HLOOKUP($H324,'GDP-PI'!$D$8:$CQ$11,3,FALSE)</f>
        <v>1.8092492884465461E-2</v>
      </c>
      <c r="DF324" s="303">
        <f>VLOOKUP(H324,'HW Dx Data'!$E:$F,2,FALSE)</f>
        <v>773.53929793938721</v>
      </c>
      <c r="DG324" s="89">
        <f ca="1">VLOOKUP(CC324,'ECI - Input Price'!M$13:N$33,2,FALSE)</f>
        <v>149.67500000000001</v>
      </c>
      <c r="DH324" s="89"/>
      <c r="DI324" s="89"/>
      <c r="DJ324" s="56">
        <f t="shared" ca="1" si="606"/>
        <v>3.5532849899171604E-2</v>
      </c>
      <c r="DK324" s="53">
        <f>HLOOKUP(H324,'GDP-PI'!$8:$9,2,FALSE)</f>
        <v>112.318</v>
      </c>
      <c r="DL324" s="355">
        <f t="shared" si="599"/>
        <v>1.7930771451401852E-2</v>
      </c>
      <c r="EC324"/>
    </row>
    <row r="325" spans="1:133" s="126" customFormat="1" ht="21" customHeight="1" x14ac:dyDescent="0.4">
      <c r="A325" s="233" t="s">
        <v>200</v>
      </c>
      <c r="B325" s="126" t="s">
        <v>200</v>
      </c>
      <c r="C325" s="126">
        <v>4088325</v>
      </c>
      <c r="D325" s="126" t="s">
        <v>201</v>
      </c>
      <c r="G325" s="127" t="s">
        <v>176</v>
      </c>
      <c r="H325" s="128">
        <v>2020</v>
      </c>
      <c r="I325" s="129"/>
      <c r="J325" s="125">
        <f>IFERROR(INDEX('Labor Expenditures'!$E$7:$W$91,MATCH($C325,'Labor Expenditures'!$C$7:$C$91,0),MATCH($G325,'Labor Expenditures'!$E$5:$W$5,0)),"NA")</f>
        <v>4734.0903339342522</v>
      </c>
      <c r="K325" s="125">
        <f t="shared" ca="1" si="600"/>
        <v>30.911461534014052</v>
      </c>
      <c r="L325" s="47"/>
      <c r="M325" s="131">
        <f t="shared" ca="1" si="607"/>
        <v>8.5447016715805027E-2</v>
      </c>
      <c r="N325" s="131"/>
      <c r="O325" s="131"/>
      <c r="P325" s="59">
        <f t="shared" ca="1" si="609"/>
        <v>1.3407473925308394E-4</v>
      </c>
      <c r="Q325" s="61"/>
      <c r="R325" s="387"/>
      <c r="S325" s="49">
        <f t="shared" ca="1" si="614"/>
        <v>114.45141463437029</v>
      </c>
      <c r="T325" s="61">
        <f ca="1">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</f>
        <v>-8.8844440575416919E-3</v>
      </c>
      <c r="U325" s="61"/>
      <c r="V325" s="125">
        <f>IFERROR(INDEX('Non-Labor Expenditures'!$E$7:$AA$91,MATCH($C325,'Non-Labor Expenditures'!$C$7:$C$91,0),MATCH($G325,'Non-Labor Expenditures'!$E$5:$AA$5,0)),"NA")</f>
        <v>6855.8470096442315</v>
      </c>
      <c r="W325" s="125">
        <f t="shared" si="601"/>
        <v>60.338549498290234</v>
      </c>
      <c r="X325" s="131">
        <f t="shared" si="610"/>
        <v>9.6846756451780577E-2</v>
      </c>
      <c r="Y325" s="131">
        <f t="shared" si="611"/>
        <v>1.5196204756880228E-4</v>
      </c>
      <c r="Z325" s="131"/>
      <c r="AA325" s="131"/>
      <c r="AB325" s="131"/>
      <c r="AC325" s="125">
        <f t="shared" si="581"/>
        <v>6614.8872678073103</v>
      </c>
      <c r="AD325" s="129"/>
      <c r="AE325" s="133">
        <v>484.53788702353671</v>
      </c>
      <c r="AF325" s="134">
        <v>4.7132810280058141E-2</v>
      </c>
      <c r="AG325" s="59">
        <f t="shared" si="602"/>
        <v>7.3955996258848834E-5</v>
      </c>
      <c r="AH325" s="134"/>
      <c r="AI325" s="134"/>
      <c r="AJ325" s="129">
        <f t="shared" si="569"/>
        <v>18204.824611385793</v>
      </c>
      <c r="AK325" s="134">
        <f t="shared" si="612"/>
        <v>0.10944258314053543</v>
      </c>
      <c r="AL325" s="129"/>
      <c r="AM325" s="129"/>
      <c r="AN325" s="129"/>
      <c r="AO325" s="129"/>
      <c r="AP325" s="133">
        <f t="shared" si="613"/>
        <v>535.84578240377323</v>
      </c>
      <c r="AQ325" s="134">
        <f>+BB325/Outputs!$B$28</f>
        <v>8.9562664827504612E-4</v>
      </c>
      <c r="AR325" s="93">
        <f t="shared" si="603"/>
        <v>0.26004591832065349</v>
      </c>
      <c r="AS325" s="93">
        <f t="shared" si="604"/>
        <v>0.37659505960614409</v>
      </c>
      <c r="AT325" s="93">
        <f t="shared" si="605"/>
        <v>0.36335902207320248</v>
      </c>
      <c r="AU325" s="93">
        <f t="shared" ca="1" si="608"/>
        <v>7.5833271581494485E-2</v>
      </c>
      <c r="AV325" s="132">
        <f t="shared" ca="1" si="616"/>
        <v>129.87004150254572</v>
      </c>
      <c r="AW325" s="134">
        <f t="shared" ca="1" si="617"/>
        <v>7.583327158149443E-2</v>
      </c>
      <c r="AX325" s="56">
        <f>+AJ325/$AL$25</f>
        <v>1.569097955742723E-3</v>
      </c>
      <c r="AY325" s="135">
        <f t="shared" ca="1" si="615"/>
        <v>1.1898983141580564E-4</v>
      </c>
      <c r="AZ325" s="93"/>
      <c r="BA325" s="93"/>
      <c r="BB325" s="234">
        <f>IFERROR(INDEX('Total Customers'!$E$7:$AA$91,MATCH($C325,'Total Customers'!$C$7:$C$91,0),MATCH($G325,'Total Customers'!$E$5:$AA$5,0)),"NA")</f>
        <v>33974</v>
      </c>
      <c r="BC325" s="411">
        <f t="shared" si="622"/>
        <v>8.0680156885511948E-3</v>
      </c>
      <c r="BD325" s="92"/>
      <c r="BE325" s="281" t="str">
        <f t="shared" si="618"/>
        <v>COLUMBIA GAS OF MARYLAND, INCORPORATED</v>
      </c>
      <c r="BF325" s="290">
        <f t="shared" si="619"/>
        <v>4088325</v>
      </c>
      <c r="BG325" s="46" t="str">
        <f t="shared" si="620"/>
        <v>PA</v>
      </c>
      <c r="BH325" s="46"/>
      <c r="BI325" s="46" t="str">
        <f t="shared" si="621"/>
        <v>2020 Y</v>
      </c>
      <c r="BJ325" s="129"/>
      <c r="BK325" s="129"/>
      <c r="BL325" s="129">
        <f>INDEX('Dist. Plant Gas Additions'!$E$7:$AD$91,MATCH($C325,'Dist. Plant Gas Additions'!$C$7:$C$91,0),MATCH(Calculation!$G325,'Dist. Plant Gas Additions'!$E$5:$AD$5,0))</f>
        <v>21186</v>
      </c>
      <c r="BM325" s="129">
        <f>INDEX('Gen. Plant Additions'!$E$7:$AD$91,MATCH($C325,'Gen. Plant Additions'!$C$7:$C$91,0),MATCH(Calculation!$G325,'Gen. Plant Additions'!$E$5:$AD$5,0))</f>
        <v>265</v>
      </c>
      <c r="BN325" s="393">
        <f t="shared" si="582"/>
        <v>0.98722489655949641</v>
      </c>
      <c r="BO325" s="46">
        <f t="shared" si="576"/>
        <v>261.61459758826658</v>
      </c>
      <c r="BP325" s="46">
        <f t="shared" si="577"/>
        <v>-3.3854024117334234</v>
      </c>
      <c r="BQ325" s="129">
        <f>INDEX('Dist Plant Depreciation'!$D$7:$AC$94,MATCH($C325,'Dist Plant Depreciation'!$C$7:$C$94,0),MATCH(Calculation!$G325,'Dist Plant Depreciation'!$D$5:$AC$5,0))</f>
        <v>59959</v>
      </c>
      <c r="BR325" s="129">
        <f>INDEX('Gen. Plant Depreciation'!$D$7:$AC$94,MATCH($C325,'Gen. Plant Depreciation'!$C$7:$C$94,0),MATCH(Calculation!$G325,'Gen. Plant Depreciation'!$D$5:$AC$5,0))</f>
        <v>1106</v>
      </c>
      <c r="BS325" s="129"/>
      <c r="BT325" s="129"/>
      <c r="BU325" s="129"/>
      <c r="BV325" s="129"/>
      <c r="BW325" s="129"/>
      <c r="BX325" s="129"/>
      <c r="BY325" s="129">
        <f>INDEX('Gross Dx Plant'!$D$7:$AC$91,MATCH($C325,'Gross Dx Plant'!$C$7:$C$91,0),MATCH(Calculation!$G325,'Gross Dx Plant'!$D$5:$AC$5,0))</f>
        <v>245278</v>
      </c>
      <c r="BZ325" s="129">
        <f>INDEX('Gross Gen Plant'!$D$7:$AC$91,MATCH($C325,'Gross Gen Plant'!$C$7:$C$91,0),MATCH(Calculation!$G325,'Gross Gen Plant'!$D$5:$AC$5,0))</f>
        <v>3174</v>
      </c>
      <c r="CA325" s="129">
        <f t="shared" si="551"/>
        <v>187387</v>
      </c>
      <c r="CB325" s="129"/>
      <c r="CC325" s="133">
        <v>2020</v>
      </c>
      <c r="CD325" s="129"/>
      <c r="CE325" s="129"/>
      <c r="CF325" s="129"/>
      <c r="CG325" s="137"/>
      <c r="CH325" s="129">
        <f t="shared" si="583"/>
        <v>21451</v>
      </c>
      <c r="CI325" s="46">
        <f t="shared" si="592"/>
        <v>21447.614597588268</v>
      </c>
      <c r="CJ325" s="46">
        <f t="shared" si="584"/>
        <v>26.378228848590535</v>
      </c>
      <c r="CK325" s="443">
        <v>0.72499999999999998</v>
      </c>
      <c r="CL325" s="46">
        <f>CL303*CK325+CJ304*CK324+CJ305*CK323+CJ306*CK322+CJ307*CK321+CJ308*CK320+CJ309*CK319+CJ310*CK318+CJ311*CK317+CJ312*CK316+CJ313*CK315+CJ314*CK314+CJ315*CK313+CJ316*CK312+CJ317*CK311+CJ318*CK310+CJ319*CK309+CJ320*CK308+CJ321*CK307+CJ322*CK306+CJ323*CK305+CJ324*CK304+CJ325</f>
        <v>448.31720217080169</v>
      </c>
      <c r="CM325" s="134">
        <f t="shared" si="585"/>
        <v>4.4872406620032772E-2</v>
      </c>
      <c r="CN325" s="135">
        <f t="shared" si="586"/>
        <v>1.5644262303861046E-2</v>
      </c>
      <c r="CO325" s="135">
        <f t="shared" si="595"/>
        <v>1.5526388988876731E-2</v>
      </c>
      <c r="CP325" s="134">
        <f>VLOOKUP($H325,RoR!$E:$F,2,FALSE)</f>
        <v>2.4766666666666666E-2</v>
      </c>
      <c r="CQ325" s="135">
        <v>1.1618796630994188E-2</v>
      </c>
      <c r="CR325" s="135">
        <f t="shared" si="593"/>
        <v>1.3147870035672478E-2</v>
      </c>
      <c r="CS325" s="135">
        <f t="shared" si="596"/>
        <v>1.5375552619656894E-2</v>
      </c>
      <c r="CT325" s="135">
        <f t="shared" si="597"/>
        <v>4.5144642961987357E-2</v>
      </c>
      <c r="CU325" s="139">
        <f t="shared" si="587"/>
        <v>0.89827405000000005</v>
      </c>
      <c r="CV325" s="335">
        <f t="shared" si="588"/>
        <v>2.0706077233668081</v>
      </c>
      <c r="CW325" s="335">
        <f t="shared" si="589"/>
        <v>-3.4421265141318998E-2</v>
      </c>
      <c r="CX325" s="335">
        <f t="shared" si="590"/>
        <v>0.62416226176410472</v>
      </c>
      <c r="CY325" s="335">
        <f t="shared" si="591"/>
        <v>-4.4485877841158712E-2</v>
      </c>
      <c r="CZ325" s="336">
        <f>INDEX('State Tax Lookup'!$D$7:$Z$91,MATCH(Calculation!$C325,'State Tax Lookup'!$B$7:$B$91,0),MATCH($H325,'State Tax Lookup'!$D$6:$Z$6,0))</f>
        <v>0.27493499999999998</v>
      </c>
      <c r="DA325" s="303">
        <v>0.37</v>
      </c>
      <c r="DB325" s="57">
        <f t="shared" si="594"/>
        <v>15.432094800370264</v>
      </c>
      <c r="DC325" s="56">
        <f t="shared" si="598"/>
        <v>4.059232645953792E-2</v>
      </c>
      <c r="DD325" s="303">
        <f>VLOOKUP($H325,RoR!$E:$F,2,FALSE)</f>
        <v>2.4766666666666666E-2</v>
      </c>
      <c r="DE325" s="304">
        <f>HLOOKUP($H325,'GDP-PI'!$D$8:$CQ$11,3,FALSE)</f>
        <v>1.1618796630994188E-2</v>
      </c>
      <c r="DF325" s="303">
        <f>VLOOKUP(H325,'HW Dx Data'!$E:$F,2,FALSE)</f>
        <v>813.080162458833</v>
      </c>
      <c r="DG325" s="89">
        <f ca="1">VLOOKUP(CC325,'ECI - Input Price'!M$13:N$33,2,FALSE)</f>
        <v>153.15</v>
      </c>
      <c r="DH325" s="89"/>
      <c r="DI325" s="89"/>
      <c r="DJ325" s="56">
        <f t="shared" ca="1" si="606"/>
        <v>2.2951556467368479E-2</v>
      </c>
      <c r="DK325" s="53">
        <f>HLOOKUP(H325,'GDP-PI'!$8:$9,2,FALSE)</f>
        <v>113.623</v>
      </c>
      <c r="DL325" s="355">
        <f t="shared" si="599"/>
        <v>1.1551816731392881E-2</v>
      </c>
      <c r="EC325"/>
    </row>
    <row r="326" spans="1:133" s="126" customFormat="1" ht="21" customHeight="1" x14ac:dyDescent="0.4">
      <c r="A326" s="233" t="s">
        <v>200</v>
      </c>
      <c r="B326" s="126" t="s">
        <v>200</v>
      </c>
      <c r="C326" s="126">
        <v>4088325</v>
      </c>
      <c r="D326" s="126" t="s">
        <v>201</v>
      </c>
      <c r="G326" s="127" t="s">
        <v>177</v>
      </c>
      <c r="H326" s="128">
        <v>2021</v>
      </c>
      <c r="I326" s="129"/>
      <c r="J326" s="125">
        <v>5667.2533663599561</v>
      </c>
      <c r="K326" s="125">
        <f t="shared" ca="1" si="600"/>
        <v>36.039767035675396</v>
      </c>
      <c r="L326" s="47"/>
      <c r="M326" s="130">
        <f t="shared" ca="1" si="607"/>
        <v>0.15349593011079693</v>
      </c>
      <c r="N326" s="130"/>
      <c r="O326" s="130"/>
      <c r="P326" s="59">
        <f t="shared" ca="1" si="609"/>
        <v>2.0970076159392128E-4</v>
      </c>
      <c r="Q326" s="61"/>
      <c r="R326" s="387"/>
      <c r="S326" s="132">
        <f ca="1">+S325*EXP(T326)</f>
        <v>119.80116012095846</v>
      </c>
      <c r="T326" s="134">
        <f ca="1">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</f>
        <v>4.5682962843784113E-2</v>
      </c>
      <c r="U326" s="134"/>
      <c r="V326" s="125">
        <v>7988.7788417363254</v>
      </c>
      <c r="W326" s="125">
        <f t="shared" si="601"/>
        <v>67.421544786364464</v>
      </c>
      <c r="X326" s="131">
        <f t="shared" si="610"/>
        <v>0.11099342778994513</v>
      </c>
      <c r="Y326" s="131">
        <f t="shared" si="611"/>
        <v>1.5163533210731171E-4</v>
      </c>
      <c r="Z326" s="131"/>
      <c r="AA326" s="131"/>
      <c r="AB326" s="131"/>
      <c r="AC326" s="125">
        <f t="shared" si="581"/>
        <v>3892.5959565354251</v>
      </c>
      <c r="AD326" s="129"/>
      <c r="AE326" s="133">
        <v>504.54995220276902</v>
      </c>
      <c r="AF326" s="134"/>
      <c r="AG326" s="59">
        <f t="shared" si="602"/>
        <v>0</v>
      </c>
      <c r="AH326" s="134"/>
      <c r="AI326" s="134"/>
      <c r="AJ326" s="129">
        <f t="shared" si="569"/>
        <v>17548.628164631707</v>
      </c>
      <c r="AK326" s="134">
        <f t="shared" si="612"/>
        <v>-3.6710867891469469E-2</v>
      </c>
      <c r="AL326" s="129"/>
      <c r="AM326" s="134"/>
      <c r="AN326" s="134"/>
      <c r="AO326" s="134"/>
      <c r="AP326" s="133">
        <f t="shared" si="613"/>
        <v>508.96569403496926</v>
      </c>
      <c r="AQ326" s="134">
        <f>+BB326/Outputs!$B$29</f>
        <v>8.9309314282930727E-4</v>
      </c>
      <c r="AR326" s="93">
        <f t="shared" si="603"/>
        <v>0.32294566351243298</v>
      </c>
      <c r="AS326" s="93">
        <f t="shared" si="604"/>
        <v>0.45523665820427311</v>
      </c>
      <c r="AT326" s="93">
        <f t="shared" si="605"/>
        <v>0.22181767828329382</v>
      </c>
      <c r="AU326" s="93">
        <f t="shared" ca="1" si="608"/>
        <v>9.0907344402205464E-2</v>
      </c>
      <c r="AV326" s="132">
        <f t="shared" ca="1" si="616"/>
        <v>142.2294522039079</v>
      </c>
      <c r="AW326" s="134">
        <f t="shared" ca="1" si="617"/>
        <v>9.0907344402205492E-2</v>
      </c>
      <c r="AX326" s="56">
        <f>+AJ326/$AL$26</f>
        <v>1.3661649624361661E-3</v>
      </c>
      <c r="AY326" s="135">
        <f t="shared" ca="1" si="615"/>
        <v>1.2419442875041069E-4</v>
      </c>
      <c r="AZ326" s="93"/>
      <c r="BA326" s="93"/>
      <c r="BB326" s="234">
        <f>INDEX('Total Customers'!$D$7:$D$91,MATCH(Calculation!$C326,'Total Customers'!$C$7:$C$91,0))</f>
        <v>34479</v>
      </c>
      <c r="BC326" s="411">
        <f t="shared" si="622"/>
        <v>1.4754916857612028E-2</v>
      </c>
      <c r="BD326" s="91"/>
      <c r="BE326" s="281" t="str">
        <f t="shared" si="618"/>
        <v>COLUMBIA GAS OF MARYLAND, INCORPORATED</v>
      </c>
      <c r="BF326" s="290">
        <f t="shared" si="619"/>
        <v>4088325</v>
      </c>
      <c r="BG326" s="46" t="str">
        <f t="shared" si="620"/>
        <v>PA</v>
      </c>
      <c r="BH326" s="46"/>
      <c r="BI326" s="46" t="str">
        <f t="shared" si="621"/>
        <v>2021 Y</v>
      </c>
      <c r="BJ326" s="129"/>
      <c r="BK326" s="129"/>
      <c r="BL326" s="129">
        <f>INDEX('Dist. Plant Gas Additions'!$D$7:$AD$91,MATCH($C326,'Dist. Plant Gas Additions'!$C$7:$C$91,0),MATCH(Calculation!$G326,'Dist. Plant Gas Additions'!$D$5:$AD$5,0))</f>
        <v>32117</v>
      </c>
      <c r="BM326" s="129">
        <f>INDEX('Gen. Plant Additions'!$D$7:$AD$91,MATCH($C326,'Gen. Plant Additions'!$C$7:$C$91,0),MATCH(Calculation!$G326,'Gen. Plant Additions'!$D$5:$AD$5,0))</f>
        <v>616</v>
      </c>
      <c r="BN326" s="343">
        <v>0.98722489655949641</v>
      </c>
      <c r="BO326" s="46">
        <f t="shared" si="576"/>
        <v>608.13053628064984</v>
      </c>
      <c r="BP326" s="46">
        <f t="shared" si="577"/>
        <v>-7.8694637193501649</v>
      </c>
      <c r="BQ326" s="129"/>
      <c r="BR326" s="129"/>
      <c r="BS326" s="137"/>
      <c r="BT326" s="137"/>
      <c r="BU326" s="333"/>
      <c r="BV326" s="93"/>
      <c r="BW326" s="334"/>
      <c r="BX326" s="334"/>
      <c r="BY326" s="129"/>
      <c r="BZ326" s="129"/>
      <c r="CA326" s="129"/>
      <c r="CB326" s="129"/>
      <c r="CC326" s="133">
        <v>2021</v>
      </c>
      <c r="CD326" s="129"/>
      <c r="CE326" s="129"/>
      <c r="CF326" s="129"/>
      <c r="CG326" s="137"/>
      <c r="CH326" s="129">
        <f t="shared" si="583"/>
        <v>32733</v>
      </c>
      <c r="CI326" s="46">
        <f t="shared" si="592"/>
        <v>32725.130536280649</v>
      </c>
      <c r="CJ326" s="46">
        <f t="shared" si="584"/>
        <v>35.074320891250714</v>
      </c>
      <c r="CK326" s="443">
        <v>0.70886075949367089</v>
      </c>
      <c r="CL326" s="129">
        <f>CL303*CK326+CJ304*CK325+CJ305*CK324+CJ306*CK323+CJ307*CK322+CJ308*CK321+CJ309*CK320+CJ310*CK319+CJ311*CK318+CJ312*CK317+CJ313*CK316+CJ314*CK315+CJ315*CK314+CJ316*CK313+CJ317*CK312+CJ308*CK311+CJ319*CK310+CJ320*CK309+CJ321*CK308+CJ322*CK307+CJ323*CK306+CJ324*CK305+CJ326+CJ325*CK304</f>
        <v>466.02335525466452</v>
      </c>
      <c r="CM326" s="134"/>
      <c r="CN326" s="135">
        <f t="shared" si="586"/>
        <v>3.8740801654028191E-2</v>
      </c>
      <c r="CO326" s="135">
        <f t="shared" si="595"/>
        <v>2.3310715502270086E-2</v>
      </c>
      <c r="CP326" s="134">
        <f>VLOOKUP($H326,RoR!$E:$F,2,FALSE)</f>
        <v>2.7033333333333336E-2</v>
      </c>
      <c r="CQ326" s="135"/>
      <c r="CR326" s="135"/>
      <c r="CS326" s="135">
        <f t="shared" si="596"/>
        <v>7.5912261062635392E-3</v>
      </c>
      <c r="CT326" s="135">
        <f t="shared" si="597"/>
        <v>7.433422950153494E-2</v>
      </c>
      <c r="CU326" s="139">
        <f t="shared" si="587"/>
        <v>0.89827405000000005</v>
      </c>
      <c r="CV326" s="335">
        <f t="shared" si="588"/>
        <v>1.8969932656739068</v>
      </c>
      <c r="CW326" s="335">
        <f t="shared" si="589"/>
        <v>5.0215782983970621E-2</v>
      </c>
      <c r="CX326" s="335">
        <f t="shared" si="590"/>
        <v>0.655952481704143</v>
      </c>
      <c r="CY326" s="335">
        <f t="shared" si="591"/>
        <v>6.2485378865697057E-2</v>
      </c>
      <c r="CZ326" s="336">
        <f>CZ325</f>
        <v>0.27493499999999998</v>
      </c>
      <c r="DA326" s="303">
        <v>0.37</v>
      </c>
      <c r="DB326" s="141">
        <f t="shared" si="594"/>
        <v>8.6826825686969915</v>
      </c>
      <c r="DC326" s="135">
        <f t="shared" si="598"/>
        <v>-0.57511888606904493</v>
      </c>
      <c r="DD326" s="336">
        <f>VLOOKUP($H326,RoR!$E:$F,2,FALSE)</f>
        <v>2.7033333333333336E-2</v>
      </c>
      <c r="DE326" s="342">
        <f>HLOOKUP($H326,'GDP-PI'!$D$8:$CR$11,3,FALSE)</f>
        <v>4.2834637353352578E-2</v>
      </c>
      <c r="DF326" s="336">
        <f>VLOOKUP(H326,'HW Dx Data'!$E:$F,2,FALSE)</f>
        <v>933.02249921662576</v>
      </c>
      <c r="DG326" s="89">
        <f ca="1">VLOOKUP(CC326,'ECI - Input Price'!M$13:N$33,2,FALSE)</f>
        <v>157.25</v>
      </c>
      <c r="DH326" s="89"/>
      <c r="DI326" s="89"/>
      <c r="DJ326" s="135">
        <f t="shared" ca="1" si="606"/>
        <v>2.6419062301765574E-2</v>
      </c>
      <c r="DK326" s="137">
        <f>HLOOKUP(H326,'GDP-PI'!$8:$9,2,FALSE)</f>
        <v>118.49</v>
      </c>
      <c r="DL326" s="356">
        <f t="shared" si="599"/>
        <v>4.194261824609434E-2</v>
      </c>
      <c r="EC326"/>
    </row>
    <row r="327" spans="1:133" s="126" customFormat="1" ht="21" customHeight="1" thickBot="1" x14ac:dyDescent="0.45">
      <c r="A327" s="235"/>
      <c r="B327" s="236"/>
      <c r="C327" s="236"/>
      <c r="D327" s="236"/>
      <c r="E327" s="236"/>
      <c r="F327" s="236"/>
      <c r="G327" s="237" t="s">
        <v>178</v>
      </c>
      <c r="H327" s="238"/>
      <c r="I327" s="239"/>
      <c r="J327" s="240">
        <v>5942.03725918481</v>
      </c>
      <c r="K327" s="240">
        <f t="shared" ca="1" si="600"/>
        <v>36.555135399475915</v>
      </c>
      <c r="L327" s="47"/>
      <c r="M327" s="241">
        <f t="shared" ref="M327" ca="1" si="623">LN(K327/K326)</f>
        <v>1.4198711061459606E-2</v>
      </c>
      <c r="N327" s="241"/>
      <c r="O327" s="241"/>
      <c r="P327" s="242">
        <f t="shared" ca="1" si="609"/>
        <v>2.4647028297585591E-5</v>
      </c>
      <c r="Q327" s="61"/>
      <c r="R327" s="387"/>
      <c r="S327" s="206">
        <f ca="1">+S326*EXP(T327)</f>
        <v>119.84352732556076</v>
      </c>
      <c r="T327" s="243">
        <f ca="1">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</f>
        <v>3.5358351144875307E-4</v>
      </c>
      <c r="U327" s="243"/>
      <c r="V327" s="239">
        <v>8376.1248111400346</v>
      </c>
      <c r="W327" s="240">
        <f t="shared" si="601"/>
        <v>65.824163545304785</v>
      </c>
      <c r="X327" s="244">
        <f t="shared" ref="X327" si="624">LN(W327/W326)</f>
        <v>-2.3977624371159658E-2</v>
      </c>
      <c r="Y327" s="244">
        <f t="shared" si="611"/>
        <v>-4.1621889749483956E-5</v>
      </c>
      <c r="Z327" s="206"/>
      <c r="AA327" s="243"/>
      <c r="AB327" s="243"/>
      <c r="AC327" s="240">
        <f t="shared" si="581"/>
        <v>8651.8672557611244</v>
      </c>
      <c r="AD327" s="243"/>
      <c r="AE327" s="245">
        <v>542.28533494233545</v>
      </c>
      <c r="AF327" s="243">
        <v>7.2125462969345647E-2</v>
      </c>
      <c r="AG327" s="242">
        <f t="shared" si="602"/>
        <v>1.2519997900423374E-4</v>
      </c>
      <c r="AH327" s="206"/>
      <c r="AI327" s="243"/>
      <c r="AJ327" s="239">
        <f t="shared" si="569"/>
        <v>22970.029326085969</v>
      </c>
      <c r="AK327" s="243">
        <f t="shared" si="612"/>
        <v>0.26921451381348216</v>
      </c>
      <c r="AL327" s="239"/>
      <c r="AM327" s="243"/>
      <c r="AN327" s="243"/>
      <c r="AO327" s="243"/>
      <c r="AP327" s="245">
        <f t="shared" si="613"/>
        <v>667.84989608902629</v>
      </c>
      <c r="AQ327" s="243"/>
      <c r="AR327" s="207">
        <f t="shared" si="603"/>
        <v>0.25868653343148851</v>
      </c>
      <c r="AS327" s="207">
        <f t="shared" si="604"/>
        <v>0.3646545109817369</v>
      </c>
      <c r="AT327" s="207">
        <f t="shared" si="605"/>
        <v>0.37665895558677459</v>
      </c>
      <c r="AU327" s="207"/>
      <c r="AV327" s="206"/>
      <c r="AW327" s="243"/>
      <c r="AX327" s="248">
        <f>+AJ327/$AL$27</f>
        <v>1.7358637830504535E-3</v>
      </c>
      <c r="AY327" s="249"/>
      <c r="AZ327" s="206"/>
      <c r="BA327" s="243"/>
      <c r="BB327" s="250">
        <v>34394</v>
      </c>
      <c r="BC327" s="412">
        <f t="shared" si="622"/>
        <v>-2.4683124927235883E-3</v>
      </c>
      <c r="BD327" s="91"/>
      <c r="BE327" s="401">
        <f t="shared" si="618"/>
        <v>0</v>
      </c>
      <c r="BF327" s="402">
        <f t="shared" si="619"/>
        <v>0</v>
      </c>
      <c r="BG327" s="313">
        <f t="shared" si="620"/>
        <v>0</v>
      </c>
      <c r="BH327" s="313"/>
      <c r="BI327" s="313" t="str">
        <f t="shared" si="621"/>
        <v>2022Y</v>
      </c>
      <c r="BJ327" s="239"/>
      <c r="BK327" s="239"/>
      <c r="BL327" s="239"/>
      <c r="BM327" s="239"/>
      <c r="BN327" s="337">
        <v>0.98722489655949641</v>
      </c>
      <c r="BO327" s="313">
        <f t="shared" si="576"/>
        <v>0</v>
      </c>
      <c r="BP327" s="313">
        <f t="shared" si="577"/>
        <v>0</v>
      </c>
      <c r="BQ327" s="239"/>
      <c r="BR327" s="239"/>
      <c r="BS327" s="310"/>
      <c r="BT327" s="310"/>
      <c r="BU327" s="311"/>
      <c r="BV327" s="207"/>
      <c r="BW327" s="312"/>
      <c r="BX327" s="312"/>
      <c r="BY327" s="239"/>
      <c r="BZ327" s="239"/>
      <c r="CA327" s="239"/>
      <c r="CB327" s="239"/>
      <c r="CC327" s="245">
        <v>2022</v>
      </c>
      <c r="CD327" s="239"/>
      <c r="CE327" s="239"/>
      <c r="CF327" s="239"/>
      <c r="CG327" s="310"/>
      <c r="CH327" s="239">
        <v>30504</v>
      </c>
      <c r="CI327" s="313">
        <f t="shared" si="592"/>
        <v>30504</v>
      </c>
      <c r="CJ327" s="313">
        <f t="shared" si="584"/>
        <v>29.592262395591817</v>
      </c>
      <c r="CK327" s="443">
        <v>0.69230769230769229</v>
      </c>
      <c r="CL327" s="239">
        <f>+CL303*CK327+CJ304*CK326+CJ305*CK325+CJ306*CK324+CJ307*CK323+CJ308*CK322+CJ309*CK321+CJ310*CK320+CJ311*CK319+CJ312*CK318+CJ313*CK317+CJ314*CK316+CJ315*CK315+CJ316*CK314+CJ317*CK313+CJ318*CK312+CJ319*CK311+CJ320*CK310+CJ321*CK309+CJ322*CK308+CJ323*CK307+CJ324*CK306+CJ325*CK305+CJ326*CK304+CJ327*CK303</f>
        <v>498.21896422481149</v>
      </c>
      <c r="CM327" s="243">
        <f t="shared" ref="CM327" si="625">LN(CL327/CL326)</f>
        <v>6.6803916146984443E-2</v>
      </c>
      <c r="CN327" s="249">
        <f t="shared" si="586"/>
        <v>-5.5863006546796653E-3</v>
      </c>
      <c r="CO327" s="249">
        <f t="shared" si="595"/>
        <v>1.6266254434403191E-2</v>
      </c>
      <c r="CP327" s="243"/>
      <c r="CQ327" s="249"/>
      <c r="CR327" s="249"/>
      <c r="CS327" s="248">
        <f t="shared" si="596"/>
        <v>1.4635687174130434E-2</v>
      </c>
      <c r="CT327" s="249">
        <f t="shared" si="597"/>
        <v>0.10114668178709289</v>
      </c>
      <c r="CU327" s="314">
        <f t="shared" si="587"/>
        <v>0.89827405000000005</v>
      </c>
      <c r="CV327" s="315"/>
      <c r="CW327" s="315"/>
      <c r="CX327" s="315"/>
      <c r="CY327" s="315"/>
      <c r="CZ327" s="316">
        <f>CZ326</f>
        <v>0.27493499999999998</v>
      </c>
      <c r="DA327" s="360">
        <v>0.37</v>
      </c>
      <c r="DB327" s="318">
        <f t="shared" si="594"/>
        <v>18.565308279524317</v>
      </c>
      <c r="DC327" s="249">
        <f t="shared" si="598"/>
        <v>0.75996416028707392</v>
      </c>
      <c r="DD327" s="316">
        <v>0.04</v>
      </c>
      <c r="DE327" s="319">
        <v>7.0000000000000001E-3</v>
      </c>
      <c r="DF327" s="316">
        <v>1030.81</v>
      </c>
      <c r="DG327" s="89">
        <f ca="1">VLOOKUP(CC327,'ECI - Input Price'!M$13:N$33,2,FALSE)</f>
        <v>162.55000000000001</v>
      </c>
      <c r="DH327" s="89"/>
      <c r="DI327" s="89"/>
      <c r="DJ327" s="249">
        <f t="shared" ca="1" si="606"/>
        <v>3.3148751169364422E-2</v>
      </c>
      <c r="DK327" s="310">
        <v>127.25</v>
      </c>
      <c r="DL327" s="357">
        <f t="shared" si="599"/>
        <v>7.1325086601983473E-2</v>
      </c>
      <c r="EC327"/>
    </row>
    <row r="328" spans="1:133" s="126" customFormat="1" ht="21" customHeight="1" x14ac:dyDescent="0.4">
      <c r="A328" s="251" t="s">
        <v>202</v>
      </c>
      <c r="B328" s="252" t="s">
        <v>202</v>
      </c>
      <c r="C328" s="252">
        <v>4059402</v>
      </c>
      <c r="D328" s="252" t="s">
        <v>203</v>
      </c>
      <c r="E328" s="252" t="s">
        <v>15</v>
      </c>
      <c r="F328" s="252"/>
      <c r="G328" s="252" t="s">
        <v>150</v>
      </c>
      <c r="H328" s="253">
        <v>1998</v>
      </c>
      <c r="I328" s="254"/>
      <c r="J328" s="255"/>
      <c r="K328" s="255"/>
      <c r="L328" s="47"/>
      <c r="M328" s="255"/>
      <c r="N328" s="255"/>
      <c r="O328" s="255"/>
      <c r="P328" s="219"/>
      <c r="Q328" s="218"/>
      <c r="R328" s="385"/>
      <c r="S328" s="257"/>
      <c r="T328" s="258"/>
      <c r="U328" s="258"/>
      <c r="V328" s="255"/>
      <c r="W328" s="255"/>
      <c r="X328" s="255"/>
      <c r="Y328" s="255"/>
      <c r="Z328" s="255"/>
      <c r="AA328" s="255"/>
      <c r="AB328" s="255"/>
      <c r="AC328" s="255"/>
      <c r="AD328" s="254"/>
      <c r="AE328" s="260">
        <v>1366.8786795824656</v>
      </c>
      <c r="AF328" s="256"/>
      <c r="AG328" s="225"/>
      <c r="AH328" s="256"/>
      <c r="AI328" s="256"/>
      <c r="AJ328" s="254">
        <f t="shared" si="569"/>
        <v>0</v>
      </c>
      <c r="AK328" s="254"/>
      <c r="AL328" s="254"/>
      <c r="AM328" s="256"/>
      <c r="AN328" s="256"/>
      <c r="AO328" s="256"/>
      <c r="AP328" s="226">
        <f>+(AP325+AP326+AP327)/3</f>
        <v>570.88712417592285</v>
      </c>
      <c r="AQ328" s="256"/>
      <c r="AR328" s="261"/>
      <c r="AS328" s="261"/>
      <c r="AT328" s="261"/>
      <c r="AU328" s="261"/>
      <c r="AV328" s="261"/>
      <c r="AW328" s="256">
        <f ca="1">AVERAGE(AW337:AW351)</f>
        <v>1.7789250613782118E-2</v>
      </c>
      <c r="AX328" s="223"/>
      <c r="AY328" s="261"/>
      <c r="AZ328" s="261"/>
      <c r="BA328" s="261"/>
      <c r="BB328" s="262">
        <f>IFERROR(INDEX('Total Customers'!$E$7:$AA$91,MATCH($C328,'Total Customers'!$C$7:$C$91,0),MATCH($G328,'Total Customers'!$E$5:$AA$5,0)),"NA")</f>
        <v>141364</v>
      </c>
      <c r="BC328" s="413">
        <f t="shared" si="622"/>
        <v>1.4134559935969147</v>
      </c>
      <c r="BD328" s="92"/>
      <c r="BE328" s="407" t="str">
        <f t="shared" si="618"/>
        <v>CONNECTICUT NATURAL GAS CORPORATION</v>
      </c>
      <c r="BF328" s="408">
        <f t="shared" si="619"/>
        <v>4059402</v>
      </c>
      <c r="BG328" s="218" t="str">
        <f t="shared" si="620"/>
        <v>CT</v>
      </c>
      <c r="BH328" s="218"/>
      <c r="BI328" s="218" t="str">
        <f t="shared" si="621"/>
        <v>1998 Y</v>
      </c>
      <c r="BJ328" s="254">
        <f>INDEX('Gross Dx Plant'!$D$7:$AC$91,MATCH($C328,'Gross Dx Plant'!$C$7:$C$91,0),MATCH(Calculation!$G328,'Gross Dx Plant'!$D$5:$AC$5,0))</f>
        <v>366794</v>
      </c>
      <c r="BK328" s="254">
        <f>INDEX('Gross Gen Plant'!$D$7:$AC$91,MATCH($C328,'Gross Gen Plant'!$C$7:$C$91,0),MATCH(Calculation!$G328,'Gross Gen Plant'!$D$5:$AC$5,0))</f>
        <v>47230</v>
      </c>
      <c r="BL328" s="254">
        <f>INDEX('Dist. Plant Gas Additions'!$E$7:$AD$91,MATCH($C328,'Dist. Plant Gas Additions'!$C$7:$C$91,0),MATCH(Calculation!$G328,'Dist. Plant Gas Additions'!$E$5:$AD$5,0))</f>
        <v>17494</v>
      </c>
      <c r="BM328" s="254">
        <f>INDEX('Gen. Plant Additions'!$E$7:$AD$91,MATCH($C328,'Gen. Plant Additions'!$C$7:$C$91,0),MATCH(Calculation!$G328,'Gen. Plant Additions'!$E$5:$AD$5,0))</f>
        <v>1420</v>
      </c>
      <c r="BN328" s="409">
        <f>+(BY328/(BY328+BZ328))</f>
        <v>0.88592448746932539</v>
      </c>
      <c r="BO328" s="218">
        <f t="shared" si="576"/>
        <v>1258.0127722064422</v>
      </c>
      <c r="BP328" s="218">
        <f t="shared" si="577"/>
        <v>-161.98722779355785</v>
      </c>
      <c r="BQ328" s="254">
        <f>INDEX('Dist Plant Depreciation'!$D$7:$AC$94,MATCH($C328,'Dist Plant Depreciation'!$C$7:$C$94,0),MATCH(Calculation!$G328,'Dist Plant Depreciation'!$D$5:$AC$5,0))</f>
        <v>121908</v>
      </c>
      <c r="BR328" s="254">
        <f>INDEX('Gen. Plant Depreciation'!$D$7:$AC$94,MATCH($C328,'Gen. Plant Depreciation'!$C$7:$C$94,0),MATCH(Calculation!$G328,'Gen. Plant Depreciation'!$D$5:$AC$5,0))</f>
        <v>16390</v>
      </c>
      <c r="BS328" s="254"/>
      <c r="BT328" s="254"/>
      <c r="BU328" s="254"/>
      <c r="BV328" s="254"/>
      <c r="BW328" s="254"/>
      <c r="BX328" s="254"/>
      <c r="BY328" s="254">
        <f>INDEX('Gross Dx Plant'!$D$7:$AC$91,MATCH($C328,'Gross Dx Plant'!$C$7:$C$91,0),MATCH(Calculation!$G328,'Gross Dx Plant'!$D$5:$AC$5,0))</f>
        <v>366794</v>
      </c>
      <c r="BZ328" s="254">
        <f>INDEX('Gross Gen Plant'!$D$7:$AC$91,MATCH($C328,'Gross Gen Plant'!$C$7:$C$91,0),MATCH(Calculation!$G328,'Gross Gen Plant'!$D$5:$AC$5,0))</f>
        <v>47230</v>
      </c>
      <c r="CA328" s="254">
        <f t="shared" ref="CA328:CA394" si="626">IF(OR(BQ328="NA",BR328="NA"),"NA",(SUM(BY328:BZ328)-SUM(BQ328:BR328)))</f>
        <v>275726</v>
      </c>
      <c r="CB328" s="254"/>
      <c r="CC328" s="260">
        <v>1998</v>
      </c>
      <c r="CD328" s="254">
        <f>BJ328+BK328</f>
        <v>414024</v>
      </c>
      <c r="CE328" s="254">
        <f>121908+16390</f>
        <v>138298</v>
      </c>
      <c r="CF328" s="254">
        <f>+CD328-CE328</f>
        <v>275726</v>
      </c>
      <c r="CG328" s="254">
        <f>CF328/$BX$3</f>
        <v>1366.8786795824656</v>
      </c>
      <c r="CH328" s="323"/>
      <c r="CI328" s="344"/>
      <c r="CJ328" s="344"/>
      <c r="CK328" s="443">
        <v>1</v>
      </c>
      <c r="CL328" s="254">
        <f>+CG328</f>
        <v>1366.8786795824656</v>
      </c>
      <c r="CM328" s="256"/>
      <c r="CN328" s="325"/>
      <c r="CO328" s="325"/>
      <c r="CP328" s="256" t="e">
        <f>VLOOKUP($H328,RoR!$E:$F,2,FALSE)</f>
        <v>#N/A</v>
      </c>
      <c r="CQ328" s="325">
        <v>1.1028127770464469E-2</v>
      </c>
      <c r="CR328" s="325"/>
      <c r="CS328" s="325"/>
      <c r="CT328" s="325"/>
      <c r="CU328" s="327"/>
      <c r="CV328" s="331" t="e">
        <f>2/(DD328*39)</f>
        <v>#N/A</v>
      </c>
      <c r="CW328" s="328" t="e">
        <f>+(DD328*40-(1+DD328))/(DD328*40)</f>
        <v>#N/A</v>
      </c>
      <c r="CX328" s="328" t="e">
        <f>+(1-(1/(1+DD328)^40))</f>
        <v>#N/A</v>
      </c>
      <c r="CY328" s="328" t="e">
        <f>+CX328*CW328*CV328</f>
        <v>#N/A</v>
      </c>
      <c r="CZ328" s="329">
        <f>INDEX('State Tax Lookup'!$D$7:$Z$91,MATCH(Calculation!$C328,'State Tax Lookup'!$B$7:$B$91,0),MATCH($H328,'State Tax Lookup'!$D$6:$Z$6,0))</f>
        <v>0.40200000000000002</v>
      </c>
      <c r="DA328" s="351">
        <v>0.37</v>
      </c>
      <c r="DB328" s="344"/>
      <c r="DC328" s="326"/>
      <c r="DD328" s="351" t="e">
        <f>VLOOKUP($H328,RoR!$E:$F,2,FALSE)</f>
        <v>#N/A</v>
      </c>
      <c r="DE328" s="354">
        <f>HLOOKUP($H328,'GDP-PI'!$D$8:$CQ$11,3,FALSE)</f>
        <v>1.1028127770464469E-2</v>
      </c>
      <c r="DF328" s="351">
        <f>VLOOKUP(H328,'HW Dx Data'!$E:$F,2,FALSE)</f>
        <v>329.24564746449528</v>
      </c>
      <c r="DG328" s="351"/>
      <c r="DH328" s="351"/>
      <c r="DI328" s="351"/>
      <c r="DJ328" s="326"/>
      <c r="DK328" s="344">
        <f>HLOOKUP(H328,'GDP-PI'!$8:$9,2,FALSE)</f>
        <v>75.266999999999996</v>
      </c>
      <c r="DL328" s="292"/>
      <c r="EC328"/>
    </row>
    <row r="329" spans="1:133" s="126" customFormat="1" ht="21" customHeight="1" x14ac:dyDescent="0.4">
      <c r="A329" s="233" t="s">
        <v>202</v>
      </c>
      <c r="B329" s="127" t="s">
        <v>202</v>
      </c>
      <c r="C329" s="127">
        <v>4059402</v>
      </c>
      <c r="D329" s="127" t="s">
        <v>203</v>
      </c>
      <c r="E329" s="127" t="s">
        <v>15</v>
      </c>
      <c r="F329" s="127"/>
      <c r="G329" s="127" t="s">
        <v>155</v>
      </c>
      <c r="H329" s="128">
        <v>1999</v>
      </c>
      <c r="I329" s="129"/>
      <c r="J329" s="125"/>
      <c r="K329" s="125"/>
      <c r="L329" s="47"/>
      <c r="M329" s="125"/>
      <c r="N329" s="125"/>
      <c r="O329" s="125"/>
      <c r="P329" s="47"/>
      <c r="Q329" s="47"/>
      <c r="R329" s="386"/>
      <c r="S329" s="119"/>
      <c r="T329" s="47"/>
      <c r="U329" s="47"/>
      <c r="V329" s="125"/>
      <c r="W329" s="125"/>
      <c r="X329" s="125"/>
      <c r="Y329" s="143"/>
      <c r="Z329" s="125"/>
      <c r="AA329" s="125"/>
      <c r="AB329" s="125"/>
      <c r="AC329" s="125">
        <f t="shared" ref="AC329:AC352" si="627">+CL328*DB329</f>
        <v>0</v>
      </c>
      <c r="AD329" s="129"/>
      <c r="AE329" s="133">
        <v>1412.4424138312575</v>
      </c>
      <c r="AF329" s="134">
        <v>3.2790609826035814E-2</v>
      </c>
      <c r="AG329" s="61"/>
      <c r="AH329" s="134"/>
      <c r="AI329" s="134"/>
      <c r="AJ329" s="129">
        <f t="shared" si="569"/>
        <v>0</v>
      </c>
      <c r="AK329" s="134"/>
      <c r="AL329" s="129"/>
      <c r="AM329" s="134"/>
      <c r="AN329" s="134"/>
      <c r="AO329" s="134"/>
      <c r="AP329" s="133"/>
      <c r="AQ329" s="134"/>
      <c r="AR329" s="93"/>
      <c r="AS329" s="93"/>
      <c r="AT329" s="93"/>
      <c r="AU329" s="93"/>
      <c r="AV329" s="93"/>
      <c r="AW329" s="134"/>
      <c r="AX329" s="62"/>
      <c r="AY329" s="93"/>
      <c r="AZ329" s="93"/>
      <c r="BA329" s="93"/>
      <c r="BB329" s="234">
        <f>IFERROR(INDEX('Total Customers'!$E$7:$AA$91,MATCH($C329,'Total Customers'!$C$7:$C$91,0),MATCH($G329,'Total Customers'!$E$5:$AA$5,0)),"NA")</f>
        <v>142667</v>
      </c>
      <c r="BC329" s="411">
        <f t="shared" si="622"/>
        <v>9.1751192006334133E-3</v>
      </c>
      <c r="BD329" s="92"/>
      <c r="BE329" s="281" t="str">
        <f t="shared" si="618"/>
        <v>CONNECTICUT NATURAL GAS CORPORATION</v>
      </c>
      <c r="BF329" s="290">
        <f t="shared" si="619"/>
        <v>4059402</v>
      </c>
      <c r="BG329" s="46" t="str">
        <f t="shared" si="620"/>
        <v>CT</v>
      </c>
      <c r="BH329" s="46"/>
      <c r="BI329" s="46" t="str">
        <f t="shared" si="621"/>
        <v>1999 Y</v>
      </c>
      <c r="BJ329" s="129"/>
      <c r="BK329" s="129"/>
      <c r="BL329" s="129">
        <f>INDEX('Dist. Plant Gas Additions'!$E$7:$AD$91,MATCH($C329,'Dist. Plant Gas Additions'!$C$7:$C$91,0),MATCH(Calculation!$G329,'Dist. Plant Gas Additions'!$E$5:$AD$5,0))</f>
        <v>16352</v>
      </c>
      <c r="BM329" s="129">
        <f>INDEX('Gen. Plant Additions'!$E$7:$AD$91,MATCH($C329,'Gen. Plant Additions'!$C$7:$C$91,0),MATCH(Calculation!$G329,'Gen. Plant Additions'!$E$5:$AD$5,0))</f>
        <v>1207</v>
      </c>
      <c r="BN329" s="393">
        <f t="shared" ref="BN329:BN350" si="628">+(BY329/(BY329+BZ329))</f>
        <v>0.88229723205850485</v>
      </c>
      <c r="BO329" s="46">
        <f t="shared" si="576"/>
        <v>1064.9327590946154</v>
      </c>
      <c r="BP329" s="46">
        <f t="shared" si="577"/>
        <v>-142.06724090538455</v>
      </c>
      <c r="BQ329" s="129">
        <f>INDEX('Dist Plant Depreciation'!$D$7:$AC$94,MATCH($C329,'Dist Plant Depreciation'!$C$7:$C$94,0),MATCH(Calculation!$G329,'Dist Plant Depreciation'!$D$5:$AC$5,0))</f>
        <v>132849</v>
      </c>
      <c r="BR329" s="129">
        <f>INDEX('Gen. Plant Depreciation'!$D$7:$AC$94,MATCH($C329,'Gen. Plant Depreciation'!$C$7:$C$94,0),MATCH(Calculation!$G329,'Gen. Plant Depreciation'!$D$5:$AC$5,0))</f>
        <v>19455</v>
      </c>
      <c r="BS329" s="129"/>
      <c r="BT329" s="129"/>
      <c r="BU329" s="129"/>
      <c r="BV329" s="129"/>
      <c r="BW329" s="129"/>
      <c r="BX329" s="129"/>
      <c r="BY329" s="129">
        <f>INDEX('Gross Dx Plant'!$D$7:$AC$91,MATCH($C329,'Gross Dx Plant'!$C$7:$C$91,0),MATCH(Calculation!$G329,'Gross Dx Plant'!$D$5:$AC$5,0))</f>
        <v>381965</v>
      </c>
      <c r="BZ329" s="129">
        <f>INDEX('Gross Gen Plant'!$D$7:$AC$91,MATCH($C329,'Gross Gen Plant'!$C$7:$C$91,0),MATCH(Calculation!$G329,'Gross Gen Plant'!$D$5:$AC$5,0))</f>
        <v>50956</v>
      </c>
      <c r="CA329" s="129">
        <f t="shared" si="626"/>
        <v>280617</v>
      </c>
      <c r="CB329" s="129"/>
      <c r="CC329" s="133">
        <v>1999</v>
      </c>
      <c r="CD329" s="129"/>
      <c r="CE329" s="129"/>
      <c r="CF329" s="129"/>
      <c r="CG329" s="137"/>
      <c r="CH329" s="129">
        <f t="shared" ref="CH329:CH351" si="629">+BM329+BL329</f>
        <v>17559</v>
      </c>
      <c r="CI329" s="46">
        <f>+CH329+BP329</f>
        <v>17416.932759094616</v>
      </c>
      <c r="CJ329" s="46">
        <f t="shared" ref="CJ329:CJ352" si="630">+CI329/$DF329</f>
        <v>51.94045538600232</v>
      </c>
      <c r="CK329" s="443">
        <v>0.99009900990099009</v>
      </c>
      <c r="CL329" s="46">
        <f>+CL328*CK329+CJ329</f>
        <v>1405.2856826953741</v>
      </c>
      <c r="CM329" s="134">
        <f t="shared" ref="CM329:CM350" si="631">LN(CL329/CL328)</f>
        <v>2.7710810583325984E-2</v>
      </c>
      <c r="CN329" s="135">
        <f t="shared" ref="CN329:CN352" si="632">+(CL328-CL329+CJ329)/CL328</f>
        <v>9.9009900990099254E-3</v>
      </c>
      <c r="CO329" s="135"/>
      <c r="CP329" s="134">
        <f>VLOOKUP($H329,RoR!$E:$F,2,FALSE)</f>
        <v>7.0416666666666669E-2</v>
      </c>
      <c r="CQ329" s="135">
        <v>1.4335631817396832E-2</v>
      </c>
      <c r="CR329" s="135">
        <f>+CP329-CQ329</f>
        <v>5.6081034849269837E-2</v>
      </c>
      <c r="CS329" s="135"/>
      <c r="CT329" s="135"/>
      <c r="CU329" s="139">
        <f t="shared" ref="CU329:CU352" si="633">1-CZ329*DA329</f>
        <v>0.85126000000000002</v>
      </c>
      <c r="CV329" s="335">
        <f t="shared" ref="CV329:CV351" si="634">2/(DD329*39)</f>
        <v>0.72826581702321336</v>
      </c>
      <c r="CW329" s="335">
        <f t="shared" ref="CW329:CW351" si="635">+(DD329*40-(1+DD329))/(DD329*40)</f>
        <v>0.61997041420118348</v>
      </c>
      <c r="CX329" s="335">
        <f t="shared" ref="CX329:CX351" si="636">+(1-(1/(1+DD329)^40))</f>
        <v>0.93425155319585029</v>
      </c>
      <c r="CY329" s="335">
        <f t="shared" ref="CY329:CY351" si="637">+CX329*CW329*CV329</f>
        <v>0.42181762214141483</v>
      </c>
      <c r="CZ329" s="336">
        <f>INDEX('State Tax Lookup'!$D$7:$Z$91,MATCH(Calculation!$C329,'State Tax Lookup'!$B$7:$B$91,0),MATCH($H329,'State Tax Lookup'!$D$6:$Z$6,0))</f>
        <v>0.40200000000000002</v>
      </c>
      <c r="DA329" s="303">
        <v>0.37</v>
      </c>
      <c r="DB329" s="57"/>
      <c r="DC329" s="56"/>
      <c r="DD329" s="303">
        <f>VLOOKUP($H329,RoR!$E:$F,2,FALSE)</f>
        <v>7.0416666666666669E-2</v>
      </c>
      <c r="DE329" s="304">
        <f>HLOOKUP($H329,'GDP-PI'!$D$8:$CQ$11,3,FALSE)</f>
        <v>1.4335631817396832E-2</v>
      </c>
      <c r="DF329" s="303">
        <f>VLOOKUP(H329,'HW Dx Data'!$E:$F,2,FALSE)</f>
        <v>335.32499146683239</v>
      </c>
      <c r="DG329" s="89"/>
      <c r="DH329" s="89"/>
      <c r="DI329" s="89"/>
      <c r="DJ329" s="56"/>
      <c r="DK329" s="53">
        <f>HLOOKUP(H329,'GDP-PI'!$8:$9,2,FALSE)</f>
        <v>76.346000000000004</v>
      </c>
      <c r="DL329" s="298"/>
      <c r="EC329"/>
    </row>
    <row r="330" spans="1:133" s="126" customFormat="1" ht="21" customHeight="1" x14ac:dyDescent="0.4">
      <c r="A330" s="233" t="s">
        <v>202</v>
      </c>
      <c r="B330" s="127" t="s">
        <v>202</v>
      </c>
      <c r="C330" s="127">
        <v>4059402</v>
      </c>
      <c r="D330" s="127" t="s">
        <v>203</v>
      </c>
      <c r="E330" s="127" t="s">
        <v>15</v>
      </c>
      <c r="F330" s="127"/>
      <c r="G330" s="127" t="s">
        <v>156</v>
      </c>
      <c r="H330" s="128">
        <v>2000</v>
      </c>
      <c r="I330" s="129"/>
      <c r="J330" s="125"/>
      <c r="K330" s="125"/>
      <c r="L330" s="47"/>
      <c r="M330" s="125"/>
      <c r="N330" s="125"/>
      <c r="O330" s="125"/>
      <c r="P330" s="47"/>
      <c r="Q330" s="47"/>
      <c r="R330" s="386"/>
      <c r="S330" s="119"/>
      <c r="T330" s="47"/>
      <c r="U330" s="47"/>
      <c r="V330" s="125"/>
      <c r="W330" s="125"/>
      <c r="X330" s="125"/>
      <c r="Y330" s="125"/>
      <c r="Z330" s="125"/>
      <c r="AA330" s="125"/>
      <c r="AB330" s="125"/>
      <c r="AC330" s="125">
        <f t="shared" si="627"/>
        <v>0</v>
      </c>
      <c r="AD330" s="129"/>
      <c r="AE330" s="133">
        <v>1456.039169216524</v>
      </c>
      <c r="AF330" s="134">
        <v>3.0399437108708832E-2</v>
      </c>
      <c r="AG330" s="61"/>
      <c r="AH330" s="134"/>
      <c r="AI330" s="134"/>
      <c r="AJ330" s="129">
        <f t="shared" si="569"/>
        <v>0</v>
      </c>
      <c r="AK330" s="134"/>
      <c r="AL330" s="129"/>
      <c r="AM330" s="129"/>
      <c r="AN330" s="129"/>
      <c r="AO330" s="129"/>
      <c r="AP330" s="133"/>
      <c r="AQ330" s="134"/>
      <c r="AR330" s="93"/>
      <c r="AS330" s="93"/>
      <c r="AT330" s="93"/>
      <c r="AU330" s="93"/>
      <c r="AV330" s="93"/>
      <c r="AW330" s="134"/>
      <c r="AX330" s="62"/>
      <c r="AY330" s="93"/>
      <c r="AZ330" s="93"/>
      <c r="BA330" s="93"/>
      <c r="BB330" s="234">
        <f>IFERROR(INDEX('Total Customers'!$E$7:$AA$91,MATCH($C330,'Total Customers'!$C$7:$C$91,0),MATCH($G330,'Total Customers'!$E$5:$AA$5,0)),"NA")</f>
        <v>155641</v>
      </c>
      <c r="BC330" s="411">
        <f t="shared" si="622"/>
        <v>8.7038829819682431E-2</v>
      </c>
      <c r="BD330" s="92"/>
      <c r="BE330" s="281" t="str">
        <f t="shared" si="618"/>
        <v>CONNECTICUT NATURAL GAS CORPORATION</v>
      </c>
      <c r="BF330" s="290">
        <f t="shared" si="619"/>
        <v>4059402</v>
      </c>
      <c r="BG330" s="46" t="str">
        <f t="shared" si="620"/>
        <v>CT</v>
      </c>
      <c r="BH330" s="46"/>
      <c r="BI330" s="46" t="str">
        <f t="shared" si="621"/>
        <v>2000 Y</v>
      </c>
      <c r="BJ330" s="129"/>
      <c r="BK330" s="129"/>
      <c r="BL330" s="129">
        <f>INDEX('Dist. Plant Gas Additions'!$E$7:$AD$91,MATCH($C330,'Dist. Plant Gas Additions'!$C$7:$C$91,0),MATCH(Calculation!$G330,'Dist. Plant Gas Additions'!$E$5:$AD$5,0))</f>
        <v>16150</v>
      </c>
      <c r="BM330" s="129">
        <f>INDEX('Gen. Plant Additions'!$E$7:$AD$91,MATCH($C330,'Gen. Plant Additions'!$C$7:$C$91,0),MATCH(Calculation!$G330,'Gen. Plant Additions'!$E$5:$AD$5,0))</f>
        <v>1476</v>
      </c>
      <c r="BN330" s="393">
        <f t="shared" si="628"/>
        <v>0.88646621106531109</v>
      </c>
      <c r="BO330" s="46">
        <f t="shared" si="576"/>
        <v>1308.4241275323991</v>
      </c>
      <c r="BP330" s="46">
        <f t="shared" si="577"/>
        <v>-167.5758724676009</v>
      </c>
      <c r="BQ330" s="129"/>
      <c r="BR330" s="129"/>
      <c r="BS330" s="129"/>
      <c r="BT330" s="129"/>
      <c r="BU330" s="129"/>
      <c r="BV330" s="129"/>
      <c r="BW330" s="129"/>
      <c r="BX330" s="129"/>
      <c r="BY330" s="129">
        <f>INDEX('Gross Dx Plant'!$D$7:$AC$91,MATCH($C330,'Gross Dx Plant'!$C$7:$C$91,0),MATCH(Calculation!$G330,'Gross Dx Plant'!$D$5:$AC$5,0))</f>
        <v>394200</v>
      </c>
      <c r="BZ330" s="129">
        <f>INDEX('Gross Gen Plant'!$D$7:$AC$91,MATCH($C330,'Gross Gen Plant'!$C$7:$C$91,0),MATCH(Calculation!$G330,'Gross Gen Plant'!$D$5:$AC$5,0))</f>
        <v>50487</v>
      </c>
      <c r="CA330" s="129">
        <f t="shared" si="626"/>
        <v>444687</v>
      </c>
      <c r="CB330" s="129"/>
      <c r="CC330" s="133">
        <v>2000</v>
      </c>
      <c r="CD330" s="129"/>
      <c r="CE330" s="129"/>
      <c r="CF330" s="129"/>
      <c r="CG330" s="137"/>
      <c r="CH330" s="129">
        <f t="shared" si="629"/>
        <v>17626</v>
      </c>
      <c r="CI330" s="46">
        <f t="shared" ref="CI330:CI352" si="638">+CH330+BP330</f>
        <v>17458.424127532398</v>
      </c>
      <c r="CJ330" s="46">
        <f t="shared" si="630"/>
        <v>50.380159937351571</v>
      </c>
      <c r="CK330" s="443">
        <v>0.98</v>
      </c>
      <c r="CL330" s="46">
        <f>+CL328*CK330+CJ329*CK329+CJ330</f>
        <v>1441.3474593796554</v>
      </c>
      <c r="CM330" s="134">
        <f t="shared" si="631"/>
        <v>2.5337796744861984E-2</v>
      </c>
      <c r="CN330" s="135">
        <f t="shared" si="632"/>
        <v>1.0188948360739882E-2</v>
      </c>
      <c r="CO330" s="135"/>
      <c r="CP330" s="134">
        <f>VLOOKUP($H330,RoR!$E:$F,2,FALSE)</f>
        <v>7.6225000000000001E-2</v>
      </c>
      <c r="CQ330" s="135">
        <v>2.2568307442433211E-2</v>
      </c>
      <c r="CR330" s="135">
        <f t="shared" ref="CR330:CR350" si="639">+CP330-CQ330</f>
        <v>5.365669255756679E-2</v>
      </c>
      <c r="CS330" s="135"/>
      <c r="CT330" s="135"/>
      <c r="CU330" s="139">
        <f t="shared" si="633"/>
        <v>0.85126000000000002</v>
      </c>
      <c r="CV330" s="335">
        <f t="shared" si="634"/>
        <v>0.67277207323124022</v>
      </c>
      <c r="CW330" s="335">
        <f t="shared" si="635"/>
        <v>0.6470236142997704</v>
      </c>
      <c r="CX330" s="335">
        <f t="shared" si="636"/>
        <v>0.94704866037543145</v>
      </c>
      <c r="CY330" s="335">
        <f t="shared" si="637"/>
        <v>0.41224973107878493</v>
      </c>
      <c r="CZ330" s="336">
        <f>INDEX('State Tax Lookup'!$D$7:$Z$91,MATCH(Calculation!$C330,'State Tax Lookup'!$B$7:$B$91,0),MATCH($H330,'State Tax Lookup'!$D$6:$Z$6,0))</f>
        <v>0.40200000000000002</v>
      </c>
      <c r="DA330" s="303">
        <v>0.37</v>
      </c>
      <c r="DB330" s="57"/>
      <c r="DC330" s="56"/>
      <c r="DD330" s="303">
        <f>VLOOKUP($H330,RoR!$E:$F,2,FALSE)</f>
        <v>7.6225000000000001E-2</v>
      </c>
      <c r="DE330" s="304">
        <f>HLOOKUP($H330,'GDP-PI'!$D$8:$CQ$11,3,FALSE)</f>
        <v>2.2568307442433211E-2</v>
      </c>
      <c r="DF330" s="303">
        <f>VLOOKUP(H330,'HW Dx Data'!$E:$F,2,FALSE)</f>
        <v>346.53371782150339</v>
      </c>
      <c r="DG330" s="89"/>
      <c r="DH330" s="89"/>
      <c r="DI330" s="89"/>
      <c r="DJ330" s="56"/>
      <c r="DK330" s="53">
        <f>HLOOKUP(H330,'GDP-PI'!$8:$9,2,FALSE)</f>
        <v>78.069000000000003</v>
      </c>
      <c r="DL330" s="298"/>
      <c r="EC330"/>
    </row>
    <row r="331" spans="1:133" s="126" customFormat="1" ht="21" customHeight="1" x14ac:dyDescent="0.4">
      <c r="A331" s="233" t="s">
        <v>202</v>
      </c>
      <c r="B331" s="127" t="s">
        <v>202</v>
      </c>
      <c r="C331" s="127">
        <v>4059402</v>
      </c>
      <c r="D331" s="127" t="s">
        <v>203</v>
      </c>
      <c r="E331" s="127" t="s">
        <v>15</v>
      </c>
      <c r="F331" s="127"/>
      <c r="G331" s="127" t="s">
        <v>157</v>
      </c>
      <c r="H331" s="128">
        <v>2001</v>
      </c>
      <c r="I331" s="129"/>
      <c r="J331" s="125"/>
      <c r="K331" s="125"/>
      <c r="L331" s="47"/>
      <c r="M331" s="125"/>
      <c r="N331" s="125"/>
      <c r="O331" s="125"/>
      <c r="P331" s="47"/>
      <c r="Q331" s="47"/>
      <c r="R331" s="386"/>
      <c r="S331" s="119"/>
      <c r="T331" s="47"/>
      <c r="U331" s="47"/>
      <c r="V331" s="125"/>
      <c r="W331" s="125"/>
      <c r="X331" s="125"/>
      <c r="Y331" s="125"/>
      <c r="Z331" s="125"/>
      <c r="AA331" s="125"/>
      <c r="AB331" s="125"/>
      <c r="AC331" s="125">
        <f t="shared" si="627"/>
        <v>15054.550470121165</v>
      </c>
      <c r="AD331" s="129"/>
      <c r="AE331" s="133">
        <v>1508.8264230065158</v>
      </c>
      <c r="AF331" s="134">
        <v>3.5612293993750307E-2</v>
      </c>
      <c r="AG331" s="61"/>
      <c r="AH331" s="134"/>
      <c r="AI331" s="134"/>
      <c r="AJ331" s="129">
        <f t="shared" si="569"/>
        <v>15054.550470121165</v>
      </c>
      <c r="AK331" s="134"/>
      <c r="AL331" s="129"/>
      <c r="AM331" s="129"/>
      <c r="AN331" s="129"/>
      <c r="AO331" s="129"/>
      <c r="AP331" s="133"/>
      <c r="AQ331" s="134"/>
      <c r="AR331" s="93"/>
      <c r="AS331" s="93"/>
      <c r="AT331" s="93"/>
      <c r="AU331" s="93"/>
      <c r="AV331" s="93"/>
      <c r="AW331" s="134"/>
      <c r="AX331" s="62"/>
      <c r="AY331" s="93"/>
      <c r="AZ331" s="93"/>
      <c r="BA331" s="93"/>
      <c r="BB331" s="234">
        <f>IFERROR(INDEX('Total Customers'!$E$7:$AA$91,MATCH($C331,'Total Customers'!$C$7:$C$91,0),MATCH($G331,'Total Customers'!$E$5:$AA$5,0)),"NA")</f>
        <v>146941</v>
      </c>
      <c r="BC331" s="411">
        <f t="shared" si="622"/>
        <v>-5.7520927511421044E-2</v>
      </c>
      <c r="BD331" s="92"/>
      <c r="BE331" s="281" t="str">
        <f t="shared" si="618"/>
        <v>CONNECTICUT NATURAL GAS CORPORATION</v>
      </c>
      <c r="BF331" s="290">
        <f t="shared" si="619"/>
        <v>4059402</v>
      </c>
      <c r="BG331" s="46" t="str">
        <f t="shared" si="620"/>
        <v>CT</v>
      </c>
      <c r="BH331" s="46"/>
      <c r="BI331" s="46" t="str">
        <f t="shared" si="621"/>
        <v>2001 Y</v>
      </c>
      <c r="BJ331" s="129"/>
      <c r="BK331" s="129"/>
      <c r="BL331" s="129">
        <f>INDEX('Dist. Plant Gas Additions'!$E$7:$AD$91,MATCH($C331,'Dist. Plant Gas Additions'!$C$7:$C$91,0),MATCH(Calculation!$G331,'Dist. Plant Gas Additions'!$E$5:$AD$5,0))</f>
        <v>20283</v>
      </c>
      <c r="BM331" s="129">
        <f>INDEX('Gen. Plant Additions'!$E$7:$AD$91,MATCH($C331,'Gen. Plant Additions'!$C$7:$C$91,0),MATCH(Calculation!$G331,'Gen. Plant Additions'!$E$5:$AD$5,0))</f>
        <v>1022</v>
      </c>
      <c r="BN331" s="393">
        <f t="shared" si="628"/>
        <v>0.89642519302159762</v>
      </c>
      <c r="BO331" s="46">
        <f t="shared" si="576"/>
        <v>916.14654726807282</v>
      </c>
      <c r="BP331" s="46">
        <f t="shared" si="577"/>
        <v>-105.85345273192718</v>
      </c>
      <c r="BQ331" s="129"/>
      <c r="BR331" s="129"/>
      <c r="BS331" s="129"/>
      <c r="BT331" s="129"/>
      <c r="BU331" s="129"/>
      <c r="BV331" s="129"/>
      <c r="BW331" s="129"/>
      <c r="BX331" s="129"/>
      <c r="BY331" s="129">
        <f>INDEX('Gross Dx Plant'!$D$7:$AC$91,MATCH($C331,'Gross Dx Plant'!$C$7:$C$91,0),MATCH(Calculation!$G331,'Gross Dx Plant'!$D$5:$AC$5,0))</f>
        <v>438758</v>
      </c>
      <c r="BZ331" s="129">
        <f>INDEX('Gross Gen Plant'!$D$7:$AC$91,MATCH($C331,'Gross Gen Plant'!$C$7:$C$91,0),MATCH(Calculation!$G331,'Gross Gen Plant'!$D$5:$AC$5,0))</f>
        <v>50695</v>
      </c>
      <c r="CA331" s="129">
        <f t="shared" si="626"/>
        <v>489453</v>
      </c>
      <c r="CB331" s="129"/>
      <c r="CC331" s="133">
        <v>2001</v>
      </c>
      <c r="CD331" s="129"/>
      <c r="CE331" s="129"/>
      <c r="CF331" s="129"/>
      <c r="CG331" s="137"/>
      <c r="CH331" s="129">
        <f t="shared" si="629"/>
        <v>21305</v>
      </c>
      <c r="CI331" s="46">
        <f t="shared" si="638"/>
        <v>21199.146547268072</v>
      </c>
      <c r="CJ331" s="46">
        <f t="shared" si="630"/>
        <v>59.978225151313886</v>
      </c>
      <c r="CK331" s="443">
        <v>0.96969696969696972</v>
      </c>
      <c r="CL331" s="46">
        <f>+CL328*CK331+CJ329*CK330+CJ330*CK328+CJ331</f>
        <v>1486.7181449014597</v>
      </c>
      <c r="CM331" s="134">
        <f t="shared" si="631"/>
        <v>3.0992691639194447E-2</v>
      </c>
      <c r="CN331" s="135">
        <f t="shared" si="632"/>
        <v>1.0134641397152491E-2</v>
      </c>
      <c r="CO331" s="135">
        <f>+(CN331+CN330+CN329)/3</f>
        <v>1.0074859952300766E-2</v>
      </c>
      <c r="CP331" s="134">
        <f>VLOOKUP($H331,RoR!$E:$F,2,FALSE)</f>
        <v>7.0824999999999999E-2</v>
      </c>
      <c r="CQ331" s="135">
        <v>2.2454495382290052E-2</v>
      </c>
      <c r="CR331" s="135">
        <f t="shared" si="639"/>
        <v>4.8370504617709947E-2</v>
      </c>
      <c r="CS331" s="135">
        <f>+$CR$2-CO331</f>
        <v>2.0827081656232857E-2</v>
      </c>
      <c r="CT331" s="135">
        <f>+((DF329/DF328-1)+(DF330/DF329-1)+(DF331/DF330-1))/3</f>
        <v>2.3947275901631187E-2</v>
      </c>
      <c r="CU331" s="139">
        <f t="shared" si="633"/>
        <v>0.85126000000000002</v>
      </c>
      <c r="CV331" s="335">
        <f t="shared" si="634"/>
        <v>0.72406708481540816</v>
      </c>
      <c r="CW331" s="335">
        <f t="shared" si="635"/>
        <v>0.62201729615248857</v>
      </c>
      <c r="CX331" s="335">
        <f t="shared" si="636"/>
        <v>0.9352469954311422</v>
      </c>
      <c r="CY331" s="335">
        <f t="shared" si="637"/>
        <v>0.42121864641655071</v>
      </c>
      <c r="CZ331" s="336">
        <f>INDEX('State Tax Lookup'!$D$7:$Z$91,MATCH(Calculation!$C331,'State Tax Lookup'!$B$7:$B$91,0),MATCH($H331,'State Tax Lookup'!$D$6:$Z$6,0))</f>
        <v>0.40200000000000002</v>
      </c>
      <c r="DA331" s="303">
        <v>0.37</v>
      </c>
      <c r="DB331" s="57">
        <f t="shared" ref="DB331:DB352" si="640">+(DF331*CS331-CT331)*CU331/(1-CZ331)</f>
        <v>10.444775388580158</v>
      </c>
      <c r="DC331" s="56"/>
      <c r="DD331" s="303">
        <f>VLOOKUP($H331,RoR!$E:$F,2,FALSE)</f>
        <v>7.0824999999999999E-2</v>
      </c>
      <c r="DE331" s="304">
        <f>HLOOKUP($H331,'GDP-PI'!$D$8:$CQ$11,3,FALSE)</f>
        <v>2.2454495382290052E-2</v>
      </c>
      <c r="DF331" s="303">
        <f>VLOOKUP(H331,'HW Dx Data'!$E:$F,2,FALSE)</f>
        <v>353.44738017483138</v>
      </c>
      <c r="DG331" s="89"/>
      <c r="DH331" s="89"/>
      <c r="DI331" s="89"/>
      <c r="DJ331" s="56"/>
      <c r="DK331" s="53">
        <f>HLOOKUP(H331,'GDP-PI'!$8:$9,2,FALSE)</f>
        <v>79.822000000000003</v>
      </c>
      <c r="DL331" s="298"/>
      <c r="EC331"/>
    </row>
    <row r="332" spans="1:133" s="126" customFormat="1" ht="21" customHeight="1" x14ac:dyDescent="0.4">
      <c r="A332" s="233" t="s">
        <v>202</v>
      </c>
      <c r="B332" s="127" t="s">
        <v>202</v>
      </c>
      <c r="C332" s="127">
        <v>4059402</v>
      </c>
      <c r="D332" s="127" t="s">
        <v>203</v>
      </c>
      <c r="E332" s="127" t="s">
        <v>15</v>
      </c>
      <c r="F332" s="127"/>
      <c r="G332" s="127" t="s">
        <v>158</v>
      </c>
      <c r="H332" s="128">
        <v>2002</v>
      </c>
      <c r="I332" s="129"/>
      <c r="J332" s="125"/>
      <c r="K332" s="125"/>
      <c r="L332" s="47"/>
      <c r="M332" s="125"/>
      <c r="N332" s="125"/>
      <c r="O332" s="125"/>
      <c r="P332" s="47"/>
      <c r="Q332" s="47"/>
      <c r="R332" s="386"/>
      <c r="S332" s="119"/>
      <c r="T332" s="47"/>
      <c r="U332" s="47"/>
      <c r="V332" s="125"/>
      <c r="W332" s="125"/>
      <c r="X332" s="125"/>
      <c r="Y332" s="125"/>
      <c r="Z332" s="125"/>
      <c r="AA332" s="125"/>
      <c r="AB332" s="125"/>
      <c r="AC332" s="125">
        <f t="shared" si="627"/>
        <v>15567.5386387211</v>
      </c>
      <c r="AD332" s="129"/>
      <c r="AE332" s="133">
        <v>1554.3414827147926</v>
      </c>
      <c r="AF332" s="134">
        <v>2.9719826811096715E-2</v>
      </c>
      <c r="AG332" s="61"/>
      <c r="AH332" s="134"/>
      <c r="AI332" s="134"/>
      <c r="AJ332" s="129">
        <f t="shared" si="569"/>
        <v>15567.5386387211</v>
      </c>
      <c r="AK332" s="134"/>
      <c r="AL332" s="129"/>
      <c r="AM332" s="129"/>
      <c r="AN332" s="129"/>
      <c r="AO332" s="129"/>
      <c r="AP332" s="133"/>
      <c r="AQ332" s="134"/>
      <c r="AR332" s="93"/>
      <c r="AS332" s="93"/>
      <c r="AT332" s="93"/>
      <c r="AU332" s="93"/>
      <c r="AV332" s="93"/>
      <c r="AW332" s="134"/>
      <c r="AX332" s="62"/>
      <c r="AY332" s="93"/>
      <c r="AZ332" s="93"/>
      <c r="BA332" s="93"/>
      <c r="BB332" s="234">
        <f>IFERROR(INDEX('Total Customers'!$E$7:$AA$91,MATCH($C332,'Total Customers'!$C$7:$C$91,0),MATCH($G332,'Total Customers'!$E$5:$AA$5,0)),"NA")</f>
        <v>148133</v>
      </c>
      <c r="BC332" s="411">
        <f t="shared" si="622"/>
        <v>8.0793732019937472E-3</v>
      </c>
      <c r="BD332" s="92"/>
      <c r="BE332" s="281" t="str">
        <f t="shared" si="618"/>
        <v>CONNECTICUT NATURAL GAS CORPORATION</v>
      </c>
      <c r="BF332" s="290">
        <f t="shared" si="619"/>
        <v>4059402</v>
      </c>
      <c r="BG332" s="46" t="str">
        <f t="shared" si="620"/>
        <v>CT</v>
      </c>
      <c r="BH332" s="46"/>
      <c r="BI332" s="46" t="str">
        <f t="shared" si="621"/>
        <v>2002 Y</v>
      </c>
      <c r="BJ332" s="129"/>
      <c r="BK332" s="129"/>
      <c r="BL332" s="129">
        <f>INDEX('Dist. Plant Gas Additions'!$E$7:$AD$91,MATCH($C332,'Dist. Plant Gas Additions'!$C$7:$C$91,0),MATCH(Calculation!$G332,'Dist. Plant Gas Additions'!$E$5:$AD$5,0))</f>
        <v>18818</v>
      </c>
      <c r="BM332" s="129">
        <f>INDEX('Gen. Plant Additions'!$E$7:$AD$91,MATCH($C332,'Gen. Plant Additions'!$C$7:$C$91,0),MATCH(Calculation!$G332,'Gen. Plant Additions'!$E$5:$AD$5,0))</f>
        <v>714</v>
      </c>
      <c r="BN332" s="393">
        <f t="shared" si="628"/>
        <v>0.90285090331546558</v>
      </c>
      <c r="BO332" s="46">
        <f t="shared" si="576"/>
        <v>644.63554496724248</v>
      </c>
      <c r="BP332" s="46">
        <f t="shared" si="577"/>
        <v>-69.364455032757519</v>
      </c>
      <c r="BQ332" s="129"/>
      <c r="BR332" s="129"/>
      <c r="BS332" s="129"/>
      <c r="BT332" s="129"/>
      <c r="BU332" s="129"/>
      <c r="BV332" s="129"/>
      <c r="BW332" s="129"/>
      <c r="BX332" s="129"/>
      <c r="BY332" s="129">
        <f>INDEX('Gross Dx Plant'!$D$7:$AC$91,MATCH($C332,'Gross Dx Plant'!$C$7:$C$91,0),MATCH(Calculation!$G332,'Gross Dx Plant'!$D$5:$AC$5,0))</f>
        <v>454766</v>
      </c>
      <c r="BZ332" s="129">
        <f>INDEX('Gross Gen Plant'!$D$7:$AC$91,MATCH($C332,'Gross Gen Plant'!$C$7:$C$91,0),MATCH(Calculation!$G332,'Gross Gen Plant'!$D$5:$AC$5,0))</f>
        <v>48934</v>
      </c>
      <c r="CA332" s="129">
        <f t="shared" si="626"/>
        <v>503700</v>
      </c>
      <c r="CB332" s="129"/>
      <c r="CC332" s="133">
        <v>2002</v>
      </c>
      <c r="CD332" s="129"/>
      <c r="CE332" s="129"/>
      <c r="CF332" s="129"/>
      <c r="CG332" s="137"/>
      <c r="CH332" s="129">
        <f t="shared" si="629"/>
        <v>19532</v>
      </c>
      <c r="CI332" s="46">
        <f t="shared" si="638"/>
        <v>19462.635544967241</v>
      </c>
      <c r="CJ332" s="46">
        <f t="shared" si="630"/>
        <v>53.861171552997419</v>
      </c>
      <c r="CK332" s="443">
        <v>0.95918367346938771</v>
      </c>
      <c r="CL332" s="46">
        <f>+CL328*CK332+CJ329*CK331+CJ330*CK330+CJ331*CK329+CJ332</f>
        <v>1524.0723248909189</v>
      </c>
      <c r="CM332" s="134">
        <f t="shared" si="631"/>
        <v>2.4814810036192136E-2</v>
      </c>
      <c r="CN332" s="135">
        <f t="shared" si="632"/>
        <v>1.1102973095571039E-2</v>
      </c>
      <c r="CO332" s="135">
        <f t="shared" ref="CO332:CO352" si="641">+(CN332+CN331+CN330)/3</f>
        <v>1.0475520951154471E-2</v>
      </c>
      <c r="CP332" s="134">
        <f>VLOOKUP($H332,RoR!$E:$F,2,FALSE)</f>
        <v>6.4916666666666664E-2</v>
      </c>
      <c r="CQ332" s="135">
        <v>1.5246423291824351E-2</v>
      </c>
      <c r="CR332" s="135">
        <f t="shared" si="639"/>
        <v>4.9670243374842313E-2</v>
      </c>
      <c r="CS332" s="135">
        <f t="shared" ref="CS332:CS352" si="642">+$CR$2-CO332</f>
        <v>2.0426420657379152E-2</v>
      </c>
      <c r="CT332" s="135">
        <f t="shared" ref="CT332:CT352" si="643">+((DF330/DF329-1)+(DF331/DF330-1)+(DF332/DF331-1))/3</f>
        <v>2.5243621214759093E-2</v>
      </c>
      <c r="CU332" s="139">
        <f t="shared" si="633"/>
        <v>0.85126000000000002</v>
      </c>
      <c r="CV332" s="335">
        <f t="shared" si="634"/>
        <v>0.78996741384417901</v>
      </c>
      <c r="CW332" s="335">
        <f t="shared" si="635"/>
        <v>0.58989088575096271</v>
      </c>
      <c r="CX332" s="335">
        <f t="shared" si="636"/>
        <v>0.91920675783645744</v>
      </c>
      <c r="CY332" s="335">
        <f t="shared" si="637"/>
        <v>0.42834536472275586</v>
      </c>
      <c r="CZ332" s="336">
        <f>INDEX('State Tax Lookup'!$D$7:$Z$91,MATCH(Calculation!$C332,'State Tax Lookup'!$B$7:$B$91,0),MATCH($H332,'State Tax Lookup'!$D$6:$Z$6,0))</f>
        <v>0.40200000000000002</v>
      </c>
      <c r="DA332" s="303">
        <v>0.37</v>
      </c>
      <c r="DB332" s="57">
        <f t="shared" si="640"/>
        <v>10.471075968305293</v>
      </c>
      <c r="DC332" s="56">
        <f t="shared" ref="DC332:DC352" si="644">LN(DB332/DB331)</f>
        <v>2.5148958211942476E-3</v>
      </c>
      <c r="DD332" s="303">
        <f>VLOOKUP($H332,RoR!$E:$F,2,FALSE)</f>
        <v>6.4916666666666664E-2</v>
      </c>
      <c r="DE332" s="304">
        <f>HLOOKUP($H332,'GDP-PI'!$D$8:$CQ$11,3,FALSE)</f>
        <v>1.5246423291824351E-2</v>
      </c>
      <c r="DF332" s="303">
        <f>VLOOKUP(H332,'HW Dx Data'!$E:$F,2,FALSE)</f>
        <v>361.34816573413599</v>
      </c>
      <c r="DG332" s="89"/>
      <c r="DH332" s="89"/>
      <c r="DI332" s="89"/>
      <c r="DJ332" s="56"/>
      <c r="DK332" s="53">
        <f>HLOOKUP(H332,'GDP-PI'!$8:$9,2,FALSE)</f>
        <v>81.039000000000001</v>
      </c>
      <c r="DL332" s="355">
        <f>LN(DK332/DK331)</f>
        <v>1.513136459537477E-2</v>
      </c>
      <c r="EC332"/>
    </row>
    <row r="333" spans="1:133" s="126" customFormat="1" ht="21" customHeight="1" x14ac:dyDescent="0.4">
      <c r="A333" s="233" t="s">
        <v>202</v>
      </c>
      <c r="B333" s="127" t="s">
        <v>202</v>
      </c>
      <c r="C333" s="127">
        <v>4059402</v>
      </c>
      <c r="D333" s="127" t="s">
        <v>203</v>
      </c>
      <c r="E333" s="127" t="s">
        <v>15</v>
      </c>
      <c r="F333" s="127"/>
      <c r="G333" s="127" t="s">
        <v>159</v>
      </c>
      <c r="H333" s="128">
        <v>2003</v>
      </c>
      <c r="I333" s="129"/>
      <c r="J333" s="125"/>
      <c r="K333" s="125"/>
      <c r="L333" s="47"/>
      <c r="M333" s="125"/>
      <c r="N333" s="125"/>
      <c r="O333" s="125"/>
      <c r="P333" s="59"/>
      <c r="Q333" s="59"/>
      <c r="R333" s="386"/>
      <c r="S333" s="119"/>
      <c r="T333" s="59"/>
      <c r="U333" s="59"/>
      <c r="V333" s="125"/>
      <c r="W333" s="125"/>
      <c r="X333" s="125"/>
      <c r="Y333" s="125"/>
      <c r="Z333" s="125"/>
      <c r="AA333" s="125"/>
      <c r="AB333" s="125"/>
      <c r="AC333" s="125">
        <f t="shared" si="627"/>
        <v>16081.347964479419</v>
      </c>
      <c r="AD333" s="129"/>
      <c r="AE333" s="133">
        <v>1591.7292374024723</v>
      </c>
      <c r="AF333" s="134">
        <v>2.376902379704305E-2</v>
      </c>
      <c r="AG333" s="61"/>
      <c r="AH333" s="134"/>
      <c r="AI333" s="134"/>
      <c r="AJ333" s="129">
        <f t="shared" si="569"/>
        <v>16081.347964479419</v>
      </c>
      <c r="AK333" s="134"/>
      <c r="AL333" s="129"/>
      <c r="AM333" s="129"/>
      <c r="AN333" s="129"/>
      <c r="AO333" s="129"/>
      <c r="AP333" s="133"/>
      <c r="AQ333" s="134"/>
      <c r="AR333" s="93"/>
      <c r="AS333" s="93"/>
      <c r="AT333" s="93"/>
      <c r="AU333" s="93"/>
      <c r="AV333" s="93"/>
      <c r="AW333" s="134"/>
      <c r="AX333" s="62"/>
      <c r="AY333" s="93"/>
      <c r="AZ333" s="93"/>
      <c r="BA333" s="93"/>
      <c r="BB333" s="234">
        <f>IFERROR(INDEX('Total Customers'!$E$7:$AA$91,MATCH($C333,'Total Customers'!$C$7:$C$91,0),MATCH($G333,'Total Customers'!$E$5:$AA$5,0)),"NA")</f>
        <v>150946</v>
      </c>
      <c r="BC333" s="411">
        <f t="shared" si="622"/>
        <v>1.8811638091260692E-2</v>
      </c>
      <c r="BD333" s="92"/>
      <c r="BE333" s="281" t="str">
        <f t="shared" si="618"/>
        <v>CONNECTICUT NATURAL GAS CORPORATION</v>
      </c>
      <c r="BF333" s="290">
        <f t="shared" si="619"/>
        <v>4059402</v>
      </c>
      <c r="BG333" s="46" t="str">
        <f t="shared" si="620"/>
        <v>CT</v>
      </c>
      <c r="BH333" s="46"/>
      <c r="BI333" s="46" t="str">
        <f t="shared" si="621"/>
        <v>2003 Y</v>
      </c>
      <c r="BJ333" s="129"/>
      <c r="BK333" s="129"/>
      <c r="BL333" s="129">
        <f>INDEX('Dist. Plant Gas Additions'!$E$7:$AD$91,MATCH($C333,'Dist. Plant Gas Additions'!$C$7:$C$91,0),MATCH(Calculation!$G333,'Dist. Plant Gas Additions'!$E$5:$AD$5,0))</f>
        <v>16792</v>
      </c>
      <c r="BM333" s="129">
        <f>INDEX('Gen. Plant Additions'!$E$7:$AD$91,MATCH($C333,'Gen. Plant Additions'!$C$7:$C$91,0),MATCH(Calculation!$G333,'Gen. Plant Additions'!$E$5:$AD$5,0))</f>
        <v>268</v>
      </c>
      <c r="BN333" s="393">
        <f t="shared" si="628"/>
        <v>0.91177041103330558</v>
      </c>
      <c r="BO333" s="46">
        <f t="shared" si="576"/>
        <v>244.35447015692588</v>
      </c>
      <c r="BP333" s="46">
        <f t="shared" si="577"/>
        <v>-23.645529843074115</v>
      </c>
      <c r="BQ333" s="129">
        <f>INDEX('Dist Plant Depreciation'!$D$7:$AC$94,MATCH($C333,'Dist Plant Depreciation'!$C$7:$C$94,0),MATCH(Calculation!$G333,'Dist Plant Depreciation'!$D$5:$AC$5,0))</f>
        <v>191074</v>
      </c>
      <c r="BR333" s="129">
        <f>INDEX('Gen. Plant Depreciation'!$D$7:$AC$94,MATCH($C333,'Gen. Plant Depreciation'!$C$7:$C$94,0),MATCH(Calculation!$G333,'Gen. Plant Depreciation'!$D$5:$AC$5,0))</f>
        <v>25749</v>
      </c>
      <c r="BS333" s="129"/>
      <c r="BT333" s="129"/>
      <c r="BU333" s="129"/>
      <c r="BV333" s="129"/>
      <c r="BW333" s="129"/>
      <c r="BX333" s="129"/>
      <c r="BY333" s="129">
        <f>INDEX('Gross Dx Plant'!$D$7:$AC$91,MATCH($C333,'Gross Dx Plant'!$C$7:$C$91,0),MATCH(Calculation!$G333,'Gross Dx Plant'!$D$5:$AC$5,0))</f>
        <v>470045</v>
      </c>
      <c r="BZ333" s="129">
        <f>INDEX('Gross Gen Plant'!$D$7:$AC$91,MATCH($C333,'Gross Gen Plant'!$C$7:$C$91,0),MATCH(Calculation!$G333,'Gross Gen Plant'!$D$5:$AC$5,0))</f>
        <v>45485</v>
      </c>
      <c r="CA333" s="129">
        <f t="shared" si="626"/>
        <v>298707</v>
      </c>
      <c r="CB333" s="129"/>
      <c r="CC333" s="133">
        <v>2003</v>
      </c>
      <c r="CD333" s="129"/>
      <c r="CE333" s="129"/>
      <c r="CF333" s="129"/>
      <c r="CG333" s="137"/>
      <c r="CH333" s="129">
        <f t="shared" si="629"/>
        <v>17060</v>
      </c>
      <c r="CI333" s="46">
        <f t="shared" si="638"/>
        <v>17036.354470156926</v>
      </c>
      <c r="CJ333" s="46">
        <f t="shared" si="630"/>
        <v>46.139846559400524</v>
      </c>
      <c r="CK333" s="443">
        <v>0.94845360824742264</v>
      </c>
      <c r="CL333" s="46">
        <f>+CL328*CK333+CJ329*CK332+CJ330*CK331+CJ331*CK330+CJ332*CK329+CJ333</f>
        <v>1553.3413407437972</v>
      </c>
      <c r="CM333" s="134">
        <f t="shared" si="631"/>
        <v>1.902240102553578E-2</v>
      </c>
      <c r="CN333" s="135">
        <f t="shared" si="632"/>
        <v>1.1069573556969957E-2</v>
      </c>
      <c r="CO333" s="135">
        <f t="shared" si="641"/>
        <v>1.0769062683231162E-2</v>
      </c>
      <c r="CP333" s="134">
        <f>VLOOKUP($H333,RoR!$E:$F,2,FALSE)</f>
        <v>5.6666666666666671E-2</v>
      </c>
      <c r="CQ333" s="135">
        <v>1.8855119140166909E-2</v>
      </c>
      <c r="CR333" s="135">
        <f t="shared" si="639"/>
        <v>3.7811547526499761E-2</v>
      </c>
      <c r="CS333" s="135">
        <f t="shared" si="642"/>
        <v>2.0132878925302463E-2</v>
      </c>
      <c r="CT333" s="135">
        <f t="shared" si="643"/>
        <v>2.1375012817671957E-2</v>
      </c>
      <c r="CU333" s="139">
        <f t="shared" si="633"/>
        <v>0.85126000000000002</v>
      </c>
      <c r="CV333" s="335">
        <f t="shared" si="634"/>
        <v>0.90497737556561086</v>
      </c>
      <c r="CW333" s="335">
        <f t="shared" si="635"/>
        <v>0.5338235294117647</v>
      </c>
      <c r="CX333" s="335">
        <f t="shared" si="636"/>
        <v>0.88972433127405692</v>
      </c>
      <c r="CY333" s="335">
        <f t="shared" si="637"/>
        <v>0.42982423775949252</v>
      </c>
      <c r="CZ333" s="336">
        <f>INDEX('State Tax Lookup'!$D$7:$Z$91,MATCH(Calculation!$C333,'State Tax Lookup'!$B$7:$B$91,0),MATCH($H333,'State Tax Lookup'!$D$6:$Z$6,0))</f>
        <v>0.40200000000000002</v>
      </c>
      <c r="DA333" s="303">
        <v>0.37</v>
      </c>
      <c r="DB333" s="57">
        <f t="shared" si="640"/>
        <v>10.551564844949464</v>
      </c>
      <c r="DC333" s="56">
        <f t="shared" si="644"/>
        <v>7.6573890646398591E-3</v>
      </c>
      <c r="DD333" s="303">
        <f>VLOOKUP($H333,RoR!$E:$F,2,FALSE)</f>
        <v>5.6666666666666671E-2</v>
      </c>
      <c r="DE333" s="304">
        <f>HLOOKUP($H333,'GDP-PI'!$D$8:$CQ$11,3,FALSE)</f>
        <v>1.8855119140166909E-2</v>
      </c>
      <c r="DF333" s="303">
        <f>VLOOKUP(H333,'HW Dx Data'!$E:$F,2,FALSE)</f>
        <v>369.23301095560191</v>
      </c>
      <c r="DG333" s="89">
        <f ca="1">VLOOKUP(CC333,'ECI - Input Price'!M$13:N$33,2,FALSE)</f>
        <v>89.25</v>
      </c>
      <c r="DH333" s="89"/>
      <c r="DI333" s="89"/>
      <c r="DJ333" s="56"/>
      <c r="DK333" s="53">
        <f>HLOOKUP(H333,'GDP-PI'!$8:$9,2,FALSE)</f>
        <v>82.566999999999993</v>
      </c>
      <c r="DL333" s="355">
        <f t="shared" ref="DL333:DL352" si="645">LN(DK333/DK332)</f>
        <v>1.8679564681853753E-2</v>
      </c>
      <c r="EC333"/>
    </row>
    <row r="334" spans="1:133" s="126" customFormat="1" ht="21" customHeight="1" x14ac:dyDescent="0.4">
      <c r="A334" s="233" t="s">
        <v>202</v>
      </c>
      <c r="B334" s="127" t="s">
        <v>202</v>
      </c>
      <c r="C334" s="127">
        <v>4059402</v>
      </c>
      <c r="D334" s="127" t="s">
        <v>203</v>
      </c>
      <c r="E334" s="127" t="s">
        <v>15</v>
      </c>
      <c r="F334" s="127"/>
      <c r="G334" s="127" t="s">
        <v>160</v>
      </c>
      <c r="H334" s="128">
        <v>2004</v>
      </c>
      <c r="I334" s="129"/>
      <c r="J334" s="125">
        <f>IFERROR(INDEX('Labor Expenditures'!$E$7:$W$91,MATCH($C334,'Labor Expenditures'!$C$7:$C$91,0),MATCH($G334,'Labor Expenditures'!$E$5:$W$5,0)),"NA")</f>
        <v>16434.491736383858</v>
      </c>
      <c r="K334" s="125">
        <f t="shared" ref="K334:K352" ca="1" si="646">+J334/DG334</f>
        <v>174.18645189596035</v>
      </c>
      <c r="L334" s="47"/>
      <c r="M334" s="131"/>
      <c r="N334" s="131"/>
      <c r="O334" s="131"/>
      <c r="P334" s="59"/>
      <c r="Q334" s="59"/>
      <c r="R334" s="386"/>
      <c r="S334" s="119"/>
      <c r="T334" s="59"/>
      <c r="U334" s="59"/>
      <c r="V334" s="125">
        <f>IFERROR(INDEX('Non-Labor Expenditures'!$E$7:$AA$91,MATCH($C334,'Non-Labor Expenditures'!$C$7:$C$91,0),MATCH($G334,'Non-Labor Expenditures'!$E$5:$AA$5,0)),"NA")</f>
        <v>23800.213573929435</v>
      </c>
      <c r="W334" s="125">
        <f t="shared" ref="W334:W352" si="647">+V334/DK334</f>
        <v>280.7357283013215</v>
      </c>
      <c r="X334" s="125"/>
      <c r="Y334" s="125"/>
      <c r="Z334" s="125"/>
      <c r="AA334" s="125"/>
      <c r="AB334" s="125"/>
      <c r="AC334" s="125">
        <f t="shared" si="627"/>
        <v>17965.159520500289</v>
      </c>
      <c r="AD334" s="129"/>
      <c r="AE334" s="133">
        <v>1626.9617579526073</v>
      </c>
      <c r="AF334" s="134">
        <v>2.1893327372862804E-2</v>
      </c>
      <c r="AG334" s="59">
        <f t="shared" ref="AG334:AG352" si="648">+AF334*$AX334</f>
        <v>0</v>
      </c>
      <c r="AH334" s="134"/>
      <c r="AI334" s="134"/>
      <c r="AJ334" s="129">
        <f t="shared" si="569"/>
        <v>58199.864830813582</v>
      </c>
      <c r="AK334" s="134"/>
      <c r="AL334" s="129"/>
      <c r="AM334" s="129"/>
      <c r="AN334" s="129"/>
      <c r="AO334" s="129"/>
      <c r="AP334" s="133"/>
      <c r="AQ334" s="134"/>
      <c r="AR334" s="93">
        <f t="shared" ref="AR334:AR351" si="649">+J334/AJ334</f>
        <v>0.28238023892596242</v>
      </c>
      <c r="AS334" s="93">
        <f t="shared" ref="AS334:AS351" si="650">+V334/AJ334</f>
        <v>0.40893932731830934</v>
      </c>
      <c r="AT334" s="93">
        <f t="shared" ref="AT334:AT351" si="651">+AC334/AJ334</f>
        <v>0.30868043375572823</v>
      </c>
      <c r="AU334" s="93"/>
      <c r="AV334" s="93"/>
      <c r="AW334" s="134"/>
      <c r="AX334" s="62"/>
      <c r="AY334" s="93"/>
      <c r="AZ334" s="93"/>
      <c r="BA334" s="93"/>
      <c r="BB334" s="234">
        <f>IFERROR(INDEX('Total Customers'!$E$7:$AA$91,MATCH($C334,'Total Customers'!$C$7:$C$91,0),MATCH($G334,'Total Customers'!$E$5:$AA$5,0)),"NA")</f>
        <v>151127</v>
      </c>
      <c r="BC334" s="411">
        <f t="shared" si="622"/>
        <v>1.198385964065602E-3</v>
      </c>
      <c r="BD334" s="92"/>
      <c r="BE334" s="281" t="str">
        <f t="shared" si="618"/>
        <v>CONNECTICUT NATURAL GAS CORPORATION</v>
      </c>
      <c r="BF334" s="290">
        <f t="shared" si="619"/>
        <v>4059402</v>
      </c>
      <c r="BG334" s="46" t="str">
        <f t="shared" si="620"/>
        <v>CT</v>
      </c>
      <c r="BH334" s="46"/>
      <c r="BI334" s="46" t="str">
        <f t="shared" si="621"/>
        <v>2004 Y</v>
      </c>
      <c r="BJ334" s="129"/>
      <c r="BK334" s="129"/>
      <c r="BL334" s="129">
        <f>INDEX('Dist. Plant Gas Additions'!$E$7:$AD$91,MATCH($C334,'Dist. Plant Gas Additions'!$C$7:$C$91,0),MATCH(Calculation!$G334,'Dist. Plant Gas Additions'!$E$5:$AD$5,0))</f>
        <v>17251</v>
      </c>
      <c r="BM334" s="129">
        <f>INDEX('Gen. Plant Additions'!$E$7:$AD$91,MATCH($C334,'Gen. Plant Additions'!$C$7:$C$91,0),MATCH(Calculation!$G334,'Gen. Plant Additions'!$E$5:$AD$5,0))</f>
        <v>1237</v>
      </c>
      <c r="BN334" s="393">
        <f t="shared" si="628"/>
        <v>0.95236469517172095</v>
      </c>
      <c r="BO334" s="46">
        <f t="shared" si="576"/>
        <v>1178.0751279274189</v>
      </c>
      <c r="BP334" s="46">
        <f t="shared" si="577"/>
        <v>-58.924872072581138</v>
      </c>
      <c r="BQ334" s="129">
        <f>INDEX('Dist Plant Depreciation'!$D$7:$AC$94,MATCH($C334,'Dist Plant Depreciation'!$C$7:$C$94,0),MATCH(Calculation!$G334,'Dist Plant Depreciation'!$D$5:$AC$5,0))</f>
        <v>207297</v>
      </c>
      <c r="BR334" s="129">
        <f>INDEX('Gen. Plant Depreciation'!$D$7:$AC$94,MATCH($C334,'Gen. Plant Depreciation'!$C$7:$C$94,0),MATCH(Calculation!$G334,'Gen. Plant Depreciation'!$D$5:$AC$5,0))</f>
        <v>10637</v>
      </c>
      <c r="BS334" s="129"/>
      <c r="BT334" s="129"/>
      <c r="BU334" s="129"/>
      <c r="BV334" s="129"/>
      <c r="BW334" s="129"/>
      <c r="BX334" s="129"/>
      <c r="BY334" s="129">
        <f>INDEX('Gross Dx Plant'!$D$7:$AC$91,MATCH($C334,'Gross Dx Plant'!$C$7:$C$91,0),MATCH(Calculation!$G334,'Gross Dx Plant'!$D$5:$AC$5,0))</f>
        <v>485386</v>
      </c>
      <c r="BZ334" s="129">
        <f>INDEX('Gross Gen Plant'!$D$7:$AC$91,MATCH($C334,'Gross Gen Plant'!$C$7:$C$91,0),MATCH(Calculation!$G334,'Gross Gen Plant'!$D$5:$AC$5,0))</f>
        <v>24278</v>
      </c>
      <c r="CA334" s="129">
        <f t="shared" si="626"/>
        <v>291730</v>
      </c>
      <c r="CB334" s="129"/>
      <c r="CC334" s="133">
        <v>2004</v>
      </c>
      <c r="CD334" s="129"/>
      <c r="CE334" s="129"/>
      <c r="CF334" s="129"/>
      <c r="CG334" s="137"/>
      <c r="CH334" s="129">
        <f t="shared" si="629"/>
        <v>18488</v>
      </c>
      <c r="CI334" s="46">
        <f t="shared" si="638"/>
        <v>18429.075127927419</v>
      </c>
      <c r="CJ334" s="46">
        <f t="shared" si="630"/>
        <v>44.419484409387707</v>
      </c>
      <c r="CK334" s="443">
        <v>0.9375</v>
      </c>
      <c r="CL334" s="46">
        <f>+CL328*CK334+CJ329*CK333+CJ330*CK332+CJ331*CK331+CJ332*CK330+CJ333*CK329+CJ334</f>
        <v>1580.0828534159166</v>
      </c>
      <c r="CM334" s="134">
        <f t="shared" si="631"/>
        <v>1.7068970093404159E-2</v>
      </c>
      <c r="CN334" s="135">
        <f t="shared" si="632"/>
        <v>1.1380609833511204E-2</v>
      </c>
      <c r="CO334" s="135">
        <f t="shared" si="641"/>
        <v>1.1184385495350732E-2</v>
      </c>
      <c r="CP334" s="134">
        <f>VLOOKUP($H334,RoR!$E:$F,2,FALSE)</f>
        <v>5.6283333333333331E-2</v>
      </c>
      <c r="CQ334" s="135">
        <v>2.6778252812867276E-2</v>
      </c>
      <c r="CR334" s="135">
        <f t="shared" si="639"/>
        <v>2.9505080520466055E-2</v>
      </c>
      <c r="CS334" s="135">
        <f t="shared" si="642"/>
        <v>1.9717556113182891E-2</v>
      </c>
      <c r="CT334" s="135">
        <f t="shared" si="643"/>
        <v>5.5940039414565046E-2</v>
      </c>
      <c r="CU334" s="139">
        <f t="shared" si="633"/>
        <v>0.85126000000000002</v>
      </c>
      <c r="CV334" s="335">
        <f t="shared" si="634"/>
        <v>0.91114097628755619</v>
      </c>
      <c r="CW334" s="335">
        <f t="shared" si="635"/>
        <v>0.53081877405981637</v>
      </c>
      <c r="CX334" s="335">
        <f t="shared" si="636"/>
        <v>0.88811215519385678</v>
      </c>
      <c r="CY334" s="335">
        <f t="shared" si="637"/>
        <v>0.42953609753547711</v>
      </c>
      <c r="CZ334" s="336">
        <f>INDEX('State Tax Lookup'!$D$7:$Z$91,MATCH(Calculation!$C334,'State Tax Lookup'!$B$7:$B$91,0),MATCH($H334,'State Tax Lookup'!$D$6:$Z$6,0))</f>
        <v>0.40200000000000002</v>
      </c>
      <c r="DA334" s="303">
        <v>0.37</v>
      </c>
      <c r="DB334" s="57">
        <f t="shared" si="640"/>
        <v>11.565493719428021</v>
      </c>
      <c r="DC334" s="56">
        <f t="shared" si="644"/>
        <v>9.175181014208858E-2</v>
      </c>
      <c r="DD334" s="303">
        <f>VLOOKUP($H334,RoR!$E:$F,2,FALSE)</f>
        <v>5.6283333333333331E-2</v>
      </c>
      <c r="DE334" s="304">
        <f>HLOOKUP($H334,'GDP-PI'!$D$8:$CQ$11,3,FALSE)</f>
        <v>2.6778252812867276E-2</v>
      </c>
      <c r="DF334" s="303">
        <f>VLOOKUP(H334,'HW Dx Data'!$E:$F,2,FALSE)</f>
        <v>414.88719135228365</v>
      </c>
      <c r="DG334" s="89">
        <f ca="1">VLOOKUP(CC334,'ECI - Input Price'!M$13:N$33,2,FALSE)</f>
        <v>94.35</v>
      </c>
      <c r="DH334" s="89"/>
      <c r="DI334" s="89"/>
      <c r="DJ334" s="56">
        <f t="shared" ref="DJ334:DJ352" ca="1" si="652">LN(DG334/DG333)</f>
        <v>5.5569851154810786E-2</v>
      </c>
      <c r="DK334" s="53">
        <f>HLOOKUP(H334,'GDP-PI'!$8:$9,2,FALSE)</f>
        <v>84.778000000000006</v>
      </c>
      <c r="DL334" s="355">
        <f t="shared" si="645"/>
        <v>2.6425990216022755E-2</v>
      </c>
      <c r="EC334"/>
    </row>
    <row r="335" spans="1:133" s="126" customFormat="1" ht="21" customHeight="1" x14ac:dyDescent="0.4">
      <c r="A335" s="233" t="s">
        <v>202</v>
      </c>
      <c r="B335" s="127" t="s">
        <v>202</v>
      </c>
      <c r="C335" s="127">
        <v>4059402</v>
      </c>
      <c r="D335" s="127" t="s">
        <v>203</v>
      </c>
      <c r="E335" s="127" t="s">
        <v>15</v>
      </c>
      <c r="F335" s="127"/>
      <c r="G335" s="127" t="s">
        <v>161</v>
      </c>
      <c r="H335" s="128">
        <v>2005</v>
      </c>
      <c r="I335" s="129"/>
      <c r="J335" s="125">
        <f>IFERROR(INDEX('Labor Expenditures'!$E$7:$W$91,MATCH($C335,'Labor Expenditures'!$C$7:$C$91,0),MATCH($G335,'Labor Expenditures'!$E$5:$W$5,0)),"NA")</f>
        <v>16398.18378990272</v>
      </c>
      <c r="K335" s="125">
        <f t="shared" ca="1" si="646"/>
        <v>165.26262322905237</v>
      </c>
      <c r="L335" s="47"/>
      <c r="M335" s="131">
        <f t="shared" ref="M335:M351" ca="1" si="653">LN(K335/K334)</f>
        <v>-5.2590423629168999E-2</v>
      </c>
      <c r="N335" s="131"/>
      <c r="O335" s="131"/>
      <c r="P335" s="59"/>
      <c r="Q335" s="61"/>
      <c r="R335" s="387"/>
      <c r="S335" s="49">
        <v>100</v>
      </c>
      <c r="T335" s="46"/>
      <c r="U335" s="46"/>
      <c r="V335" s="125">
        <f>IFERROR(INDEX('Non-Labor Expenditures'!$E$7:$AA$91,MATCH($C335,'Non-Labor Expenditures'!$C$7:$C$91,0),MATCH($G335,'Non-Labor Expenditures'!$E$5:$AA$5,0)),"NA")</f>
        <v>23747.632886035764</v>
      </c>
      <c r="W335" s="125">
        <f t="shared" si="647"/>
        <v>271.69028665937242</v>
      </c>
      <c r="X335" s="131">
        <f>LN(W335/W334)</f>
        <v>-3.2750992585332893E-2</v>
      </c>
      <c r="Y335" s="131"/>
      <c r="Z335" s="131"/>
      <c r="AA335" s="131"/>
      <c r="AB335" s="131"/>
      <c r="AC335" s="125">
        <f t="shared" si="627"/>
        <v>20391.73037161888</v>
      </c>
      <c r="AD335" s="129"/>
      <c r="AE335" s="133">
        <v>1660.094857699456</v>
      </c>
      <c r="AF335" s="134">
        <v>2.0160420606462798E-2</v>
      </c>
      <c r="AG335" s="59">
        <f t="shared" si="648"/>
        <v>0</v>
      </c>
      <c r="AH335" s="134"/>
      <c r="AI335" s="134"/>
      <c r="AJ335" s="129">
        <f t="shared" si="569"/>
        <v>60537.547047557367</v>
      </c>
      <c r="AK335" s="134">
        <f>LN(AJ335/AJ334)</f>
        <v>3.9380752652825521E-2</v>
      </c>
      <c r="AL335" s="129"/>
      <c r="AM335" s="129"/>
      <c r="AN335" s="129"/>
      <c r="AO335" s="129"/>
      <c r="AP335" s="133"/>
      <c r="AQ335" s="134"/>
      <c r="AR335" s="93">
        <f t="shared" si="649"/>
        <v>0.27087625101526758</v>
      </c>
      <c r="AS335" s="93">
        <f t="shared" si="650"/>
        <v>0.39227940417506491</v>
      </c>
      <c r="AT335" s="93">
        <f t="shared" si="651"/>
        <v>0.33684434480966746</v>
      </c>
      <c r="AU335" s="93">
        <f t="shared" ref="AU335:AU351" ca="1" si="654">+(((AR335+AR334)/2)*M335+((AS334+AS335)/2)*X335+((AT334+AT335)/2)*AF335)</f>
        <v>-2.1161325434096778E-2</v>
      </c>
      <c r="AV335" s="132">
        <v>100</v>
      </c>
      <c r="AW335" s="134"/>
      <c r="AX335" s="15"/>
      <c r="AY335" s="93"/>
      <c r="AZ335" s="93"/>
      <c r="BA335" s="93"/>
      <c r="BB335" s="234">
        <f>IFERROR(INDEX('Total Customers'!$E$7:$AA$91,MATCH($C335,'Total Customers'!$C$7:$C$91,0),MATCH($G335,'Total Customers'!$E$5:$AA$5,0)),"NA")</f>
        <v>152980</v>
      </c>
      <c r="BC335" s="411">
        <f t="shared" si="622"/>
        <v>1.2186650968582662E-2</v>
      </c>
      <c r="BD335" s="92"/>
      <c r="BE335" s="281" t="str">
        <f t="shared" si="618"/>
        <v>CONNECTICUT NATURAL GAS CORPORATION</v>
      </c>
      <c r="BF335" s="290">
        <f t="shared" si="619"/>
        <v>4059402</v>
      </c>
      <c r="BG335" s="46" t="str">
        <f t="shared" si="620"/>
        <v>CT</v>
      </c>
      <c r="BH335" s="46"/>
      <c r="BI335" s="46" t="str">
        <f t="shared" si="621"/>
        <v>2005 Y</v>
      </c>
      <c r="BJ335" s="129"/>
      <c r="BK335" s="129"/>
      <c r="BL335" s="129">
        <f>INDEX('Dist. Plant Gas Additions'!$E$7:$AD$91,MATCH($C335,'Dist. Plant Gas Additions'!$C$7:$C$91,0),MATCH(Calculation!$G335,'Dist. Plant Gas Additions'!$E$5:$AD$5,0))</f>
        <v>18769</v>
      </c>
      <c r="BM335" s="129">
        <f>INDEX('Gen. Plant Additions'!$E$7:$AD$91,MATCH($C335,'Gen. Plant Additions'!$C$7:$C$91,0),MATCH(Calculation!$G335,'Gen. Plant Additions'!$E$5:$AD$5,0))</f>
        <v>1401</v>
      </c>
      <c r="BN335" s="393">
        <f t="shared" si="628"/>
        <v>0.9514711082619951</v>
      </c>
      <c r="BO335" s="46">
        <f t="shared" si="576"/>
        <v>1333.0110226750551</v>
      </c>
      <c r="BP335" s="46">
        <f t="shared" si="577"/>
        <v>-67.988977324944926</v>
      </c>
      <c r="BQ335" s="129">
        <f>INDEX('Dist Plant Depreciation'!$D$7:$AC$94,MATCH($C335,'Dist Plant Depreciation'!$C$7:$C$94,0),MATCH(Calculation!$G335,'Dist Plant Depreciation'!$D$5:$AC$5,0))</f>
        <v>215612</v>
      </c>
      <c r="BR335" s="129">
        <f>INDEX('Gen. Plant Depreciation'!$D$7:$AC$94,MATCH($C335,'Gen. Plant Depreciation'!$C$7:$C$94,0),MATCH(Calculation!$G335,'Gen. Plant Depreciation'!$D$5:$AC$5,0))</f>
        <v>12044</v>
      </c>
      <c r="BS335" s="129"/>
      <c r="BT335" s="129"/>
      <c r="BU335" s="129"/>
      <c r="BV335" s="129"/>
      <c r="BW335" s="129"/>
      <c r="BX335" s="129"/>
      <c r="BY335" s="129">
        <f>INDEX('Gross Dx Plant'!$D$7:$AC$91,MATCH($C335,'Gross Dx Plant'!$C$7:$C$91,0),MATCH(Calculation!$G335,'Gross Dx Plant'!$D$5:$AC$5,0))</f>
        <v>503156</v>
      </c>
      <c r="BZ335" s="129">
        <f>INDEX('Gross Gen Plant'!$D$7:$AC$91,MATCH($C335,'Gross Gen Plant'!$C$7:$C$91,0),MATCH(Calculation!$G335,'Gross Gen Plant'!$D$5:$AC$5,0))</f>
        <v>25663</v>
      </c>
      <c r="CA335" s="129">
        <f t="shared" si="626"/>
        <v>301163</v>
      </c>
      <c r="CB335" s="129"/>
      <c r="CC335" s="133">
        <v>2005</v>
      </c>
      <c r="CD335" s="129"/>
      <c r="CE335" s="129"/>
      <c r="CF335" s="129"/>
      <c r="CG335" s="137"/>
      <c r="CH335" s="129">
        <f t="shared" si="629"/>
        <v>20170</v>
      </c>
      <c r="CI335" s="46">
        <f t="shared" si="638"/>
        <v>20102.011022675055</v>
      </c>
      <c r="CJ335" s="46">
        <f t="shared" si="630"/>
        <v>42.842691381657545</v>
      </c>
      <c r="CK335" s="443">
        <v>0.9263157894736842</v>
      </c>
      <c r="CL335" s="46">
        <f>+CL328*CK335+CJ329*CK334+CJ330*CK333+CJ331*CK332+CJ332*CK331+CJ333*CK330+CJ334*CK329+CJ335</f>
        <v>1604.4373023052178</v>
      </c>
      <c r="CM335" s="134">
        <f t="shared" si="631"/>
        <v>1.5295820111896665E-2</v>
      </c>
      <c r="CN335" s="135">
        <f t="shared" si="632"/>
        <v>1.1700805721919791E-2</v>
      </c>
      <c r="CO335" s="135">
        <f t="shared" si="641"/>
        <v>1.1383663037466983E-2</v>
      </c>
      <c r="CP335" s="134">
        <f>VLOOKUP($H335,RoR!$E:$F,2,FALSE)</f>
        <v>5.2350000000000001E-2</v>
      </c>
      <c r="CQ335" s="135">
        <v>3.1010403642454332E-2</v>
      </c>
      <c r="CR335" s="135">
        <f t="shared" si="639"/>
        <v>2.1339596357545669E-2</v>
      </c>
      <c r="CS335" s="135">
        <f t="shared" si="642"/>
        <v>1.9518278571066642E-2</v>
      </c>
      <c r="CT335" s="135">
        <f t="shared" si="643"/>
        <v>9.2129610649277341E-2</v>
      </c>
      <c r="CU335" s="139">
        <f t="shared" si="633"/>
        <v>0.85126000000000002</v>
      </c>
      <c r="CV335" s="335">
        <f t="shared" si="634"/>
        <v>0.97959983346802826</v>
      </c>
      <c r="CW335" s="335">
        <f t="shared" si="635"/>
        <v>0.49744508118433622</v>
      </c>
      <c r="CX335" s="335">
        <f t="shared" si="636"/>
        <v>0.87010519444335932</v>
      </c>
      <c r="CY335" s="335">
        <f t="shared" si="637"/>
        <v>0.42399975420741998</v>
      </c>
      <c r="CZ335" s="336">
        <f>INDEX('State Tax Lookup'!$D$7:$Z$91,MATCH(Calculation!$C335,'State Tax Lookup'!$B$7:$B$91,0),MATCH($H335,'State Tax Lookup'!$D$6:$Z$6,0))</f>
        <v>0.40200000000000002</v>
      </c>
      <c r="DA335" s="303">
        <v>0.37</v>
      </c>
      <c r="DB335" s="57">
        <f t="shared" si="640"/>
        <v>12.905481714161274</v>
      </c>
      <c r="DC335" s="56">
        <f t="shared" si="644"/>
        <v>0.10962617458848796</v>
      </c>
      <c r="DD335" s="303">
        <f>VLOOKUP($H335,RoR!$E:$F,2,FALSE)</f>
        <v>5.2350000000000001E-2</v>
      </c>
      <c r="DE335" s="304">
        <f>HLOOKUP($H335,'GDP-PI'!$D$8:$CQ$11,3,FALSE)</f>
        <v>3.1010403642454332E-2</v>
      </c>
      <c r="DF335" s="303">
        <f>VLOOKUP(H335,'HW Dx Data'!$E:$F,2,FALSE)</f>
        <v>469.20514034936258</v>
      </c>
      <c r="DG335" s="89">
        <f ca="1">VLOOKUP(CC335,'ECI - Input Price'!M$13:N$33,2,FALSE)</f>
        <v>99.224999999999994</v>
      </c>
      <c r="DH335" s="89"/>
      <c r="DI335" s="89"/>
      <c r="DJ335" s="56">
        <f t="shared" ca="1" si="652"/>
        <v>5.0378726854569796E-2</v>
      </c>
      <c r="DK335" s="53">
        <f>HLOOKUP(H335,'GDP-PI'!$8:$9,2,FALSE)</f>
        <v>87.406999999999996</v>
      </c>
      <c r="DL335" s="355">
        <f t="shared" si="645"/>
        <v>3.0539295810733648E-2</v>
      </c>
      <c r="EC335"/>
    </row>
    <row r="336" spans="1:133" s="126" customFormat="1" ht="21" customHeight="1" x14ac:dyDescent="0.4">
      <c r="A336" s="233" t="s">
        <v>202</v>
      </c>
      <c r="B336" s="127" t="s">
        <v>202</v>
      </c>
      <c r="C336" s="127">
        <v>4059402</v>
      </c>
      <c r="D336" s="127" t="s">
        <v>203</v>
      </c>
      <c r="E336" s="127" t="s">
        <v>15</v>
      </c>
      <c r="F336" s="127"/>
      <c r="G336" s="127" t="s">
        <v>162</v>
      </c>
      <c r="H336" s="128">
        <v>2006</v>
      </c>
      <c r="I336" s="129"/>
      <c r="J336" s="125">
        <f>IFERROR(INDEX('Labor Expenditures'!$E$7:$W$91,MATCH($C336,'Labor Expenditures'!$C$7:$C$91,0),MATCH($G336,'Labor Expenditures'!$E$5:$W$5,0)),"NA")</f>
        <v>16681.487311645436</v>
      </c>
      <c r="K336" s="125">
        <f t="shared" ca="1" si="646"/>
        <v>152.48160248304785</v>
      </c>
      <c r="L336" s="47"/>
      <c r="M336" s="131">
        <f t="shared" ca="1" si="653"/>
        <v>-8.0491915177889034E-2</v>
      </c>
      <c r="N336" s="131"/>
      <c r="O336" s="131"/>
      <c r="P336" s="59">
        <f t="shared" ref="P336:P352" ca="1" si="655">+M336*$AX336</f>
        <v>-6.7000804099585118E-4</v>
      </c>
      <c r="Q336" s="61"/>
      <c r="R336" s="387"/>
      <c r="S336" s="49">
        <f ca="1">+S335*EXP(T336)</f>
        <v>106.11212088470816</v>
      </c>
      <c r="T336" s="61">
        <f ca="1">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</f>
        <v>5.9326093302107891E-2</v>
      </c>
      <c r="U336" s="61"/>
      <c r="V336" s="125">
        <f>IFERROR(INDEX('Non-Labor Expenditures'!$E$7:$AA$91,MATCH($C336,'Non-Labor Expenditures'!$C$7:$C$91,0),MATCH($G336,'Non-Labor Expenditures'!$E$5:$AA$5,0)),"NA")</f>
        <v>24157.909299318173</v>
      </c>
      <c r="W336" s="125">
        <f t="shared" si="647"/>
        <v>268.20069386635623</v>
      </c>
      <c r="X336" s="131">
        <f t="shared" ref="X336:X351" si="656">LN(W336/W335)</f>
        <v>-1.2927207584591774E-2</v>
      </c>
      <c r="Y336" s="131">
        <f t="shared" ref="Y336:Y352" si="657">+X336*AX336</f>
        <v>-1.0760500616934376E-4</v>
      </c>
      <c r="Z336" s="131"/>
      <c r="AA336" s="131"/>
      <c r="AB336" s="131"/>
      <c r="AC336" s="125">
        <f t="shared" si="627"/>
        <v>20036.274114184223</v>
      </c>
      <c r="AD336" s="129"/>
      <c r="AE336" s="133">
        <v>1694.6274556386536</v>
      </c>
      <c r="AF336" s="134">
        <v>2.0588182563041024E-2</v>
      </c>
      <c r="AG336" s="59">
        <f t="shared" si="648"/>
        <v>1.7137432792153654E-4</v>
      </c>
      <c r="AH336" s="134"/>
      <c r="AI336" s="134"/>
      <c r="AJ336" s="129">
        <f t="shared" si="569"/>
        <v>60875.670725147836</v>
      </c>
      <c r="AK336" s="134">
        <f t="shared" ref="AK336:AK351" si="658">LN(AJ336/AJ335)</f>
        <v>5.5698145213903981E-3</v>
      </c>
      <c r="AL336" s="129"/>
      <c r="AM336" s="129"/>
      <c r="AN336" s="129"/>
      <c r="AO336" s="129"/>
      <c r="AP336" s="133">
        <f t="shared" ref="AP336:AP352" si="659">+(AJ336*1000)/BB336</f>
        <v>395.62282353075483</v>
      </c>
      <c r="AQ336" s="134">
        <f>+BB336/Outputs!$B$14</f>
        <v>4.4367523398460085E-3</v>
      </c>
      <c r="AR336" s="93">
        <f t="shared" si="649"/>
        <v>0.27402551976736228</v>
      </c>
      <c r="AS336" s="93">
        <f t="shared" si="650"/>
        <v>0.39684013353036457</v>
      </c>
      <c r="AT336" s="93">
        <f t="shared" si="651"/>
        <v>0.3291343467022731</v>
      </c>
      <c r="AU336" s="93">
        <f t="shared" ca="1" si="654"/>
        <v>-2.0175004151574569E-2</v>
      </c>
      <c r="AV336" s="132">
        <f ca="1">+AV335*EXP(AU336)</f>
        <v>98.002714947868753</v>
      </c>
      <c r="AW336" s="134">
        <f ca="1">LN(AV336/AV335)</f>
        <v>-2.0175004151574551E-2</v>
      </c>
      <c r="AX336" s="56">
        <f>+AJ336/$AL$11</f>
        <v>8.3239172470317997E-3</v>
      </c>
      <c r="AY336" s="135">
        <f ca="1">+AX336*AW336</f>
        <v>-1.6793506501622957E-4</v>
      </c>
      <c r="AZ336" s="93"/>
      <c r="BA336" s="93"/>
      <c r="BB336" s="234">
        <f>IFERROR(INDEX('Total Customers'!$E$7:$AA$91,MATCH($C336,'Total Customers'!$C$7:$C$91,0),MATCH($G336,'Total Customers'!$E$5:$AA$5,0)),"NA")</f>
        <v>153873</v>
      </c>
      <c r="BC336" s="411">
        <f t="shared" si="622"/>
        <v>5.8203929634716971E-3</v>
      </c>
      <c r="BD336" s="92"/>
      <c r="BE336" s="281" t="str">
        <f t="shared" si="618"/>
        <v>CONNECTICUT NATURAL GAS CORPORATION</v>
      </c>
      <c r="BF336" s="290">
        <f t="shared" si="619"/>
        <v>4059402</v>
      </c>
      <c r="BG336" s="46" t="str">
        <f t="shared" si="620"/>
        <v>CT</v>
      </c>
      <c r="BH336" s="46"/>
      <c r="BI336" s="46" t="str">
        <f t="shared" si="621"/>
        <v>2006 Y</v>
      </c>
      <c r="BJ336" s="129"/>
      <c r="BK336" s="129"/>
      <c r="BL336" s="129">
        <f>INDEX('Dist. Plant Gas Additions'!$E$7:$AD$91,MATCH($C336,'Dist. Plant Gas Additions'!$C$7:$C$91,0),MATCH(Calculation!$G336,'Dist. Plant Gas Additions'!$E$5:$AD$5,0))</f>
        <v>19187</v>
      </c>
      <c r="BM336" s="129">
        <f>INDEX('Gen. Plant Additions'!$E$7:$AD$91,MATCH($C336,'Gen. Plant Additions'!$C$7:$C$91,0),MATCH(Calculation!$G336,'Gen. Plant Additions'!$E$5:$AD$5,0))</f>
        <v>1528</v>
      </c>
      <c r="BN336" s="393">
        <f t="shared" si="628"/>
        <v>0.95300908347450197</v>
      </c>
      <c r="BO336" s="46">
        <f t="shared" si="576"/>
        <v>1456.197879549039</v>
      </c>
      <c r="BP336" s="46">
        <f t="shared" si="577"/>
        <v>-71.802120450960956</v>
      </c>
      <c r="BQ336" s="129">
        <f>INDEX('Dist Plant Depreciation'!$D$7:$AC$94,MATCH($C336,'Dist Plant Depreciation'!$C$7:$C$94,0),MATCH(Calculation!$G336,'Dist Plant Depreciation'!$D$5:$AC$5,0))</f>
        <v>232887</v>
      </c>
      <c r="BR336" s="129">
        <f>INDEX('Gen. Plant Depreciation'!$D$7:$AC$94,MATCH($C336,'Gen. Plant Depreciation'!$C$7:$C$94,0),MATCH(Calculation!$G336,'Gen. Plant Depreciation'!$D$5:$AC$5,0))</f>
        <v>12053</v>
      </c>
      <c r="BS336" s="129"/>
      <c r="BT336" s="129"/>
      <c r="BU336" s="129"/>
      <c r="BV336" s="129"/>
      <c r="BW336" s="129"/>
      <c r="BX336" s="129"/>
      <c r="BY336" s="129">
        <f>INDEX('Gross Dx Plant'!$D$7:$AC$91,MATCH($C336,'Gross Dx Plant'!$C$7:$C$91,0),MATCH(Calculation!$G336,'Gross Dx Plant'!$D$5:$AC$5,0))</f>
        <v>522066</v>
      </c>
      <c r="BZ336" s="129">
        <f>INDEX('Gross Gen Plant'!$D$7:$AC$91,MATCH($C336,'Gross Gen Plant'!$C$7:$C$91,0),MATCH(Calculation!$G336,'Gross Gen Plant'!$D$5:$AC$5,0))</f>
        <v>25742</v>
      </c>
      <c r="CA336" s="129">
        <f t="shared" si="626"/>
        <v>302868</v>
      </c>
      <c r="CB336" s="134"/>
      <c r="CC336" s="133">
        <v>2006</v>
      </c>
      <c r="CD336" s="129"/>
      <c r="CE336" s="129"/>
      <c r="CF336" s="129"/>
      <c r="CG336" s="137"/>
      <c r="CH336" s="129">
        <f t="shared" si="629"/>
        <v>20715</v>
      </c>
      <c r="CI336" s="46">
        <f t="shared" si="638"/>
        <v>20643.197879549039</v>
      </c>
      <c r="CJ336" s="46">
        <f t="shared" si="630"/>
        <v>44.770850842831948</v>
      </c>
      <c r="CK336" s="443">
        <v>0.91489361702127658</v>
      </c>
      <c r="CL336" s="46">
        <f>+CL328*CK336+CJ329*CK335+CJ330*CK334+CJ331*CK333+CJ332*CK332+CJ333*CK331+CJ334*CK330+CJ335*CK329+CJ336</f>
        <v>1629.9046847922903</v>
      </c>
      <c r="CM336" s="134">
        <f t="shared" si="631"/>
        <v>1.5748432874619394E-2</v>
      </c>
      <c r="CN336" s="135">
        <f t="shared" si="632"/>
        <v>1.2031301147152805E-2</v>
      </c>
      <c r="CO336" s="135">
        <f t="shared" si="641"/>
        <v>1.1704238900861266E-2</v>
      </c>
      <c r="CP336" s="134">
        <f>VLOOKUP($H336,RoR!$E:$F,2,FALSE)</f>
        <v>5.5874999999999994E-2</v>
      </c>
      <c r="CQ336" s="135">
        <v>3.0512430354548314E-2</v>
      </c>
      <c r="CR336" s="135">
        <f t="shared" si="639"/>
        <v>2.536256964545168E-2</v>
      </c>
      <c r="CS336" s="135">
        <f t="shared" si="642"/>
        <v>1.9197702707672359E-2</v>
      </c>
      <c r="CT336" s="135">
        <f t="shared" si="643"/>
        <v>7.9087823893859641E-2</v>
      </c>
      <c r="CU336" s="139">
        <f t="shared" si="633"/>
        <v>0.85126000000000002</v>
      </c>
      <c r="CV336" s="335">
        <f t="shared" si="634"/>
        <v>0.91779957551769631</v>
      </c>
      <c r="CW336" s="335">
        <f t="shared" si="635"/>
        <v>0.52757270693512304</v>
      </c>
      <c r="CX336" s="335">
        <f t="shared" si="636"/>
        <v>0.88636824549024895</v>
      </c>
      <c r="CY336" s="335">
        <f t="shared" si="637"/>
        <v>0.42918482841932087</v>
      </c>
      <c r="CZ336" s="336">
        <f>INDEX('State Tax Lookup'!$D$7:$Z$91,MATCH(Calculation!$C336,'State Tax Lookup'!$B$7:$B$91,0),MATCH($H336,'State Tax Lookup'!$D$6:$Z$6,0))</f>
        <v>0.40200000000000002</v>
      </c>
      <c r="DA336" s="303">
        <v>0.37</v>
      </c>
      <c r="DB336" s="57">
        <f t="shared" si="640"/>
        <v>12.488038071289278</v>
      </c>
      <c r="DC336" s="56">
        <f t="shared" si="644"/>
        <v>-3.2880928350542536E-2</v>
      </c>
      <c r="DD336" s="303">
        <f>VLOOKUP($H336,RoR!$E:$F,2,FALSE)</f>
        <v>5.5874999999999994E-2</v>
      </c>
      <c r="DE336" s="304">
        <f>HLOOKUP($H336,'GDP-PI'!$D$8:$CQ$11,3,FALSE)</f>
        <v>3.0512430354548314E-2</v>
      </c>
      <c r="DF336" s="303">
        <f>VLOOKUP(H336,'HW Dx Data'!$E:$F,2,FALSE)</f>
        <v>461.08567272971823</v>
      </c>
      <c r="DG336" s="89">
        <f ca="1">VLOOKUP(CC336,'ECI - Input Price'!M$13:N$33,2,FALSE)</f>
        <v>109.4</v>
      </c>
      <c r="DH336" s="89"/>
      <c r="DI336" s="89"/>
      <c r="DJ336" s="56">
        <f t="shared" ca="1" si="652"/>
        <v>9.7620891318751846E-2</v>
      </c>
      <c r="DK336" s="53">
        <f>HLOOKUP(H336,'GDP-PI'!$8:$9,2,FALSE)</f>
        <v>90.073999999999998</v>
      </c>
      <c r="DL336" s="355">
        <f t="shared" si="645"/>
        <v>3.005618372545445E-2</v>
      </c>
      <c r="EC336"/>
    </row>
    <row r="337" spans="1:133" s="126" customFormat="1" ht="21" customHeight="1" x14ac:dyDescent="0.4">
      <c r="A337" s="233" t="s">
        <v>202</v>
      </c>
      <c r="B337" s="127" t="s">
        <v>202</v>
      </c>
      <c r="C337" s="127">
        <v>4059402</v>
      </c>
      <c r="D337" s="127" t="s">
        <v>203</v>
      </c>
      <c r="E337" s="127" t="s">
        <v>15</v>
      </c>
      <c r="F337" s="127"/>
      <c r="G337" s="127" t="s">
        <v>163</v>
      </c>
      <c r="H337" s="128">
        <v>2007</v>
      </c>
      <c r="I337" s="129"/>
      <c r="J337" s="125">
        <f>IFERROR(INDEX('Labor Expenditures'!$E$7:$W$91,MATCH($C337,'Labor Expenditures'!$C$7:$C$91,0),MATCH($G337,'Labor Expenditures'!$E$5:$W$5,0)),"NA")</f>
        <v>17669.463235382074</v>
      </c>
      <c r="K337" s="125">
        <f t="shared" ca="1" si="646"/>
        <v>169.04533112061301</v>
      </c>
      <c r="L337" s="47"/>
      <c r="M337" s="131">
        <f t="shared" ca="1" si="653"/>
        <v>0.10312296112384021</v>
      </c>
      <c r="N337" s="131"/>
      <c r="O337" s="131"/>
      <c r="P337" s="59">
        <f t="shared" ca="1" si="655"/>
        <v>8.7325479696070149E-4</v>
      </c>
      <c r="Q337" s="61"/>
      <c r="R337" s="387"/>
      <c r="S337" s="49">
        <f t="shared" ref="S337:S350" ca="1" si="660">+S336*EXP(T337)</f>
        <v>117.62269889846765</v>
      </c>
      <c r="T337" s="61">
        <f ca="1">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</f>
        <v>0.10298575539289251</v>
      </c>
      <c r="U337" s="61"/>
      <c r="V337" s="125">
        <f>IFERROR(INDEX('Non-Labor Expenditures'!$E$7:$AA$91,MATCH($C337,'Non-Labor Expenditures'!$C$7:$C$91,0),MATCH($G337,'Non-Labor Expenditures'!$E$5:$AA$5,0)),"NA")</f>
        <v>25588.682965337623</v>
      </c>
      <c r="W337" s="125">
        <f t="shared" si="647"/>
        <v>276.64039184996022</v>
      </c>
      <c r="X337" s="131">
        <f t="shared" si="656"/>
        <v>3.0982880428550096E-2</v>
      </c>
      <c r="Y337" s="131">
        <f t="shared" si="657"/>
        <v>2.6236590438282468E-4</v>
      </c>
      <c r="Z337" s="131"/>
      <c r="AA337" s="131"/>
      <c r="AB337" s="131"/>
      <c r="AC337" s="125">
        <f t="shared" si="627"/>
        <v>21652.879578872544</v>
      </c>
      <c r="AD337" s="129"/>
      <c r="AE337" s="133">
        <v>1735.0326424524796</v>
      </c>
      <c r="AF337" s="134">
        <v>2.3563300824161675E-2</v>
      </c>
      <c r="AG337" s="59">
        <f t="shared" si="648"/>
        <v>1.995362163060526E-4</v>
      </c>
      <c r="AH337" s="134"/>
      <c r="AI337" s="134"/>
      <c r="AJ337" s="129">
        <f t="shared" si="569"/>
        <v>64911.025779592237</v>
      </c>
      <c r="AK337" s="134">
        <f t="shared" si="658"/>
        <v>6.4183898611929732E-2</v>
      </c>
      <c r="AL337" s="129"/>
      <c r="AM337" s="129"/>
      <c r="AN337" s="129"/>
      <c r="AO337" s="129"/>
      <c r="AP337" s="133">
        <f t="shared" si="659"/>
        <v>422.79600971544107</v>
      </c>
      <c r="AQ337" s="134">
        <f>+BB337/Outputs!$B$15</f>
        <v>4.3934749308110971E-3</v>
      </c>
      <c r="AR337" s="93">
        <f t="shared" si="649"/>
        <v>0.27221050696963844</v>
      </c>
      <c r="AS337" s="93">
        <f t="shared" si="650"/>
        <v>0.39421165600163111</v>
      </c>
      <c r="AT337" s="93">
        <f t="shared" si="651"/>
        <v>0.33357783702873051</v>
      </c>
      <c r="AU337" s="93">
        <f t="shared" ca="1" si="654"/>
        <v>4.8227113051295907E-2</v>
      </c>
      <c r="AV337" s="132">
        <f ca="1">+AV336*EXP(AU337)</f>
        <v>102.84492743852633</v>
      </c>
      <c r="AW337" s="134">
        <f ca="1">LN(AV337/AV336)</f>
        <v>4.8227113051295893E-2</v>
      </c>
      <c r="AX337" s="56">
        <f>+AJ337/$AL$12</f>
        <v>8.4680927258480396E-3</v>
      </c>
      <c r="AY337" s="135">
        <f t="shared" ref="AY337:AY351" ca="1" si="661">+AX337*AW337</f>
        <v>4.0839166521832983E-4</v>
      </c>
      <c r="AZ337" s="93"/>
      <c r="BA337" s="93"/>
      <c r="BB337" s="234">
        <f>IFERROR(INDEX('Total Customers'!$E$7:$AA$91,MATCH($C337,'Total Customers'!$C$7:$C$91,0),MATCH($G337,'Total Customers'!$E$5:$AA$5,0)),"NA")</f>
        <v>153528</v>
      </c>
      <c r="BC337" s="411">
        <f t="shared" si="622"/>
        <v>-2.2446260412454168E-3</v>
      </c>
      <c r="BD337" s="92"/>
      <c r="BE337" s="281" t="str">
        <f t="shared" si="618"/>
        <v>CONNECTICUT NATURAL GAS CORPORATION</v>
      </c>
      <c r="BF337" s="290">
        <f t="shared" si="619"/>
        <v>4059402</v>
      </c>
      <c r="BG337" s="46" t="str">
        <f t="shared" si="620"/>
        <v>CT</v>
      </c>
      <c r="BH337" s="46"/>
      <c r="BI337" s="46" t="str">
        <f t="shared" si="621"/>
        <v>2007 Y</v>
      </c>
      <c r="BJ337" s="129"/>
      <c r="BK337" s="129"/>
      <c r="BL337" s="129">
        <f>INDEX('Dist. Plant Gas Additions'!$E$7:$AD$91,MATCH($C337,'Dist. Plant Gas Additions'!$C$7:$C$91,0),MATCH(Calculation!$G337,'Dist. Plant Gas Additions'!$E$5:$AD$5,0))</f>
        <v>22797</v>
      </c>
      <c r="BM337" s="129">
        <f>INDEX('Gen. Plant Additions'!$E$7:$AD$91,MATCH($C337,'Gen. Plant Additions'!$C$7:$C$91,0),MATCH(Calculation!$G337,'Gen. Plant Additions'!$E$5:$AD$5,0))</f>
        <v>2787</v>
      </c>
      <c r="BN337" s="393">
        <f t="shared" si="628"/>
        <v>0.95082830884505065</v>
      </c>
      <c r="BO337" s="46">
        <f t="shared" si="576"/>
        <v>2649.958496751156</v>
      </c>
      <c r="BP337" s="46">
        <f t="shared" si="577"/>
        <v>-137.04150324884404</v>
      </c>
      <c r="BQ337" s="129">
        <f>INDEX('Dist Plant Depreciation'!$D$7:$AC$94,MATCH($C337,'Dist Plant Depreciation'!$C$7:$C$94,0),MATCH(Calculation!$G337,'Dist Plant Depreciation'!$D$5:$AC$5,0))</f>
        <v>243375</v>
      </c>
      <c r="BR337" s="129">
        <f>INDEX('Gen. Plant Depreciation'!$D$7:$AC$94,MATCH($C337,'Gen. Plant Depreciation'!$C$7:$C$94,0),MATCH(Calculation!$G337,'Gen. Plant Depreciation'!$D$5:$AC$5,0))</f>
        <v>13004</v>
      </c>
      <c r="BS337" s="129"/>
      <c r="BT337" s="129"/>
      <c r="BU337" s="129"/>
      <c r="BV337" s="129"/>
      <c r="BW337" s="129"/>
      <c r="BX337" s="129"/>
      <c r="BY337" s="129">
        <f>INDEX('Gross Dx Plant'!$D$7:$AC$91,MATCH($C337,'Gross Dx Plant'!$C$7:$C$91,0),MATCH(Calculation!$G337,'Gross Dx Plant'!$D$5:$AC$5,0))</f>
        <v>536019</v>
      </c>
      <c r="BZ337" s="129">
        <f>INDEX('Gross Gen Plant'!$D$7:$AC$91,MATCH($C337,'Gross Gen Plant'!$C$7:$C$91,0),MATCH(Calculation!$G337,'Gross Gen Plant'!$D$5:$AC$5,0))</f>
        <v>27720</v>
      </c>
      <c r="CA337" s="129">
        <f t="shared" si="626"/>
        <v>307360</v>
      </c>
      <c r="CB337" s="129"/>
      <c r="CC337" s="133">
        <v>2007</v>
      </c>
      <c r="CD337" s="129"/>
      <c r="CE337" s="129"/>
      <c r="CF337" s="129"/>
      <c r="CG337" s="137"/>
      <c r="CH337" s="129">
        <f t="shared" si="629"/>
        <v>25584</v>
      </c>
      <c r="CI337" s="46">
        <f t="shared" si="638"/>
        <v>25446.958496751155</v>
      </c>
      <c r="CJ337" s="46">
        <f t="shared" si="630"/>
        <v>51.096020611776964</v>
      </c>
      <c r="CK337" s="443">
        <v>0.90322580645161288</v>
      </c>
      <c r="CL337" s="46">
        <f>+CL328*CK337+CJ329*CK336+CJ330*CK335+CJ331*CK334+CJ332*CK333+CJ333*CK332+CJ334*CK331+CJ335*CK330+CJ336*CK329+CJ337</f>
        <v>1660.8418951957879</v>
      </c>
      <c r="CM337" s="134">
        <f t="shared" si="631"/>
        <v>1.8803102062594633E-2</v>
      </c>
      <c r="CN337" s="135">
        <f t="shared" si="632"/>
        <v>1.2368091457353125E-2</v>
      </c>
      <c r="CO337" s="135">
        <f t="shared" si="641"/>
        <v>1.2033399442141907E-2</v>
      </c>
      <c r="CP337" s="134">
        <f>VLOOKUP($H337,RoR!$E:$F,2,FALSE)</f>
        <v>5.5558333333333321E-2</v>
      </c>
      <c r="CQ337" s="135">
        <v>2.691120634145272E-2</v>
      </c>
      <c r="CR337" s="135">
        <f t="shared" si="639"/>
        <v>2.86471269918806E-2</v>
      </c>
      <c r="CS337" s="135">
        <f t="shared" si="642"/>
        <v>1.8868542166391718E-2</v>
      </c>
      <c r="CT337" s="135">
        <f t="shared" si="643"/>
        <v>6.4575155250632399E-2</v>
      </c>
      <c r="CU337" s="139">
        <f t="shared" si="633"/>
        <v>0.85126000000000002</v>
      </c>
      <c r="CV337" s="335">
        <f t="shared" si="634"/>
        <v>0.92303077153834634</v>
      </c>
      <c r="CW337" s="335">
        <f t="shared" si="635"/>
        <v>0.52502249887505614</v>
      </c>
      <c r="CX337" s="335">
        <f t="shared" si="636"/>
        <v>0.88499666072084604</v>
      </c>
      <c r="CY337" s="335">
        <f t="shared" si="637"/>
        <v>0.42887993290280618</v>
      </c>
      <c r="CZ337" s="336">
        <f>INDEX('State Tax Lookup'!$D$7:$Z$91,MATCH(Calculation!$C337,'State Tax Lookup'!$B$7:$B$91,0),MATCH($H337,'State Tax Lookup'!$D$6:$Z$6,0))</f>
        <v>0.40200000000000002</v>
      </c>
      <c r="DA337" s="303">
        <v>0.37</v>
      </c>
      <c r="DB337" s="57">
        <f t="shared" si="640"/>
        <v>13.284752035443052</v>
      </c>
      <c r="DC337" s="56">
        <f t="shared" si="644"/>
        <v>6.1845682196867931E-2</v>
      </c>
      <c r="DD337" s="303">
        <f>VLOOKUP($H337,RoR!$E:$F,2,FALSE)</f>
        <v>5.5558333333333321E-2</v>
      </c>
      <c r="DE337" s="304">
        <f>HLOOKUP($H337,'GDP-PI'!$D$8:$CQ$11,3,FALSE)</f>
        <v>2.691120634145272E-2</v>
      </c>
      <c r="DF337" s="303">
        <f>VLOOKUP(H337,'HW Dx Data'!$E:$F,2,FALSE)</f>
        <v>498.0223154772637</v>
      </c>
      <c r="DG337" s="89">
        <f ca="1">VLOOKUP(CC337,'ECI - Input Price'!M$13:N$33,2,FALSE)</f>
        <v>104.52499999999999</v>
      </c>
      <c r="DH337" s="89"/>
      <c r="DI337" s="89"/>
      <c r="DJ337" s="56">
        <f t="shared" ca="1" si="652"/>
        <v>-4.5584612745252218E-2</v>
      </c>
      <c r="DK337" s="53">
        <f>HLOOKUP(H337,'GDP-PI'!$8:$9,2,FALSE)</f>
        <v>92.498000000000005</v>
      </c>
      <c r="DL337" s="355">
        <f t="shared" si="645"/>
        <v>2.6555467950038037E-2</v>
      </c>
      <c r="EC337"/>
    </row>
    <row r="338" spans="1:133" s="126" customFormat="1" ht="21" customHeight="1" x14ac:dyDescent="0.4">
      <c r="A338" s="233" t="s">
        <v>202</v>
      </c>
      <c r="B338" s="127" t="s">
        <v>202</v>
      </c>
      <c r="C338" s="127">
        <v>4059402</v>
      </c>
      <c r="D338" s="127" t="s">
        <v>203</v>
      </c>
      <c r="E338" s="127" t="s">
        <v>15</v>
      </c>
      <c r="F338" s="127"/>
      <c r="G338" s="127" t="s">
        <v>164</v>
      </c>
      <c r="H338" s="128">
        <v>2008</v>
      </c>
      <c r="I338" s="129"/>
      <c r="J338" s="125">
        <f>IFERROR(INDEX('Labor Expenditures'!$E$7:$W$91,MATCH($C338,'Labor Expenditures'!$C$7:$C$91,0),MATCH($G338,'Labor Expenditures'!$E$5:$W$5,0)),"NA")</f>
        <v>18730.648159127104</v>
      </c>
      <c r="K338" s="125">
        <f t="shared" ca="1" si="646"/>
        <v>173.59266134501485</v>
      </c>
      <c r="L338" s="47"/>
      <c r="M338" s="131">
        <f t="shared" ca="1" si="653"/>
        <v>2.654461753613865E-2</v>
      </c>
      <c r="N338" s="131"/>
      <c r="O338" s="131"/>
      <c r="P338" s="59">
        <f t="shared" ca="1" si="655"/>
        <v>2.3187090557743399E-4</v>
      </c>
      <c r="Q338" s="61"/>
      <c r="R338" s="387"/>
      <c r="S338" s="49">
        <f t="shared" ca="1" si="660"/>
        <v>109.51205393988486</v>
      </c>
      <c r="T338" s="61">
        <f ca="1">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</f>
        <v>-7.1447409842291601E-2</v>
      </c>
      <c r="U338" s="61"/>
      <c r="V338" s="125">
        <f>IFERROR(INDEX('Non-Labor Expenditures'!$E$7:$AA$91,MATCH($C338,'Non-Labor Expenditures'!$C$7:$C$91,0),MATCH($G338,'Non-Labor Expenditures'!$E$5:$AA$5,0)),"NA")</f>
        <v>27125.476936924297</v>
      </c>
      <c r="W338" s="125">
        <f t="shared" si="647"/>
        <v>287.76072452817937</v>
      </c>
      <c r="X338" s="131">
        <f t="shared" si="656"/>
        <v>3.9410878809566847E-2</v>
      </c>
      <c r="Y338" s="131">
        <f t="shared" si="657"/>
        <v>3.4425947733982964E-4</v>
      </c>
      <c r="Z338" s="131"/>
      <c r="AA338" s="131"/>
      <c r="AB338" s="131"/>
      <c r="AC338" s="125">
        <f t="shared" si="627"/>
        <v>24808.48135881481</v>
      </c>
      <c r="AD338" s="129"/>
      <c r="AE338" s="133">
        <v>1763.9218088889568</v>
      </c>
      <c r="AF338" s="134">
        <v>1.651340326001588E-2</v>
      </c>
      <c r="AG338" s="59">
        <f t="shared" si="648"/>
        <v>1.4424686145326246E-4</v>
      </c>
      <c r="AH338" s="134"/>
      <c r="AI338" s="134"/>
      <c r="AJ338" s="129">
        <f t="shared" si="569"/>
        <v>70664.606454866211</v>
      </c>
      <c r="AK338" s="134">
        <f t="shared" si="658"/>
        <v>8.4927333612117142E-2</v>
      </c>
      <c r="AL338" s="129"/>
      <c r="AM338" s="129"/>
      <c r="AN338" s="129"/>
      <c r="AO338" s="129"/>
      <c r="AP338" s="133">
        <f t="shared" si="659"/>
        <v>451.25998732305334</v>
      </c>
      <c r="AQ338" s="134">
        <f>+BB338/Outputs!$B$16</f>
        <v>4.4572547831720063E-3</v>
      </c>
      <c r="AR338" s="93">
        <f t="shared" si="649"/>
        <v>0.2650640695365713</v>
      </c>
      <c r="AS338" s="93">
        <f t="shared" si="650"/>
        <v>0.38386227982815491</v>
      </c>
      <c r="AT338" s="93">
        <f t="shared" si="651"/>
        <v>0.35107365063527374</v>
      </c>
      <c r="AU338" s="93">
        <f t="shared" ca="1" si="654"/>
        <v>2.8116125921742039E-2</v>
      </c>
      <c r="AV338" s="132">
        <f t="shared" ref="AV338:AV351" ca="1" si="662">+AV337*EXP(AU338)</f>
        <v>105.77756234615239</v>
      </c>
      <c r="AW338" s="134">
        <f t="shared" ref="AW338:AW351" ca="1" si="663">LN(AV338/AV337)</f>
        <v>2.8116125921742018E-2</v>
      </c>
      <c r="AX338" s="56">
        <f>+AJ338/$AL$13</f>
        <v>8.7351383104977073E-3</v>
      </c>
      <c r="AY338" s="135">
        <f t="shared" ca="1" si="661"/>
        <v>2.4559824868178635E-4</v>
      </c>
      <c r="AZ338" s="93"/>
      <c r="BA338" s="93"/>
      <c r="BB338" s="234">
        <f>IFERROR(INDEX('Total Customers'!$E$7:$AA$91,MATCH($C338,'Total Customers'!$C$7:$C$91,0),MATCH($G338,'Total Customers'!$E$5:$AA$5,0)),"NA")</f>
        <v>156594</v>
      </c>
      <c r="BC338" s="411">
        <f t="shared" si="622"/>
        <v>1.9773507830504477E-2</v>
      </c>
      <c r="BD338" s="92"/>
      <c r="BE338" s="281" t="str">
        <f t="shared" si="618"/>
        <v>CONNECTICUT NATURAL GAS CORPORATION</v>
      </c>
      <c r="BF338" s="290">
        <f t="shared" si="619"/>
        <v>4059402</v>
      </c>
      <c r="BG338" s="46" t="str">
        <f t="shared" si="620"/>
        <v>CT</v>
      </c>
      <c r="BH338" s="46"/>
      <c r="BI338" s="46" t="str">
        <f t="shared" si="621"/>
        <v>2008 Y</v>
      </c>
      <c r="BJ338" s="129"/>
      <c r="BK338" s="129"/>
      <c r="BL338" s="129">
        <f>INDEX('Dist. Plant Gas Additions'!$E$7:$AD$91,MATCH($C338,'Dist. Plant Gas Additions'!$C$7:$C$91,0),MATCH(Calculation!$G338,'Dist. Plant Gas Additions'!$E$5:$AD$5,0))</f>
        <v>21327</v>
      </c>
      <c r="BM338" s="129">
        <f>INDEX('Gen. Plant Additions'!$E$7:$AD$91,MATCH($C338,'Gen. Plant Additions'!$C$7:$C$91,0),MATCH(Calculation!$G338,'Gen. Plant Additions'!$E$5:$AD$5,0))</f>
        <v>1744</v>
      </c>
      <c r="BN338" s="393">
        <f t="shared" si="628"/>
        <v>0.95096372564876408</v>
      </c>
      <c r="BO338" s="46">
        <f t="shared" si="576"/>
        <v>1658.4807375314444</v>
      </c>
      <c r="BP338" s="46">
        <f t="shared" si="577"/>
        <v>-85.519262468555553</v>
      </c>
      <c r="BQ338" s="129">
        <f>INDEX('Dist Plant Depreciation'!$D$7:$AC$94,MATCH($C338,'Dist Plant Depreciation'!$C$7:$C$94,0),MATCH(Calculation!$G338,'Dist Plant Depreciation'!$D$5:$AC$5,0))</f>
        <v>257375</v>
      </c>
      <c r="BR338" s="129">
        <f>INDEX('Gen. Plant Depreciation'!$D$7:$AC$94,MATCH($C338,'Gen. Plant Depreciation'!$C$7:$C$94,0),MATCH(Calculation!$G338,'Gen. Plant Depreciation'!$D$5:$AC$5,0))</f>
        <v>14097</v>
      </c>
      <c r="BS338" s="129"/>
      <c r="BT338" s="129"/>
      <c r="BU338" s="129"/>
      <c r="BV338" s="129"/>
      <c r="BW338" s="129"/>
      <c r="BX338" s="129"/>
      <c r="BY338" s="129">
        <f>INDEX('Gross Dx Plant'!$D$7:$AC$91,MATCH($C338,'Gross Dx Plant'!$C$7:$C$91,0),MATCH(Calculation!$G338,'Gross Dx Plant'!$D$5:$AC$5,0))</f>
        <v>552683</v>
      </c>
      <c r="BZ338" s="129">
        <f>INDEX('Gross Gen Plant'!$D$7:$AC$91,MATCH($C338,'Gross Gen Plant'!$C$7:$C$91,0),MATCH(Calculation!$G338,'Gross Gen Plant'!$D$5:$AC$5,0))</f>
        <v>28499</v>
      </c>
      <c r="CA338" s="129">
        <f t="shared" si="626"/>
        <v>309710</v>
      </c>
      <c r="CB338" s="129"/>
      <c r="CC338" s="133">
        <v>2008</v>
      </c>
      <c r="CD338" s="129"/>
      <c r="CE338" s="129"/>
      <c r="CF338" s="129"/>
      <c r="CG338" s="137"/>
      <c r="CH338" s="129">
        <f t="shared" si="629"/>
        <v>23071</v>
      </c>
      <c r="CI338" s="46">
        <f t="shared" si="638"/>
        <v>22985.480737531445</v>
      </c>
      <c r="CJ338" s="46">
        <f t="shared" si="630"/>
        <v>40.333810982029419</v>
      </c>
      <c r="CK338" s="443">
        <v>0.89130434782608692</v>
      </c>
      <c r="CL338" s="46">
        <f>+CL328*CK338+CJ329*CK337+CJ330*CK336+CJ331*CK335+CJ332*CK334+CJ333*CK333+CJ334*CK332+CJ335*CK331+CJ336*CK330+CJ337*CK329+CJ338</f>
        <v>1680.0767222452371</v>
      </c>
      <c r="CM338" s="134">
        <f t="shared" si="631"/>
        <v>1.1514820791583634E-2</v>
      </c>
      <c r="CN338" s="135">
        <f t="shared" si="632"/>
        <v>1.2703788357947792E-2</v>
      </c>
      <c r="CO338" s="135">
        <f t="shared" si="641"/>
        <v>1.2367726987484574E-2</v>
      </c>
      <c r="CP338" s="134">
        <f>VLOOKUP($H338,RoR!$E:$F,2,FALSE)</f>
        <v>5.6316666666666668E-2</v>
      </c>
      <c r="CQ338" s="135">
        <v>1.9092304698479889E-2</v>
      </c>
      <c r="CR338" s="135">
        <f t="shared" si="639"/>
        <v>3.7224361968186778E-2</v>
      </c>
      <c r="CS338" s="135">
        <f t="shared" si="642"/>
        <v>1.8534214621049053E-2</v>
      </c>
      <c r="CT338" s="135">
        <f t="shared" si="643"/>
        <v>6.9030581091053131E-2</v>
      </c>
      <c r="CU338" s="139">
        <f t="shared" si="633"/>
        <v>0.85126000000000002</v>
      </c>
      <c r="CV338" s="335">
        <f t="shared" si="634"/>
        <v>0.91060168006009956</v>
      </c>
      <c r="CW338" s="335">
        <f t="shared" si="635"/>
        <v>0.53108168097070152</v>
      </c>
      <c r="CX338" s="335">
        <f t="shared" si="636"/>
        <v>0.88825329850328805</v>
      </c>
      <c r="CY338" s="335">
        <f t="shared" si="637"/>
        <v>0.4295627335323573</v>
      </c>
      <c r="CZ338" s="336">
        <f>INDEX('State Tax Lookup'!$D$7:$Z$91,MATCH(Calculation!$C338,'State Tax Lookup'!$B$7:$B$91,0),MATCH($H338,'State Tax Lookup'!$D$6:$Z$6,0))</f>
        <v>0.40200000000000002</v>
      </c>
      <c r="DA338" s="303">
        <v>0.37</v>
      </c>
      <c r="DB338" s="57">
        <f t="shared" si="640"/>
        <v>14.937292604778778</v>
      </c>
      <c r="DC338" s="56">
        <f t="shared" si="644"/>
        <v>0.11724403136125415</v>
      </c>
      <c r="DD338" s="303">
        <f>VLOOKUP($H338,RoR!$E:$F,2,FALSE)</f>
        <v>5.6316666666666668E-2</v>
      </c>
      <c r="DE338" s="304">
        <f>HLOOKUP($H338,'GDP-PI'!$D$8:$CQ$11,3,FALSE)</f>
        <v>1.9092304698479889E-2</v>
      </c>
      <c r="DF338" s="303">
        <f>VLOOKUP(H338,'HW Dx Data'!$E:$F,2,FALSE)</f>
        <v>569.88120333515076</v>
      </c>
      <c r="DG338" s="89">
        <f ca="1">VLOOKUP(CC338,'ECI - Input Price'!M$13:N$33,2,FALSE)</f>
        <v>107.9</v>
      </c>
      <c r="DH338" s="89"/>
      <c r="DI338" s="89"/>
      <c r="DJ338" s="56">
        <f t="shared" ca="1" si="652"/>
        <v>3.1778595021460486E-2</v>
      </c>
      <c r="DK338" s="53">
        <f>HLOOKUP(H338,'GDP-PI'!$8:$9,2,FALSE)</f>
        <v>94.263999999999996</v>
      </c>
      <c r="DL338" s="355">
        <f t="shared" si="645"/>
        <v>1.8912333748032254E-2</v>
      </c>
      <c r="EC338"/>
    </row>
    <row r="339" spans="1:133" s="126" customFormat="1" ht="21" customHeight="1" x14ac:dyDescent="0.4">
      <c r="A339" s="233" t="s">
        <v>202</v>
      </c>
      <c r="B339" s="127" t="s">
        <v>202</v>
      </c>
      <c r="C339" s="127">
        <v>4059402</v>
      </c>
      <c r="D339" s="127" t="s">
        <v>203</v>
      </c>
      <c r="E339" s="127" t="s">
        <v>15</v>
      </c>
      <c r="F339" s="127"/>
      <c r="G339" s="127" t="s">
        <v>165</v>
      </c>
      <c r="H339" s="128">
        <v>2009</v>
      </c>
      <c r="I339" s="129"/>
      <c r="J339" s="125">
        <f>IFERROR(INDEX('Labor Expenditures'!$E$7:$W$91,MATCH($C339,'Labor Expenditures'!$C$7:$C$91,0),MATCH($G339,'Labor Expenditures'!$E$5:$W$5,0)),"NA")</f>
        <v>25356.899063755111</v>
      </c>
      <c r="K339" s="125">
        <f t="shared" ca="1" si="646"/>
        <v>228.59498817899581</v>
      </c>
      <c r="L339" s="47"/>
      <c r="M339" s="131">
        <f t="shared" ca="1" si="653"/>
        <v>0.27524029916948323</v>
      </c>
      <c r="N339" s="131"/>
      <c r="O339" s="131"/>
      <c r="P339" s="59">
        <f t="shared" ca="1" si="655"/>
        <v>2.7954732989195967E-3</v>
      </c>
      <c r="Q339" s="61"/>
      <c r="R339" s="387"/>
      <c r="S339" s="49">
        <f t="shared" ca="1" si="660"/>
        <v>117.9733364135259</v>
      </c>
      <c r="T339" s="61">
        <f ca="1">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</f>
        <v>7.4424011494232084E-2</v>
      </c>
      <c r="U339" s="61"/>
      <c r="V339" s="125">
        <f>IFERROR(INDEX('Non-Labor Expenditures'!$E$7:$AA$91,MATCH($C339,'Non-Labor Expenditures'!$C$7:$C$91,0),MATCH($G339,'Non-Labor Expenditures'!$E$5:$AA$5,0)),"NA")</f>
        <v>36721.525859778929</v>
      </c>
      <c r="W339" s="125">
        <f t="shared" si="647"/>
        <v>386.54644638131907</v>
      </c>
      <c r="X339" s="131">
        <f t="shared" si="656"/>
        <v>0.29512271535205759</v>
      </c>
      <c r="Y339" s="131">
        <f t="shared" si="657"/>
        <v>2.997408712171596E-3</v>
      </c>
      <c r="Z339" s="131"/>
      <c r="AA339" s="131"/>
      <c r="AB339" s="131"/>
      <c r="AC339" s="125">
        <f t="shared" si="627"/>
        <v>23813.161036957401</v>
      </c>
      <c r="AD339" s="129"/>
      <c r="AE339" s="133">
        <v>1777.5939091512901</v>
      </c>
      <c r="AF339" s="134">
        <v>7.7210828768106404E-3</v>
      </c>
      <c r="AG339" s="59">
        <f t="shared" si="648"/>
        <v>7.8419043599348574E-5</v>
      </c>
      <c r="AH339" s="134"/>
      <c r="AI339" s="134"/>
      <c r="AJ339" s="129">
        <f t="shared" si="569"/>
        <v>85891.585960491444</v>
      </c>
      <c r="AK339" s="134">
        <f t="shared" si="658"/>
        <v>0.19514104098842205</v>
      </c>
      <c r="AL339" s="129"/>
      <c r="AM339" s="129"/>
      <c r="AN339" s="129"/>
      <c r="AO339" s="129"/>
      <c r="AP339" s="133">
        <f t="shared" si="659"/>
        <v>547.04532170238485</v>
      </c>
      <c r="AQ339" s="134">
        <f>+BB339/Outputs!$B$17</f>
        <v>4.4633986246216655E-3</v>
      </c>
      <c r="AR339" s="93">
        <f t="shared" si="649"/>
        <v>0.29521982601903313</v>
      </c>
      <c r="AS339" s="93">
        <f t="shared" si="650"/>
        <v>0.42753344753315137</v>
      </c>
      <c r="AT339" s="93">
        <f t="shared" si="651"/>
        <v>0.27724672644781551</v>
      </c>
      <c r="AU339" s="93">
        <f t="shared" ca="1" si="654"/>
        <v>0.19926266551057098</v>
      </c>
      <c r="AV339" s="132">
        <f t="shared" ca="1" si="662"/>
        <v>129.10178010343037</v>
      </c>
      <c r="AW339" s="134">
        <f t="shared" ca="1" si="663"/>
        <v>0.1992626655105707</v>
      </c>
      <c r="AX339" s="56">
        <f>+AJ339/$AL$14</f>
        <v>1.0156482562163774E-2</v>
      </c>
      <c r="AY339" s="135">
        <f t="shared" ca="1" si="661"/>
        <v>2.023807787548384E-3</v>
      </c>
      <c r="AZ339" s="93"/>
      <c r="BA339" s="93"/>
      <c r="BB339" s="234">
        <f>IFERROR(INDEX('Total Customers'!$E$7:$AA$91,MATCH($C339,'Total Customers'!$C$7:$C$91,0),MATCH($G339,'Total Customers'!$E$5:$AA$5,0)),"NA")</f>
        <v>157010</v>
      </c>
      <c r="BC339" s="411">
        <f t="shared" si="622"/>
        <v>2.6530289409796414E-3</v>
      </c>
      <c r="BD339" s="92"/>
      <c r="BE339" s="281" t="str">
        <f t="shared" si="618"/>
        <v>CONNECTICUT NATURAL GAS CORPORATION</v>
      </c>
      <c r="BF339" s="290">
        <f t="shared" si="619"/>
        <v>4059402</v>
      </c>
      <c r="BG339" s="46" t="str">
        <f t="shared" si="620"/>
        <v>CT</v>
      </c>
      <c r="BH339" s="46"/>
      <c r="BI339" s="46" t="str">
        <f t="shared" si="621"/>
        <v>2009 Y</v>
      </c>
      <c r="BJ339" s="129"/>
      <c r="BK339" s="129"/>
      <c r="BL339" s="129">
        <f>INDEX('Dist. Plant Gas Additions'!$E$7:$AD$91,MATCH($C339,'Dist. Plant Gas Additions'!$C$7:$C$91,0),MATCH(Calculation!$G339,'Dist. Plant Gas Additions'!$E$5:$AD$5,0))</f>
        <v>13808</v>
      </c>
      <c r="BM339" s="129">
        <f>INDEX('Gen. Plant Additions'!$E$7:$AD$91,MATCH($C339,'Gen. Plant Additions'!$C$7:$C$91,0),MATCH(Calculation!$G339,'Gen. Plant Additions'!$E$5:$AD$5,0))</f>
        <v>444</v>
      </c>
      <c r="BN339" s="393">
        <f t="shared" si="628"/>
        <v>0.95340467831310016</v>
      </c>
      <c r="BO339" s="46">
        <f t="shared" si="576"/>
        <v>423.31167717101647</v>
      </c>
      <c r="BP339" s="46">
        <f t="shared" si="577"/>
        <v>-20.68832282898353</v>
      </c>
      <c r="BQ339" s="129">
        <f>INDEX('Dist Plant Depreciation'!$D$7:$AC$94,MATCH($C339,'Dist Plant Depreciation'!$C$7:$C$94,0),MATCH(Calculation!$G339,'Dist Plant Depreciation'!$D$5:$AC$5,0))</f>
        <v>284015</v>
      </c>
      <c r="BR339" s="129">
        <f>INDEX('Gen. Plant Depreciation'!$D$7:$AC$94,MATCH($C339,'Gen. Plant Depreciation'!$C$7:$C$94,0),MATCH(Calculation!$G339,'Gen. Plant Depreciation'!$D$5:$AC$5,0))</f>
        <v>14581</v>
      </c>
      <c r="BS339" s="129"/>
      <c r="BT339" s="129"/>
      <c r="BU339" s="129"/>
      <c r="BV339" s="129"/>
      <c r="BW339" s="129"/>
      <c r="BX339" s="129"/>
      <c r="BY339" s="129">
        <f>INDEX('Gross Dx Plant'!$D$7:$AC$91,MATCH($C339,'Gross Dx Plant'!$C$7:$C$91,0),MATCH(Calculation!$G339,'Gross Dx Plant'!$D$5:$AC$5,0))</f>
        <v>563486</v>
      </c>
      <c r="BZ339" s="129">
        <f>INDEX('Gross Gen Plant'!$D$7:$AC$91,MATCH($C339,'Gross Gen Plant'!$C$7:$C$91,0),MATCH(Calculation!$G339,'Gross Gen Plant'!$D$5:$AC$5,0))</f>
        <v>27539</v>
      </c>
      <c r="CA339" s="129">
        <f t="shared" si="626"/>
        <v>292429</v>
      </c>
      <c r="CB339" s="129"/>
      <c r="CC339" s="133">
        <v>2009</v>
      </c>
      <c r="CD339" s="129"/>
      <c r="CE339" s="129"/>
      <c r="CF339" s="129"/>
      <c r="CG339" s="137"/>
      <c r="CH339" s="129">
        <f t="shared" si="629"/>
        <v>14252</v>
      </c>
      <c r="CI339" s="46">
        <f t="shared" si="638"/>
        <v>14231.311677171016</v>
      </c>
      <c r="CJ339" s="46">
        <f t="shared" si="630"/>
        <v>25.830934817060072</v>
      </c>
      <c r="CK339" s="443">
        <v>0.87912087912087911</v>
      </c>
      <c r="CL339" s="46">
        <f>+CL328*CK339+CJ329*CK338+CJ330*CK337+CJ331*CK336+CJ332*CK335+CJ333*CK334+CJ334*CK333+CJ335*CK332+CJ336*CK331+CJ337*CK330+CJ338*CK329+CJ339</f>
        <v>1683.9507459918816</v>
      </c>
      <c r="CM339" s="134">
        <f t="shared" si="631"/>
        <v>2.3032067935157348E-3</v>
      </c>
      <c r="CN339" s="135">
        <f t="shared" si="632"/>
        <v>1.3068993088049312E-2</v>
      </c>
      <c r="CO339" s="135">
        <f t="shared" si="641"/>
        <v>1.2713624301116742E-2</v>
      </c>
      <c r="CP339" s="134">
        <f>VLOOKUP($H339,RoR!$E:$F,2,FALSE)</f>
        <v>5.3133333333333324E-2</v>
      </c>
      <c r="CQ339" s="135">
        <v>7.7972502758210105E-3</v>
      </c>
      <c r="CR339" s="135">
        <f t="shared" si="639"/>
        <v>4.5336083057512314E-2</v>
      </c>
      <c r="CS339" s="135">
        <f t="shared" si="642"/>
        <v>1.8188317307416883E-2</v>
      </c>
      <c r="CT339" s="135">
        <f t="shared" si="643"/>
        <v>6.3720160300892073E-2</v>
      </c>
      <c r="CU339" s="139">
        <f t="shared" si="633"/>
        <v>0.85126000000000002</v>
      </c>
      <c r="CV339" s="335">
        <f t="shared" si="634"/>
        <v>0.96515780330083989</v>
      </c>
      <c r="CW339" s="335">
        <f t="shared" si="635"/>
        <v>0.50448557089084056</v>
      </c>
      <c r="CX339" s="335">
        <f t="shared" si="636"/>
        <v>0.87391435735465484</v>
      </c>
      <c r="CY339" s="335">
        <f t="shared" si="637"/>
        <v>0.42551605393279146</v>
      </c>
      <c r="CZ339" s="336">
        <f>INDEX('State Tax Lookup'!$D$7:$Z$91,MATCH(Calculation!$C339,'State Tax Lookup'!$B$7:$B$91,0),MATCH($H339,'State Tax Lookup'!$D$6:$Z$6,0))</f>
        <v>0.40200000000000002</v>
      </c>
      <c r="DA339" s="303">
        <v>0.37</v>
      </c>
      <c r="DB339" s="57">
        <f t="shared" si="640"/>
        <v>14.173853325658687</v>
      </c>
      <c r="DC339" s="56">
        <f t="shared" si="644"/>
        <v>-5.2461993188149772E-2</v>
      </c>
      <c r="DD339" s="303">
        <f>VLOOKUP($H339,RoR!$E:$F,2,FALSE)</f>
        <v>5.3133333333333324E-2</v>
      </c>
      <c r="DE339" s="304">
        <f>HLOOKUP($H339,'GDP-PI'!$D$8:$CQ$11,3,FALSE)</f>
        <v>7.7972502758210105E-3</v>
      </c>
      <c r="DF339" s="303">
        <f>VLOOKUP(H339,'HW Dx Data'!$E:$F,2,FALSE)</f>
        <v>550.94063679692806</v>
      </c>
      <c r="DG339" s="89">
        <f ca="1">VLOOKUP(CC339,'ECI - Input Price'!M$13:N$33,2,FALSE)</f>
        <v>110.925</v>
      </c>
      <c r="DH339" s="89"/>
      <c r="DI339" s="89"/>
      <c r="DJ339" s="56">
        <f t="shared" ca="1" si="652"/>
        <v>2.7649425000884052E-2</v>
      </c>
      <c r="DK339" s="53">
        <f>HLOOKUP(H339,'GDP-PI'!$8:$9,2,FALSE)</f>
        <v>94.998999999999995</v>
      </c>
      <c r="DL339" s="355">
        <f t="shared" si="645"/>
        <v>7.7670088183096342E-3</v>
      </c>
      <c r="EC339"/>
    </row>
    <row r="340" spans="1:133" s="126" customFormat="1" ht="21" customHeight="1" x14ac:dyDescent="0.4">
      <c r="A340" s="233" t="s">
        <v>202</v>
      </c>
      <c r="B340" s="127" t="s">
        <v>202</v>
      </c>
      <c r="C340" s="127">
        <v>4059402</v>
      </c>
      <c r="D340" s="127" t="s">
        <v>203</v>
      </c>
      <c r="E340" s="127" t="s">
        <v>15</v>
      </c>
      <c r="F340" s="127"/>
      <c r="G340" s="127" t="s">
        <v>166</v>
      </c>
      <c r="H340" s="128">
        <v>2010</v>
      </c>
      <c r="I340" s="129"/>
      <c r="J340" s="125">
        <f>IFERROR(INDEX('Labor Expenditures'!$E$7:$W$91,MATCH($C340,'Labor Expenditures'!$C$7:$C$91,0),MATCH($G340,'Labor Expenditures'!$E$5:$W$5,0)),"NA")</f>
        <v>17808.42383381008</v>
      </c>
      <c r="K340" s="125">
        <f t="shared" ca="1" si="646"/>
        <v>152.30638301312877</v>
      </c>
      <c r="L340" s="47"/>
      <c r="M340" s="131">
        <f t="shared" ca="1" si="653"/>
        <v>-0.40605765733233251</v>
      </c>
      <c r="N340" s="131"/>
      <c r="O340" s="131"/>
      <c r="P340" s="59">
        <f t="shared" ca="1" si="655"/>
        <v>-3.1574777429090534E-3</v>
      </c>
      <c r="Q340" s="61"/>
      <c r="R340" s="387"/>
      <c r="S340" s="49">
        <f t="shared" ca="1" si="660"/>
        <v>97.295609911658673</v>
      </c>
      <c r="T340" s="61">
        <f ca="1">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</f>
        <v>-0.192704767260059</v>
      </c>
      <c r="U340" s="61"/>
      <c r="V340" s="125">
        <f>IFERROR(INDEX('Non-Labor Expenditures'!$E$7:$AA$91,MATCH($C340,'Non-Labor Expenditures'!$C$7:$C$91,0),MATCH($G340,'Non-Labor Expenditures'!$E$5:$AA$5,0)),"NA")</f>
        <v>25789.923866121044</v>
      </c>
      <c r="W340" s="125">
        <f t="shared" si="647"/>
        <v>268.34036215256685</v>
      </c>
      <c r="X340" s="131">
        <f t="shared" si="656"/>
        <v>-0.36499584979250616</v>
      </c>
      <c r="Y340" s="131">
        <f t="shared" si="657"/>
        <v>-2.838183817405008E-3</v>
      </c>
      <c r="Z340" s="131"/>
      <c r="AA340" s="131"/>
      <c r="AB340" s="131"/>
      <c r="AC340" s="125">
        <f t="shared" si="627"/>
        <v>24188.733982553393</v>
      </c>
      <c r="AD340" s="129"/>
      <c r="AE340" s="133">
        <v>1798.6820337691465</v>
      </c>
      <c r="AF340" s="134">
        <v>1.179347979634272E-2</v>
      </c>
      <c r="AG340" s="59">
        <f t="shared" si="648"/>
        <v>9.1705326315083058E-5</v>
      </c>
      <c r="AH340" s="134"/>
      <c r="AI340" s="134"/>
      <c r="AJ340" s="129">
        <f t="shared" si="569"/>
        <v>67787.08168248451</v>
      </c>
      <c r="AK340" s="134">
        <f t="shared" si="658"/>
        <v>-0.23671423149121301</v>
      </c>
      <c r="AL340" s="129"/>
      <c r="AM340" s="129"/>
      <c r="AN340" s="129"/>
      <c r="AO340" s="129"/>
      <c r="AP340" s="133">
        <f t="shared" si="659"/>
        <v>426.97027444986873</v>
      </c>
      <c r="AQ340" s="134">
        <f>+BB340/Outputs!$B$18</f>
        <v>4.4885382439358527E-3</v>
      </c>
      <c r="AR340" s="93">
        <f t="shared" si="649"/>
        <v>0.26271117433886515</v>
      </c>
      <c r="AS340" s="93">
        <f t="shared" si="650"/>
        <v>0.38045484812167235</v>
      </c>
      <c r="AT340" s="93">
        <f t="shared" si="651"/>
        <v>0.35683397753946255</v>
      </c>
      <c r="AU340" s="93">
        <f t="shared" ca="1" si="654"/>
        <v>-0.25699325579080962</v>
      </c>
      <c r="AV340" s="132">
        <f t="shared" ca="1" si="662"/>
        <v>99.843886438315607</v>
      </c>
      <c r="AW340" s="134">
        <f t="shared" ca="1" si="663"/>
        <v>-0.25699325579080962</v>
      </c>
      <c r="AX340" s="56">
        <f>+AJ340/$AL$15</f>
        <v>7.7759344908126127E-3</v>
      </c>
      <c r="AY340" s="135">
        <f t="shared" ca="1" si="661"/>
        <v>-1.9983627216099849E-3</v>
      </c>
      <c r="AZ340" s="93"/>
      <c r="BA340" s="93"/>
      <c r="BB340" s="234">
        <f>IFERROR(INDEX('Total Customers'!$E$7:$AA$91,MATCH($C340,'Total Customers'!$C$7:$C$91,0),MATCH($G340,'Total Customers'!$E$5:$AA$5,0)),"NA")</f>
        <v>158763</v>
      </c>
      <c r="BC340" s="411">
        <f t="shared" si="622"/>
        <v>1.1103026596366534E-2</v>
      </c>
      <c r="BD340" s="92"/>
      <c r="BE340" s="281" t="str">
        <f t="shared" si="618"/>
        <v>CONNECTICUT NATURAL GAS CORPORATION</v>
      </c>
      <c r="BF340" s="290">
        <f t="shared" si="619"/>
        <v>4059402</v>
      </c>
      <c r="BG340" s="46" t="str">
        <f t="shared" si="620"/>
        <v>CT</v>
      </c>
      <c r="BH340" s="46"/>
      <c r="BI340" s="46" t="str">
        <f t="shared" si="621"/>
        <v>2010 Y</v>
      </c>
      <c r="BJ340" s="129"/>
      <c r="BK340" s="129"/>
      <c r="BL340" s="129">
        <f>INDEX('Dist. Plant Gas Additions'!$E$7:$AD$91,MATCH($C340,'Dist. Plant Gas Additions'!$C$7:$C$91,0),MATCH(Calculation!$G340,'Dist. Plant Gas Additions'!$E$5:$AD$5,0))</f>
        <v>19085</v>
      </c>
      <c r="BM340" s="129">
        <f>INDEX('Gen. Plant Additions'!$E$7:$AD$91,MATCH($C340,'Gen. Plant Additions'!$C$7:$C$91,0),MATCH(Calculation!$G340,'Gen. Plant Additions'!$E$5:$AD$5,0))</f>
        <v>170</v>
      </c>
      <c r="BN340" s="393">
        <f t="shared" si="628"/>
        <v>0.93042838824571084</v>
      </c>
      <c r="BO340" s="46">
        <f t="shared" si="576"/>
        <v>158.17282600177083</v>
      </c>
      <c r="BP340" s="46">
        <f t="shared" si="577"/>
        <v>-11.827173998229171</v>
      </c>
      <c r="BQ340" s="129">
        <f>INDEX('Dist Plant Depreciation'!$D$7:$AC$94,MATCH($C340,'Dist Plant Depreciation'!$C$7:$C$94,0),MATCH(Calculation!$G340,'Dist Plant Depreciation'!$D$5:$AC$5,0))</f>
        <v>294936</v>
      </c>
      <c r="BR340" s="129">
        <f>INDEX('Gen. Plant Depreciation'!$D$7:$AC$94,MATCH($C340,'Gen. Plant Depreciation'!$C$7:$C$94,0),MATCH(Calculation!$G340,'Gen. Plant Depreciation'!$D$5:$AC$5,0))</f>
        <v>16733</v>
      </c>
      <c r="BS340" s="129"/>
      <c r="BT340" s="129"/>
      <c r="BU340" s="129"/>
      <c r="BV340" s="129"/>
      <c r="BW340" s="129"/>
      <c r="BX340" s="129"/>
      <c r="BY340" s="129">
        <f>INDEX('Gross Dx Plant'!$D$7:$AC$91,MATCH($C340,'Gross Dx Plant'!$C$7:$C$91,0),MATCH(Calculation!$G340,'Gross Dx Plant'!$D$5:$AC$5,0))</f>
        <v>557990</v>
      </c>
      <c r="BZ340" s="129">
        <f>INDEX('Gross Gen Plant'!$D$7:$AC$91,MATCH($C340,'Gross Gen Plant'!$C$7:$C$91,0),MATCH(Calculation!$G340,'Gross Gen Plant'!$D$5:$AC$5,0))</f>
        <v>41723</v>
      </c>
      <c r="CA340" s="129">
        <f t="shared" si="626"/>
        <v>288044</v>
      </c>
      <c r="CB340" s="129"/>
      <c r="CC340" s="133">
        <v>2010</v>
      </c>
      <c r="CD340" s="129"/>
      <c r="CE340" s="129"/>
      <c r="CF340" s="129"/>
      <c r="CG340" s="137"/>
      <c r="CH340" s="129">
        <f t="shared" si="629"/>
        <v>19255</v>
      </c>
      <c r="CI340" s="46">
        <f t="shared" si="638"/>
        <v>19243.17282600177</v>
      </c>
      <c r="CJ340" s="46">
        <f t="shared" si="630"/>
        <v>33.819908341129263</v>
      </c>
      <c r="CK340" s="443">
        <v>0.8666666666666667</v>
      </c>
      <c r="CL340" s="46">
        <f>+CL328*CK340+CJ329*CK339+CJ330*CK338+CJ331*CK337+CJ332*CK336+CJ333*CK335+CJ334*CK334+CJ335*CK333+CJ336*CK332+CJ337*CK331+CJ338*CK330+CJ339*CK329+CJ340</f>
        <v>1695.0762980805725</v>
      </c>
      <c r="CM340" s="134">
        <f t="shared" si="631"/>
        <v>6.5850862671388496E-3</v>
      </c>
      <c r="CN340" s="135">
        <f t="shared" si="632"/>
        <v>1.3476852756207476E-2</v>
      </c>
      <c r="CO340" s="135">
        <f t="shared" si="641"/>
        <v>1.3083211400734859E-2</v>
      </c>
      <c r="CP340" s="134">
        <f>VLOOKUP($H340,RoR!$E:$F,2,FALSE)</f>
        <v>4.9433333333333322E-2</v>
      </c>
      <c r="CQ340" s="135">
        <v>1.1684333519300205E-2</v>
      </c>
      <c r="CR340" s="135">
        <f t="shared" si="639"/>
        <v>3.7748999814033117E-2</v>
      </c>
      <c r="CS340" s="135">
        <f t="shared" si="642"/>
        <v>1.7818730207798766E-2</v>
      </c>
      <c r="CT340" s="135">
        <f t="shared" si="643"/>
        <v>4.7937530248493419E-2</v>
      </c>
      <c r="CU340" s="139">
        <f t="shared" si="633"/>
        <v>0.85126000000000002</v>
      </c>
      <c r="CV340" s="335">
        <f t="shared" si="634"/>
        <v>1.037398205301105</v>
      </c>
      <c r="CW340" s="335">
        <f t="shared" si="635"/>
        <v>0.46926837491571133</v>
      </c>
      <c r="CX340" s="335">
        <f t="shared" si="636"/>
        <v>0.8548537519972772</v>
      </c>
      <c r="CY340" s="335">
        <f t="shared" si="637"/>
        <v>0.41615833911547367</v>
      </c>
      <c r="CZ340" s="336">
        <f>INDEX('State Tax Lookup'!$D$7:$Z$91,MATCH(Calculation!$C340,'State Tax Lookup'!$B$7:$B$91,0),MATCH($H340,'State Tax Lookup'!$D$6:$Z$6,0))</f>
        <v>0.40200000000000002</v>
      </c>
      <c r="DA340" s="303">
        <v>0.37</v>
      </c>
      <c r="DB340" s="57">
        <f t="shared" si="640"/>
        <v>14.364276413741383</v>
      </c>
      <c r="DC340" s="56">
        <f t="shared" si="644"/>
        <v>1.3345367477875401E-2</v>
      </c>
      <c r="DD340" s="303">
        <f>VLOOKUP($H340,RoR!$E:$F,2,FALSE)</f>
        <v>4.9433333333333322E-2</v>
      </c>
      <c r="DE340" s="304">
        <f>HLOOKUP($H340,'GDP-PI'!$D$8:$CQ$11,3,FALSE)</f>
        <v>1.1684333519300205E-2</v>
      </c>
      <c r="DF340" s="303">
        <f>VLOOKUP(H340,'HW Dx Data'!$E:$F,2,FALSE)</f>
        <v>568.98950262971744</v>
      </c>
      <c r="DG340" s="89">
        <f ca="1">VLOOKUP(CC340,'ECI - Input Price'!M$13:N$33,2,FALSE)</f>
        <v>116.925</v>
      </c>
      <c r="DH340" s="89"/>
      <c r="DI340" s="89"/>
      <c r="DJ340" s="56">
        <f t="shared" ca="1" si="652"/>
        <v>5.2678406346976722E-2</v>
      </c>
      <c r="DK340" s="53">
        <f>HLOOKUP(H340,'GDP-PI'!$8:$9,2,FALSE)</f>
        <v>96.108999999999995</v>
      </c>
      <c r="DL340" s="355">
        <f t="shared" si="645"/>
        <v>1.1616598807150427E-2</v>
      </c>
      <c r="EC340"/>
    </row>
    <row r="341" spans="1:133" s="126" customFormat="1" ht="21" customHeight="1" x14ac:dyDescent="0.4">
      <c r="A341" s="233" t="s">
        <v>202</v>
      </c>
      <c r="B341" s="127" t="s">
        <v>202</v>
      </c>
      <c r="C341" s="127">
        <v>4059402</v>
      </c>
      <c r="D341" s="127" t="s">
        <v>203</v>
      </c>
      <c r="E341" s="127" t="s">
        <v>15</v>
      </c>
      <c r="F341" s="127"/>
      <c r="G341" s="127" t="s">
        <v>167</v>
      </c>
      <c r="H341" s="128">
        <v>2011</v>
      </c>
      <c r="I341" s="129"/>
      <c r="J341" s="125">
        <f>IFERROR(INDEX('Labor Expenditures'!$E$7:$W$91,MATCH($C341,'Labor Expenditures'!$C$7:$C$91,0),MATCH($G341,'Labor Expenditures'!$E$5:$W$5,0)),"NA")</f>
        <v>19156.283756168454</v>
      </c>
      <c r="K341" s="125">
        <f t="shared" ca="1" si="646"/>
        <v>158.48011380490965</v>
      </c>
      <c r="L341" s="47"/>
      <c r="M341" s="131">
        <f t="shared" ca="1" si="653"/>
        <v>3.9734950681050638E-2</v>
      </c>
      <c r="N341" s="131"/>
      <c r="O341" s="131"/>
      <c r="P341" s="59">
        <f t="shared" ca="1" si="655"/>
        <v>3.1776450286478156E-4</v>
      </c>
      <c r="Q341" s="61"/>
      <c r="R341" s="387"/>
      <c r="S341" s="49">
        <f t="shared" ca="1" si="660"/>
        <v>116.91443441826608</v>
      </c>
      <c r="T341" s="61">
        <f ca="1">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</f>
        <v>0.18368846841231157</v>
      </c>
      <c r="U341" s="61"/>
      <c r="V341" s="125">
        <f>IFERROR(INDEX('Non-Labor Expenditures'!$E$7:$AA$91,MATCH($C341,'Non-Labor Expenditures'!$C$7:$C$91,0),MATCH($G341,'Non-Labor Expenditures'!$E$5:$AA$5,0)),"NA")</f>
        <v>27741.876779203816</v>
      </c>
      <c r="W341" s="125">
        <f t="shared" si="647"/>
        <v>282.75722418464426</v>
      </c>
      <c r="X341" s="131">
        <f t="shared" si="656"/>
        <v>5.2332481629709916E-2</v>
      </c>
      <c r="Y341" s="131">
        <f t="shared" si="657"/>
        <v>4.1850825844048548E-4</v>
      </c>
      <c r="Z341" s="131"/>
      <c r="AA341" s="131"/>
      <c r="AB341" s="131"/>
      <c r="AC341" s="125">
        <f t="shared" si="627"/>
        <v>25657.012058025037</v>
      </c>
      <c r="AD341" s="129"/>
      <c r="AE341" s="133">
        <v>1824.99869139916</v>
      </c>
      <c r="AF341" s="134">
        <v>1.4525076743984457E-2</v>
      </c>
      <c r="AG341" s="59">
        <f t="shared" si="648"/>
        <v>1.1615853830230502E-4</v>
      </c>
      <c r="AH341" s="134"/>
      <c r="AI341" s="134"/>
      <c r="AJ341" s="129">
        <f t="shared" si="569"/>
        <v>72555.172593397307</v>
      </c>
      <c r="AK341" s="134">
        <f t="shared" si="658"/>
        <v>6.7975632598653149E-2</v>
      </c>
      <c r="AL341" s="129"/>
      <c r="AM341" s="129"/>
      <c r="AN341" s="129"/>
      <c r="AO341" s="129"/>
      <c r="AP341" s="133">
        <f t="shared" si="659"/>
        <v>452.67481855863952</v>
      </c>
      <c r="AQ341" s="134">
        <f>+BB341/Outputs!$B$19</f>
        <v>4.5095908252738874E-3</v>
      </c>
      <c r="AR341" s="93">
        <f t="shared" si="649"/>
        <v>0.26402368117186065</v>
      </c>
      <c r="AS341" s="93">
        <f t="shared" si="650"/>
        <v>0.38235560315831146</v>
      </c>
      <c r="AT341" s="93">
        <f t="shared" si="651"/>
        <v>0.35362071566982789</v>
      </c>
      <c r="AU341" s="93">
        <f t="shared" ca="1" si="654"/>
        <v>3.5584478188129189E-2</v>
      </c>
      <c r="AV341" s="132">
        <f t="shared" ca="1" si="662"/>
        <v>103.46074948165388</v>
      </c>
      <c r="AW341" s="134">
        <f t="shared" ca="1" si="663"/>
        <v>3.5584478188129265E-2</v>
      </c>
      <c r="AX341" s="56">
        <f>+AJ341/$AL$16</f>
        <v>7.9971032408081375E-3</v>
      </c>
      <c r="AY341" s="135">
        <f t="shared" ca="1" si="661"/>
        <v>2.8457274584075501E-4</v>
      </c>
      <c r="AZ341" s="93"/>
      <c r="BA341" s="93"/>
      <c r="BB341" s="234">
        <f>IFERROR(INDEX('Total Customers'!$E$7:$AA$91,MATCH($C341,'Total Customers'!$C$7:$C$91,0),MATCH($G341,'Total Customers'!$E$5:$AA$5,0)),"NA")</f>
        <v>160281</v>
      </c>
      <c r="BC341" s="411">
        <f t="shared" si="622"/>
        <v>9.5160006462911059E-3</v>
      </c>
      <c r="BD341" s="92"/>
      <c r="BE341" s="281" t="str">
        <f t="shared" si="618"/>
        <v>CONNECTICUT NATURAL GAS CORPORATION</v>
      </c>
      <c r="BF341" s="290">
        <f t="shared" si="619"/>
        <v>4059402</v>
      </c>
      <c r="BG341" s="46" t="str">
        <f t="shared" si="620"/>
        <v>CT</v>
      </c>
      <c r="BH341" s="46"/>
      <c r="BI341" s="46" t="str">
        <f t="shared" si="621"/>
        <v>2011 Y</v>
      </c>
      <c r="BJ341" s="129"/>
      <c r="BK341" s="129"/>
      <c r="BL341" s="129">
        <f>INDEX('Dist. Plant Gas Additions'!$E$7:$AD$91,MATCH($C341,'Dist. Plant Gas Additions'!$C$7:$C$91,0),MATCH(Calculation!$G341,'Dist. Plant Gas Additions'!$E$5:$AD$5,0))</f>
        <v>23110</v>
      </c>
      <c r="BM341" s="129">
        <f>INDEX('Gen. Plant Additions'!$E$7:$AD$91,MATCH($C341,'Gen. Plant Additions'!$C$7:$C$91,0),MATCH(Calculation!$G341,'Gen. Plant Additions'!$E$5:$AD$5,0))</f>
        <v>1166</v>
      </c>
      <c r="BN341" s="393">
        <f t="shared" si="628"/>
        <v>0.9336173233936812</v>
      </c>
      <c r="BO341" s="46">
        <f t="shared" si="576"/>
        <v>1088.5977990770323</v>
      </c>
      <c r="BP341" s="46">
        <f t="shared" si="577"/>
        <v>-77.402200922967722</v>
      </c>
      <c r="BQ341" s="129">
        <f>INDEX('Dist Plant Depreciation'!$D$7:$AC$94,MATCH($C341,'Dist Plant Depreciation'!$C$7:$C$94,0),MATCH(Calculation!$G341,'Dist Plant Depreciation'!$D$5:$AC$5,0))</f>
        <v>312911</v>
      </c>
      <c r="BR341" s="129">
        <f>INDEX('Gen. Plant Depreciation'!$D$7:$AC$94,MATCH($C341,'Gen. Plant Depreciation'!$C$7:$C$94,0),MATCH(Calculation!$G341,'Gen. Plant Depreciation'!$D$5:$AC$5,0))</f>
        <v>16854</v>
      </c>
      <c r="BS341" s="129"/>
      <c r="BT341" s="129"/>
      <c r="BU341" s="129"/>
      <c r="BV341" s="129"/>
      <c r="BW341" s="129"/>
      <c r="BX341" s="129"/>
      <c r="BY341" s="129">
        <f>INDEX('Gross Dx Plant'!$D$7:$AC$91,MATCH($C341,'Gross Dx Plant'!$C$7:$C$91,0),MATCH(Calculation!$G341,'Gross Dx Plant'!$D$5:$AC$5,0))</f>
        <v>578600</v>
      </c>
      <c r="BZ341" s="129">
        <f>INDEX('Gross Gen Plant'!$D$7:$AC$91,MATCH($C341,'Gross Gen Plant'!$C$7:$C$91,0),MATCH(Calculation!$G341,'Gross Gen Plant'!$D$5:$AC$5,0))</f>
        <v>41140</v>
      </c>
      <c r="CA341" s="129">
        <f t="shared" si="626"/>
        <v>289975</v>
      </c>
      <c r="CB341" s="129"/>
      <c r="CC341" s="133">
        <v>2011</v>
      </c>
      <c r="CD341" s="129"/>
      <c r="CE341" s="129"/>
      <c r="CF341" s="129"/>
      <c r="CG341" s="137"/>
      <c r="CH341" s="129">
        <f t="shared" si="629"/>
        <v>24276</v>
      </c>
      <c r="CI341" s="46">
        <f t="shared" si="638"/>
        <v>24198.597799077033</v>
      </c>
      <c r="CJ341" s="46">
        <f t="shared" si="630"/>
        <v>39.565334822207255</v>
      </c>
      <c r="CK341" s="443">
        <v>0.8539325842696629</v>
      </c>
      <c r="CL341" s="46">
        <f>+CL328*CK341+CJ329*CK340+CJ330*CK339+CJ331*CK338+CJ332*CK337+CJ333*CK336+CJ334*CK335+CJ335*CK334+CJ336*CK333+CJ337*CK332+CJ338*CK331+CJ339*CK330+CJ340*CK329+CJ341</f>
        <v>1711.1095788473369</v>
      </c>
      <c r="CM341" s="134">
        <f t="shared" si="631"/>
        <v>9.4142831679459738E-3</v>
      </c>
      <c r="CN341" s="135">
        <f t="shared" si="632"/>
        <v>1.3882592826110242E-2</v>
      </c>
      <c r="CO341" s="135">
        <f t="shared" si="641"/>
        <v>1.3476146223455677E-2</v>
      </c>
      <c r="CP341" s="134">
        <f>VLOOKUP($H341,RoR!$E:$F,2,FALSE)</f>
        <v>4.6391666666666664E-2</v>
      </c>
      <c r="CQ341" s="135">
        <v>2.0840920205183799E-2</v>
      </c>
      <c r="CR341" s="135">
        <f t="shared" si="639"/>
        <v>2.5550746461482865E-2</v>
      </c>
      <c r="CS341" s="135">
        <f t="shared" si="642"/>
        <v>1.742579538507795E-2</v>
      </c>
      <c r="CT341" s="135">
        <f t="shared" si="643"/>
        <v>2.4810540821321614E-2</v>
      </c>
      <c r="CU341" s="139">
        <f t="shared" si="633"/>
        <v>0.85126000000000002</v>
      </c>
      <c r="CV341" s="335">
        <f t="shared" si="634"/>
        <v>1.1054151524782025</v>
      </c>
      <c r="CW341" s="335">
        <f t="shared" si="635"/>
        <v>0.43611011316687626</v>
      </c>
      <c r="CX341" s="335">
        <f t="shared" si="636"/>
        <v>0.83698442246886229</v>
      </c>
      <c r="CY341" s="335">
        <f t="shared" si="637"/>
        <v>0.40349573304423936</v>
      </c>
      <c r="CZ341" s="336">
        <f>INDEX('State Tax Lookup'!$D$7:$Z$91,MATCH(Calculation!$C341,'State Tax Lookup'!$B$7:$B$91,0),MATCH($H341,'State Tax Lookup'!$D$6:$Z$6,0))</f>
        <v>0.40200000000000002</v>
      </c>
      <c r="DA341" s="303">
        <v>0.37</v>
      </c>
      <c r="DB341" s="57">
        <f t="shared" si="640"/>
        <v>15.136198935161723</v>
      </c>
      <c r="DC341" s="56">
        <f t="shared" si="644"/>
        <v>5.2344835716282623E-2</v>
      </c>
      <c r="DD341" s="303">
        <f>VLOOKUP($H341,RoR!$E:$F,2,FALSE)</f>
        <v>4.6391666666666664E-2</v>
      </c>
      <c r="DE341" s="304">
        <f>HLOOKUP($H341,'GDP-PI'!$D$8:$CQ$11,3,FALSE)</f>
        <v>2.0840920205183799E-2</v>
      </c>
      <c r="DF341" s="303">
        <f>VLOOKUP(H341,'HW Dx Data'!$E:$F,2,FALSE)</f>
        <v>611.61109612283201</v>
      </c>
      <c r="DG341" s="89">
        <f ca="1">VLOOKUP(CC341,'ECI - Input Price'!M$13:N$33,2,FALSE)</f>
        <v>120.875</v>
      </c>
      <c r="DH341" s="89"/>
      <c r="DI341" s="89"/>
      <c r="DJ341" s="56">
        <f t="shared" ca="1" si="652"/>
        <v>3.3224250161508609E-2</v>
      </c>
      <c r="DK341" s="53">
        <f>HLOOKUP(H341,'GDP-PI'!$8:$9,2,FALSE)</f>
        <v>98.111999999999995</v>
      </c>
      <c r="DL341" s="355">
        <f t="shared" si="645"/>
        <v>2.0626719212849295E-2</v>
      </c>
      <c r="EC341"/>
    </row>
    <row r="342" spans="1:133" s="126" customFormat="1" ht="21" customHeight="1" x14ac:dyDescent="0.4">
      <c r="A342" s="233" t="s">
        <v>202</v>
      </c>
      <c r="B342" s="127" t="s">
        <v>202</v>
      </c>
      <c r="C342" s="127">
        <v>4059402</v>
      </c>
      <c r="D342" s="127" t="s">
        <v>203</v>
      </c>
      <c r="E342" s="127" t="s">
        <v>15</v>
      </c>
      <c r="F342" s="127"/>
      <c r="G342" s="127" t="s">
        <v>168</v>
      </c>
      <c r="H342" s="128">
        <v>2012</v>
      </c>
      <c r="I342" s="129"/>
      <c r="J342" s="125">
        <f>IFERROR(INDEX('Labor Expenditures'!$E$7:$W$91,MATCH($C342,'Labor Expenditures'!$C$7:$C$91,0),MATCH($G342,'Labor Expenditures'!$E$5:$W$5,0)),"NA")</f>
        <v>18266.561074802838</v>
      </c>
      <c r="K342" s="125">
        <f t="shared" ca="1" si="646"/>
        <v>146.36667527886888</v>
      </c>
      <c r="L342" s="47"/>
      <c r="M342" s="131">
        <f t="shared" ca="1" si="653"/>
        <v>-7.9514172753222978E-2</v>
      </c>
      <c r="N342" s="131"/>
      <c r="O342" s="131"/>
      <c r="P342" s="59">
        <f t="shared" ca="1" si="655"/>
        <v>-6.1222540376129348E-4</v>
      </c>
      <c r="Q342" s="61"/>
      <c r="R342" s="387"/>
      <c r="S342" s="49">
        <f t="shared" ca="1" si="660"/>
        <v>114.95967816576528</v>
      </c>
      <c r="T342" s="61">
        <f ca="1">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</f>
        <v>-1.686089525274732E-2</v>
      </c>
      <c r="U342" s="61"/>
      <c r="V342" s="125">
        <f>IFERROR(INDEX('Non-Labor Expenditures'!$E$7:$AA$91,MATCH($C342,'Non-Labor Expenditures'!$C$7:$C$91,0),MATCH($G342,'Non-Labor Expenditures'!$E$5:$AA$5,0)),"NA")</f>
        <v>26453.392159311934</v>
      </c>
      <c r="W342" s="125">
        <f t="shared" si="647"/>
        <v>264.53392159311932</v>
      </c>
      <c r="X342" s="131">
        <f t="shared" si="656"/>
        <v>-6.6619173330096537E-2</v>
      </c>
      <c r="Y342" s="131">
        <f t="shared" si="657"/>
        <v>-5.1293937769866012E-4</v>
      </c>
      <c r="Z342" s="131"/>
      <c r="AA342" s="131"/>
      <c r="AB342" s="131"/>
      <c r="AC342" s="125">
        <f t="shared" si="627"/>
        <v>27566.438937098083</v>
      </c>
      <c r="AD342" s="129"/>
      <c r="AE342" s="133">
        <v>1858.8638929195001</v>
      </c>
      <c r="AF342" s="134">
        <v>1.8386220853552116E-2</v>
      </c>
      <c r="AG342" s="59">
        <f t="shared" si="648"/>
        <v>1.4156610194066308E-4</v>
      </c>
      <c r="AH342" s="134"/>
      <c r="AI342" s="134"/>
      <c r="AJ342" s="129">
        <f t="shared" si="569"/>
        <v>72286.39217121285</v>
      </c>
      <c r="AK342" s="134">
        <f t="shared" si="658"/>
        <v>-3.7113756833993383E-3</v>
      </c>
      <c r="AL342" s="129"/>
      <c r="AM342" s="129"/>
      <c r="AN342" s="129"/>
      <c r="AO342" s="129"/>
      <c r="AP342" s="133">
        <f t="shared" si="659"/>
        <v>443.27355784007784</v>
      </c>
      <c r="AQ342" s="134">
        <f>+BB342/Outputs!$B$20</f>
        <v>4.5661853692503477E-3</v>
      </c>
      <c r="AR342" s="93">
        <f t="shared" si="649"/>
        <v>0.25269709175051713</v>
      </c>
      <c r="AS342" s="93">
        <f t="shared" si="650"/>
        <v>0.3659525861611152</v>
      </c>
      <c r="AT342" s="93">
        <f t="shared" si="651"/>
        <v>0.38135032208836772</v>
      </c>
      <c r="AU342" s="93">
        <f t="shared" ca="1" si="654"/>
        <v>-3.8712478975371924E-2</v>
      </c>
      <c r="AV342" s="132">
        <f t="shared" ca="1" si="662"/>
        <v>99.532062629744942</v>
      </c>
      <c r="AW342" s="134">
        <f t="shared" ca="1" si="663"/>
        <v>-3.8712478975372049E-2</v>
      </c>
      <c r="AX342" s="56">
        <f>+AJ342/$AL$17</f>
        <v>7.6995758436847715E-3</v>
      </c>
      <c r="AY342" s="135">
        <f t="shared" ca="1" si="661"/>
        <v>-2.9806966796792921E-4</v>
      </c>
      <c r="AZ342" s="93"/>
      <c r="BA342" s="93"/>
      <c r="BB342" s="234">
        <f>IFERROR(INDEX('Total Customers'!$E$7:$AA$91,MATCH($C342,'Total Customers'!$C$7:$C$91,0),MATCH($G342,'Total Customers'!$E$5:$AA$5,0)),"NA")</f>
        <v>163074</v>
      </c>
      <c r="BC342" s="411">
        <f t="shared" si="622"/>
        <v>1.7275560685485306E-2</v>
      </c>
      <c r="BD342" s="92"/>
      <c r="BE342" s="281" t="str">
        <f t="shared" si="618"/>
        <v>CONNECTICUT NATURAL GAS CORPORATION</v>
      </c>
      <c r="BF342" s="290">
        <f t="shared" si="619"/>
        <v>4059402</v>
      </c>
      <c r="BG342" s="46" t="str">
        <f t="shared" si="620"/>
        <v>CT</v>
      </c>
      <c r="BH342" s="46"/>
      <c r="BI342" s="46" t="str">
        <f t="shared" si="621"/>
        <v>2012 Y</v>
      </c>
      <c r="BJ342" s="129"/>
      <c r="BK342" s="129"/>
      <c r="BL342" s="129">
        <f>INDEX('Dist. Plant Gas Additions'!$E$7:$AD$91,MATCH($C342,'Dist. Plant Gas Additions'!$C$7:$C$91,0),MATCH(Calculation!$G342,'Dist. Plant Gas Additions'!$E$5:$AD$5,0))</f>
        <v>29963</v>
      </c>
      <c r="BM342" s="129">
        <f>INDEX('Gen. Plant Additions'!$E$7:$AD$91,MATCH($C342,'Gen. Plant Additions'!$C$7:$C$91,0),MATCH(Calculation!$G342,'Gen. Plant Additions'!$E$5:$AD$5,0))</f>
        <v>2093</v>
      </c>
      <c r="BN342" s="393">
        <f t="shared" si="628"/>
        <v>0.93541230200666214</v>
      </c>
      <c r="BO342" s="46">
        <f t="shared" si="576"/>
        <v>1957.8179480999438</v>
      </c>
      <c r="BP342" s="46">
        <f t="shared" si="577"/>
        <v>-135.18205190005619</v>
      </c>
      <c r="BQ342" s="129">
        <f>INDEX('Dist Plant Depreciation'!$D$7:$AC$94,MATCH($C342,'Dist Plant Depreciation'!$C$7:$C$94,0),MATCH(Calculation!$G342,'Dist Plant Depreciation'!$D$5:$AC$5,0))</f>
        <v>333099</v>
      </c>
      <c r="BR342" s="129">
        <f>INDEX('Gen. Plant Depreciation'!$D$7:$AC$94,MATCH($C342,'Gen. Plant Depreciation'!$C$7:$C$94,0),MATCH(Calculation!$G342,'Gen. Plant Depreciation'!$D$5:$AC$5,0))</f>
        <v>16822</v>
      </c>
      <c r="BS342" s="129"/>
      <c r="BT342" s="129"/>
      <c r="BU342" s="129"/>
      <c r="BV342" s="129"/>
      <c r="BW342" s="129"/>
      <c r="BX342" s="129"/>
      <c r="BY342" s="129">
        <f>INDEX('Gross Dx Plant'!$D$7:$AC$91,MATCH($C342,'Gross Dx Plant'!$C$7:$C$91,0),MATCH(Calculation!$G342,'Gross Dx Plant'!$D$5:$AC$5,0))</f>
        <v>605440</v>
      </c>
      <c r="BZ342" s="129">
        <f>INDEX('Gross Gen Plant'!$D$7:$AC$91,MATCH($C342,'Gross Gen Plant'!$C$7:$C$91,0),MATCH(Calculation!$G342,'Gross Gen Plant'!$D$5:$AC$5,0))</f>
        <v>41804</v>
      </c>
      <c r="CA342" s="129">
        <f t="shared" si="626"/>
        <v>297323</v>
      </c>
      <c r="CB342" s="129"/>
      <c r="CC342" s="133">
        <v>2012</v>
      </c>
      <c r="CD342" s="129"/>
      <c r="CE342" s="129"/>
      <c r="CF342" s="129"/>
      <c r="CG342" s="137"/>
      <c r="CH342" s="129">
        <f t="shared" si="629"/>
        <v>32056</v>
      </c>
      <c r="CI342" s="46">
        <f t="shared" si="638"/>
        <v>31920.817948099942</v>
      </c>
      <c r="CJ342" s="46">
        <f t="shared" si="630"/>
        <v>47.719981906466202</v>
      </c>
      <c r="CK342" s="443">
        <v>0.84090909090909094</v>
      </c>
      <c r="CL342" s="46">
        <f>+CL328*CK342+CJ329*CK341+CJ330*CK340+CJ331*CK339+CJ332*CK338+CJ333*CK337+CJ334*CK336+CJ335*CK335+CJ336*CK334+CJ337*CK333+CJ338*CK332+CJ339*CK331+CJ340*CK330+CJ341*CK329+CJ342</f>
        <v>1734.3793120744838</v>
      </c>
      <c r="CM342" s="134">
        <f t="shared" si="631"/>
        <v>1.3507567586581278E-2</v>
      </c>
      <c r="CN342" s="135">
        <f t="shared" si="632"/>
        <v>1.4289119166634494E-2</v>
      </c>
      <c r="CO342" s="135">
        <f t="shared" si="641"/>
        <v>1.3882854916317404E-2</v>
      </c>
      <c r="CP342" s="134">
        <f>VLOOKUP($H342,RoR!$E:$F,2,FALSE)</f>
        <v>3.6733333333333333E-2</v>
      </c>
      <c r="CQ342" s="135">
        <v>1.924331376386168E-2</v>
      </c>
      <c r="CR342" s="135">
        <f t="shared" si="639"/>
        <v>1.7490019569471653E-2</v>
      </c>
      <c r="CS342" s="135">
        <f t="shared" si="642"/>
        <v>1.7019086692216221E-2</v>
      </c>
      <c r="CT342" s="135">
        <f t="shared" si="643"/>
        <v>6.7122682943869583E-2</v>
      </c>
      <c r="CU342" s="139">
        <f t="shared" si="633"/>
        <v>0.85126000000000002</v>
      </c>
      <c r="CV342" s="335">
        <f t="shared" si="634"/>
        <v>1.3960631020522127</v>
      </c>
      <c r="CW342" s="335">
        <f t="shared" si="635"/>
        <v>0.29441923774954631</v>
      </c>
      <c r="CX342" s="335">
        <f t="shared" si="636"/>
        <v>0.76377954189366437</v>
      </c>
      <c r="CY342" s="335">
        <f t="shared" si="637"/>
        <v>0.31393465103033691</v>
      </c>
      <c r="CZ342" s="336">
        <f>INDEX('State Tax Lookup'!$D$7:$Z$91,MATCH(Calculation!$C342,'State Tax Lookup'!$B$7:$B$91,0),MATCH($H342,'State Tax Lookup'!$D$6:$Z$6,0))</f>
        <v>0.40200000000000002</v>
      </c>
      <c r="DA342" s="303">
        <v>0.37</v>
      </c>
      <c r="DB342" s="57">
        <f t="shared" si="640"/>
        <v>16.110270948087262</v>
      </c>
      <c r="DC342" s="56">
        <f t="shared" si="644"/>
        <v>6.2367860272401154E-2</v>
      </c>
      <c r="DD342" s="303">
        <f>VLOOKUP($H342,RoR!$E:$F,2,FALSE)</f>
        <v>3.6733333333333333E-2</v>
      </c>
      <c r="DE342" s="304">
        <f>HLOOKUP($H342,'GDP-PI'!$D$8:$CQ$11,3,FALSE)</f>
        <v>1.924331376386168E-2</v>
      </c>
      <c r="DF342" s="303">
        <f>VLOOKUP(H342,'HW Dx Data'!$E:$F,2,FALSE)</f>
        <v>668.91932211262167</v>
      </c>
      <c r="DG342" s="89">
        <f ca="1">VLOOKUP(CC342,'ECI - Input Price'!M$13:N$33,2,FALSE)</f>
        <v>124.80000000000001</v>
      </c>
      <c r="DH342" s="89"/>
      <c r="DI342" s="89"/>
      <c r="DJ342" s="56">
        <f t="shared" ca="1" si="652"/>
        <v>3.1955502161869064E-2</v>
      </c>
      <c r="DK342" s="53">
        <f>HLOOKUP(H342,'GDP-PI'!$8:$9,2,FALSE)</f>
        <v>100</v>
      </c>
      <c r="DL342" s="355">
        <f t="shared" si="645"/>
        <v>1.9060502738742411E-2</v>
      </c>
      <c r="EC342"/>
    </row>
    <row r="343" spans="1:133" s="126" customFormat="1" ht="21" customHeight="1" x14ac:dyDescent="0.4">
      <c r="A343" s="233" t="s">
        <v>202</v>
      </c>
      <c r="B343" s="127" t="s">
        <v>202</v>
      </c>
      <c r="C343" s="127">
        <v>4059402</v>
      </c>
      <c r="D343" s="127" t="s">
        <v>203</v>
      </c>
      <c r="E343" s="127" t="s">
        <v>15</v>
      </c>
      <c r="F343" s="127"/>
      <c r="G343" s="127" t="s">
        <v>169</v>
      </c>
      <c r="H343" s="128">
        <v>2013</v>
      </c>
      <c r="I343" s="129"/>
      <c r="J343" s="125">
        <f>IFERROR(INDEX('Labor Expenditures'!$E$7:$W$91,MATCH($C343,'Labor Expenditures'!$C$7:$C$91,0),MATCH($G343,'Labor Expenditures'!$E$5:$W$5,0)),"NA")</f>
        <v>21397.565465530948</v>
      </c>
      <c r="K343" s="125">
        <f t="shared" ca="1" si="646"/>
        <v>168.75051628967626</v>
      </c>
      <c r="L343" s="47"/>
      <c r="M343" s="131">
        <f t="shared" ca="1" si="653"/>
        <v>0.14230644150286142</v>
      </c>
      <c r="N343" s="131"/>
      <c r="O343" s="131"/>
      <c r="P343" s="59">
        <f t="shared" ca="1" si="655"/>
        <v>1.1620907087356164E-3</v>
      </c>
      <c r="Q343" s="61"/>
      <c r="R343" s="387"/>
      <c r="S343" s="49">
        <f t="shared" ca="1" si="660"/>
        <v>108.1377196392738</v>
      </c>
      <c r="T343" s="61">
        <f ca="1">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</f>
        <v>-6.1175845619033407E-2</v>
      </c>
      <c r="U343" s="61"/>
      <c r="V343" s="125">
        <f>IFERROR(INDEX('Non-Labor Expenditures'!$E$7:$AA$91,MATCH($C343,'Non-Labor Expenditures'!$C$7:$C$91,0),MATCH($G343,'Non-Labor Expenditures'!$E$5:$AA$5,0)),"NA")</f>
        <v>30987.671308040655</v>
      </c>
      <c r="W343" s="125">
        <f t="shared" si="647"/>
        <v>304.47831259804326</v>
      </c>
      <c r="X343" s="131">
        <f t="shared" si="656"/>
        <v>0.14063037055414931</v>
      </c>
      <c r="Y343" s="131">
        <f t="shared" si="657"/>
        <v>1.148403721301243E-3</v>
      </c>
      <c r="Z343" s="131"/>
      <c r="AA343" s="131"/>
      <c r="AB343" s="131"/>
      <c r="AC343" s="125">
        <f t="shared" si="627"/>
        <v>27075.782997187136</v>
      </c>
      <c r="AD343" s="129"/>
      <c r="AE343" s="133">
        <v>1892.0728401296424</v>
      </c>
      <c r="AF343" s="134">
        <v>1.7707478053863818E-2</v>
      </c>
      <c r="AG343" s="59">
        <f t="shared" si="648"/>
        <v>1.4460129495347693E-4</v>
      </c>
      <c r="AH343" s="134"/>
      <c r="AI343" s="134"/>
      <c r="AJ343" s="129">
        <f t="shared" si="569"/>
        <v>79461.019770758736</v>
      </c>
      <c r="AK343" s="134">
        <f t="shared" si="658"/>
        <v>9.4630686015672344E-2</v>
      </c>
      <c r="AL343" s="129"/>
      <c r="AM343" s="129"/>
      <c r="AN343" s="129"/>
      <c r="AO343" s="129"/>
      <c r="AP343" s="133">
        <f t="shared" si="659"/>
        <v>478.29186968885989</v>
      </c>
      <c r="AQ343" s="134">
        <f>+BB343/Outputs!$B$21</f>
        <v>4.6222474625562757E-3</v>
      </c>
      <c r="AR343" s="93">
        <f t="shared" si="649"/>
        <v>0.26928380138163222</v>
      </c>
      <c r="AS343" s="93">
        <f t="shared" si="650"/>
        <v>0.38997323967699654</v>
      </c>
      <c r="AT343" s="93">
        <f t="shared" si="651"/>
        <v>0.3407429589413713</v>
      </c>
      <c r="AU343" s="93">
        <f t="shared" ca="1" si="654"/>
        <v>9.6686911679931598E-2</v>
      </c>
      <c r="AV343" s="132">
        <f t="shared" ca="1" si="662"/>
        <v>109.63610455862366</v>
      </c>
      <c r="AW343" s="134">
        <f t="shared" ca="1" si="663"/>
        <v>9.6686911679931611E-2</v>
      </c>
      <c r="AX343" s="56">
        <f>+AJ343/$AL$18</f>
        <v>8.1661145937111327E-3</v>
      </c>
      <c r="AY343" s="135">
        <f t="shared" ca="1" si="661"/>
        <v>7.8955640049034885E-4</v>
      </c>
      <c r="AZ343" s="93"/>
      <c r="BA343" s="93"/>
      <c r="BB343" s="234">
        <f>IFERROR(INDEX('Total Customers'!$E$7:$AA$91,MATCH($C343,'Total Customers'!$C$7:$C$91,0),MATCH($G343,'Total Customers'!$E$5:$AA$5,0)),"NA")</f>
        <v>166135</v>
      </c>
      <c r="BC343" s="411">
        <f t="shared" si="622"/>
        <v>1.8596625341967956E-2</v>
      </c>
      <c r="BD343" s="92"/>
      <c r="BE343" s="281" t="str">
        <f t="shared" si="618"/>
        <v>CONNECTICUT NATURAL GAS CORPORATION</v>
      </c>
      <c r="BF343" s="290">
        <f t="shared" si="619"/>
        <v>4059402</v>
      </c>
      <c r="BG343" s="46" t="str">
        <f t="shared" si="620"/>
        <v>CT</v>
      </c>
      <c r="BH343" s="46"/>
      <c r="BI343" s="46" t="str">
        <f t="shared" si="621"/>
        <v>2013 Y</v>
      </c>
      <c r="BJ343" s="129"/>
      <c r="BK343" s="129"/>
      <c r="BL343" s="129">
        <f>INDEX('Dist. Plant Gas Additions'!$E$7:$AD$91,MATCH($C343,'Dist. Plant Gas Additions'!$C$7:$C$91,0),MATCH(Calculation!$G343,'Dist. Plant Gas Additions'!$E$5:$AD$5,0))</f>
        <v>30921</v>
      </c>
      <c r="BM343" s="129">
        <f>INDEX('Gen. Plant Additions'!$E$7:$AD$91,MATCH($C343,'Gen. Plant Additions'!$C$7:$C$91,0),MATCH(Calculation!$G343,'Gen. Plant Additions'!$E$5:$AD$5,0))</f>
        <v>929</v>
      </c>
      <c r="BN343" s="393">
        <f t="shared" si="628"/>
        <v>0.93847097241307975</v>
      </c>
      <c r="BO343" s="46">
        <f t="shared" si="576"/>
        <v>871.83953337175114</v>
      </c>
      <c r="BP343" s="46">
        <f t="shared" si="577"/>
        <v>-57.160466628248855</v>
      </c>
      <c r="BQ343" s="129">
        <f>INDEX('Dist Plant Depreciation'!$D$7:$AC$94,MATCH($C343,'Dist Plant Depreciation'!$C$7:$C$94,0),MATCH(Calculation!$G343,'Dist Plant Depreciation'!$D$5:$AC$5,0))</f>
        <v>356209</v>
      </c>
      <c r="BR343" s="129">
        <f>INDEX('Gen. Plant Depreciation'!$D$7:$AC$94,MATCH($C343,'Gen. Plant Depreciation'!$C$7:$C$94,0),MATCH(Calculation!$G343,'Gen. Plant Depreciation'!$D$5:$AC$5,0))</f>
        <v>17529</v>
      </c>
      <c r="BS343" s="129"/>
      <c r="BT343" s="129"/>
      <c r="BU343" s="129"/>
      <c r="BV343" s="129"/>
      <c r="BW343" s="129"/>
      <c r="BX343" s="129"/>
      <c r="BY343" s="129">
        <f>INDEX('Gross Dx Plant'!$D$7:$AC$91,MATCH($C343,'Gross Dx Plant'!$C$7:$C$91,0),MATCH(Calculation!$G343,'Gross Dx Plant'!$D$5:$AC$5,0))</f>
        <v>635129</v>
      </c>
      <c r="BZ343" s="129">
        <f>INDEX('Gross Gen Plant'!$D$7:$AC$91,MATCH($C343,'Gross Gen Plant'!$C$7:$C$91,0),MATCH(Calculation!$G343,'Gross Gen Plant'!$D$5:$AC$5,0))</f>
        <v>41641</v>
      </c>
      <c r="CA343" s="129">
        <f t="shared" si="626"/>
        <v>303032</v>
      </c>
      <c r="CB343" s="129"/>
      <c r="CC343" s="133">
        <v>2013</v>
      </c>
      <c r="CD343" s="129"/>
      <c r="CE343" s="129"/>
      <c r="CF343" s="129"/>
      <c r="CG343" s="137"/>
      <c r="CH343" s="129">
        <f t="shared" si="629"/>
        <v>31850</v>
      </c>
      <c r="CI343" s="46">
        <f t="shared" si="638"/>
        <v>31792.839533371753</v>
      </c>
      <c r="CJ343" s="46">
        <f t="shared" si="630"/>
        <v>47.935041034843039</v>
      </c>
      <c r="CK343" s="443">
        <v>0.82758620689655171</v>
      </c>
      <c r="CL343" s="46">
        <f>+CL328*CK343+CJ329*CK342+CJ330*CK341+CJ331*CK340+CJ332*CK339+CJ333*CK338+CJ334*CK337+CJ335*CK336+CJ336*CK335+CJ337*CK334+CJ338*CK333+CJ339*CK332+CJ340*CK331+CJ341*CK330+CJ342*CK329+CJ343</f>
        <v>1756.839450827852</v>
      </c>
      <c r="CM343" s="134">
        <f t="shared" si="631"/>
        <v>1.2866823962545288E-2</v>
      </c>
      <c r="CN343" s="135">
        <f t="shared" si="632"/>
        <v>1.468819542767975E-2</v>
      </c>
      <c r="CO343" s="135">
        <f t="shared" si="641"/>
        <v>1.4286635806808163E-2</v>
      </c>
      <c r="CP343" s="134">
        <f>VLOOKUP($H343,RoR!$E:$F,2,FALSE)</f>
        <v>4.2350000000000006E-2</v>
      </c>
      <c r="CQ343" s="135">
        <v>1.7730000000000024E-2</v>
      </c>
      <c r="CR343" s="135">
        <f t="shared" si="639"/>
        <v>2.4619999999999982E-2</v>
      </c>
      <c r="CS343" s="135">
        <f t="shared" si="642"/>
        <v>1.6615305801725461E-2</v>
      </c>
      <c r="CT343" s="135">
        <f t="shared" si="643"/>
        <v>5.3376742735721204E-2</v>
      </c>
      <c r="CU343" s="139">
        <f t="shared" si="633"/>
        <v>0.85126000000000002</v>
      </c>
      <c r="CV343" s="335">
        <f t="shared" si="634"/>
        <v>1.2109103018193925</v>
      </c>
      <c r="CW343" s="335">
        <f t="shared" si="635"/>
        <v>0.38468122786304604</v>
      </c>
      <c r="CX343" s="335">
        <f t="shared" si="636"/>
        <v>0.80969194503422559</v>
      </c>
      <c r="CY343" s="335">
        <f t="shared" si="637"/>
        <v>0.37716621754800816</v>
      </c>
      <c r="CZ343" s="336">
        <f>INDEX('State Tax Lookup'!$D$7:$Z$91,MATCH(Calculation!$C343,'State Tax Lookup'!$B$7:$B$91,0),MATCH($H343,'State Tax Lookup'!$D$6:$Z$6,0))</f>
        <v>0.40200000000000002</v>
      </c>
      <c r="DA343" s="303">
        <v>0.37</v>
      </c>
      <c r="DB343" s="57">
        <f t="shared" si="640"/>
        <v>15.61122345538238</v>
      </c>
      <c r="DC343" s="56">
        <f t="shared" si="644"/>
        <v>-3.1466907832967135E-2</v>
      </c>
      <c r="DD343" s="303">
        <f>VLOOKUP($H343,RoR!$E:$F,2,FALSE)</f>
        <v>4.2350000000000006E-2</v>
      </c>
      <c r="DE343" s="304">
        <f>HLOOKUP($H343,'GDP-PI'!$D$8:$CQ$11,3,FALSE)</f>
        <v>1.7730000000000024E-2</v>
      </c>
      <c r="DF343" s="303">
        <f>VLOOKUP(H343,'HW Dx Data'!$E:$F,2,FALSE)</f>
        <v>663.24840548821396</v>
      </c>
      <c r="DG343" s="89">
        <f ca="1">VLOOKUP(CC343,'ECI - Input Price'!M$13:N$33,2,FALSE)</f>
        <v>126.8</v>
      </c>
      <c r="DH343" s="89"/>
      <c r="DI343" s="89"/>
      <c r="DJ343" s="56">
        <f t="shared" ca="1" si="652"/>
        <v>1.5898586067798204E-2</v>
      </c>
      <c r="DK343" s="53">
        <f>HLOOKUP(H343,'GDP-PI'!$8:$9,2,FALSE)</f>
        <v>101.773</v>
      </c>
      <c r="DL343" s="355">
        <f t="shared" si="645"/>
        <v>1.7574657016510519E-2</v>
      </c>
      <c r="EC343"/>
    </row>
    <row r="344" spans="1:133" s="126" customFormat="1" ht="21" customHeight="1" x14ac:dyDescent="0.4">
      <c r="A344" s="233" t="s">
        <v>202</v>
      </c>
      <c r="B344" s="127" t="s">
        <v>202</v>
      </c>
      <c r="C344" s="127">
        <v>4059402</v>
      </c>
      <c r="D344" s="127" t="s">
        <v>203</v>
      </c>
      <c r="E344" s="127" t="s">
        <v>15</v>
      </c>
      <c r="F344" s="127"/>
      <c r="G344" s="127" t="s">
        <v>170</v>
      </c>
      <c r="H344" s="128">
        <v>2014</v>
      </c>
      <c r="I344" s="129"/>
      <c r="J344" s="125">
        <f>IFERROR(INDEX('Labor Expenditures'!$E$7:$W$91,MATCH($C344,'Labor Expenditures'!$C$7:$C$91,0),MATCH($G344,'Labor Expenditures'!$E$5:$W$5,0)),"NA")</f>
        <v>21883.939382583692</v>
      </c>
      <c r="K344" s="125">
        <f t="shared" ca="1" si="646"/>
        <v>169.11854236927118</v>
      </c>
      <c r="L344" s="47"/>
      <c r="M344" s="131">
        <f t="shared" ca="1" si="653"/>
        <v>2.1785139284882064E-3</v>
      </c>
      <c r="N344" s="131"/>
      <c r="O344" s="131"/>
      <c r="P344" s="59">
        <f t="shared" ca="1" si="655"/>
        <v>1.7857028178277669E-5</v>
      </c>
      <c r="Q344" s="61"/>
      <c r="R344" s="387"/>
      <c r="S344" s="49">
        <f t="shared" ca="1" si="660"/>
        <v>120.97370708785458</v>
      </c>
      <c r="T344" s="61">
        <f ca="1">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</f>
        <v>0.11216762857427746</v>
      </c>
      <c r="U344" s="61"/>
      <c r="V344" s="125">
        <f>IFERROR(INDEX('Non-Labor Expenditures'!$E$7:$AA$91,MATCH($C344,'Non-Labor Expenditures'!$C$7:$C$91,0),MATCH($G344,'Non-Labor Expenditures'!$E$5:$AA$5,0)),"NA")</f>
        <v>31692.031582050022</v>
      </c>
      <c r="W344" s="125">
        <f t="shared" si="647"/>
        <v>305.76892319169895</v>
      </c>
      <c r="X344" s="131">
        <f t="shared" si="656"/>
        <v>4.2298020939071802E-3</v>
      </c>
      <c r="Y344" s="131">
        <f t="shared" si="657"/>
        <v>3.4671201405562781E-5</v>
      </c>
      <c r="Z344" s="131"/>
      <c r="AA344" s="131"/>
      <c r="AB344" s="131"/>
      <c r="AC344" s="125">
        <f t="shared" si="627"/>
        <v>27648.741488960663</v>
      </c>
      <c r="AD344" s="129"/>
      <c r="AE344" s="133">
        <v>1939.4908651598735</v>
      </c>
      <c r="AF344" s="134">
        <v>2.4752529092367755E-2</v>
      </c>
      <c r="AG344" s="59">
        <f t="shared" si="648"/>
        <v>2.0289363483334808E-4</v>
      </c>
      <c r="AH344" s="134"/>
      <c r="AI344" s="134"/>
      <c r="AJ344" s="129">
        <f t="shared" si="569"/>
        <v>81224.712453594373</v>
      </c>
      <c r="AK344" s="134">
        <f t="shared" si="658"/>
        <v>2.1952957360463772E-2</v>
      </c>
      <c r="AL344" s="129"/>
      <c r="AM344" s="129"/>
      <c r="AN344" s="129"/>
      <c r="AO344" s="129"/>
      <c r="AP344" s="133">
        <f t="shared" si="659"/>
        <v>482.72473718877217</v>
      </c>
      <c r="AQ344" s="134">
        <f>+BB344/Outputs!$B$22</f>
        <v>4.656436857091226E-3</v>
      </c>
      <c r="AR344" s="93">
        <f t="shared" si="649"/>
        <v>0.26942464579467135</v>
      </c>
      <c r="AS344" s="93">
        <f t="shared" si="650"/>
        <v>0.39017720869318484</v>
      </c>
      <c r="AT344" s="93">
        <f t="shared" si="651"/>
        <v>0.34039814551214387</v>
      </c>
      <c r="AU344" s="93">
        <f t="shared" ca="1" si="654"/>
        <v>1.0666715429819892E-2</v>
      </c>
      <c r="AV344" s="132">
        <f t="shared" ca="1" si="662"/>
        <v>110.81182105582036</v>
      </c>
      <c r="AW344" s="134">
        <f t="shared" ca="1" si="663"/>
        <v>1.0666715429819784E-2</v>
      </c>
      <c r="AX344" s="56">
        <f>+AJ344/$AL$19</f>
        <v>8.1968850163237957E-3</v>
      </c>
      <c r="AY344" s="135">
        <f t="shared" ca="1" si="661"/>
        <v>8.7433839880079629E-5</v>
      </c>
      <c r="AZ344" s="93"/>
      <c r="BA344" s="93"/>
      <c r="BB344" s="234">
        <f>IFERROR(INDEX('Total Customers'!$E$7:$AA$91,MATCH($C344,'Total Customers'!$C$7:$C$91,0),MATCH($G344,'Total Customers'!$E$5:$AA$5,0)),"NA")</f>
        <v>168263</v>
      </c>
      <c r="BC344" s="411">
        <f t="shared" si="622"/>
        <v>1.2727520655688438E-2</v>
      </c>
      <c r="BD344" s="92"/>
      <c r="BE344" s="281" t="str">
        <f t="shared" si="618"/>
        <v>CONNECTICUT NATURAL GAS CORPORATION</v>
      </c>
      <c r="BF344" s="290">
        <f t="shared" si="619"/>
        <v>4059402</v>
      </c>
      <c r="BG344" s="46" t="str">
        <f t="shared" si="620"/>
        <v>CT</v>
      </c>
      <c r="BH344" s="46"/>
      <c r="BI344" s="46" t="str">
        <f t="shared" si="621"/>
        <v>2014 Y</v>
      </c>
      <c r="BJ344" s="129"/>
      <c r="BK344" s="129"/>
      <c r="BL344" s="129">
        <f>INDEX('Dist. Plant Gas Additions'!$E$7:$AD$91,MATCH($C344,'Dist. Plant Gas Additions'!$C$7:$C$91,0),MATCH(Calculation!$G344,'Dist. Plant Gas Additions'!$E$5:$AD$5,0))</f>
        <v>42858</v>
      </c>
      <c r="BM344" s="129">
        <f>INDEX('Gen. Plant Additions'!$E$7:$AD$91,MATCH($C344,'Gen. Plant Additions'!$C$7:$C$91,0),MATCH(Calculation!$G344,'Gen. Plant Additions'!$E$5:$AD$5,0))</f>
        <v>279</v>
      </c>
      <c r="BN344" s="393">
        <f t="shared" si="628"/>
        <v>0.94216062655709565</v>
      </c>
      <c r="BO344" s="46">
        <f t="shared" si="576"/>
        <v>262.86281480942966</v>
      </c>
      <c r="BP344" s="46">
        <f t="shared" si="577"/>
        <v>-16.137185190570335</v>
      </c>
      <c r="BQ344" s="129">
        <f>INDEX('Dist Plant Depreciation'!$D$7:$AC$94,MATCH($C344,'Dist Plant Depreciation'!$C$7:$C$94,0),MATCH(Calculation!$G344,'Dist Plant Depreciation'!$D$5:$AC$5,0))</f>
        <v>375907</v>
      </c>
      <c r="BR344" s="129">
        <f>INDEX('Gen. Plant Depreciation'!$D$7:$AC$94,MATCH($C344,'Gen. Plant Depreciation'!$C$7:$C$94,0),MATCH(Calculation!$G344,'Gen. Plant Depreciation'!$D$5:$AC$5,0))</f>
        <v>18981</v>
      </c>
      <c r="BS344" s="129"/>
      <c r="BT344" s="129"/>
      <c r="BU344" s="129"/>
      <c r="BV344" s="129"/>
      <c r="BW344" s="129"/>
      <c r="BX344" s="129"/>
      <c r="BY344" s="129">
        <f>INDEX('Gross Dx Plant'!$D$7:$AC$91,MATCH($C344,'Gross Dx Plant'!$C$7:$C$91,0),MATCH(Calculation!$G344,'Gross Dx Plant'!$D$5:$AC$5,0))</f>
        <v>673903</v>
      </c>
      <c r="BZ344" s="129">
        <f>INDEX('Gross Gen Plant'!$D$7:$AC$91,MATCH($C344,'Gross Gen Plant'!$C$7:$C$91,0),MATCH(Calculation!$G344,'Gross Gen Plant'!$D$5:$AC$5,0))</f>
        <v>41371</v>
      </c>
      <c r="CA344" s="129">
        <f t="shared" si="626"/>
        <v>320386</v>
      </c>
      <c r="CB344" s="129"/>
      <c r="CC344" s="133">
        <v>2014</v>
      </c>
      <c r="CD344" s="129"/>
      <c r="CE344" s="129"/>
      <c r="CF344" s="129"/>
      <c r="CG344" s="137"/>
      <c r="CH344" s="129">
        <f t="shared" si="629"/>
        <v>43137</v>
      </c>
      <c r="CI344" s="46">
        <f t="shared" si="638"/>
        <v>43120.862814809429</v>
      </c>
      <c r="CJ344" s="46">
        <f t="shared" si="630"/>
        <v>62.998987266592174</v>
      </c>
      <c r="CK344" s="443">
        <v>0.81395348837209303</v>
      </c>
      <c r="CL344" s="46">
        <f>+CL328*CK344+CJ329*CK343+CJ330*CK342+CJ331*CK341+CJ332*CK340+CJ333*CK339+CJ334*CK338+CJ335*CK337+CJ336*CK336+CJ337*CK335+CJ338*CK334+CJ339*CK333+CJ340*CK332+CJ341*CK331+CJ342*CK330+CJ343*CK329+CJ344</f>
        <v>1793.3083605877987</v>
      </c>
      <c r="CM344" s="134">
        <f t="shared" si="631"/>
        <v>2.054573193257548E-2</v>
      </c>
      <c r="CN344" s="135">
        <f t="shared" si="632"/>
        <v>1.510102559123664E-2</v>
      </c>
      <c r="CO344" s="135">
        <f t="shared" si="641"/>
        <v>1.4692780061850296E-2</v>
      </c>
      <c r="CP344" s="134">
        <f>VLOOKUP($H344,RoR!$E:$F,2,FALSE)</f>
        <v>4.1625000000000002E-2</v>
      </c>
      <c r="CQ344" s="135">
        <v>1.841352814597208E-2</v>
      </c>
      <c r="CR344" s="135">
        <f t="shared" si="639"/>
        <v>2.3211471854027922E-2</v>
      </c>
      <c r="CS344" s="135">
        <f t="shared" si="642"/>
        <v>1.620916154668333E-2</v>
      </c>
      <c r="CT344" s="135">
        <f t="shared" si="643"/>
        <v>3.9072621432650924E-2</v>
      </c>
      <c r="CU344" s="139">
        <f t="shared" si="633"/>
        <v>0.85126000000000002</v>
      </c>
      <c r="CV344" s="335">
        <f t="shared" si="634"/>
        <v>1.2320012320012319</v>
      </c>
      <c r="CW344" s="335">
        <f t="shared" si="635"/>
        <v>0.37439939939939942</v>
      </c>
      <c r="CX344" s="335">
        <f t="shared" si="636"/>
        <v>0.80432100613819935</v>
      </c>
      <c r="CY344" s="335">
        <f t="shared" si="637"/>
        <v>0.37100152660040037</v>
      </c>
      <c r="CZ344" s="336">
        <f>INDEX('State Tax Lookup'!$D$7:$Z$91,MATCH(Calculation!$C344,'State Tax Lookup'!$B$7:$B$91,0),MATCH($H344,'State Tax Lookup'!$D$6:$Z$6,0))</f>
        <v>0.40200000000000002</v>
      </c>
      <c r="DA344" s="303">
        <v>0.37</v>
      </c>
      <c r="DB344" s="57">
        <f t="shared" si="640"/>
        <v>15.737773577393265</v>
      </c>
      <c r="DC344" s="56">
        <f t="shared" si="644"/>
        <v>8.0736751673760442E-3</v>
      </c>
      <c r="DD344" s="303">
        <f>VLOOKUP($H344,RoR!$E:$F,2,FALSE)</f>
        <v>4.1625000000000002E-2</v>
      </c>
      <c r="DE344" s="304">
        <f>HLOOKUP($H344,'GDP-PI'!$D$8:$CQ$11,3,FALSE)</f>
        <v>1.841352814597208E-2</v>
      </c>
      <c r="DF344" s="303">
        <f>VLOOKUP(H344,'HW Dx Data'!$E:$F,2,FALSE)</f>
        <v>684.46914285042885</v>
      </c>
      <c r="DG344" s="89">
        <f ca="1">VLOOKUP(CC344,'ECI - Input Price'!M$13:N$33,2,FALSE)</f>
        <v>129.4</v>
      </c>
      <c r="DH344" s="89"/>
      <c r="DI344" s="89"/>
      <c r="DJ344" s="56">
        <f t="shared" ca="1" si="652"/>
        <v>2.0297340063674733E-2</v>
      </c>
      <c r="DK344" s="53">
        <f>HLOOKUP(H344,'GDP-PI'!$8:$9,2,FALSE)</f>
        <v>103.64700000000001</v>
      </c>
      <c r="DL344" s="355">
        <f t="shared" si="645"/>
        <v>1.8246051898256087E-2</v>
      </c>
      <c r="EC344"/>
    </row>
    <row r="345" spans="1:133" s="126" customFormat="1" ht="21" customHeight="1" x14ac:dyDescent="0.4">
      <c r="A345" s="233" t="s">
        <v>202</v>
      </c>
      <c r="B345" s="127" t="s">
        <v>202</v>
      </c>
      <c r="C345" s="127">
        <v>4059402</v>
      </c>
      <c r="D345" s="127" t="s">
        <v>203</v>
      </c>
      <c r="E345" s="127" t="s">
        <v>15</v>
      </c>
      <c r="F345" s="127"/>
      <c r="G345" s="127" t="s">
        <v>171</v>
      </c>
      <c r="H345" s="128">
        <v>2015</v>
      </c>
      <c r="I345" s="129"/>
      <c r="J345" s="125">
        <f>IFERROR(INDEX('Labor Expenditures'!$E$7:$W$91,MATCH($C345,'Labor Expenditures'!$C$7:$C$91,0),MATCH($G345,'Labor Expenditures'!$E$5:$W$5,0)),"NA")</f>
        <v>24707.796273217318</v>
      </c>
      <c r="K345" s="125">
        <f t="shared" ca="1" si="646"/>
        <v>185.07712564207728</v>
      </c>
      <c r="L345" s="47"/>
      <c r="M345" s="131">
        <f t="shared" ca="1" si="653"/>
        <v>9.0172730393352926E-2</v>
      </c>
      <c r="N345" s="131"/>
      <c r="O345" s="131"/>
      <c r="P345" s="59">
        <f t="shared" ca="1" si="655"/>
        <v>7.9440326901370948E-4</v>
      </c>
      <c r="Q345" s="61"/>
      <c r="R345" s="387"/>
      <c r="S345" s="49">
        <f t="shared" ca="1" si="660"/>
        <v>119.50742899488652</v>
      </c>
      <c r="T345" s="61">
        <f ca="1">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</f>
        <v>-1.2194688429297941E-2</v>
      </c>
      <c r="U345" s="61"/>
      <c r="V345" s="125">
        <f>IFERROR(INDEX('Non-Labor Expenditures'!$E$7:$AA$91,MATCH($C345,'Non-Labor Expenditures'!$C$7:$C$91,0),MATCH($G345,'Non-Labor Expenditures'!$E$5:$AA$5,0)),"NA")</f>
        <v>35781.50378340212</v>
      </c>
      <c r="W345" s="125">
        <f t="shared" si="647"/>
        <v>341.95188967213107</v>
      </c>
      <c r="X345" s="131">
        <f t="shared" si="656"/>
        <v>0.11184038998141405</v>
      </c>
      <c r="Y345" s="131">
        <f t="shared" si="657"/>
        <v>9.852909080321332E-4</v>
      </c>
      <c r="Z345" s="131"/>
      <c r="AA345" s="131"/>
      <c r="AB345" s="131"/>
      <c r="AC345" s="125">
        <f t="shared" si="627"/>
        <v>27261.244279760089</v>
      </c>
      <c r="AD345" s="129"/>
      <c r="AE345" s="133">
        <v>2011.4288330606382</v>
      </c>
      <c r="AF345" s="134">
        <v>3.6419833754909835E-2</v>
      </c>
      <c r="AG345" s="59">
        <f t="shared" si="648"/>
        <v>3.2085126917670592E-4</v>
      </c>
      <c r="AH345" s="134"/>
      <c r="AI345" s="134"/>
      <c r="AJ345" s="129">
        <f t="shared" si="569"/>
        <v>87750.544336379535</v>
      </c>
      <c r="AK345" s="134">
        <f t="shared" si="658"/>
        <v>7.7278524163374662E-2</v>
      </c>
      <c r="AL345" s="129"/>
      <c r="AM345" s="129"/>
      <c r="AN345" s="129"/>
      <c r="AO345" s="129"/>
      <c r="AP345" s="133">
        <f t="shared" si="659"/>
        <v>513.35621339327543</v>
      </c>
      <c r="AQ345" s="134">
        <f>+BB345/Outputs!$B$23</f>
        <v>4.691916470354697E-3</v>
      </c>
      <c r="AR345" s="93">
        <f t="shared" si="649"/>
        <v>0.28156858125578582</v>
      </c>
      <c r="AS345" s="93">
        <f t="shared" si="650"/>
        <v>0.40776389541515196</v>
      </c>
      <c r="AT345" s="93">
        <f t="shared" si="651"/>
        <v>0.31066752332906211</v>
      </c>
      <c r="AU345" s="93">
        <f t="shared" ca="1" si="654"/>
        <v>8.1319155699893383E-2</v>
      </c>
      <c r="AV345" s="132">
        <f t="shared" ca="1" si="662"/>
        <v>120.199469973332</v>
      </c>
      <c r="AW345" s="134">
        <f t="shared" ca="1" si="663"/>
        <v>8.13191556998933E-2</v>
      </c>
      <c r="AX345" s="56">
        <f>+AJ345/$AL$20</f>
        <v>8.8097949962072878E-3</v>
      </c>
      <c r="AY345" s="135">
        <f t="shared" ca="1" si="661"/>
        <v>7.1640509098072137E-4</v>
      </c>
      <c r="AZ345" s="93"/>
      <c r="BA345" s="93"/>
      <c r="BB345" s="234">
        <f>IFERROR(INDEX('Total Customers'!$E$7:$AA$91,MATCH($C345,'Total Customers'!$C$7:$C$91,0),MATCH($G345,'Total Customers'!$E$5:$AA$5,0)),"NA")</f>
        <v>170935</v>
      </c>
      <c r="BC345" s="411">
        <f t="shared" si="622"/>
        <v>1.5755135767601725E-2</v>
      </c>
      <c r="BD345" s="92"/>
      <c r="BE345" s="281" t="str">
        <f t="shared" si="618"/>
        <v>CONNECTICUT NATURAL GAS CORPORATION</v>
      </c>
      <c r="BF345" s="290">
        <f t="shared" si="619"/>
        <v>4059402</v>
      </c>
      <c r="BG345" s="46" t="str">
        <f t="shared" si="620"/>
        <v>CT</v>
      </c>
      <c r="BH345" s="46"/>
      <c r="BI345" s="46" t="str">
        <f t="shared" si="621"/>
        <v>2015 Y</v>
      </c>
      <c r="BJ345" s="129"/>
      <c r="BK345" s="129"/>
      <c r="BL345" s="129">
        <f>INDEX('Dist. Plant Gas Additions'!$E$7:$AD$91,MATCH($C345,'Dist. Plant Gas Additions'!$C$7:$C$91,0),MATCH(Calculation!$G345,'Dist. Plant Gas Additions'!$E$5:$AD$5,0))</f>
        <v>52106</v>
      </c>
      <c r="BM345" s="129">
        <f>INDEX('Gen. Plant Additions'!$E$7:$AD$91,MATCH($C345,'Gen. Plant Additions'!$C$7:$C$91,0),MATCH(Calculation!$G345,'Gen. Plant Additions'!$E$5:$AD$5,0))</f>
        <v>7651</v>
      </c>
      <c r="BN345" s="393">
        <f t="shared" si="628"/>
        <v>0.9379417647790399</v>
      </c>
      <c r="BO345" s="46">
        <f t="shared" si="576"/>
        <v>7176.1924423244345</v>
      </c>
      <c r="BP345" s="46">
        <f t="shared" si="577"/>
        <v>-474.80755767556548</v>
      </c>
      <c r="BQ345" s="129">
        <f>INDEX('Dist Plant Depreciation'!$D$7:$AC$94,MATCH($C345,'Dist Plant Depreciation'!$C$7:$C$94,0),MATCH(Calculation!$G345,'Dist Plant Depreciation'!$D$5:$AC$5,0))</f>
        <v>398814</v>
      </c>
      <c r="BR345" s="129">
        <f>INDEX('Gen. Plant Depreciation'!$D$7:$AC$94,MATCH($C345,'Gen. Plant Depreciation'!$C$7:$C$94,0),MATCH(Calculation!$G345,'Gen. Plant Depreciation'!$D$5:$AC$5,0))</f>
        <v>19928</v>
      </c>
      <c r="BS345" s="129"/>
      <c r="BT345" s="129"/>
      <c r="BU345" s="129"/>
      <c r="BV345" s="129"/>
      <c r="BW345" s="129"/>
      <c r="BX345" s="129"/>
      <c r="BY345" s="129">
        <f>INDEX('Gross Dx Plant'!$D$7:$AC$91,MATCH($C345,'Gross Dx Plant'!$C$7:$C$91,0),MATCH(Calculation!$G345,'Gross Dx Plant'!$D$5:$AC$5,0))</f>
        <v>724001</v>
      </c>
      <c r="BZ345" s="129">
        <f>INDEX('Gross Gen Plant'!$D$7:$AC$91,MATCH($C345,'Gross Gen Plant'!$C$7:$C$91,0),MATCH(Calculation!$G345,'Gross Gen Plant'!$D$5:$AC$5,0))</f>
        <v>47903</v>
      </c>
      <c r="CA345" s="129">
        <f t="shared" si="626"/>
        <v>353162</v>
      </c>
      <c r="CB345" s="129"/>
      <c r="CC345" s="133">
        <v>2015</v>
      </c>
      <c r="CD345" s="129"/>
      <c r="CE345" s="129"/>
      <c r="CF345" s="129"/>
      <c r="CG345" s="137"/>
      <c r="CH345" s="129">
        <f t="shared" si="629"/>
        <v>59757</v>
      </c>
      <c r="CI345" s="46">
        <f t="shared" si="638"/>
        <v>59282.192442324435</v>
      </c>
      <c r="CJ345" s="46">
        <f t="shared" si="630"/>
        <v>87.745572015638373</v>
      </c>
      <c r="CK345" s="443">
        <v>0.8</v>
      </c>
      <c r="CL345" s="46">
        <f>+CL328*CK345+CJ329*CK344+CJ330*CK343+CJ331*CK342+CJ332*CK341+CJ333*CK340+CJ334*CK339+CJ335*CK338+CJ336*CK337+CJ337*CK336+CJ338*CK335+CJ339*CK334+CJ340*CK333+CJ341*CK332+CJ342*CK331+CJ343*CK330+CJ344*CK329+CJ345</f>
        <v>1853.2899330997689</v>
      </c>
      <c r="CM345" s="134">
        <f t="shared" si="631"/>
        <v>3.2900241842142471E-2</v>
      </c>
      <c r="CN345" s="135">
        <f t="shared" si="632"/>
        <v>1.548199970169542E-2</v>
      </c>
      <c r="CO345" s="135">
        <f t="shared" si="641"/>
        <v>1.5090406906870602E-2</v>
      </c>
      <c r="CP345" s="134">
        <f>VLOOKUP($H345,RoR!$E:$F,2,FALSE)</f>
        <v>3.8866666666666674E-2</v>
      </c>
      <c r="CQ345" s="135">
        <v>9.5709475431029478E-3</v>
      </c>
      <c r="CR345" s="135">
        <f t="shared" si="639"/>
        <v>2.9295719123563727E-2</v>
      </c>
      <c r="CS345" s="135">
        <f t="shared" si="642"/>
        <v>1.5811534701663021E-2</v>
      </c>
      <c r="CT345" s="135">
        <f t="shared" si="643"/>
        <v>3.5270373279175926E-3</v>
      </c>
      <c r="CU345" s="139">
        <f t="shared" si="633"/>
        <v>0.85126000000000002</v>
      </c>
      <c r="CV345" s="335">
        <f t="shared" si="634"/>
        <v>1.3194352816994324</v>
      </c>
      <c r="CW345" s="335">
        <f t="shared" si="635"/>
        <v>0.33177530017152673</v>
      </c>
      <c r="CX345" s="335">
        <f t="shared" si="636"/>
        <v>0.78242572977668579</v>
      </c>
      <c r="CY345" s="335">
        <f t="shared" si="637"/>
        <v>0.34251158643433932</v>
      </c>
      <c r="CZ345" s="336">
        <f>INDEX('State Tax Lookup'!$D$7:$Z$91,MATCH(Calculation!$C345,'State Tax Lookup'!$B$7:$B$91,0),MATCH($H345,'State Tax Lookup'!$D$6:$Z$6,0))</f>
        <v>0.40200000000000002</v>
      </c>
      <c r="DA345" s="303">
        <v>0.37</v>
      </c>
      <c r="DB345" s="57">
        <f t="shared" si="640"/>
        <v>15.201649018590745</v>
      </c>
      <c r="DC345" s="56">
        <f t="shared" si="644"/>
        <v>-3.4659872976244323E-2</v>
      </c>
      <c r="DD345" s="303">
        <f>VLOOKUP($H345,RoR!$E:$F,2,FALSE)</f>
        <v>3.8866666666666674E-2</v>
      </c>
      <c r="DE345" s="304">
        <f>HLOOKUP($H345,'GDP-PI'!$D$8:$CQ$11,3,FALSE)</f>
        <v>9.5709475431029478E-3</v>
      </c>
      <c r="DF345" s="303">
        <f>VLOOKUP(H345,'HW Dx Data'!$E:$F,2,FALSE)</f>
        <v>675.61463308665782</v>
      </c>
      <c r="DG345" s="89">
        <f ca="1">VLOOKUP(CC345,'ECI - Input Price'!M$13:N$33,2,FALSE)</f>
        <v>133.5</v>
      </c>
      <c r="DH345" s="89"/>
      <c r="DI345" s="89"/>
      <c r="DJ345" s="56">
        <f t="shared" ca="1" si="652"/>
        <v>3.1193095773504077E-2</v>
      </c>
      <c r="DK345" s="53">
        <f>HLOOKUP(H345,'GDP-PI'!$8:$9,2,FALSE)</f>
        <v>104.639</v>
      </c>
      <c r="DL345" s="355">
        <f t="shared" si="645"/>
        <v>9.5254361854427965E-3</v>
      </c>
      <c r="EC345"/>
    </row>
    <row r="346" spans="1:133" s="126" customFormat="1" ht="21" customHeight="1" x14ac:dyDescent="0.4">
      <c r="A346" s="233" t="s">
        <v>202</v>
      </c>
      <c r="B346" s="127" t="s">
        <v>202</v>
      </c>
      <c r="C346" s="127">
        <v>4059402</v>
      </c>
      <c r="D346" s="127" t="s">
        <v>203</v>
      </c>
      <c r="E346" s="127" t="s">
        <v>15</v>
      </c>
      <c r="F346" s="127"/>
      <c r="G346" s="127" t="s">
        <v>172</v>
      </c>
      <c r="H346" s="128">
        <v>2016</v>
      </c>
      <c r="I346" s="129"/>
      <c r="J346" s="125">
        <f>IFERROR(INDEX('Labor Expenditures'!$E$7:$W$91,MATCH($C346,'Labor Expenditures'!$C$7:$C$91,0),MATCH($G346,'Labor Expenditures'!$E$5:$W$5,0)),"NA")</f>
        <v>24408.390786746953</v>
      </c>
      <c r="K346" s="125">
        <f t="shared" ca="1" si="646"/>
        <v>178.22848329132498</v>
      </c>
      <c r="L346" s="47"/>
      <c r="M346" s="131">
        <f t="shared" ca="1" si="653"/>
        <v>-3.7706292404019986E-2</v>
      </c>
      <c r="N346" s="131"/>
      <c r="O346" s="131"/>
      <c r="P346" s="59">
        <f t="shared" ca="1" si="655"/>
        <v>-3.193937886029083E-4</v>
      </c>
      <c r="Q346" s="61"/>
      <c r="R346" s="387"/>
      <c r="S346" s="49">
        <f t="shared" ca="1" si="660"/>
        <v>298.01900389114894</v>
      </c>
      <c r="T346" s="61">
        <f ca="1">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</f>
        <v>0.91377871915841702</v>
      </c>
      <c r="U346" s="61"/>
      <c r="V346" s="125">
        <f>IFERROR(INDEX('Non-Labor Expenditures'!$E$7:$AA$91,MATCH($C346,'Non-Labor Expenditures'!$C$7:$C$91,0),MATCH($G346,'Non-Labor Expenditures'!$E$5:$AA$5,0)),"NA")</f>
        <v>35347.908717761908</v>
      </c>
      <c r="W346" s="125">
        <f t="shared" si="647"/>
        <v>334.30344175835955</v>
      </c>
      <c r="X346" s="131">
        <f t="shared" si="656"/>
        <v>-2.2620964902442212E-2</v>
      </c>
      <c r="Y346" s="131">
        <f t="shared" si="657"/>
        <v>-1.916124662862413E-4</v>
      </c>
      <c r="Z346" s="131"/>
      <c r="AA346" s="131"/>
      <c r="AB346" s="131"/>
      <c r="AC346" s="125">
        <f t="shared" si="627"/>
        <v>27342.740364485242</v>
      </c>
      <c r="AD346" s="129"/>
      <c r="AE346" s="133">
        <v>2074.5591679083163</v>
      </c>
      <c r="AF346" s="134">
        <v>3.0903350163986858E-2</v>
      </c>
      <c r="AG346" s="59">
        <f t="shared" si="648"/>
        <v>2.6176899026926769E-4</v>
      </c>
      <c r="AH346" s="134"/>
      <c r="AI346" s="134"/>
      <c r="AJ346" s="129">
        <f t="shared" si="569"/>
        <v>87099.039868994107</v>
      </c>
      <c r="AK346" s="134">
        <f t="shared" si="658"/>
        <v>-7.4522051107125337E-3</v>
      </c>
      <c r="AL346" s="129"/>
      <c r="AM346" s="129"/>
      <c r="AN346" s="129"/>
      <c r="AO346" s="129"/>
      <c r="AP346" s="133">
        <f t="shared" si="659"/>
        <v>499.29513121112853</v>
      </c>
      <c r="AQ346" s="134">
        <f>+BB346/Outputs!$B$24</f>
        <v>4.7468563682200411E-3</v>
      </c>
      <c r="AR346" s="93">
        <f t="shared" si="649"/>
        <v>0.28023719691353288</v>
      </c>
      <c r="AS346" s="93">
        <f t="shared" si="650"/>
        <v>0.40583580221927579</v>
      </c>
      <c r="AT346" s="93">
        <f t="shared" si="651"/>
        <v>0.31392700086719127</v>
      </c>
      <c r="AU346" s="93">
        <f t="shared" ca="1" si="654"/>
        <v>-1.0142979929500362E-2</v>
      </c>
      <c r="AV346" s="132">
        <f t="shared" ca="1" si="662"/>
        <v>118.98645137311317</v>
      </c>
      <c r="AW346" s="134">
        <f t="shared" ca="1" si="663"/>
        <v>-1.0142979929500371E-2</v>
      </c>
      <c r="AX346" s="56">
        <f>+AJ346/$AL$21</f>
        <v>8.4705699828725861E-3</v>
      </c>
      <c r="AY346" s="135">
        <f t="shared" ca="1" si="661"/>
        <v>-8.5916821327704939E-5</v>
      </c>
      <c r="AZ346" s="93"/>
      <c r="BA346" s="93"/>
      <c r="BB346" s="234">
        <f>IFERROR(INDEX('Total Customers'!$E$7:$AA$91,MATCH($C346,'Total Customers'!$C$7:$C$91,0),MATCH($G346,'Total Customers'!$E$5:$AA$5,0)),"NA")</f>
        <v>174444</v>
      </c>
      <c r="BC346" s="411">
        <f t="shared" si="622"/>
        <v>2.0320405951356601E-2</v>
      </c>
      <c r="BD346" s="92"/>
      <c r="BE346" s="281" t="str">
        <f t="shared" si="618"/>
        <v>CONNECTICUT NATURAL GAS CORPORATION</v>
      </c>
      <c r="BF346" s="290">
        <f t="shared" si="619"/>
        <v>4059402</v>
      </c>
      <c r="BG346" s="46" t="str">
        <f t="shared" si="620"/>
        <v>CT</v>
      </c>
      <c r="BH346" s="46"/>
      <c r="BI346" s="46" t="str">
        <f t="shared" si="621"/>
        <v>2016 Y</v>
      </c>
      <c r="BJ346" s="129"/>
      <c r="BK346" s="129"/>
      <c r="BL346" s="129">
        <f>INDEX('Dist. Plant Gas Additions'!$E$7:$AD$91,MATCH($C346,'Dist. Plant Gas Additions'!$C$7:$C$91,0),MATCH(Calculation!$G346,'Dist. Plant Gas Additions'!$E$5:$AD$5,0))</f>
        <v>48310</v>
      </c>
      <c r="BM346" s="129">
        <f>INDEX('Gen. Plant Additions'!$E$7:$AD$91,MATCH($C346,'Gen. Plant Additions'!$C$7:$C$91,0),MATCH(Calculation!$G346,'Gen. Plant Additions'!$E$5:$AD$5,0))</f>
        <v>5888</v>
      </c>
      <c r="BN346" s="393">
        <f t="shared" si="628"/>
        <v>0.93662338861439365</v>
      </c>
      <c r="BO346" s="46">
        <f t="shared" si="576"/>
        <v>5514.8385121615502</v>
      </c>
      <c r="BP346" s="46">
        <f t="shared" si="577"/>
        <v>-373.16148783844983</v>
      </c>
      <c r="BQ346" s="129"/>
      <c r="BR346" s="129"/>
      <c r="BS346" s="129"/>
      <c r="BT346" s="129"/>
      <c r="BU346" s="129"/>
      <c r="BV346" s="129"/>
      <c r="BW346" s="129"/>
      <c r="BX346" s="129"/>
      <c r="BY346" s="129">
        <f>INDEX('Gross Dx Plant'!$D$7:$AC$91,MATCH($C346,'Gross Dx Plant'!$C$7:$C$91,0),MATCH(Calculation!$G346,'Gross Dx Plant'!$D$5:$AC$5,0))</f>
        <v>770960</v>
      </c>
      <c r="BZ346" s="129">
        <f>INDEX('Gross Gen Plant'!$D$7:$AC$91,MATCH($C346,'Gross Gen Plant'!$C$7:$C$91,0),MATCH(Calculation!$G346,'Gross Gen Plant'!$D$5:$AC$5,0))</f>
        <v>52167</v>
      </c>
      <c r="CA346" s="129">
        <f t="shared" si="626"/>
        <v>823127</v>
      </c>
      <c r="CB346" s="129"/>
      <c r="CC346" s="133">
        <v>2016</v>
      </c>
      <c r="CD346" s="129"/>
      <c r="CE346" s="129"/>
      <c r="CF346" s="129"/>
      <c r="CG346" s="137"/>
      <c r="CH346" s="129">
        <f t="shared" si="629"/>
        <v>54198</v>
      </c>
      <c r="CI346" s="46">
        <f t="shared" si="638"/>
        <v>53824.83851216155</v>
      </c>
      <c r="CJ346" s="46">
        <f t="shared" si="630"/>
        <v>80.161331404950786</v>
      </c>
      <c r="CK346" s="443">
        <v>0.7857142857142857</v>
      </c>
      <c r="CL346" s="46">
        <f>+CL328*CK346+CJ329*CK345+CJ330*CK344+CJ331*CK343+CJ332*CK342+CJ333*CK341+CJ334*CK340+CJ335*CK339+CJ336*CK338+CJ337*CK337+CJ338*CK336+CJ339*CK335+CJ340*CK334+CJ341*CK333+CJ342*CK332+CJ343*CK331+CJ344*CK330+CJ345*CK329+CJ346</f>
        <v>1904.1745172392293</v>
      </c>
      <c r="CM346" s="134">
        <f t="shared" si="631"/>
        <v>2.7086188454718135E-2</v>
      </c>
      <c r="CN346" s="135">
        <f t="shared" si="632"/>
        <v>1.5797176007168363E-2</v>
      </c>
      <c r="CO346" s="135">
        <f t="shared" si="641"/>
        <v>1.5460067100033474E-2</v>
      </c>
      <c r="CP346" s="134">
        <f>VLOOKUP($H346,RoR!$E:$F,2,FALSE)</f>
        <v>3.6658333333333334E-2</v>
      </c>
      <c r="CQ346" s="135">
        <v>1.0483662879041455E-2</v>
      </c>
      <c r="CR346" s="135">
        <f t="shared" si="639"/>
        <v>2.6174670454291879E-2</v>
      </c>
      <c r="CS346" s="135">
        <f t="shared" si="642"/>
        <v>1.5441874508500151E-2</v>
      </c>
      <c r="CT346" s="135">
        <f t="shared" si="643"/>
        <v>4.301363574220729E-3</v>
      </c>
      <c r="CU346" s="139">
        <f t="shared" si="633"/>
        <v>0.85126000000000002</v>
      </c>
      <c r="CV346" s="335">
        <f t="shared" si="634"/>
        <v>1.3989193348138562</v>
      </c>
      <c r="CW346" s="335">
        <f t="shared" si="635"/>
        <v>0.29302682427824522</v>
      </c>
      <c r="CX346" s="335">
        <f t="shared" si="636"/>
        <v>0.76309497491941802</v>
      </c>
      <c r="CY346" s="335">
        <f t="shared" si="637"/>
        <v>0.31280857135128509</v>
      </c>
      <c r="CZ346" s="336">
        <f>INDEX('State Tax Lookup'!$D$7:$Z$91,MATCH(Calculation!$C346,'State Tax Lookup'!$B$7:$B$91,0),MATCH($H346,'State Tax Lookup'!$D$6:$Z$6,0))</f>
        <v>0.40200000000000002</v>
      </c>
      <c r="DA346" s="303">
        <v>0.37</v>
      </c>
      <c r="DB346" s="57">
        <f t="shared" si="640"/>
        <v>14.753622666450479</v>
      </c>
      <c r="DC346" s="56">
        <f t="shared" si="644"/>
        <v>-2.9915252897909587E-2</v>
      </c>
      <c r="DD346" s="303">
        <f>VLOOKUP($H346,RoR!$E:$F,2,FALSE)</f>
        <v>3.6658333333333334E-2</v>
      </c>
      <c r="DE346" s="304">
        <f>HLOOKUP($H346,'GDP-PI'!$D$8:$CQ$11,3,FALSE)</f>
        <v>1.0483662879041455E-2</v>
      </c>
      <c r="DF346" s="303">
        <f>VLOOKUP(H346,'HW Dx Data'!$E:$F,2,FALSE)</f>
        <v>671.45639385971219</v>
      </c>
      <c r="DG346" s="89">
        <f ca="1">VLOOKUP(CC346,'ECI - Input Price'!M$13:N$33,2,FALSE)</f>
        <v>136.94999999999999</v>
      </c>
      <c r="DH346" s="89"/>
      <c r="DI346" s="89"/>
      <c r="DJ346" s="56">
        <f t="shared" ca="1" si="652"/>
        <v>2.5514417868782811E-2</v>
      </c>
      <c r="DK346" s="53">
        <f>HLOOKUP(H346,'GDP-PI'!$8:$9,2,FALSE)</f>
        <v>105.736</v>
      </c>
      <c r="DL346" s="355">
        <f t="shared" si="645"/>
        <v>1.0429090367205095E-2</v>
      </c>
      <c r="EC346"/>
    </row>
    <row r="347" spans="1:133" s="126" customFormat="1" ht="21" customHeight="1" x14ac:dyDescent="0.4">
      <c r="A347" s="233" t="s">
        <v>202</v>
      </c>
      <c r="B347" s="127" t="s">
        <v>202</v>
      </c>
      <c r="C347" s="127">
        <v>4059402</v>
      </c>
      <c r="D347" s="127" t="s">
        <v>203</v>
      </c>
      <c r="E347" s="127" t="s">
        <v>15</v>
      </c>
      <c r="F347" s="127"/>
      <c r="G347" s="127" t="s">
        <v>173</v>
      </c>
      <c r="H347" s="128">
        <v>2017</v>
      </c>
      <c r="I347" s="129"/>
      <c r="J347" s="125">
        <f>IFERROR(INDEX('Labor Expenditures'!$E$7:$W$91,MATCH($C347,'Labor Expenditures'!$C$7:$C$91,0),MATCH($G347,'Labor Expenditures'!$E$5:$W$5,0)),"NA")</f>
        <v>30113.503213589251</v>
      </c>
      <c r="K347" s="125">
        <f t="shared" ca="1" si="646"/>
        <v>214.40728525161447</v>
      </c>
      <c r="L347" s="47"/>
      <c r="M347" s="131">
        <f t="shared" ca="1" si="653"/>
        <v>0.18481106717754253</v>
      </c>
      <c r="N347" s="131"/>
      <c r="O347" s="131"/>
      <c r="P347" s="59">
        <f t="shared" ca="1" si="655"/>
        <v>1.7753329871006683E-3</v>
      </c>
      <c r="Q347" s="61"/>
      <c r="R347" s="387"/>
      <c r="S347" s="49">
        <f t="shared" ca="1" si="660"/>
        <v>166.2887924969387</v>
      </c>
      <c r="T347" s="61">
        <f ca="1">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</f>
        <v>-0.58343126527463984</v>
      </c>
      <c r="U347" s="61"/>
      <c r="V347" s="125">
        <f>IFERROR(INDEX('Non-Labor Expenditures'!$E$7:$AA$91,MATCH($C347,'Non-Labor Expenditures'!$C$7:$C$91,0),MATCH($G347,'Non-Labor Expenditures'!$E$5:$AA$5,0)),"NA")</f>
        <v>43609.977079846969</v>
      </c>
      <c r="W347" s="125">
        <f t="shared" si="647"/>
        <v>404.72920975069343</v>
      </c>
      <c r="X347" s="131">
        <f t="shared" si="656"/>
        <v>0.19116913679096281</v>
      </c>
      <c r="Y347" s="131">
        <f t="shared" si="657"/>
        <v>1.8364099068510623E-3</v>
      </c>
      <c r="Z347" s="131"/>
      <c r="AA347" s="131"/>
      <c r="AB347" s="131"/>
      <c r="AC347" s="125">
        <f t="shared" si="627"/>
        <v>25019.922616058499</v>
      </c>
      <c r="AD347" s="129"/>
      <c r="AE347" s="133">
        <v>2110.8686429227355</v>
      </c>
      <c r="AF347" s="134">
        <v>1.7350859970359282E-2</v>
      </c>
      <c r="AG347" s="59">
        <f t="shared" si="648"/>
        <v>1.6667591681807288E-4</v>
      </c>
      <c r="AH347" s="134"/>
      <c r="AI347" s="134"/>
      <c r="AJ347" s="129">
        <f t="shared" si="569"/>
        <v>98743.402909494718</v>
      </c>
      <c r="AK347" s="134">
        <f t="shared" si="658"/>
        <v>0.1254787350902051</v>
      </c>
      <c r="AL347" s="129"/>
      <c r="AM347" s="129"/>
      <c r="AN347" s="129"/>
      <c r="AO347" s="129"/>
      <c r="AP347" s="133">
        <f t="shared" si="659"/>
        <v>560.15091280630088</v>
      </c>
      <c r="AQ347" s="134">
        <f>+BB347/Outputs!$B$25</f>
        <v>4.7607771593316632E-3</v>
      </c>
      <c r="AR347" s="93">
        <f t="shared" si="649"/>
        <v>0.30496724162109745</v>
      </c>
      <c r="AS347" s="93">
        <f t="shared" si="650"/>
        <v>0.44164952589104695</v>
      </c>
      <c r="AT347" s="93">
        <f t="shared" si="651"/>
        <v>0.2533832324878556</v>
      </c>
      <c r="AU347" s="93">
        <f t="shared" ca="1" si="654"/>
        <v>0.1400043079195856</v>
      </c>
      <c r="AV347" s="132">
        <f t="shared" ca="1" si="662"/>
        <v>136.8675870467805</v>
      </c>
      <c r="AW347" s="134">
        <f t="shared" ca="1" si="663"/>
        <v>0.14000430791958568</v>
      </c>
      <c r="AX347" s="56">
        <f>+AJ347/$AL$22</f>
        <v>9.606204943317374E-3</v>
      </c>
      <c r="AY347" s="135">
        <f t="shared" ca="1" si="661"/>
        <v>1.3449100748228516E-3</v>
      </c>
      <c r="AZ347" s="93"/>
      <c r="BA347" s="93"/>
      <c r="BB347" s="234">
        <f>IFERROR(INDEX('Total Customers'!$E$7:$AA$91,MATCH($C347,'Total Customers'!$C$7:$C$91,0),MATCH($G347,'Total Customers'!$E$5:$AA$5,0)),"NA")</f>
        <v>176280</v>
      </c>
      <c r="BC347" s="411">
        <f t="shared" si="622"/>
        <v>1.0469866741598038E-2</v>
      </c>
      <c r="BD347" s="92"/>
      <c r="BE347" s="281" t="str">
        <f t="shared" si="618"/>
        <v>CONNECTICUT NATURAL GAS CORPORATION</v>
      </c>
      <c r="BF347" s="290">
        <f t="shared" si="619"/>
        <v>4059402</v>
      </c>
      <c r="BG347" s="46" t="str">
        <f t="shared" si="620"/>
        <v>CT</v>
      </c>
      <c r="BH347" s="46"/>
      <c r="BI347" s="46" t="str">
        <f t="shared" si="621"/>
        <v>2017 Y</v>
      </c>
      <c r="BJ347" s="129"/>
      <c r="BK347" s="129"/>
      <c r="BL347" s="129">
        <f>INDEX('Dist. Plant Gas Additions'!$E$7:$AD$91,MATCH($C347,'Dist. Plant Gas Additions'!$C$7:$C$91,0),MATCH(Calculation!$G347,'Dist. Plant Gas Additions'!$E$5:$AD$5,0))</f>
        <v>36900</v>
      </c>
      <c r="BM347" s="129">
        <f>INDEX('Gen. Plant Additions'!$E$7:$AD$91,MATCH($C347,'Gen. Plant Additions'!$C$7:$C$91,0),MATCH(Calculation!$G347,'Gen. Plant Additions'!$E$5:$AD$5,0))</f>
        <v>2273</v>
      </c>
      <c r="BN347" s="393">
        <f t="shared" si="628"/>
        <v>0.93799030502179392</v>
      </c>
      <c r="BO347" s="46">
        <f t="shared" si="576"/>
        <v>2132.0519633145377</v>
      </c>
      <c r="BP347" s="46">
        <f t="shared" si="577"/>
        <v>-140.94803668546228</v>
      </c>
      <c r="BQ347" s="129">
        <f>INDEX('Dist Plant Depreciation'!$D$7:$AC$94,MATCH($C347,'Dist Plant Depreciation'!$C$7:$C$94,0),MATCH(Calculation!$G347,'Dist Plant Depreciation'!$D$5:$AC$5,0))</f>
        <v>449483</v>
      </c>
      <c r="BR347" s="129">
        <f>INDEX('Gen. Plant Depreciation'!$D$7:$AC$94,MATCH($C347,'Gen. Plant Depreciation'!$C$7:$C$94,0),MATCH(Calculation!$G347,'Gen. Plant Depreciation'!$D$5:$AC$5,0))</f>
        <v>22431</v>
      </c>
      <c r="BS347" s="129"/>
      <c r="BT347" s="129"/>
      <c r="BU347" s="129"/>
      <c r="BV347" s="129"/>
      <c r="BW347" s="129"/>
      <c r="BX347" s="129"/>
      <c r="BY347" s="129">
        <f>INDEX('Gross Dx Plant'!$D$7:$AC$91,MATCH($C347,'Gross Dx Plant'!$C$7:$C$91,0),MATCH(Calculation!$G347,'Gross Dx Plant'!$D$5:$AC$5,0))</f>
        <v>806122</v>
      </c>
      <c r="BZ347" s="129">
        <f>INDEX('Gross Gen Plant'!$D$7:$AC$91,MATCH($C347,'Gross Gen Plant'!$C$7:$C$91,0),MATCH(Calculation!$G347,'Gross Gen Plant'!$D$5:$AC$5,0))</f>
        <v>53292</v>
      </c>
      <c r="CA347" s="129">
        <f t="shared" si="626"/>
        <v>387500</v>
      </c>
      <c r="CB347" s="129"/>
      <c r="CC347" s="133">
        <v>2017</v>
      </c>
      <c r="CD347" s="129"/>
      <c r="CE347" s="129"/>
      <c r="CF347" s="129"/>
      <c r="CG347" s="137"/>
      <c r="CH347" s="129">
        <f t="shared" si="629"/>
        <v>39173</v>
      </c>
      <c r="CI347" s="46">
        <f t="shared" si="638"/>
        <v>39032.051963314538</v>
      </c>
      <c r="CJ347" s="46">
        <f t="shared" si="630"/>
        <v>54.787318836192107</v>
      </c>
      <c r="CK347" s="443">
        <v>0.77108433734939763</v>
      </c>
      <c r="CL347" s="46">
        <f>+CL328*CK347+CJ329*CK346+CJ330*CK345+CJ331*CK344+CJ332*CK343+CJ333*CK342+CJ334*CK341+CJ335*CK340+CJ336*CK339+CJ337*CK338+CJ338*CK337+CJ339*CK336+CJ340*CK335+CJ341*CK334+CJ342*CK333+CJ343*CK332+CJ344*CK331+CJ345*CK330+CJ346*CK329+CJ347</f>
        <v>1928.2073359528306</v>
      </c>
      <c r="CM347" s="134">
        <f t="shared" si="631"/>
        <v>1.2542139418332179E-2</v>
      </c>
      <c r="CN347" s="135">
        <f t="shared" si="632"/>
        <v>1.6151093213441537E-2</v>
      </c>
      <c r="CO347" s="135">
        <f t="shared" si="641"/>
        <v>1.5810089640768441E-2</v>
      </c>
      <c r="CP347" s="134">
        <f>VLOOKUP($H347,RoR!$E:$F,2,FALSE)</f>
        <v>3.7433333333333339E-2</v>
      </c>
      <c r="CQ347" s="135">
        <v>1.9056896421275615E-2</v>
      </c>
      <c r="CR347" s="135">
        <f t="shared" si="639"/>
        <v>1.8376436912057724E-2</v>
      </c>
      <c r="CS347" s="135">
        <f t="shared" si="642"/>
        <v>1.5091851967765184E-2</v>
      </c>
      <c r="CT347" s="135">
        <f t="shared" si="643"/>
        <v>1.3976271617800498E-2</v>
      </c>
      <c r="CU347" s="139">
        <f t="shared" si="633"/>
        <v>0.90305999999999997</v>
      </c>
      <c r="CV347" s="335">
        <f t="shared" si="634"/>
        <v>1.3699568463593395</v>
      </c>
      <c r="CW347" s="335">
        <f t="shared" si="635"/>
        <v>0.30714603739982199</v>
      </c>
      <c r="CX347" s="335">
        <f t="shared" si="636"/>
        <v>0.77007188472689425</v>
      </c>
      <c r="CY347" s="335">
        <f t="shared" si="637"/>
        <v>0.32402839633793828</v>
      </c>
      <c r="CZ347" s="336">
        <f>INDEX('State Tax Lookup'!$D$7:$Z$91,MATCH(Calculation!$C347,'State Tax Lookup'!$B$7:$B$91,0),MATCH($H347,'State Tax Lookup'!$D$6:$Z$6,0))</f>
        <v>0.26200000000000001</v>
      </c>
      <c r="DA347" s="303">
        <v>0.37</v>
      </c>
      <c r="DB347" s="57">
        <f t="shared" si="640"/>
        <v>13.139511315556136</v>
      </c>
      <c r="DC347" s="56">
        <f t="shared" si="644"/>
        <v>-0.11586483536716545</v>
      </c>
      <c r="DD347" s="303">
        <f>VLOOKUP($H347,RoR!$E:$F,2,FALSE)</f>
        <v>3.7433333333333339E-2</v>
      </c>
      <c r="DE347" s="304">
        <f>HLOOKUP($H347,'GDP-PI'!$D$8:$CQ$11,3,FALSE)</f>
        <v>1.9056896421275615E-2</v>
      </c>
      <c r="DF347" s="303">
        <f>VLOOKUP(H347,'HW Dx Data'!$E:$F,2,FALSE)</f>
        <v>712.42858370229726</v>
      </c>
      <c r="DG347" s="89">
        <f ca="1">VLOOKUP(CC347,'ECI - Input Price'!M$13:N$33,2,FALSE)</f>
        <v>140.44999999999999</v>
      </c>
      <c r="DH347" s="89"/>
      <c r="DI347" s="89"/>
      <c r="DJ347" s="56">
        <f t="shared" ca="1" si="652"/>
        <v>2.5235657841165486E-2</v>
      </c>
      <c r="DK347" s="53">
        <f>HLOOKUP(H347,'GDP-PI'!$8:$9,2,FALSE)</f>
        <v>107.751</v>
      </c>
      <c r="DL347" s="355">
        <f t="shared" si="645"/>
        <v>1.8877588227745139E-2</v>
      </c>
      <c r="EC347"/>
    </row>
    <row r="348" spans="1:133" s="126" customFormat="1" ht="21" customHeight="1" x14ac:dyDescent="0.4">
      <c r="A348" s="233" t="s">
        <v>202</v>
      </c>
      <c r="B348" s="127" t="s">
        <v>202</v>
      </c>
      <c r="C348" s="127">
        <v>4059402</v>
      </c>
      <c r="D348" s="127" t="s">
        <v>203</v>
      </c>
      <c r="E348" s="127" t="s">
        <v>15</v>
      </c>
      <c r="F348" s="127"/>
      <c r="G348" s="127" t="s">
        <v>174</v>
      </c>
      <c r="H348" s="128">
        <v>2018</v>
      </c>
      <c r="I348" s="129"/>
      <c r="J348" s="125">
        <f>IFERROR(INDEX('Labor Expenditures'!$E$7:$W$91,MATCH($C348,'Labor Expenditures'!$C$7:$C$91,0),MATCH($G348,'Labor Expenditures'!$E$5:$W$5,0)),"NA")</f>
        <v>25752.298428012698</v>
      </c>
      <c r="K348" s="125">
        <f t="shared" ca="1" si="646"/>
        <v>178.27828610600693</v>
      </c>
      <c r="L348" s="47"/>
      <c r="M348" s="131">
        <f t="shared" ca="1" si="653"/>
        <v>-0.1845316738011413</v>
      </c>
      <c r="N348" s="131"/>
      <c r="O348" s="131"/>
      <c r="P348" s="59">
        <f t="shared" ca="1" si="655"/>
        <v>-1.4788076446259288E-3</v>
      </c>
      <c r="Q348" s="61"/>
      <c r="R348" s="387"/>
      <c r="S348" s="49">
        <f t="shared" ca="1" si="660"/>
        <v>114.70978300811515</v>
      </c>
      <c r="T348" s="61">
        <f ca="1">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</f>
        <v>-0.37132067800909235</v>
      </c>
      <c r="U348" s="61"/>
      <c r="V348" s="125">
        <f>IFERROR(INDEX('Non-Labor Expenditures'!$E$7:$AA$91,MATCH($C348,'Non-Labor Expenditures'!$C$7:$C$91,0),MATCH($G348,'Non-Labor Expenditures'!$E$5:$AA$5,0)),"NA")</f>
        <v>37294.137989638271</v>
      </c>
      <c r="W348" s="125">
        <f t="shared" si="647"/>
        <v>338.04805922334867</v>
      </c>
      <c r="X348" s="131">
        <f t="shared" si="656"/>
        <v>-0.18003015315565829</v>
      </c>
      <c r="Y348" s="131">
        <f t="shared" si="657"/>
        <v>-1.4427331702234723E-3</v>
      </c>
      <c r="Z348" s="131"/>
      <c r="AA348" s="131"/>
      <c r="AB348" s="131"/>
      <c r="AC348" s="125">
        <f t="shared" si="627"/>
        <v>26131.173760799429</v>
      </c>
      <c r="AD348" s="129"/>
      <c r="AE348" s="133">
        <v>2149.4580070445463</v>
      </c>
      <c r="AF348" s="134">
        <v>1.8116178731206179E-2</v>
      </c>
      <c r="AG348" s="59">
        <f t="shared" si="648"/>
        <v>1.4518019073510221E-4</v>
      </c>
      <c r="AH348" s="134"/>
      <c r="AI348" s="134"/>
      <c r="AJ348" s="129">
        <f t="shared" si="569"/>
        <v>89177.610178450399</v>
      </c>
      <c r="AK348" s="134">
        <f t="shared" si="658"/>
        <v>-0.10189459445941478</v>
      </c>
      <c r="AL348" s="129"/>
      <c r="AM348" s="129"/>
      <c r="AN348" s="129"/>
      <c r="AO348" s="129"/>
      <c r="AP348" s="133">
        <f t="shared" si="659"/>
        <v>500.58159607994702</v>
      </c>
      <c r="AQ348" s="134">
        <f>+BB348/Outputs!$B$26</f>
        <v>4.7690899323126965E-3</v>
      </c>
      <c r="AR348" s="93">
        <f t="shared" si="649"/>
        <v>0.28877538180806389</v>
      </c>
      <c r="AS348" s="93">
        <f t="shared" si="650"/>
        <v>0.41820068865952104</v>
      </c>
      <c r="AT348" s="93">
        <f t="shared" si="651"/>
        <v>0.29302392953241507</v>
      </c>
      <c r="AU348" s="93">
        <f t="shared" ca="1" si="654"/>
        <v>-0.12723223805887898</v>
      </c>
      <c r="AV348" s="132">
        <f t="shared" ca="1" si="662"/>
        <v>120.51590097008172</v>
      </c>
      <c r="AW348" s="134">
        <f t="shared" ca="1" si="663"/>
        <v>-0.12723223805887895</v>
      </c>
      <c r="AX348" s="56">
        <f>+AJ348/$AL$23</f>
        <v>8.0138418200202902E-3</v>
      </c>
      <c r="AY348" s="135">
        <f t="shared" ca="1" si="661"/>
        <v>-1.0196190302110214E-3</v>
      </c>
      <c r="AZ348" s="93"/>
      <c r="BA348" s="93"/>
      <c r="BB348" s="234">
        <f>IFERROR(INDEX('Total Customers'!$E$7:$AA$91,MATCH($C348,'Total Customers'!$C$7:$C$91,0),MATCH($G348,'Total Customers'!$E$5:$AA$5,0)),"NA")</f>
        <v>178148</v>
      </c>
      <c r="BC348" s="411">
        <f t="shared" si="622"/>
        <v>1.0541025520514204E-2</v>
      </c>
      <c r="BD348" s="92"/>
      <c r="BE348" s="281" t="str">
        <f t="shared" si="618"/>
        <v>CONNECTICUT NATURAL GAS CORPORATION</v>
      </c>
      <c r="BF348" s="290">
        <f t="shared" si="619"/>
        <v>4059402</v>
      </c>
      <c r="BG348" s="46" t="str">
        <f t="shared" si="620"/>
        <v>CT</v>
      </c>
      <c r="BH348" s="46"/>
      <c r="BI348" s="46" t="str">
        <f t="shared" si="621"/>
        <v>2018 Y</v>
      </c>
      <c r="BJ348" s="129"/>
      <c r="BK348" s="129"/>
      <c r="BL348" s="129">
        <f>INDEX('Dist. Plant Gas Additions'!$E$7:$AD$91,MATCH($C348,'Dist. Plant Gas Additions'!$C$7:$C$91,0),MATCH(Calculation!$G348,'Dist. Plant Gas Additions'!$E$5:$AD$5,0))</f>
        <v>41115</v>
      </c>
      <c r="BM348" s="129">
        <f>INDEX('Gen. Plant Additions'!$E$7:$AD$91,MATCH($C348,'Gen. Plant Additions'!$C$7:$C$91,0),MATCH(Calculation!$G348,'Gen. Plant Additions'!$E$5:$AD$5,0))</f>
        <v>2894</v>
      </c>
      <c r="BN348" s="393">
        <f t="shared" si="628"/>
        <v>0.936716339817115</v>
      </c>
      <c r="BO348" s="46">
        <f t="shared" si="576"/>
        <v>2710.8570874307306</v>
      </c>
      <c r="BP348" s="46">
        <f t="shared" si="577"/>
        <v>-183.14291256926936</v>
      </c>
      <c r="BQ348" s="129">
        <f>INDEX('Dist Plant Depreciation'!$D$7:$AC$94,MATCH($C348,'Dist Plant Depreciation'!$C$7:$C$94,0),MATCH(Calculation!$G348,'Dist Plant Depreciation'!$D$5:$AC$5,0))</f>
        <v>460098</v>
      </c>
      <c r="BR348" s="129">
        <f>INDEX('Gen. Plant Depreciation'!$D$7:$AC$94,MATCH($C348,'Gen. Plant Depreciation'!$C$7:$C$94,0),MATCH(Calculation!$G348,'Gen. Plant Depreciation'!$D$5:$AC$5,0))</f>
        <v>23909</v>
      </c>
      <c r="BS348" s="129"/>
      <c r="BT348" s="129"/>
      <c r="BU348" s="129"/>
      <c r="BV348" s="129"/>
      <c r="BW348" s="129"/>
      <c r="BX348" s="129"/>
      <c r="BY348" s="129">
        <f>INDEX('Gross Dx Plant'!$D$7:$AC$91,MATCH($C348,'Gross Dx Plant'!$C$7:$C$91,0),MATCH(Calculation!$G348,'Gross Dx Plant'!$D$5:$AC$5,0))</f>
        <v>845009</v>
      </c>
      <c r="BZ348" s="129">
        <f>INDEX('Gross Gen Plant'!$D$7:$AC$91,MATCH($C348,'Gross Gen Plant'!$C$7:$C$91,0),MATCH(Calculation!$G348,'Gross Gen Plant'!$D$5:$AC$5,0))</f>
        <v>57088</v>
      </c>
      <c r="CA348" s="129">
        <f t="shared" si="626"/>
        <v>418090</v>
      </c>
      <c r="CB348" s="129"/>
      <c r="CC348" s="133">
        <v>2018</v>
      </c>
      <c r="CD348" s="129"/>
      <c r="CE348" s="129"/>
      <c r="CF348" s="129"/>
      <c r="CG348" s="137"/>
      <c r="CH348" s="129">
        <f t="shared" si="629"/>
        <v>44009</v>
      </c>
      <c r="CI348" s="46">
        <f t="shared" si="638"/>
        <v>43825.857087430733</v>
      </c>
      <c r="CJ348" s="46">
        <f t="shared" si="630"/>
        <v>58.036983575396235</v>
      </c>
      <c r="CK348" s="443">
        <v>0.75609756097560976</v>
      </c>
      <c r="CL348" s="46">
        <f>+CL328*CK348++CJ329*CK347+CJ330*CK346+CJ331*CK345+CJ332*CK344+CJ333*CK343+CJ334*CK342+CJ335*CK341+CJ336*CK340+CJ337*CK339+CJ338*CK338+CJ339*CK337+CJ340*CK336+CJ341*CK335+CJ342*CK334+CJ343*CK333+CJ344*CK332+CJ345*CK331+CJ346*CK330+CJ347*CK329+CJ348</f>
        <v>1954.2230891548904</v>
      </c>
      <c r="CM348" s="134">
        <f t="shared" si="631"/>
        <v>1.3401987801526649E-2</v>
      </c>
      <c r="CN348" s="135">
        <f t="shared" si="632"/>
        <v>1.6606736099524788E-2</v>
      </c>
      <c r="CO348" s="135">
        <f t="shared" si="641"/>
        <v>1.6185001773378227E-2</v>
      </c>
      <c r="CP348" s="134">
        <f>VLOOKUP($H348,RoR!$E:$F,2,FALSE)</f>
        <v>3.9299999999999995E-2</v>
      </c>
      <c r="CQ348" s="135">
        <v>2.386056741932796E-2</v>
      </c>
      <c r="CR348" s="135">
        <f t="shared" si="639"/>
        <v>1.5439432580672034E-2</v>
      </c>
      <c r="CS348" s="135">
        <f t="shared" si="642"/>
        <v>1.4716939835155398E-2</v>
      </c>
      <c r="CT348" s="135">
        <f t="shared" si="643"/>
        <v>3.8270792163076606E-2</v>
      </c>
      <c r="CU348" s="139">
        <f t="shared" si="633"/>
        <v>0.90305999999999997</v>
      </c>
      <c r="CV348" s="335">
        <f t="shared" si="634"/>
        <v>1.3048868010700074</v>
      </c>
      <c r="CW348" s="335">
        <f t="shared" si="635"/>
        <v>0.33886768447837151</v>
      </c>
      <c r="CX348" s="335">
        <f t="shared" si="636"/>
        <v>0.78602506232557801</v>
      </c>
      <c r="CY348" s="335">
        <f t="shared" si="637"/>
        <v>0.34756768162358759</v>
      </c>
      <c r="CZ348" s="336">
        <f>INDEX('State Tax Lookup'!$D$7:$Z$91,MATCH(Calculation!$C348,'State Tax Lookup'!$B$7:$B$91,0),MATCH($H348,'State Tax Lookup'!$D$6:$Z$6,0))</f>
        <v>0.26200000000000001</v>
      </c>
      <c r="DA348" s="303">
        <v>0.37</v>
      </c>
      <c r="DB348" s="57">
        <f t="shared" si="640"/>
        <v>13.552055981514361</v>
      </c>
      <c r="DC348" s="56">
        <f t="shared" si="644"/>
        <v>3.0914447000587406E-2</v>
      </c>
      <c r="DD348" s="303">
        <f>VLOOKUP($H348,RoR!$E:$F,2,FALSE)</f>
        <v>3.9299999999999995E-2</v>
      </c>
      <c r="DE348" s="304">
        <f>HLOOKUP($H348,'GDP-PI'!$D$8:$CQ$11,3,FALSE)</f>
        <v>2.386056741932796E-2</v>
      </c>
      <c r="DF348" s="303">
        <f>VLOOKUP(H348,'HW Dx Data'!$E:$F,2,FALSE)</f>
        <v>755.13671434174842</v>
      </c>
      <c r="DG348" s="89">
        <f ca="1">VLOOKUP(CC348,'ECI - Input Price'!M$13:N$33,2,FALSE)</f>
        <v>144.44999999999999</v>
      </c>
      <c r="DH348" s="89"/>
      <c r="DI348" s="89"/>
      <c r="DJ348" s="56">
        <f t="shared" ca="1" si="652"/>
        <v>2.80818733619915E-2</v>
      </c>
      <c r="DK348" s="53">
        <f>HLOOKUP(H348,'GDP-PI'!$8:$9,2,FALSE)</f>
        <v>110.322</v>
      </c>
      <c r="DL348" s="355">
        <f t="shared" si="645"/>
        <v>2.3580352716508712E-2</v>
      </c>
      <c r="EC348"/>
    </row>
    <row r="349" spans="1:133" s="126" customFormat="1" ht="21" customHeight="1" x14ac:dyDescent="0.4">
      <c r="A349" s="233" t="s">
        <v>202</v>
      </c>
      <c r="B349" s="127" t="s">
        <v>202</v>
      </c>
      <c r="C349" s="127">
        <v>4059402</v>
      </c>
      <c r="D349" s="127" t="s">
        <v>203</v>
      </c>
      <c r="E349" s="127" t="s">
        <v>15</v>
      </c>
      <c r="F349" s="127"/>
      <c r="G349" s="127" t="s">
        <v>175</v>
      </c>
      <c r="H349" s="128">
        <v>2019</v>
      </c>
      <c r="I349" s="129"/>
      <c r="J349" s="125">
        <v>25752</v>
      </c>
      <c r="K349" s="125">
        <f t="shared" ca="1" si="646"/>
        <v>172.05278102555536</v>
      </c>
      <c r="L349" s="47"/>
      <c r="M349" s="131">
        <f t="shared" ca="1" si="653"/>
        <v>-3.5544438369330869E-2</v>
      </c>
      <c r="N349" s="131"/>
      <c r="O349" s="131"/>
      <c r="P349" s="59">
        <f t="shared" ca="1" si="655"/>
        <v>-2.7881422721535786E-4</v>
      </c>
      <c r="Q349" s="61"/>
      <c r="R349" s="387"/>
      <c r="S349" s="49">
        <f t="shared" ca="1" si="660"/>
        <v>115.44531232112294</v>
      </c>
      <c r="T349" s="61">
        <f ca="1">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</f>
        <v>6.3916187993955827E-3</v>
      </c>
      <c r="U349" s="61"/>
      <c r="V349" s="125">
        <v>37294</v>
      </c>
      <c r="W349" s="125">
        <f t="shared" si="647"/>
        <v>332.03938816574367</v>
      </c>
      <c r="X349" s="131">
        <f t="shared" si="656"/>
        <v>-1.7934471493848102E-2</v>
      </c>
      <c r="Y349" s="131">
        <f t="shared" si="657"/>
        <v>-1.4067983739441081E-4</v>
      </c>
      <c r="Z349" s="131"/>
      <c r="AA349" s="131"/>
      <c r="AB349" s="131"/>
      <c r="AC349" s="125">
        <f t="shared" si="627"/>
        <v>26322.747394222184</v>
      </c>
      <c r="AD349" s="129"/>
      <c r="AE349" s="133">
        <v>2193.3639888487255</v>
      </c>
      <c r="AF349" s="134">
        <v>2.0220712637306067E-2</v>
      </c>
      <c r="AG349" s="59">
        <f t="shared" si="648"/>
        <v>1.5861334786425676E-4</v>
      </c>
      <c r="AH349" s="134"/>
      <c r="AI349" s="134"/>
      <c r="AJ349" s="129">
        <f t="shared" si="569"/>
        <v>89368.747394222184</v>
      </c>
      <c r="AK349" s="134">
        <f t="shared" si="658"/>
        <v>2.1410382310276758E-3</v>
      </c>
      <c r="AL349" s="129"/>
      <c r="AM349" s="129"/>
      <c r="AN349" s="129"/>
      <c r="AO349" s="129"/>
      <c r="AP349" s="133">
        <f t="shared" si="659"/>
        <v>496.9927949450402</v>
      </c>
      <c r="AQ349" s="134">
        <f>+BB349/Outputs!$B$27</f>
        <v>4.7741227620113121E-3</v>
      </c>
      <c r="AR349" s="93">
        <f t="shared" si="649"/>
        <v>0.28815442479464476</v>
      </c>
      <c r="AS349" s="93">
        <f t="shared" si="650"/>
        <v>0.41730471879044273</v>
      </c>
      <c r="AT349" s="93">
        <f t="shared" si="651"/>
        <v>0.29454085641491251</v>
      </c>
      <c r="AU349" s="93">
        <f t="shared" ca="1" si="654"/>
        <v>-1.1805007587323054E-2</v>
      </c>
      <c r="AV349" s="132">
        <f t="shared" ca="1" si="662"/>
        <v>119.10157433784589</v>
      </c>
      <c r="AW349" s="134">
        <f t="shared" ca="1" si="663"/>
        <v>-1.1805007587323082E-2</v>
      </c>
      <c r="AX349" s="56">
        <f>+AJ349/$AL$24</f>
        <v>7.8441027628088703E-3</v>
      </c>
      <c r="AY349" s="135">
        <f t="shared" ca="1" si="661"/>
        <v>-9.2599692630700663E-5</v>
      </c>
      <c r="AZ349" s="93"/>
      <c r="BA349" s="93"/>
      <c r="BB349" s="234">
        <f>IFERROR(INDEX('Total Customers'!$E$7:$AA$91,MATCH($C349,'Total Customers'!$C$7:$C$91,0),MATCH($G349,'Total Customers'!$E$5:$AA$5,0)),"NA")</f>
        <v>179819</v>
      </c>
      <c r="BC349" s="411">
        <f t="shared" si="622"/>
        <v>9.336123930191096E-3</v>
      </c>
      <c r="BD349" s="92"/>
      <c r="BE349" s="281" t="str">
        <f t="shared" si="618"/>
        <v>CONNECTICUT NATURAL GAS CORPORATION</v>
      </c>
      <c r="BF349" s="290">
        <f t="shared" si="619"/>
        <v>4059402</v>
      </c>
      <c r="BG349" s="46" t="str">
        <f t="shared" si="620"/>
        <v>CT</v>
      </c>
      <c r="BH349" s="46"/>
      <c r="BI349" s="46" t="str">
        <f t="shared" si="621"/>
        <v>2019 Y</v>
      </c>
      <c r="BJ349" s="129"/>
      <c r="BK349" s="129"/>
      <c r="BL349" s="129">
        <f>INDEX('Dist. Plant Gas Additions'!$E$7:$AD$91,MATCH($C349,'Dist. Plant Gas Additions'!$C$7:$C$91,0),MATCH(Calculation!$G349,'Dist. Plant Gas Additions'!$E$5:$AD$5,0))</f>
        <v>43649</v>
      </c>
      <c r="BM349" s="129">
        <f>INDEX('Gen. Plant Additions'!$E$7:$AD$91,MATCH($C349,'Gen. Plant Additions'!$C$7:$C$91,0),MATCH(Calculation!$G349,'Gen. Plant Additions'!$E$5:$AD$5,0))</f>
        <v>6384</v>
      </c>
      <c r="BN349" s="393">
        <f t="shared" si="628"/>
        <v>0.93528934576359268</v>
      </c>
      <c r="BO349" s="46">
        <f t="shared" si="576"/>
        <v>5970.8871833547755</v>
      </c>
      <c r="BP349" s="46">
        <f t="shared" si="577"/>
        <v>-413.11281664522448</v>
      </c>
      <c r="BQ349" s="129">
        <f>INDEX('Dist Plant Depreciation'!$D$7:$AC$94,MATCH($C349,'Dist Plant Depreciation'!$C$7:$C$94,0),MATCH(Calculation!$G349,'Dist Plant Depreciation'!$D$5:$AC$5,0))</f>
        <v>486016</v>
      </c>
      <c r="BR349" s="129">
        <f>INDEX('Gen. Plant Depreciation'!$D$7:$AC$94,MATCH($C349,'Gen. Plant Depreciation'!$C$7:$C$94,0),MATCH(Calculation!$G349,'Gen. Plant Depreciation'!$D$5:$AC$5,0))</f>
        <v>24618</v>
      </c>
      <c r="BS349" s="129"/>
      <c r="BT349" s="129"/>
      <c r="BU349" s="129"/>
      <c r="BV349" s="129"/>
      <c r="BW349" s="129"/>
      <c r="BX349" s="129"/>
      <c r="BY349" s="129">
        <f>INDEX('Gross Dx Plant'!$D$7:$AC$91,MATCH($C349,'Gross Dx Plant'!$C$7:$C$91,0),MATCH(Calculation!$G349,'Gross Dx Plant'!$D$5:$AC$5,0))</f>
        <v>885459</v>
      </c>
      <c r="BZ349" s="129">
        <f>INDEX('Gross Gen Plant'!$D$7:$AC$91,MATCH($C349,'Gross Gen Plant'!$C$7:$C$91,0),MATCH(Calculation!$G349,'Gross Gen Plant'!$D$5:$AC$5,0))</f>
        <v>61263</v>
      </c>
      <c r="CA349" s="129">
        <f t="shared" si="626"/>
        <v>436088</v>
      </c>
      <c r="CB349" s="129"/>
      <c r="CC349" s="133">
        <v>2019</v>
      </c>
      <c r="CD349" s="129"/>
      <c r="CE349" s="129"/>
      <c r="CF349" s="129"/>
      <c r="CG349" s="137"/>
      <c r="CH349" s="129">
        <f t="shared" si="629"/>
        <v>50033</v>
      </c>
      <c r="CI349" s="46">
        <f t="shared" si="638"/>
        <v>49619.887183354775</v>
      </c>
      <c r="CJ349" s="46">
        <f t="shared" si="630"/>
        <v>64.146562838547439</v>
      </c>
      <c r="CK349" s="443">
        <v>0.7407407407407407</v>
      </c>
      <c r="CL349" s="46">
        <f>CL328*CK349+CJ329*CK348+CJ330*CK347+CJ331*CK346+CJ332*CK345+CJ333*CK344+CJ334*CK343+CJ335*CK342+CJ336*CK341+CJ337*CK340+CJ338*CK339+CJ339*CK338+CJ340*CK337+CJ341*CK336+CJ342*CK335+CJ343*CK334+CJ344*CK333+CJ345*CK332+CJ346*CK331+CJ347*CK330+CJ348*CK329+CJ349</f>
        <v>1985.0126837689427</v>
      </c>
      <c r="CM349" s="134">
        <f t="shared" si="631"/>
        <v>1.5632586324214506E-2</v>
      </c>
      <c r="CN349" s="135">
        <f t="shared" si="632"/>
        <v>1.7069171073462504E-2</v>
      </c>
      <c r="CO349" s="135">
        <f t="shared" si="641"/>
        <v>1.6609000128809611E-2</v>
      </c>
      <c r="CP349" s="134">
        <f>VLOOKUP($H349,RoR!$E:$F,2,FALSE)</f>
        <v>3.3875000000000009E-2</v>
      </c>
      <c r="CQ349" s="135">
        <v>1.8092492884465461E-2</v>
      </c>
      <c r="CR349" s="135">
        <f t="shared" si="639"/>
        <v>1.5782507115534548E-2</v>
      </c>
      <c r="CS349" s="135">
        <f t="shared" si="642"/>
        <v>1.4292941479724014E-2</v>
      </c>
      <c r="CT349" s="135">
        <f t="shared" si="643"/>
        <v>4.8445665544254078E-2</v>
      </c>
      <c r="CU349" s="139">
        <f t="shared" si="633"/>
        <v>0.90305999999999997</v>
      </c>
      <c r="CV349" s="335">
        <f t="shared" si="634"/>
        <v>1.513861292459078</v>
      </c>
      <c r="CW349" s="335">
        <f t="shared" si="635"/>
        <v>0.23699261992619944</v>
      </c>
      <c r="CX349" s="335">
        <f t="shared" si="636"/>
        <v>0.73619765810468829</v>
      </c>
      <c r="CY349" s="335">
        <f t="shared" si="637"/>
        <v>0.26412854465362851</v>
      </c>
      <c r="CZ349" s="336">
        <f>INDEX('State Tax Lookup'!$D$7:$Z$91,MATCH(Calculation!$C349,'State Tax Lookup'!$B$7:$B$91,0),MATCH($H349,'State Tax Lookup'!$D$6:$Z$6,0))</f>
        <v>0.26200000000000001</v>
      </c>
      <c r="DA349" s="303">
        <v>0.37</v>
      </c>
      <c r="DB349" s="57">
        <f t="shared" si="640"/>
        <v>13.469673723692178</v>
      </c>
      <c r="DC349" s="56">
        <f t="shared" si="644"/>
        <v>-6.0975010826599734E-3</v>
      </c>
      <c r="DD349" s="303">
        <f>VLOOKUP($H349,RoR!$E:$F,2,FALSE)</f>
        <v>3.3875000000000009E-2</v>
      </c>
      <c r="DE349" s="304">
        <f>HLOOKUP($H349,'GDP-PI'!$D$8:$CQ$11,3,FALSE)</f>
        <v>1.8092492884465461E-2</v>
      </c>
      <c r="DF349" s="303">
        <f>VLOOKUP(H349,'HW Dx Data'!$E:$F,2,FALSE)</f>
        <v>773.53929793938721</v>
      </c>
      <c r="DG349" s="89">
        <f ca="1">VLOOKUP(CC349,'ECI - Input Price'!M$13:N$33,2,FALSE)</f>
        <v>149.67500000000001</v>
      </c>
      <c r="DH349" s="89"/>
      <c r="DI349" s="89"/>
      <c r="DJ349" s="56">
        <f t="shared" ca="1" si="652"/>
        <v>3.5532849899171604E-2</v>
      </c>
      <c r="DK349" s="53">
        <f>HLOOKUP(H349,'GDP-PI'!$8:$9,2,FALSE)</f>
        <v>112.318</v>
      </c>
      <c r="DL349" s="355">
        <f t="shared" si="645"/>
        <v>1.7930771451401852E-2</v>
      </c>
      <c r="EC349"/>
    </row>
    <row r="350" spans="1:133" s="126" customFormat="1" ht="21" customHeight="1" x14ac:dyDescent="0.4">
      <c r="A350" s="233" t="s">
        <v>202</v>
      </c>
      <c r="B350" s="126" t="s">
        <v>202</v>
      </c>
      <c r="C350" s="126">
        <v>4059402</v>
      </c>
      <c r="D350" s="126" t="s">
        <v>203</v>
      </c>
      <c r="E350" s="126" t="s">
        <v>15</v>
      </c>
      <c r="G350" s="127" t="s">
        <v>176</v>
      </c>
      <c r="H350" s="128">
        <v>2020</v>
      </c>
      <c r="I350" s="129"/>
      <c r="J350" s="125">
        <v>25752</v>
      </c>
      <c r="K350" s="125">
        <f t="shared" ca="1" si="646"/>
        <v>168.1488736532811</v>
      </c>
      <c r="L350" s="47"/>
      <c r="M350" s="131">
        <f t="shared" ca="1" si="653"/>
        <v>-2.2951556467368461E-2</v>
      </c>
      <c r="N350" s="131"/>
      <c r="O350" s="131"/>
      <c r="P350" s="59">
        <f t="shared" ca="1" si="655"/>
        <v>-1.7855092040946374E-4</v>
      </c>
      <c r="Q350" s="61"/>
      <c r="R350" s="387"/>
      <c r="S350" s="49">
        <f t="shared" ca="1" si="660"/>
        <v>114.40884731646642</v>
      </c>
      <c r="T350" s="61">
        <f ca="1">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</f>
        <v>-9.0185187967947791E-3</v>
      </c>
      <c r="U350" s="61"/>
      <c r="V350" s="125">
        <v>37294</v>
      </c>
      <c r="W350" s="125">
        <f t="shared" si="647"/>
        <v>328.22579935400404</v>
      </c>
      <c r="X350" s="131">
        <f t="shared" si="656"/>
        <v>-1.1551816731392739E-2</v>
      </c>
      <c r="Y350" s="131">
        <f t="shared" si="657"/>
        <v>-8.9866999335061002E-5</v>
      </c>
      <c r="Z350" s="131"/>
      <c r="AA350" s="131"/>
      <c r="AB350" s="131"/>
      <c r="AC350" s="125">
        <f t="shared" si="627"/>
        <v>27212.142841466597</v>
      </c>
      <c r="AD350" s="129"/>
      <c r="AE350" s="133">
        <v>2222.8327558543551</v>
      </c>
      <c r="AF350" s="134">
        <v>1.3345965367878399E-2</v>
      </c>
      <c r="AG350" s="59">
        <f t="shared" si="648"/>
        <v>1.0382452290656058E-4</v>
      </c>
      <c r="AH350" s="134"/>
      <c r="AI350" s="134"/>
      <c r="AJ350" s="129">
        <f t="shared" ref="AJ350:AJ413" si="664">+J350+V350+AC350</f>
        <v>90258.142841466601</v>
      </c>
      <c r="AK350" s="134">
        <f t="shared" si="658"/>
        <v>9.9027791917112393E-3</v>
      </c>
      <c r="AL350" s="129"/>
      <c r="AM350" s="129"/>
      <c r="AN350" s="129"/>
      <c r="AO350" s="129"/>
      <c r="AP350" s="133">
        <f t="shared" si="659"/>
        <v>494.48929940319624</v>
      </c>
      <c r="AQ350" s="134">
        <f>+BB350/Outputs!$B$28</f>
        <v>4.8118249501485728E-3</v>
      </c>
      <c r="AR350" s="93">
        <f t="shared" si="649"/>
        <v>0.28531497756642249</v>
      </c>
      <c r="AS350" s="93">
        <f t="shared" si="650"/>
        <v>0.4131926364306524</v>
      </c>
      <c r="AT350" s="93">
        <f t="shared" si="651"/>
        <v>0.30149238600292505</v>
      </c>
      <c r="AU350" s="93">
        <f t="shared" ca="1" si="654"/>
        <v>-7.4005648013029078E-3</v>
      </c>
      <c r="AV350" s="132">
        <f t="shared" ca="1" si="662"/>
        <v>118.22340888715328</v>
      </c>
      <c r="AW350" s="134">
        <f t="shared" ca="1" si="663"/>
        <v>-7.4005648013028575E-3</v>
      </c>
      <c r="AX350" s="56">
        <f>+AJ350/$AL$25</f>
        <v>7.7794689289730646E-3</v>
      </c>
      <c r="AY350" s="135">
        <f t="shared" ca="1" si="661"/>
        <v>-5.7572463928587302E-5</v>
      </c>
      <c r="AZ350" s="93"/>
      <c r="BA350" s="93"/>
      <c r="BB350" s="234">
        <f>IFERROR(INDEX('Total Customers'!$E$7:$AA$91,MATCH($C350,'Total Customers'!$C$7:$C$91,0),MATCH($G350,'Total Customers'!$E$5:$AA$5,0)),"NA")</f>
        <v>182528</v>
      </c>
      <c r="BC350" s="411">
        <f t="shared" si="622"/>
        <v>1.4952796487229704E-2</v>
      </c>
      <c r="BD350" s="92"/>
      <c r="BE350" s="281" t="str">
        <f t="shared" si="618"/>
        <v>CONNECTICUT NATURAL GAS CORPORATION</v>
      </c>
      <c r="BF350" s="290">
        <f t="shared" si="619"/>
        <v>4059402</v>
      </c>
      <c r="BG350" s="46" t="str">
        <f t="shared" si="620"/>
        <v>CT</v>
      </c>
      <c r="BH350" s="46"/>
      <c r="BI350" s="46" t="str">
        <f t="shared" si="621"/>
        <v>2020 Y</v>
      </c>
      <c r="BJ350" s="129"/>
      <c r="BK350" s="129"/>
      <c r="BL350" s="129">
        <f>INDEX('Dist. Plant Gas Additions'!$E$7:$AD$91,MATCH($C350,'Dist. Plant Gas Additions'!$C$7:$C$91,0),MATCH(Calculation!$G350,'Dist. Plant Gas Additions'!$E$5:$AD$5,0))</f>
        <v>38432</v>
      </c>
      <c r="BM350" s="129">
        <f>INDEX('Gen. Plant Additions'!$E$7:$AD$91,MATCH($C350,'Gen. Plant Additions'!$C$7:$C$91,0),MATCH(Calculation!$G350,'Gen. Plant Additions'!$E$5:$AD$5,0))</f>
        <v>3375</v>
      </c>
      <c r="BN350" s="393">
        <f t="shared" si="628"/>
        <v>0.93425724711960312</v>
      </c>
      <c r="BO350" s="46">
        <f t="shared" si="576"/>
        <v>3153.1182090286607</v>
      </c>
      <c r="BP350" s="46">
        <f t="shared" si="577"/>
        <v>-221.88179097133934</v>
      </c>
      <c r="BQ350" s="129">
        <f>INDEX('Dist Plant Depreciation'!$D$7:$AC$94,MATCH($C350,'Dist Plant Depreciation'!$C$7:$C$94,0),MATCH(Calculation!$G350,'Dist Plant Depreciation'!$D$5:$AC$5,0))</f>
        <v>505292</v>
      </c>
      <c r="BR350" s="129">
        <f>INDEX('Gen. Plant Depreciation'!$D$7:$AC$94,MATCH($C350,'Gen. Plant Depreciation'!$C$7:$C$94,0),MATCH(Calculation!$G350,'Gen. Plant Depreciation'!$D$5:$AC$5,0))</f>
        <v>27537</v>
      </c>
      <c r="BS350" s="129"/>
      <c r="BT350" s="129"/>
      <c r="BU350" s="129"/>
      <c r="BV350" s="129"/>
      <c r="BW350" s="129"/>
      <c r="BX350" s="129"/>
      <c r="BY350" s="129">
        <f>INDEX('Gross Dx Plant'!$D$7:$AC$91,MATCH($C350,'Gross Dx Plant'!$C$7:$C$91,0),MATCH(Calculation!$G350,'Gross Dx Plant'!$D$5:$AC$5,0))</f>
        <v>911424</v>
      </c>
      <c r="BZ350" s="129">
        <f>INDEX('Gross Gen Plant'!$D$7:$AC$91,MATCH($C350,'Gross Gen Plant'!$C$7:$C$91,0),MATCH(Calculation!$G350,'Gross Gen Plant'!$D$5:$AC$5,0))</f>
        <v>64136</v>
      </c>
      <c r="CA350" s="129">
        <f t="shared" si="626"/>
        <v>442731</v>
      </c>
      <c r="CB350" s="129"/>
      <c r="CC350" s="133">
        <v>2020</v>
      </c>
      <c r="CD350" s="129"/>
      <c r="CE350" s="129"/>
      <c r="CF350" s="129"/>
      <c r="CG350" s="137"/>
      <c r="CH350" s="129">
        <f t="shared" si="629"/>
        <v>41807</v>
      </c>
      <c r="CI350" s="46">
        <f t="shared" si="638"/>
        <v>41585.11820902866</v>
      </c>
      <c r="CJ350" s="46">
        <f t="shared" si="630"/>
        <v>51.145163944562668</v>
      </c>
      <c r="CK350" s="443">
        <v>0.72499999999999998</v>
      </c>
      <c r="CL350" s="46">
        <f>CL328*CK350+CJ329*CK349+CJ330*CK348+CJ331*CK347+CJ332*CK346+CJ333*CK345+CJ334*CK344+CJ335*CK343+CJ336*CK342+CJ337*CK341+CJ338*CK340+CJ339*CK339+CJ340*CK338+CJ341*CK337+CJ342*CK336+CJ343*CK335+CJ344*CK334+CJ345*CK333+CJ346*CK332+CJ347*CK331+CJ348*CK330+CJ349*CK329+CJ350</f>
        <v>2001.365583676662</v>
      </c>
      <c r="CM350" s="134">
        <f t="shared" si="631"/>
        <v>8.2044354752110714E-3</v>
      </c>
      <c r="CN350" s="135">
        <f t="shared" si="632"/>
        <v>1.7527476938224529E-2</v>
      </c>
      <c r="CO350" s="135">
        <f t="shared" si="641"/>
        <v>1.7067794703737274E-2</v>
      </c>
      <c r="CP350" s="134">
        <f>VLOOKUP($H350,RoR!$E:$F,2,FALSE)</f>
        <v>2.4766666666666666E-2</v>
      </c>
      <c r="CQ350" s="135">
        <v>1.1618796630994188E-2</v>
      </c>
      <c r="CR350" s="135">
        <f t="shared" si="639"/>
        <v>1.3147870035672478E-2</v>
      </c>
      <c r="CS350" s="135">
        <f t="shared" si="642"/>
        <v>1.3834146904796351E-2</v>
      </c>
      <c r="CT350" s="135">
        <f t="shared" si="643"/>
        <v>4.5144642961987357E-2</v>
      </c>
      <c r="CU350" s="139">
        <f t="shared" si="633"/>
        <v>0.90305999999999997</v>
      </c>
      <c r="CV350" s="335">
        <f t="shared" si="634"/>
        <v>2.0706077233668081</v>
      </c>
      <c r="CW350" s="335">
        <f t="shared" si="635"/>
        <v>-3.4421265141318998E-2</v>
      </c>
      <c r="CX350" s="335">
        <f t="shared" si="636"/>
        <v>0.62416226176410472</v>
      </c>
      <c r="CY350" s="335">
        <f t="shared" si="637"/>
        <v>-4.4485877841158712E-2</v>
      </c>
      <c r="CZ350" s="336">
        <f>INDEX('State Tax Lookup'!$D$7:$Z$91,MATCH(Calculation!$C350,'State Tax Lookup'!$B$7:$B$91,0),MATCH($H350,'State Tax Lookup'!$D$6:$Z$6,0))</f>
        <v>0.26200000000000001</v>
      </c>
      <c r="DA350" s="303">
        <v>0.37</v>
      </c>
      <c r="DB350" s="57">
        <f t="shared" si="640"/>
        <v>13.708800484739934</v>
      </c>
      <c r="DC350" s="56">
        <f t="shared" si="644"/>
        <v>1.7597230065087552E-2</v>
      </c>
      <c r="DD350" s="303">
        <f>VLOOKUP($H350,RoR!$E:$F,2,FALSE)</f>
        <v>2.4766666666666666E-2</v>
      </c>
      <c r="DE350" s="304">
        <f>HLOOKUP($H350,'GDP-PI'!$D$8:$CQ$11,3,FALSE)</f>
        <v>1.1618796630994188E-2</v>
      </c>
      <c r="DF350" s="303">
        <f>VLOOKUP(H350,'HW Dx Data'!$E:$F,2,FALSE)</f>
        <v>813.080162458833</v>
      </c>
      <c r="DG350" s="89">
        <f ca="1">VLOOKUP(CC350,'ECI - Input Price'!M$13:N$33,2,FALSE)</f>
        <v>153.15</v>
      </c>
      <c r="DH350" s="89"/>
      <c r="DI350" s="89"/>
      <c r="DJ350" s="56">
        <f t="shared" ca="1" si="652"/>
        <v>2.2951556467368479E-2</v>
      </c>
      <c r="DK350" s="53">
        <f>HLOOKUP(H350,'GDP-PI'!$8:$9,2,FALSE)</f>
        <v>113.623</v>
      </c>
      <c r="DL350" s="355">
        <f t="shared" si="645"/>
        <v>1.1551816731392881E-2</v>
      </c>
      <c r="EC350"/>
    </row>
    <row r="351" spans="1:133" s="126" customFormat="1" ht="21" customHeight="1" x14ac:dyDescent="0.4">
      <c r="A351" s="233" t="s">
        <v>202</v>
      </c>
      <c r="B351" s="126" t="s">
        <v>202</v>
      </c>
      <c r="C351" s="126">
        <v>4059402</v>
      </c>
      <c r="D351" s="126" t="s">
        <v>203</v>
      </c>
      <c r="E351" s="126" t="s">
        <v>15</v>
      </c>
      <c r="G351" s="127" t="s">
        <v>177</v>
      </c>
      <c r="H351" s="128">
        <v>2021</v>
      </c>
      <c r="I351" s="129"/>
      <c r="J351" s="125">
        <v>30337.677754069391</v>
      </c>
      <c r="K351" s="125">
        <f t="shared" ca="1" si="646"/>
        <v>192.92640861093412</v>
      </c>
      <c r="L351" s="47"/>
      <c r="M351" s="130">
        <f t="shared" ca="1" si="653"/>
        <v>0.1374590739567097</v>
      </c>
      <c r="N351" s="130"/>
      <c r="O351" s="130"/>
      <c r="P351" s="59">
        <f t="shared" ca="1" si="655"/>
        <v>1.1000943622366964E-3</v>
      </c>
      <c r="Q351" s="61"/>
      <c r="R351" s="387"/>
      <c r="S351" s="132">
        <f ca="1">+S350*EXP(T351)</f>
        <v>119.73149268216184</v>
      </c>
      <c r="T351" s="134">
        <f ca="1">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</f>
        <v>4.5473262082190193E-2</v>
      </c>
      <c r="U351" s="134"/>
      <c r="V351" s="125">
        <v>42765.160207543609</v>
      </c>
      <c r="W351" s="125">
        <f t="shared" si="647"/>
        <v>360.91788511725554</v>
      </c>
      <c r="X351" s="131">
        <f t="shared" si="656"/>
        <v>9.4948683208144521E-2</v>
      </c>
      <c r="Y351" s="131">
        <f t="shared" si="657"/>
        <v>7.5988080009889599E-4</v>
      </c>
      <c r="Z351" s="131"/>
      <c r="AA351" s="131"/>
      <c r="AB351" s="131"/>
      <c r="AC351" s="125">
        <f t="shared" si="627"/>
        <v>29697.976186616623</v>
      </c>
      <c r="AD351" s="129"/>
      <c r="AE351" s="133">
        <v>2264.4378716225565</v>
      </c>
      <c r="AF351" s="134"/>
      <c r="AG351" s="59">
        <f t="shared" si="648"/>
        <v>0</v>
      </c>
      <c r="AH351" s="134"/>
      <c r="AI351" s="134"/>
      <c r="AJ351" s="129">
        <f t="shared" si="664"/>
        <v>102800.81414822962</v>
      </c>
      <c r="AK351" s="134">
        <f t="shared" si="658"/>
        <v>0.13011945418642767</v>
      </c>
      <c r="AL351" s="129"/>
      <c r="AM351" s="134"/>
      <c r="AN351" s="134"/>
      <c r="AO351" s="134"/>
      <c r="AP351" s="133">
        <f t="shared" si="659"/>
        <v>557.79366219149108</v>
      </c>
      <c r="AQ351" s="134"/>
      <c r="AR351" s="93">
        <f t="shared" si="649"/>
        <v>0.29511125962801388</v>
      </c>
      <c r="AS351" s="93">
        <f t="shared" si="650"/>
        <v>0.41600020935515214</v>
      </c>
      <c r="AT351" s="93">
        <f t="shared" si="651"/>
        <v>0.28888853101683404</v>
      </c>
      <c r="AU351" s="93">
        <f t="shared" ca="1" si="654"/>
        <v>7.9257810948950486E-2</v>
      </c>
      <c r="AV351" s="132">
        <f t="shared" ca="1" si="662"/>
        <v>127.97487313839441</v>
      </c>
      <c r="AW351" s="134">
        <f t="shared" ca="1" si="663"/>
        <v>7.925781094895043E-2</v>
      </c>
      <c r="AX351" s="56">
        <f>+AJ351/$AL$26</f>
        <v>8.003068335693515E-3</v>
      </c>
      <c r="AY351" s="135">
        <f t="shared" ca="1" si="661"/>
        <v>6.3430567716192792E-4</v>
      </c>
      <c r="AZ351" s="93"/>
      <c r="BA351" s="93"/>
      <c r="BB351" s="234">
        <f>INDEX('Total Customers'!$D$7:$D$91,MATCH(Calculation!$C351,'Total Customers'!$C$7:$C$91,0))</f>
        <v>184299</v>
      </c>
      <c r="BC351" s="411">
        <f t="shared" si="622"/>
        <v>9.6558528133618947E-3</v>
      </c>
      <c r="BD351" s="91"/>
      <c r="BE351" s="281" t="str">
        <f t="shared" si="618"/>
        <v>CONNECTICUT NATURAL GAS CORPORATION</v>
      </c>
      <c r="BF351" s="290">
        <f t="shared" si="619"/>
        <v>4059402</v>
      </c>
      <c r="BG351" s="46" t="str">
        <f t="shared" si="620"/>
        <v>CT</v>
      </c>
      <c r="BH351" s="46"/>
      <c r="BI351" s="46" t="str">
        <f t="shared" si="621"/>
        <v>2021 Y</v>
      </c>
      <c r="BJ351" s="129"/>
      <c r="BK351" s="129"/>
      <c r="BL351" s="129">
        <f>INDEX('Dist. Plant Gas Additions'!$D$7:$AD$91,MATCH($C351,'Dist. Plant Gas Additions'!$C$7:$C$91,0),MATCH(Calculation!$G351,'Dist. Plant Gas Additions'!$D$5:$AD$5,0))</f>
        <v>51678</v>
      </c>
      <c r="BM351" s="129">
        <f>INDEX('Gen. Plant Additions'!$D$7:$AD$91,MATCH($C351,'Gen. Plant Additions'!$C$7:$C$91,0),MATCH(Calculation!$G351,'Gen. Plant Additions'!$D$5:$AD$5,0))</f>
        <v>10334</v>
      </c>
      <c r="BN351" s="343">
        <v>0.93425724711960312</v>
      </c>
      <c r="BO351" s="46">
        <f t="shared" si="576"/>
        <v>9654.6143917339778</v>
      </c>
      <c r="BP351" s="46">
        <f t="shared" si="577"/>
        <v>-679.38560826602225</v>
      </c>
      <c r="BQ351" s="129"/>
      <c r="BR351" s="129"/>
      <c r="BS351" s="137"/>
      <c r="BT351" s="137"/>
      <c r="BU351" s="333"/>
      <c r="BV351" s="93"/>
      <c r="BW351" s="334"/>
      <c r="BX351" s="334"/>
      <c r="BY351" s="129"/>
      <c r="BZ351" s="129"/>
      <c r="CA351" s="129"/>
      <c r="CB351" s="129"/>
      <c r="CC351" s="133">
        <v>2021</v>
      </c>
      <c r="CD351" s="129"/>
      <c r="CE351" s="129"/>
      <c r="CF351" s="129"/>
      <c r="CG351" s="137"/>
      <c r="CH351" s="129">
        <f t="shared" si="629"/>
        <v>62012</v>
      </c>
      <c r="CI351" s="46">
        <f t="shared" si="638"/>
        <v>61332.61439173398</v>
      </c>
      <c r="CJ351" s="46">
        <f t="shared" si="630"/>
        <v>65.735407713350327</v>
      </c>
      <c r="CK351" s="443">
        <v>0.70886075949367089</v>
      </c>
      <c r="CL351" s="129">
        <f>CL328*CK351+CJ329*CK350+CJ330*CK349+CJ331*CK348+CJ332*CK347+CJ333*CK346+CJ334*CK345+CJ335*CK344+CJ336*CK343+CJ337*CK342+CJ338*CK341+CJ339*CK340+CJ340*CK339+CJ341*CK338+CJ342*CK337+CJ333*CK336+CJ344*CK335+CJ345*CK334+CJ346*CK333+CJ347*CK332+CJ348*CK331+CJ349*CK330+CJ351+CJ350*CK329</f>
        <v>2029.31776779335</v>
      </c>
      <c r="CM351" s="134"/>
      <c r="CN351" s="135">
        <f t="shared" si="632"/>
        <v>1.8878721561330997E-2</v>
      </c>
      <c r="CO351" s="135">
        <f t="shared" si="641"/>
        <v>1.7825123191006011E-2</v>
      </c>
      <c r="CP351" s="134">
        <f>VLOOKUP($H351,RoR!$E:$F,2,FALSE)</f>
        <v>2.7033333333333336E-2</v>
      </c>
      <c r="CQ351" s="135"/>
      <c r="CR351" s="135"/>
      <c r="CS351" s="135">
        <f t="shared" si="642"/>
        <v>1.3076818417527614E-2</v>
      </c>
      <c r="CT351" s="135">
        <f t="shared" si="643"/>
        <v>7.433422950153494E-2</v>
      </c>
      <c r="CU351" s="139">
        <f t="shared" si="633"/>
        <v>0.90305999999999997</v>
      </c>
      <c r="CV351" s="335">
        <f t="shared" si="634"/>
        <v>1.8969932656739068</v>
      </c>
      <c r="CW351" s="335">
        <f t="shared" si="635"/>
        <v>5.0215782983970621E-2</v>
      </c>
      <c r="CX351" s="335">
        <f t="shared" si="636"/>
        <v>0.655952481704143</v>
      </c>
      <c r="CY351" s="335">
        <f t="shared" si="637"/>
        <v>6.2485378865697057E-2</v>
      </c>
      <c r="CZ351" s="336">
        <f>CZ350</f>
        <v>0.26200000000000001</v>
      </c>
      <c r="DA351" s="303">
        <v>0.37</v>
      </c>
      <c r="DB351" s="141">
        <f t="shared" si="640"/>
        <v>14.838856243375167</v>
      </c>
      <c r="DC351" s="135">
        <f t="shared" si="644"/>
        <v>7.9211164469202969E-2</v>
      </c>
      <c r="DD351" s="336">
        <f>VLOOKUP($H351,RoR!$E:$F,2,FALSE)</f>
        <v>2.7033333333333336E-2</v>
      </c>
      <c r="DE351" s="342">
        <f>HLOOKUP($H351,'GDP-PI'!$D$8:$CR$11,3,FALSE)</f>
        <v>4.2834637353352578E-2</v>
      </c>
      <c r="DF351" s="336">
        <f>VLOOKUP(H351,'HW Dx Data'!$E:$F,2,FALSE)</f>
        <v>933.02249921662576</v>
      </c>
      <c r="DG351" s="89">
        <f ca="1">VLOOKUP(CC351,'ECI - Input Price'!M$13:N$33,2,FALSE)</f>
        <v>157.25</v>
      </c>
      <c r="DH351" s="89"/>
      <c r="DI351" s="89"/>
      <c r="DJ351" s="135">
        <f t="shared" ca="1" si="652"/>
        <v>2.6419062301765574E-2</v>
      </c>
      <c r="DK351" s="137">
        <f>HLOOKUP(H351,'GDP-PI'!$8:$9,2,FALSE)</f>
        <v>118.49</v>
      </c>
      <c r="DL351" s="356">
        <f t="shared" si="645"/>
        <v>4.194261824609434E-2</v>
      </c>
      <c r="EC351"/>
    </row>
    <row r="352" spans="1:133" s="126" customFormat="1" ht="21" customHeight="1" thickBot="1" x14ac:dyDescent="0.45">
      <c r="A352" s="235"/>
      <c r="B352" s="236"/>
      <c r="C352" s="236"/>
      <c r="D352" s="236"/>
      <c r="E352" s="236"/>
      <c r="F352" s="236"/>
      <c r="G352" s="237" t="s">
        <v>178</v>
      </c>
      <c r="H352" s="238"/>
      <c r="I352" s="239"/>
      <c r="J352" s="240">
        <v>32615.172063535254</v>
      </c>
      <c r="K352" s="240">
        <f t="shared" ca="1" si="646"/>
        <v>200.64701361756536</v>
      </c>
      <c r="L352" s="47"/>
      <c r="M352" s="241">
        <f t="shared" ref="M352" ca="1" si="665">LN(K352/K351)</f>
        <v>3.923839940492916E-2</v>
      </c>
      <c r="N352" s="241"/>
      <c r="O352" s="241"/>
      <c r="P352" s="242">
        <f t="shared" ca="1" si="655"/>
        <v>3.2981678702735309E-4</v>
      </c>
      <c r="Q352" s="61"/>
      <c r="R352" s="387"/>
      <c r="S352" s="206">
        <f ca="1">+S351*EXP(T352)</f>
        <v>119.77088321642387</v>
      </c>
      <c r="T352" s="243">
        <f ca="1">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</f>
        <v>3.2893648315116393E-4</v>
      </c>
      <c r="U352" s="243"/>
      <c r="V352" s="239">
        <v>45975.603993176206</v>
      </c>
      <c r="W352" s="240">
        <f t="shared" si="647"/>
        <v>361.30140662613917</v>
      </c>
      <c r="X352" s="244">
        <f t="shared" ref="X352" si="666">LN(W352/W351)</f>
        <v>1.062063972310207E-3</v>
      </c>
      <c r="Y352" s="244">
        <f t="shared" si="657"/>
        <v>8.9271359759097847E-6</v>
      </c>
      <c r="Z352" s="206"/>
      <c r="AA352" s="243"/>
      <c r="AB352" s="243"/>
      <c r="AC352" s="240">
        <f t="shared" si="627"/>
        <v>32635.495811101977</v>
      </c>
      <c r="AD352" s="243"/>
      <c r="AE352" s="245">
        <v>2301.8965225241195</v>
      </c>
      <c r="AF352" s="243">
        <v>1.6406810336305533E-2</v>
      </c>
      <c r="AG352" s="242">
        <f t="shared" si="648"/>
        <v>1.3790678398078828E-4</v>
      </c>
      <c r="AH352" s="206"/>
      <c r="AI352" s="243"/>
      <c r="AJ352" s="239">
        <f t="shared" si="664"/>
        <v>111226.27186781344</v>
      </c>
      <c r="AK352" s="243">
        <f t="shared" ref="AK352" si="667">LN(AJ352/AJ351)</f>
        <v>7.8773338996515743E-2</v>
      </c>
      <c r="AL352" s="239"/>
      <c r="AM352" s="243"/>
      <c r="AN352" s="243"/>
      <c r="AO352" s="243"/>
      <c r="AP352" s="245">
        <f t="shared" si="659"/>
        <v>602.13442977378429</v>
      </c>
      <c r="AQ352" s="243"/>
      <c r="AR352" s="207"/>
      <c r="AS352" s="207"/>
      <c r="AT352" s="207"/>
      <c r="AU352" s="207"/>
      <c r="AV352" s="206"/>
      <c r="AW352" s="243"/>
      <c r="AX352" s="248">
        <f>+AJ352/$AL$27</f>
        <v>8.4054597544547457E-3</v>
      </c>
      <c r="AY352" s="249"/>
      <c r="AZ352" s="206"/>
      <c r="BA352" s="243"/>
      <c r="BB352" s="250">
        <v>184720</v>
      </c>
      <c r="BC352" s="412">
        <f t="shared" si="622"/>
        <v>2.2817263211567535E-3</v>
      </c>
      <c r="BD352" s="91"/>
      <c r="BE352" s="401">
        <f t="shared" si="618"/>
        <v>0</v>
      </c>
      <c r="BF352" s="402">
        <f t="shared" si="619"/>
        <v>0</v>
      </c>
      <c r="BG352" s="313">
        <f t="shared" si="620"/>
        <v>0</v>
      </c>
      <c r="BH352" s="313"/>
      <c r="BI352" s="313" t="str">
        <f t="shared" si="621"/>
        <v>2022Y</v>
      </c>
      <c r="BJ352" s="239"/>
      <c r="BK352" s="239"/>
      <c r="BL352" s="239"/>
      <c r="BM352" s="239"/>
      <c r="BN352" s="337">
        <v>0.93425724711960312</v>
      </c>
      <c r="BO352" s="313">
        <f t="shared" si="576"/>
        <v>0</v>
      </c>
      <c r="BP352" s="313">
        <f t="shared" si="577"/>
        <v>0</v>
      </c>
      <c r="BQ352" s="239"/>
      <c r="BR352" s="239"/>
      <c r="BS352" s="310"/>
      <c r="BT352" s="310"/>
      <c r="BU352" s="311"/>
      <c r="BV352" s="207"/>
      <c r="BW352" s="312"/>
      <c r="BX352" s="312"/>
      <c r="BY352" s="239"/>
      <c r="BZ352" s="239"/>
      <c r="CA352" s="239"/>
      <c r="CB352" s="239"/>
      <c r="CC352" s="245">
        <v>2022</v>
      </c>
      <c r="CD352" s="239"/>
      <c r="CE352" s="239"/>
      <c r="CF352" s="239"/>
      <c r="CG352" s="310"/>
      <c r="CH352" s="239">
        <v>76791</v>
      </c>
      <c r="CI352" s="313">
        <f t="shared" si="638"/>
        <v>76791</v>
      </c>
      <c r="CJ352" s="313">
        <f t="shared" si="630"/>
        <v>74.495784868210436</v>
      </c>
      <c r="CK352" s="443">
        <v>0.69230769230769229</v>
      </c>
      <c r="CL352" s="239">
        <f>+CL328*CK352+CJ329*CK351+CJ330*CK350+CJ331*CK349+CJ332*CK348+CJ333*CK347+CJ334*CK346+CJ335*CK345+CJ336*CK344+CJ337*CK343+CJ338*CK342+CJ339*CK341+CJ340*CK340+CJ341*CK339+CJ342*CK338+CJ343*CK337+CJ344*CK336+CJ345*CK335+CJ346*CK334+CJ347*CK333+CJ348*CK332+CJ349*CK331+CJ350*CK330+CJ351*CK329+CJ352*CK328</f>
        <v>2067.7809067482053</v>
      </c>
      <c r="CM352" s="243">
        <f t="shared" ref="CM352" si="668">LN(CL352/CL351)</f>
        <v>1.877634493199417E-2</v>
      </c>
      <c r="CN352" s="249">
        <f t="shared" si="632"/>
        <v>1.775603923900811E-2</v>
      </c>
      <c r="CO352" s="249">
        <f t="shared" si="641"/>
        <v>1.8054079246187876E-2</v>
      </c>
      <c r="CP352" s="243"/>
      <c r="CQ352" s="249"/>
      <c r="CR352" s="249"/>
      <c r="CS352" s="248">
        <f t="shared" si="642"/>
        <v>1.2847862362345749E-2</v>
      </c>
      <c r="CT352" s="249">
        <f t="shared" si="643"/>
        <v>0.10114668178709289</v>
      </c>
      <c r="CU352" s="314">
        <f t="shared" si="633"/>
        <v>0.90305999999999997</v>
      </c>
      <c r="CV352" s="315"/>
      <c r="CW352" s="315"/>
      <c r="CX352" s="315"/>
      <c r="CY352" s="315"/>
      <c r="CZ352" s="316">
        <f>CZ351</f>
        <v>0.26200000000000001</v>
      </c>
      <c r="DA352" s="360">
        <v>0.37</v>
      </c>
      <c r="DB352" s="318">
        <f t="shared" si="640"/>
        <v>16.0820036807687</v>
      </c>
      <c r="DC352" s="249">
        <f t="shared" si="644"/>
        <v>8.0451700780840588E-2</v>
      </c>
      <c r="DD352" s="316">
        <v>0.04</v>
      </c>
      <c r="DE352" s="319">
        <v>7.0000000000000001E-3</v>
      </c>
      <c r="DF352" s="316">
        <v>1030.81</v>
      </c>
      <c r="DG352" s="89">
        <f ca="1">VLOOKUP(CC352,'ECI - Input Price'!M$13:N$33,2,FALSE)</f>
        <v>162.55000000000001</v>
      </c>
      <c r="DH352" s="89"/>
      <c r="DI352" s="89"/>
      <c r="DJ352" s="249">
        <f t="shared" ca="1" si="652"/>
        <v>3.3148751169364422E-2</v>
      </c>
      <c r="DK352" s="310">
        <v>127.25</v>
      </c>
      <c r="DL352" s="357">
        <f t="shared" si="645"/>
        <v>7.1325086601983473E-2</v>
      </c>
      <c r="EC352"/>
    </row>
    <row r="353" spans="1:133" s="126" customFormat="1" ht="21" customHeight="1" x14ac:dyDescent="0.4">
      <c r="A353" s="251" t="s">
        <v>204</v>
      </c>
      <c r="B353" s="252" t="s">
        <v>204</v>
      </c>
      <c r="C353" s="252">
        <v>4057080</v>
      </c>
      <c r="D353" s="252" t="s">
        <v>194</v>
      </c>
      <c r="E353" s="252" t="s">
        <v>15</v>
      </c>
      <c r="F353" s="252"/>
      <c r="G353" s="252" t="s">
        <v>150</v>
      </c>
      <c r="H353" s="253">
        <v>1998</v>
      </c>
      <c r="I353" s="254"/>
      <c r="J353" s="255"/>
      <c r="K353" s="255"/>
      <c r="L353" s="47"/>
      <c r="M353" s="255"/>
      <c r="N353" s="255"/>
      <c r="O353" s="255"/>
      <c r="P353" s="219"/>
      <c r="Q353" s="218"/>
      <c r="R353" s="385"/>
      <c r="S353" s="257"/>
      <c r="T353" s="258"/>
      <c r="U353" s="258"/>
      <c r="V353" s="259"/>
      <c r="W353" s="259"/>
      <c r="X353" s="259"/>
      <c r="Y353" s="255"/>
      <c r="Z353" s="259"/>
      <c r="AA353" s="259"/>
      <c r="AB353" s="259"/>
      <c r="AC353" s="255"/>
      <c r="AD353" s="254"/>
      <c r="AE353" s="260">
        <v>6060.9924752512061</v>
      </c>
      <c r="AF353" s="256"/>
      <c r="AG353" s="225"/>
      <c r="AH353" s="256"/>
      <c r="AI353" s="256"/>
      <c r="AJ353" s="254">
        <f t="shared" si="664"/>
        <v>0</v>
      </c>
      <c r="AK353" s="254"/>
      <c r="AL353" s="254"/>
      <c r="AM353" s="256"/>
      <c r="AN353" s="256"/>
      <c r="AO353" s="256"/>
      <c r="AP353" s="226">
        <f>+(AP350+AP351+AP352)/3</f>
        <v>551.47246378949058</v>
      </c>
      <c r="AQ353" s="256"/>
      <c r="AR353" s="261"/>
      <c r="AS353" s="261"/>
      <c r="AT353" s="261"/>
      <c r="AU353" s="261"/>
      <c r="AV353" s="261"/>
      <c r="AW353" s="256">
        <f ca="1">AVERAGE(AW362:AW376)</f>
        <v>2.7874105767193472E-2</v>
      </c>
      <c r="AX353" s="223"/>
      <c r="AY353" s="261"/>
      <c r="AZ353" s="261"/>
      <c r="BA353" s="261"/>
      <c r="BB353" s="262">
        <f>IFERROR(INDEX('Total Customers'!$E$7:$AA$91,MATCH($C353,'Total Customers'!$C$7:$C$91,0),MATCH($G353,'Total Customers'!$E$5:$AA$5,0)),"NA")</f>
        <v>1037951</v>
      </c>
      <c r="BC353" s="413"/>
      <c r="BD353" s="92"/>
      <c r="BE353" s="407" t="str">
        <f t="shared" si="618"/>
        <v>CONSOLIDATED EDISON COMPANY OF NEW YORK, INC.</v>
      </c>
      <c r="BF353" s="408">
        <f t="shared" si="619"/>
        <v>4057080</v>
      </c>
      <c r="BG353" s="218" t="str">
        <f t="shared" si="620"/>
        <v>NY</v>
      </c>
      <c r="BH353" s="218"/>
      <c r="BI353" s="218" t="str">
        <f t="shared" si="621"/>
        <v>1998 Y</v>
      </c>
      <c r="BJ353" s="254">
        <f>INDEX('Gross Dx Plant'!$D$7:$AC$91,MATCH($C353,'Gross Dx Plant'!$C$7:$C$91,0),MATCH(Calculation!$G353,'Gross Dx Plant'!$D$5:$AC$5,0))</f>
        <v>1541535</v>
      </c>
      <c r="BK353" s="254">
        <f>INDEX('Gross Gen Plant'!$D$7:$AC$91,MATCH($C353,'Gross Gen Plant'!$C$7:$C$91,0),MATCH(Calculation!$G353,'Gross Gen Plant'!$D$5:$AC$5,0))</f>
        <v>0</v>
      </c>
      <c r="BL353" s="254">
        <f>INDEX('Dist. Plant Gas Additions'!$E$7:$AD$91,MATCH($C353,'Dist. Plant Gas Additions'!$C$7:$C$91,0),MATCH(Calculation!$G353,'Dist. Plant Gas Additions'!$E$5:$AD$5,0))</f>
        <v>94451</v>
      </c>
      <c r="BM353" s="254">
        <f>INDEX('Gen. Plant Additions'!$E$7:$AD$91,MATCH($C353,'Gen. Plant Additions'!$C$7:$C$91,0),MATCH(Calculation!$G353,'Gen. Plant Additions'!$E$5:$AD$5,0))</f>
        <v>0</v>
      </c>
      <c r="BN353" s="409">
        <f>+(BY353/(BY353+BZ353))</f>
        <v>1</v>
      </c>
      <c r="BO353" s="218">
        <f t="shared" si="576"/>
        <v>0</v>
      </c>
      <c r="BP353" s="218">
        <f t="shared" si="577"/>
        <v>0</v>
      </c>
      <c r="BQ353" s="254">
        <f>INDEX('Dist Plant Depreciation'!$D$7:$AC$94,MATCH($C353,'Dist Plant Depreciation'!$C$7:$C$94,0),MATCH(Calculation!$G353,'Dist Plant Depreciation'!$D$5:$AC$5,0))</f>
        <v>318915</v>
      </c>
      <c r="BR353" s="254">
        <f>INDEX('Gen. Plant Depreciation'!$D$7:$AC$94,MATCH($C353,'Gen. Plant Depreciation'!$C$7:$C$94,0),MATCH(Calculation!$G353,'Gen. Plant Depreciation'!$D$5:$AC$5,0))</f>
        <v>0</v>
      </c>
      <c r="BS353" s="254"/>
      <c r="BT353" s="254"/>
      <c r="BU353" s="254"/>
      <c r="BV353" s="254"/>
      <c r="BW353" s="254"/>
      <c r="BX353" s="254"/>
      <c r="BY353" s="254">
        <f>INDEX('Gross Dx Plant'!$D$7:$AC$91,MATCH($C353,'Gross Dx Plant'!$C$7:$C$91,0),MATCH(Calculation!$G353,'Gross Dx Plant'!$D$5:$AC$5,0))</f>
        <v>1541535</v>
      </c>
      <c r="BZ353" s="254">
        <f>INDEX('Gross Gen Plant'!$D$7:$AC$91,MATCH($C353,'Gross Gen Plant'!$C$7:$C$91,0),MATCH(Calculation!$G353,'Gross Gen Plant'!$D$5:$AC$5,0))</f>
        <v>0</v>
      </c>
      <c r="CA353" s="254">
        <f t="shared" si="626"/>
        <v>1222620</v>
      </c>
      <c r="CB353" s="254"/>
      <c r="CC353" s="260">
        <v>1998</v>
      </c>
      <c r="CD353" s="254">
        <f>BJ353+BK353</f>
        <v>1541535</v>
      </c>
      <c r="CE353" s="254">
        <v>318915</v>
      </c>
      <c r="CF353" s="254">
        <f>+CD353-CE353</f>
        <v>1222620</v>
      </c>
      <c r="CG353" s="254">
        <f>CF353/$BX$3</f>
        <v>6060.9924752512061</v>
      </c>
      <c r="CH353" s="323"/>
      <c r="CI353" s="344"/>
      <c r="CJ353" s="344"/>
      <c r="CK353" s="443">
        <v>1</v>
      </c>
      <c r="CL353" s="254">
        <f>+CG353</f>
        <v>6060.9924752512061</v>
      </c>
      <c r="CM353" s="256"/>
      <c r="CN353" s="325"/>
      <c r="CO353" s="325"/>
      <c r="CP353" s="256" t="e">
        <f>VLOOKUP($H353,RoR!$E:$F,2,FALSE)</f>
        <v>#N/A</v>
      </c>
      <c r="CQ353" s="325">
        <v>1.1028127770464469E-2</v>
      </c>
      <c r="CR353" s="325"/>
      <c r="CS353" s="325"/>
      <c r="CT353" s="325"/>
      <c r="CU353" s="327"/>
      <c r="CV353" s="331" t="e">
        <f>2/(DD353*39)</f>
        <v>#N/A</v>
      </c>
      <c r="CW353" s="328" t="e">
        <f>+(DD353*40-(1+DD353))/(DD353*40)</f>
        <v>#N/A</v>
      </c>
      <c r="CX353" s="328" t="e">
        <f>+(1-(1/(1+DD353)^40))</f>
        <v>#N/A</v>
      </c>
      <c r="CY353" s="328" t="e">
        <f>+CX353*CW353*CV353</f>
        <v>#N/A</v>
      </c>
      <c r="CZ353" s="329">
        <f>INDEX('State Tax Lookup'!$D$7:$Z$91,MATCH(Calculation!$C353,'State Tax Lookup'!$B$7:$B$91,0),MATCH($H353,'State Tax Lookup'!$D$6:$Z$6,0))</f>
        <v>0.39649667</v>
      </c>
      <c r="DA353" s="351">
        <v>0.37</v>
      </c>
      <c r="DB353" s="344"/>
      <c r="DC353" s="326"/>
      <c r="DD353" s="351" t="e">
        <f>VLOOKUP($H353,RoR!$E:$F,2,FALSE)</f>
        <v>#N/A</v>
      </c>
      <c r="DE353" s="354">
        <f>HLOOKUP($H353,'GDP-PI'!$D$8:$CQ$11,3,FALSE)</f>
        <v>1.1028127770464469E-2</v>
      </c>
      <c r="DF353" s="351">
        <f>VLOOKUP(H353,'HW Dx Data'!$E:$F,2,FALSE)</f>
        <v>329.24564746449528</v>
      </c>
      <c r="DG353" s="351"/>
      <c r="DH353" s="351"/>
      <c r="DI353" s="351"/>
      <c r="DJ353" s="326"/>
      <c r="DK353" s="344">
        <f>HLOOKUP(H353,'GDP-PI'!$8:$9,2,FALSE)</f>
        <v>75.266999999999996</v>
      </c>
      <c r="DL353" s="292"/>
      <c r="EC353"/>
    </row>
    <row r="354" spans="1:133" s="126" customFormat="1" ht="21" customHeight="1" x14ac:dyDescent="0.4">
      <c r="A354" s="233" t="s">
        <v>204</v>
      </c>
      <c r="B354" s="127" t="s">
        <v>204</v>
      </c>
      <c r="C354" s="127">
        <v>4057080</v>
      </c>
      <c r="D354" s="127" t="s">
        <v>194</v>
      </c>
      <c r="E354" s="127" t="s">
        <v>15</v>
      </c>
      <c r="F354" s="127"/>
      <c r="G354" s="127" t="s">
        <v>155</v>
      </c>
      <c r="H354" s="128">
        <v>1999</v>
      </c>
      <c r="I354" s="129"/>
      <c r="J354" s="125"/>
      <c r="K354" s="129"/>
      <c r="L354" s="47"/>
      <c r="M354" s="129"/>
      <c r="N354" s="129"/>
      <c r="O354" s="129"/>
      <c r="P354" s="47"/>
      <c r="Q354" s="47"/>
      <c r="R354" s="386"/>
      <c r="S354" s="119"/>
      <c r="T354" s="47"/>
      <c r="U354" s="46"/>
      <c r="V354" s="135"/>
      <c r="W354" s="135"/>
      <c r="X354" s="135"/>
      <c r="Y354" s="143"/>
      <c r="Z354" s="135"/>
      <c r="AA354" s="135"/>
      <c r="AB354" s="135"/>
      <c r="AC354" s="125">
        <f t="shared" ref="AC354:AC377" si="669">+CL353*DB354</f>
        <v>0</v>
      </c>
      <c r="AD354" s="129"/>
      <c r="AE354" s="133">
        <v>6304.8500704217377</v>
      </c>
      <c r="AF354" s="134">
        <v>3.9445628195464509E-2</v>
      </c>
      <c r="AG354" s="61"/>
      <c r="AH354" s="134"/>
      <c r="AI354" s="134"/>
      <c r="AJ354" s="129">
        <f t="shared" si="664"/>
        <v>0</v>
      </c>
      <c r="AK354" s="134"/>
      <c r="AL354" s="129"/>
      <c r="AM354" s="134"/>
      <c r="AN354" s="134"/>
      <c r="AO354" s="134"/>
      <c r="AP354" s="133"/>
      <c r="AQ354" s="134"/>
      <c r="AR354" s="93"/>
      <c r="AS354" s="93"/>
      <c r="AT354" s="93"/>
      <c r="AU354" s="93"/>
      <c r="AV354" s="93"/>
      <c r="AW354" s="134"/>
      <c r="AX354" s="62"/>
      <c r="AY354" s="93"/>
      <c r="AZ354" s="93"/>
      <c r="BA354" s="93"/>
      <c r="BB354" s="234">
        <f>IFERROR(INDEX('Total Customers'!$E$7:$AA$91,MATCH($C354,'Total Customers'!$C$7:$C$91,0),MATCH($G354,'Total Customers'!$E$5:$AA$5,0)),"NA")</f>
        <v>1043048</v>
      </c>
      <c r="BC354" s="411">
        <f t="shared" si="622"/>
        <v>4.8986185889507653E-3</v>
      </c>
      <c r="BD354" s="92"/>
      <c r="BE354" s="281" t="str">
        <f t="shared" si="618"/>
        <v>CONSOLIDATED EDISON COMPANY OF NEW YORK, INC.</v>
      </c>
      <c r="BF354" s="290">
        <f t="shared" si="619"/>
        <v>4057080</v>
      </c>
      <c r="BG354" s="46" t="str">
        <f t="shared" si="620"/>
        <v>NY</v>
      </c>
      <c r="BH354" s="46"/>
      <c r="BI354" s="46" t="str">
        <f t="shared" si="621"/>
        <v>1999 Y</v>
      </c>
      <c r="BJ354" s="129"/>
      <c r="BK354" s="129"/>
      <c r="BL354" s="129">
        <f>INDEX('Dist. Plant Gas Additions'!$E$7:$AD$91,MATCH($C354,'Dist. Plant Gas Additions'!$C$7:$C$91,0),MATCH(Calculation!$G354,'Dist. Plant Gas Additions'!$E$5:$AD$5,0))</f>
        <v>91883</v>
      </c>
      <c r="BM354" s="129">
        <f>INDEX('Gen. Plant Additions'!$E$7:$AD$91,MATCH($C354,'Gen. Plant Additions'!$C$7:$C$91,0),MATCH(Calculation!$G354,'Gen. Plant Additions'!$E$5:$AD$5,0))</f>
        <v>0</v>
      </c>
      <c r="BN354" s="393">
        <f t="shared" ref="BN354:BN375" si="670">+(BY354/(BY354+BZ354))</f>
        <v>1</v>
      </c>
      <c r="BO354" s="46">
        <f t="shared" si="576"/>
        <v>0</v>
      </c>
      <c r="BP354" s="46">
        <f t="shared" si="577"/>
        <v>0</v>
      </c>
      <c r="BQ354" s="129">
        <f>INDEX('Dist Plant Depreciation'!$D$7:$AC$94,MATCH($C354,'Dist Plant Depreciation'!$C$7:$C$94,0),MATCH(Calculation!$G354,'Dist Plant Depreciation'!$D$5:$AC$5,0))</f>
        <v>348410</v>
      </c>
      <c r="BR354" s="129">
        <f>INDEX('Gen. Plant Depreciation'!$D$7:$AC$94,MATCH($C354,'Gen. Plant Depreciation'!$C$7:$C$94,0),MATCH(Calculation!$G354,'Gen. Plant Depreciation'!$D$5:$AC$5,0))</f>
        <v>0</v>
      </c>
      <c r="BS354" s="129"/>
      <c r="BT354" s="129"/>
      <c r="BU354" s="129"/>
      <c r="BV354" s="129"/>
      <c r="BW354" s="129"/>
      <c r="BX354" s="129"/>
      <c r="BY354" s="129">
        <f>INDEX('Gross Dx Plant'!$D$7:$AC$91,MATCH($C354,'Gross Dx Plant'!$C$7:$C$91,0),MATCH(Calculation!$G354,'Gross Dx Plant'!$D$5:$AC$5,0))</f>
        <v>1626315</v>
      </c>
      <c r="BZ354" s="129">
        <f>INDEX('Gross Gen Plant'!$D$7:$AC$91,MATCH($C354,'Gross Gen Plant'!$C$7:$C$91,0),MATCH(Calculation!$G354,'Gross Gen Plant'!$D$5:$AC$5,0))</f>
        <v>0</v>
      </c>
      <c r="CA354" s="129">
        <f t="shared" si="626"/>
        <v>1277905</v>
      </c>
      <c r="CB354" s="129"/>
      <c r="CC354" s="133">
        <v>1999</v>
      </c>
      <c r="CD354" s="129"/>
      <c r="CE354" s="129"/>
      <c r="CF354" s="129"/>
      <c r="CG354" s="137"/>
      <c r="CH354" s="129">
        <f t="shared" ref="CH354:CH376" si="671">+BM354+BL354</f>
        <v>91883</v>
      </c>
      <c r="CI354" s="46">
        <f>+CH354+BP354</f>
        <v>91883</v>
      </c>
      <c r="CJ354" s="46">
        <f t="shared" ref="CJ354:CJ377" si="672">+CI354/$DF354</f>
        <v>274.01178658969212</v>
      </c>
      <c r="CK354" s="443">
        <v>0.99009900990099009</v>
      </c>
      <c r="CL354" s="46">
        <f>+CL353*CK354+CJ354</f>
        <v>6274.9944353532619</v>
      </c>
      <c r="CM354" s="134">
        <f t="shared" ref="CM354:CM375" si="673">LN(CL354/CL353)</f>
        <v>3.4699036755637541E-2</v>
      </c>
      <c r="CN354" s="135">
        <f t="shared" ref="CN354:CN377" si="674">+(CL353-CL354+CJ354)/CL353</f>
        <v>9.90099009901E-3</v>
      </c>
      <c r="CO354" s="135"/>
      <c r="CP354" s="134">
        <f>VLOOKUP($H354,RoR!$E:$F,2,FALSE)</f>
        <v>7.0416666666666669E-2</v>
      </c>
      <c r="CQ354" s="135">
        <v>1.4335631817396832E-2</v>
      </c>
      <c r="CR354" s="135">
        <f>+CP354-CQ354</f>
        <v>5.6081034849269837E-2</v>
      </c>
      <c r="CS354" s="135"/>
      <c r="CT354" s="135"/>
      <c r="CU354" s="139">
        <f t="shared" ref="CU354:CU377" si="675">1-CZ354*DA354</f>
        <v>0.85329623209999994</v>
      </c>
      <c r="CV354" s="335">
        <f t="shared" ref="CV354:CV376" si="676">2/(DD354*39)</f>
        <v>0.72826581702321336</v>
      </c>
      <c r="CW354" s="335">
        <f t="shared" ref="CW354:CW376" si="677">+(DD354*40-(1+DD354))/(DD354*40)</f>
        <v>0.61997041420118348</v>
      </c>
      <c r="CX354" s="335">
        <f t="shared" ref="CX354:CX376" si="678">+(1-(1/(1+DD354)^40))</f>
        <v>0.93425155319585029</v>
      </c>
      <c r="CY354" s="335">
        <f t="shared" ref="CY354:CY376" si="679">+CX354*CW354*CV354</f>
        <v>0.42181762214141483</v>
      </c>
      <c r="CZ354" s="336">
        <f>INDEX('State Tax Lookup'!$D$7:$Z$91,MATCH(Calculation!$C354,'State Tax Lookup'!$B$7:$B$91,0),MATCH($H354,'State Tax Lookup'!$D$6:$Z$6,0))</f>
        <v>0.39649667</v>
      </c>
      <c r="DA354" s="303">
        <v>0.37</v>
      </c>
      <c r="DB354" s="57"/>
      <c r="DC354" s="56"/>
      <c r="DD354" s="303">
        <f>VLOOKUP($H354,RoR!$E:$F,2,FALSE)</f>
        <v>7.0416666666666669E-2</v>
      </c>
      <c r="DE354" s="304">
        <f>HLOOKUP($H354,'GDP-PI'!$D$8:$CQ$11,3,FALSE)</f>
        <v>1.4335631817396832E-2</v>
      </c>
      <c r="DF354" s="303">
        <f>VLOOKUP(H354,'HW Dx Data'!$E:$F,2,FALSE)</f>
        <v>335.32499146683239</v>
      </c>
      <c r="DG354" s="89"/>
      <c r="DH354" s="89"/>
      <c r="DI354" s="89"/>
      <c r="DJ354" s="56"/>
      <c r="DK354" s="53">
        <f>HLOOKUP(H354,'GDP-PI'!$8:$9,2,FALSE)</f>
        <v>76.346000000000004</v>
      </c>
      <c r="DL354" s="298"/>
      <c r="EC354"/>
    </row>
    <row r="355" spans="1:133" s="126" customFormat="1" ht="21" customHeight="1" x14ac:dyDescent="0.4">
      <c r="A355" s="233" t="s">
        <v>204</v>
      </c>
      <c r="B355" s="127" t="s">
        <v>204</v>
      </c>
      <c r="C355" s="127">
        <v>4057080</v>
      </c>
      <c r="D355" s="127" t="s">
        <v>194</v>
      </c>
      <c r="E355" s="127" t="s">
        <v>15</v>
      </c>
      <c r="F355" s="127"/>
      <c r="G355" s="127" t="s">
        <v>156</v>
      </c>
      <c r="H355" s="128">
        <v>2000</v>
      </c>
      <c r="I355" s="129"/>
      <c r="J355" s="125"/>
      <c r="K355" s="125"/>
      <c r="L355" s="47"/>
      <c r="M355" s="125"/>
      <c r="N355" s="125"/>
      <c r="O355" s="125"/>
      <c r="P355" s="47"/>
      <c r="Q355" s="47"/>
      <c r="R355" s="386"/>
      <c r="S355" s="119"/>
      <c r="T355" s="47"/>
      <c r="U355" s="47"/>
      <c r="V355" s="125"/>
      <c r="W355" s="125"/>
      <c r="X355" s="125"/>
      <c r="Y355" s="125"/>
      <c r="Z355" s="125"/>
      <c r="AA355" s="125"/>
      <c r="AB355" s="125"/>
      <c r="AC355" s="125">
        <f t="shared" si="669"/>
        <v>0</v>
      </c>
      <c r="AD355" s="129"/>
      <c r="AE355" s="133">
        <v>6524.5472965109775</v>
      </c>
      <c r="AF355" s="134">
        <v>3.4252381295814788E-2</v>
      </c>
      <c r="AG355" s="61"/>
      <c r="AH355" s="134"/>
      <c r="AI355" s="134"/>
      <c r="AJ355" s="129">
        <f t="shared" si="664"/>
        <v>0</v>
      </c>
      <c r="AK355" s="134"/>
      <c r="AL355" s="129"/>
      <c r="AM355" s="129"/>
      <c r="AN355" s="129"/>
      <c r="AO355" s="129"/>
      <c r="AP355" s="133"/>
      <c r="AQ355" s="134"/>
      <c r="AR355" s="93"/>
      <c r="AS355" s="93"/>
      <c r="AT355" s="93"/>
      <c r="AU355" s="93"/>
      <c r="AV355" s="93"/>
      <c r="AW355" s="134"/>
      <c r="AX355" s="62"/>
      <c r="AY355" s="93"/>
      <c r="AZ355" s="93"/>
      <c r="BA355" s="93"/>
      <c r="BB355" s="234">
        <f>IFERROR(INDEX('Total Customers'!$E$7:$AA$91,MATCH($C355,'Total Customers'!$C$7:$C$91,0),MATCH($G355,'Total Customers'!$E$5:$AA$5,0)),"NA")</f>
        <v>1048357</v>
      </c>
      <c r="BC355" s="411">
        <f t="shared" si="622"/>
        <v>5.0769806934658976E-3</v>
      </c>
      <c r="BD355" s="92"/>
      <c r="BE355" s="281" t="str">
        <f t="shared" si="618"/>
        <v>CONSOLIDATED EDISON COMPANY OF NEW YORK, INC.</v>
      </c>
      <c r="BF355" s="290">
        <f t="shared" si="619"/>
        <v>4057080</v>
      </c>
      <c r="BG355" s="46" t="str">
        <f t="shared" si="620"/>
        <v>NY</v>
      </c>
      <c r="BH355" s="46"/>
      <c r="BI355" s="46" t="str">
        <f t="shared" si="621"/>
        <v>2000 Y</v>
      </c>
      <c r="BJ355" s="129"/>
      <c r="BK355" s="129"/>
      <c r="BL355" s="129">
        <f>INDEX('Dist. Plant Gas Additions'!$E$7:$AD$91,MATCH($C355,'Dist. Plant Gas Additions'!$C$7:$C$91,0),MATCH(Calculation!$G355,'Dist. Plant Gas Additions'!$E$5:$AD$5,0))</f>
        <v>87371</v>
      </c>
      <c r="BM355" s="129">
        <f>INDEX('Gen. Plant Additions'!$E$7:$AD$91,MATCH($C355,'Gen. Plant Additions'!$C$7:$C$91,0),MATCH(Calculation!$G355,'Gen. Plant Additions'!$E$5:$AD$5,0))</f>
        <v>0</v>
      </c>
      <c r="BN355" s="393">
        <f t="shared" si="670"/>
        <v>1</v>
      </c>
      <c r="BO355" s="46">
        <f t="shared" si="576"/>
        <v>0</v>
      </c>
      <c r="BP355" s="46">
        <f t="shared" si="577"/>
        <v>0</v>
      </c>
      <c r="BQ355" s="129">
        <f>INDEX('Dist Plant Depreciation'!$D$7:$AC$94,MATCH($C355,'Dist Plant Depreciation'!$C$7:$C$94,0),MATCH(Calculation!$G355,'Dist Plant Depreciation'!$D$5:$AC$5,0))</f>
        <v>377575</v>
      </c>
      <c r="BR355" s="129">
        <f>INDEX('Gen. Plant Depreciation'!$D$7:$AC$94,MATCH($C355,'Gen. Plant Depreciation'!$C$7:$C$94,0),MATCH(Calculation!$G355,'Gen. Plant Depreciation'!$D$5:$AC$5,0))</f>
        <v>0</v>
      </c>
      <c r="BS355" s="129"/>
      <c r="BT355" s="129"/>
      <c r="BU355" s="129"/>
      <c r="BV355" s="129"/>
      <c r="BW355" s="129"/>
      <c r="BX355" s="129"/>
      <c r="BY355" s="129">
        <f>INDEX('Gross Dx Plant'!$D$7:$AC$91,MATCH($C355,'Gross Dx Plant'!$C$7:$C$91,0),MATCH(Calculation!$G355,'Gross Dx Plant'!$D$5:$AC$5,0))</f>
        <v>1705259</v>
      </c>
      <c r="BZ355" s="129">
        <f>INDEX('Gross Gen Plant'!$D$7:$AC$91,MATCH($C355,'Gross Gen Plant'!$C$7:$C$91,0),MATCH(Calculation!$G355,'Gross Gen Plant'!$D$5:$AC$5,0))</f>
        <v>0</v>
      </c>
      <c r="CA355" s="129">
        <f t="shared" si="626"/>
        <v>1327684</v>
      </c>
      <c r="CB355" s="129"/>
      <c r="CC355" s="133">
        <v>2000</v>
      </c>
      <c r="CD355" s="129"/>
      <c r="CE355" s="129"/>
      <c r="CF355" s="129"/>
      <c r="CG355" s="137"/>
      <c r="CH355" s="129">
        <f t="shared" si="671"/>
        <v>87371</v>
      </c>
      <c r="CI355" s="46">
        <f t="shared" ref="CI355:CI377" si="680">+CH355+BP355</f>
        <v>87371</v>
      </c>
      <c r="CJ355" s="46">
        <f t="shared" si="672"/>
        <v>252.12842360408942</v>
      </c>
      <c r="CK355" s="443">
        <v>0.98</v>
      </c>
      <c r="CL355" s="46">
        <f>+CL353*CK355+CJ354*CK354+CJ355</f>
        <v>6463.1998479539261</v>
      </c>
      <c r="CM355" s="134">
        <f t="shared" si="673"/>
        <v>2.9551929437309225E-2</v>
      </c>
      <c r="CN355" s="135">
        <f t="shared" si="674"/>
        <v>1.0186943058193574E-2</v>
      </c>
      <c r="CO355" s="135"/>
      <c r="CP355" s="134">
        <f>VLOOKUP($H355,RoR!$E:$F,2,FALSE)</f>
        <v>7.6225000000000001E-2</v>
      </c>
      <c r="CQ355" s="135">
        <v>2.2568307442433211E-2</v>
      </c>
      <c r="CR355" s="135">
        <f t="shared" ref="CR355:CR375" si="681">+CP355-CQ355</f>
        <v>5.365669255756679E-2</v>
      </c>
      <c r="CS355" s="135"/>
      <c r="CT355" s="135"/>
      <c r="CU355" s="139">
        <f t="shared" si="675"/>
        <v>0.85329623209999994</v>
      </c>
      <c r="CV355" s="335">
        <f t="shared" si="676"/>
        <v>0.67277207323124022</v>
      </c>
      <c r="CW355" s="335">
        <f t="shared" si="677"/>
        <v>0.6470236142997704</v>
      </c>
      <c r="CX355" s="335">
        <f t="shared" si="678"/>
        <v>0.94704866037543145</v>
      </c>
      <c r="CY355" s="335">
        <f t="shared" si="679"/>
        <v>0.41224973107878493</v>
      </c>
      <c r="CZ355" s="336">
        <f>INDEX('State Tax Lookup'!$D$7:$Z$91,MATCH(Calculation!$C355,'State Tax Lookup'!$B$7:$B$91,0),MATCH($H355,'State Tax Lookup'!$D$6:$Z$6,0))</f>
        <v>0.39649667</v>
      </c>
      <c r="DA355" s="303">
        <v>0.37</v>
      </c>
      <c r="DB355" s="57"/>
      <c r="DC355" s="56"/>
      <c r="DD355" s="303">
        <f>VLOOKUP($H355,RoR!$E:$F,2,FALSE)</f>
        <v>7.6225000000000001E-2</v>
      </c>
      <c r="DE355" s="304">
        <f>HLOOKUP($H355,'GDP-PI'!$D$8:$CQ$11,3,FALSE)</f>
        <v>2.2568307442433211E-2</v>
      </c>
      <c r="DF355" s="303">
        <f>VLOOKUP(H355,'HW Dx Data'!$E:$F,2,FALSE)</f>
        <v>346.53371782150339</v>
      </c>
      <c r="DG355" s="89"/>
      <c r="DH355" s="89"/>
      <c r="DI355" s="89"/>
      <c r="DJ355" s="56"/>
      <c r="DK355" s="53">
        <f>HLOOKUP(H355,'GDP-PI'!$8:$9,2,FALSE)</f>
        <v>78.069000000000003</v>
      </c>
      <c r="DL355" s="298"/>
      <c r="EC355"/>
    </row>
    <row r="356" spans="1:133" s="126" customFormat="1" ht="21" customHeight="1" x14ac:dyDescent="0.4">
      <c r="A356" s="233" t="s">
        <v>204</v>
      </c>
      <c r="B356" s="127" t="s">
        <v>204</v>
      </c>
      <c r="C356" s="127">
        <v>4057080</v>
      </c>
      <c r="D356" s="127" t="s">
        <v>194</v>
      </c>
      <c r="E356" s="127" t="s">
        <v>15</v>
      </c>
      <c r="F356" s="127"/>
      <c r="G356" s="127" t="s">
        <v>157</v>
      </c>
      <c r="H356" s="128">
        <v>2001</v>
      </c>
      <c r="I356" s="129"/>
      <c r="J356" s="125"/>
      <c r="K356" s="125"/>
      <c r="L356" s="47"/>
      <c r="M356" s="125"/>
      <c r="N356" s="125"/>
      <c r="O356" s="125"/>
      <c r="P356" s="47"/>
      <c r="Q356" s="47"/>
      <c r="R356" s="386"/>
      <c r="S356" s="119"/>
      <c r="T356" s="47"/>
      <c r="U356" s="47"/>
      <c r="V356" s="125"/>
      <c r="W356" s="125"/>
      <c r="X356" s="125"/>
      <c r="Y356" s="125"/>
      <c r="Z356" s="125"/>
      <c r="AA356" s="125"/>
      <c r="AB356" s="125"/>
      <c r="AC356" s="125">
        <f t="shared" si="669"/>
        <v>67101.280881920175</v>
      </c>
      <c r="AD356" s="129"/>
      <c r="AE356" s="133">
        <v>6757.5007948817502</v>
      </c>
      <c r="AF356" s="134">
        <v>3.5081545841215048E-2</v>
      </c>
      <c r="AG356" s="61"/>
      <c r="AH356" s="134"/>
      <c r="AI356" s="134"/>
      <c r="AJ356" s="129">
        <f t="shared" si="664"/>
        <v>67101.280881920175</v>
      </c>
      <c r="AK356" s="134"/>
      <c r="AL356" s="129"/>
      <c r="AM356" s="129"/>
      <c r="AN356" s="129"/>
      <c r="AO356" s="129"/>
      <c r="AP356" s="133"/>
      <c r="AQ356" s="134"/>
      <c r="AR356" s="93"/>
      <c r="AS356" s="93"/>
      <c r="AT356" s="93"/>
      <c r="AU356" s="93"/>
      <c r="AV356" s="93"/>
      <c r="AW356" s="134"/>
      <c r="AX356" s="62"/>
      <c r="AY356" s="93"/>
      <c r="AZ356" s="93"/>
      <c r="BA356" s="93"/>
      <c r="BB356" s="234">
        <f>IFERROR(INDEX('Total Customers'!$E$7:$AA$91,MATCH($C356,'Total Customers'!$C$7:$C$91,0),MATCH($G356,'Total Customers'!$E$5:$AA$5,0)),"NA")</f>
        <v>1048357</v>
      </c>
      <c r="BC356" s="411">
        <f t="shared" si="622"/>
        <v>0</v>
      </c>
      <c r="BD356" s="92"/>
      <c r="BE356" s="281" t="str">
        <f t="shared" si="618"/>
        <v>CONSOLIDATED EDISON COMPANY OF NEW YORK, INC.</v>
      </c>
      <c r="BF356" s="290">
        <f t="shared" si="619"/>
        <v>4057080</v>
      </c>
      <c r="BG356" s="46" t="str">
        <f t="shared" si="620"/>
        <v>NY</v>
      </c>
      <c r="BH356" s="46"/>
      <c r="BI356" s="46" t="str">
        <f t="shared" si="621"/>
        <v>2001 Y</v>
      </c>
      <c r="BJ356" s="129"/>
      <c r="BK356" s="129"/>
      <c r="BL356" s="129">
        <f>INDEX('Dist. Plant Gas Additions'!$E$7:$AD$91,MATCH($C356,'Dist. Plant Gas Additions'!$C$7:$C$91,0),MATCH(Calculation!$G356,'Dist. Plant Gas Additions'!$E$5:$AD$5,0))</f>
        <v>94152</v>
      </c>
      <c r="BM356" s="129">
        <f>INDEX('Gen. Plant Additions'!$E$7:$AD$91,MATCH($C356,'Gen. Plant Additions'!$C$7:$C$91,0),MATCH(Calculation!$G356,'Gen. Plant Additions'!$E$5:$AD$5,0))</f>
        <v>0</v>
      </c>
      <c r="BN356" s="393">
        <f t="shared" si="670"/>
        <v>1</v>
      </c>
      <c r="BO356" s="46">
        <f t="shared" si="576"/>
        <v>0</v>
      </c>
      <c r="BP356" s="46">
        <f t="shared" si="577"/>
        <v>0</v>
      </c>
      <c r="BQ356" s="129">
        <f>INDEX('Dist Plant Depreciation'!$D$7:$AC$94,MATCH($C356,'Dist Plant Depreciation'!$C$7:$C$94,0),MATCH(Calculation!$G356,'Dist Plant Depreciation'!$D$5:$AC$5,0))</f>
        <v>404890</v>
      </c>
      <c r="BR356" s="129">
        <f>INDEX('Gen. Plant Depreciation'!$D$7:$AC$94,MATCH($C356,'Gen. Plant Depreciation'!$C$7:$C$94,0),MATCH(Calculation!$G356,'Gen. Plant Depreciation'!$D$5:$AC$5,0))</f>
        <v>0</v>
      </c>
      <c r="BS356" s="129"/>
      <c r="BT356" s="129"/>
      <c r="BU356" s="129"/>
      <c r="BV356" s="129"/>
      <c r="BW356" s="129"/>
      <c r="BX356" s="129"/>
      <c r="BY356" s="129">
        <f>INDEX('Gross Dx Plant'!$D$7:$AC$91,MATCH($C356,'Gross Dx Plant'!$C$7:$C$91,0),MATCH(Calculation!$G356,'Gross Dx Plant'!$D$5:$AC$5,0))</f>
        <v>1791455</v>
      </c>
      <c r="BZ356" s="129">
        <f>INDEX('Gross Gen Plant'!$D$7:$AC$91,MATCH($C356,'Gross Gen Plant'!$C$7:$C$91,0),MATCH(Calculation!$G356,'Gross Gen Plant'!$D$5:$AC$5,0))</f>
        <v>0</v>
      </c>
      <c r="CA356" s="129">
        <f t="shared" si="626"/>
        <v>1386565</v>
      </c>
      <c r="CB356" s="129"/>
      <c r="CC356" s="133">
        <v>2001</v>
      </c>
      <c r="CD356" s="129"/>
      <c r="CE356" s="129"/>
      <c r="CF356" s="129"/>
      <c r="CG356" s="137"/>
      <c r="CH356" s="129">
        <f t="shared" si="671"/>
        <v>94152</v>
      </c>
      <c r="CI356" s="46">
        <f t="shared" si="680"/>
        <v>94152</v>
      </c>
      <c r="CJ356" s="46">
        <f t="shared" si="672"/>
        <v>266.38194334168804</v>
      </c>
      <c r="CK356" s="443">
        <v>0.96969696969696972</v>
      </c>
      <c r="CL356" s="46">
        <f>+CL353*CK356+CJ354*CK355+CJ355*CK353+CJ356</f>
        <v>6664.3679544109054</v>
      </c>
      <c r="CM356" s="134">
        <f t="shared" si="673"/>
        <v>3.0650590929500073E-2</v>
      </c>
      <c r="CN356" s="135">
        <f t="shared" si="674"/>
        <v>1.0090023273124325E-2</v>
      </c>
      <c r="CO356" s="135">
        <f>+(CN356+CN355+CN354)/3</f>
        <v>1.0059318810109298E-2</v>
      </c>
      <c r="CP356" s="134">
        <f>VLOOKUP($H356,RoR!$E:$F,2,FALSE)</f>
        <v>7.0824999999999999E-2</v>
      </c>
      <c r="CQ356" s="135">
        <v>2.2454495382290052E-2</v>
      </c>
      <c r="CR356" s="135">
        <f t="shared" si="681"/>
        <v>4.8370504617709947E-2</v>
      </c>
      <c r="CS356" s="135">
        <f>+$CR$2-CO356</f>
        <v>2.0842622798424325E-2</v>
      </c>
      <c r="CT356" s="135">
        <f>+((DF354/DF353-1)+(DF355/DF354-1)+(DF356/DF355-1))/3</f>
        <v>2.3947275901631187E-2</v>
      </c>
      <c r="CU356" s="139">
        <f t="shared" si="675"/>
        <v>0.85329623209999994</v>
      </c>
      <c r="CV356" s="335">
        <f t="shared" si="676"/>
        <v>0.72406708481540816</v>
      </c>
      <c r="CW356" s="335">
        <f t="shared" si="677"/>
        <v>0.62201729615248857</v>
      </c>
      <c r="CX356" s="335">
        <f t="shared" si="678"/>
        <v>0.9352469954311422</v>
      </c>
      <c r="CY356" s="335">
        <f t="shared" si="679"/>
        <v>0.42121864641655071</v>
      </c>
      <c r="CZ356" s="336">
        <f>INDEX('State Tax Lookup'!$D$7:$Z$91,MATCH(Calculation!$C356,'State Tax Lookup'!$B$7:$B$91,0),MATCH($H356,'State Tax Lookup'!$D$6:$Z$6,0))</f>
        <v>0.39649667</v>
      </c>
      <c r="DA356" s="303">
        <v>0.37</v>
      </c>
      <c r="DB356" s="57">
        <f t="shared" ref="DB356:DB377" si="682">+(DF356*CS356-CT356)*CU356/(1-CZ356)</f>
        <v>10.382052614876612</v>
      </c>
      <c r="DC356" s="56"/>
      <c r="DD356" s="303">
        <f>VLOOKUP($H356,RoR!$E:$F,2,FALSE)</f>
        <v>7.0824999999999999E-2</v>
      </c>
      <c r="DE356" s="304">
        <f>HLOOKUP($H356,'GDP-PI'!$D$8:$CQ$11,3,FALSE)</f>
        <v>2.2454495382290052E-2</v>
      </c>
      <c r="DF356" s="303">
        <f>VLOOKUP(H356,'HW Dx Data'!$E:$F,2,FALSE)</f>
        <v>353.44738017483138</v>
      </c>
      <c r="DG356" s="89"/>
      <c r="DH356" s="89"/>
      <c r="DI356" s="89"/>
      <c r="DJ356" s="56"/>
      <c r="DK356" s="53">
        <f>HLOOKUP(H356,'GDP-PI'!$8:$9,2,FALSE)</f>
        <v>79.822000000000003</v>
      </c>
      <c r="DL356" s="298"/>
      <c r="EC356"/>
    </row>
    <row r="357" spans="1:133" s="126" customFormat="1" ht="21" customHeight="1" x14ac:dyDescent="0.4">
      <c r="A357" s="233" t="s">
        <v>204</v>
      </c>
      <c r="B357" s="127" t="s">
        <v>204</v>
      </c>
      <c r="C357" s="127">
        <v>4057080</v>
      </c>
      <c r="D357" s="127" t="s">
        <v>194</v>
      </c>
      <c r="E357" s="127" t="s">
        <v>15</v>
      </c>
      <c r="F357" s="127"/>
      <c r="G357" s="127" t="s">
        <v>158</v>
      </c>
      <c r="H357" s="128">
        <v>2002</v>
      </c>
      <c r="I357" s="129"/>
      <c r="J357" s="125"/>
      <c r="K357" s="125"/>
      <c r="L357" s="47"/>
      <c r="M357" s="125"/>
      <c r="N357" s="125"/>
      <c r="O357" s="125"/>
      <c r="P357" s="47"/>
      <c r="Q357" s="47"/>
      <c r="R357" s="386"/>
      <c r="S357" s="119"/>
      <c r="T357" s="47"/>
      <c r="U357" s="47"/>
      <c r="V357" s="125"/>
      <c r="W357" s="125"/>
      <c r="X357" s="125"/>
      <c r="Y357" s="125"/>
      <c r="Z357" s="125"/>
      <c r="AA357" s="125"/>
      <c r="AB357" s="125"/>
      <c r="AC357" s="125">
        <f t="shared" si="669"/>
        <v>69325.920717882153</v>
      </c>
      <c r="AD357" s="129"/>
      <c r="AE357" s="133">
        <v>7052.4055867723409</v>
      </c>
      <c r="AF357" s="134">
        <v>4.2715659806434852E-2</v>
      </c>
      <c r="AG357" s="61"/>
      <c r="AH357" s="134"/>
      <c r="AI357" s="134"/>
      <c r="AJ357" s="129">
        <f t="shared" si="664"/>
        <v>69325.920717882153</v>
      </c>
      <c r="AK357" s="134"/>
      <c r="AL357" s="129"/>
      <c r="AM357" s="129"/>
      <c r="AN357" s="129"/>
      <c r="AO357" s="129"/>
      <c r="AP357" s="133"/>
      <c r="AQ357" s="134"/>
      <c r="AR357" s="93"/>
      <c r="AS357" s="93"/>
      <c r="AT357" s="93"/>
      <c r="AU357" s="93"/>
      <c r="AV357" s="93"/>
      <c r="AW357" s="134"/>
      <c r="AX357" s="62"/>
      <c r="AY357" s="93"/>
      <c r="AZ357" s="93"/>
      <c r="BA357" s="93"/>
      <c r="BB357" s="234">
        <f>IFERROR(INDEX('Total Customers'!$E$7:$AA$91,MATCH($C357,'Total Customers'!$C$7:$C$91,0),MATCH($G357,'Total Customers'!$E$5:$AA$5,0)),"NA")</f>
        <v>1048776</v>
      </c>
      <c r="BC357" s="411">
        <f t="shared" si="622"/>
        <v>3.9959316416774017E-4</v>
      </c>
      <c r="BD357" s="92"/>
      <c r="BE357" s="281" t="str">
        <f t="shared" si="618"/>
        <v>CONSOLIDATED EDISON COMPANY OF NEW YORK, INC.</v>
      </c>
      <c r="BF357" s="290">
        <f t="shared" si="619"/>
        <v>4057080</v>
      </c>
      <c r="BG357" s="46" t="str">
        <f t="shared" si="620"/>
        <v>NY</v>
      </c>
      <c r="BH357" s="46"/>
      <c r="BI357" s="46" t="str">
        <f t="shared" si="621"/>
        <v>2002 Y</v>
      </c>
      <c r="BJ357" s="129"/>
      <c r="BK357" s="129"/>
      <c r="BL357" s="129">
        <f>INDEX('Dist. Plant Gas Additions'!$E$7:$AD$91,MATCH($C357,'Dist. Plant Gas Additions'!$C$7:$C$91,0),MATCH(Calculation!$G357,'Dist. Plant Gas Additions'!$E$5:$AD$5,0))</f>
        <v>120419</v>
      </c>
      <c r="BM357" s="129">
        <f>INDEX('Gen. Plant Additions'!$E$7:$AD$91,MATCH($C357,'Gen. Plant Additions'!$C$7:$C$91,0),MATCH(Calculation!$G357,'Gen. Plant Additions'!$E$5:$AD$5,0))</f>
        <v>0</v>
      </c>
      <c r="BN357" s="393">
        <f t="shared" si="670"/>
        <v>1</v>
      </c>
      <c r="BO357" s="46">
        <f t="shared" ref="BO357:BO366" si="683">+BN357*BM357</f>
        <v>0</v>
      </c>
      <c r="BP357" s="46">
        <f t="shared" ref="BP357:BP366" si="684">+BO357-BM357</f>
        <v>0</v>
      </c>
      <c r="BQ357" s="129">
        <f>INDEX('Dist Plant Depreciation'!$D$7:$AC$94,MATCH($C357,'Dist Plant Depreciation'!$C$7:$C$94,0),MATCH(Calculation!$G357,'Dist Plant Depreciation'!$D$5:$AC$5,0))</f>
        <v>431102</v>
      </c>
      <c r="BR357" s="129">
        <f>INDEX('Gen. Plant Depreciation'!$D$7:$AC$94,MATCH($C357,'Gen. Plant Depreciation'!$C$7:$C$94,0),MATCH(Calculation!$G357,'Gen. Plant Depreciation'!$D$5:$AC$5,0))</f>
        <v>0</v>
      </c>
      <c r="BS357" s="129"/>
      <c r="BT357" s="129"/>
      <c r="BU357" s="129"/>
      <c r="BV357" s="129"/>
      <c r="BW357" s="129"/>
      <c r="BX357" s="129"/>
      <c r="BY357" s="129">
        <f>INDEX('Gross Dx Plant'!$D$7:$AC$91,MATCH($C357,'Gross Dx Plant'!$C$7:$C$91,0),MATCH(Calculation!$G357,'Gross Dx Plant'!$D$5:$AC$5,0))</f>
        <v>1902805</v>
      </c>
      <c r="BZ357" s="129">
        <f>INDEX('Gross Gen Plant'!$D$7:$AC$91,MATCH($C357,'Gross Gen Plant'!$C$7:$C$91,0),MATCH(Calculation!$G357,'Gross Gen Plant'!$D$5:$AC$5,0))</f>
        <v>0</v>
      </c>
      <c r="CA357" s="129">
        <f t="shared" si="626"/>
        <v>1471703</v>
      </c>
      <c r="CB357" s="129"/>
      <c r="CC357" s="133">
        <v>2002</v>
      </c>
      <c r="CD357" s="129"/>
      <c r="CE357" s="129"/>
      <c r="CF357" s="129"/>
      <c r="CG357" s="137"/>
      <c r="CH357" s="129">
        <f t="shared" si="671"/>
        <v>120419</v>
      </c>
      <c r="CI357" s="46">
        <f t="shared" si="680"/>
        <v>120419</v>
      </c>
      <c r="CJ357" s="46">
        <f t="shared" si="672"/>
        <v>333.24923555471702</v>
      </c>
      <c r="CK357" s="443">
        <v>0.95918367346938771</v>
      </c>
      <c r="CL357" s="46">
        <f>+CL353*CK357+CJ354*CK356+CJ355*CK355+CJ356*CK354+CJ357</f>
        <v>6923.3930154438794</v>
      </c>
      <c r="CM357" s="134">
        <f t="shared" si="673"/>
        <v>3.8130851024810765E-2</v>
      </c>
      <c r="CN357" s="135">
        <f t="shared" si="674"/>
        <v>1.1137466452856447E-2</v>
      </c>
      <c r="CO357" s="135">
        <f t="shared" ref="CO357:CO377" si="685">+(CN357+CN356+CN355)/3</f>
        <v>1.0471477594724781E-2</v>
      </c>
      <c r="CP357" s="134">
        <f>VLOOKUP($H357,RoR!$E:$F,2,FALSE)</f>
        <v>6.4916666666666664E-2</v>
      </c>
      <c r="CQ357" s="135">
        <v>1.5246423291824351E-2</v>
      </c>
      <c r="CR357" s="135">
        <f t="shared" si="681"/>
        <v>4.9670243374842313E-2</v>
      </c>
      <c r="CS357" s="135">
        <f t="shared" ref="CS357:CS377" si="686">+$CR$2-CO357</f>
        <v>2.0430464013808845E-2</v>
      </c>
      <c r="CT357" s="135">
        <f t="shared" ref="CT357:CT377" si="687">+((DF355/DF354-1)+(DF356/DF355-1)+(DF357/DF356-1))/3</f>
        <v>2.5243621214759093E-2</v>
      </c>
      <c r="CU357" s="139">
        <f t="shared" si="675"/>
        <v>0.85329623209999994</v>
      </c>
      <c r="CV357" s="335">
        <f t="shared" si="676"/>
        <v>0.78996741384417901</v>
      </c>
      <c r="CW357" s="335">
        <f t="shared" si="677"/>
        <v>0.58989088575096271</v>
      </c>
      <c r="CX357" s="335">
        <f t="shared" si="678"/>
        <v>0.91920675783645744</v>
      </c>
      <c r="CY357" s="335">
        <f t="shared" si="679"/>
        <v>0.42834536472275586</v>
      </c>
      <c r="CZ357" s="336">
        <f>INDEX('State Tax Lookup'!$D$7:$Z$91,MATCH(Calculation!$C357,'State Tax Lookup'!$B$7:$B$91,0),MATCH($H357,'State Tax Lookup'!$D$6:$Z$6,0))</f>
        <v>0.39649667</v>
      </c>
      <c r="DA357" s="303">
        <v>0.37</v>
      </c>
      <c r="DB357" s="57">
        <f t="shared" si="682"/>
        <v>10.402474952181747</v>
      </c>
      <c r="DC357" s="56">
        <f t="shared" ref="DC357:DC377" si="688">LN(DB357/DB356)</f>
        <v>1.9651487205095651E-3</v>
      </c>
      <c r="DD357" s="303">
        <f>VLOOKUP($H357,RoR!$E:$F,2,FALSE)</f>
        <v>6.4916666666666664E-2</v>
      </c>
      <c r="DE357" s="304">
        <f>HLOOKUP($H357,'GDP-PI'!$D$8:$CQ$11,3,FALSE)</f>
        <v>1.5246423291824351E-2</v>
      </c>
      <c r="DF357" s="303">
        <f>VLOOKUP(H357,'HW Dx Data'!$E:$F,2,FALSE)</f>
        <v>361.34816573413599</v>
      </c>
      <c r="DG357" s="89"/>
      <c r="DH357" s="89"/>
      <c r="DI357" s="89"/>
      <c r="DJ357" s="56"/>
      <c r="DK357" s="53">
        <f>HLOOKUP(H357,'GDP-PI'!$8:$9,2,FALSE)</f>
        <v>81.039000000000001</v>
      </c>
      <c r="DL357" s="355">
        <f>LN(DK357/DK356)</f>
        <v>1.513136459537477E-2</v>
      </c>
      <c r="EC357"/>
    </row>
    <row r="358" spans="1:133" s="126" customFormat="1" ht="21" customHeight="1" x14ac:dyDescent="0.4">
      <c r="A358" s="233" t="s">
        <v>204</v>
      </c>
      <c r="B358" s="127" t="s">
        <v>204</v>
      </c>
      <c r="C358" s="127">
        <v>4057080</v>
      </c>
      <c r="D358" s="127" t="s">
        <v>194</v>
      </c>
      <c r="E358" s="127" t="s">
        <v>15</v>
      </c>
      <c r="F358" s="127"/>
      <c r="G358" s="127" t="s">
        <v>159</v>
      </c>
      <c r="H358" s="128">
        <v>2003</v>
      </c>
      <c r="I358" s="129"/>
      <c r="J358" s="125"/>
      <c r="K358" s="125"/>
      <c r="L358" s="47"/>
      <c r="M358" s="125"/>
      <c r="N358" s="125"/>
      <c r="O358" s="125"/>
      <c r="P358" s="59"/>
      <c r="Q358" s="59"/>
      <c r="R358" s="386"/>
      <c r="S358" s="119"/>
      <c r="T358" s="59"/>
      <c r="U358" s="59"/>
      <c r="V358" s="125"/>
      <c r="W358" s="125"/>
      <c r="X358" s="125"/>
      <c r="Y358" s="125"/>
      <c r="Z358" s="125"/>
      <c r="AA358" s="125"/>
      <c r="AB358" s="125"/>
      <c r="AC358" s="125">
        <f t="shared" si="669"/>
        <v>72595.483803221141</v>
      </c>
      <c r="AD358" s="129"/>
      <c r="AE358" s="133">
        <v>7386.4240086070986</v>
      </c>
      <c r="AF358" s="134">
        <v>4.6274945246581538E-2</v>
      </c>
      <c r="AG358" s="61"/>
      <c r="AH358" s="134"/>
      <c r="AI358" s="134"/>
      <c r="AJ358" s="129">
        <f t="shared" si="664"/>
        <v>72595.483803221141</v>
      </c>
      <c r="AK358" s="134"/>
      <c r="AL358" s="129"/>
      <c r="AM358" s="129"/>
      <c r="AN358" s="129"/>
      <c r="AO358" s="129"/>
      <c r="AP358" s="133"/>
      <c r="AQ358" s="134"/>
      <c r="AR358" s="93"/>
      <c r="AS358" s="93"/>
      <c r="AT358" s="93"/>
      <c r="AU358" s="93"/>
      <c r="AV358" s="93"/>
      <c r="AW358" s="134"/>
      <c r="AX358" s="62"/>
      <c r="AY358" s="93"/>
      <c r="AZ358" s="93"/>
      <c r="BA358" s="93"/>
      <c r="BB358" s="234">
        <f>IFERROR(INDEX('Total Customers'!$E$7:$AA$91,MATCH($C358,'Total Customers'!$C$7:$C$91,0),MATCH($G358,'Total Customers'!$E$5:$AA$5,0)),"NA")</f>
        <v>1051147</v>
      </c>
      <c r="BC358" s="411">
        <f t="shared" si="622"/>
        <v>2.2581789975640865E-3</v>
      </c>
      <c r="BD358" s="92"/>
      <c r="BE358" s="281" t="str">
        <f t="shared" si="618"/>
        <v>CONSOLIDATED EDISON COMPANY OF NEW YORK, INC.</v>
      </c>
      <c r="BF358" s="290">
        <f t="shared" si="619"/>
        <v>4057080</v>
      </c>
      <c r="BG358" s="46" t="str">
        <f t="shared" si="620"/>
        <v>NY</v>
      </c>
      <c r="BH358" s="46"/>
      <c r="BI358" s="46" t="str">
        <f t="shared" si="621"/>
        <v>2003 Y</v>
      </c>
      <c r="BJ358" s="129"/>
      <c r="BK358" s="129"/>
      <c r="BL358" s="129">
        <f>INDEX('Dist. Plant Gas Additions'!$E$7:$AD$91,MATCH($C358,'Dist. Plant Gas Additions'!$C$7:$C$91,0),MATCH(Calculation!$G358,'Dist. Plant Gas Additions'!$E$5:$AD$5,0))</f>
        <v>138071</v>
      </c>
      <c r="BM358" s="129">
        <f>INDEX('Gen. Plant Additions'!$E$7:$AD$91,MATCH($C358,'Gen. Plant Additions'!$C$7:$C$91,0),MATCH(Calculation!$G358,'Gen. Plant Additions'!$E$5:$AD$5,0))</f>
        <v>0</v>
      </c>
      <c r="BN358" s="393">
        <f t="shared" si="670"/>
        <v>1</v>
      </c>
      <c r="BO358" s="46">
        <f t="shared" si="683"/>
        <v>0</v>
      </c>
      <c r="BP358" s="46">
        <f t="shared" si="684"/>
        <v>0</v>
      </c>
      <c r="BQ358" s="129">
        <f>INDEX('Dist Plant Depreciation'!$D$7:$AC$94,MATCH($C358,'Dist Plant Depreciation'!$C$7:$C$94,0),MATCH(Calculation!$G358,'Dist Plant Depreciation'!$D$5:$AC$5,0))</f>
        <v>462602</v>
      </c>
      <c r="BR358" s="129">
        <f>INDEX('Gen. Plant Depreciation'!$D$7:$AC$94,MATCH($C358,'Gen. Plant Depreciation'!$C$7:$C$94,0),MATCH(Calculation!$G358,'Gen. Plant Depreciation'!$D$5:$AC$5,0))</f>
        <v>0</v>
      </c>
      <c r="BS358" s="129"/>
      <c r="BT358" s="129"/>
      <c r="BU358" s="129"/>
      <c r="BV358" s="129"/>
      <c r="BW358" s="129"/>
      <c r="BX358" s="129"/>
      <c r="BY358" s="129">
        <f>INDEX('Gross Dx Plant'!$D$7:$AC$91,MATCH($C358,'Gross Dx Plant'!$C$7:$C$91,0),MATCH(Calculation!$G358,'Gross Dx Plant'!$D$5:$AC$5,0))</f>
        <v>2030145</v>
      </c>
      <c r="BZ358" s="129">
        <f>INDEX('Gross Gen Plant'!$D$7:$AC$91,MATCH($C358,'Gross Gen Plant'!$C$7:$C$91,0),MATCH(Calculation!$G358,'Gross Gen Plant'!$D$5:$AC$5,0))</f>
        <v>0</v>
      </c>
      <c r="CA358" s="129">
        <f t="shared" si="626"/>
        <v>1567543</v>
      </c>
      <c r="CB358" s="129"/>
      <c r="CC358" s="133">
        <v>2003</v>
      </c>
      <c r="CD358" s="129"/>
      <c r="CE358" s="129"/>
      <c r="CF358" s="129"/>
      <c r="CG358" s="137"/>
      <c r="CH358" s="129">
        <f t="shared" si="671"/>
        <v>138071</v>
      </c>
      <c r="CI358" s="46">
        <f t="shared" si="680"/>
        <v>138071</v>
      </c>
      <c r="CJ358" s="46">
        <f t="shared" si="672"/>
        <v>373.94002135037221</v>
      </c>
      <c r="CK358" s="443">
        <v>0.94845360824742264</v>
      </c>
      <c r="CL358" s="46">
        <f>+CL353*CK358+CJ354*CK357+CJ355*CK356+CJ356*CK355+CJ357*CK354+CJ358</f>
        <v>7220.8300470890681</v>
      </c>
      <c r="CM358" s="134">
        <f t="shared" si="673"/>
        <v>4.206394165477273E-2</v>
      </c>
      <c r="CN358" s="135">
        <f t="shared" si="674"/>
        <v>1.1049927331083157E-2</v>
      </c>
      <c r="CO358" s="135">
        <f t="shared" si="685"/>
        <v>1.0759139019021308E-2</v>
      </c>
      <c r="CP358" s="134">
        <f>VLOOKUP($H358,RoR!$E:$F,2,FALSE)</f>
        <v>5.6666666666666671E-2</v>
      </c>
      <c r="CQ358" s="135">
        <v>1.8855119140166909E-2</v>
      </c>
      <c r="CR358" s="135">
        <f t="shared" si="681"/>
        <v>3.7811547526499761E-2</v>
      </c>
      <c r="CS358" s="135">
        <f t="shared" si="686"/>
        <v>2.0142802589512315E-2</v>
      </c>
      <c r="CT358" s="135">
        <f t="shared" si="687"/>
        <v>2.1375012817671957E-2</v>
      </c>
      <c r="CU358" s="139">
        <f t="shared" si="675"/>
        <v>0.85329623209999994</v>
      </c>
      <c r="CV358" s="335">
        <f t="shared" si="676"/>
        <v>0.90497737556561086</v>
      </c>
      <c r="CW358" s="335">
        <f t="shared" si="677"/>
        <v>0.5338235294117647</v>
      </c>
      <c r="CX358" s="335">
        <f t="shared" si="678"/>
        <v>0.88972433127405692</v>
      </c>
      <c r="CY358" s="335">
        <f t="shared" si="679"/>
        <v>0.42982423775949252</v>
      </c>
      <c r="CZ358" s="336">
        <f>INDEX('State Tax Lookup'!$D$7:$Z$91,MATCH(Calculation!$C358,'State Tax Lookup'!$B$7:$B$91,0),MATCH($H358,'State Tax Lookup'!$D$6:$Z$6,0))</f>
        <v>0.39649667</v>
      </c>
      <c r="DA358" s="303">
        <v>0.37</v>
      </c>
      <c r="DB358" s="57">
        <f t="shared" si="682"/>
        <v>10.485535580788754</v>
      </c>
      <c r="DC358" s="56">
        <f t="shared" si="688"/>
        <v>7.9529897090470387E-3</v>
      </c>
      <c r="DD358" s="303">
        <f>VLOOKUP($H358,RoR!$E:$F,2,FALSE)</f>
        <v>5.6666666666666671E-2</v>
      </c>
      <c r="DE358" s="304">
        <f>HLOOKUP($H358,'GDP-PI'!$D$8:$CQ$11,3,FALSE)</f>
        <v>1.8855119140166909E-2</v>
      </c>
      <c r="DF358" s="303">
        <f>VLOOKUP(H358,'HW Dx Data'!$E:$F,2,FALSE)</f>
        <v>369.23301095560191</v>
      </c>
      <c r="DG358" s="89">
        <f ca="1">VLOOKUP(CC358,'ECI - Input Price'!M$13:N$33,2,FALSE)</f>
        <v>89.25</v>
      </c>
      <c r="DH358" s="89"/>
      <c r="DI358" s="89"/>
      <c r="DJ358" s="56"/>
      <c r="DK358" s="53">
        <f>HLOOKUP(H358,'GDP-PI'!$8:$9,2,FALSE)</f>
        <v>82.566999999999993</v>
      </c>
      <c r="DL358" s="355">
        <f t="shared" ref="DL358:DL377" si="689">LN(DK358/DK357)</f>
        <v>1.8679564681853753E-2</v>
      </c>
      <c r="EC358"/>
    </row>
    <row r="359" spans="1:133" s="126" customFormat="1" ht="21" customHeight="1" x14ac:dyDescent="0.4">
      <c r="A359" s="233" t="s">
        <v>204</v>
      </c>
      <c r="B359" s="127" t="s">
        <v>204</v>
      </c>
      <c r="C359" s="127">
        <v>4057080</v>
      </c>
      <c r="D359" s="127" t="s">
        <v>194</v>
      </c>
      <c r="E359" s="127" t="s">
        <v>15</v>
      </c>
      <c r="F359" s="127"/>
      <c r="G359" s="127" t="s">
        <v>160</v>
      </c>
      <c r="H359" s="128">
        <v>2004</v>
      </c>
      <c r="I359" s="129"/>
      <c r="J359" s="125">
        <f>IFERROR(INDEX('Labor Expenditures'!$E$7:$W$91,MATCH($C359,'Labor Expenditures'!$C$7:$C$91,0),MATCH($G359,'Labor Expenditures'!$E$5:$W$5,0)),"NA")</f>
        <v>61522.071778329351</v>
      </c>
      <c r="K359" s="125">
        <f t="shared" ref="K359:K377" ca="1" si="690">+J359/DG359</f>
        <v>652.06223400455065</v>
      </c>
      <c r="L359" s="47"/>
      <c r="M359" s="131"/>
      <c r="N359" s="131"/>
      <c r="O359" s="131"/>
      <c r="P359" s="59"/>
      <c r="Q359" s="59"/>
      <c r="R359" s="386"/>
      <c r="S359" s="119"/>
      <c r="T359" s="59"/>
      <c r="U359" s="59"/>
      <c r="V359" s="125">
        <f>IFERROR(INDEX('Non-Labor Expenditures'!$E$7:$AA$91,MATCH($C359,'Non-Labor Expenditures'!$C$7:$C$91,0),MATCH($G359,'Non-Labor Expenditures'!$E$5:$AA$5,0)),"NA")</f>
        <v>89095.450673002488</v>
      </c>
      <c r="W359" s="125">
        <f t="shared" ref="W359:W377" si="691">+V359/DK359</f>
        <v>1050.9265454835274</v>
      </c>
      <c r="X359" s="125"/>
      <c r="Y359" s="125"/>
      <c r="Z359" s="125"/>
      <c r="AA359" s="125"/>
      <c r="AB359" s="125"/>
      <c r="AC359" s="125">
        <f t="shared" si="669"/>
        <v>83003.068093754788</v>
      </c>
      <c r="AD359" s="129"/>
      <c r="AE359" s="133">
        <v>7685.6787468780412</v>
      </c>
      <c r="AF359" s="134">
        <v>3.9714972238549168E-2</v>
      </c>
      <c r="AG359" s="59">
        <f t="shared" ref="AG359:AG377" si="692">+AF359*$AX359</f>
        <v>0</v>
      </c>
      <c r="AH359" s="134"/>
      <c r="AI359" s="134"/>
      <c r="AJ359" s="129">
        <f t="shared" si="664"/>
        <v>233620.59054508663</v>
      </c>
      <c r="AK359" s="134"/>
      <c r="AL359" s="129"/>
      <c r="AM359" s="129"/>
      <c r="AN359" s="129"/>
      <c r="AO359" s="129"/>
      <c r="AP359" s="133"/>
      <c r="AQ359" s="134"/>
      <c r="AR359" s="93">
        <f t="shared" ref="AR359:AR377" si="693">+J359/AJ359</f>
        <v>0.26334182117588711</v>
      </c>
      <c r="AS359" s="93">
        <f t="shared" ref="AS359:AS377" si="694">+V359/AJ359</f>
        <v>0.38136814253026163</v>
      </c>
      <c r="AT359" s="93">
        <f t="shared" ref="AT359:AT377" si="695">+AC359/AJ359</f>
        <v>0.35529003629385125</v>
      </c>
      <c r="AU359" s="93"/>
      <c r="AV359" s="93"/>
      <c r="AW359" s="134"/>
      <c r="AX359" s="62"/>
      <c r="AY359" s="93"/>
      <c r="AZ359" s="93"/>
      <c r="BA359" s="93"/>
      <c r="BB359" s="234">
        <f>IFERROR(INDEX('Total Customers'!$E$7:$AA$91,MATCH($C359,'Total Customers'!$C$7:$C$91,0),MATCH($G359,'Total Customers'!$E$5:$AA$5,0)),"NA")</f>
        <v>1041458</v>
      </c>
      <c r="BC359" s="411">
        <f t="shared" si="622"/>
        <v>-9.2602944543719538E-3</v>
      </c>
      <c r="BD359" s="92"/>
      <c r="BE359" s="281" t="str">
        <f t="shared" si="618"/>
        <v>CONSOLIDATED EDISON COMPANY OF NEW YORK, INC.</v>
      </c>
      <c r="BF359" s="290">
        <f t="shared" si="619"/>
        <v>4057080</v>
      </c>
      <c r="BG359" s="46" t="str">
        <f t="shared" si="620"/>
        <v>NY</v>
      </c>
      <c r="BH359" s="46"/>
      <c r="BI359" s="46" t="str">
        <f t="shared" si="621"/>
        <v>2004 Y</v>
      </c>
      <c r="BJ359" s="129"/>
      <c r="BK359" s="129"/>
      <c r="BL359" s="129">
        <f>INDEX('Dist. Plant Gas Additions'!$E$7:$AD$91,MATCH($C359,'Dist. Plant Gas Additions'!$C$7:$C$91,0),MATCH(Calculation!$G359,'Dist. Plant Gas Additions'!$E$5:$AD$5,0))</f>
        <v>142023</v>
      </c>
      <c r="BM359" s="129">
        <f>INDEX('Gen. Plant Additions'!$E$7:$AD$91,MATCH($C359,'Gen. Plant Additions'!$C$7:$C$91,0),MATCH(Calculation!$G359,'Gen. Plant Additions'!$E$5:$AD$5,0))</f>
        <v>0</v>
      </c>
      <c r="BN359" s="393">
        <f t="shared" si="670"/>
        <v>1</v>
      </c>
      <c r="BO359" s="46">
        <f t="shared" si="683"/>
        <v>0</v>
      </c>
      <c r="BP359" s="46">
        <f t="shared" si="684"/>
        <v>0</v>
      </c>
      <c r="BQ359" s="129">
        <f>INDEX('Dist Plant Depreciation'!$D$7:$AC$94,MATCH($C359,'Dist Plant Depreciation'!$C$7:$C$94,0),MATCH(Calculation!$G359,'Dist Plant Depreciation'!$D$5:$AC$5,0))</f>
        <v>500384</v>
      </c>
      <c r="BR359" s="129">
        <f>INDEX('Gen. Plant Depreciation'!$D$7:$AC$94,MATCH($C359,'Gen. Plant Depreciation'!$C$7:$C$94,0),MATCH(Calculation!$G359,'Gen. Plant Depreciation'!$D$5:$AC$5,0))</f>
        <v>0</v>
      </c>
      <c r="BS359" s="129"/>
      <c r="BT359" s="129"/>
      <c r="BU359" s="129"/>
      <c r="BV359" s="129"/>
      <c r="BW359" s="129"/>
      <c r="BX359" s="129"/>
      <c r="BY359" s="129">
        <f>INDEX('Gross Dx Plant'!$D$7:$AC$91,MATCH($C359,'Gross Dx Plant'!$C$7:$C$91,0),MATCH(Calculation!$G359,'Gross Dx Plant'!$D$5:$AC$5,0))</f>
        <v>2162736</v>
      </c>
      <c r="BZ359" s="129">
        <f>INDEX('Gross Gen Plant'!$D$7:$AC$91,MATCH($C359,'Gross Gen Plant'!$C$7:$C$91,0),MATCH(Calculation!$G359,'Gross Gen Plant'!$D$5:$AC$5,0))</f>
        <v>0</v>
      </c>
      <c r="CA359" s="129">
        <f t="shared" si="626"/>
        <v>1662352</v>
      </c>
      <c r="CB359" s="129"/>
      <c r="CC359" s="133">
        <v>2004</v>
      </c>
      <c r="CD359" s="129"/>
      <c r="CE359" s="129"/>
      <c r="CF359" s="129"/>
      <c r="CG359" s="137"/>
      <c r="CH359" s="129">
        <f t="shared" si="671"/>
        <v>142023</v>
      </c>
      <c r="CI359" s="46">
        <f t="shared" si="680"/>
        <v>142023</v>
      </c>
      <c r="CJ359" s="46">
        <f t="shared" si="672"/>
        <v>342.31714779405485</v>
      </c>
      <c r="CK359" s="443">
        <v>0.9375</v>
      </c>
      <c r="CL359" s="46">
        <f>+CL353*CK359+CJ354*CK358+CJ355*CK357+CJ356*CK356+CJ357*CK355+CJ358*CK354+CJ359</f>
        <v>7481.354187559401</v>
      </c>
      <c r="CM359" s="134">
        <f t="shared" si="673"/>
        <v>3.5443905450433258E-2</v>
      </c>
      <c r="CN359" s="135">
        <f t="shared" si="674"/>
        <v>1.1327369123816334E-2</v>
      </c>
      <c r="CO359" s="135">
        <f t="shared" si="685"/>
        <v>1.1171587635918646E-2</v>
      </c>
      <c r="CP359" s="134">
        <f>VLOOKUP($H359,RoR!$E:$F,2,FALSE)</f>
        <v>5.6283333333333331E-2</v>
      </c>
      <c r="CQ359" s="135">
        <v>2.6778252812867276E-2</v>
      </c>
      <c r="CR359" s="135">
        <f t="shared" si="681"/>
        <v>2.9505080520466055E-2</v>
      </c>
      <c r="CS359" s="135">
        <f t="shared" si="686"/>
        <v>1.9730353972614981E-2</v>
      </c>
      <c r="CT359" s="135">
        <f t="shared" si="687"/>
        <v>5.5940039414565046E-2</v>
      </c>
      <c r="CU359" s="139">
        <f t="shared" si="675"/>
        <v>0.85329623209999994</v>
      </c>
      <c r="CV359" s="335">
        <f t="shared" si="676"/>
        <v>0.91114097628755619</v>
      </c>
      <c r="CW359" s="335">
        <f t="shared" si="677"/>
        <v>0.53081877405981637</v>
      </c>
      <c r="CX359" s="335">
        <f t="shared" si="678"/>
        <v>0.88811215519385678</v>
      </c>
      <c r="CY359" s="335">
        <f t="shared" si="679"/>
        <v>0.42953609753547711</v>
      </c>
      <c r="CZ359" s="336">
        <f>INDEX('State Tax Lookup'!$D$7:$Z$91,MATCH(Calculation!$C359,'State Tax Lookup'!$B$7:$B$91,0),MATCH($H359,'State Tax Lookup'!$D$6:$Z$6,0))</f>
        <v>0.39649667</v>
      </c>
      <c r="DA359" s="303">
        <v>0.37</v>
      </c>
      <c r="DB359" s="57">
        <f t="shared" si="682"/>
        <v>11.494948302683817</v>
      </c>
      <c r="DC359" s="56">
        <f t="shared" si="688"/>
        <v>9.1910917114994647E-2</v>
      </c>
      <c r="DD359" s="303">
        <f>VLOOKUP($H359,RoR!$E:$F,2,FALSE)</f>
        <v>5.6283333333333331E-2</v>
      </c>
      <c r="DE359" s="304">
        <f>HLOOKUP($H359,'GDP-PI'!$D$8:$CQ$11,3,FALSE)</f>
        <v>2.6778252812867276E-2</v>
      </c>
      <c r="DF359" s="303">
        <f>VLOOKUP(H359,'HW Dx Data'!$E:$F,2,FALSE)</f>
        <v>414.88719135228365</v>
      </c>
      <c r="DG359" s="89">
        <f ca="1">VLOOKUP(CC359,'ECI - Input Price'!M$13:N$33,2,FALSE)</f>
        <v>94.35</v>
      </c>
      <c r="DH359" s="89"/>
      <c r="DI359" s="89"/>
      <c r="DJ359" s="56">
        <f t="shared" ref="DJ359:DJ377" ca="1" si="696">LN(DG359/DG358)</f>
        <v>5.5569851154810786E-2</v>
      </c>
      <c r="DK359" s="53">
        <f>HLOOKUP(H359,'GDP-PI'!$8:$9,2,FALSE)</f>
        <v>84.778000000000006</v>
      </c>
      <c r="DL359" s="355">
        <f t="shared" si="689"/>
        <v>2.6425990216022755E-2</v>
      </c>
      <c r="EC359"/>
    </row>
    <row r="360" spans="1:133" s="126" customFormat="1" ht="21" customHeight="1" x14ac:dyDescent="0.4">
      <c r="A360" s="233" t="s">
        <v>204</v>
      </c>
      <c r="B360" s="127" t="s">
        <v>204</v>
      </c>
      <c r="C360" s="127">
        <v>4057080</v>
      </c>
      <c r="D360" s="127" t="s">
        <v>194</v>
      </c>
      <c r="E360" s="127" t="s">
        <v>15</v>
      </c>
      <c r="F360" s="127"/>
      <c r="G360" s="127" t="s">
        <v>161</v>
      </c>
      <c r="H360" s="128">
        <v>2005</v>
      </c>
      <c r="I360" s="129"/>
      <c r="J360" s="125">
        <f>IFERROR(INDEX('Labor Expenditures'!$E$7:$W$91,MATCH($C360,'Labor Expenditures'!$C$7:$C$91,0),MATCH($G360,'Labor Expenditures'!$E$5:$W$5,0)),"NA")</f>
        <v>68711.047060469995</v>
      </c>
      <c r="K360" s="125">
        <f t="shared" ca="1" si="690"/>
        <v>692.47716866182918</v>
      </c>
      <c r="L360" s="47"/>
      <c r="M360" s="131">
        <f t="shared" ref="M360:M376" ca="1" si="697">LN(K360/K359)</f>
        <v>6.0135259777859704E-2</v>
      </c>
      <c r="N360" s="131"/>
      <c r="O360" s="131"/>
      <c r="P360" s="59"/>
      <c r="Q360" s="61"/>
      <c r="R360" s="387"/>
      <c r="S360" s="49">
        <v>100</v>
      </c>
      <c r="T360" s="46"/>
      <c r="U360" s="46"/>
      <c r="V360" s="125">
        <f>IFERROR(INDEX('Non-Labor Expenditures'!$E$7:$AA$91,MATCH($C360,'Non-Labor Expenditures'!$C$7:$C$91,0),MATCH($G360,'Non-Labor Expenditures'!$E$5:$AA$5,0)),"NA")</f>
        <v>99506.429596911374</v>
      </c>
      <c r="W360" s="125">
        <f t="shared" si="691"/>
        <v>1138.4263227992194</v>
      </c>
      <c r="X360" s="131">
        <f>LN(W360/W359)</f>
        <v>7.9974690821695837E-2</v>
      </c>
      <c r="Y360" s="131"/>
      <c r="Z360" s="131"/>
      <c r="AA360" s="131"/>
      <c r="AB360" s="131"/>
      <c r="AC360" s="125">
        <f t="shared" si="669"/>
        <v>96161.869517111889</v>
      </c>
      <c r="AD360" s="129"/>
      <c r="AE360" s="133">
        <v>7938.9244755827076</v>
      </c>
      <c r="AF360" s="134">
        <v>3.241911551867406E-2</v>
      </c>
      <c r="AG360" s="59">
        <f t="shared" si="692"/>
        <v>0</v>
      </c>
      <c r="AH360" s="134"/>
      <c r="AI360" s="134"/>
      <c r="AJ360" s="129">
        <f t="shared" si="664"/>
        <v>264379.34617449326</v>
      </c>
      <c r="AK360" s="134">
        <f>LN(AJ360/AJ359)</f>
        <v>0.12368659756983973</v>
      </c>
      <c r="AL360" s="129"/>
      <c r="AM360" s="129"/>
      <c r="AN360" s="129"/>
      <c r="AO360" s="129"/>
      <c r="AP360" s="133"/>
      <c r="AQ360" s="134"/>
      <c r="AR360" s="93">
        <f t="shared" si="693"/>
        <v>0.25989566906304379</v>
      </c>
      <c r="AS360" s="93">
        <f t="shared" si="694"/>
        <v>0.37637747061843491</v>
      </c>
      <c r="AT360" s="93">
        <f t="shared" si="695"/>
        <v>0.36372686031852125</v>
      </c>
      <c r="AU360" s="93">
        <f t="shared" ref="AU360:AU376" ca="1" si="698">+(((AR360+AR359)/2)*M360+((AS359+AS360)/2)*X360+((AT359+AT360)/2)*AF360)</f>
        <v>5.7687692682625913E-2</v>
      </c>
      <c r="AV360" s="132">
        <v>100</v>
      </c>
      <c r="AW360" s="134"/>
      <c r="AX360" s="15"/>
      <c r="AY360" s="93"/>
      <c r="AZ360" s="93"/>
      <c r="BA360" s="93"/>
      <c r="BB360" s="234">
        <f>IFERROR(INDEX('Total Customers'!$E$7:$AA$91,MATCH($C360,'Total Customers'!$C$7:$C$91,0),MATCH($G360,'Total Customers'!$E$5:$AA$5,0)),"NA")</f>
        <v>1054926</v>
      </c>
      <c r="BC360" s="411">
        <f t="shared" si="622"/>
        <v>1.2848967834333152E-2</v>
      </c>
      <c r="BD360" s="92"/>
      <c r="BE360" s="281" t="str">
        <f t="shared" si="618"/>
        <v>CONSOLIDATED EDISON COMPANY OF NEW YORK, INC.</v>
      </c>
      <c r="BF360" s="290">
        <f t="shared" si="619"/>
        <v>4057080</v>
      </c>
      <c r="BG360" s="46" t="str">
        <f t="shared" si="620"/>
        <v>NY</v>
      </c>
      <c r="BH360" s="46"/>
      <c r="BI360" s="46" t="str">
        <f t="shared" si="621"/>
        <v>2005 Y</v>
      </c>
      <c r="BJ360" s="129"/>
      <c r="BK360" s="129"/>
      <c r="BL360" s="129">
        <f>INDEX('Dist. Plant Gas Additions'!$E$7:$AD$91,MATCH($C360,'Dist. Plant Gas Additions'!$C$7:$C$91,0),MATCH(Calculation!$G360,'Dist. Plant Gas Additions'!$E$5:$AD$5,0))</f>
        <v>140485</v>
      </c>
      <c r="BM360" s="129">
        <f>INDEX('Gen. Plant Additions'!$E$7:$AD$91,MATCH($C360,'Gen. Plant Additions'!$C$7:$C$91,0),MATCH(Calculation!$G360,'Gen. Plant Additions'!$E$5:$AD$5,0))</f>
        <v>0</v>
      </c>
      <c r="BN360" s="393">
        <f t="shared" si="670"/>
        <v>1</v>
      </c>
      <c r="BO360" s="46">
        <f t="shared" si="683"/>
        <v>0</v>
      </c>
      <c r="BP360" s="46">
        <f t="shared" si="684"/>
        <v>0</v>
      </c>
      <c r="BQ360" s="129">
        <f>INDEX('Dist Plant Depreciation'!$D$7:$AC$94,MATCH($C360,'Dist Plant Depreciation'!$C$7:$C$94,0),MATCH(Calculation!$G360,'Dist Plant Depreciation'!$D$5:$AC$5,0))</f>
        <v>537924</v>
      </c>
      <c r="BR360" s="129">
        <f>INDEX('Gen. Plant Depreciation'!$D$7:$AC$94,MATCH($C360,'Gen. Plant Depreciation'!$C$7:$C$94,0),MATCH(Calculation!$G360,'Gen. Plant Depreciation'!$D$5:$AC$5,0))</f>
        <v>0</v>
      </c>
      <c r="BS360" s="129"/>
      <c r="BT360" s="129"/>
      <c r="BU360" s="129"/>
      <c r="BV360" s="129"/>
      <c r="BW360" s="129"/>
      <c r="BX360" s="129"/>
      <c r="BY360" s="129">
        <f>INDEX('Gross Dx Plant'!$D$7:$AC$91,MATCH($C360,'Gross Dx Plant'!$C$7:$C$91,0),MATCH(Calculation!$G360,'Gross Dx Plant'!$D$5:$AC$5,0))</f>
        <v>2292855</v>
      </c>
      <c r="BZ360" s="129">
        <f>INDEX('Gross Gen Plant'!$D$7:$AC$91,MATCH($C360,'Gross Gen Plant'!$C$7:$C$91,0),MATCH(Calculation!$G360,'Gross Gen Plant'!$D$5:$AC$5,0))</f>
        <v>0</v>
      </c>
      <c r="CA360" s="129">
        <f t="shared" si="626"/>
        <v>1754931</v>
      </c>
      <c r="CB360" s="129"/>
      <c r="CC360" s="133">
        <v>2005</v>
      </c>
      <c r="CD360" s="129"/>
      <c r="CE360" s="129"/>
      <c r="CF360" s="129"/>
      <c r="CG360" s="137"/>
      <c r="CH360" s="129">
        <f t="shared" si="671"/>
        <v>140485</v>
      </c>
      <c r="CI360" s="46">
        <f t="shared" si="680"/>
        <v>140485</v>
      </c>
      <c r="CJ360" s="46">
        <f t="shared" si="672"/>
        <v>299.41061578182439</v>
      </c>
      <c r="CK360" s="443">
        <v>0.9263157894736842</v>
      </c>
      <c r="CL360" s="46">
        <f>+CL353*CK360+CJ354*CK359+CJ355*CK358+CJ356*CK357+CJ357*CK356+CJ358*CK355+CJ359*CK354+CJ360</f>
        <v>7693.8708833830997</v>
      </c>
      <c r="CM360" s="134">
        <f t="shared" si="673"/>
        <v>2.8010206003031536E-2</v>
      </c>
      <c r="CN360" s="135">
        <f t="shared" si="674"/>
        <v>1.1614731475034282E-2</v>
      </c>
      <c r="CO360" s="135">
        <f t="shared" si="685"/>
        <v>1.133067597664459E-2</v>
      </c>
      <c r="CP360" s="134">
        <f>VLOOKUP($H360,RoR!$E:$F,2,FALSE)</f>
        <v>5.2350000000000001E-2</v>
      </c>
      <c r="CQ360" s="135">
        <v>3.1010403642454332E-2</v>
      </c>
      <c r="CR360" s="135">
        <f t="shared" si="681"/>
        <v>2.1339596357545669E-2</v>
      </c>
      <c r="CS360" s="135">
        <f t="shared" si="686"/>
        <v>1.9571265631889035E-2</v>
      </c>
      <c r="CT360" s="135">
        <f t="shared" si="687"/>
        <v>9.2129610649277341E-2</v>
      </c>
      <c r="CU360" s="139">
        <f t="shared" si="675"/>
        <v>0.85329623209999994</v>
      </c>
      <c r="CV360" s="335">
        <f t="shared" si="676"/>
        <v>0.97959983346802826</v>
      </c>
      <c r="CW360" s="335">
        <f t="shared" si="677"/>
        <v>0.49744508118433622</v>
      </c>
      <c r="CX360" s="335">
        <f t="shared" si="678"/>
        <v>0.87010519444335932</v>
      </c>
      <c r="CY360" s="335">
        <f t="shared" si="679"/>
        <v>0.42399975420741998</v>
      </c>
      <c r="CZ360" s="336">
        <f>INDEX('State Tax Lookup'!$D$7:$Z$91,MATCH(Calculation!$C360,'State Tax Lookup'!$B$7:$B$91,0),MATCH($H360,'State Tax Lookup'!$D$6:$Z$6,0))</f>
        <v>0.39649667</v>
      </c>
      <c r="DA360" s="303">
        <v>0.37</v>
      </c>
      <c r="DB360" s="57">
        <f t="shared" si="682"/>
        <v>12.853537889840531</v>
      </c>
      <c r="DC360" s="56">
        <f t="shared" si="688"/>
        <v>0.11171143478276173</v>
      </c>
      <c r="DD360" s="303">
        <f>VLOOKUP($H360,RoR!$E:$F,2,FALSE)</f>
        <v>5.2350000000000001E-2</v>
      </c>
      <c r="DE360" s="304">
        <f>HLOOKUP($H360,'GDP-PI'!$D$8:$CQ$11,3,FALSE)</f>
        <v>3.1010403642454332E-2</v>
      </c>
      <c r="DF360" s="303">
        <f>VLOOKUP(H360,'HW Dx Data'!$E:$F,2,FALSE)</f>
        <v>469.20514034936258</v>
      </c>
      <c r="DG360" s="89">
        <f ca="1">VLOOKUP(CC360,'ECI - Input Price'!M$13:N$33,2,FALSE)</f>
        <v>99.224999999999994</v>
      </c>
      <c r="DH360" s="89"/>
      <c r="DI360" s="89"/>
      <c r="DJ360" s="56">
        <f t="shared" ca="1" si="696"/>
        <v>5.0378726854569796E-2</v>
      </c>
      <c r="DK360" s="53">
        <f>HLOOKUP(H360,'GDP-PI'!$8:$9,2,FALSE)</f>
        <v>87.406999999999996</v>
      </c>
      <c r="DL360" s="355">
        <f t="shared" si="689"/>
        <v>3.0539295810733648E-2</v>
      </c>
      <c r="EC360"/>
    </row>
    <row r="361" spans="1:133" s="126" customFormat="1" ht="21" customHeight="1" x14ac:dyDescent="0.4">
      <c r="A361" s="233" t="s">
        <v>204</v>
      </c>
      <c r="B361" s="127" t="s">
        <v>204</v>
      </c>
      <c r="C361" s="127">
        <v>4057080</v>
      </c>
      <c r="D361" s="127" t="s">
        <v>194</v>
      </c>
      <c r="E361" s="127" t="s">
        <v>15</v>
      </c>
      <c r="F361" s="127"/>
      <c r="G361" s="127" t="s">
        <v>162</v>
      </c>
      <c r="H361" s="128">
        <v>2006</v>
      </c>
      <c r="I361" s="129"/>
      <c r="J361" s="125">
        <f>IFERROR(INDEX('Labor Expenditures'!$E$7:$W$91,MATCH($C361,'Labor Expenditures'!$C$7:$C$91,0),MATCH($G361,'Labor Expenditures'!$E$5:$W$5,0)),"NA")</f>
        <v>73972.106776327477</v>
      </c>
      <c r="K361" s="125">
        <f t="shared" ca="1" si="690"/>
        <v>676.16185353132971</v>
      </c>
      <c r="L361" s="47"/>
      <c r="M361" s="131">
        <f t="shared" ca="1" si="697"/>
        <v>-2.3842792391221244E-2</v>
      </c>
      <c r="N361" s="131"/>
      <c r="O361" s="131"/>
      <c r="P361" s="59">
        <f t="shared" ref="P361:P377" ca="1" si="699">+M361*$AX361</f>
        <v>-9.0291751258552864E-4</v>
      </c>
      <c r="Q361" s="61"/>
      <c r="R361" s="387"/>
      <c r="S361" s="49">
        <f ca="1">+S360*EXP(T361)</f>
        <v>106.18324068170544</v>
      </c>
      <c r="T361" s="61">
        <f ca="1">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</f>
        <v>5.999610134310375E-2</v>
      </c>
      <c r="U361" s="61"/>
      <c r="V361" s="125">
        <f>IFERROR(INDEX('Non-Labor Expenditures'!$E$7:$AA$91,MATCH($C361,'Non-Labor Expenditures'!$C$7:$C$91,0),MATCH($G361,'Non-Labor Expenditures'!$E$5:$AA$5,0)),"NA")</f>
        <v>107125.42669588438</v>
      </c>
      <c r="W361" s="125">
        <f t="shared" si="691"/>
        <v>1189.3046461341162</v>
      </c>
      <c r="X361" s="131">
        <f t="shared" ref="X361:X376" si="700">LN(W361/W360)</f>
        <v>4.3721915202076141E-2</v>
      </c>
      <c r="Y361" s="131">
        <f t="shared" ref="Y361:Y377" si="701">+X361*AX361</f>
        <v>1.6557323602024597E-3</v>
      </c>
      <c r="Z361" s="131"/>
      <c r="AA361" s="131"/>
      <c r="AB361" s="131"/>
      <c r="AC361" s="125">
        <f t="shared" si="669"/>
        <v>95856.034541218367</v>
      </c>
      <c r="AD361" s="129"/>
      <c r="AE361" s="133">
        <v>8240.7277524000474</v>
      </c>
      <c r="AF361" s="134">
        <v>3.7310849879213272E-2</v>
      </c>
      <c r="AG361" s="59">
        <f t="shared" si="692"/>
        <v>1.4129477459106359E-3</v>
      </c>
      <c r="AH361" s="134"/>
      <c r="AI361" s="134"/>
      <c r="AJ361" s="129">
        <f t="shared" si="664"/>
        <v>276953.56801343022</v>
      </c>
      <c r="AK361" s="134">
        <f t="shared" ref="AK361:AK377" si="702">LN(AJ361/AJ360)</f>
        <v>4.6464878540406172E-2</v>
      </c>
      <c r="AL361" s="129"/>
      <c r="AM361" s="129"/>
      <c r="AN361" s="129"/>
      <c r="AO361" s="129"/>
      <c r="AP361" s="133">
        <f t="shared" ref="AP361:AP377" si="703">+(AJ361*1000)/BB361</f>
        <v>241.14162524786917</v>
      </c>
      <c r="AQ361" s="134">
        <f>+BB361/Outputs!$B$14</f>
        <v>3.311597505629018E-2</v>
      </c>
      <c r="AR361" s="93">
        <f t="shared" si="693"/>
        <v>0.26709208805983092</v>
      </c>
      <c r="AS361" s="93">
        <f t="shared" si="694"/>
        <v>0.38679922943144601</v>
      </c>
      <c r="AT361" s="93">
        <f t="shared" si="695"/>
        <v>0.34610868250872306</v>
      </c>
      <c r="AU361" s="93">
        <f t="shared" ca="1" si="698"/>
        <v>2.3643627327671168E-2</v>
      </c>
      <c r="AV361" s="132">
        <f ca="1">+AV360*EXP(AU361)</f>
        <v>102.39253538482625</v>
      </c>
      <c r="AW361" s="134">
        <f ca="1">LN(AV361/AV360)</f>
        <v>2.3643627327671186E-2</v>
      </c>
      <c r="AX361" s="56">
        <f>+AJ361/$AL$11</f>
        <v>3.7869621048161155E-2</v>
      </c>
      <c r="AY361" s="135">
        <f ca="1">+AX361*AW361</f>
        <v>8.9537520710285506E-4</v>
      </c>
      <c r="AZ361" s="93"/>
      <c r="BA361" s="93"/>
      <c r="BB361" s="234">
        <f>IFERROR(INDEX('Total Customers'!$E$7:$AA$91,MATCH($C361,'Total Customers'!$C$7:$C$91,0),MATCH($G361,'Total Customers'!$E$5:$AA$5,0)),"NA")</f>
        <v>1148510</v>
      </c>
      <c r="BC361" s="411">
        <f t="shared" si="622"/>
        <v>8.4994827830395081E-2</v>
      </c>
      <c r="BD361" s="92"/>
      <c r="BE361" s="281" t="str">
        <f t="shared" si="618"/>
        <v>CONSOLIDATED EDISON COMPANY OF NEW YORK, INC.</v>
      </c>
      <c r="BF361" s="290">
        <f t="shared" si="619"/>
        <v>4057080</v>
      </c>
      <c r="BG361" s="46" t="str">
        <f t="shared" si="620"/>
        <v>NY</v>
      </c>
      <c r="BH361" s="46"/>
      <c r="BI361" s="46" t="str">
        <f t="shared" si="621"/>
        <v>2006 Y</v>
      </c>
      <c r="BJ361" s="129"/>
      <c r="BK361" s="129"/>
      <c r="BL361" s="129">
        <f>INDEX('Dist. Plant Gas Additions'!$E$7:$AD$91,MATCH($C361,'Dist. Plant Gas Additions'!$C$7:$C$91,0),MATCH(Calculation!$G361,'Dist. Plant Gas Additions'!$E$5:$AD$5,0))</f>
        <v>161831</v>
      </c>
      <c r="BM361" s="129">
        <f>INDEX('Gen. Plant Additions'!$E$7:$AD$91,MATCH($C361,'Gen. Plant Additions'!$C$7:$C$91,0),MATCH(Calculation!$G361,'Gen. Plant Additions'!$E$5:$AD$5,0))</f>
        <v>0</v>
      </c>
      <c r="BN361" s="393">
        <f t="shared" si="670"/>
        <v>1</v>
      </c>
      <c r="BO361" s="46">
        <f t="shared" si="683"/>
        <v>0</v>
      </c>
      <c r="BP361" s="46">
        <f t="shared" si="684"/>
        <v>0</v>
      </c>
      <c r="BQ361" s="129">
        <f>INDEX('Dist Plant Depreciation'!$D$7:$AC$94,MATCH($C361,'Dist Plant Depreciation'!$C$7:$C$94,0),MATCH(Calculation!$G361,'Dist Plant Depreciation'!$D$5:$AC$5,0))</f>
        <v>579904</v>
      </c>
      <c r="BR361" s="129">
        <f>INDEX('Gen. Plant Depreciation'!$D$7:$AC$94,MATCH($C361,'Gen. Plant Depreciation'!$C$7:$C$94,0),MATCH(Calculation!$G361,'Gen. Plant Depreciation'!$D$5:$AC$5,0))</f>
        <v>0</v>
      </c>
      <c r="BS361" s="129"/>
      <c r="BT361" s="129"/>
      <c r="BU361" s="129"/>
      <c r="BV361" s="129"/>
      <c r="BW361" s="129"/>
      <c r="BX361" s="129"/>
      <c r="BY361" s="129">
        <f>INDEX('Gross Dx Plant'!$D$7:$AC$91,MATCH($C361,'Gross Dx Plant'!$C$7:$C$91,0),MATCH(Calculation!$G361,'Gross Dx Plant'!$D$5:$AC$5,0))</f>
        <v>2445432</v>
      </c>
      <c r="BZ361" s="129">
        <f>INDEX('Gross Gen Plant'!$D$7:$AC$91,MATCH($C361,'Gross Gen Plant'!$C$7:$C$91,0),MATCH(Calculation!$G361,'Gross Gen Plant'!$D$5:$AC$5,0))</f>
        <v>0</v>
      </c>
      <c r="CA361" s="129">
        <f t="shared" si="626"/>
        <v>1865528</v>
      </c>
      <c r="CB361" s="134"/>
      <c r="CC361" s="133">
        <v>2006</v>
      </c>
      <c r="CD361" s="129"/>
      <c r="CE361" s="129"/>
      <c r="CF361" s="129"/>
      <c r="CG361" s="137"/>
      <c r="CH361" s="129">
        <f t="shared" si="671"/>
        <v>161831</v>
      </c>
      <c r="CI361" s="46">
        <f t="shared" si="680"/>
        <v>161831</v>
      </c>
      <c r="CJ361" s="46">
        <f t="shared" si="672"/>
        <v>350.97815779425224</v>
      </c>
      <c r="CK361" s="443">
        <v>0.91489361702127658</v>
      </c>
      <c r="CL361" s="46">
        <f>+CL353*CK361+CJ354*CK360+CJ355*CK359+CJ356*CK358+CJ357*CK357+CJ358*CK356+CJ359*CK355+CJ360*CK354+CJ361</f>
        <v>7953.1569336684306</v>
      </c>
      <c r="CM361" s="134">
        <f t="shared" si="673"/>
        <v>3.3144925697094221E-2</v>
      </c>
      <c r="CN361" s="135">
        <f t="shared" si="674"/>
        <v>1.1917552152708214E-2</v>
      </c>
      <c r="CO361" s="135">
        <f t="shared" si="685"/>
        <v>1.1619884250519611E-2</v>
      </c>
      <c r="CP361" s="134">
        <f>VLOOKUP($H361,RoR!$E:$F,2,FALSE)</f>
        <v>5.5874999999999994E-2</v>
      </c>
      <c r="CQ361" s="135">
        <v>3.0512430354548314E-2</v>
      </c>
      <c r="CR361" s="135">
        <f t="shared" si="681"/>
        <v>2.536256964545168E-2</v>
      </c>
      <c r="CS361" s="135">
        <f t="shared" si="686"/>
        <v>1.9282057358014013E-2</v>
      </c>
      <c r="CT361" s="135">
        <f t="shared" si="687"/>
        <v>7.9087823893859641E-2</v>
      </c>
      <c r="CU361" s="139">
        <f t="shared" si="675"/>
        <v>0.85329623209999994</v>
      </c>
      <c r="CV361" s="335">
        <f t="shared" si="676"/>
        <v>0.91779957551769631</v>
      </c>
      <c r="CW361" s="335">
        <f t="shared" si="677"/>
        <v>0.52757270693512304</v>
      </c>
      <c r="CX361" s="335">
        <f t="shared" si="678"/>
        <v>0.88636824549024895</v>
      </c>
      <c r="CY361" s="335">
        <f t="shared" si="679"/>
        <v>0.42918482841932087</v>
      </c>
      <c r="CZ361" s="336">
        <f>INDEX('State Tax Lookup'!$D$7:$Z$91,MATCH(Calculation!$C361,'State Tax Lookup'!$B$7:$B$91,0),MATCH($H361,'State Tax Lookup'!$D$6:$Z$6,0))</f>
        <v>0.39649667</v>
      </c>
      <c r="DA361" s="303">
        <v>0.37</v>
      </c>
      <c r="DB361" s="57">
        <f t="shared" si="682"/>
        <v>12.458752686926969</v>
      </c>
      <c r="DC361" s="56">
        <f t="shared" si="688"/>
        <v>-3.1195692648254135E-2</v>
      </c>
      <c r="DD361" s="303">
        <f>VLOOKUP($H361,RoR!$E:$F,2,FALSE)</f>
        <v>5.5874999999999994E-2</v>
      </c>
      <c r="DE361" s="304">
        <f>HLOOKUP($H361,'GDP-PI'!$D$8:$CQ$11,3,FALSE)</f>
        <v>3.0512430354548314E-2</v>
      </c>
      <c r="DF361" s="303">
        <f>VLOOKUP(H361,'HW Dx Data'!$E:$F,2,FALSE)</f>
        <v>461.08567272971823</v>
      </c>
      <c r="DG361" s="89">
        <f ca="1">VLOOKUP(CC361,'ECI - Input Price'!M$13:N$33,2,FALSE)</f>
        <v>109.4</v>
      </c>
      <c r="DH361" s="89"/>
      <c r="DI361" s="89"/>
      <c r="DJ361" s="56">
        <f t="shared" ca="1" si="696"/>
        <v>9.7620891318751846E-2</v>
      </c>
      <c r="DK361" s="53">
        <f>HLOOKUP(H361,'GDP-PI'!$8:$9,2,FALSE)</f>
        <v>90.073999999999998</v>
      </c>
      <c r="DL361" s="355">
        <f t="shared" si="689"/>
        <v>3.005618372545445E-2</v>
      </c>
      <c r="EC361"/>
    </row>
    <row r="362" spans="1:133" s="126" customFormat="1" ht="21" customHeight="1" x14ac:dyDescent="0.4">
      <c r="A362" s="233" t="s">
        <v>204</v>
      </c>
      <c r="B362" s="127" t="s">
        <v>204</v>
      </c>
      <c r="C362" s="127">
        <v>4057080</v>
      </c>
      <c r="D362" s="127" t="s">
        <v>194</v>
      </c>
      <c r="E362" s="127" t="s">
        <v>15</v>
      </c>
      <c r="F362" s="127"/>
      <c r="G362" s="127" t="s">
        <v>163</v>
      </c>
      <c r="H362" s="128">
        <v>2007</v>
      </c>
      <c r="I362" s="129"/>
      <c r="J362" s="125">
        <f>IFERROR(INDEX('Labor Expenditures'!$E$7:$W$91,MATCH($C362,'Labor Expenditures'!$C$7:$C$91,0),MATCH($G362,'Labor Expenditures'!$E$5:$W$5,0)),"NA")</f>
        <v>78490.775650091135</v>
      </c>
      <c r="K362" s="125">
        <f t="shared" ca="1" si="690"/>
        <v>750.92825305038161</v>
      </c>
      <c r="L362" s="47"/>
      <c r="M362" s="131">
        <f t="shared" ca="1" si="697"/>
        <v>0.10487763629578976</v>
      </c>
      <c r="N362" s="131"/>
      <c r="O362" s="131"/>
      <c r="P362" s="59">
        <f t="shared" ca="1" si="699"/>
        <v>4.0740707670559066E-3</v>
      </c>
      <c r="Q362" s="61"/>
      <c r="R362" s="387"/>
      <c r="S362" s="49">
        <f t="shared" ref="S362:S375" ca="1" si="704">+S361*EXP(T362)</f>
        <v>117.59879489577651</v>
      </c>
      <c r="T362" s="61">
        <f ca="1">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</f>
        <v>0.10211250059593183</v>
      </c>
      <c r="U362" s="61"/>
      <c r="V362" s="125">
        <f>IFERROR(INDEX('Non-Labor Expenditures'!$E$7:$AA$91,MATCH($C362,'Non-Labor Expenditures'!$C$7:$C$91,0),MATCH($G362,'Non-Labor Expenditures'!$E$5:$AA$5,0)),"NA")</f>
        <v>113669.30319602285</v>
      </c>
      <c r="W362" s="125">
        <f t="shared" si="691"/>
        <v>1228.8839023116484</v>
      </c>
      <c r="X362" s="131">
        <f t="shared" si="700"/>
        <v>3.2737555600499513E-2</v>
      </c>
      <c r="Y362" s="131">
        <f t="shared" si="701"/>
        <v>1.2717212455160634E-3</v>
      </c>
      <c r="Z362" s="131"/>
      <c r="AA362" s="131"/>
      <c r="AB362" s="131"/>
      <c r="AC362" s="125">
        <f t="shared" si="669"/>
        <v>105608.27845449153</v>
      </c>
      <c r="AD362" s="129"/>
      <c r="AE362" s="133">
        <v>8481.7158660071418</v>
      </c>
      <c r="AF362" s="134">
        <v>2.8824112537341039E-2</v>
      </c>
      <c r="AG362" s="59">
        <f t="shared" si="692"/>
        <v>1.1196998561591818E-3</v>
      </c>
      <c r="AH362" s="134"/>
      <c r="AI362" s="134"/>
      <c r="AJ362" s="129">
        <f t="shared" si="664"/>
        <v>297768.35730060551</v>
      </c>
      <c r="AK362" s="134">
        <f t="shared" si="702"/>
        <v>7.246599210092404E-2</v>
      </c>
      <c r="AL362" s="129"/>
      <c r="AM362" s="129"/>
      <c r="AN362" s="129"/>
      <c r="AO362" s="129"/>
      <c r="AP362" s="133">
        <f t="shared" si="703"/>
        <v>280.8218801227199</v>
      </c>
      <c r="AQ362" s="134">
        <f>+BB362/Outputs!$B$15</f>
        <v>3.034367391606628E-2</v>
      </c>
      <c r="AR362" s="93">
        <f t="shared" si="693"/>
        <v>0.26359676481961614</v>
      </c>
      <c r="AS362" s="93">
        <f t="shared" si="694"/>
        <v>0.38173734854328562</v>
      </c>
      <c r="AT362" s="93">
        <f t="shared" si="695"/>
        <v>0.3546658866370983</v>
      </c>
      <c r="AU362" s="93">
        <f t="shared" ca="1" si="698"/>
        <v>5.0508303247675884E-2</v>
      </c>
      <c r="AV362" s="132">
        <f ca="1">+AV361*EXP(AU362)</f>
        <v>107.69704178022579</v>
      </c>
      <c r="AW362" s="134">
        <f ca="1">LN(AV362/AV361)</f>
        <v>5.0508303247675974E-2</v>
      </c>
      <c r="AX362" s="56">
        <f>+AJ362/$AL$12</f>
        <v>3.8845943815568787E-2</v>
      </c>
      <c r="AY362" s="135">
        <f t="shared" ref="AY362:AY376" ca="1" si="705">+AX362*AW362</f>
        <v>1.9620427101789315E-3</v>
      </c>
      <c r="AZ362" s="93"/>
      <c r="BA362" s="93"/>
      <c r="BB362" s="234">
        <f>IFERROR(INDEX('Total Customers'!$E$7:$AA$91,MATCH($C362,'Total Customers'!$C$7:$C$91,0),MATCH($G362,'Total Customers'!$E$5:$AA$5,0)),"NA")</f>
        <v>1060346</v>
      </c>
      <c r="BC362" s="411">
        <f t="shared" si="622"/>
        <v>-7.9870180161753998E-2</v>
      </c>
      <c r="BD362" s="92"/>
      <c r="BE362" s="281" t="str">
        <f t="shared" si="618"/>
        <v>CONSOLIDATED EDISON COMPANY OF NEW YORK, INC.</v>
      </c>
      <c r="BF362" s="290">
        <f t="shared" si="619"/>
        <v>4057080</v>
      </c>
      <c r="BG362" s="46" t="str">
        <f t="shared" si="620"/>
        <v>NY</v>
      </c>
      <c r="BH362" s="46"/>
      <c r="BI362" s="46" t="str">
        <f t="shared" si="621"/>
        <v>2007 Y</v>
      </c>
      <c r="BJ362" s="129"/>
      <c r="BK362" s="129"/>
      <c r="BL362" s="129">
        <f>INDEX('Dist. Plant Gas Additions'!$E$7:$AD$91,MATCH($C362,'Dist. Plant Gas Additions'!$C$7:$C$91,0),MATCH(Calculation!$G362,'Dist. Plant Gas Additions'!$E$5:$AD$5,0))</f>
        <v>146195</v>
      </c>
      <c r="BM362" s="129">
        <f>INDEX('Gen. Plant Additions'!$E$7:$AD$91,MATCH($C362,'Gen. Plant Additions'!$C$7:$C$91,0),MATCH(Calculation!$G362,'Gen. Plant Additions'!$E$5:$AD$5,0))</f>
        <v>0</v>
      </c>
      <c r="BN362" s="393">
        <f t="shared" si="670"/>
        <v>1</v>
      </c>
      <c r="BO362" s="46">
        <f t="shared" si="683"/>
        <v>0</v>
      </c>
      <c r="BP362" s="46">
        <f t="shared" si="684"/>
        <v>0</v>
      </c>
      <c r="BQ362" s="129">
        <f>INDEX('Dist Plant Depreciation'!$D$7:$AC$94,MATCH($C362,'Dist Plant Depreciation'!$C$7:$C$94,0),MATCH(Calculation!$G362,'Dist Plant Depreciation'!$D$5:$AC$5,0))</f>
        <v>618997</v>
      </c>
      <c r="BR362" s="129">
        <f>INDEX('Gen. Plant Depreciation'!$D$7:$AC$94,MATCH($C362,'Gen. Plant Depreciation'!$C$7:$C$94,0),MATCH(Calculation!$G362,'Gen. Plant Depreciation'!$D$5:$AC$5,0))</f>
        <v>0</v>
      </c>
      <c r="BS362" s="129"/>
      <c r="BT362" s="129"/>
      <c r="BU362" s="129"/>
      <c r="BV362" s="129"/>
      <c r="BW362" s="129"/>
      <c r="BX362" s="129"/>
      <c r="BY362" s="129">
        <f>INDEX('Gross Dx Plant'!$D$7:$AC$91,MATCH($C362,'Gross Dx Plant'!$C$7:$C$91,0),MATCH(Calculation!$G362,'Gross Dx Plant'!$D$5:$AC$5,0))</f>
        <v>2577852</v>
      </c>
      <c r="BZ362" s="129">
        <f>INDEX('Gross Gen Plant'!$D$7:$AC$91,MATCH($C362,'Gross Gen Plant'!$C$7:$C$91,0),MATCH(Calculation!$G362,'Gross Gen Plant'!$D$5:$AC$5,0))</f>
        <v>0</v>
      </c>
      <c r="CA362" s="129">
        <f t="shared" si="626"/>
        <v>1958855</v>
      </c>
      <c r="CB362" s="129"/>
      <c r="CC362" s="133">
        <v>2007</v>
      </c>
      <c r="CD362" s="129"/>
      <c r="CE362" s="129"/>
      <c r="CF362" s="129"/>
      <c r="CG362" s="137"/>
      <c r="CH362" s="129">
        <f t="shared" si="671"/>
        <v>146195</v>
      </c>
      <c r="CI362" s="46">
        <f t="shared" si="680"/>
        <v>146195</v>
      </c>
      <c r="CJ362" s="46">
        <f t="shared" si="672"/>
        <v>293.55110294585637</v>
      </c>
      <c r="CK362" s="443">
        <v>0.90322580645161288</v>
      </c>
      <c r="CL362" s="46">
        <f>+CL353*CK362+CJ354*CK361+CJ355*CK360+CJ356*CK359+CJ357*CK358+CJ358*CK357+CJ359*CK356+CJ360*CK355+CJ361*CK354+CJ362</f>
        <v>8149.5891996136943</v>
      </c>
      <c r="CM362" s="134">
        <f t="shared" si="673"/>
        <v>2.4398572608910898E-2</v>
      </c>
      <c r="CN362" s="135">
        <f t="shared" si="674"/>
        <v>1.2211356799644612E-2</v>
      </c>
      <c r="CO362" s="135">
        <f t="shared" si="685"/>
        <v>1.1914546809129034E-2</v>
      </c>
      <c r="CP362" s="134">
        <f>VLOOKUP($H362,RoR!$E:$F,2,FALSE)</f>
        <v>5.5558333333333321E-2</v>
      </c>
      <c r="CQ362" s="135">
        <v>2.691120634145272E-2</v>
      </c>
      <c r="CR362" s="135">
        <f t="shared" si="681"/>
        <v>2.86471269918806E-2</v>
      </c>
      <c r="CS362" s="135">
        <f t="shared" si="686"/>
        <v>1.8987394799404589E-2</v>
      </c>
      <c r="CT362" s="135">
        <f t="shared" si="687"/>
        <v>6.4575155250632399E-2</v>
      </c>
      <c r="CU362" s="139">
        <f t="shared" si="675"/>
        <v>0.85329623209999994</v>
      </c>
      <c r="CV362" s="335">
        <f t="shared" si="676"/>
        <v>0.92303077153834634</v>
      </c>
      <c r="CW362" s="335">
        <f t="shared" si="677"/>
        <v>0.52502249887505614</v>
      </c>
      <c r="CX362" s="335">
        <f t="shared" si="678"/>
        <v>0.88499666072084604</v>
      </c>
      <c r="CY362" s="335">
        <f t="shared" si="679"/>
        <v>0.42887993290280618</v>
      </c>
      <c r="CZ362" s="336">
        <f>INDEX('State Tax Lookup'!$D$7:$Z$91,MATCH(Calculation!$C362,'State Tax Lookup'!$B$7:$B$91,0),MATCH($H362,'State Tax Lookup'!$D$6:$Z$6,0))</f>
        <v>0.39649667</v>
      </c>
      <c r="DA362" s="303">
        <v>0.37</v>
      </c>
      <c r="DB362" s="57">
        <f t="shared" si="682"/>
        <v>13.278787195486563</v>
      </c>
      <c r="DC362" s="56">
        <f t="shared" si="688"/>
        <v>6.3744411271415002E-2</v>
      </c>
      <c r="DD362" s="303">
        <f>VLOOKUP($H362,RoR!$E:$F,2,FALSE)</f>
        <v>5.5558333333333321E-2</v>
      </c>
      <c r="DE362" s="304">
        <f>HLOOKUP($H362,'GDP-PI'!$D$8:$CQ$11,3,FALSE)</f>
        <v>2.691120634145272E-2</v>
      </c>
      <c r="DF362" s="303">
        <f>VLOOKUP(H362,'HW Dx Data'!$E:$F,2,FALSE)</f>
        <v>498.0223154772637</v>
      </c>
      <c r="DG362" s="89">
        <f ca="1">VLOOKUP(CC362,'ECI - Input Price'!M$13:N$33,2,FALSE)</f>
        <v>104.52499999999999</v>
      </c>
      <c r="DH362" s="89"/>
      <c r="DI362" s="89"/>
      <c r="DJ362" s="56">
        <f t="shared" ca="1" si="696"/>
        <v>-4.5584612745252218E-2</v>
      </c>
      <c r="DK362" s="53">
        <f>HLOOKUP(H362,'GDP-PI'!$8:$9,2,FALSE)</f>
        <v>92.498000000000005</v>
      </c>
      <c r="DL362" s="355">
        <f t="shared" si="689"/>
        <v>2.6555467950038037E-2</v>
      </c>
      <c r="EC362"/>
    </row>
    <row r="363" spans="1:133" s="126" customFormat="1" ht="21" customHeight="1" x14ac:dyDescent="0.4">
      <c r="A363" s="233" t="s">
        <v>204</v>
      </c>
      <c r="B363" s="127" t="s">
        <v>204</v>
      </c>
      <c r="C363" s="127">
        <v>4057080</v>
      </c>
      <c r="D363" s="127" t="s">
        <v>194</v>
      </c>
      <c r="E363" s="127" t="s">
        <v>15</v>
      </c>
      <c r="F363" s="127"/>
      <c r="G363" s="127" t="s">
        <v>164</v>
      </c>
      <c r="H363" s="128">
        <v>2008</v>
      </c>
      <c r="I363" s="129"/>
      <c r="J363" s="125">
        <f>IFERROR(INDEX('Labor Expenditures'!$E$7:$W$91,MATCH($C363,'Labor Expenditures'!$C$7:$C$91,0),MATCH($G363,'Labor Expenditures'!$E$5:$W$5,0)),"NA")</f>
        <v>90665.546732827643</v>
      </c>
      <c r="K363" s="125">
        <f t="shared" ca="1" si="690"/>
        <v>840.27383440989468</v>
      </c>
      <c r="L363" s="47"/>
      <c r="M363" s="131">
        <f t="shared" ca="1" si="697"/>
        <v>0.11241772007703051</v>
      </c>
      <c r="N363" s="131"/>
      <c r="O363" s="131"/>
      <c r="P363" s="59">
        <f t="shared" ca="1" si="699"/>
        <v>4.7782972237416319E-3</v>
      </c>
      <c r="Q363" s="61"/>
      <c r="R363" s="387"/>
      <c r="S363" s="49">
        <f t="shared" ca="1" si="704"/>
        <v>109.46441367637553</v>
      </c>
      <c r="T363" s="61">
        <f ca="1">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</f>
        <v>-7.1679280747869029E-2</v>
      </c>
      <c r="U363" s="61"/>
      <c r="V363" s="125">
        <f>IFERROR(INDEX('Non-Labor Expenditures'!$E$7:$AA$91,MATCH($C363,'Non-Labor Expenditures'!$C$7:$C$91,0),MATCH($G363,'Non-Labor Expenditures'!$E$5:$AA$5,0)),"NA")</f>
        <v>131300.64565739833</v>
      </c>
      <c r="W363" s="125">
        <f t="shared" si="691"/>
        <v>1392.9033953301189</v>
      </c>
      <c r="X363" s="131">
        <f t="shared" si="700"/>
        <v>0.1252839813504586</v>
      </c>
      <c r="Y363" s="131">
        <f t="shared" si="701"/>
        <v>5.3251756027074175E-3</v>
      </c>
      <c r="Z363" s="131"/>
      <c r="AA363" s="131"/>
      <c r="AB363" s="131"/>
      <c r="AC363" s="125">
        <f t="shared" si="669"/>
        <v>121885.00904681423</v>
      </c>
      <c r="AD363" s="129"/>
      <c r="AE363" s="133">
        <v>8831.5264513983493</v>
      </c>
      <c r="AF363" s="134">
        <v>4.0415098703618473E-2</v>
      </c>
      <c r="AG363" s="59">
        <f t="shared" si="692"/>
        <v>1.7178373107052723E-3</v>
      </c>
      <c r="AH363" s="134"/>
      <c r="AI363" s="134"/>
      <c r="AJ363" s="129">
        <f t="shared" si="664"/>
        <v>343851.20143704023</v>
      </c>
      <c r="AK363" s="134">
        <f t="shared" si="702"/>
        <v>0.14389315009540093</v>
      </c>
      <c r="AL363" s="129"/>
      <c r="AM363" s="129"/>
      <c r="AN363" s="129"/>
      <c r="AO363" s="129"/>
      <c r="AP363" s="133">
        <f t="shared" si="703"/>
        <v>324.04767582438461</v>
      </c>
      <c r="AQ363" s="134">
        <f>+BB363/Outputs!$B$16</f>
        <v>3.020327084521755E-2</v>
      </c>
      <c r="AR363" s="93">
        <f t="shared" si="693"/>
        <v>0.26367669024832147</v>
      </c>
      <c r="AS363" s="93">
        <f t="shared" si="694"/>
        <v>0.38185309549206187</v>
      </c>
      <c r="AT363" s="93">
        <f t="shared" si="695"/>
        <v>0.35447021425961656</v>
      </c>
      <c r="AU363" s="93">
        <f t="shared" ca="1" si="698"/>
        <v>9.1800168068914445E-2</v>
      </c>
      <c r="AV363" s="132">
        <f t="shared" ref="AV363:AV376" ca="1" si="706">+AV362*EXP(AU363)</f>
        <v>118.05165520255696</v>
      </c>
      <c r="AW363" s="134">
        <f t="shared" ref="AW363:AW376" ca="1" si="707">LN(AV363/AV362)</f>
        <v>9.1800168068914417E-2</v>
      </c>
      <c r="AX363" s="56">
        <f>+AJ363/$AL$13</f>
        <v>4.2504840166367568E-2</v>
      </c>
      <c r="AY363" s="135">
        <f t="shared" ca="1" si="705"/>
        <v>3.9019514710148871E-3</v>
      </c>
      <c r="AZ363" s="93"/>
      <c r="BA363" s="93"/>
      <c r="BB363" s="234">
        <f>IFERROR(INDEX('Total Customers'!$E$7:$AA$91,MATCH($C363,'Total Customers'!$C$7:$C$91,0),MATCH($G363,'Total Customers'!$E$5:$AA$5,0)),"NA")</f>
        <v>1061113</v>
      </c>
      <c r="BC363" s="411">
        <f t="shared" si="622"/>
        <v>7.230873030487601E-4</v>
      </c>
      <c r="BD363" s="92"/>
      <c r="BE363" s="281" t="str">
        <f t="shared" si="618"/>
        <v>CONSOLIDATED EDISON COMPANY OF NEW YORK, INC.</v>
      </c>
      <c r="BF363" s="290">
        <f t="shared" si="619"/>
        <v>4057080</v>
      </c>
      <c r="BG363" s="46" t="str">
        <f t="shared" si="620"/>
        <v>NY</v>
      </c>
      <c r="BH363" s="46"/>
      <c r="BI363" s="46" t="str">
        <f t="shared" si="621"/>
        <v>2008 Y</v>
      </c>
      <c r="BJ363" s="129"/>
      <c r="BK363" s="129"/>
      <c r="BL363" s="129">
        <f>INDEX('Dist. Plant Gas Additions'!$E$7:$AD$91,MATCH($C363,'Dist. Plant Gas Additions'!$C$7:$C$91,0),MATCH(Calculation!$G363,'Dist. Plant Gas Additions'!$E$5:$AD$5,0))</f>
        <v>231151</v>
      </c>
      <c r="BM363" s="129">
        <f>INDEX('Gen. Plant Additions'!$E$7:$AD$91,MATCH($C363,'Gen. Plant Additions'!$C$7:$C$91,0),MATCH(Calculation!$G363,'Gen. Plant Additions'!$E$5:$AD$5,0))</f>
        <v>0</v>
      </c>
      <c r="BN363" s="393">
        <f t="shared" si="670"/>
        <v>1</v>
      </c>
      <c r="BO363" s="46">
        <f t="shared" si="683"/>
        <v>0</v>
      </c>
      <c r="BP363" s="46">
        <f t="shared" si="684"/>
        <v>0</v>
      </c>
      <c r="BQ363" s="129">
        <f>INDEX('Dist Plant Depreciation'!$D$7:$AC$94,MATCH($C363,'Dist Plant Depreciation'!$C$7:$C$94,0),MATCH(Calculation!$G363,'Dist Plant Depreciation'!$D$5:$AC$5,0))</f>
        <v>654655</v>
      </c>
      <c r="BR363" s="129">
        <f>INDEX('Gen. Plant Depreciation'!$D$7:$AC$94,MATCH($C363,'Gen. Plant Depreciation'!$C$7:$C$94,0),MATCH(Calculation!$G363,'Gen. Plant Depreciation'!$D$5:$AC$5,0))</f>
        <v>0</v>
      </c>
      <c r="BS363" s="129"/>
      <c r="BT363" s="129"/>
      <c r="BU363" s="129"/>
      <c r="BV363" s="129"/>
      <c r="BW363" s="129"/>
      <c r="BX363" s="129"/>
      <c r="BY363" s="129">
        <f>INDEX('Gross Dx Plant'!$D$7:$AC$91,MATCH($C363,'Gross Dx Plant'!$C$7:$C$91,0),MATCH(Calculation!$G363,'Gross Dx Plant'!$D$5:$AC$5,0))</f>
        <v>2789532</v>
      </c>
      <c r="BZ363" s="129">
        <f>INDEX('Gross Gen Plant'!$D$7:$AC$91,MATCH($C363,'Gross Gen Plant'!$C$7:$C$91,0),MATCH(Calculation!$G363,'Gross Gen Plant'!$D$5:$AC$5,0))</f>
        <v>0</v>
      </c>
      <c r="CA363" s="129">
        <f t="shared" si="626"/>
        <v>2134877</v>
      </c>
      <c r="CB363" s="129"/>
      <c r="CC363" s="133">
        <v>2008</v>
      </c>
      <c r="CD363" s="129"/>
      <c r="CE363" s="129"/>
      <c r="CF363" s="129"/>
      <c r="CG363" s="137"/>
      <c r="CH363" s="129">
        <f t="shared" si="671"/>
        <v>231151</v>
      </c>
      <c r="CI363" s="46">
        <f t="shared" si="680"/>
        <v>231151</v>
      </c>
      <c r="CJ363" s="46">
        <f t="shared" si="672"/>
        <v>405.61260600844668</v>
      </c>
      <c r="CK363" s="443">
        <v>0.89130434782608692</v>
      </c>
      <c r="CL363" s="46">
        <f>+CL353*CK363+CJ354*CK362+CJ355*CK361+CJ356*CK360+CJ357*CK359+CJ358*CK358+CJ359*CK357+CJ360*CK356+CJ361*CK355+CJ362*CK354+CJ363</f>
        <v>8453.0923118361043</v>
      </c>
      <c r="CM363" s="134">
        <f t="shared" si="673"/>
        <v>3.6564807460646609E-2</v>
      </c>
      <c r="CN363" s="135">
        <f t="shared" si="674"/>
        <v>1.2529403787724278E-2</v>
      </c>
      <c r="CO363" s="135">
        <f t="shared" si="685"/>
        <v>1.2219437580025701E-2</v>
      </c>
      <c r="CP363" s="134">
        <f>VLOOKUP($H363,RoR!$E:$F,2,FALSE)</f>
        <v>5.6316666666666668E-2</v>
      </c>
      <c r="CQ363" s="135">
        <v>1.9092304698479889E-2</v>
      </c>
      <c r="CR363" s="135">
        <f t="shared" si="681"/>
        <v>3.7224361968186778E-2</v>
      </c>
      <c r="CS363" s="135">
        <f t="shared" si="686"/>
        <v>1.8682504028507924E-2</v>
      </c>
      <c r="CT363" s="135">
        <f t="shared" si="687"/>
        <v>6.9030581091053131E-2</v>
      </c>
      <c r="CU363" s="139">
        <f t="shared" si="675"/>
        <v>0.85329623209999994</v>
      </c>
      <c r="CV363" s="335">
        <f t="shared" si="676"/>
        <v>0.91060168006009956</v>
      </c>
      <c r="CW363" s="335">
        <f t="shared" si="677"/>
        <v>0.53108168097070152</v>
      </c>
      <c r="CX363" s="335">
        <f t="shared" si="678"/>
        <v>0.88825329850328805</v>
      </c>
      <c r="CY363" s="335">
        <f t="shared" si="679"/>
        <v>0.4295627335323573</v>
      </c>
      <c r="CZ363" s="336">
        <f>INDEX('State Tax Lookup'!$D$7:$Z$91,MATCH(Calculation!$C363,'State Tax Lookup'!$B$7:$B$91,0),MATCH($H363,'State Tax Lookup'!$D$6:$Z$6,0))</f>
        <v>0.39649667</v>
      </c>
      <c r="DA363" s="303">
        <v>0.37</v>
      </c>
      <c r="DB363" s="57">
        <f t="shared" si="682"/>
        <v>14.955969688949697</v>
      </c>
      <c r="DC363" s="56">
        <f t="shared" si="688"/>
        <v>0.1189427161944185</v>
      </c>
      <c r="DD363" s="303">
        <f>VLOOKUP($H363,RoR!$E:$F,2,FALSE)</f>
        <v>5.6316666666666668E-2</v>
      </c>
      <c r="DE363" s="304">
        <f>HLOOKUP($H363,'GDP-PI'!$D$8:$CQ$11,3,FALSE)</f>
        <v>1.9092304698479889E-2</v>
      </c>
      <c r="DF363" s="303">
        <f>VLOOKUP(H363,'HW Dx Data'!$E:$F,2,FALSE)</f>
        <v>569.88120333515076</v>
      </c>
      <c r="DG363" s="89">
        <f ca="1">VLOOKUP(CC363,'ECI - Input Price'!M$13:N$33,2,FALSE)</f>
        <v>107.9</v>
      </c>
      <c r="DH363" s="89"/>
      <c r="DI363" s="89"/>
      <c r="DJ363" s="56">
        <f t="shared" ca="1" si="696"/>
        <v>3.1778595021460486E-2</v>
      </c>
      <c r="DK363" s="53">
        <f>HLOOKUP(H363,'GDP-PI'!$8:$9,2,FALSE)</f>
        <v>94.263999999999996</v>
      </c>
      <c r="DL363" s="355">
        <f t="shared" si="689"/>
        <v>1.8912333748032254E-2</v>
      </c>
      <c r="EC363"/>
    </row>
    <row r="364" spans="1:133" s="126" customFormat="1" ht="21" customHeight="1" x14ac:dyDescent="0.4">
      <c r="A364" s="233" t="s">
        <v>204</v>
      </c>
      <c r="B364" s="127" t="s">
        <v>204</v>
      </c>
      <c r="C364" s="127">
        <v>4057080</v>
      </c>
      <c r="D364" s="127" t="s">
        <v>194</v>
      </c>
      <c r="E364" s="127" t="s">
        <v>15</v>
      </c>
      <c r="F364" s="127"/>
      <c r="G364" s="127" t="s">
        <v>165</v>
      </c>
      <c r="H364" s="128">
        <v>2009</v>
      </c>
      <c r="I364" s="129"/>
      <c r="J364" s="125">
        <f>IFERROR(INDEX('Labor Expenditures'!$E$7:$W$91,MATCH($C364,'Labor Expenditures'!$C$7:$C$91,0),MATCH($G364,'Labor Expenditures'!$E$5:$W$5,0)),"NA")</f>
        <v>97782.663292966579</v>
      </c>
      <c r="K364" s="125">
        <f t="shared" ca="1" si="690"/>
        <v>881.52051650183978</v>
      </c>
      <c r="L364" s="47"/>
      <c r="M364" s="131">
        <f t="shared" ca="1" si="697"/>
        <v>4.792044404302534E-2</v>
      </c>
      <c r="N364" s="131"/>
      <c r="O364" s="131"/>
      <c r="P364" s="59">
        <f t="shared" ca="1" si="699"/>
        <v>2.0380999157322425E-3</v>
      </c>
      <c r="Q364" s="61"/>
      <c r="R364" s="387"/>
      <c r="S364" s="49">
        <f t="shared" ca="1" si="704"/>
        <v>117.59282778414045</v>
      </c>
      <c r="T364" s="61">
        <f ca="1">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</f>
        <v>7.162853819531248E-2</v>
      </c>
      <c r="U364" s="61"/>
      <c r="V364" s="125">
        <f>IFERROR(INDEX('Non-Labor Expenditures'!$E$7:$AA$91,MATCH($C364,'Non-Labor Expenditures'!$C$7:$C$91,0),MATCH($G364,'Non-Labor Expenditures'!$E$5:$AA$5,0)),"NA")</f>
        <v>141607.55973049079</v>
      </c>
      <c r="W364" s="125">
        <f t="shared" si="691"/>
        <v>1490.6215826534046</v>
      </c>
      <c r="X364" s="131">
        <f t="shared" si="700"/>
        <v>6.7802860225599573E-2</v>
      </c>
      <c r="Y364" s="131">
        <f t="shared" si="701"/>
        <v>2.8837170955287182E-3</v>
      </c>
      <c r="Z364" s="131"/>
      <c r="AA364" s="131"/>
      <c r="AB364" s="131"/>
      <c r="AC364" s="125">
        <f t="shared" si="669"/>
        <v>120286.16814781092</v>
      </c>
      <c r="AD364" s="129"/>
      <c r="AE364" s="133">
        <v>9231.1859919781255</v>
      </c>
      <c r="AF364" s="134">
        <v>4.4259662703850899E-2</v>
      </c>
      <c r="AG364" s="59">
        <f t="shared" si="692"/>
        <v>1.8824035675893351E-3</v>
      </c>
      <c r="AH364" s="134"/>
      <c r="AI364" s="134"/>
      <c r="AJ364" s="129">
        <f t="shared" si="664"/>
        <v>359676.3911712683</v>
      </c>
      <c r="AK364" s="134">
        <f t="shared" si="702"/>
        <v>4.4995703939210721E-2</v>
      </c>
      <c r="AL364" s="129"/>
      <c r="AM364" s="129"/>
      <c r="AN364" s="129"/>
      <c r="AO364" s="129"/>
      <c r="AP364" s="133">
        <f t="shared" si="703"/>
        <v>339.69325600052537</v>
      </c>
      <c r="AQ364" s="134">
        <f>+BB364/Outputs!$B$17</f>
        <v>3.0099783297320454E-2</v>
      </c>
      <c r="AR364" s="93">
        <f t="shared" si="693"/>
        <v>0.27186289034579719</v>
      </c>
      <c r="AS364" s="93">
        <f t="shared" si="694"/>
        <v>0.39370824220447942</v>
      </c>
      <c r="AT364" s="93">
        <f t="shared" si="695"/>
        <v>0.33442886744972333</v>
      </c>
      <c r="AU364" s="93">
        <f t="shared" ca="1" si="698"/>
        <v>5.436950623717568E-2</v>
      </c>
      <c r="AV364" s="132">
        <f t="shared" ca="1" si="706"/>
        <v>124.6477539394163</v>
      </c>
      <c r="AW364" s="134">
        <f t="shared" ca="1" si="707"/>
        <v>5.436950623717577E-2</v>
      </c>
      <c r="AX364" s="56">
        <f>+AJ364/$AL$14</f>
        <v>4.2530906305925209E-2</v>
      </c>
      <c r="AY364" s="135">
        <f t="shared" ca="1" si="705"/>
        <v>2.3123843756727388E-3</v>
      </c>
      <c r="AZ364" s="93"/>
      <c r="BA364" s="93"/>
      <c r="BB364" s="234">
        <f>IFERROR(INDEX('Total Customers'!$E$7:$AA$91,MATCH($C364,'Total Customers'!$C$7:$C$91,0),MATCH($G364,'Total Customers'!$E$5:$AA$5,0)),"NA")</f>
        <v>1058827</v>
      </c>
      <c r="BC364" s="411">
        <f t="shared" si="622"/>
        <v>-2.156665647192631E-3</v>
      </c>
      <c r="BD364" s="92"/>
      <c r="BE364" s="281" t="str">
        <f t="shared" si="618"/>
        <v>CONSOLIDATED EDISON COMPANY OF NEW YORK, INC.</v>
      </c>
      <c r="BF364" s="290">
        <f t="shared" si="619"/>
        <v>4057080</v>
      </c>
      <c r="BG364" s="46" t="str">
        <f t="shared" si="620"/>
        <v>NY</v>
      </c>
      <c r="BH364" s="46"/>
      <c r="BI364" s="46" t="str">
        <f t="shared" si="621"/>
        <v>2009 Y</v>
      </c>
      <c r="BJ364" s="129"/>
      <c r="BK364" s="129"/>
      <c r="BL364" s="129">
        <f>INDEX('Dist. Plant Gas Additions'!$E$7:$AD$91,MATCH($C364,'Dist. Plant Gas Additions'!$C$7:$C$91,0),MATCH(Calculation!$G364,'Dist. Plant Gas Additions'!$E$5:$AD$5,0))</f>
        <v>253099</v>
      </c>
      <c r="BM364" s="129">
        <f>INDEX('Gen. Plant Additions'!$E$7:$AD$91,MATCH($C364,'Gen. Plant Additions'!$C$7:$C$91,0),MATCH(Calculation!$G364,'Gen. Plant Additions'!$E$5:$AD$5,0))</f>
        <v>0</v>
      </c>
      <c r="BN364" s="393">
        <f t="shared" si="670"/>
        <v>1</v>
      </c>
      <c r="BO364" s="46">
        <f t="shared" si="683"/>
        <v>0</v>
      </c>
      <c r="BP364" s="46">
        <f t="shared" si="684"/>
        <v>0</v>
      </c>
      <c r="BQ364" s="129">
        <f>INDEX('Dist Plant Depreciation'!$D$7:$AC$94,MATCH($C364,'Dist Plant Depreciation'!$C$7:$C$94,0),MATCH(Calculation!$G364,'Dist Plant Depreciation'!$D$5:$AC$5,0))</f>
        <v>697168</v>
      </c>
      <c r="BR364" s="129">
        <f>INDEX('Gen. Plant Depreciation'!$D$7:$AC$94,MATCH($C364,'Gen. Plant Depreciation'!$C$7:$C$94,0),MATCH(Calculation!$G364,'Gen. Plant Depreciation'!$D$5:$AC$5,0))</f>
        <v>0</v>
      </c>
      <c r="BS364" s="129"/>
      <c r="BT364" s="129"/>
      <c r="BU364" s="129"/>
      <c r="BV364" s="129"/>
      <c r="BW364" s="129"/>
      <c r="BX364" s="129"/>
      <c r="BY364" s="129">
        <f>INDEX('Gross Dx Plant'!$D$7:$AC$91,MATCH($C364,'Gross Dx Plant'!$C$7:$C$91,0),MATCH(Calculation!$G364,'Gross Dx Plant'!$D$5:$AC$5,0))</f>
        <v>3025520</v>
      </c>
      <c r="BZ364" s="129">
        <f>INDEX('Gross Gen Plant'!$D$7:$AC$91,MATCH($C364,'Gross Gen Plant'!$C$7:$C$91,0),MATCH(Calculation!$G364,'Gross Gen Plant'!$D$5:$AC$5,0))</f>
        <v>0</v>
      </c>
      <c r="CA364" s="129">
        <f t="shared" si="626"/>
        <v>2328352</v>
      </c>
      <c r="CB364" s="129"/>
      <c r="CC364" s="133">
        <v>2009</v>
      </c>
      <c r="CD364" s="129"/>
      <c r="CE364" s="129"/>
      <c r="CF364" s="129"/>
      <c r="CG364" s="137"/>
      <c r="CH364" s="129">
        <f t="shared" si="671"/>
        <v>253099</v>
      </c>
      <c r="CI364" s="46">
        <f t="shared" si="680"/>
        <v>253099</v>
      </c>
      <c r="CJ364" s="46">
        <f t="shared" si="672"/>
        <v>459.39432144899143</v>
      </c>
      <c r="CK364" s="443">
        <v>0.87912087912087911</v>
      </c>
      <c r="CL364" s="46">
        <f>+CL353*CK364+CJ354*CK363+CJ355*CK362+CJ356*CK361+CJ357*CK360+CJ358*CK359+CJ359*CK358+CJ360*CK357+CJ361*CK356+CJ362*CK355+CJ363*CK354+CJ364</f>
        <v>8804.1509733661605</v>
      </c>
      <c r="CM364" s="134">
        <f t="shared" si="673"/>
        <v>4.0690983299183164E-2</v>
      </c>
      <c r="CN364" s="135">
        <f t="shared" si="674"/>
        <v>1.2816098052927032E-2</v>
      </c>
      <c r="CO364" s="135">
        <f t="shared" si="685"/>
        <v>1.2518952880098641E-2</v>
      </c>
      <c r="CP364" s="134">
        <f>VLOOKUP($H364,RoR!$E:$F,2,FALSE)</f>
        <v>5.3133333333333324E-2</v>
      </c>
      <c r="CQ364" s="135">
        <v>7.7972502758210105E-3</v>
      </c>
      <c r="CR364" s="135">
        <f t="shared" si="681"/>
        <v>4.5336083057512314E-2</v>
      </c>
      <c r="CS364" s="135">
        <f t="shared" si="686"/>
        <v>1.8382988728434982E-2</v>
      </c>
      <c r="CT364" s="135">
        <f t="shared" si="687"/>
        <v>6.3720160300892073E-2</v>
      </c>
      <c r="CU364" s="139">
        <f t="shared" si="675"/>
        <v>0.85329623209999994</v>
      </c>
      <c r="CV364" s="335">
        <f t="shared" si="676"/>
        <v>0.96515780330083989</v>
      </c>
      <c r="CW364" s="335">
        <f t="shared" si="677"/>
        <v>0.50448557089084056</v>
      </c>
      <c r="CX364" s="335">
        <f t="shared" si="678"/>
        <v>0.87391435735465484</v>
      </c>
      <c r="CY364" s="335">
        <f t="shared" si="679"/>
        <v>0.42551605393279146</v>
      </c>
      <c r="CZ364" s="336">
        <f>INDEX('State Tax Lookup'!$D$7:$Z$91,MATCH(Calculation!$C364,'State Tax Lookup'!$B$7:$B$91,0),MATCH($H364,'State Tax Lookup'!$D$6:$Z$6,0))</f>
        <v>0.39649667</v>
      </c>
      <c r="DA364" s="303">
        <v>0.37</v>
      </c>
      <c r="DB364" s="57">
        <f t="shared" si="682"/>
        <v>14.229842016439951</v>
      </c>
      <c r="DC364" s="56">
        <f t="shared" si="688"/>
        <v>-4.9769220538641253E-2</v>
      </c>
      <c r="DD364" s="303">
        <f>VLOOKUP($H364,RoR!$E:$F,2,FALSE)</f>
        <v>5.3133333333333324E-2</v>
      </c>
      <c r="DE364" s="304">
        <f>HLOOKUP($H364,'GDP-PI'!$D$8:$CQ$11,3,FALSE)</f>
        <v>7.7972502758210105E-3</v>
      </c>
      <c r="DF364" s="303">
        <f>VLOOKUP(H364,'HW Dx Data'!$E:$F,2,FALSE)</f>
        <v>550.94063679692806</v>
      </c>
      <c r="DG364" s="89">
        <f ca="1">VLOOKUP(CC364,'ECI - Input Price'!M$13:N$33,2,FALSE)</f>
        <v>110.925</v>
      </c>
      <c r="DH364" s="89"/>
      <c r="DI364" s="89"/>
      <c r="DJ364" s="56">
        <f t="shared" ca="1" si="696"/>
        <v>2.7649425000884052E-2</v>
      </c>
      <c r="DK364" s="53">
        <f>HLOOKUP(H364,'GDP-PI'!$8:$9,2,FALSE)</f>
        <v>94.998999999999995</v>
      </c>
      <c r="DL364" s="355">
        <f t="shared" si="689"/>
        <v>7.7670088183096342E-3</v>
      </c>
      <c r="EC364"/>
    </row>
    <row r="365" spans="1:133" s="126" customFormat="1" ht="21" customHeight="1" x14ac:dyDescent="0.4">
      <c r="A365" s="233" t="s">
        <v>204</v>
      </c>
      <c r="B365" s="127" t="s">
        <v>204</v>
      </c>
      <c r="C365" s="127">
        <v>4057080</v>
      </c>
      <c r="D365" s="127" t="s">
        <v>194</v>
      </c>
      <c r="E365" s="127" t="s">
        <v>15</v>
      </c>
      <c r="F365" s="127"/>
      <c r="G365" s="127" t="s">
        <v>166</v>
      </c>
      <c r="H365" s="128">
        <v>2010</v>
      </c>
      <c r="I365" s="129"/>
      <c r="J365" s="125">
        <f>IFERROR(INDEX('Labor Expenditures'!$E$7:$W$91,MATCH($C365,'Labor Expenditures'!$C$7:$C$91,0),MATCH($G365,'Labor Expenditures'!$E$5:$W$5,0)),"NA")</f>
        <v>109839.17599763915</v>
      </c>
      <c r="K365" s="125">
        <f t="shared" ca="1" si="690"/>
        <v>939.39855460884451</v>
      </c>
      <c r="L365" s="47"/>
      <c r="M365" s="131">
        <f t="shared" ca="1" si="697"/>
        <v>6.3591558858227967E-2</v>
      </c>
      <c r="N365" s="131"/>
      <c r="O365" s="131"/>
      <c r="P365" s="59">
        <f t="shared" ca="1" si="699"/>
        <v>2.8918990864656275E-3</v>
      </c>
      <c r="Q365" s="61"/>
      <c r="R365" s="387"/>
      <c r="S365" s="49">
        <f t="shared" ca="1" si="704"/>
        <v>97.288496576606832</v>
      </c>
      <c r="T365" s="61">
        <f ca="1">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</f>
        <v>-0.18954728951714994</v>
      </c>
      <c r="U365" s="61"/>
      <c r="V365" s="125">
        <f>IFERROR(INDEX('Non-Labor Expenditures'!$E$7:$AA$91,MATCH($C365,'Non-Labor Expenditures'!$C$7:$C$91,0),MATCH($G365,'Non-Labor Expenditures'!$E$5:$AA$5,0)),"NA")</f>
        <v>159067.64197281143</v>
      </c>
      <c r="W365" s="125">
        <f t="shared" si="691"/>
        <v>1655.0754036855178</v>
      </c>
      <c r="X365" s="131">
        <f t="shared" si="700"/>
        <v>0.10465336639805455</v>
      </c>
      <c r="Y365" s="131">
        <f t="shared" si="701"/>
        <v>4.7592318873140461E-3</v>
      </c>
      <c r="Z365" s="131"/>
      <c r="AA365" s="131"/>
      <c r="AB365" s="131"/>
      <c r="AC365" s="125">
        <f t="shared" si="669"/>
        <v>127533.67459347699</v>
      </c>
      <c r="AD365" s="129"/>
      <c r="AE365" s="133">
        <v>9675.7788008839925</v>
      </c>
      <c r="AF365" s="134">
        <v>4.7038198459317337E-2</v>
      </c>
      <c r="AG365" s="59">
        <f t="shared" si="692"/>
        <v>2.1391160335722469E-3</v>
      </c>
      <c r="AH365" s="134"/>
      <c r="AI365" s="134"/>
      <c r="AJ365" s="129">
        <f t="shared" si="664"/>
        <v>396440.49256392755</v>
      </c>
      <c r="AK365" s="134">
        <f t="shared" si="702"/>
        <v>9.732123423345225E-2</v>
      </c>
      <c r="AL365" s="129"/>
      <c r="AM365" s="129"/>
      <c r="AN365" s="129"/>
      <c r="AO365" s="129"/>
      <c r="AP365" s="133">
        <f t="shared" si="703"/>
        <v>373.0814875471151</v>
      </c>
      <c r="AQ365" s="134">
        <f>+BB365/Outputs!$B$18</f>
        <v>3.0042075999615274E-2</v>
      </c>
      <c r="AR365" s="93">
        <f t="shared" si="693"/>
        <v>0.2770634636418407</v>
      </c>
      <c r="AS365" s="93">
        <f t="shared" si="694"/>
        <v>0.40123964367025694</v>
      </c>
      <c r="AT365" s="93">
        <f t="shared" si="695"/>
        <v>0.32169689268790247</v>
      </c>
      <c r="AU365" s="93">
        <f t="shared" ca="1" si="698"/>
        <v>7.4482014317934539E-2</v>
      </c>
      <c r="AV365" s="132">
        <f t="shared" ca="1" si="706"/>
        <v>134.28626203540333</v>
      </c>
      <c r="AW365" s="134">
        <f t="shared" ca="1" si="707"/>
        <v>7.4482014317934456E-2</v>
      </c>
      <c r="AX365" s="56">
        <f>+AJ365/$AL$15</f>
        <v>4.5476147123753849E-2</v>
      </c>
      <c r="AY365" s="135">
        <f t="shared" ca="1" si="705"/>
        <v>3.3871550411959279E-3</v>
      </c>
      <c r="AZ365" s="93"/>
      <c r="BA365" s="93"/>
      <c r="BB365" s="234">
        <f>IFERROR(INDEX('Total Customers'!$E$7:$AA$91,MATCH($C365,'Total Customers'!$C$7:$C$91,0),MATCH($G365,'Total Customers'!$E$5:$AA$5,0)),"NA")</f>
        <v>1062611</v>
      </c>
      <c r="BC365" s="411">
        <f t="shared" si="622"/>
        <v>3.5673953356436853E-3</v>
      </c>
      <c r="BD365" s="92"/>
      <c r="BE365" s="281" t="str">
        <f t="shared" si="618"/>
        <v>CONSOLIDATED EDISON COMPANY OF NEW YORK, INC.</v>
      </c>
      <c r="BF365" s="290">
        <f t="shared" si="619"/>
        <v>4057080</v>
      </c>
      <c r="BG365" s="46" t="str">
        <f t="shared" si="620"/>
        <v>NY</v>
      </c>
      <c r="BH365" s="46"/>
      <c r="BI365" s="46" t="str">
        <f t="shared" si="621"/>
        <v>2010 Y</v>
      </c>
      <c r="BJ365" s="129"/>
      <c r="BK365" s="129"/>
      <c r="BL365" s="129">
        <f>INDEX('Dist. Plant Gas Additions'!$E$7:$AD$91,MATCH($C365,'Dist. Plant Gas Additions'!$C$7:$C$91,0),MATCH(Calculation!$G365,'Dist. Plant Gas Additions'!$E$5:$AD$5,0))</f>
        <v>289439</v>
      </c>
      <c r="BM365" s="129">
        <f>INDEX('Gen. Plant Additions'!$E$7:$AD$91,MATCH($C365,'Gen. Plant Additions'!$C$7:$C$91,0),MATCH(Calculation!$G365,'Gen. Plant Additions'!$E$5:$AD$5,0))</f>
        <v>0</v>
      </c>
      <c r="BN365" s="393">
        <f t="shared" si="670"/>
        <v>1</v>
      </c>
      <c r="BO365" s="46">
        <f t="shared" si="683"/>
        <v>0</v>
      </c>
      <c r="BP365" s="46">
        <f t="shared" si="684"/>
        <v>0</v>
      </c>
      <c r="BQ365" s="129">
        <f>INDEX('Dist Plant Depreciation'!$D$7:$AC$94,MATCH($C365,'Dist Plant Depreciation'!$C$7:$C$94,0),MATCH(Calculation!$G365,'Dist Plant Depreciation'!$D$5:$AC$5,0))</f>
        <v>749635</v>
      </c>
      <c r="BR365" s="129">
        <f>INDEX('Gen. Plant Depreciation'!$D$7:$AC$94,MATCH($C365,'Gen. Plant Depreciation'!$C$7:$C$94,0),MATCH(Calculation!$G365,'Gen. Plant Depreciation'!$D$5:$AC$5,0))</f>
        <v>0</v>
      </c>
      <c r="BS365" s="129"/>
      <c r="BT365" s="129"/>
      <c r="BU365" s="129"/>
      <c r="BV365" s="129"/>
      <c r="BW365" s="129"/>
      <c r="BX365" s="129"/>
      <c r="BY365" s="129">
        <f>INDEX('Gross Dx Plant'!$D$7:$AC$91,MATCH($C365,'Gross Dx Plant'!$C$7:$C$91,0),MATCH(Calculation!$G365,'Gross Dx Plant'!$D$5:$AC$5,0))</f>
        <v>3301820</v>
      </c>
      <c r="BZ365" s="129">
        <f>INDEX('Gross Gen Plant'!$D$7:$AC$91,MATCH($C365,'Gross Gen Plant'!$C$7:$C$91,0),MATCH(Calculation!$G365,'Gross Gen Plant'!$D$5:$AC$5,0))</f>
        <v>0</v>
      </c>
      <c r="CA365" s="129">
        <f t="shared" si="626"/>
        <v>2552185</v>
      </c>
      <c r="CB365" s="129"/>
      <c r="CC365" s="133">
        <v>2010</v>
      </c>
      <c r="CD365" s="129"/>
      <c r="CE365" s="129"/>
      <c r="CF365" s="129"/>
      <c r="CG365" s="137"/>
      <c r="CH365" s="129">
        <f t="shared" si="671"/>
        <v>289439</v>
      </c>
      <c r="CI365" s="46">
        <f t="shared" si="680"/>
        <v>289439</v>
      </c>
      <c r="CJ365" s="46">
        <f t="shared" si="672"/>
        <v>508.68952531160994</v>
      </c>
      <c r="CK365" s="443">
        <v>0.8666666666666667</v>
      </c>
      <c r="CL365" s="46">
        <f>+CL353*CK365+CJ354*CK364+CJ355*CK363+CJ356*CK362+CJ357*CK361+CJ358*CK360+CJ359*CK359+CJ360*CK358+CJ361*CK357+CJ362*CK356+CJ363*CK355+CJ364*CK354+CJ365</f>
        <v>9197.5932589227996</v>
      </c>
      <c r="CM365" s="134">
        <f t="shared" si="673"/>
        <v>4.3718535753292591E-2</v>
      </c>
      <c r="CN365" s="135">
        <f t="shared" si="674"/>
        <v>1.3090102623593189E-2</v>
      </c>
      <c r="CO365" s="135">
        <f t="shared" si="685"/>
        <v>1.2811868154748164E-2</v>
      </c>
      <c r="CP365" s="134">
        <f>VLOOKUP($H365,RoR!$E:$F,2,FALSE)</f>
        <v>4.9433333333333322E-2</v>
      </c>
      <c r="CQ365" s="135">
        <v>1.1684333519300205E-2</v>
      </c>
      <c r="CR365" s="135">
        <f t="shared" si="681"/>
        <v>3.7748999814033117E-2</v>
      </c>
      <c r="CS365" s="135">
        <f t="shared" si="686"/>
        <v>1.8090073453785459E-2</v>
      </c>
      <c r="CT365" s="135">
        <f t="shared" si="687"/>
        <v>4.7937530248493419E-2</v>
      </c>
      <c r="CU365" s="139">
        <f t="shared" si="675"/>
        <v>0.85329623209999994</v>
      </c>
      <c r="CV365" s="335">
        <f t="shared" si="676"/>
        <v>1.037398205301105</v>
      </c>
      <c r="CW365" s="335">
        <f t="shared" si="677"/>
        <v>0.46926837491571133</v>
      </c>
      <c r="CX365" s="335">
        <f t="shared" si="678"/>
        <v>0.8548537519972772</v>
      </c>
      <c r="CY365" s="335">
        <f t="shared" si="679"/>
        <v>0.41615833911547367</v>
      </c>
      <c r="CZ365" s="336">
        <f>INDEX('State Tax Lookup'!$D$7:$Z$91,MATCH(Calculation!$C365,'State Tax Lookup'!$B$7:$B$91,0),MATCH($H365,'State Tax Lookup'!$D$6:$Z$6,0))</f>
        <v>0.39649667</v>
      </c>
      <c r="DA365" s="303">
        <v>0.37</v>
      </c>
      <c r="DB365" s="57">
        <f t="shared" si="682"/>
        <v>14.485630128252563</v>
      </c>
      <c r="DC365" s="56">
        <f t="shared" si="688"/>
        <v>1.7815822505633686E-2</v>
      </c>
      <c r="DD365" s="303">
        <f>VLOOKUP($H365,RoR!$E:$F,2,FALSE)</f>
        <v>4.9433333333333322E-2</v>
      </c>
      <c r="DE365" s="304">
        <f>HLOOKUP($H365,'GDP-PI'!$D$8:$CQ$11,3,FALSE)</f>
        <v>1.1684333519300205E-2</v>
      </c>
      <c r="DF365" s="303">
        <f>VLOOKUP(H365,'HW Dx Data'!$E:$F,2,FALSE)</f>
        <v>568.98950262971744</v>
      </c>
      <c r="DG365" s="89">
        <f ca="1">VLOOKUP(CC365,'ECI - Input Price'!M$13:N$33,2,FALSE)</f>
        <v>116.925</v>
      </c>
      <c r="DH365" s="89"/>
      <c r="DI365" s="89"/>
      <c r="DJ365" s="56">
        <f t="shared" ca="1" si="696"/>
        <v>5.2678406346976722E-2</v>
      </c>
      <c r="DK365" s="53">
        <f>HLOOKUP(H365,'GDP-PI'!$8:$9,2,FALSE)</f>
        <v>96.108999999999995</v>
      </c>
      <c r="DL365" s="355">
        <f t="shared" si="689"/>
        <v>1.1616598807150427E-2</v>
      </c>
      <c r="EC365"/>
    </row>
    <row r="366" spans="1:133" s="126" customFormat="1" ht="21" customHeight="1" x14ac:dyDescent="0.4">
      <c r="A366" s="233" t="s">
        <v>204</v>
      </c>
      <c r="B366" s="127" t="s">
        <v>204</v>
      </c>
      <c r="C366" s="127">
        <v>4057080</v>
      </c>
      <c r="D366" s="127" t="s">
        <v>194</v>
      </c>
      <c r="E366" s="127" t="s">
        <v>15</v>
      </c>
      <c r="F366" s="127"/>
      <c r="G366" s="127" t="s">
        <v>167</v>
      </c>
      <c r="H366" s="128">
        <v>2011</v>
      </c>
      <c r="I366" s="129"/>
      <c r="J366" s="125">
        <f>IFERROR(INDEX('Labor Expenditures'!$E$7:$W$91,MATCH($C366,'Labor Expenditures'!$C$7:$C$91,0),MATCH($G366,'Labor Expenditures'!$E$5:$W$5,0)),"NA")</f>
        <v>117334.51076646303</v>
      </c>
      <c r="K366" s="125">
        <f t="shared" ca="1" si="690"/>
        <v>970.70949961913573</v>
      </c>
      <c r="L366" s="47"/>
      <c r="M366" s="131">
        <f t="shared" ca="1" si="697"/>
        <v>3.2787412070322715E-2</v>
      </c>
      <c r="N366" s="131"/>
      <c r="O366" s="131"/>
      <c r="P366" s="59">
        <f t="shared" ca="1" si="699"/>
        <v>1.5490223049554885E-3</v>
      </c>
      <c r="Q366" s="61"/>
      <c r="R366" s="387"/>
      <c r="S366" s="49">
        <f t="shared" ca="1" si="704"/>
        <v>116.86874410090205</v>
      </c>
      <c r="T366" s="61">
        <f ca="1">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</f>
        <v>0.18337070390944679</v>
      </c>
      <c r="U366" s="61"/>
      <c r="V366" s="125">
        <f>IFERROR(INDEX('Non-Labor Expenditures'!$E$7:$AA$91,MATCH($C366,'Non-Labor Expenditures'!$C$7:$C$91,0),MATCH($G366,'Non-Labor Expenditures'!$E$5:$AA$5,0)),"NA")</f>
        <v>169922.28665349682</v>
      </c>
      <c r="W366" s="125">
        <f t="shared" si="691"/>
        <v>1731.9215453104291</v>
      </c>
      <c r="X366" s="131">
        <f t="shared" si="700"/>
        <v>4.5384943018981841E-2</v>
      </c>
      <c r="Y366" s="131">
        <f t="shared" si="701"/>
        <v>2.1441853628078921E-3</v>
      </c>
      <c r="Z366" s="131"/>
      <c r="AA366" s="131"/>
      <c r="AB366" s="131"/>
      <c r="AC366" s="125">
        <f t="shared" si="669"/>
        <v>141376.80013583606</v>
      </c>
      <c r="AD366" s="129"/>
      <c r="AE366" s="133">
        <v>10129.250013573899</v>
      </c>
      <c r="AF366" s="134">
        <v>4.5801547455811289E-2</v>
      </c>
      <c r="AG366" s="59">
        <f t="shared" si="692"/>
        <v>2.1638675982831447E-3</v>
      </c>
      <c r="AH366" s="134"/>
      <c r="AI366" s="134"/>
      <c r="AJ366" s="129">
        <f t="shared" si="664"/>
        <v>428633.59755579592</v>
      </c>
      <c r="AK366" s="134">
        <f t="shared" si="702"/>
        <v>7.8076521032615059E-2</v>
      </c>
      <c r="AL366" s="129"/>
      <c r="AM366" s="129"/>
      <c r="AN366" s="129"/>
      <c r="AO366" s="129"/>
      <c r="AP366" s="133">
        <f t="shared" si="703"/>
        <v>402.2779550525716</v>
      </c>
      <c r="AQ366" s="134">
        <f>+BB366/Outputs!$B$19</f>
        <v>2.9978856993545907E-2</v>
      </c>
      <c r="AR366" s="93">
        <f t="shared" si="693"/>
        <v>0.2737408160152201</v>
      </c>
      <c r="AS366" s="93">
        <f t="shared" si="694"/>
        <v>0.39642782932193682</v>
      </c>
      <c r="AT366" s="93">
        <f t="shared" si="695"/>
        <v>0.32983135466284308</v>
      </c>
      <c r="AU366" s="93">
        <f t="shared" ca="1" si="698"/>
        <v>4.2051270818448006E-2</v>
      </c>
      <c r="AV366" s="132">
        <f t="shared" ca="1" si="706"/>
        <v>140.05358172648599</v>
      </c>
      <c r="AW366" s="134">
        <f t="shared" ca="1" si="707"/>
        <v>4.2051270818448047E-2</v>
      </c>
      <c r="AX366" s="56">
        <f>+AJ366/$AL$16</f>
        <v>4.7244421170940014E-2</v>
      </c>
      <c r="AY366" s="135">
        <f t="shared" ca="1" si="705"/>
        <v>1.9866879493200189E-3</v>
      </c>
      <c r="AZ366" s="93"/>
      <c r="BA366" s="93"/>
      <c r="BB366" s="234">
        <f>IFERROR(INDEX('Total Customers'!$E$7:$AA$91,MATCH($C366,'Total Customers'!$C$7:$C$91,0),MATCH($G366,'Total Customers'!$E$5:$AA$5,0)),"NA")</f>
        <v>1065516</v>
      </c>
      <c r="BC366" s="411">
        <f t="shared" si="622"/>
        <v>2.7301019200050227E-3</v>
      </c>
      <c r="BD366" s="92"/>
      <c r="BE366" s="281" t="str">
        <f t="shared" si="618"/>
        <v>CONSOLIDATED EDISON COMPANY OF NEW YORK, INC.</v>
      </c>
      <c r="BF366" s="290">
        <f t="shared" si="619"/>
        <v>4057080</v>
      </c>
      <c r="BG366" s="46" t="str">
        <f t="shared" si="620"/>
        <v>NY</v>
      </c>
      <c r="BH366" s="46"/>
      <c r="BI366" s="46" t="str">
        <f t="shared" si="621"/>
        <v>2011 Y</v>
      </c>
      <c r="BJ366" s="129"/>
      <c r="BK366" s="129"/>
      <c r="BL366" s="129">
        <f>INDEX('Dist. Plant Gas Additions'!$E$7:$AD$91,MATCH($C366,'Dist. Plant Gas Additions'!$C$7:$C$91,0),MATCH(Calculation!$G366,'Dist. Plant Gas Additions'!$E$5:$AD$5,0))</f>
        <v>319478</v>
      </c>
      <c r="BM366" s="129">
        <f>INDEX('Gen. Plant Additions'!$E$7:$AD$91,MATCH($C366,'Gen. Plant Additions'!$C$7:$C$91,0),MATCH(Calculation!$G366,'Gen. Plant Additions'!$E$5:$AD$5,0))</f>
        <v>0</v>
      </c>
      <c r="BN366" s="393">
        <f t="shared" si="670"/>
        <v>1</v>
      </c>
      <c r="BO366" s="46">
        <f t="shared" si="683"/>
        <v>0</v>
      </c>
      <c r="BP366" s="46">
        <f t="shared" si="684"/>
        <v>0</v>
      </c>
      <c r="BQ366" s="129">
        <f>INDEX('Dist Plant Depreciation'!$D$7:$AC$94,MATCH($C366,'Dist Plant Depreciation'!$C$7:$C$94,0),MATCH(Calculation!$G366,'Dist Plant Depreciation'!$D$5:$AC$5,0))</f>
        <v>811630</v>
      </c>
      <c r="BR366" s="129">
        <f>INDEX('Gen. Plant Depreciation'!$D$7:$AC$94,MATCH($C366,'Gen. Plant Depreciation'!$C$7:$C$94,0),MATCH(Calculation!$G366,'Gen. Plant Depreciation'!$D$5:$AC$5,0))</f>
        <v>0</v>
      </c>
      <c r="BS366" s="129"/>
      <c r="BT366" s="129"/>
      <c r="BU366" s="129"/>
      <c r="BV366" s="129"/>
      <c r="BW366" s="129"/>
      <c r="BX366" s="129"/>
      <c r="BY366" s="129">
        <f>INDEX('Gross Dx Plant'!$D$7:$AC$91,MATCH($C366,'Gross Dx Plant'!$C$7:$C$91,0),MATCH(Calculation!$G366,'Gross Dx Plant'!$D$5:$AC$5,0))</f>
        <v>3610878</v>
      </c>
      <c r="BZ366" s="129">
        <f>INDEX('Gross Gen Plant'!$D$7:$AC$91,MATCH($C366,'Gross Gen Plant'!$C$7:$C$91,0),MATCH(Calculation!$G366,'Gross Gen Plant'!$D$5:$AC$5,0))</f>
        <v>0</v>
      </c>
      <c r="CA366" s="129">
        <f t="shared" si="626"/>
        <v>2799248</v>
      </c>
      <c r="CB366" s="129"/>
      <c r="CC366" s="133">
        <v>2011</v>
      </c>
      <c r="CD366" s="129"/>
      <c r="CE366" s="129"/>
      <c r="CF366" s="129"/>
      <c r="CG366" s="137"/>
      <c r="CH366" s="129">
        <f t="shared" si="671"/>
        <v>319478</v>
      </c>
      <c r="CI366" s="46">
        <f t="shared" si="680"/>
        <v>319478</v>
      </c>
      <c r="CJ366" s="46">
        <f t="shared" si="672"/>
        <v>522.35481341862067</v>
      </c>
      <c r="CK366" s="443">
        <v>0.8539325842696629</v>
      </c>
      <c r="CL366" s="46">
        <f>+CL353*CK366+CJ354*CK365+CJ355*CK364+CJ356*CK363+CJ357*CK362+CJ358*CK361+CJ359*CK360+CJ360*CK359+CJ361*CK358+CJ362*CK357+CJ363*CK356+CJ364*CK355+CJ365*CK354+CJ366</f>
        <v>9597.1319587190774</v>
      </c>
      <c r="CM366" s="134">
        <f t="shared" si="673"/>
        <v>4.2522451997591776E-2</v>
      </c>
      <c r="CN366" s="135">
        <f t="shared" si="674"/>
        <v>1.335307076154907E-2</v>
      </c>
      <c r="CO366" s="135">
        <f t="shared" si="685"/>
        <v>1.3086423812689763E-2</v>
      </c>
      <c r="CP366" s="134">
        <f>VLOOKUP($H366,RoR!$E:$F,2,FALSE)</f>
        <v>4.6391666666666664E-2</v>
      </c>
      <c r="CQ366" s="135">
        <v>2.0840920205183799E-2</v>
      </c>
      <c r="CR366" s="135">
        <f t="shared" si="681"/>
        <v>2.5550746461482865E-2</v>
      </c>
      <c r="CS366" s="135">
        <f t="shared" si="686"/>
        <v>1.7815517795843862E-2</v>
      </c>
      <c r="CT366" s="135">
        <f t="shared" si="687"/>
        <v>2.4810540821321614E-2</v>
      </c>
      <c r="CU366" s="139">
        <f t="shared" si="675"/>
        <v>0.85329623209999994</v>
      </c>
      <c r="CV366" s="335">
        <f t="shared" si="676"/>
        <v>1.1054151524782025</v>
      </c>
      <c r="CW366" s="335">
        <f t="shared" si="677"/>
        <v>0.43611011316687626</v>
      </c>
      <c r="CX366" s="335">
        <f t="shared" si="678"/>
        <v>0.83698442246886229</v>
      </c>
      <c r="CY366" s="335">
        <f t="shared" si="679"/>
        <v>0.40349573304423936</v>
      </c>
      <c r="CZ366" s="336">
        <f>INDEX('State Tax Lookup'!$D$7:$Z$91,MATCH(Calculation!$C366,'State Tax Lookup'!$B$7:$B$91,0),MATCH($H366,'State Tax Lookup'!$D$6:$Z$6,0))</f>
        <v>0.39649667</v>
      </c>
      <c r="DA366" s="303">
        <v>0.37</v>
      </c>
      <c r="DB366" s="57">
        <f t="shared" si="682"/>
        <v>15.371064598739798</v>
      </c>
      <c r="DC366" s="56">
        <f t="shared" si="688"/>
        <v>5.9329687473198604E-2</v>
      </c>
      <c r="DD366" s="303">
        <f>VLOOKUP($H366,RoR!$E:$F,2,FALSE)</f>
        <v>4.6391666666666664E-2</v>
      </c>
      <c r="DE366" s="304">
        <f>HLOOKUP($H366,'GDP-PI'!$D$8:$CQ$11,3,FALSE)</f>
        <v>2.0840920205183799E-2</v>
      </c>
      <c r="DF366" s="303">
        <f>VLOOKUP(H366,'HW Dx Data'!$E:$F,2,FALSE)</f>
        <v>611.61109612283201</v>
      </c>
      <c r="DG366" s="89">
        <f ca="1">VLOOKUP(CC366,'ECI - Input Price'!M$13:N$33,2,FALSE)</f>
        <v>120.875</v>
      </c>
      <c r="DH366" s="89"/>
      <c r="DI366" s="89"/>
      <c r="DJ366" s="56">
        <f t="shared" ca="1" si="696"/>
        <v>3.3224250161508609E-2</v>
      </c>
      <c r="DK366" s="53">
        <f>HLOOKUP(H366,'GDP-PI'!$8:$9,2,FALSE)</f>
        <v>98.111999999999995</v>
      </c>
      <c r="DL366" s="355">
        <f t="shared" si="689"/>
        <v>2.0626719212849295E-2</v>
      </c>
      <c r="EC366"/>
    </row>
    <row r="367" spans="1:133" s="126" customFormat="1" ht="21" customHeight="1" x14ac:dyDescent="0.4">
      <c r="A367" s="233" t="s">
        <v>204</v>
      </c>
      <c r="B367" s="127" t="s">
        <v>204</v>
      </c>
      <c r="C367" s="127">
        <v>4057080</v>
      </c>
      <c r="D367" s="127" t="s">
        <v>194</v>
      </c>
      <c r="E367" s="127" t="s">
        <v>15</v>
      </c>
      <c r="F367" s="127"/>
      <c r="G367" s="127" t="s">
        <v>168</v>
      </c>
      <c r="H367" s="128">
        <v>2012</v>
      </c>
      <c r="I367" s="129"/>
      <c r="J367" s="125">
        <f>IFERROR(INDEX('Labor Expenditures'!$E$7:$W$91,MATCH($C367,'Labor Expenditures'!$C$7:$C$91,0),MATCH($G367,'Labor Expenditures'!$E$5:$W$5,0)),"NA")</f>
        <v>109599.99298994782</v>
      </c>
      <c r="K367" s="125">
        <f t="shared" ca="1" si="690"/>
        <v>878.20507203483817</v>
      </c>
      <c r="L367" s="47"/>
      <c r="M367" s="131">
        <f t="shared" ca="1" si="697"/>
        <v>-0.10014711342937002</v>
      </c>
      <c r="N367" s="131"/>
      <c r="O367" s="131"/>
      <c r="P367" s="59">
        <f t="shared" ca="1" si="699"/>
        <v>-4.5515621066519428E-3</v>
      </c>
      <c r="Q367" s="61"/>
      <c r="R367" s="387"/>
      <c r="S367" s="49">
        <f t="shared" ca="1" si="704"/>
        <v>114.98512704062607</v>
      </c>
      <c r="T367" s="61">
        <f ca="1">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</f>
        <v>-1.6248669848986024E-2</v>
      </c>
      <c r="U367" s="61"/>
      <c r="V367" s="125">
        <f>IFERROR(INDEX('Non-Labor Expenditures'!$E$7:$AA$91,MATCH($C367,'Non-Labor Expenditures'!$C$7:$C$91,0),MATCH($G367,'Non-Labor Expenditures'!$E$5:$AA$5,0)),"NA")</f>
        <v>158721.26030445073</v>
      </c>
      <c r="W367" s="125">
        <f t="shared" si="691"/>
        <v>1587.2126030445072</v>
      </c>
      <c r="X367" s="131">
        <f t="shared" si="700"/>
        <v>-8.7252114006243497E-2</v>
      </c>
      <c r="Y367" s="131">
        <f t="shared" si="701"/>
        <v>-3.9655003747679296E-3</v>
      </c>
      <c r="Z367" s="131"/>
      <c r="AA367" s="131"/>
      <c r="AB367" s="131"/>
      <c r="AC367" s="125">
        <f t="shared" si="669"/>
        <v>158368.07920827135</v>
      </c>
      <c r="AD367" s="129"/>
      <c r="AE367" s="133">
        <v>10539.830547161451</v>
      </c>
      <c r="AF367" s="134">
        <v>3.9734186517161027E-2</v>
      </c>
      <c r="AG367" s="59">
        <f t="shared" si="692"/>
        <v>1.8058695003495952E-3</v>
      </c>
      <c r="AH367" s="134"/>
      <c r="AI367" s="134"/>
      <c r="AJ367" s="129">
        <f t="shared" si="664"/>
        <v>426689.33250266989</v>
      </c>
      <c r="AK367" s="134">
        <f t="shared" si="702"/>
        <v>-4.5462791504267625E-3</v>
      </c>
      <c r="AL367" s="129"/>
      <c r="AM367" s="129"/>
      <c r="AN367" s="129"/>
      <c r="AO367" s="129"/>
      <c r="AP367" s="133">
        <f t="shared" si="703"/>
        <v>399.60753054978068</v>
      </c>
      <c r="AQ367" s="134">
        <f>+BB367/Outputs!$B$20</f>
        <v>2.989833031574508E-2</v>
      </c>
      <c r="AR367" s="93">
        <f t="shared" si="693"/>
        <v>0.25686133831166735</v>
      </c>
      <c r="AS367" s="93">
        <f t="shared" si="694"/>
        <v>0.37198319295563259</v>
      </c>
      <c r="AT367" s="93">
        <f t="shared" si="695"/>
        <v>0.37115546873270006</v>
      </c>
      <c r="AU367" s="93">
        <f t="shared" ca="1" si="698"/>
        <v>-4.6165309533894389E-2</v>
      </c>
      <c r="AV367" s="132">
        <f t="shared" ca="1" si="706"/>
        <v>133.73493801622772</v>
      </c>
      <c r="AW367" s="134">
        <f t="shared" ca="1" si="707"/>
        <v>-4.6165309533894534E-2</v>
      </c>
      <c r="AX367" s="56">
        <f>+AJ367/$AL$17</f>
        <v>4.544875983731661E-2</v>
      </c>
      <c r="AY367" s="135">
        <f t="shared" ca="1" si="705"/>
        <v>-2.0981560658213556E-3</v>
      </c>
      <c r="AZ367" s="93"/>
      <c r="BA367" s="93"/>
      <c r="BB367" s="234">
        <f>IFERROR(INDEX('Total Customers'!$E$7:$AA$91,MATCH($C367,'Total Customers'!$C$7:$C$91,0),MATCH($G367,'Total Customers'!$E$5:$AA$5,0)),"NA")</f>
        <v>1067771</v>
      </c>
      <c r="BC367" s="411">
        <f t="shared" si="622"/>
        <v>2.1141092032019404E-3</v>
      </c>
      <c r="BD367" s="92"/>
      <c r="BE367" s="281" t="str">
        <f t="shared" si="618"/>
        <v>CONSOLIDATED EDISON COMPANY OF NEW YORK, INC.</v>
      </c>
      <c r="BF367" s="290">
        <f t="shared" si="619"/>
        <v>4057080</v>
      </c>
      <c r="BG367" s="46" t="str">
        <f t="shared" si="620"/>
        <v>NY</v>
      </c>
      <c r="BH367" s="46"/>
      <c r="BI367" s="46" t="str">
        <f t="shared" si="621"/>
        <v>2012 Y</v>
      </c>
      <c r="BJ367" s="129"/>
      <c r="BK367" s="129"/>
      <c r="BL367" s="129">
        <f>INDEX('Dist. Plant Gas Additions'!$E$7:$AD$91,MATCH($C367,'Dist. Plant Gas Additions'!$C$7:$C$91,0),MATCH(Calculation!$G367,'Dist. Plant Gas Additions'!$E$5:$AD$5,0))</f>
        <v>324103</v>
      </c>
      <c r="BM367" s="129">
        <f>INDEX('Gen. Plant Additions'!$E$7:$AD$91,MATCH($C367,'Gen. Plant Additions'!$C$7:$C$91,0),MATCH(Calculation!$G367,'Gen. Plant Additions'!$E$5:$AD$5,0))</f>
        <v>0</v>
      </c>
      <c r="BN367" s="393">
        <f t="shared" si="670"/>
        <v>1</v>
      </c>
      <c r="BO367" s="129"/>
      <c r="BP367" s="129"/>
      <c r="BQ367" s="129">
        <f>INDEX('Dist Plant Depreciation'!$D$7:$AC$94,MATCH($C367,'Dist Plant Depreciation'!$C$7:$C$94,0),MATCH(Calculation!$G367,'Dist Plant Depreciation'!$D$5:$AC$5,0))</f>
        <v>882724</v>
      </c>
      <c r="BR367" s="129">
        <f>INDEX('Gen. Plant Depreciation'!$D$7:$AC$94,MATCH($C367,'Gen. Plant Depreciation'!$C$7:$C$94,0),MATCH(Calculation!$G367,'Gen. Plant Depreciation'!$D$5:$AC$5,0))</f>
        <v>0</v>
      </c>
      <c r="BS367" s="129"/>
      <c r="BT367" s="129"/>
      <c r="BU367" s="129"/>
      <c r="BV367" s="129"/>
      <c r="BW367" s="129"/>
      <c r="BX367" s="129"/>
      <c r="BY367" s="129">
        <f>INDEX('Gross Dx Plant'!$D$7:$AC$91,MATCH($C367,'Gross Dx Plant'!$C$7:$C$91,0),MATCH(Calculation!$G367,'Gross Dx Plant'!$D$5:$AC$5,0))</f>
        <v>3926889</v>
      </c>
      <c r="BZ367" s="129">
        <f>INDEX('Gross Gen Plant'!$D$7:$AC$91,MATCH($C367,'Gross Gen Plant'!$C$7:$C$91,0),MATCH(Calculation!$G367,'Gross Gen Plant'!$D$5:$AC$5,0))</f>
        <v>0</v>
      </c>
      <c r="CA367" s="129">
        <f t="shared" si="626"/>
        <v>3044165</v>
      </c>
      <c r="CB367" s="129"/>
      <c r="CC367" s="133">
        <v>2012</v>
      </c>
      <c r="CD367" s="129"/>
      <c r="CE367" s="129"/>
      <c r="CF367" s="129"/>
      <c r="CG367" s="137"/>
      <c r="CH367" s="129">
        <f t="shared" si="671"/>
        <v>324103</v>
      </c>
      <c r="CI367" s="46">
        <f t="shared" si="680"/>
        <v>324103</v>
      </c>
      <c r="CJ367" s="46">
        <f t="shared" si="672"/>
        <v>484.51732411675329</v>
      </c>
      <c r="CK367" s="443">
        <v>0.84090909090909094</v>
      </c>
      <c r="CL367" s="46">
        <f>+CL353*CK367+CJ354*CK366+CJ355*CK365+CJ356*CK364+CJ357*CK363+CJ358*CK362+CJ359*CK361+CJ360*CK360+CJ361*CK359+CJ362*CK358+CJ363*CK357+CJ364*CK356+CJ365*CK355+CJ366*CK354+CJ367</f>
        <v>9950.943757512181</v>
      </c>
      <c r="CM367" s="134">
        <f t="shared" si="673"/>
        <v>3.6203097136010561E-2</v>
      </c>
      <c r="CN367" s="135">
        <f t="shared" si="674"/>
        <v>1.3619227690716759E-2</v>
      </c>
      <c r="CO367" s="135">
        <f t="shared" si="685"/>
        <v>1.3354133691953006E-2</v>
      </c>
      <c r="CP367" s="134">
        <f>VLOOKUP($H367,RoR!$E:$F,2,FALSE)</f>
        <v>3.6733333333333333E-2</v>
      </c>
      <c r="CQ367" s="135">
        <v>1.924331376386168E-2</v>
      </c>
      <c r="CR367" s="135">
        <f t="shared" si="681"/>
        <v>1.7490019569471653E-2</v>
      </c>
      <c r="CS367" s="135">
        <f t="shared" si="686"/>
        <v>1.7547807916580619E-2</v>
      </c>
      <c r="CT367" s="135">
        <f t="shared" si="687"/>
        <v>6.7122682943869583E-2</v>
      </c>
      <c r="CU367" s="139">
        <f t="shared" si="675"/>
        <v>0.85329623209999994</v>
      </c>
      <c r="CV367" s="335">
        <f t="shared" si="676"/>
        <v>1.3960631020522127</v>
      </c>
      <c r="CW367" s="335">
        <f t="shared" si="677"/>
        <v>0.29441923774954631</v>
      </c>
      <c r="CX367" s="335">
        <f t="shared" si="678"/>
        <v>0.76377954189366437</v>
      </c>
      <c r="CY367" s="335">
        <f t="shared" si="679"/>
        <v>0.31393465103033691</v>
      </c>
      <c r="CZ367" s="336">
        <f>INDEX('State Tax Lookup'!$D$7:$Z$91,MATCH(Calculation!$C367,'State Tax Lookup'!$B$7:$B$91,0),MATCH($H367,'State Tax Lookup'!$D$6:$Z$6,0))</f>
        <v>0.39649667</v>
      </c>
      <c r="DA367" s="303">
        <v>0.37</v>
      </c>
      <c r="DB367" s="57">
        <f t="shared" si="682"/>
        <v>16.501604842933578</v>
      </c>
      <c r="DC367" s="56">
        <f t="shared" si="688"/>
        <v>7.0970819513486452E-2</v>
      </c>
      <c r="DD367" s="303">
        <f>VLOOKUP($H367,RoR!$E:$F,2,FALSE)</f>
        <v>3.6733333333333333E-2</v>
      </c>
      <c r="DE367" s="304">
        <f>HLOOKUP($H367,'GDP-PI'!$D$8:$CQ$11,3,FALSE)</f>
        <v>1.924331376386168E-2</v>
      </c>
      <c r="DF367" s="303">
        <f>VLOOKUP(H367,'HW Dx Data'!$E:$F,2,FALSE)</f>
        <v>668.91932211262167</v>
      </c>
      <c r="DG367" s="89">
        <f ca="1">VLOOKUP(CC367,'ECI - Input Price'!M$13:N$33,2,FALSE)</f>
        <v>124.80000000000001</v>
      </c>
      <c r="DH367" s="89"/>
      <c r="DI367" s="89"/>
      <c r="DJ367" s="56">
        <f t="shared" ca="1" si="696"/>
        <v>3.1955502161869064E-2</v>
      </c>
      <c r="DK367" s="53">
        <f>HLOOKUP(H367,'GDP-PI'!$8:$9,2,FALSE)</f>
        <v>100</v>
      </c>
      <c r="DL367" s="355">
        <f t="shared" si="689"/>
        <v>1.9060502738742411E-2</v>
      </c>
      <c r="EC367"/>
    </row>
    <row r="368" spans="1:133" s="126" customFormat="1" ht="21" customHeight="1" x14ac:dyDescent="0.4">
      <c r="A368" s="233" t="s">
        <v>204</v>
      </c>
      <c r="B368" s="127" t="s">
        <v>204</v>
      </c>
      <c r="C368" s="127">
        <v>4057080</v>
      </c>
      <c r="D368" s="127" t="s">
        <v>194</v>
      </c>
      <c r="E368" s="127" t="s">
        <v>15</v>
      </c>
      <c r="F368" s="127"/>
      <c r="G368" s="127" t="s">
        <v>169</v>
      </c>
      <c r="H368" s="128">
        <v>2013</v>
      </c>
      <c r="I368" s="129"/>
      <c r="J368" s="125">
        <f>IFERROR(INDEX('Labor Expenditures'!$E$7:$W$91,MATCH($C368,'Labor Expenditures'!$C$7:$C$91,0),MATCH($G368,'Labor Expenditures'!$E$5:$W$5,0)),"NA")</f>
        <v>113890.16012322962</v>
      </c>
      <c r="K368" s="125">
        <f t="shared" ca="1" si="690"/>
        <v>898.18738267531251</v>
      </c>
      <c r="L368" s="47"/>
      <c r="M368" s="131">
        <f t="shared" ca="1" si="697"/>
        <v>2.2498579610238774E-2</v>
      </c>
      <c r="N368" s="131"/>
      <c r="O368" s="131"/>
      <c r="P368" s="59">
        <f t="shared" ca="1" si="699"/>
        <v>1.0156699210669021E-3</v>
      </c>
      <c r="Q368" s="61"/>
      <c r="R368" s="387"/>
      <c r="S368" s="49">
        <f t="shared" ca="1" si="704"/>
        <v>108.03603766954231</v>
      </c>
      <c r="T368" s="61">
        <f ca="1">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</f>
        <v>-6.2337936327769024E-2</v>
      </c>
      <c r="U368" s="61"/>
      <c r="V368" s="125">
        <f>IFERROR(INDEX('Non-Labor Expenditures'!$E$7:$AA$91,MATCH($C368,'Non-Labor Expenditures'!$C$7:$C$91,0),MATCH($G368,'Non-Labor Expenditures'!$E$5:$AA$5,0)),"NA")</f>
        <v>164934.22360613337</v>
      </c>
      <c r="W368" s="125">
        <f t="shared" si="691"/>
        <v>1620.6088413049961</v>
      </c>
      <c r="X368" s="131">
        <f t="shared" si="700"/>
        <v>2.0822508661526337E-2</v>
      </c>
      <c r="Y368" s="131">
        <f t="shared" si="701"/>
        <v>9.400058179247383E-4</v>
      </c>
      <c r="Z368" s="131"/>
      <c r="AA368" s="131"/>
      <c r="AB368" s="131"/>
      <c r="AC368" s="125">
        <f t="shared" si="669"/>
        <v>160450.27948949419</v>
      </c>
      <c r="AD368" s="129"/>
      <c r="AE368" s="133">
        <v>10966.416879164613</v>
      </c>
      <c r="AF368" s="134">
        <v>3.9676126003375084E-2</v>
      </c>
      <c r="AG368" s="59">
        <f t="shared" si="692"/>
        <v>1.7911285274093245E-3</v>
      </c>
      <c r="AH368" s="134"/>
      <c r="AI368" s="134"/>
      <c r="AJ368" s="129">
        <f t="shared" si="664"/>
        <v>439274.66321885714</v>
      </c>
      <c r="AK368" s="134">
        <f t="shared" si="702"/>
        <v>2.9068684080995857E-2</v>
      </c>
      <c r="AL368" s="129"/>
      <c r="AM368" s="129"/>
      <c r="AN368" s="129"/>
      <c r="AO368" s="129"/>
      <c r="AP368" s="133">
        <f t="shared" si="703"/>
        <v>410.62341447393806</v>
      </c>
      <c r="AQ368" s="134">
        <f>+BB368/Outputs!$B$21</f>
        <v>2.9763534350113703E-2</v>
      </c>
      <c r="AR368" s="93">
        <f t="shared" si="693"/>
        <v>0.25926867552223659</v>
      </c>
      <c r="AS368" s="93">
        <f t="shared" si="694"/>
        <v>0.37546946686510618</v>
      </c>
      <c r="AT368" s="93">
        <f t="shared" si="695"/>
        <v>0.36526185761265734</v>
      </c>
      <c r="AU368" s="93">
        <f t="shared" ca="1" si="698"/>
        <v>2.8197109159910475E-2</v>
      </c>
      <c r="AV368" s="132">
        <f t="shared" ca="1" si="706"/>
        <v>137.55954468648861</v>
      </c>
      <c r="AW368" s="134">
        <f t="shared" ca="1" si="707"/>
        <v>2.8197109159910555E-2</v>
      </c>
      <c r="AX368" s="56">
        <f>+AJ368/$AL$18</f>
        <v>4.5143735234053864E-2</v>
      </c>
      <c r="AY368" s="135">
        <f t="shared" ca="1" si="705"/>
        <v>1.2729228302807171E-3</v>
      </c>
      <c r="AZ368" s="93"/>
      <c r="BA368" s="93"/>
      <c r="BB368" s="234">
        <f>IFERROR(INDEX('Total Customers'!$E$7:$AA$91,MATCH($C368,'Total Customers'!$C$7:$C$91,0),MATCH($G368,'Total Customers'!$E$5:$AA$5,0)),"NA")</f>
        <v>1069775</v>
      </c>
      <c r="BC368" s="411">
        <f t="shared" si="622"/>
        <v>1.8750479167599021E-3</v>
      </c>
      <c r="BD368" s="92"/>
      <c r="BE368" s="281" t="str">
        <f t="shared" si="618"/>
        <v>CONSOLIDATED EDISON COMPANY OF NEW YORK, INC.</v>
      </c>
      <c r="BF368" s="290">
        <f t="shared" si="619"/>
        <v>4057080</v>
      </c>
      <c r="BG368" s="46" t="str">
        <f t="shared" si="620"/>
        <v>NY</v>
      </c>
      <c r="BH368" s="46"/>
      <c r="BI368" s="46" t="str">
        <f t="shared" si="621"/>
        <v>2013 Y</v>
      </c>
      <c r="BJ368" s="129"/>
      <c r="BK368" s="129"/>
      <c r="BL368" s="129">
        <f>INDEX('Dist. Plant Gas Additions'!$E$7:$AD$91,MATCH($C368,'Dist. Plant Gas Additions'!$C$7:$C$91,0),MATCH(Calculation!$G368,'Dist. Plant Gas Additions'!$E$5:$AD$5,0))</f>
        <v>335339</v>
      </c>
      <c r="BM368" s="129">
        <f>INDEX('Gen. Plant Additions'!$E$7:$AD$91,MATCH($C368,'Gen. Plant Additions'!$C$7:$C$91,0),MATCH(Calculation!$G368,'Gen. Plant Additions'!$E$5:$AD$5,0))</f>
        <v>0</v>
      </c>
      <c r="BN368" s="393">
        <f t="shared" si="670"/>
        <v>1</v>
      </c>
      <c r="BO368" s="129"/>
      <c r="BP368" s="129"/>
      <c r="BQ368" s="129">
        <f>INDEX('Dist Plant Depreciation'!$D$7:$AC$94,MATCH($C368,'Dist Plant Depreciation'!$C$7:$C$94,0),MATCH(Calculation!$G368,'Dist Plant Depreciation'!$D$5:$AC$5,0))</f>
        <v>952542</v>
      </c>
      <c r="BR368" s="129">
        <f>INDEX('Gen. Plant Depreciation'!$D$7:$AC$94,MATCH($C368,'Gen. Plant Depreciation'!$C$7:$C$94,0),MATCH(Calculation!$G368,'Gen. Plant Depreciation'!$D$5:$AC$5,0))</f>
        <v>5</v>
      </c>
      <c r="BS368" s="129"/>
      <c r="BT368" s="129"/>
      <c r="BU368" s="129"/>
      <c r="BV368" s="129"/>
      <c r="BW368" s="129"/>
      <c r="BX368" s="129"/>
      <c r="BY368" s="129">
        <f>INDEX('Gross Dx Plant'!$D$7:$AC$91,MATCH($C368,'Gross Dx Plant'!$C$7:$C$91,0),MATCH(Calculation!$G368,'Gross Dx Plant'!$D$5:$AC$5,0))</f>
        <v>4249532</v>
      </c>
      <c r="BZ368" s="129">
        <f>INDEX('Gross Gen Plant'!$D$7:$AC$91,MATCH($C368,'Gross Gen Plant'!$C$7:$C$91,0),MATCH(Calculation!$G368,'Gross Gen Plant'!$D$5:$AC$5,0))</f>
        <v>0</v>
      </c>
      <c r="CA368" s="129">
        <f t="shared" si="626"/>
        <v>3296985</v>
      </c>
      <c r="CB368" s="129"/>
      <c r="CC368" s="133">
        <v>2013</v>
      </c>
      <c r="CD368" s="129"/>
      <c r="CE368" s="129"/>
      <c r="CF368" s="129"/>
      <c r="CG368" s="137"/>
      <c r="CH368" s="129">
        <f t="shared" si="671"/>
        <v>335339</v>
      </c>
      <c r="CI368" s="46">
        <f t="shared" si="680"/>
        <v>335339</v>
      </c>
      <c r="CJ368" s="46">
        <f t="shared" si="672"/>
        <v>505.60091396398997</v>
      </c>
      <c r="CK368" s="443">
        <v>0.82758620689655171</v>
      </c>
      <c r="CL368" s="46">
        <f>+CL353*CK368+CJ354*CK367+CJ355*CK366+CJ356*CK365+CJ357*CK364+CJ358*CK363+CJ359*CK362+CJ360*CK361+CJ361*CK360+CJ362*CK359+CJ363*CK358+CJ364*CK357+CJ365*CK356+CJ366*CK355+CJ367*CK354+CJ368</f>
        <v>10318.129559210185</v>
      </c>
      <c r="CM368" s="134">
        <f t="shared" si="673"/>
        <v>3.623510269036271E-2</v>
      </c>
      <c r="CN368" s="135">
        <f t="shared" si="674"/>
        <v>1.3909747219854735E-2</v>
      </c>
      <c r="CO368" s="135">
        <f t="shared" si="685"/>
        <v>1.3627348557373522E-2</v>
      </c>
      <c r="CP368" s="134">
        <f>VLOOKUP($H368,RoR!$E:$F,2,FALSE)</f>
        <v>4.2350000000000006E-2</v>
      </c>
      <c r="CQ368" s="135">
        <v>1.7730000000000024E-2</v>
      </c>
      <c r="CR368" s="135">
        <f t="shared" si="681"/>
        <v>2.4619999999999982E-2</v>
      </c>
      <c r="CS368" s="135">
        <f t="shared" si="686"/>
        <v>1.7274593051160102E-2</v>
      </c>
      <c r="CT368" s="135">
        <f t="shared" si="687"/>
        <v>5.3376742735721204E-2</v>
      </c>
      <c r="CU368" s="139">
        <f t="shared" si="675"/>
        <v>0.85329623209999994</v>
      </c>
      <c r="CV368" s="335">
        <f t="shared" si="676"/>
        <v>1.2109103018193925</v>
      </c>
      <c r="CW368" s="335">
        <f t="shared" si="677"/>
        <v>0.38468122786304604</v>
      </c>
      <c r="CX368" s="335">
        <f t="shared" si="678"/>
        <v>0.80969194503422559</v>
      </c>
      <c r="CY368" s="335">
        <f t="shared" si="679"/>
        <v>0.37716621754800816</v>
      </c>
      <c r="CZ368" s="336">
        <f>INDEX('State Tax Lookup'!$D$7:$Z$91,MATCH(Calculation!$C368,'State Tax Lookup'!$B$7:$B$91,0),MATCH($H368,'State Tax Lookup'!$D$6:$Z$6,0))</f>
        <v>0.39649667</v>
      </c>
      <c r="DA368" s="303">
        <v>0.37</v>
      </c>
      <c r="DB368" s="57">
        <f t="shared" si="682"/>
        <v>16.124126856647827</v>
      </c>
      <c r="DC368" s="56">
        <f t="shared" si="688"/>
        <v>-2.314092659405512E-2</v>
      </c>
      <c r="DD368" s="303">
        <f>VLOOKUP($H368,RoR!$E:$F,2,FALSE)</f>
        <v>4.2350000000000006E-2</v>
      </c>
      <c r="DE368" s="304">
        <f>HLOOKUP($H368,'GDP-PI'!$D$8:$CQ$11,3,FALSE)</f>
        <v>1.7730000000000024E-2</v>
      </c>
      <c r="DF368" s="303">
        <f>VLOOKUP(H368,'HW Dx Data'!$E:$F,2,FALSE)</f>
        <v>663.24840548821396</v>
      </c>
      <c r="DG368" s="89">
        <f ca="1">VLOOKUP(CC368,'ECI - Input Price'!M$13:N$33,2,FALSE)</f>
        <v>126.8</v>
      </c>
      <c r="DH368" s="89"/>
      <c r="DI368" s="89"/>
      <c r="DJ368" s="56">
        <f t="shared" ca="1" si="696"/>
        <v>1.5898586067798204E-2</v>
      </c>
      <c r="DK368" s="53">
        <f>HLOOKUP(H368,'GDP-PI'!$8:$9,2,FALSE)</f>
        <v>101.773</v>
      </c>
      <c r="DL368" s="355">
        <f t="shared" si="689"/>
        <v>1.7574657016510519E-2</v>
      </c>
      <c r="EC368"/>
    </row>
    <row r="369" spans="1:133" s="126" customFormat="1" ht="21" customHeight="1" x14ac:dyDescent="0.4">
      <c r="A369" s="233" t="s">
        <v>204</v>
      </c>
      <c r="B369" s="127" t="s">
        <v>204</v>
      </c>
      <c r="C369" s="127">
        <v>4057080</v>
      </c>
      <c r="D369" s="127" t="s">
        <v>194</v>
      </c>
      <c r="E369" s="127" t="s">
        <v>15</v>
      </c>
      <c r="F369" s="127"/>
      <c r="G369" s="127" t="s">
        <v>170</v>
      </c>
      <c r="H369" s="128">
        <v>2014</v>
      </c>
      <c r="I369" s="129"/>
      <c r="J369" s="125">
        <f>IFERROR(INDEX('Labor Expenditures'!$E$7:$W$91,MATCH($C369,'Labor Expenditures'!$C$7:$C$91,0),MATCH($G369,'Labor Expenditures'!$E$5:$W$5,0)),"NA")</f>
        <v>135183.09782483571</v>
      </c>
      <c r="K369" s="125">
        <f t="shared" ca="1" si="690"/>
        <v>1044.691636977092</v>
      </c>
      <c r="L369" s="47"/>
      <c r="M369" s="131">
        <f t="shared" ca="1" si="697"/>
        <v>0.1510983234099133</v>
      </c>
      <c r="N369" s="131"/>
      <c r="O369" s="131"/>
      <c r="P369" s="59">
        <f t="shared" ca="1" si="699"/>
        <v>7.6250223348087124E-3</v>
      </c>
      <c r="Q369" s="61"/>
      <c r="R369" s="387"/>
      <c r="S369" s="49">
        <f t="shared" ca="1" si="704"/>
        <v>120.8577972502238</v>
      </c>
      <c r="T369" s="61">
        <f ca="1">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</f>
        <v>0.11214977154609919</v>
      </c>
      <c r="U369" s="61"/>
      <c r="V369" s="125">
        <f>IFERROR(INDEX('Non-Labor Expenditures'!$E$7:$AA$91,MATCH($C369,'Non-Labor Expenditures'!$C$7:$C$91,0),MATCH($G369,'Non-Labor Expenditures'!$E$5:$AA$5,0)),"NA")</f>
        <v>195770.37437024011</v>
      </c>
      <c r="W369" s="125">
        <f t="shared" si="691"/>
        <v>1888.8185318459782</v>
      </c>
      <c r="X369" s="131">
        <f t="shared" si="700"/>
        <v>0.15314961157533216</v>
      </c>
      <c r="Y369" s="131">
        <f t="shared" si="701"/>
        <v>7.7285384938465262E-3</v>
      </c>
      <c r="Z369" s="131"/>
      <c r="AA369" s="131"/>
      <c r="AB369" s="131"/>
      <c r="AC369" s="125">
        <f t="shared" si="669"/>
        <v>169105.02836225613</v>
      </c>
      <c r="AD369" s="129"/>
      <c r="AE369" s="133">
        <v>11625.500588771883</v>
      </c>
      <c r="AF369" s="134">
        <v>5.8363420078090263E-2</v>
      </c>
      <c r="AG369" s="59">
        <f t="shared" si="692"/>
        <v>2.9452502952264019E-3</v>
      </c>
      <c r="AH369" s="134"/>
      <c r="AI369" s="134"/>
      <c r="AJ369" s="129">
        <f t="shared" si="664"/>
        <v>500058.50055733195</v>
      </c>
      <c r="AK369" s="134">
        <f t="shared" si="702"/>
        <v>0.12960021872405691</v>
      </c>
      <c r="AL369" s="129"/>
      <c r="AM369" s="129"/>
      <c r="AN369" s="129"/>
      <c r="AO369" s="129"/>
      <c r="AP369" s="133">
        <f t="shared" si="703"/>
        <v>464.21592478848805</v>
      </c>
      <c r="AQ369" s="134">
        <f>+BB369/Outputs!$B$22</f>
        <v>2.9810267279580756E-2</v>
      </c>
      <c r="AR369" s="93">
        <f t="shared" si="693"/>
        <v>0.27033456620409335</v>
      </c>
      <c r="AS369" s="93">
        <f t="shared" si="694"/>
        <v>0.39149494339571766</v>
      </c>
      <c r="AT369" s="93">
        <f t="shared" si="695"/>
        <v>0.33817049040018898</v>
      </c>
      <c r="AU369" s="93">
        <f t="shared" ca="1" si="698"/>
        <v>0.11926859052222175</v>
      </c>
      <c r="AV369" s="132">
        <f t="shared" ca="1" si="706"/>
        <v>154.98455490098061</v>
      </c>
      <c r="AW369" s="134">
        <f t="shared" ca="1" si="707"/>
        <v>0.11926859052222165</v>
      </c>
      <c r="AX369" s="56">
        <f>+AJ369/$AL$19</f>
        <v>5.0463977115899936E-2</v>
      </c>
      <c r="AY369" s="135">
        <f t="shared" ca="1" si="705"/>
        <v>6.018767422759033E-3</v>
      </c>
      <c r="AZ369" s="93"/>
      <c r="BA369" s="93"/>
      <c r="BB369" s="234">
        <f>IFERROR(INDEX('Total Customers'!$E$7:$AA$91,MATCH($C369,'Total Customers'!$C$7:$C$91,0),MATCH($G369,'Total Customers'!$E$5:$AA$5,0)),"NA")</f>
        <v>1077211</v>
      </c>
      <c r="BC369" s="411">
        <f t="shared" si="622"/>
        <v>6.9269475750617553E-3</v>
      </c>
      <c r="BD369" s="92"/>
      <c r="BE369" s="281" t="str">
        <f t="shared" si="618"/>
        <v>CONSOLIDATED EDISON COMPANY OF NEW YORK, INC.</v>
      </c>
      <c r="BF369" s="290">
        <f t="shared" si="619"/>
        <v>4057080</v>
      </c>
      <c r="BG369" s="46" t="str">
        <f t="shared" si="620"/>
        <v>NY</v>
      </c>
      <c r="BH369" s="46"/>
      <c r="BI369" s="46" t="str">
        <f t="shared" si="621"/>
        <v>2014 Y</v>
      </c>
      <c r="BJ369" s="129"/>
      <c r="BK369" s="129"/>
      <c r="BL369" s="129">
        <f>INDEX('Dist. Plant Gas Additions'!$E$7:$AD$91,MATCH($C369,'Dist. Plant Gas Additions'!$C$7:$C$91,0),MATCH(Calculation!$G369,'Dist. Plant Gas Additions'!$E$5:$AD$5,0))</f>
        <v>508904</v>
      </c>
      <c r="BM369" s="129">
        <f>INDEX('Gen. Plant Additions'!$E$7:$AD$91,MATCH($C369,'Gen. Plant Additions'!$C$7:$C$91,0),MATCH(Calculation!$G369,'Gen. Plant Additions'!$E$5:$AD$5,0))</f>
        <v>0</v>
      </c>
      <c r="BN369" s="393">
        <f t="shared" si="670"/>
        <v>1</v>
      </c>
      <c r="BO369" s="129"/>
      <c r="BP369" s="129"/>
      <c r="BQ369" s="129">
        <f>INDEX('Dist Plant Depreciation'!$D$7:$AC$94,MATCH($C369,'Dist Plant Depreciation'!$C$7:$C$94,0),MATCH(Calculation!$G369,'Dist Plant Depreciation'!$D$5:$AC$5,0))</f>
        <v>1004884</v>
      </c>
      <c r="BR369" s="129">
        <f>INDEX('Gen. Plant Depreciation'!$D$7:$AC$94,MATCH($C369,'Gen. Plant Depreciation'!$C$7:$C$94,0),MATCH(Calculation!$G369,'Gen. Plant Depreciation'!$D$5:$AC$5,0))</f>
        <v>0</v>
      </c>
      <c r="BS369" s="129"/>
      <c r="BT369" s="129"/>
      <c r="BU369" s="129"/>
      <c r="BV369" s="129"/>
      <c r="BW369" s="129"/>
      <c r="BX369" s="129"/>
      <c r="BY369" s="129">
        <f>INDEX('Gross Dx Plant'!$D$7:$AC$91,MATCH($C369,'Gross Dx Plant'!$C$7:$C$91,0),MATCH(Calculation!$G369,'Gross Dx Plant'!$D$5:$AC$5,0))</f>
        <v>4741384</v>
      </c>
      <c r="BZ369" s="129">
        <f>INDEX('Gross Gen Plant'!$D$7:$AC$91,MATCH($C369,'Gross Gen Plant'!$C$7:$C$91,0),MATCH(Calculation!$G369,'Gross Gen Plant'!$D$5:$AC$5,0))</f>
        <v>0</v>
      </c>
      <c r="CA369" s="129">
        <f t="shared" si="626"/>
        <v>3736500</v>
      </c>
      <c r="CB369" s="129"/>
      <c r="CC369" s="133">
        <v>2014</v>
      </c>
      <c r="CD369" s="129"/>
      <c r="CE369" s="129"/>
      <c r="CF369" s="129"/>
      <c r="CG369" s="137"/>
      <c r="CH369" s="129">
        <f t="shared" si="671"/>
        <v>508904</v>
      </c>
      <c r="CI369" s="46">
        <f t="shared" si="680"/>
        <v>508904</v>
      </c>
      <c r="CJ369" s="46">
        <f t="shared" si="672"/>
        <v>743.50174192031682</v>
      </c>
      <c r="CK369" s="443">
        <v>0.81395348837209303</v>
      </c>
      <c r="CL369" s="46">
        <f>+CL353*CK369+CJ354*CK368+CJ355*CK367+CJ356*CK366+CJ357*CK365+CJ358*CK364+CJ359*CK363+CJ360*CK362+CJ361*CK361+CJ362*CK360+CJ363*CK359+CJ364*CK358+CJ365*CK357+CJ366*CK356+CJ367*CK355+CJ368*CK354+CJ369</f>
        <v>10915.103258595227</v>
      </c>
      <c r="CM369" s="134">
        <f t="shared" si="673"/>
        <v>5.6244950839976653E-2</v>
      </c>
      <c r="CN369" s="135">
        <f t="shared" si="674"/>
        <v>1.4201027588811458E-2</v>
      </c>
      <c r="CO369" s="135">
        <f t="shared" si="685"/>
        <v>1.3910000833127651E-2</v>
      </c>
      <c r="CP369" s="134">
        <f>VLOOKUP($H369,RoR!$E:$F,2,FALSE)</f>
        <v>4.1625000000000002E-2</v>
      </c>
      <c r="CQ369" s="135">
        <v>1.841352814597208E-2</v>
      </c>
      <c r="CR369" s="135">
        <f t="shared" si="681"/>
        <v>2.3211471854027922E-2</v>
      </c>
      <c r="CS369" s="135">
        <f t="shared" si="686"/>
        <v>1.6991940775405973E-2</v>
      </c>
      <c r="CT369" s="135">
        <f t="shared" si="687"/>
        <v>3.9072621432650924E-2</v>
      </c>
      <c r="CU369" s="139">
        <f t="shared" si="675"/>
        <v>0.85329623209999994</v>
      </c>
      <c r="CV369" s="335">
        <f t="shared" si="676"/>
        <v>1.2320012320012319</v>
      </c>
      <c r="CW369" s="335">
        <f t="shared" si="677"/>
        <v>0.37439939939939942</v>
      </c>
      <c r="CX369" s="335">
        <f t="shared" si="678"/>
        <v>0.80432100613819935</v>
      </c>
      <c r="CY369" s="335">
        <f t="shared" si="679"/>
        <v>0.37100152660040037</v>
      </c>
      <c r="CZ369" s="336">
        <f>INDEX('State Tax Lookup'!$D$7:$Z$91,MATCH(Calculation!$C369,'State Tax Lookup'!$B$7:$B$91,0),MATCH($H369,'State Tax Lookup'!$D$6:$Z$6,0))</f>
        <v>0.39649667</v>
      </c>
      <c r="DA369" s="303">
        <v>0.37</v>
      </c>
      <c r="DB369" s="57">
        <f t="shared" si="682"/>
        <v>16.38911659248447</v>
      </c>
      <c r="DC369" s="56">
        <f t="shared" si="688"/>
        <v>1.630077933503455E-2</v>
      </c>
      <c r="DD369" s="303">
        <f>VLOOKUP($H369,RoR!$E:$F,2,FALSE)</f>
        <v>4.1625000000000002E-2</v>
      </c>
      <c r="DE369" s="304">
        <f>HLOOKUP($H369,'GDP-PI'!$D$8:$CQ$11,3,FALSE)</f>
        <v>1.841352814597208E-2</v>
      </c>
      <c r="DF369" s="303">
        <f>VLOOKUP(H369,'HW Dx Data'!$E:$F,2,FALSE)</f>
        <v>684.46914285042885</v>
      </c>
      <c r="DG369" s="89">
        <f ca="1">VLOOKUP(CC369,'ECI - Input Price'!M$13:N$33,2,FALSE)</f>
        <v>129.4</v>
      </c>
      <c r="DH369" s="89"/>
      <c r="DI369" s="89"/>
      <c r="DJ369" s="56">
        <f t="shared" ca="1" si="696"/>
        <v>2.0297340063674733E-2</v>
      </c>
      <c r="DK369" s="53">
        <f>HLOOKUP(H369,'GDP-PI'!$8:$9,2,FALSE)</f>
        <v>103.64700000000001</v>
      </c>
      <c r="DL369" s="355">
        <f t="shared" si="689"/>
        <v>1.8246051898256087E-2</v>
      </c>
      <c r="EC369"/>
    </row>
    <row r="370" spans="1:133" s="126" customFormat="1" ht="21" customHeight="1" x14ac:dyDescent="0.4">
      <c r="A370" s="233" t="s">
        <v>204</v>
      </c>
      <c r="B370" s="127" t="s">
        <v>204</v>
      </c>
      <c r="C370" s="127">
        <v>4057080</v>
      </c>
      <c r="D370" s="127" t="s">
        <v>194</v>
      </c>
      <c r="E370" s="127" t="s">
        <v>15</v>
      </c>
      <c r="F370" s="127"/>
      <c r="G370" s="127" t="s">
        <v>171</v>
      </c>
      <c r="H370" s="128">
        <v>2015</v>
      </c>
      <c r="I370" s="129"/>
      <c r="J370" s="125">
        <f>IFERROR(INDEX('Labor Expenditures'!$E$7:$W$91,MATCH($C370,'Labor Expenditures'!$C$7:$C$91,0),MATCH($G370,'Labor Expenditures'!$E$5:$W$5,0)),"NA")</f>
        <v>146038.09545015765</v>
      </c>
      <c r="K370" s="125">
        <f t="shared" ca="1" si="690"/>
        <v>1093.918317978709</v>
      </c>
      <c r="L370" s="47"/>
      <c r="M370" s="131">
        <f t="shared" ca="1" si="697"/>
        <v>4.6044279934707749E-2</v>
      </c>
      <c r="N370" s="131"/>
      <c r="O370" s="131"/>
      <c r="P370" s="59">
        <f t="shared" ca="1" si="699"/>
        <v>2.4588948530604384E-3</v>
      </c>
      <c r="Q370" s="61"/>
      <c r="R370" s="387"/>
      <c r="S370" s="49">
        <f t="shared" ca="1" si="704"/>
        <v>119.2981155919325</v>
      </c>
      <c r="T370" s="61">
        <f ca="1">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</f>
        <v>-1.2989091698311651E-2</v>
      </c>
      <c r="U370" s="61"/>
      <c r="V370" s="125">
        <f>IFERROR(INDEX('Non-Labor Expenditures'!$E$7:$AA$91,MATCH($C370,'Non-Labor Expenditures'!$C$7:$C$91,0),MATCH($G370,'Non-Labor Expenditures'!$E$5:$AA$5,0)),"NA")</f>
        <v>211490.43836559949</v>
      </c>
      <c r="W370" s="125">
        <f t="shared" si="691"/>
        <v>2021.1435350643594</v>
      </c>
      <c r="X370" s="131">
        <f t="shared" si="700"/>
        <v>6.771193952276916E-2</v>
      </c>
      <c r="Y370" s="131">
        <f t="shared" si="701"/>
        <v>3.6160091941794753E-3</v>
      </c>
      <c r="Z370" s="131"/>
      <c r="AA370" s="131"/>
      <c r="AB370" s="131"/>
      <c r="AC370" s="125">
        <f t="shared" si="669"/>
        <v>174393.87779113222</v>
      </c>
      <c r="AD370" s="129"/>
      <c r="AE370" s="133">
        <v>12506.75521759603</v>
      </c>
      <c r="AF370" s="134">
        <v>7.3067903797002592E-2</v>
      </c>
      <c r="AG370" s="59">
        <f t="shared" si="692"/>
        <v>3.9020328437134304E-3</v>
      </c>
      <c r="AH370" s="134"/>
      <c r="AI370" s="134"/>
      <c r="AJ370" s="129">
        <f t="shared" si="664"/>
        <v>531922.41160688933</v>
      </c>
      <c r="AK370" s="134">
        <f t="shared" si="702"/>
        <v>6.1772543168590689E-2</v>
      </c>
      <c r="AL370" s="129"/>
      <c r="AM370" s="129"/>
      <c r="AN370" s="129"/>
      <c r="AO370" s="129"/>
      <c r="AP370" s="133">
        <f t="shared" si="703"/>
        <v>493.98257399386455</v>
      </c>
      <c r="AQ370" s="134">
        <f>+BB370/Outputs!$B$23</f>
        <v>2.9556699464380137E-2</v>
      </c>
      <c r="AR370" s="93">
        <f t="shared" si="693"/>
        <v>0.27454773903771007</v>
      </c>
      <c r="AS370" s="93">
        <f t="shared" si="694"/>
        <v>0.3975964045709337</v>
      </c>
      <c r="AT370" s="93">
        <f t="shared" si="695"/>
        <v>0.32785585639135628</v>
      </c>
      <c r="AU370" s="93">
        <f t="shared" ca="1" si="698"/>
        <v>6.3592384029557247E-2</v>
      </c>
      <c r="AV370" s="132">
        <f t="shared" ca="1" si="706"/>
        <v>165.16052011704525</v>
      </c>
      <c r="AW370" s="134">
        <f t="shared" ca="1" si="707"/>
        <v>6.359238402955715E-2</v>
      </c>
      <c r="AX370" s="56">
        <f>+AJ370/$AL$20</f>
        <v>5.3402829983381847E-2</v>
      </c>
      <c r="AY370" s="135">
        <f t="shared" ca="1" si="705"/>
        <v>3.3960132725683674E-3</v>
      </c>
      <c r="AZ370" s="93"/>
      <c r="BA370" s="93"/>
      <c r="BB370" s="234">
        <f>IFERROR(INDEX('Total Customers'!$E$7:$AA$91,MATCH($C370,'Total Customers'!$C$7:$C$91,0),MATCH($G370,'Total Customers'!$E$5:$AA$5,0)),"NA")</f>
        <v>1076804</v>
      </c>
      <c r="BC370" s="411">
        <f t="shared" si="622"/>
        <v>-3.7789895134768476E-4</v>
      </c>
      <c r="BD370" s="92"/>
      <c r="BE370" s="281" t="str">
        <f t="shared" si="618"/>
        <v>CONSOLIDATED EDISON COMPANY OF NEW YORK, INC.</v>
      </c>
      <c r="BF370" s="290">
        <f t="shared" si="619"/>
        <v>4057080</v>
      </c>
      <c r="BG370" s="46" t="str">
        <f t="shared" si="620"/>
        <v>NY</v>
      </c>
      <c r="BH370" s="46"/>
      <c r="BI370" s="46" t="str">
        <f t="shared" si="621"/>
        <v>2015 Y</v>
      </c>
      <c r="BJ370" s="129"/>
      <c r="BK370" s="129"/>
      <c r="BL370" s="129">
        <f>INDEX('Dist. Plant Gas Additions'!$E$7:$AD$91,MATCH($C370,'Dist. Plant Gas Additions'!$C$7:$C$91,0),MATCH(Calculation!$G370,'Dist. Plant Gas Additions'!$E$5:$AD$5,0))</f>
        <v>657034</v>
      </c>
      <c r="BM370" s="129">
        <f>INDEX('Gen. Plant Additions'!$E$7:$AD$91,MATCH($C370,'Gen. Plant Additions'!$C$7:$C$91,0),MATCH(Calculation!$G370,'Gen. Plant Additions'!$E$5:$AD$5,0))</f>
        <v>0</v>
      </c>
      <c r="BN370" s="393">
        <f t="shared" si="670"/>
        <v>1</v>
      </c>
      <c r="BO370" s="129"/>
      <c r="BP370" s="129"/>
      <c r="BQ370" s="129">
        <f>INDEX('Dist Plant Depreciation'!$D$7:$AC$94,MATCH($C370,'Dist Plant Depreciation'!$C$7:$C$94,0),MATCH(Calculation!$G370,'Dist Plant Depreciation'!$D$5:$AC$5,0))</f>
        <v>1053743</v>
      </c>
      <c r="BR370" s="129">
        <f>INDEX('Gen. Plant Depreciation'!$D$7:$AC$94,MATCH($C370,'Gen. Plant Depreciation'!$C$7:$C$94,0),MATCH(Calculation!$G370,'Gen. Plant Depreciation'!$D$5:$AC$5,0))</f>
        <v>0</v>
      </c>
      <c r="BS370" s="129"/>
      <c r="BT370" s="129"/>
      <c r="BU370" s="129"/>
      <c r="BV370" s="129"/>
      <c r="BW370" s="129"/>
      <c r="BX370" s="129"/>
      <c r="BY370" s="129">
        <f>INDEX('Gross Dx Plant'!$D$7:$AC$91,MATCH($C370,'Gross Dx Plant'!$C$7:$C$91,0),MATCH(Calculation!$G370,'Gross Dx Plant'!$D$5:$AC$5,0))</f>
        <v>5374273</v>
      </c>
      <c r="BZ370" s="129">
        <f>INDEX('Gross Gen Plant'!$D$7:$AC$91,MATCH($C370,'Gross Gen Plant'!$C$7:$C$91,0),MATCH(Calculation!$G370,'Gross Gen Plant'!$D$5:$AC$5,0))</f>
        <v>0</v>
      </c>
      <c r="CA370" s="129">
        <f t="shared" si="626"/>
        <v>4320530</v>
      </c>
      <c r="CB370" s="129"/>
      <c r="CC370" s="133">
        <v>2015</v>
      </c>
      <c r="CD370" s="129"/>
      <c r="CE370" s="129"/>
      <c r="CF370" s="129"/>
      <c r="CG370" s="137"/>
      <c r="CH370" s="129">
        <f t="shared" si="671"/>
        <v>657034</v>
      </c>
      <c r="CI370" s="46">
        <f t="shared" si="680"/>
        <v>657034</v>
      </c>
      <c r="CJ370" s="46">
        <f t="shared" si="672"/>
        <v>972.49817843380754</v>
      </c>
      <c r="CK370" s="443">
        <v>0.8</v>
      </c>
      <c r="CL370" s="46">
        <f>+CL353*CK370+CJ354*CK369+CJ355*CK368+CJ356*CK367+CJ357*CK366+CJ358*CK365+CJ359*CK364+CJ360*CK363+CJ361*CK362+CJ362*CK361+CJ363*CK360+CJ364*CK359+CJ365*CK358+CJ366*CK357+CJ367*CK356+CJ368*CK355+CJ369*CK354+CJ370</f>
        <v>11730.398817453588</v>
      </c>
      <c r="CM370" s="134">
        <f t="shared" si="673"/>
        <v>7.2036211666231004E-2</v>
      </c>
      <c r="CN370" s="135">
        <f t="shared" si="674"/>
        <v>1.4402302557390429E-2</v>
      </c>
      <c r="CO370" s="135">
        <f t="shared" si="685"/>
        <v>1.4171025788685543E-2</v>
      </c>
      <c r="CP370" s="134">
        <f>VLOOKUP($H370,RoR!$E:$F,2,FALSE)</f>
        <v>3.8866666666666674E-2</v>
      </c>
      <c r="CQ370" s="135">
        <v>9.5709475431029478E-3</v>
      </c>
      <c r="CR370" s="135">
        <f t="shared" si="681"/>
        <v>2.9295719123563727E-2</v>
      </c>
      <c r="CS370" s="135">
        <f t="shared" si="686"/>
        <v>1.6730915819848084E-2</v>
      </c>
      <c r="CT370" s="135">
        <f t="shared" si="687"/>
        <v>3.5270373279175926E-3</v>
      </c>
      <c r="CU370" s="139">
        <f t="shared" si="675"/>
        <v>0.85329623209999994</v>
      </c>
      <c r="CV370" s="335">
        <f t="shared" si="676"/>
        <v>1.3194352816994324</v>
      </c>
      <c r="CW370" s="335">
        <f t="shared" si="677"/>
        <v>0.33177530017152673</v>
      </c>
      <c r="CX370" s="335">
        <f t="shared" si="678"/>
        <v>0.78242572977668579</v>
      </c>
      <c r="CY370" s="335">
        <f t="shared" si="679"/>
        <v>0.34251158643433932</v>
      </c>
      <c r="CZ370" s="336">
        <f>INDEX('State Tax Lookup'!$D$7:$Z$91,MATCH(Calculation!$C370,'State Tax Lookup'!$B$7:$B$91,0),MATCH($H370,'State Tax Lookup'!$D$6:$Z$6,0))</f>
        <v>0.39649667</v>
      </c>
      <c r="DA370" s="303">
        <v>0.37</v>
      </c>
      <c r="DB370" s="57">
        <f t="shared" si="682"/>
        <v>15.977299862353908</v>
      </c>
      <c r="DC370" s="56">
        <f t="shared" si="688"/>
        <v>-2.5448535879879528E-2</v>
      </c>
      <c r="DD370" s="303">
        <f>VLOOKUP($H370,RoR!$E:$F,2,FALSE)</f>
        <v>3.8866666666666674E-2</v>
      </c>
      <c r="DE370" s="304">
        <f>HLOOKUP($H370,'GDP-PI'!$D$8:$CQ$11,3,FALSE)</f>
        <v>9.5709475431029478E-3</v>
      </c>
      <c r="DF370" s="303">
        <f>VLOOKUP(H370,'HW Dx Data'!$E:$F,2,FALSE)</f>
        <v>675.61463308665782</v>
      </c>
      <c r="DG370" s="89">
        <f ca="1">VLOOKUP(CC370,'ECI - Input Price'!M$13:N$33,2,FALSE)</f>
        <v>133.5</v>
      </c>
      <c r="DH370" s="89"/>
      <c r="DI370" s="89"/>
      <c r="DJ370" s="56">
        <f t="shared" ca="1" si="696"/>
        <v>3.1193095773504077E-2</v>
      </c>
      <c r="DK370" s="53">
        <f>HLOOKUP(H370,'GDP-PI'!$8:$9,2,FALSE)</f>
        <v>104.639</v>
      </c>
      <c r="DL370" s="355">
        <f t="shared" si="689"/>
        <v>9.5254361854427965E-3</v>
      </c>
      <c r="EC370"/>
    </row>
    <row r="371" spans="1:133" s="126" customFormat="1" ht="21" customHeight="1" x14ac:dyDescent="0.4">
      <c r="A371" s="233" t="s">
        <v>204</v>
      </c>
      <c r="B371" s="127" t="s">
        <v>204</v>
      </c>
      <c r="C371" s="127">
        <v>4057080</v>
      </c>
      <c r="D371" s="127" t="s">
        <v>194</v>
      </c>
      <c r="E371" s="127" t="s">
        <v>15</v>
      </c>
      <c r="F371" s="127"/>
      <c r="G371" s="127" t="s">
        <v>172</v>
      </c>
      <c r="H371" s="128">
        <v>2016</v>
      </c>
      <c r="I371" s="129"/>
      <c r="J371" s="125">
        <f>IFERROR(INDEX('Labor Expenditures'!$E$7:$W$91,MATCH($C371,'Labor Expenditures'!$C$7:$C$91,0),MATCH($G371,'Labor Expenditures'!$E$5:$W$5,0)),"NA")</f>
        <v>139222.50442893512</v>
      </c>
      <c r="K371" s="125">
        <f t="shared" ca="1" si="690"/>
        <v>1016.5936796563354</v>
      </c>
      <c r="L371" s="47"/>
      <c r="M371" s="131">
        <f t="shared" ca="1" si="697"/>
        <v>-7.3308528700931547E-2</v>
      </c>
      <c r="N371" s="131"/>
      <c r="O371" s="131"/>
      <c r="P371" s="59">
        <f t="shared" ca="1" si="699"/>
        <v>-3.74155352494763E-3</v>
      </c>
      <c r="Q371" s="61"/>
      <c r="R371" s="387"/>
      <c r="S371" s="49">
        <f t="shared" ca="1" si="704"/>
        <v>297.59206710930488</v>
      </c>
      <c r="T371" s="61">
        <f ca="1">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</f>
        <v>0.91409811294701993</v>
      </c>
      <c r="U371" s="61"/>
      <c r="V371" s="125">
        <f>IFERROR(INDEX('Non-Labor Expenditures'!$E$7:$AA$91,MATCH($C371,'Non-Labor Expenditures'!$C$7:$C$91,0),MATCH($G371,'Non-Labor Expenditures'!$E$5:$AA$5,0)),"NA")</f>
        <v>201620.18959006027</v>
      </c>
      <c r="W371" s="125">
        <f t="shared" si="691"/>
        <v>1906.8263371988751</v>
      </c>
      <c r="X371" s="131">
        <f t="shared" si="700"/>
        <v>-5.8223201199353869E-2</v>
      </c>
      <c r="Y371" s="131">
        <f t="shared" si="701"/>
        <v>-2.9716218227471987E-3</v>
      </c>
      <c r="Z371" s="131"/>
      <c r="AA371" s="131"/>
      <c r="AB371" s="131"/>
      <c r="AC371" s="125">
        <f t="shared" si="669"/>
        <v>183962.58120088192</v>
      </c>
      <c r="AD371" s="129"/>
      <c r="AE371" s="133">
        <v>13222.130011500301</v>
      </c>
      <c r="AF371" s="134">
        <v>5.5623026087807823E-2</v>
      </c>
      <c r="AG371" s="59">
        <f t="shared" si="692"/>
        <v>2.8389129207069567E-3</v>
      </c>
      <c r="AH371" s="134"/>
      <c r="AI371" s="134"/>
      <c r="AJ371" s="129">
        <f t="shared" si="664"/>
        <v>524805.27521987725</v>
      </c>
      <c r="AK371" s="134">
        <f t="shared" si="702"/>
        <v>-1.347034641484586E-2</v>
      </c>
      <c r="AL371" s="129"/>
      <c r="AM371" s="129"/>
      <c r="AN371" s="129"/>
      <c r="AO371" s="129"/>
      <c r="AP371" s="133">
        <f t="shared" si="703"/>
        <v>487.16134385733341</v>
      </c>
      <c r="AQ371" s="134">
        <f>+BB371/Outputs!$B$24</f>
        <v>2.9314023144992891E-2</v>
      </c>
      <c r="AR371" s="93">
        <f t="shared" si="693"/>
        <v>0.26528411775320893</v>
      </c>
      <c r="AS371" s="93">
        <f t="shared" si="694"/>
        <v>0.38418095074518377</v>
      </c>
      <c r="AT371" s="93">
        <f t="shared" si="695"/>
        <v>0.35053493150160747</v>
      </c>
      <c r="AU371" s="93">
        <f t="shared" ca="1" si="698"/>
        <v>-2.3678855463102246E-2</v>
      </c>
      <c r="AV371" s="132">
        <f t="shared" ca="1" si="706"/>
        <v>161.29564650552834</v>
      </c>
      <c r="AW371" s="134">
        <f t="shared" ca="1" si="707"/>
        <v>-2.3678855463102409E-2</v>
      </c>
      <c r="AX371" s="56">
        <f>+AJ371/$AL$21</f>
        <v>5.1038447930275885E-2</v>
      </c>
      <c r="AY371" s="135">
        <f t="shared" ca="1" si="705"/>
        <v>-1.208532031602081E-3</v>
      </c>
      <c r="AZ371" s="93"/>
      <c r="BA371" s="93"/>
      <c r="BB371" s="234">
        <f>IFERROR(INDEX('Total Customers'!$E$7:$AA$91,MATCH($C371,'Total Customers'!$C$7:$C$91,0),MATCH($G371,'Total Customers'!$E$5:$AA$5,0)),"NA")</f>
        <v>1077272</v>
      </c>
      <c r="BC371" s="411">
        <f t="shared" si="622"/>
        <v>4.3452506537721054E-4</v>
      </c>
      <c r="BD371" s="92"/>
      <c r="BE371" s="281" t="str">
        <f t="shared" si="618"/>
        <v>CONSOLIDATED EDISON COMPANY OF NEW YORK, INC.</v>
      </c>
      <c r="BF371" s="290">
        <f t="shared" si="619"/>
        <v>4057080</v>
      </c>
      <c r="BG371" s="46" t="str">
        <f t="shared" si="620"/>
        <v>NY</v>
      </c>
      <c r="BH371" s="46"/>
      <c r="BI371" s="46" t="str">
        <f t="shared" si="621"/>
        <v>2016 Y</v>
      </c>
      <c r="BJ371" s="129"/>
      <c r="BK371" s="129"/>
      <c r="BL371" s="129">
        <f>INDEX('Dist. Plant Gas Additions'!$E$7:$AD$91,MATCH($C371,'Dist. Plant Gas Additions'!$C$7:$C$91,0),MATCH(Calculation!$G371,'Dist. Plant Gas Additions'!$E$5:$AD$5,0))</f>
        <v>547152</v>
      </c>
      <c r="BM371" s="129">
        <f>INDEX('Gen. Plant Additions'!$E$7:$AD$91,MATCH($C371,'Gen. Plant Additions'!$C$7:$C$91,0),MATCH(Calculation!$G371,'Gen. Plant Additions'!$E$5:$AD$5,0))</f>
        <v>0</v>
      </c>
      <c r="BN371" s="393">
        <f t="shared" si="670"/>
        <v>1</v>
      </c>
      <c r="BO371" s="129"/>
      <c r="BP371" s="129"/>
      <c r="BQ371" s="129">
        <f>INDEX('Dist Plant Depreciation'!$D$7:$AC$94,MATCH($C371,'Dist Plant Depreciation'!$C$7:$C$94,0),MATCH(Calculation!$G371,'Dist Plant Depreciation'!$D$5:$AC$5,0))</f>
        <v>1109522</v>
      </c>
      <c r="BR371" s="129">
        <f>INDEX('Gen. Plant Depreciation'!$D$7:$AC$94,MATCH($C371,'Gen. Plant Depreciation'!$C$7:$C$94,0),MATCH(Calculation!$G371,'Gen. Plant Depreciation'!$D$5:$AC$5,0))</f>
        <v>-1</v>
      </c>
      <c r="BS371" s="129"/>
      <c r="BT371" s="129"/>
      <c r="BU371" s="129"/>
      <c r="BV371" s="129"/>
      <c r="BW371" s="129"/>
      <c r="BX371" s="129"/>
      <c r="BY371" s="129">
        <f>INDEX('Gross Dx Plant'!$D$7:$AC$91,MATCH($C371,'Gross Dx Plant'!$C$7:$C$91,0),MATCH(Calculation!$G371,'Gross Dx Plant'!$D$5:$AC$5,0))</f>
        <v>5891454</v>
      </c>
      <c r="BZ371" s="129">
        <f>INDEX('Gross Gen Plant'!$D$7:$AC$91,MATCH($C371,'Gross Gen Plant'!$C$7:$C$91,0),MATCH(Calculation!$G371,'Gross Gen Plant'!$D$5:$AC$5,0))</f>
        <v>0</v>
      </c>
      <c r="CA371" s="129">
        <f t="shared" si="626"/>
        <v>4781933</v>
      </c>
      <c r="CB371" s="129"/>
      <c r="CC371" s="133">
        <v>2016</v>
      </c>
      <c r="CD371" s="129"/>
      <c r="CE371" s="129"/>
      <c r="CF371" s="129"/>
      <c r="CG371" s="137"/>
      <c r="CH371" s="129">
        <f t="shared" si="671"/>
        <v>547152</v>
      </c>
      <c r="CI371" s="46">
        <f t="shared" si="680"/>
        <v>547152</v>
      </c>
      <c r="CJ371" s="46">
        <f t="shared" si="672"/>
        <v>814.87346759008869</v>
      </c>
      <c r="CK371" s="443">
        <v>0.7857142857142857</v>
      </c>
      <c r="CL371" s="46">
        <f>+CL353*CK371+CJ354*CK370+CJ355*CK369+CJ356*CK368+CJ357*CK367+CJ358*CK366+CJ359*CK365+CJ360*CK364+CJ361*CK363+CJ362*CK362+CJ363*CK361+CJ364*CK360+CJ365*CK359+CJ366*CK358+CJ367*CK357+CJ368*CK356+CJ369*CK355+CJ370*CK354+CJ371</f>
        <v>12374.86656464021</v>
      </c>
      <c r="CM371" s="134">
        <f t="shared" si="673"/>
        <v>5.3483863870964959E-2</v>
      </c>
      <c r="CN371" s="135">
        <f t="shared" si="674"/>
        <v>1.452684798320083E-2</v>
      </c>
      <c r="CO371" s="135">
        <f t="shared" si="685"/>
        <v>1.4376726043134239E-2</v>
      </c>
      <c r="CP371" s="134">
        <f>VLOOKUP($H371,RoR!$E:$F,2,FALSE)</f>
        <v>3.6658333333333334E-2</v>
      </c>
      <c r="CQ371" s="135">
        <v>1.0483662879041455E-2</v>
      </c>
      <c r="CR371" s="135">
        <f t="shared" si="681"/>
        <v>2.6174670454291879E-2</v>
      </c>
      <c r="CS371" s="135">
        <f t="shared" si="686"/>
        <v>1.6525215565399386E-2</v>
      </c>
      <c r="CT371" s="135">
        <f t="shared" si="687"/>
        <v>4.301363574220729E-3</v>
      </c>
      <c r="CU371" s="139">
        <f t="shared" si="675"/>
        <v>0.85329623209999994</v>
      </c>
      <c r="CV371" s="335">
        <f t="shared" si="676"/>
        <v>1.3989193348138562</v>
      </c>
      <c r="CW371" s="335">
        <f t="shared" si="677"/>
        <v>0.29302682427824522</v>
      </c>
      <c r="CX371" s="335">
        <f t="shared" si="678"/>
        <v>0.76309497491941802</v>
      </c>
      <c r="CY371" s="335">
        <f t="shared" si="679"/>
        <v>0.31280857135128509</v>
      </c>
      <c r="CZ371" s="336">
        <f>INDEX('State Tax Lookup'!$D$7:$Z$91,MATCH(Calculation!$C371,'State Tax Lookup'!$B$7:$B$91,0),MATCH($H371,'State Tax Lookup'!$D$6:$Z$6,0))</f>
        <v>0.39649667</v>
      </c>
      <c r="DA371" s="303">
        <v>0.37</v>
      </c>
      <c r="DB371" s="57">
        <f t="shared" si="682"/>
        <v>15.682551298014278</v>
      </c>
      <c r="DC371" s="56">
        <f t="shared" si="688"/>
        <v>-1.8620244227056836E-2</v>
      </c>
      <c r="DD371" s="303">
        <f>VLOOKUP($H371,RoR!$E:$F,2,FALSE)</f>
        <v>3.6658333333333334E-2</v>
      </c>
      <c r="DE371" s="304">
        <f>HLOOKUP($H371,'GDP-PI'!$D$8:$CQ$11,3,FALSE)</f>
        <v>1.0483662879041455E-2</v>
      </c>
      <c r="DF371" s="303">
        <f>VLOOKUP(H371,'HW Dx Data'!$E:$F,2,FALSE)</f>
        <v>671.45639385971219</v>
      </c>
      <c r="DG371" s="89">
        <f ca="1">VLOOKUP(CC371,'ECI - Input Price'!M$13:N$33,2,FALSE)</f>
        <v>136.94999999999999</v>
      </c>
      <c r="DH371" s="89"/>
      <c r="DI371" s="89"/>
      <c r="DJ371" s="56">
        <f t="shared" ca="1" si="696"/>
        <v>2.5514417868782811E-2</v>
      </c>
      <c r="DK371" s="53">
        <f>HLOOKUP(H371,'GDP-PI'!$8:$9,2,FALSE)</f>
        <v>105.736</v>
      </c>
      <c r="DL371" s="355">
        <f t="shared" si="689"/>
        <v>1.0429090367205095E-2</v>
      </c>
      <c r="EC371"/>
    </row>
    <row r="372" spans="1:133" s="126" customFormat="1" ht="21" customHeight="1" x14ac:dyDescent="0.4">
      <c r="A372" s="233" t="s">
        <v>204</v>
      </c>
      <c r="B372" s="127" t="s">
        <v>204</v>
      </c>
      <c r="C372" s="127">
        <v>4057080</v>
      </c>
      <c r="D372" s="127" t="s">
        <v>194</v>
      </c>
      <c r="E372" s="127" t="s">
        <v>15</v>
      </c>
      <c r="F372" s="127"/>
      <c r="G372" s="127" t="s">
        <v>173</v>
      </c>
      <c r="H372" s="128">
        <v>2017</v>
      </c>
      <c r="I372" s="129"/>
      <c r="J372" s="125">
        <f>IFERROR(INDEX('Labor Expenditures'!$E$7:$W$91,MATCH($C372,'Labor Expenditures'!$C$7:$C$91,0),MATCH($G372,'Labor Expenditures'!$E$5:$W$5,0)),"NA")</f>
        <v>149376.08595545925</v>
      </c>
      <c r="K372" s="125">
        <f t="shared" ca="1" si="690"/>
        <v>1063.5534777889588</v>
      </c>
      <c r="L372" s="47"/>
      <c r="M372" s="131">
        <f t="shared" ca="1" si="697"/>
        <v>4.5158130231618611E-2</v>
      </c>
      <c r="N372" s="131"/>
      <c r="O372" s="131"/>
      <c r="P372" s="59">
        <f t="shared" ca="1" si="699"/>
        <v>2.3763964855528143E-3</v>
      </c>
      <c r="Q372" s="61"/>
      <c r="R372" s="387"/>
      <c r="S372" s="49">
        <f t="shared" ca="1" si="704"/>
        <v>165.75603656865454</v>
      </c>
      <c r="T372" s="61">
        <f ca="1">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</f>
        <v>-0.58520659826174048</v>
      </c>
      <c r="U372" s="61"/>
      <c r="V372" s="125">
        <f>IFERROR(INDEX('Non-Labor Expenditures'!$E$7:$AA$91,MATCH($C372,'Non-Labor Expenditures'!$C$7:$C$91,0),MATCH($G372,'Non-Labor Expenditures'!$E$5:$AA$5,0)),"NA")</f>
        <v>216324.47206790411</v>
      </c>
      <c r="W372" s="125">
        <f t="shared" si="691"/>
        <v>2007.6330806016101</v>
      </c>
      <c r="X372" s="131">
        <f t="shared" si="700"/>
        <v>5.1516199845038795E-2</v>
      </c>
      <c r="Y372" s="131">
        <f t="shared" si="701"/>
        <v>2.7109828425772404E-3</v>
      </c>
      <c r="Z372" s="131"/>
      <c r="AA372" s="131"/>
      <c r="AB372" s="131"/>
      <c r="AC372" s="125">
        <f t="shared" si="669"/>
        <v>175227.10490892417</v>
      </c>
      <c r="AD372" s="129"/>
      <c r="AE372" s="133">
        <v>14065.943410818494</v>
      </c>
      <c r="AF372" s="134">
        <v>6.1864572928622685E-2</v>
      </c>
      <c r="AG372" s="59">
        <f t="shared" si="692"/>
        <v>3.2555544911571344E-3</v>
      </c>
      <c r="AH372" s="134"/>
      <c r="AI372" s="134"/>
      <c r="AJ372" s="129">
        <f t="shared" si="664"/>
        <v>540927.66293228755</v>
      </c>
      <c r="AK372" s="134">
        <f t="shared" si="702"/>
        <v>3.0258270538174818E-2</v>
      </c>
      <c r="AL372" s="129"/>
      <c r="AM372" s="129"/>
      <c r="AN372" s="129"/>
      <c r="AO372" s="129"/>
      <c r="AP372" s="133">
        <f t="shared" si="703"/>
        <v>502.0340787809684</v>
      </c>
      <c r="AQ372" s="134">
        <f>+BB372/Outputs!$B$25</f>
        <v>2.9099183613679407E-2</v>
      </c>
      <c r="AR372" s="93">
        <f t="shared" si="693"/>
        <v>0.27614798833861431</v>
      </c>
      <c r="AS372" s="93">
        <f t="shared" si="694"/>
        <v>0.39991386444398436</v>
      </c>
      <c r="AT372" s="93">
        <f t="shared" si="695"/>
        <v>0.32393814721740127</v>
      </c>
      <c r="AU372" s="93">
        <f t="shared" ca="1" si="698"/>
        <v>5.3284817861011413E-2</v>
      </c>
      <c r="AV372" s="132">
        <f t="shared" ca="1" si="706"/>
        <v>170.12335857556729</v>
      </c>
      <c r="AW372" s="134">
        <f t="shared" ca="1" si="707"/>
        <v>5.328481786101151E-2</v>
      </c>
      <c r="AX372" s="56">
        <f>+AJ372/$AL$22</f>
        <v>5.2623890169148771E-2</v>
      </c>
      <c r="AY372" s="135">
        <f t="shared" ca="1" si="705"/>
        <v>2.8040544028009665E-3</v>
      </c>
      <c r="AZ372" s="93"/>
      <c r="BA372" s="93"/>
      <c r="BB372" s="234">
        <f>IFERROR(INDEX('Total Customers'!$E$7:$AA$91,MATCH($C372,'Total Customers'!$C$7:$C$91,0),MATCH($G372,'Total Customers'!$E$5:$AA$5,0)),"NA")</f>
        <v>1077472</v>
      </c>
      <c r="BC372" s="411">
        <f t="shared" si="622"/>
        <v>1.8563690217904396E-4</v>
      </c>
      <c r="BD372" s="92"/>
      <c r="BE372" s="281" t="str">
        <f t="shared" si="618"/>
        <v>CONSOLIDATED EDISON COMPANY OF NEW YORK, INC.</v>
      </c>
      <c r="BF372" s="290">
        <f t="shared" si="619"/>
        <v>4057080</v>
      </c>
      <c r="BG372" s="46" t="str">
        <f t="shared" si="620"/>
        <v>NY</v>
      </c>
      <c r="BH372" s="46"/>
      <c r="BI372" s="46" t="str">
        <f t="shared" si="621"/>
        <v>2017 Y</v>
      </c>
      <c r="BJ372" s="129"/>
      <c r="BK372" s="129"/>
      <c r="BL372" s="129">
        <f>INDEX('Dist. Plant Gas Additions'!$E$7:$AD$91,MATCH($C372,'Dist. Plant Gas Additions'!$C$7:$C$91,0),MATCH(Calculation!$G372,'Dist. Plant Gas Additions'!$E$5:$AD$5,0))</f>
        <v>677610</v>
      </c>
      <c r="BM372" s="129">
        <f>INDEX('Gen. Plant Additions'!$E$7:$AD$91,MATCH($C372,'Gen. Plant Additions'!$C$7:$C$91,0),MATCH(Calculation!$G372,'Gen. Plant Additions'!$E$5:$AD$5,0))</f>
        <v>0</v>
      </c>
      <c r="BN372" s="393">
        <f t="shared" si="670"/>
        <v>1</v>
      </c>
      <c r="BO372" s="129"/>
      <c r="BP372" s="129"/>
      <c r="BQ372" s="129">
        <f>INDEX('Dist Plant Depreciation'!$D$7:$AC$94,MATCH($C372,'Dist Plant Depreciation'!$C$7:$C$94,0),MATCH(Calculation!$G372,'Dist Plant Depreciation'!$D$5:$AC$5,0))</f>
        <v>1128699</v>
      </c>
      <c r="BR372" s="129">
        <f>INDEX('Gen. Plant Depreciation'!$D$7:$AC$94,MATCH($C372,'Gen. Plant Depreciation'!$C$7:$C$94,0),MATCH(Calculation!$G372,'Gen. Plant Depreciation'!$D$5:$AC$5,0))</f>
        <v>0</v>
      </c>
      <c r="BS372" s="129"/>
      <c r="BT372" s="129"/>
      <c r="BU372" s="129"/>
      <c r="BV372" s="129"/>
      <c r="BW372" s="129"/>
      <c r="BX372" s="129"/>
      <c r="BY372" s="129">
        <f>INDEX('Gross Dx Plant'!$D$7:$AC$91,MATCH($C372,'Gross Dx Plant'!$C$7:$C$91,0),MATCH(Calculation!$G372,'Gross Dx Plant'!$D$5:$AC$5,0))</f>
        <v>6483385</v>
      </c>
      <c r="BZ372" s="129">
        <f>INDEX('Gross Gen Plant'!$D$7:$AC$91,MATCH($C372,'Gross Gen Plant'!$C$7:$C$91,0),MATCH(Calculation!$G372,'Gross Gen Plant'!$D$5:$AC$5,0))</f>
        <v>0</v>
      </c>
      <c r="CA372" s="129">
        <f t="shared" si="626"/>
        <v>5354686</v>
      </c>
      <c r="CB372" s="129"/>
      <c r="CC372" s="133">
        <v>2017</v>
      </c>
      <c r="CD372" s="129"/>
      <c r="CE372" s="129"/>
      <c r="CF372" s="129"/>
      <c r="CG372" s="137"/>
      <c r="CH372" s="129">
        <f t="shared" si="671"/>
        <v>677610</v>
      </c>
      <c r="CI372" s="46">
        <f t="shared" si="680"/>
        <v>677610</v>
      </c>
      <c r="CJ372" s="46">
        <f t="shared" si="672"/>
        <v>951.12691363202396</v>
      </c>
      <c r="CK372" s="443">
        <v>0.77108433734939763</v>
      </c>
      <c r="CL372" s="46">
        <f>+CL353*CK372+CJ354*CK371+CJ355*CK370+CJ356*CK369+CJ357*CK368+CJ358*CK367+CJ359*CK366+CJ360*CK365+CJ361*CK364+CJ362*CK363+CJ363*CK362+CJ364*CK361+CJ365*CK360+CJ366*CK359+CJ367*CK358+CJ368*CK357+CJ369*CK356+CJ370*CK355+CJ371*CK354+CJ372</f>
        <v>13143.628951465078</v>
      </c>
      <c r="CM372" s="134">
        <f t="shared" si="673"/>
        <v>6.0269625096218048E-2</v>
      </c>
      <c r="CN372" s="135">
        <f t="shared" si="674"/>
        <v>1.4736686319369433E-2</v>
      </c>
      <c r="CO372" s="135">
        <f t="shared" si="685"/>
        <v>1.4555278953320231E-2</v>
      </c>
      <c r="CP372" s="134">
        <f>VLOOKUP($H372,RoR!$E:$F,2,FALSE)</f>
        <v>3.7433333333333339E-2</v>
      </c>
      <c r="CQ372" s="135">
        <v>1.9056896421275615E-2</v>
      </c>
      <c r="CR372" s="135">
        <f t="shared" si="681"/>
        <v>1.8376436912057724E-2</v>
      </c>
      <c r="CS372" s="135">
        <f t="shared" si="686"/>
        <v>1.6346662655213395E-2</v>
      </c>
      <c r="CT372" s="135">
        <f t="shared" si="687"/>
        <v>1.3976271617800498E-2</v>
      </c>
      <c r="CU372" s="139">
        <f t="shared" si="675"/>
        <v>0.90509623210000001</v>
      </c>
      <c r="CV372" s="335">
        <f t="shared" si="676"/>
        <v>1.3699568463593395</v>
      </c>
      <c r="CW372" s="335">
        <f t="shared" si="677"/>
        <v>0.30714603739982199</v>
      </c>
      <c r="CX372" s="335">
        <f t="shared" si="678"/>
        <v>0.77007188472689425</v>
      </c>
      <c r="CY372" s="335">
        <f t="shared" si="679"/>
        <v>0.32402839633793828</v>
      </c>
      <c r="CZ372" s="336">
        <f>INDEX('State Tax Lookup'!$D$7:$Z$91,MATCH(Calculation!$C372,'State Tax Lookup'!$B$7:$B$91,0),MATCH($H372,'State Tax Lookup'!$D$6:$Z$6,0))</f>
        <v>0.25649666999999998</v>
      </c>
      <c r="DA372" s="303">
        <v>0.37</v>
      </c>
      <c r="DB372" s="57">
        <f t="shared" si="682"/>
        <v>14.159918734769709</v>
      </c>
      <c r="DC372" s="56">
        <f t="shared" si="688"/>
        <v>-0.10213336283974521</v>
      </c>
      <c r="DD372" s="303">
        <f>VLOOKUP($H372,RoR!$E:$F,2,FALSE)</f>
        <v>3.7433333333333339E-2</v>
      </c>
      <c r="DE372" s="304">
        <f>HLOOKUP($H372,'GDP-PI'!$D$8:$CQ$11,3,FALSE)</f>
        <v>1.9056896421275615E-2</v>
      </c>
      <c r="DF372" s="303">
        <f>VLOOKUP(H372,'HW Dx Data'!$E:$F,2,FALSE)</f>
        <v>712.42858370229726</v>
      </c>
      <c r="DG372" s="89">
        <f ca="1">VLOOKUP(CC372,'ECI - Input Price'!M$13:N$33,2,FALSE)</f>
        <v>140.44999999999999</v>
      </c>
      <c r="DH372" s="89"/>
      <c r="DI372" s="89"/>
      <c r="DJ372" s="56">
        <f t="shared" ca="1" si="696"/>
        <v>2.5235657841165486E-2</v>
      </c>
      <c r="DK372" s="53">
        <f>HLOOKUP(H372,'GDP-PI'!$8:$9,2,FALSE)</f>
        <v>107.751</v>
      </c>
      <c r="DL372" s="355">
        <f t="shared" si="689"/>
        <v>1.8877588227745139E-2</v>
      </c>
      <c r="EC372"/>
    </row>
    <row r="373" spans="1:133" s="126" customFormat="1" ht="21" customHeight="1" x14ac:dyDescent="0.4">
      <c r="A373" s="233" t="s">
        <v>204</v>
      </c>
      <c r="B373" s="127" t="s">
        <v>204</v>
      </c>
      <c r="C373" s="127">
        <v>4057080</v>
      </c>
      <c r="D373" s="127" t="s">
        <v>194</v>
      </c>
      <c r="E373" s="127" t="s">
        <v>15</v>
      </c>
      <c r="F373" s="127"/>
      <c r="G373" s="127" t="s">
        <v>174</v>
      </c>
      <c r="H373" s="128">
        <v>2018</v>
      </c>
      <c r="I373" s="129"/>
      <c r="J373" s="125">
        <f>IFERROR(INDEX('Labor Expenditures'!$E$7:$W$91,MATCH($C373,'Labor Expenditures'!$C$7:$C$91,0),MATCH($G373,'Labor Expenditures'!$E$5:$W$5,0)),"NA")</f>
        <v>151597.08864638535</v>
      </c>
      <c r="K373" s="125">
        <f t="shared" ca="1" si="690"/>
        <v>1049.4779414772265</v>
      </c>
      <c r="L373" s="47"/>
      <c r="M373" s="131">
        <f t="shared" ca="1" si="697"/>
        <v>-1.3322797171694182E-2</v>
      </c>
      <c r="N373" s="131"/>
      <c r="O373" s="131"/>
      <c r="P373" s="59">
        <f t="shared" ca="1" si="699"/>
        <v>-6.7762251424218736E-4</v>
      </c>
      <c r="Q373" s="61"/>
      <c r="R373" s="387"/>
      <c r="S373" s="49">
        <f t="shared" ca="1" si="704"/>
        <v>114.51149119711448</v>
      </c>
      <c r="T373" s="61">
        <f ca="1">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</f>
        <v>-0.36984187036446642</v>
      </c>
      <c r="U373" s="61"/>
      <c r="V373" s="125">
        <f>IFERROR(INDEX('Non-Labor Expenditures'!$E$7:$AA$91,MATCH($C373,'Non-Labor Expenditures'!$C$7:$C$91,0),MATCH($G373,'Non-Labor Expenditures'!$E$5:$AA$5,0)),"NA")</f>
        <v>219540.89879044687</v>
      </c>
      <c r="W373" s="125">
        <f t="shared" si="691"/>
        <v>1990.0010767611795</v>
      </c>
      <c r="X373" s="131">
        <f t="shared" si="700"/>
        <v>-8.8212765262112806E-3</v>
      </c>
      <c r="Y373" s="131">
        <f t="shared" si="701"/>
        <v>-4.4866671026237302E-4</v>
      </c>
      <c r="Z373" s="131"/>
      <c r="AA373" s="131"/>
      <c r="AB373" s="131"/>
      <c r="AC373" s="125">
        <f t="shared" si="669"/>
        <v>194850.34014406073</v>
      </c>
      <c r="AD373" s="129"/>
      <c r="AE373" s="133">
        <v>14929.531139040817</v>
      </c>
      <c r="AF373" s="134">
        <v>5.9584692349474139E-2</v>
      </c>
      <c r="AG373" s="59">
        <f t="shared" si="692"/>
        <v>3.0305894865667701E-3</v>
      </c>
      <c r="AH373" s="134"/>
      <c r="AI373" s="134"/>
      <c r="AJ373" s="129">
        <f t="shared" si="664"/>
        <v>565988.32758089295</v>
      </c>
      <c r="AK373" s="134">
        <f t="shared" si="702"/>
        <v>4.5287895357255699E-2</v>
      </c>
      <c r="AL373" s="129"/>
      <c r="AM373" s="129"/>
      <c r="AN373" s="129"/>
      <c r="AO373" s="129"/>
      <c r="AP373" s="133">
        <f t="shared" si="703"/>
        <v>522.52037971295215</v>
      </c>
      <c r="AQ373" s="134">
        <f>+BB373/Outputs!$B$26</f>
        <v>2.8997382820418176E-2</v>
      </c>
      <c r="AR373" s="93">
        <f t="shared" si="693"/>
        <v>0.26784490290520802</v>
      </c>
      <c r="AS373" s="93">
        <f t="shared" si="694"/>
        <v>0.38788944593396996</v>
      </c>
      <c r="AT373" s="93">
        <f t="shared" si="695"/>
        <v>0.34426565116082197</v>
      </c>
      <c r="AU373" s="93">
        <f t="shared" ca="1" si="698"/>
        <v>1.2808889975561477E-2</v>
      </c>
      <c r="AV373" s="132">
        <f t="shared" ca="1" si="706"/>
        <v>172.31646560641948</v>
      </c>
      <c r="AW373" s="134">
        <f t="shared" ca="1" si="707"/>
        <v>1.2808889975561549E-2</v>
      </c>
      <c r="AX373" s="56">
        <f>+AJ373/$AL$23</f>
        <v>5.0861880242527031E-2</v>
      </c>
      <c r="AY373" s="135">
        <f t="shared" ca="1" si="705"/>
        <v>6.5148422797671652E-4</v>
      </c>
      <c r="AZ373" s="93"/>
      <c r="BA373" s="93"/>
      <c r="BB373" s="234">
        <f>IFERROR(INDEX('Total Customers'!$E$7:$AA$91,MATCH($C373,'Total Customers'!$C$7:$C$91,0),MATCH($G373,'Total Customers'!$E$5:$AA$5,0)),"NA")</f>
        <v>1083189</v>
      </c>
      <c r="BC373" s="411">
        <f t="shared" si="622"/>
        <v>5.2919114490628319E-3</v>
      </c>
      <c r="BD373" s="92"/>
      <c r="BE373" s="281" t="str">
        <f t="shared" si="618"/>
        <v>CONSOLIDATED EDISON COMPANY OF NEW YORK, INC.</v>
      </c>
      <c r="BF373" s="290">
        <f t="shared" si="619"/>
        <v>4057080</v>
      </c>
      <c r="BG373" s="46" t="str">
        <f t="shared" si="620"/>
        <v>NY</v>
      </c>
      <c r="BH373" s="46"/>
      <c r="BI373" s="46" t="str">
        <f t="shared" si="621"/>
        <v>2018 Y</v>
      </c>
      <c r="BJ373" s="129"/>
      <c r="BK373" s="129"/>
      <c r="BL373" s="129">
        <f>INDEX('Dist. Plant Gas Additions'!$E$7:$AD$91,MATCH($C373,'Dist. Plant Gas Additions'!$C$7:$C$91,0),MATCH(Calculation!$G373,'Dist. Plant Gas Additions'!$E$5:$AD$5,0))</f>
        <v>739835</v>
      </c>
      <c r="BM373" s="129">
        <f>INDEX('Gen. Plant Additions'!$E$7:$AD$91,MATCH($C373,'Gen. Plant Additions'!$C$7:$C$91,0),MATCH(Calculation!$G373,'Gen. Plant Additions'!$E$5:$AD$5,0))</f>
        <v>0</v>
      </c>
      <c r="BN373" s="393">
        <f t="shared" si="670"/>
        <v>1</v>
      </c>
      <c r="BO373" s="129"/>
      <c r="BP373" s="129"/>
      <c r="BQ373" s="129">
        <f>INDEX('Dist Plant Depreciation'!$D$7:$AC$94,MATCH($C373,'Dist Plant Depreciation'!$C$7:$C$94,0),MATCH(Calculation!$G373,'Dist Plant Depreciation'!$D$5:$AC$5,0))</f>
        <v>1212731</v>
      </c>
      <c r="BR373" s="129">
        <f>INDEX('Gen. Plant Depreciation'!$D$7:$AC$94,MATCH($C373,'Gen. Plant Depreciation'!$C$7:$C$94,0),MATCH(Calculation!$G373,'Gen. Plant Depreciation'!$D$5:$AC$5,0))</f>
        <v>0</v>
      </c>
      <c r="BS373" s="129"/>
      <c r="BT373" s="129"/>
      <c r="BU373" s="129"/>
      <c r="BV373" s="129"/>
      <c r="BW373" s="129"/>
      <c r="BX373" s="129"/>
      <c r="BY373" s="129">
        <f>INDEX('Gross Dx Plant'!$D$7:$AC$91,MATCH($C373,'Gross Dx Plant'!$C$7:$C$91,0),MATCH(Calculation!$G373,'Gross Dx Plant'!$D$5:$AC$5,0))</f>
        <v>7191048</v>
      </c>
      <c r="BZ373" s="129">
        <f>INDEX('Gross Gen Plant'!$D$7:$AC$91,MATCH($C373,'Gross Gen Plant'!$C$7:$C$91,0),MATCH(Calculation!$G373,'Gross Gen Plant'!$D$5:$AC$5,0))</f>
        <v>0</v>
      </c>
      <c r="CA373" s="129">
        <f t="shared" si="626"/>
        <v>5978317</v>
      </c>
      <c r="CB373" s="129"/>
      <c r="CC373" s="133">
        <v>2018</v>
      </c>
      <c r="CD373" s="129"/>
      <c r="CE373" s="129"/>
      <c r="CF373" s="129"/>
      <c r="CG373" s="137"/>
      <c r="CH373" s="129">
        <f t="shared" si="671"/>
        <v>739835</v>
      </c>
      <c r="CI373" s="46">
        <f t="shared" si="680"/>
        <v>739835</v>
      </c>
      <c r="CJ373" s="46">
        <f t="shared" si="672"/>
        <v>979.73649797297048</v>
      </c>
      <c r="CK373" s="443">
        <v>0.75609756097560976</v>
      </c>
      <c r="CL373" s="46">
        <f>+CL353*CK373++CJ354*CK372+CJ355*CK371+CJ356*CK370+CJ357*CK369+CJ358*CK368+CJ359*CK367+CJ360*CK366+CJ361*CK365+CJ362*CK364+CJ363*CK363+CJ364*CK362+CJ365*CK361+CJ366*CK360+CJ367*CK359+CJ368*CK358+CJ369*CK357+CJ370*CK356+CJ371*CK355+CJ372*CK354+CJ373</f>
        <v>13927.396301136112</v>
      </c>
      <c r="CM373" s="134">
        <f t="shared" si="673"/>
        <v>5.7920706428234582E-2</v>
      </c>
      <c r="CN373" s="135">
        <f t="shared" si="674"/>
        <v>1.4909820493684311E-2</v>
      </c>
      <c r="CO373" s="135">
        <f t="shared" si="685"/>
        <v>1.4724451598751525E-2</v>
      </c>
      <c r="CP373" s="134">
        <f>VLOOKUP($H373,RoR!$E:$F,2,FALSE)</f>
        <v>3.9299999999999995E-2</v>
      </c>
      <c r="CQ373" s="135">
        <v>2.386056741932796E-2</v>
      </c>
      <c r="CR373" s="135">
        <f t="shared" si="681"/>
        <v>1.5439432580672034E-2</v>
      </c>
      <c r="CS373" s="135">
        <f t="shared" si="686"/>
        <v>1.6177490009782101E-2</v>
      </c>
      <c r="CT373" s="135">
        <f t="shared" si="687"/>
        <v>3.8270792163076606E-2</v>
      </c>
      <c r="CU373" s="139">
        <f t="shared" si="675"/>
        <v>0.90509623210000001</v>
      </c>
      <c r="CV373" s="335">
        <f t="shared" si="676"/>
        <v>1.3048868010700074</v>
      </c>
      <c r="CW373" s="335">
        <f t="shared" si="677"/>
        <v>0.33886768447837151</v>
      </c>
      <c r="CX373" s="335">
        <f t="shared" si="678"/>
        <v>0.78602506232557801</v>
      </c>
      <c r="CY373" s="335">
        <f t="shared" si="679"/>
        <v>0.34756768162358759</v>
      </c>
      <c r="CZ373" s="336">
        <f>INDEX('State Tax Lookup'!$D$7:$Z$91,MATCH(Calculation!$C373,'State Tax Lookup'!$B$7:$B$91,0),MATCH($H373,'State Tax Lookup'!$D$6:$Z$6,0))</f>
        <v>0.25649666999999998</v>
      </c>
      <c r="DA373" s="303">
        <v>0.37</v>
      </c>
      <c r="DB373" s="57">
        <f t="shared" si="682"/>
        <v>14.824698784755437</v>
      </c>
      <c r="DC373" s="56">
        <f t="shared" si="688"/>
        <v>4.5879277437863651E-2</v>
      </c>
      <c r="DD373" s="303">
        <f>VLOOKUP($H373,RoR!$E:$F,2,FALSE)</f>
        <v>3.9299999999999995E-2</v>
      </c>
      <c r="DE373" s="304">
        <f>HLOOKUP($H373,'GDP-PI'!$D$8:$CQ$11,3,FALSE)</f>
        <v>2.386056741932796E-2</v>
      </c>
      <c r="DF373" s="303">
        <f>VLOOKUP(H373,'HW Dx Data'!$E:$F,2,FALSE)</f>
        <v>755.13671434174842</v>
      </c>
      <c r="DG373" s="89">
        <f ca="1">VLOOKUP(CC373,'ECI - Input Price'!M$13:N$33,2,FALSE)</f>
        <v>144.44999999999999</v>
      </c>
      <c r="DH373" s="89"/>
      <c r="DI373" s="89"/>
      <c r="DJ373" s="56">
        <f t="shared" ca="1" si="696"/>
        <v>2.80818733619915E-2</v>
      </c>
      <c r="DK373" s="53">
        <f>HLOOKUP(H373,'GDP-PI'!$8:$9,2,FALSE)</f>
        <v>110.322</v>
      </c>
      <c r="DL373" s="355">
        <f t="shared" si="689"/>
        <v>2.3580352716508712E-2</v>
      </c>
      <c r="EC373"/>
    </row>
    <row r="374" spans="1:133" s="126" customFormat="1" ht="21" customHeight="1" x14ac:dyDescent="0.4">
      <c r="A374" s="233" t="s">
        <v>204</v>
      </c>
      <c r="B374" s="127" t="s">
        <v>204</v>
      </c>
      <c r="C374" s="127">
        <v>4057080</v>
      </c>
      <c r="D374" s="127" t="s">
        <v>194</v>
      </c>
      <c r="E374" s="127" t="s">
        <v>15</v>
      </c>
      <c r="F374" s="127"/>
      <c r="G374" s="127" t="s">
        <v>175</v>
      </c>
      <c r="H374" s="128">
        <v>2019</v>
      </c>
      <c r="I374" s="129"/>
      <c r="J374" s="125">
        <f>IFERROR(INDEX('Labor Expenditures'!$E$7:$W$91,MATCH($C374,'Labor Expenditures'!$C$7:$C$91,0),MATCH($G374,'Labor Expenditures'!$E$5:$W$5,0)),"NA")</f>
        <v>139778.84443068921</v>
      </c>
      <c r="K374" s="125">
        <f t="shared" ca="1" si="690"/>
        <v>933.88237468307466</v>
      </c>
      <c r="L374" s="47"/>
      <c r="M374" s="131">
        <f t="shared" ca="1" si="697"/>
        <v>-0.11669762778630964</v>
      </c>
      <c r="N374" s="131"/>
      <c r="O374" s="131"/>
      <c r="P374" s="59">
        <f t="shared" ca="1" si="699"/>
        <v>-5.6445994981068883E-3</v>
      </c>
      <c r="Q374" s="61"/>
      <c r="R374" s="387"/>
      <c r="S374" s="49">
        <f t="shared" ca="1" si="704"/>
        <v>115.27788567975226</v>
      </c>
      <c r="T374" s="61">
        <f ca="1">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</f>
        <v>6.6704330266109425E-3</v>
      </c>
      <c r="U374" s="61"/>
      <c r="V374" s="125">
        <f>IFERROR(INDEX('Non-Labor Expenditures'!$E$7:$AA$91,MATCH($C374,'Non-Labor Expenditures'!$C$7:$C$91,0),MATCH($G374,'Non-Labor Expenditures'!$E$5:$AA$5,0)),"NA")</f>
        <v>202425.87382257925</v>
      </c>
      <c r="W374" s="125">
        <f t="shared" si="691"/>
        <v>1802.2567515676851</v>
      </c>
      <c r="X374" s="131">
        <f t="shared" si="700"/>
        <v>-9.9095549338539646E-2</v>
      </c>
      <c r="Y374" s="131">
        <f t="shared" si="701"/>
        <v>-4.7931967313440786E-3</v>
      </c>
      <c r="Z374" s="131"/>
      <c r="AA374" s="131"/>
      <c r="AB374" s="131"/>
      <c r="AC374" s="125">
        <f t="shared" si="669"/>
        <v>208873.82439349391</v>
      </c>
      <c r="AD374" s="129"/>
      <c r="AE374" s="133">
        <v>15866.350986077163</v>
      </c>
      <c r="AF374" s="134">
        <v>6.0859369426923271E-2</v>
      </c>
      <c r="AG374" s="59">
        <f t="shared" si="692"/>
        <v>2.9437339270628566E-3</v>
      </c>
      <c r="AH374" s="134"/>
      <c r="AI374" s="134"/>
      <c r="AJ374" s="129">
        <f t="shared" si="664"/>
        <v>551078.54264676233</v>
      </c>
      <c r="AK374" s="134">
        <f t="shared" si="702"/>
        <v>-2.6696110709276695E-2</v>
      </c>
      <c r="AL374" s="129"/>
      <c r="AM374" s="129"/>
      <c r="AN374" s="129"/>
      <c r="AO374" s="129"/>
      <c r="AP374" s="133">
        <f t="shared" si="703"/>
        <v>507.92100294733063</v>
      </c>
      <c r="AQ374" s="134">
        <f>+BB374/Outputs!$B$27</f>
        <v>2.8805494408136241E-2</v>
      </c>
      <c r="AR374" s="93">
        <f t="shared" si="693"/>
        <v>0.25364595717944061</v>
      </c>
      <c r="AS374" s="93">
        <f t="shared" si="694"/>
        <v>0.36732672052581239</v>
      </c>
      <c r="AT374" s="93">
        <f t="shared" si="695"/>
        <v>0.37902732229474706</v>
      </c>
      <c r="AU374" s="93">
        <f t="shared" ca="1" si="698"/>
        <v>-4.583807644668432E-2</v>
      </c>
      <c r="AV374" s="132">
        <f t="shared" ca="1" si="706"/>
        <v>164.59610525907343</v>
      </c>
      <c r="AW374" s="134">
        <f t="shared" ca="1" si="707"/>
        <v>-4.5838076446684375E-2</v>
      </c>
      <c r="AX374" s="56">
        <f>+AJ374/$AL$24</f>
        <v>4.836944507940618E-2</v>
      </c>
      <c r="AY374" s="135">
        <f t="shared" ca="1" si="705"/>
        <v>-2.2171623212335219E-3</v>
      </c>
      <c r="AZ374" s="93"/>
      <c r="BA374" s="93"/>
      <c r="BB374" s="234">
        <f>IFERROR(INDEX('Total Customers'!$E$7:$AA$91,MATCH($C374,'Total Customers'!$C$7:$C$91,0),MATCH($G374,'Total Customers'!$E$5:$AA$5,0)),"NA")</f>
        <v>1084969</v>
      </c>
      <c r="BC374" s="411">
        <f t="shared" si="622"/>
        <v>1.6419471273820387E-3</v>
      </c>
      <c r="BD374" s="92"/>
      <c r="BE374" s="281" t="str">
        <f t="shared" si="618"/>
        <v>CONSOLIDATED EDISON COMPANY OF NEW YORK, INC.</v>
      </c>
      <c r="BF374" s="290">
        <f t="shared" si="619"/>
        <v>4057080</v>
      </c>
      <c r="BG374" s="46" t="str">
        <f t="shared" si="620"/>
        <v>NY</v>
      </c>
      <c r="BH374" s="46"/>
      <c r="BI374" s="46" t="str">
        <f t="shared" si="621"/>
        <v>2019 Y</v>
      </c>
      <c r="BJ374" s="129"/>
      <c r="BK374" s="129"/>
      <c r="BL374" s="129">
        <f>INDEX('Dist. Plant Gas Additions'!$E$7:$AD$91,MATCH($C374,'Dist. Plant Gas Additions'!$C$7:$C$91,0),MATCH(Calculation!$G374,'Dist. Plant Gas Additions'!$E$5:$AD$5,0))</f>
        <v>821756</v>
      </c>
      <c r="BM374" s="129">
        <f>INDEX('Gen. Plant Additions'!$E$7:$AD$91,MATCH($C374,'Gen. Plant Additions'!$C$7:$C$91,0),MATCH(Calculation!$G374,'Gen. Plant Additions'!$E$5:$AD$5,0))</f>
        <v>0</v>
      </c>
      <c r="BN374" s="393">
        <f t="shared" si="670"/>
        <v>1</v>
      </c>
      <c r="BO374" s="129"/>
      <c r="BP374" s="129"/>
      <c r="BQ374" s="129">
        <f>INDEX('Dist Plant Depreciation'!$D$7:$AC$94,MATCH($C374,'Dist Plant Depreciation'!$C$7:$C$94,0),MATCH(Calculation!$G374,'Dist Plant Depreciation'!$D$5:$AC$5,0))</f>
        <v>1276174</v>
      </c>
      <c r="BR374" s="129">
        <f>INDEX('Gen. Plant Depreciation'!$D$7:$AC$94,MATCH($C374,'Gen. Plant Depreciation'!$C$7:$C$94,0),MATCH(Calculation!$G374,'Gen. Plant Depreciation'!$D$5:$AC$5,0))</f>
        <v>0</v>
      </c>
      <c r="BS374" s="129"/>
      <c r="BT374" s="129"/>
      <c r="BU374" s="129"/>
      <c r="BV374" s="129"/>
      <c r="BW374" s="129"/>
      <c r="BX374" s="129"/>
      <c r="BY374" s="129">
        <f>INDEX('Gross Dx Plant'!$D$7:$AC$91,MATCH($C374,'Gross Dx Plant'!$C$7:$C$91,0),MATCH(Calculation!$G374,'Gross Dx Plant'!$D$5:$AC$5,0))</f>
        <v>7959211</v>
      </c>
      <c r="BZ374" s="129">
        <f>INDEX('Gross Gen Plant'!$D$7:$AC$91,MATCH($C374,'Gross Gen Plant'!$C$7:$C$91,0),MATCH(Calculation!$G374,'Gross Gen Plant'!$D$5:$AC$5,0))</f>
        <v>0</v>
      </c>
      <c r="CA374" s="129">
        <f t="shared" si="626"/>
        <v>6683037</v>
      </c>
      <c r="CB374" s="129"/>
      <c r="CC374" s="133">
        <v>2019</v>
      </c>
      <c r="CD374" s="129"/>
      <c r="CE374" s="129"/>
      <c r="CF374" s="129"/>
      <c r="CG374" s="137"/>
      <c r="CH374" s="129">
        <f t="shared" si="671"/>
        <v>821756</v>
      </c>
      <c r="CI374" s="46">
        <f t="shared" si="680"/>
        <v>821756</v>
      </c>
      <c r="CJ374" s="46">
        <f t="shared" si="672"/>
        <v>1062.3325824415851</v>
      </c>
      <c r="CK374" s="443">
        <v>0.7407407407407407</v>
      </c>
      <c r="CL374" s="46">
        <f>CL353*CK374+CJ354*CK373+CJ355*CK372+CJ356*CK371+CJ357*CK370+CJ358*CK369+CJ359*CK368+CJ360*CK367+CJ361*CK366+CJ362*CK365+CJ363*CK364+CJ364*CK363+CJ365*CK362+CJ366*CK361+CJ367*CK360+CJ368*CK359+CJ369*CK358+CJ370*CK357+CJ371*CK356+CJ372*CK355+CJ373*CK354+CJ374</f>
        <v>14779.536823480561</v>
      </c>
      <c r="CM374" s="134">
        <f t="shared" si="673"/>
        <v>5.9385719703769851E-2</v>
      </c>
      <c r="CN374" s="135">
        <f t="shared" si="674"/>
        <v>1.5091985289453562E-2</v>
      </c>
      <c r="CO374" s="135">
        <f t="shared" si="685"/>
        <v>1.4912830700835768E-2</v>
      </c>
      <c r="CP374" s="134">
        <f>VLOOKUP($H374,RoR!$E:$F,2,FALSE)</f>
        <v>3.3875000000000009E-2</v>
      </c>
      <c r="CQ374" s="135">
        <v>1.8092492884465461E-2</v>
      </c>
      <c r="CR374" s="135">
        <f t="shared" si="681"/>
        <v>1.5782507115534548E-2</v>
      </c>
      <c r="CS374" s="135">
        <f t="shared" si="686"/>
        <v>1.5989110907697855E-2</v>
      </c>
      <c r="CT374" s="135">
        <f t="shared" si="687"/>
        <v>4.8445665544254078E-2</v>
      </c>
      <c r="CU374" s="139">
        <f t="shared" si="675"/>
        <v>0.90509623210000001</v>
      </c>
      <c r="CV374" s="335">
        <f t="shared" si="676"/>
        <v>1.513861292459078</v>
      </c>
      <c r="CW374" s="335">
        <f t="shared" si="677"/>
        <v>0.23699261992619944</v>
      </c>
      <c r="CX374" s="335">
        <f t="shared" si="678"/>
        <v>0.73619765810468829</v>
      </c>
      <c r="CY374" s="335">
        <f t="shared" si="679"/>
        <v>0.26412854465362851</v>
      </c>
      <c r="CZ374" s="336">
        <f>INDEX('State Tax Lookup'!$D$7:$Z$91,MATCH(Calculation!$C374,'State Tax Lookup'!$B$7:$B$91,0),MATCH($H374,'State Tax Lookup'!$D$6:$Z$6,0))</f>
        <v>0.25649666999999998</v>
      </c>
      <c r="DA374" s="303">
        <v>0.37</v>
      </c>
      <c r="DB374" s="57">
        <f t="shared" si="682"/>
        <v>14.997334740625945</v>
      </c>
      <c r="DC374" s="56">
        <f t="shared" si="688"/>
        <v>1.1577874739242069E-2</v>
      </c>
      <c r="DD374" s="303">
        <f>VLOOKUP($H374,RoR!$E:$F,2,FALSE)</f>
        <v>3.3875000000000009E-2</v>
      </c>
      <c r="DE374" s="304">
        <f>HLOOKUP($H374,'GDP-PI'!$D$8:$CQ$11,3,FALSE)</f>
        <v>1.8092492884465461E-2</v>
      </c>
      <c r="DF374" s="303">
        <f>VLOOKUP(H374,'HW Dx Data'!$E:$F,2,FALSE)</f>
        <v>773.53929793938721</v>
      </c>
      <c r="DG374" s="89">
        <f ca="1">VLOOKUP(CC374,'ECI - Input Price'!M$13:N$33,2,FALSE)</f>
        <v>149.67500000000001</v>
      </c>
      <c r="DH374" s="89"/>
      <c r="DI374" s="89"/>
      <c r="DJ374" s="56">
        <f t="shared" ca="1" si="696"/>
        <v>3.5532849899171604E-2</v>
      </c>
      <c r="DK374" s="53">
        <f>HLOOKUP(H374,'GDP-PI'!$8:$9,2,FALSE)</f>
        <v>112.318</v>
      </c>
      <c r="DL374" s="355">
        <f t="shared" si="689"/>
        <v>1.7930771451401852E-2</v>
      </c>
      <c r="EC374"/>
    </row>
    <row r="375" spans="1:133" s="126" customFormat="1" ht="21" customHeight="1" x14ac:dyDescent="0.4">
      <c r="A375" s="233" t="s">
        <v>204</v>
      </c>
      <c r="B375" s="126" t="s">
        <v>204</v>
      </c>
      <c r="C375" s="126">
        <v>4057080</v>
      </c>
      <c r="D375" s="126" t="s">
        <v>194</v>
      </c>
      <c r="E375" s="126" t="s">
        <v>15</v>
      </c>
      <c r="G375" s="127" t="s">
        <v>176</v>
      </c>
      <c r="H375" s="128">
        <v>2020</v>
      </c>
      <c r="I375" s="129"/>
      <c r="J375" s="125">
        <f>IFERROR(INDEX('Labor Expenditures'!$E$7:$W$91,MATCH($C375,'Labor Expenditures'!$C$7:$C$91,0),MATCH($G375,'Labor Expenditures'!$E$5:$W$5,0)),"NA")</f>
        <v>132051.58497180408</v>
      </c>
      <c r="K375" s="125">
        <f t="shared" ca="1" si="690"/>
        <v>862.23692439963486</v>
      </c>
      <c r="L375" s="47"/>
      <c r="M375" s="131">
        <f t="shared" ca="1" si="697"/>
        <v>-7.9820405937843883E-2</v>
      </c>
      <c r="N375" s="131"/>
      <c r="O375" s="131"/>
      <c r="P375" s="59">
        <f t="shared" ca="1" si="699"/>
        <v>-3.8100916520968447E-3</v>
      </c>
      <c r="Q375" s="61"/>
      <c r="R375" s="387"/>
      <c r="S375" s="49">
        <f t="shared" ca="1" si="704"/>
        <v>114.26332382748241</v>
      </c>
      <c r="T375" s="61">
        <f ca="1">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</f>
        <v>-8.8399678763853157E-3</v>
      </c>
      <c r="U375" s="61"/>
      <c r="V375" s="125">
        <f>IFERROR(INDEX('Non-Labor Expenditures'!$E$7:$AA$91,MATCH($C375,'Non-Labor Expenditures'!$C$7:$C$91,0),MATCH($G375,'Non-Labor Expenditures'!$E$5:$AA$5,0)),"NA")</f>
        <v>191235.35887312822</v>
      </c>
      <c r="W375" s="125">
        <f t="shared" si="691"/>
        <v>1683.0690870081605</v>
      </c>
      <c r="X375" s="131">
        <f t="shared" si="700"/>
        <v>-6.8420666201868444E-2</v>
      </c>
      <c r="Y375" s="131">
        <f t="shared" si="701"/>
        <v>-3.2659444168906147E-3</v>
      </c>
      <c r="Z375" s="131"/>
      <c r="AA375" s="131"/>
      <c r="AB375" s="131"/>
      <c r="AC375" s="125">
        <f t="shared" si="669"/>
        <v>230519.40895299555</v>
      </c>
      <c r="AD375" s="129"/>
      <c r="AE375" s="133">
        <v>16482.203146389274</v>
      </c>
      <c r="AF375" s="134">
        <v>3.8080625077583037E-2</v>
      </c>
      <c r="AG375" s="59">
        <f t="shared" si="692"/>
        <v>1.8177140295140936E-3</v>
      </c>
      <c r="AH375" s="134"/>
      <c r="AI375" s="134"/>
      <c r="AJ375" s="129">
        <f t="shared" si="664"/>
        <v>553806.3527979278</v>
      </c>
      <c r="AK375" s="134">
        <f t="shared" si="702"/>
        <v>4.9377373239417009E-3</v>
      </c>
      <c r="AL375" s="129"/>
      <c r="AM375" s="129"/>
      <c r="AN375" s="129"/>
      <c r="AO375" s="129"/>
      <c r="AP375" s="133">
        <f t="shared" si="703"/>
        <v>483.15296248229231</v>
      </c>
      <c r="AQ375" s="134">
        <f>+BB375/Outputs!$B$28</f>
        <v>3.0217157695852686E-2</v>
      </c>
      <c r="AR375" s="93">
        <f t="shared" si="693"/>
        <v>0.23844360813966126</v>
      </c>
      <c r="AS375" s="93">
        <f t="shared" si="694"/>
        <v>0.34531087970907759</v>
      </c>
      <c r="AT375" s="93">
        <f t="shared" si="695"/>
        <v>0.41624551215126127</v>
      </c>
      <c r="AU375" s="93">
        <f t="shared" ca="1" si="698"/>
        <v>-2.8876720793597311E-2</v>
      </c>
      <c r="AV375" s="132">
        <f t="shared" ca="1" si="706"/>
        <v>159.9110791315772</v>
      </c>
      <c r="AW375" s="134">
        <f t="shared" ca="1" si="707"/>
        <v>-2.8876720793597321E-2</v>
      </c>
      <c r="AX375" s="56">
        <f>+AJ375/$AL$25</f>
        <v>4.7733303374374737E-2</v>
      </c>
      <c r="AY375" s="135">
        <f t="shared" ca="1" si="705"/>
        <v>-1.3783812740978962E-3</v>
      </c>
      <c r="AZ375" s="93"/>
      <c r="BA375" s="93"/>
      <c r="BB375" s="234">
        <f>IFERROR(INDEX('Total Customers'!$E$7:$AA$91,MATCH($C375,'Total Customers'!$C$7:$C$91,0),MATCH($G375,'Total Customers'!$E$5:$AA$5,0)),"NA")</f>
        <v>1146234</v>
      </c>
      <c r="BC375" s="411">
        <f t="shared" si="622"/>
        <v>5.4930370774912002E-2</v>
      </c>
      <c r="BD375" s="92"/>
      <c r="BE375" s="281" t="str">
        <f t="shared" si="618"/>
        <v>CONSOLIDATED EDISON COMPANY OF NEW YORK, INC.</v>
      </c>
      <c r="BF375" s="290">
        <f t="shared" si="619"/>
        <v>4057080</v>
      </c>
      <c r="BG375" s="46" t="str">
        <f t="shared" si="620"/>
        <v>NY</v>
      </c>
      <c r="BH375" s="46"/>
      <c r="BI375" s="46" t="str">
        <f t="shared" si="621"/>
        <v>2020 Y</v>
      </c>
      <c r="BJ375" s="129"/>
      <c r="BK375" s="129"/>
      <c r="BL375" s="129">
        <f>INDEX('Dist. Plant Gas Additions'!$E$7:$AD$91,MATCH($C375,'Dist. Plant Gas Additions'!$C$7:$C$91,0),MATCH(Calculation!$G375,'Dist. Plant Gas Additions'!$E$5:$AD$5,0))</f>
        <v>600822</v>
      </c>
      <c r="BM375" s="129">
        <f>INDEX('Gen. Plant Additions'!$E$7:$AD$91,MATCH($C375,'Gen. Plant Additions'!$C$7:$C$91,0),MATCH(Calculation!$G375,'Gen. Plant Additions'!$E$5:$AD$5,0))</f>
        <v>10254</v>
      </c>
      <c r="BN375" s="393">
        <f t="shared" si="670"/>
        <v>0.99809191798947239</v>
      </c>
      <c r="BO375" s="46">
        <f t="shared" ref="BO375:BO438" si="708">+BN375*BM375</f>
        <v>10234.43452706405</v>
      </c>
      <c r="BP375" s="46">
        <f t="shared" ref="BP375:BP438" si="709">+BO375-BM375</f>
        <v>-19.565472935950311</v>
      </c>
      <c r="BQ375" s="129">
        <f>INDEX('Dist Plant Depreciation'!$D$7:$AC$94,MATCH($C375,'Dist Plant Depreciation'!$C$7:$C$94,0),MATCH(Calculation!$G375,'Dist Plant Depreciation'!$D$5:$AC$5,0))</f>
        <v>1395185</v>
      </c>
      <c r="BR375" s="129">
        <f>INDEX('Gen. Plant Depreciation'!$D$7:$AC$94,MATCH($C375,'Gen. Plant Depreciation'!$C$7:$C$94,0),MATCH(Calculation!$G375,'Gen. Plant Depreciation'!$D$5:$AC$5,0))</f>
        <v>1405</v>
      </c>
      <c r="BS375" s="129"/>
      <c r="BT375" s="129"/>
      <c r="BU375" s="129"/>
      <c r="BV375" s="129"/>
      <c r="BW375" s="129"/>
      <c r="BX375" s="129"/>
      <c r="BY375" s="129">
        <f>INDEX('Gross Dx Plant'!$D$7:$AC$91,MATCH($C375,'Gross Dx Plant'!$C$7:$C$91,0),MATCH(Calculation!$G375,'Gross Dx Plant'!$D$5:$AC$5,0))</f>
        <v>8497540</v>
      </c>
      <c r="BZ375" s="129">
        <f>INDEX('Gross Gen Plant'!$D$7:$AC$91,MATCH($C375,'Gross Gen Plant'!$C$7:$C$91,0),MATCH(Calculation!$G375,'Gross Gen Plant'!$D$5:$AC$5,0))</f>
        <v>16245</v>
      </c>
      <c r="CA375" s="129">
        <f t="shared" si="626"/>
        <v>7117195</v>
      </c>
      <c r="CB375" s="129"/>
      <c r="CC375" s="133">
        <v>2020</v>
      </c>
      <c r="CD375" s="129"/>
      <c r="CE375" s="129"/>
      <c r="CF375" s="129"/>
      <c r="CG375" s="137"/>
      <c r="CH375" s="129">
        <f t="shared" si="671"/>
        <v>611076</v>
      </c>
      <c r="CI375" s="46">
        <f t="shared" si="680"/>
        <v>611056.43452706409</v>
      </c>
      <c r="CJ375" s="46">
        <f t="shared" si="672"/>
        <v>751.53282879165363</v>
      </c>
      <c r="CK375" s="443">
        <v>0.72499999999999998</v>
      </c>
      <c r="CL375" s="46">
        <f>CL353*CK375+CJ354*CK374+CJ355*CK373+CJ356*CK372+CJ357*CK371+CJ358*CK370+CJ359*CK369+CJ360*CK368+CJ361*CK367+CJ362*CK366+CJ363*CK365+CJ364*CK364+CJ365*CK363+CJ366*CK362+CJ367*CK361+CJ368*CK360+CJ369*CK359+CJ370*CK358+CJ371*CK357+CJ372*CK356+CJ373*CK355+CJ374*CK354+CJ375</f>
        <v>15305.48353020518</v>
      </c>
      <c r="CM375" s="134">
        <f t="shared" si="673"/>
        <v>3.4967587885710867E-2</v>
      </c>
      <c r="CN375" s="135">
        <f t="shared" si="674"/>
        <v>1.5263409453308544E-2</v>
      </c>
      <c r="CO375" s="135">
        <f t="shared" si="685"/>
        <v>1.5088405078815472E-2</v>
      </c>
      <c r="CP375" s="134">
        <f>VLOOKUP($H375,RoR!$E:$F,2,FALSE)</f>
        <v>2.4766666666666666E-2</v>
      </c>
      <c r="CQ375" s="135">
        <v>1.1618796630994188E-2</v>
      </c>
      <c r="CR375" s="135">
        <f t="shared" si="681"/>
        <v>1.3147870035672478E-2</v>
      </c>
      <c r="CS375" s="135">
        <f t="shared" si="686"/>
        <v>1.5813536529718154E-2</v>
      </c>
      <c r="CT375" s="135">
        <f t="shared" si="687"/>
        <v>4.5144642961987357E-2</v>
      </c>
      <c r="CU375" s="139">
        <f t="shared" si="675"/>
        <v>0.90509623210000001</v>
      </c>
      <c r="CV375" s="335">
        <f t="shared" si="676"/>
        <v>2.0706077233668081</v>
      </c>
      <c r="CW375" s="335">
        <f t="shared" si="677"/>
        <v>-3.4421265141318998E-2</v>
      </c>
      <c r="CX375" s="335">
        <f t="shared" si="678"/>
        <v>0.62416226176410472</v>
      </c>
      <c r="CY375" s="335">
        <f t="shared" si="679"/>
        <v>-4.4485877841158712E-2</v>
      </c>
      <c r="CZ375" s="336">
        <f>INDEX('State Tax Lookup'!$D$7:$Z$91,MATCH(Calculation!$C375,'State Tax Lookup'!$B$7:$B$91,0),MATCH($H375,'State Tax Lookup'!$D$6:$Z$6,0))</f>
        <v>0.25649666999999998</v>
      </c>
      <c r="DA375" s="303">
        <v>0.37</v>
      </c>
      <c r="DB375" s="57">
        <f t="shared" si="682"/>
        <v>15.597201164434633</v>
      </c>
      <c r="DC375" s="56">
        <f t="shared" si="688"/>
        <v>3.9218984266620578E-2</v>
      </c>
      <c r="DD375" s="303">
        <f>VLOOKUP($H375,RoR!$E:$F,2,FALSE)</f>
        <v>2.4766666666666666E-2</v>
      </c>
      <c r="DE375" s="304">
        <f>HLOOKUP($H375,'GDP-PI'!$D$8:$CQ$11,3,FALSE)</f>
        <v>1.1618796630994188E-2</v>
      </c>
      <c r="DF375" s="303">
        <f>VLOOKUP(H375,'HW Dx Data'!$E:$F,2,FALSE)</f>
        <v>813.080162458833</v>
      </c>
      <c r="DG375" s="89">
        <f ca="1">VLOOKUP(CC375,'ECI - Input Price'!M$13:N$33,2,FALSE)</f>
        <v>153.15</v>
      </c>
      <c r="DH375" s="89"/>
      <c r="DI375" s="89"/>
      <c r="DJ375" s="56">
        <f t="shared" ca="1" si="696"/>
        <v>2.2951556467368479E-2</v>
      </c>
      <c r="DK375" s="53">
        <f>HLOOKUP(H375,'GDP-PI'!$8:$9,2,FALSE)</f>
        <v>113.623</v>
      </c>
      <c r="DL375" s="355">
        <f t="shared" si="689"/>
        <v>1.1551816731392881E-2</v>
      </c>
      <c r="EC375"/>
    </row>
    <row r="376" spans="1:133" s="126" customFormat="1" ht="21" customHeight="1" x14ac:dyDescent="0.4">
      <c r="A376" s="233" t="s">
        <v>204</v>
      </c>
      <c r="B376" s="126" t="s">
        <v>204</v>
      </c>
      <c r="C376" s="126">
        <v>4057080</v>
      </c>
      <c r="D376" s="126" t="s">
        <v>194</v>
      </c>
      <c r="E376" s="126" t="s">
        <v>15</v>
      </c>
      <c r="G376" s="127" t="s">
        <v>177</v>
      </c>
      <c r="H376" s="128">
        <v>2021</v>
      </c>
      <c r="I376" s="129"/>
      <c r="J376" s="125">
        <v>132600.11101561776</v>
      </c>
      <c r="K376" s="125">
        <f t="shared" ca="1" si="690"/>
        <v>843.24394922491422</v>
      </c>
      <c r="L376" s="47"/>
      <c r="M376" s="130">
        <f t="shared" ca="1" si="697"/>
        <v>-2.2273788815239639E-2</v>
      </c>
      <c r="N376" s="130"/>
      <c r="O376" s="130"/>
      <c r="P376" s="59">
        <f t="shared" ca="1" si="699"/>
        <v>-9.4263756135060984E-4</v>
      </c>
      <c r="Q376" s="61"/>
      <c r="R376" s="387"/>
      <c r="S376" s="132">
        <f ca="1">+S375*EXP(T376)</f>
        <v>119.4477229292816</v>
      </c>
      <c r="T376" s="134">
        <f ca="1">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</f>
        <v>4.4373167719953498E-2</v>
      </c>
      <c r="U376" s="134"/>
      <c r="V376" s="125">
        <v>186918.22878105156</v>
      </c>
      <c r="W376" s="125">
        <f t="shared" si="691"/>
        <v>1577.5021417929916</v>
      </c>
      <c r="X376" s="131">
        <f t="shared" si="700"/>
        <v>-6.4776291136091707E-2</v>
      </c>
      <c r="Y376" s="131">
        <f t="shared" si="701"/>
        <v>-2.7413641036268246E-3</v>
      </c>
      <c r="Z376" s="131"/>
      <c r="AA376" s="131"/>
      <c r="AB376" s="131"/>
      <c r="AC376" s="125">
        <f t="shared" si="669"/>
        <v>224095.70972203824</v>
      </c>
      <c r="AD376" s="129"/>
      <c r="AE376" s="133">
        <v>17495.24925020049</v>
      </c>
      <c r="AF376" s="134"/>
      <c r="AG376" s="59">
        <f t="shared" si="692"/>
        <v>0</v>
      </c>
      <c r="AH376" s="134"/>
      <c r="AI376" s="134"/>
      <c r="AJ376" s="129">
        <f t="shared" si="664"/>
        <v>543614.04951870756</v>
      </c>
      <c r="AK376" s="134">
        <f t="shared" si="702"/>
        <v>-1.857555468852598E-2</v>
      </c>
      <c r="AL376" s="129"/>
      <c r="AM376" s="134"/>
      <c r="AN376" s="134"/>
      <c r="AO376" s="134"/>
      <c r="AP376" s="133">
        <f t="shared" si="703"/>
        <v>474.26097072561754</v>
      </c>
      <c r="AQ376" s="134">
        <f>+BB376/Outputs!$B$29</f>
        <v>2.9690354287473769E-2</v>
      </c>
      <c r="AR376" s="93">
        <f t="shared" si="693"/>
        <v>0.2439232597704496</v>
      </c>
      <c r="AS376" s="93">
        <f t="shared" si="694"/>
        <v>0.34384363124268202</v>
      </c>
      <c r="AT376" s="93">
        <f t="shared" si="695"/>
        <v>0.41223310898686838</v>
      </c>
      <c r="AU376" s="93">
        <f t="shared" ca="1" si="698"/>
        <v>-2.7692505493230244E-2</v>
      </c>
      <c r="AV376" s="132">
        <f t="shared" ca="1" si="706"/>
        <v>155.54349448750961</v>
      </c>
      <c r="AW376" s="134">
        <f t="shared" ca="1" si="707"/>
        <v>-2.7692505493230338E-2</v>
      </c>
      <c r="AX376" s="56">
        <f>+AJ376/$AL$26</f>
        <v>4.232048571393749E-2</v>
      </c>
      <c r="AY376" s="135">
        <f t="shared" ca="1" si="705"/>
        <v>-1.17196028310939E-3</v>
      </c>
      <c r="AZ376" s="93"/>
      <c r="BA376" s="93"/>
      <c r="BB376" s="234">
        <f>INDEX('Total Customers'!$D$7:$D$91,MATCH(Calculation!$C376,'Total Customers'!$C$7:$C$91,0))</f>
        <v>1146234</v>
      </c>
      <c r="BC376" s="411">
        <f t="shared" si="622"/>
        <v>0</v>
      </c>
      <c r="BD376" s="91"/>
      <c r="BE376" s="281" t="str">
        <f t="shared" si="618"/>
        <v>CONSOLIDATED EDISON COMPANY OF NEW YORK, INC.</v>
      </c>
      <c r="BF376" s="290">
        <f t="shared" si="619"/>
        <v>4057080</v>
      </c>
      <c r="BG376" s="46" t="str">
        <f t="shared" si="620"/>
        <v>NY</v>
      </c>
      <c r="BH376" s="46"/>
      <c r="BI376" s="46" t="str">
        <f t="shared" si="621"/>
        <v>2021 Y</v>
      </c>
      <c r="BJ376" s="129"/>
      <c r="BK376" s="129"/>
      <c r="BL376" s="129">
        <f>INDEX('Dist. Plant Gas Additions'!$D$7:$AD$91,MATCH($C376,'Dist. Plant Gas Additions'!$C$7:$C$91,0),MATCH(Calculation!$G376,'Dist. Plant Gas Additions'!$D$5:$AD$5,0))</f>
        <v>1174807</v>
      </c>
      <c r="BM376" s="129">
        <f>INDEX('Gen. Plant Additions'!$D$7:$AD$91,MATCH($C376,'Gen. Plant Additions'!$C$7:$C$91,0),MATCH(Calculation!$G376,'Gen. Plant Additions'!$D$5:$AD$5,0))</f>
        <v>22881</v>
      </c>
      <c r="BN376" s="393">
        <v>0.99809191798947239</v>
      </c>
      <c r="BO376" s="46">
        <f t="shared" si="708"/>
        <v>22837.341175517118</v>
      </c>
      <c r="BP376" s="46">
        <f t="shared" si="709"/>
        <v>-43.658824482881755</v>
      </c>
      <c r="BQ376" s="129"/>
      <c r="BR376" s="129"/>
      <c r="BS376" s="137"/>
      <c r="BT376" s="137"/>
      <c r="BU376" s="333"/>
      <c r="BV376" s="93"/>
      <c r="BW376" s="334"/>
      <c r="BX376" s="334"/>
      <c r="BY376" s="129"/>
      <c r="BZ376" s="129"/>
      <c r="CA376" s="129"/>
      <c r="CB376" s="129"/>
      <c r="CC376" s="133">
        <v>2021</v>
      </c>
      <c r="CD376" s="129"/>
      <c r="CE376" s="129"/>
      <c r="CF376" s="129"/>
      <c r="CG376" s="137"/>
      <c r="CH376" s="129">
        <f t="shared" si="671"/>
        <v>1197688</v>
      </c>
      <c r="CI376" s="46">
        <f t="shared" si="680"/>
        <v>1197644.3411755171</v>
      </c>
      <c r="CJ376" s="46">
        <f t="shared" si="672"/>
        <v>1283.6178572125218</v>
      </c>
      <c r="CK376" s="443">
        <v>0.70886075949367089</v>
      </c>
      <c r="CL376" s="129">
        <f>CL353*CK376+CJ354*CK375+CJ355*CK374+CJ356*CK373+CJ357*CK372+CJ358*CK371+CJ359*CK370+CJ360*CK369+CJ361*CK368+CJ362*CK367+CJ363*CK366+CJ364*CK365+CJ365*CK364+CJ366*CK363+CJ367*CK362+CJ358*CK361+CJ369*CK360+CJ370*CK359+CJ371*CK358+CJ372*CK357+CJ373*CK356+CJ374*CK355+CJ376+CJ375*CK354</f>
        <v>16230.359495435532</v>
      </c>
      <c r="CM376" s="134"/>
      <c r="CN376" s="135">
        <f t="shared" si="674"/>
        <v>2.343878200738949E-2</v>
      </c>
      <c r="CO376" s="135">
        <f t="shared" si="685"/>
        <v>1.793139225005053E-2</v>
      </c>
      <c r="CP376" s="134">
        <f>VLOOKUP($H376,RoR!$E:$F,2,FALSE)</f>
        <v>2.7033333333333336E-2</v>
      </c>
      <c r="CQ376" s="135"/>
      <c r="CR376" s="135"/>
      <c r="CS376" s="135">
        <f t="shared" si="686"/>
        <v>1.2970549358483095E-2</v>
      </c>
      <c r="CT376" s="135">
        <f t="shared" si="687"/>
        <v>7.433422950153494E-2</v>
      </c>
      <c r="CU376" s="139">
        <f t="shared" si="675"/>
        <v>0.90509623210000001</v>
      </c>
      <c r="CV376" s="335">
        <f t="shared" si="676"/>
        <v>1.8969932656739068</v>
      </c>
      <c r="CW376" s="335">
        <f t="shared" si="677"/>
        <v>5.0215782983970621E-2</v>
      </c>
      <c r="CX376" s="335">
        <f t="shared" si="678"/>
        <v>0.655952481704143</v>
      </c>
      <c r="CY376" s="335">
        <f t="shared" si="679"/>
        <v>6.2485378865697057E-2</v>
      </c>
      <c r="CZ376" s="336">
        <f>CZ375</f>
        <v>0.25649666999999998</v>
      </c>
      <c r="DA376" s="303">
        <v>0.37</v>
      </c>
      <c r="DB376" s="141">
        <f t="shared" si="682"/>
        <v>14.641530878772185</v>
      </c>
      <c r="DC376" s="135">
        <f t="shared" si="688"/>
        <v>-6.3229414334461623E-2</v>
      </c>
      <c r="DD376" s="336">
        <f>VLOOKUP($H376,RoR!$E:$F,2,FALSE)</f>
        <v>2.7033333333333336E-2</v>
      </c>
      <c r="DE376" s="342">
        <f>HLOOKUP($H376,'GDP-PI'!$D$8:$CR$11,3,FALSE)</f>
        <v>4.2834637353352578E-2</v>
      </c>
      <c r="DF376" s="336">
        <f>VLOOKUP(H376,'HW Dx Data'!$E:$F,2,FALSE)</f>
        <v>933.02249921662576</v>
      </c>
      <c r="DG376" s="89">
        <f ca="1">VLOOKUP(CC376,'ECI - Input Price'!M$13:N$33,2,FALSE)</f>
        <v>157.25</v>
      </c>
      <c r="DH376" s="89"/>
      <c r="DI376" s="89"/>
      <c r="DJ376" s="135">
        <f t="shared" ca="1" si="696"/>
        <v>2.6419062301765574E-2</v>
      </c>
      <c r="DK376" s="137">
        <f>HLOOKUP(H376,'GDP-PI'!$8:$9,2,FALSE)</f>
        <v>118.49</v>
      </c>
      <c r="DL376" s="356">
        <f t="shared" si="689"/>
        <v>4.194261824609434E-2</v>
      </c>
      <c r="EC376"/>
    </row>
    <row r="377" spans="1:133" s="126" customFormat="1" ht="21" customHeight="1" thickBot="1" x14ac:dyDescent="0.45">
      <c r="A377" s="235"/>
      <c r="C377" s="236"/>
      <c r="D377" s="236"/>
      <c r="E377" s="236"/>
      <c r="F377" s="236"/>
      <c r="G377" s="237" t="s">
        <v>178</v>
      </c>
      <c r="H377" s="238"/>
      <c r="I377" s="239"/>
      <c r="J377" s="240">
        <v>138791.19761883351</v>
      </c>
      <c r="K377" s="240">
        <f t="shared" ca="1" si="690"/>
        <v>853.83695859017837</v>
      </c>
      <c r="L377" s="47"/>
      <c r="M377" s="241">
        <f t="shared" ref="M377" ca="1" si="710">LN(K377/K376)</f>
        <v>1.2483962187338198E-2</v>
      </c>
      <c r="N377" s="241"/>
      <c r="O377" s="241"/>
      <c r="P377" s="242">
        <f t="shared" ca="1" si="699"/>
        <v>6.0578979496178848E-4</v>
      </c>
      <c r="Q377" s="61"/>
      <c r="R377" s="387"/>
      <c r="S377" s="206">
        <f ca="1">+S376*EXP(T377)</f>
        <v>119.44761777903437</v>
      </c>
      <c r="T377" s="243">
        <f ca="1">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</f>
        <v>-8.8030387618574834E-7</v>
      </c>
      <c r="U377" s="243"/>
      <c r="V377" s="239">
        <v>195645.42314944003</v>
      </c>
      <c r="W377" s="240">
        <f t="shared" si="691"/>
        <v>1537.4885905653441</v>
      </c>
      <c r="X377" s="244">
        <f t="shared" ref="X377" si="711">LN(W377/W376)</f>
        <v>-2.5692373245280845E-2</v>
      </c>
      <c r="Y377" s="244">
        <f t="shared" si="701"/>
        <v>-1.2467337922671953E-3</v>
      </c>
      <c r="Z377" s="206"/>
      <c r="AA377" s="243"/>
      <c r="AB377" s="243"/>
      <c r="AC377" s="240">
        <f t="shared" si="669"/>
        <v>307682.2243846191</v>
      </c>
      <c r="AD377" s="243"/>
      <c r="AE377" s="245">
        <v>18625.943332666964</v>
      </c>
      <c r="AF377" s="243">
        <v>6.2626039059498068E-2</v>
      </c>
      <c r="AG377" s="242">
        <f t="shared" si="692"/>
        <v>3.0389562858177312E-3</v>
      </c>
      <c r="AH377" s="206"/>
      <c r="AI377" s="243"/>
      <c r="AJ377" s="239">
        <f t="shared" si="664"/>
        <v>642118.84515289264</v>
      </c>
      <c r="AK377" s="243">
        <f t="shared" si="702"/>
        <v>0.16653387635041975</v>
      </c>
      <c r="AL377" s="239"/>
      <c r="AM377" s="243"/>
      <c r="AN377" s="243"/>
      <c r="AO377" s="243"/>
      <c r="AP377" s="245">
        <f t="shared" si="703"/>
        <v>594.46696750468459</v>
      </c>
      <c r="AQ377" s="134"/>
      <c r="AR377" s="207">
        <f t="shared" si="693"/>
        <v>0.21614565382485609</v>
      </c>
      <c r="AS377" s="207">
        <f t="shared" si="694"/>
        <v>0.3046872469579297</v>
      </c>
      <c r="AT377" s="207">
        <f t="shared" si="695"/>
        <v>0.47916709921721418</v>
      </c>
      <c r="AU377" s="207"/>
      <c r="AV377" s="206"/>
      <c r="AW377" s="243"/>
      <c r="AX377" s="248">
        <f>+AJ377/$AL$27</f>
        <v>4.8525442954017277E-2</v>
      </c>
      <c r="AY377" s="249"/>
      <c r="AZ377" s="206"/>
      <c r="BA377" s="243"/>
      <c r="BB377" s="250">
        <v>1080159</v>
      </c>
      <c r="BC377" s="412">
        <f t="shared" si="622"/>
        <v>-5.9373533408369726E-2</v>
      </c>
      <c r="BD377" s="91"/>
      <c r="BE377" s="401">
        <f t="shared" si="618"/>
        <v>0</v>
      </c>
      <c r="BF377" s="402">
        <f t="shared" si="619"/>
        <v>0</v>
      </c>
      <c r="BG377" s="313">
        <f t="shared" si="620"/>
        <v>0</v>
      </c>
      <c r="BH377" s="313"/>
      <c r="BI377" s="313" t="str">
        <f t="shared" si="621"/>
        <v>2022Y</v>
      </c>
      <c r="BJ377" s="239"/>
      <c r="BK377" s="239"/>
      <c r="BL377" s="239"/>
      <c r="BM377" s="239"/>
      <c r="BN377" s="415">
        <v>0.99809191798947239</v>
      </c>
      <c r="BO377" s="313">
        <f t="shared" si="708"/>
        <v>0</v>
      </c>
      <c r="BP377" s="313">
        <f t="shared" si="709"/>
        <v>0</v>
      </c>
      <c r="BQ377" s="239"/>
      <c r="BR377" s="239"/>
      <c r="BS377" s="310"/>
      <c r="BT377" s="310"/>
      <c r="BU377" s="311"/>
      <c r="BV377" s="207"/>
      <c r="BW377" s="312"/>
      <c r="BX377" s="312"/>
      <c r="BY377" s="239"/>
      <c r="BZ377" s="239"/>
      <c r="CA377" s="239"/>
      <c r="CB377" s="239"/>
      <c r="CC377" s="245">
        <v>2022</v>
      </c>
      <c r="CD377" s="239"/>
      <c r="CE377" s="239"/>
      <c r="CF377" s="239"/>
      <c r="CG377" s="310"/>
      <c r="CH377" s="239">
        <v>933908</v>
      </c>
      <c r="CI377" s="313">
        <f t="shared" si="680"/>
        <v>933908</v>
      </c>
      <c r="CJ377" s="313">
        <f t="shared" si="672"/>
        <v>905.99431515022172</v>
      </c>
      <c r="CK377" s="443">
        <v>0.69230769230769229</v>
      </c>
      <c r="CL377" s="239">
        <f>+CL353*CK377+CJ354*CK376+CJ355*CK375+CJ356*CK374+CJ357*CK373+CJ358*CK372+CJ359*CK371+CJ360*CK370+CJ361*CK369+CJ362*CK368+CJ363*CK367+CJ364*CK366+CJ365*CK365+CJ366*CK364+CJ367*CK363+CJ368*CK362+CJ369*CK361+CJ370*CK360+CJ371*CK359+CJ372*CK358+CJ373*CK357+CJ374*CK356+CJ375*CK355+CJ376*CK354+CJ377*CK353</f>
        <v>17000.218732971709</v>
      </c>
      <c r="CM377" s="243">
        <f t="shared" ref="CM377" si="712">LN(CL377/CL376)</f>
        <v>4.6342679280003157E-2</v>
      </c>
      <c r="CN377" s="249">
        <f t="shared" si="674"/>
        <v>8.3876809784977479E-3</v>
      </c>
      <c r="CO377" s="249">
        <f t="shared" si="685"/>
        <v>1.5696624146398594E-2</v>
      </c>
      <c r="CP377" s="243"/>
      <c r="CQ377" s="249"/>
      <c r="CR377" s="249"/>
      <c r="CS377" s="248">
        <f t="shared" si="686"/>
        <v>1.5205317462135031E-2</v>
      </c>
      <c r="CT377" s="249">
        <f t="shared" si="687"/>
        <v>0.10114668178709289</v>
      </c>
      <c r="CU377" s="314">
        <f t="shared" si="675"/>
        <v>0.90509623210000001</v>
      </c>
      <c r="CV377" s="315"/>
      <c r="CW377" s="315"/>
      <c r="CX377" s="315"/>
      <c r="CY377" s="315"/>
      <c r="CZ377" s="316">
        <f>CZ376</f>
        <v>0.25649666999999998</v>
      </c>
      <c r="DA377" s="360">
        <v>0.37</v>
      </c>
      <c r="DB377" s="318">
        <f t="shared" si="682"/>
        <v>18.957203287527221</v>
      </c>
      <c r="DC377" s="249">
        <f t="shared" si="688"/>
        <v>0.25832190872626337</v>
      </c>
      <c r="DD377" s="316">
        <v>0.04</v>
      </c>
      <c r="DE377" s="319">
        <v>7.0000000000000001E-3</v>
      </c>
      <c r="DF377" s="316">
        <v>1030.81</v>
      </c>
      <c r="DG377" s="89">
        <f ca="1">VLOOKUP(CC377,'ECI - Input Price'!M$13:N$33,2,FALSE)</f>
        <v>162.55000000000001</v>
      </c>
      <c r="DH377" s="89"/>
      <c r="DI377" s="89"/>
      <c r="DJ377" s="249">
        <f t="shared" ca="1" si="696"/>
        <v>3.3148751169364422E-2</v>
      </c>
      <c r="DK377" s="310">
        <v>127.25</v>
      </c>
      <c r="DL377" s="357">
        <f t="shared" si="689"/>
        <v>7.1325086601983473E-2</v>
      </c>
      <c r="EC377"/>
    </row>
    <row r="378" spans="1:133" s="126" customFormat="1" ht="21" customHeight="1" x14ac:dyDescent="0.4">
      <c r="A378" s="251" t="s">
        <v>205</v>
      </c>
      <c r="B378" s="252" t="s">
        <v>205</v>
      </c>
      <c r="C378" s="252">
        <v>4057081</v>
      </c>
      <c r="D378" s="252" t="s">
        <v>206</v>
      </c>
      <c r="E378" s="252"/>
      <c r="F378" s="252"/>
      <c r="G378" s="252" t="s">
        <v>150</v>
      </c>
      <c r="H378" s="253">
        <v>1998</v>
      </c>
      <c r="I378" s="254"/>
      <c r="J378" s="255"/>
      <c r="K378" s="255"/>
      <c r="L378" s="47"/>
      <c r="M378" s="255"/>
      <c r="N378" s="255"/>
      <c r="O378" s="255"/>
      <c r="P378" s="219"/>
      <c r="Q378" s="218"/>
      <c r="R378" s="385"/>
      <c r="S378" s="257"/>
      <c r="T378" s="258"/>
      <c r="U378" s="258"/>
      <c r="V378" s="259"/>
      <c r="W378" s="259"/>
      <c r="X378" s="259"/>
      <c r="Y378" s="255"/>
      <c r="Z378" s="259"/>
      <c r="AA378" s="259"/>
      <c r="AB378" s="259"/>
      <c r="AC378" s="255"/>
      <c r="AD378" s="254"/>
      <c r="AE378" s="260">
        <v>3505.2546477365595</v>
      </c>
      <c r="AF378" s="256"/>
      <c r="AG378" s="225"/>
      <c r="AH378" s="256"/>
      <c r="AI378" s="256"/>
      <c r="AJ378" s="254">
        <f t="shared" si="664"/>
        <v>0</v>
      </c>
      <c r="AK378" s="254"/>
      <c r="AL378" s="254"/>
      <c r="AM378" s="256"/>
      <c r="AN378" s="256"/>
      <c r="AO378" s="256"/>
      <c r="AP378" s="226">
        <f>+(AP375+AP376+AP377)/3</f>
        <v>517.29363357086481</v>
      </c>
      <c r="AQ378" s="256"/>
      <c r="AR378" s="261"/>
      <c r="AS378" s="261"/>
      <c r="AT378" s="261"/>
      <c r="AU378" s="261"/>
      <c r="AV378" s="261"/>
      <c r="AW378" s="256">
        <f ca="1">AVERAGE(AW387:AW401)</f>
        <v>8.8355466693730079E-4</v>
      </c>
      <c r="AX378" s="223"/>
      <c r="AY378" s="261"/>
      <c r="AZ378" s="261"/>
      <c r="BA378" s="261"/>
      <c r="BB378" s="262">
        <f>IFERROR(INDEX('Total Customers'!$E$7:$AA$91,MATCH($C378,'Total Customers'!$C$7:$C$91,0),MATCH($G378,'Total Customers'!$E$5:$AA$5,0)),"NA")</f>
        <v>1542448</v>
      </c>
      <c r="BC378" s="413"/>
      <c r="BD378" s="92"/>
      <c r="BE378" s="407" t="str">
        <f t="shared" si="618"/>
        <v>CONSUMERS ENERGY COMPANY</v>
      </c>
      <c r="BF378" s="408">
        <f t="shared" si="619"/>
        <v>4057081</v>
      </c>
      <c r="BG378" s="218" t="str">
        <f t="shared" si="620"/>
        <v>MI</v>
      </c>
      <c r="BH378" s="218"/>
      <c r="BI378" s="218" t="str">
        <f t="shared" si="621"/>
        <v>1998 Y</v>
      </c>
      <c r="BJ378" s="254">
        <f>INDEX('Gross Dx Plant'!$D$7:$AC$91,MATCH($C378,'Gross Dx Plant'!$C$7:$C$91,0),MATCH(Calculation!$G378,'Gross Dx Plant'!$D$5:$AC$5,0))</f>
        <v>1570879</v>
      </c>
      <c r="BK378" s="254">
        <f>INDEX('Gross Gen Plant'!$D$7:$AC$91,MATCH($C378,'Gross Gen Plant'!$C$7:$C$91,0),MATCH(Calculation!$G378,'Gross Gen Plant'!$D$5:$AC$5,0))</f>
        <v>51099</v>
      </c>
      <c r="BL378" s="254">
        <f>INDEX('Dist. Plant Gas Additions'!$E$7:$AD$91,MATCH($C378,'Dist. Plant Gas Additions'!$C$7:$C$91,0),MATCH(Calculation!$G378,'Dist. Plant Gas Additions'!$E$5:$AD$5,0))</f>
        <v>82485</v>
      </c>
      <c r="BM378" s="254">
        <f>INDEX('Gen. Plant Additions'!$E$7:$AD$91,MATCH($C378,'Gen. Plant Additions'!$C$7:$C$91,0),MATCH(Calculation!$G378,'Gen. Plant Additions'!$E$5:$AD$5,0))</f>
        <v>3290</v>
      </c>
      <c r="BN378" s="409">
        <f>+(BY378/(BY378+BZ378))</f>
        <v>0.96849587355685463</v>
      </c>
      <c r="BO378" s="218">
        <f t="shared" si="708"/>
        <v>3186.3514240020518</v>
      </c>
      <c r="BP378" s="218">
        <f t="shared" si="709"/>
        <v>-103.64857599794823</v>
      </c>
      <c r="BQ378" s="254">
        <f>INDEX('Dist Plant Depreciation'!$D$7:$AC$94,MATCH($C378,'Dist Plant Depreciation'!$C$7:$C$94,0),MATCH(Calculation!$G378,'Dist Plant Depreciation'!$D$5:$AC$5,0))</f>
        <v>893628</v>
      </c>
      <c r="BR378" s="254">
        <f>INDEX('Gen. Plant Depreciation'!$D$7:$AC$94,MATCH($C378,'Gen. Plant Depreciation'!$C$7:$C$94,0),MATCH(Calculation!$G378,'Gen. Plant Depreciation'!$D$5:$AC$5,0))</f>
        <v>21272</v>
      </c>
      <c r="BS378" s="254"/>
      <c r="BT378" s="254"/>
      <c r="BU378" s="254"/>
      <c r="BV378" s="254"/>
      <c r="BW378" s="254"/>
      <c r="BX378" s="254"/>
      <c r="BY378" s="254">
        <f>INDEX('Gross Dx Plant'!$D$7:$AC$91,MATCH($C378,'Gross Dx Plant'!$C$7:$C$91,0),MATCH(Calculation!$G378,'Gross Dx Plant'!$D$5:$AC$5,0))</f>
        <v>1570879</v>
      </c>
      <c r="BZ378" s="254">
        <f>INDEX('Gross Gen Plant'!$D$7:$AC$91,MATCH($C378,'Gross Gen Plant'!$C$7:$C$91,0),MATCH(Calculation!$G378,'Gross Gen Plant'!$D$5:$AC$5,0))</f>
        <v>51099</v>
      </c>
      <c r="CA378" s="254">
        <f t="shared" si="626"/>
        <v>707078</v>
      </c>
      <c r="CB378" s="254"/>
      <c r="CC378" s="260">
        <v>1998</v>
      </c>
      <c r="CD378" s="254">
        <f>BJ378+BK378</f>
        <v>1621978</v>
      </c>
      <c r="CE378" s="254">
        <f>893628+21272</f>
        <v>914900</v>
      </c>
      <c r="CF378" s="254">
        <f>+CD378-CE378</f>
        <v>707078</v>
      </c>
      <c r="CG378" s="254">
        <f>CF378/$BX$3</f>
        <v>3505.2546477365595</v>
      </c>
      <c r="CH378" s="323"/>
      <c r="CI378" s="344"/>
      <c r="CJ378" s="344"/>
      <c r="CK378" s="443">
        <v>1</v>
      </c>
      <c r="CL378" s="254">
        <f>+CG378</f>
        <v>3505.2546477365595</v>
      </c>
      <c r="CM378" s="256"/>
      <c r="CN378" s="325"/>
      <c r="CO378" s="325"/>
      <c r="CP378" s="256" t="e">
        <f>VLOOKUP($H378,RoR!$E:$F,2,FALSE)</f>
        <v>#N/A</v>
      </c>
      <c r="CQ378" s="325">
        <v>1.1028127770464469E-2</v>
      </c>
      <c r="CR378" s="325"/>
      <c r="CS378" s="325"/>
      <c r="CT378" s="325"/>
      <c r="CU378" s="327"/>
      <c r="CV378" s="331" t="e">
        <f>2/(DD378*39)</f>
        <v>#N/A</v>
      </c>
      <c r="CW378" s="328" t="e">
        <f>+(DD378*40-(1+DD378))/(DD378*40)</f>
        <v>#N/A</v>
      </c>
      <c r="CX378" s="328" t="e">
        <f>+(1-(1/(1+DD378)^40))</f>
        <v>#N/A</v>
      </c>
      <c r="CY378" s="328" t="e">
        <f>+CX378*CW378*CV378</f>
        <v>#N/A</v>
      </c>
      <c r="CZ378" s="329">
        <f>INDEX('State Tax Lookup'!$D$7:$Z$91,MATCH(Calculation!$C378,'State Tax Lookup'!$B$7:$B$91,0),MATCH($H378,'State Tax Lookup'!$D$6:$Z$6,0))</f>
        <v>0.35</v>
      </c>
      <c r="DA378" s="351">
        <v>0.37</v>
      </c>
      <c r="DB378" s="344"/>
      <c r="DC378" s="326"/>
      <c r="DD378" s="351" t="e">
        <f>VLOOKUP($H378,RoR!$E:$F,2,FALSE)</f>
        <v>#N/A</v>
      </c>
      <c r="DE378" s="354">
        <f>HLOOKUP($H378,'GDP-PI'!$D$8:$CQ$11,3,FALSE)</f>
        <v>1.1028127770464469E-2</v>
      </c>
      <c r="DF378" s="351">
        <f>VLOOKUP(H378,'HW Dx Data'!$E:$F,2,FALSE)</f>
        <v>329.24564746449528</v>
      </c>
      <c r="DG378" s="351"/>
      <c r="DH378" s="351"/>
      <c r="DI378" s="351"/>
      <c r="DJ378" s="326"/>
      <c r="DK378" s="344">
        <f>HLOOKUP(H378,'GDP-PI'!$8:$9,2,FALSE)</f>
        <v>75.266999999999996</v>
      </c>
      <c r="DL378" s="292"/>
      <c r="EC378"/>
    </row>
    <row r="379" spans="1:133" s="126" customFormat="1" ht="21" customHeight="1" x14ac:dyDescent="0.4">
      <c r="A379" s="233" t="s">
        <v>205</v>
      </c>
      <c r="B379" s="127" t="s">
        <v>205</v>
      </c>
      <c r="C379" s="127">
        <v>4057081</v>
      </c>
      <c r="D379" s="127" t="s">
        <v>206</v>
      </c>
      <c r="E379" s="127"/>
      <c r="F379" s="127"/>
      <c r="G379" s="127" t="s">
        <v>155</v>
      </c>
      <c r="H379" s="128">
        <v>1999</v>
      </c>
      <c r="I379" s="129"/>
      <c r="J379" s="125"/>
      <c r="K379" s="129"/>
      <c r="L379" s="47"/>
      <c r="M379" s="129"/>
      <c r="N379" s="129"/>
      <c r="O379" s="129"/>
      <c r="P379" s="47"/>
      <c r="Q379" s="47"/>
      <c r="R379" s="386"/>
      <c r="S379" s="119"/>
      <c r="T379" s="47"/>
      <c r="U379" s="46"/>
      <c r="V379" s="135"/>
      <c r="W379" s="135"/>
      <c r="X379" s="135"/>
      <c r="Y379" s="143"/>
      <c r="Z379" s="135"/>
      <c r="AA379" s="135"/>
      <c r="AB379" s="135"/>
      <c r="AC379" s="125">
        <f t="shared" ref="AC379:AC402" si="713">+CL378*DB379</f>
        <v>0</v>
      </c>
      <c r="AD379" s="129"/>
      <c r="AE379" s="133">
        <v>3742.1777622990085</v>
      </c>
      <c r="AF379" s="134">
        <v>6.5404560792467717E-2</v>
      </c>
      <c r="AG379" s="61"/>
      <c r="AH379" s="134"/>
      <c r="AI379" s="134"/>
      <c r="AJ379" s="129">
        <f t="shared" si="664"/>
        <v>0</v>
      </c>
      <c r="AK379" s="134"/>
      <c r="AL379" s="129"/>
      <c r="AM379" s="134"/>
      <c r="AN379" s="134"/>
      <c r="AO379" s="134"/>
      <c r="AP379" s="133"/>
      <c r="AQ379" s="134"/>
      <c r="AR379" s="93"/>
      <c r="AS379" s="93"/>
      <c r="AT379" s="93"/>
      <c r="AU379" s="93"/>
      <c r="AV379" s="93"/>
      <c r="AW379" s="134"/>
      <c r="AX379" s="62"/>
      <c r="AY379" s="93"/>
      <c r="AZ379" s="93"/>
      <c r="BA379" s="93"/>
      <c r="BB379" s="234">
        <f>IFERROR(INDEX('Total Customers'!$E$7:$AA$91,MATCH($C379,'Total Customers'!$C$7:$C$91,0),MATCH($G379,'Total Customers'!$E$5:$AA$5,0)),"NA")</f>
        <v>1567712</v>
      </c>
      <c r="BC379" s="411">
        <f t="shared" si="622"/>
        <v>1.6246466866924093E-2</v>
      </c>
      <c r="BD379" s="92"/>
      <c r="BE379" s="281" t="str">
        <f t="shared" si="618"/>
        <v>CONSUMERS ENERGY COMPANY</v>
      </c>
      <c r="BF379" s="290">
        <f t="shared" si="619"/>
        <v>4057081</v>
      </c>
      <c r="BG379" s="46" t="str">
        <f t="shared" si="620"/>
        <v>MI</v>
      </c>
      <c r="BH379" s="46"/>
      <c r="BI379" s="46" t="str">
        <f t="shared" si="621"/>
        <v>1999 Y</v>
      </c>
      <c r="BJ379" s="129"/>
      <c r="BK379" s="129"/>
      <c r="BL379" s="129">
        <f>INDEX('Dist. Plant Gas Additions'!$E$7:$AD$91,MATCH($C379,'Dist. Plant Gas Additions'!$C$7:$C$91,0),MATCH(Calculation!$G379,'Dist. Plant Gas Additions'!$E$5:$AD$5,0))</f>
        <v>83445</v>
      </c>
      <c r="BM379" s="129">
        <f>INDEX('Gen. Plant Additions'!$E$7:$AD$91,MATCH($C379,'Gen. Plant Additions'!$C$7:$C$91,0),MATCH(Calculation!$G379,'Gen. Plant Additions'!$E$5:$AD$5,0))</f>
        <v>1849</v>
      </c>
      <c r="BN379" s="393">
        <f t="shared" ref="BN379:BN400" si="714">+(BY379/(BY379+BZ379))</f>
        <v>0.96929649147225905</v>
      </c>
      <c r="BO379" s="46">
        <f t="shared" si="708"/>
        <v>1792.2292127322071</v>
      </c>
      <c r="BP379" s="46">
        <f t="shared" si="709"/>
        <v>-56.770787267792912</v>
      </c>
      <c r="BQ379" s="129">
        <f>INDEX('Dist Plant Depreciation'!$D$7:$AC$94,MATCH($C379,'Dist Plant Depreciation'!$C$7:$C$94,0),MATCH(Calculation!$G379,'Dist Plant Depreciation'!$D$5:$AC$5,0))</f>
        <v>962316</v>
      </c>
      <c r="BR379" s="129">
        <f>INDEX('Gen. Plant Depreciation'!$D$7:$AC$94,MATCH($C379,'Gen. Plant Depreciation'!$C$7:$C$94,0),MATCH(Calculation!$G379,'Gen. Plant Depreciation'!$D$5:$AC$5,0))</f>
        <v>23036</v>
      </c>
      <c r="BS379" s="129"/>
      <c r="BT379" s="129"/>
      <c r="BU379" s="129"/>
      <c r="BV379" s="129"/>
      <c r="BW379" s="129"/>
      <c r="BX379" s="129"/>
      <c r="BY379" s="129">
        <f>INDEX('Gross Dx Plant'!$D$7:$AC$91,MATCH($C379,'Gross Dx Plant'!$C$7:$C$91,0),MATCH(Calculation!$G379,'Gross Dx Plant'!$D$5:$AC$5,0))</f>
        <v>1650457</v>
      </c>
      <c r="BZ379" s="129">
        <f>INDEX('Gross Gen Plant'!$D$7:$AC$91,MATCH($C379,'Gross Gen Plant'!$C$7:$C$91,0),MATCH(Calculation!$G379,'Gross Gen Plant'!$D$5:$AC$5,0))</f>
        <v>52280</v>
      </c>
      <c r="CA379" s="129">
        <f t="shared" si="626"/>
        <v>717385</v>
      </c>
      <c r="CB379" s="129"/>
      <c r="CC379" s="133">
        <v>1999</v>
      </c>
      <c r="CD379" s="129"/>
      <c r="CE379" s="129"/>
      <c r="CF379" s="129"/>
      <c r="CG379" s="137"/>
      <c r="CH379" s="129">
        <f t="shared" ref="CH379:CH401" si="715">+BM379+BL379</f>
        <v>85294</v>
      </c>
      <c r="CI379" s="46">
        <f>+CH379+BP379</f>
        <v>85237.2292127322</v>
      </c>
      <c r="CJ379" s="46">
        <f t="shared" ref="CJ379:CJ402" si="716">+CI379/$DF379</f>
        <v>254.19289161799077</v>
      </c>
      <c r="CK379" s="443">
        <v>0.99009900990099009</v>
      </c>
      <c r="CL379" s="46">
        <f>+CL378*CK379+CJ379</f>
        <v>3724.7420477928022</v>
      </c>
      <c r="CM379" s="134">
        <f t="shared" ref="CM379:CM400" si="717">LN(CL379/CL378)</f>
        <v>6.0734429964969673E-2</v>
      </c>
      <c r="CN379" s="135">
        <f t="shared" ref="CN379:CN402" si="718">+(CL378-CL379+CJ379)/CL378</f>
        <v>9.9009900990098942E-3</v>
      </c>
      <c r="CO379" s="135"/>
      <c r="CP379" s="134">
        <f>VLOOKUP($H379,RoR!$E:$F,2,FALSE)</f>
        <v>7.0416666666666669E-2</v>
      </c>
      <c r="CQ379" s="135">
        <v>1.4335631817396832E-2</v>
      </c>
      <c r="CR379" s="135">
        <f>+CP379-CQ379</f>
        <v>5.6081034849269837E-2</v>
      </c>
      <c r="CS379" s="135"/>
      <c r="CT379" s="135"/>
      <c r="CU379" s="139">
        <f t="shared" ref="CU379:CU402" si="719">1-CZ379*DA379</f>
        <v>0.87050000000000005</v>
      </c>
      <c r="CV379" s="335">
        <f t="shared" ref="CV379:CV401" si="720">2/(DD379*39)</f>
        <v>0.72826581702321336</v>
      </c>
      <c r="CW379" s="335">
        <f t="shared" ref="CW379:CW401" si="721">+(DD379*40-(1+DD379))/(DD379*40)</f>
        <v>0.61997041420118348</v>
      </c>
      <c r="CX379" s="335">
        <f t="shared" ref="CX379:CX401" si="722">+(1-(1/(1+DD379)^40))</f>
        <v>0.93425155319585029</v>
      </c>
      <c r="CY379" s="335">
        <f t="shared" ref="CY379:CY401" si="723">+CX379*CW379*CV379</f>
        <v>0.42181762214141483</v>
      </c>
      <c r="CZ379" s="336">
        <f>INDEX('State Tax Lookup'!$D$7:$Z$91,MATCH(Calculation!$C379,'State Tax Lookup'!$B$7:$B$91,0),MATCH($H379,'State Tax Lookup'!$D$6:$Z$6,0))</f>
        <v>0.35</v>
      </c>
      <c r="DA379" s="303">
        <v>0.37</v>
      </c>
      <c r="DB379" s="57"/>
      <c r="DC379" s="56"/>
      <c r="DD379" s="303">
        <f>VLOOKUP($H379,RoR!$E:$F,2,FALSE)</f>
        <v>7.0416666666666669E-2</v>
      </c>
      <c r="DE379" s="304">
        <f>HLOOKUP($H379,'GDP-PI'!$D$8:$CQ$11,3,FALSE)</f>
        <v>1.4335631817396832E-2</v>
      </c>
      <c r="DF379" s="303">
        <f>VLOOKUP(H379,'HW Dx Data'!$E:$F,2,FALSE)</f>
        <v>335.32499146683239</v>
      </c>
      <c r="DG379" s="89"/>
      <c r="DH379" s="89"/>
      <c r="DI379" s="89"/>
      <c r="DJ379" s="56"/>
      <c r="DK379" s="53">
        <f>HLOOKUP(H379,'GDP-PI'!$8:$9,2,FALSE)</f>
        <v>76.346000000000004</v>
      </c>
      <c r="DL379" s="298"/>
      <c r="EC379"/>
    </row>
    <row r="380" spans="1:133" s="126" customFormat="1" ht="21" customHeight="1" x14ac:dyDescent="0.4">
      <c r="A380" s="233" t="s">
        <v>205</v>
      </c>
      <c r="B380" s="127" t="s">
        <v>205</v>
      </c>
      <c r="C380" s="127">
        <v>4057081</v>
      </c>
      <c r="D380" s="127" t="s">
        <v>206</v>
      </c>
      <c r="E380" s="127"/>
      <c r="F380" s="127"/>
      <c r="G380" s="127" t="s">
        <v>156</v>
      </c>
      <c r="H380" s="128">
        <v>2000</v>
      </c>
      <c r="I380" s="129"/>
      <c r="J380" s="125"/>
      <c r="K380" s="125"/>
      <c r="L380" s="47"/>
      <c r="M380" s="125"/>
      <c r="N380" s="125"/>
      <c r="O380" s="125"/>
      <c r="P380" s="47"/>
      <c r="Q380" s="47"/>
      <c r="R380" s="386"/>
      <c r="S380" s="119"/>
      <c r="T380" s="47"/>
      <c r="U380" s="47"/>
      <c r="V380" s="125"/>
      <c r="W380" s="125"/>
      <c r="X380" s="125"/>
      <c r="Y380" s="125"/>
      <c r="Z380" s="125"/>
      <c r="AA380" s="125"/>
      <c r="AB380" s="125"/>
      <c r="AC380" s="125">
        <f t="shared" si="713"/>
        <v>0</v>
      </c>
      <c r="AD380" s="129"/>
      <c r="AE380" s="133">
        <v>3992.1854995223921</v>
      </c>
      <c r="AF380" s="134">
        <v>6.4671093839332408E-2</v>
      </c>
      <c r="AG380" s="61"/>
      <c r="AH380" s="134"/>
      <c r="AI380" s="134"/>
      <c r="AJ380" s="129">
        <f t="shared" si="664"/>
        <v>0</v>
      </c>
      <c r="AK380" s="134"/>
      <c r="AL380" s="129"/>
      <c r="AM380" s="129"/>
      <c r="AN380" s="129"/>
      <c r="AO380" s="129"/>
      <c r="AP380" s="133"/>
      <c r="AQ380" s="134"/>
      <c r="AR380" s="93"/>
      <c r="AS380" s="93"/>
      <c r="AT380" s="93"/>
      <c r="AU380" s="93"/>
      <c r="AV380" s="93"/>
      <c r="AW380" s="134"/>
      <c r="AX380" s="62"/>
      <c r="AY380" s="93"/>
      <c r="AZ380" s="93"/>
      <c r="BA380" s="93"/>
      <c r="BB380" s="234">
        <f>IFERROR(INDEX('Total Customers'!$E$7:$AA$91,MATCH($C380,'Total Customers'!$C$7:$C$91,0),MATCH($G380,'Total Customers'!$E$5:$AA$5,0)),"NA")</f>
        <v>1594484</v>
      </c>
      <c r="BC380" s="411">
        <f t="shared" si="622"/>
        <v>1.6932941335266745E-2</v>
      </c>
      <c r="BD380" s="92"/>
      <c r="BE380" s="281" t="str">
        <f t="shared" si="618"/>
        <v>CONSUMERS ENERGY COMPANY</v>
      </c>
      <c r="BF380" s="290">
        <f t="shared" si="619"/>
        <v>4057081</v>
      </c>
      <c r="BG380" s="46" t="str">
        <f t="shared" si="620"/>
        <v>MI</v>
      </c>
      <c r="BH380" s="46"/>
      <c r="BI380" s="46" t="str">
        <f t="shared" si="621"/>
        <v>2000 Y</v>
      </c>
      <c r="BJ380" s="129"/>
      <c r="BK380" s="129"/>
      <c r="BL380" s="129">
        <f>INDEX('Dist. Plant Gas Additions'!$E$7:$AD$91,MATCH($C380,'Dist. Plant Gas Additions'!$C$7:$C$91,0),MATCH(Calculation!$G380,'Dist. Plant Gas Additions'!$E$5:$AD$5,0))</f>
        <v>88307</v>
      </c>
      <c r="BM380" s="129">
        <f>INDEX('Gen. Plant Additions'!$E$7:$AD$91,MATCH($C380,'Gen. Plant Additions'!$C$7:$C$91,0),MATCH(Calculation!$G380,'Gen. Plant Additions'!$E$5:$AD$5,0))</f>
        <v>4994</v>
      </c>
      <c r="BN380" s="393">
        <f t="shared" si="714"/>
        <v>0.96374301335247736</v>
      </c>
      <c r="BO380" s="46">
        <f t="shared" si="708"/>
        <v>4812.9326086822721</v>
      </c>
      <c r="BP380" s="46">
        <f t="shared" si="709"/>
        <v>-181.06739131772792</v>
      </c>
      <c r="BQ380" s="129">
        <f>INDEX('Dist Plant Depreciation'!$D$7:$AC$94,MATCH($C380,'Dist Plant Depreciation'!$C$7:$C$94,0),MATCH(Calculation!$G380,'Dist Plant Depreciation'!$D$5:$AC$5,0))</f>
        <v>1023095</v>
      </c>
      <c r="BR380" s="129">
        <f>INDEX('Gen. Plant Depreciation'!$D$7:$AC$94,MATCH($C380,'Gen. Plant Depreciation'!$C$7:$C$94,0),MATCH(Calculation!$G380,'Gen. Plant Depreciation'!$D$5:$AC$5,0))</f>
        <v>22487</v>
      </c>
      <c r="BS380" s="129"/>
      <c r="BT380" s="129"/>
      <c r="BU380" s="129"/>
      <c r="BV380" s="129"/>
      <c r="BW380" s="129"/>
      <c r="BX380" s="129"/>
      <c r="BY380" s="129">
        <f>INDEX('Gross Dx Plant'!$D$7:$AC$91,MATCH($C380,'Gross Dx Plant'!$C$7:$C$91,0),MATCH(Calculation!$G380,'Gross Dx Plant'!$D$5:$AC$5,0))</f>
        <v>1722362</v>
      </c>
      <c r="BZ380" s="129">
        <f>INDEX('Gross Gen Plant'!$D$7:$AC$91,MATCH($C380,'Gross Gen Plant'!$C$7:$C$91,0),MATCH(Calculation!$G380,'Gross Gen Plant'!$D$5:$AC$5,0))</f>
        <v>64797</v>
      </c>
      <c r="CA380" s="129">
        <f t="shared" si="626"/>
        <v>741577</v>
      </c>
      <c r="CB380" s="129"/>
      <c r="CC380" s="133">
        <v>2000</v>
      </c>
      <c r="CD380" s="129"/>
      <c r="CE380" s="129"/>
      <c r="CF380" s="129"/>
      <c r="CG380" s="137"/>
      <c r="CH380" s="129">
        <f t="shared" si="715"/>
        <v>93301</v>
      </c>
      <c r="CI380" s="46">
        <f t="shared" ref="CI380:CI402" si="724">+CH380+BP380</f>
        <v>93119.932608682269</v>
      </c>
      <c r="CJ380" s="46">
        <f t="shared" si="716"/>
        <v>268.71824535310463</v>
      </c>
      <c r="CK380" s="443">
        <v>0.98</v>
      </c>
      <c r="CL380" s="46">
        <f>+CL378*CK380+CJ379*CK379+CJ380</f>
        <v>3955.543930449775</v>
      </c>
      <c r="CM380" s="134">
        <f t="shared" si="717"/>
        <v>6.0120521067188043E-2</v>
      </c>
      <c r="CN380" s="135">
        <f t="shared" si="718"/>
        <v>1.017959424025087E-2</v>
      </c>
      <c r="CO380" s="135"/>
      <c r="CP380" s="134">
        <f>VLOOKUP($H380,RoR!$E:$F,2,FALSE)</f>
        <v>7.6225000000000001E-2</v>
      </c>
      <c r="CQ380" s="135">
        <v>2.2568307442433211E-2</v>
      </c>
      <c r="CR380" s="135">
        <f t="shared" ref="CR380:CR400" si="725">+CP380-CQ380</f>
        <v>5.365669255756679E-2</v>
      </c>
      <c r="CS380" s="135"/>
      <c r="CT380" s="135"/>
      <c r="CU380" s="139">
        <f t="shared" si="719"/>
        <v>0.87050000000000005</v>
      </c>
      <c r="CV380" s="335">
        <f t="shared" si="720"/>
        <v>0.67277207323124022</v>
      </c>
      <c r="CW380" s="335">
        <f t="shared" si="721"/>
        <v>0.6470236142997704</v>
      </c>
      <c r="CX380" s="335">
        <f t="shared" si="722"/>
        <v>0.94704866037543145</v>
      </c>
      <c r="CY380" s="335">
        <f t="shared" si="723"/>
        <v>0.41224973107878493</v>
      </c>
      <c r="CZ380" s="336">
        <f>INDEX('State Tax Lookup'!$D$7:$Z$91,MATCH(Calculation!$C380,'State Tax Lookup'!$B$7:$B$91,0),MATCH($H380,'State Tax Lookup'!$D$6:$Z$6,0))</f>
        <v>0.35</v>
      </c>
      <c r="DA380" s="303">
        <v>0.37</v>
      </c>
      <c r="DB380" s="57"/>
      <c r="DC380" s="56"/>
      <c r="DD380" s="303">
        <f>VLOOKUP($H380,RoR!$E:$F,2,FALSE)</f>
        <v>7.6225000000000001E-2</v>
      </c>
      <c r="DE380" s="304">
        <f>HLOOKUP($H380,'GDP-PI'!$D$8:$CQ$11,3,FALSE)</f>
        <v>2.2568307442433211E-2</v>
      </c>
      <c r="DF380" s="303">
        <f>VLOOKUP(H380,'HW Dx Data'!$E:$F,2,FALSE)</f>
        <v>346.53371782150339</v>
      </c>
      <c r="DG380" s="89"/>
      <c r="DH380" s="89"/>
      <c r="DI380" s="89"/>
      <c r="DJ380" s="56"/>
      <c r="DK380" s="53">
        <f>HLOOKUP(H380,'GDP-PI'!$8:$9,2,FALSE)</f>
        <v>78.069000000000003</v>
      </c>
      <c r="DL380" s="298"/>
      <c r="EC380"/>
    </row>
    <row r="381" spans="1:133" s="126" customFormat="1" ht="21" customHeight="1" x14ac:dyDescent="0.4">
      <c r="A381" s="233" t="s">
        <v>205</v>
      </c>
      <c r="B381" s="127" t="s">
        <v>205</v>
      </c>
      <c r="C381" s="127">
        <v>4057081</v>
      </c>
      <c r="D381" s="127" t="s">
        <v>206</v>
      </c>
      <c r="E381" s="127"/>
      <c r="F381" s="127"/>
      <c r="G381" s="127" t="s">
        <v>157</v>
      </c>
      <c r="H381" s="128">
        <v>2001</v>
      </c>
      <c r="I381" s="129"/>
      <c r="J381" s="125"/>
      <c r="K381" s="125"/>
      <c r="L381" s="47"/>
      <c r="M381" s="125"/>
      <c r="N381" s="125"/>
      <c r="O381" s="125"/>
      <c r="P381" s="47"/>
      <c r="Q381" s="47"/>
      <c r="R381" s="386"/>
      <c r="S381" s="119"/>
      <c r="T381" s="47"/>
      <c r="U381" s="47"/>
      <c r="V381" s="125"/>
      <c r="W381" s="125"/>
      <c r="X381" s="125"/>
      <c r="Y381" s="125"/>
      <c r="Z381" s="125"/>
      <c r="AA381" s="125"/>
      <c r="AB381" s="125"/>
      <c r="AC381" s="125">
        <f t="shared" si="713"/>
        <v>39096.379529406899</v>
      </c>
      <c r="AD381" s="129"/>
      <c r="AE381" s="133">
        <v>4247.9808137413247</v>
      </c>
      <c r="AF381" s="134">
        <v>6.2104942204349499E-2</v>
      </c>
      <c r="AG381" s="61"/>
      <c r="AH381" s="134"/>
      <c r="AI381" s="134"/>
      <c r="AJ381" s="129">
        <f t="shared" si="664"/>
        <v>39096.379529406899</v>
      </c>
      <c r="AK381" s="134"/>
      <c r="AL381" s="129"/>
      <c r="AM381" s="129"/>
      <c r="AN381" s="129"/>
      <c r="AO381" s="129"/>
      <c r="AP381" s="133"/>
      <c r="AQ381" s="134"/>
      <c r="AR381" s="93"/>
      <c r="AS381" s="93"/>
      <c r="AT381" s="93"/>
      <c r="AU381" s="93"/>
      <c r="AV381" s="93"/>
      <c r="AW381" s="134"/>
      <c r="AX381" s="62"/>
      <c r="AY381" s="93"/>
      <c r="AZ381" s="93"/>
      <c r="BA381" s="93"/>
      <c r="BB381" s="234">
        <f>IFERROR(INDEX('Total Customers'!$E$7:$AA$91,MATCH($C381,'Total Customers'!$C$7:$C$91,0),MATCH($G381,'Total Customers'!$E$5:$AA$5,0)),"NA")</f>
        <v>1617294</v>
      </c>
      <c r="BC381" s="411">
        <f t="shared" si="622"/>
        <v>1.4204209325807803E-2</v>
      </c>
      <c r="BD381" s="92"/>
      <c r="BE381" s="281" t="str">
        <f t="shared" si="618"/>
        <v>CONSUMERS ENERGY COMPANY</v>
      </c>
      <c r="BF381" s="290">
        <f t="shared" si="619"/>
        <v>4057081</v>
      </c>
      <c r="BG381" s="46" t="str">
        <f t="shared" si="620"/>
        <v>MI</v>
      </c>
      <c r="BH381" s="46"/>
      <c r="BI381" s="46" t="str">
        <f t="shared" si="621"/>
        <v>2001 Y</v>
      </c>
      <c r="BJ381" s="129"/>
      <c r="BK381" s="129"/>
      <c r="BL381" s="129">
        <f>INDEX('Dist. Plant Gas Additions'!$E$7:$AD$91,MATCH($C381,'Dist. Plant Gas Additions'!$C$7:$C$91,0),MATCH(Calculation!$G381,'Dist. Plant Gas Additions'!$E$5:$AD$5,0))</f>
        <v>90232</v>
      </c>
      <c r="BM381" s="129">
        <f>INDEX('Gen. Plant Additions'!$E$7:$AD$91,MATCH($C381,'Gen. Plant Additions'!$C$7:$C$91,0),MATCH(Calculation!$G381,'Gen. Plant Additions'!$E$5:$AD$5,0))</f>
        <v>7185</v>
      </c>
      <c r="BN381" s="393">
        <f t="shared" si="714"/>
        <v>0.96745267637564192</v>
      </c>
      <c r="BO381" s="46">
        <f t="shared" si="708"/>
        <v>6951.1474797589872</v>
      </c>
      <c r="BP381" s="46">
        <f t="shared" si="709"/>
        <v>-233.85252024101283</v>
      </c>
      <c r="BQ381" s="129">
        <f>INDEX('Dist Plant Depreciation'!$D$7:$AC$94,MATCH($C381,'Dist Plant Depreciation'!$C$7:$C$94,0),MATCH(Calculation!$G381,'Dist Plant Depreciation'!$D$5:$AC$5,0))</f>
        <v>1098892</v>
      </c>
      <c r="BR381" s="129">
        <f>INDEX('Gen. Plant Depreciation'!$D$7:$AC$94,MATCH($C381,'Gen. Plant Depreciation'!$C$7:$C$94,0),MATCH(Calculation!$G381,'Gen. Plant Depreciation'!$D$5:$AC$5,0))</f>
        <v>17836</v>
      </c>
      <c r="BS381" s="129"/>
      <c r="BT381" s="129"/>
      <c r="BU381" s="129"/>
      <c r="BV381" s="129"/>
      <c r="BW381" s="129"/>
      <c r="BX381" s="129"/>
      <c r="BY381" s="129">
        <f>INDEX('Gross Dx Plant'!$D$7:$AC$91,MATCH($C381,'Gross Dx Plant'!$C$7:$C$91,0),MATCH(Calculation!$G381,'Gross Dx Plant'!$D$5:$AC$5,0))</f>
        <v>1806833</v>
      </c>
      <c r="BZ381" s="129">
        <f>INDEX('Gross Gen Plant'!$D$7:$AC$91,MATCH($C381,'Gross Gen Plant'!$C$7:$C$91,0),MATCH(Calculation!$G381,'Gross Gen Plant'!$D$5:$AC$5,0))</f>
        <v>60786</v>
      </c>
      <c r="CA381" s="129">
        <f t="shared" si="626"/>
        <v>750891</v>
      </c>
      <c r="CB381" s="129"/>
      <c r="CC381" s="133">
        <v>2001</v>
      </c>
      <c r="CD381" s="129"/>
      <c r="CE381" s="129"/>
      <c r="CF381" s="129"/>
      <c r="CG381" s="137"/>
      <c r="CH381" s="129">
        <f t="shared" si="715"/>
        <v>97417</v>
      </c>
      <c r="CI381" s="46">
        <f t="shared" si="724"/>
        <v>97183.147479758991</v>
      </c>
      <c r="CJ381" s="46">
        <f t="shared" si="716"/>
        <v>274.95789452927255</v>
      </c>
      <c r="CK381" s="443">
        <v>0.96969696969696972</v>
      </c>
      <c r="CL381" s="46">
        <f>+CL378*CK381+CJ379*CK380+CJ380*CK378+CJ381</f>
        <v>4191.8199835943688</v>
      </c>
      <c r="CM381" s="134">
        <f t="shared" si="717"/>
        <v>5.8016881665605896E-2</v>
      </c>
      <c r="CN381" s="135">
        <f t="shared" si="718"/>
        <v>9.7791459442293054E-3</v>
      </c>
      <c r="CO381" s="135">
        <f>+(CN381+CN380+CN379)/3</f>
        <v>9.9532434278300237E-3</v>
      </c>
      <c r="CP381" s="134">
        <f>VLOOKUP($H381,RoR!$E:$F,2,FALSE)</f>
        <v>7.0824999999999999E-2</v>
      </c>
      <c r="CQ381" s="135">
        <v>2.2454495382290052E-2</v>
      </c>
      <c r="CR381" s="135">
        <f t="shared" si="725"/>
        <v>4.8370504617709947E-2</v>
      </c>
      <c r="CS381" s="135">
        <f>+$CR$2-CO381</f>
        <v>2.09486981807036E-2</v>
      </c>
      <c r="CT381" s="135">
        <f>+((DF379/DF378-1)+(DF380/DF379-1)+(DF381/DF380-1))/3</f>
        <v>2.3947275901631187E-2</v>
      </c>
      <c r="CU381" s="139">
        <f t="shared" si="719"/>
        <v>0.87050000000000005</v>
      </c>
      <c r="CV381" s="335">
        <f t="shared" si="720"/>
        <v>0.72406708481540816</v>
      </c>
      <c r="CW381" s="335">
        <f t="shared" si="721"/>
        <v>0.62201729615248857</v>
      </c>
      <c r="CX381" s="335">
        <f t="shared" si="722"/>
        <v>0.9352469954311422</v>
      </c>
      <c r="CY381" s="335">
        <f t="shared" si="723"/>
        <v>0.42121864641655071</v>
      </c>
      <c r="CZ381" s="336">
        <f>INDEX('State Tax Lookup'!$D$7:$Z$91,MATCH(Calculation!$C381,'State Tax Lookup'!$B$7:$B$91,0),MATCH($H381,'State Tax Lookup'!$D$6:$Z$6,0))</f>
        <v>0.35</v>
      </c>
      <c r="DA381" s="303">
        <v>0.37</v>
      </c>
      <c r="DB381" s="57">
        <f t="shared" ref="DB381:DB402" si="726">+(DF381*CS381-CT381)*CU381/(1-CZ381)</f>
        <v>9.883945221400019</v>
      </c>
      <c r="DC381" s="56"/>
      <c r="DD381" s="303">
        <f>VLOOKUP($H381,RoR!$E:$F,2,FALSE)</f>
        <v>7.0824999999999999E-2</v>
      </c>
      <c r="DE381" s="304">
        <f>HLOOKUP($H381,'GDP-PI'!$D$8:$CQ$11,3,FALSE)</f>
        <v>2.2454495382290052E-2</v>
      </c>
      <c r="DF381" s="303">
        <f>VLOOKUP(H381,'HW Dx Data'!$E:$F,2,FALSE)</f>
        <v>353.44738017483138</v>
      </c>
      <c r="DG381" s="89"/>
      <c r="DH381" s="89"/>
      <c r="DI381" s="89"/>
      <c r="DJ381" s="56"/>
      <c r="DK381" s="53">
        <f>HLOOKUP(H381,'GDP-PI'!$8:$9,2,FALSE)</f>
        <v>79.822000000000003</v>
      </c>
      <c r="DL381" s="298"/>
      <c r="EC381"/>
    </row>
    <row r="382" spans="1:133" s="126" customFormat="1" ht="21" customHeight="1" x14ac:dyDescent="0.4">
      <c r="A382" s="233" t="s">
        <v>205</v>
      </c>
      <c r="B382" s="127" t="s">
        <v>205</v>
      </c>
      <c r="C382" s="127">
        <v>4057081</v>
      </c>
      <c r="D382" s="127" t="s">
        <v>206</v>
      </c>
      <c r="E382" s="127"/>
      <c r="F382" s="127"/>
      <c r="G382" s="127" t="s">
        <v>158</v>
      </c>
      <c r="H382" s="128">
        <v>2002</v>
      </c>
      <c r="I382" s="129"/>
      <c r="J382" s="125"/>
      <c r="K382" s="125"/>
      <c r="L382" s="47"/>
      <c r="M382" s="125"/>
      <c r="N382" s="125"/>
      <c r="O382" s="125"/>
      <c r="P382" s="47"/>
      <c r="Q382" s="47"/>
      <c r="R382" s="386"/>
      <c r="S382" s="119"/>
      <c r="T382" s="47"/>
      <c r="U382" s="47"/>
      <c r="V382" s="125"/>
      <c r="W382" s="125"/>
      <c r="X382" s="125"/>
      <c r="Y382" s="125"/>
      <c r="Z382" s="125"/>
      <c r="AA382" s="125"/>
      <c r="AB382" s="125"/>
      <c r="AC382" s="125">
        <f t="shared" si="713"/>
        <v>41375.362937900776</v>
      </c>
      <c r="AD382" s="129"/>
      <c r="AE382" s="133">
        <v>4537.2633292977207</v>
      </c>
      <c r="AF382" s="134">
        <v>6.588027200798971E-2</v>
      </c>
      <c r="AG382" s="61"/>
      <c r="AH382" s="134"/>
      <c r="AI382" s="134"/>
      <c r="AJ382" s="129">
        <f t="shared" si="664"/>
        <v>41375.362937900776</v>
      </c>
      <c r="AK382" s="134"/>
      <c r="AL382" s="129"/>
      <c r="AM382" s="129"/>
      <c r="AN382" s="129"/>
      <c r="AO382" s="129"/>
      <c r="AP382" s="133"/>
      <c r="AQ382" s="134"/>
      <c r="AR382" s="93"/>
      <c r="AS382" s="93"/>
      <c r="AT382" s="93"/>
      <c r="AU382" s="93"/>
      <c r="AV382" s="93"/>
      <c r="AW382" s="134"/>
      <c r="AX382" s="62"/>
      <c r="AY382" s="93"/>
      <c r="AZ382" s="93"/>
      <c r="BA382" s="93"/>
      <c r="BB382" s="234">
        <f>IFERROR(INDEX('Total Customers'!$E$7:$AA$91,MATCH($C382,'Total Customers'!$C$7:$C$91,0),MATCH($G382,'Total Customers'!$E$5:$AA$5,0)),"NA")</f>
        <v>1652309</v>
      </c>
      <c r="BC382" s="411">
        <f t="shared" si="622"/>
        <v>2.1419321362840454E-2</v>
      </c>
      <c r="BD382" s="92"/>
      <c r="BE382" s="281" t="str">
        <f t="shared" si="618"/>
        <v>CONSUMERS ENERGY COMPANY</v>
      </c>
      <c r="BF382" s="290">
        <f t="shared" si="619"/>
        <v>4057081</v>
      </c>
      <c r="BG382" s="46" t="str">
        <f t="shared" si="620"/>
        <v>MI</v>
      </c>
      <c r="BH382" s="46"/>
      <c r="BI382" s="46" t="str">
        <f t="shared" si="621"/>
        <v>2002 Y</v>
      </c>
      <c r="BJ382" s="129"/>
      <c r="BK382" s="129"/>
      <c r="BL382" s="129">
        <f>INDEX('Dist. Plant Gas Additions'!$E$7:$AD$91,MATCH($C382,'Dist. Plant Gas Additions'!$C$7:$C$91,0),MATCH(Calculation!$G382,'Dist. Plant Gas Additions'!$E$5:$AD$5,0))</f>
        <v>97186</v>
      </c>
      <c r="BM382" s="129">
        <f>INDEX('Gen. Plant Additions'!$E$7:$AD$91,MATCH($C382,'Gen. Plant Additions'!$C$7:$C$91,0),MATCH(Calculation!$G382,'Gen. Plant Additions'!$E$5:$AD$5,0))</f>
        <v>16211</v>
      </c>
      <c r="BN382" s="393">
        <f t="shared" si="714"/>
        <v>0.96377009487165166</v>
      </c>
      <c r="BO382" s="46">
        <f t="shared" si="708"/>
        <v>15623.677007964345</v>
      </c>
      <c r="BP382" s="46">
        <f t="shared" si="709"/>
        <v>-587.32299203565526</v>
      </c>
      <c r="BQ382" s="129">
        <f>INDEX('Dist Plant Depreciation'!$D$7:$AC$94,MATCH($C382,'Dist Plant Depreciation'!$C$7:$C$94,0),MATCH(Calculation!$G382,'Dist Plant Depreciation'!$D$5:$AC$5,0))</f>
        <v>1180196</v>
      </c>
      <c r="BR382" s="129">
        <f>INDEX('Gen. Plant Depreciation'!$D$7:$AC$94,MATCH($C382,'Gen. Plant Depreciation'!$C$7:$C$94,0),MATCH(Calculation!$G382,'Gen. Plant Depreciation'!$D$5:$AC$5,0))</f>
        <v>22042</v>
      </c>
      <c r="BS382" s="129"/>
      <c r="BT382" s="129"/>
      <c r="BU382" s="129"/>
      <c r="BV382" s="129"/>
      <c r="BW382" s="129"/>
      <c r="BX382" s="129"/>
      <c r="BY382" s="129">
        <f>INDEX('Gross Dx Plant'!$D$7:$AC$91,MATCH($C382,'Gross Dx Plant'!$C$7:$C$91,0),MATCH(Calculation!$G382,'Gross Dx Plant'!$D$5:$AC$5,0))</f>
        <v>1898656</v>
      </c>
      <c r="BZ382" s="129">
        <f>INDEX('Gross Gen Plant'!$D$7:$AC$91,MATCH($C382,'Gross Gen Plant'!$C$7:$C$91,0),MATCH(Calculation!$G382,'Gross Gen Plant'!$D$5:$AC$5,0))</f>
        <v>71374</v>
      </c>
      <c r="CA382" s="129">
        <f t="shared" si="626"/>
        <v>767792</v>
      </c>
      <c r="CB382" s="129"/>
      <c r="CC382" s="133">
        <v>2002</v>
      </c>
      <c r="CD382" s="129"/>
      <c r="CE382" s="129"/>
      <c r="CF382" s="129"/>
      <c r="CG382" s="137"/>
      <c r="CH382" s="129">
        <f t="shared" si="715"/>
        <v>113397</v>
      </c>
      <c r="CI382" s="46">
        <f t="shared" si="724"/>
        <v>112809.67700796435</v>
      </c>
      <c r="CJ382" s="46">
        <f t="shared" si="716"/>
        <v>312.19108800171608</v>
      </c>
      <c r="CK382" s="443">
        <v>0.95918367346938771</v>
      </c>
      <c r="CL382" s="46">
        <f>+CL378*CK382+CJ379*CK381+CJ380*CK380+CJ381*CK379+CJ382</f>
        <v>4456.4436137677258</v>
      </c>
      <c r="CM382" s="134">
        <f t="shared" si="717"/>
        <v>6.121604867464181E-2</v>
      </c>
      <c r="CN382" s="135">
        <f t="shared" si="718"/>
        <v>1.1347686211365235E-2</v>
      </c>
      <c r="CO382" s="135">
        <f t="shared" ref="CO382:CO402" si="727">+(CN382+CN381+CN380)/3</f>
        <v>1.0435475465281804E-2</v>
      </c>
      <c r="CP382" s="134">
        <f>VLOOKUP($H382,RoR!$E:$F,2,FALSE)</f>
        <v>6.4916666666666664E-2</v>
      </c>
      <c r="CQ382" s="135">
        <v>1.5246423291824351E-2</v>
      </c>
      <c r="CR382" s="135">
        <f t="shared" si="725"/>
        <v>4.9670243374842313E-2</v>
      </c>
      <c r="CS382" s="135">
        <f t="shared" ref="CS382:CS402" si="728">+$CR$2-CO382</f>
        <v>2.0466466143251823E-2</v>
      </c>
      <c r="CT382" s="135">
        <f t="shared" ref="CT382:CT402" si="729">+((DF380/DF379-1)+(DF381/DF380-1)+(DF382/DF381-1))/3</f>
        <v>2.5243621214759093E-2</v>
      </c>
      <c r="CU382" s="139">
        <f t="shared" si="719"/>
        <v>0.87050000000000005</v>
      </c>
      <c r="CV382" s="335">
        <f t="shared" si="720"/>
        <v>0.78996741384417901</v>
      </c>
      <c r="CW382" s="335">
        <f t="shared" si="721"/>
        <v>0.58989088575096271</v>
      </c>
      <c r="CX382" s="335">
        <f t="shared" si="722"/>
        <v>0.91920675783645744</v>
      </c>
      <c r="CY382" s="335">
        <f t="shared" si="723"/>
        <v>0.42834536472275586</v>
      </c>
      <c r="CZ382" s="336">
        <f>INDEX('State Tax Lookup'!$D$7:$Z$91,MATCH(Calculation!$C382,'State Tax Lookup'!$B$7:$B$91,0),MATCH($H382,'State Tax Lookup'!$D$6:$Z$6,0))</f>
        <v>0.35</v>
      </c>
      <c r="DA382" s="303">
        <v>0.37</v>
      </c>
      <c r="DB382" s="57">
        <f t="shared" si="726"/>
        <v>9.8705009041019345</v>
      </c>
      <c r="DC382" s="56">
        <f t="shared" ref="DC382:DC402" si="730">LN(DB382/DB381)</f>
        <v>-1.361143642132519E-3</v>
      </c>
      <c r="DD382" s="303">
        <f>VLOOKUP($H382,RoR!$E:$F,2,FALSE)</f>
        <v>6.4916666666666664E-2</v>
      </c>
      <c r="DE382" s="304">
        <f>HLOOKUP($H382,'GDP-PI'!$D$8:$CQ$11,3,FALSE)</f>
        <v>1.5246423291824351E-2</v>
      </c>
      <c r="DF382" s="303">
        <f>VLOOKUP(H382,'HW Dx Data'!$E:$F,2,FALSE)</f>
        <v>361.34816573413599</v>
      </c>
      <c r="DG382" s="89"/>
      <c r="DH382" s="89"/>
      <c r="DI382" s="89"/>
      <c r="DJ382" s="56"/>
      <c r="DK382" s="53">
        <f>HLOOKUP(H382,'GDP-PI'!$8:$9,2,FALSE)</f>
        <v>81.039000000000001</v>
      </c>
      <c r="DL382" s="355">
        <f>LN(DK382/DK381)</f>
        <v>1.513136459537477E-2</v>
      </c>
      <c r="EC382"/>
    </row>
    <row r="383" spans="1:133" s="126" customFormat="1" ht="21" customHeight="1" x14ac:dyDescent="0.4">
      <c r="A383" s="233" t="s">
        <v>205</v>
      </c>
      <c r="B383" s="127" t="s">
        <v>205</v>
      </c>
      <c r="C383" s="127">
        <v>4057081</v>
      </c>
      <c r="D383" s="127" t="s">
        <v>206</v>
      </c>
      <c r="E383" s="127"/>
      <c r="F383" s="127"/>
      <c r="G383" s="127" t="s">
        <v>159</v>
      </c>
      <c r="H383" s="128">
        <v>2003</v>
      </c>
      <c r="I383" s="129"/>
      <c r="J383" s="125"/>
      <c r="K383" s="125"/>
      <c r="L383" s="47"/>
      <c r="M383" s="125"/>
      <c r="N383" s="125"/>
      <c r="O383" s="125"/>
      <c r="P383" s="59"/>
      <c r="Q383" s="59"/>
      <c r="R383" s="386"/>
      <c r="S383" s="119"/>
      <c r="T383" s="59"/>
      <c r="U383" s="59"/>
      <c r="V383" s="125"/>
      <c r="W383" s="125"/>
      <c r="X383" s="125"/>
      <c r="Y383" s="125"/>
      <c r="Z383" s="125"/>
      <c r="AA383" s="125"/>
      <c r="AB383" s="125"/>
      <c r="AC383" s="125">
        <f t="shared" si="713"/>
        <v>44387.463510721122</v>
      </c>
      <c r="AD383" s="129"/>
      <c r="AE383" s="133">
        <v>4755.079639691121</v>
      </c>
      <c r="AF383" s="134">
        <v>4.6889405079540647E-2</v>
      </c>
      <c r="AG383" s="61"/>
      <c r="AH383" s="134"/>
      <c r="AI383" s="134"/>
      <c r="AJ383" s="129">
        <f t="shared" si="664"/>
        <v>44387.463510721122</v>
      </c>
      <c r="AK383" s="134"/>
      <c r="AL383" s="129"/>
      <c r="AM383" s="129"/>
      <c r="AN383" s="129"/>
      <c r="AO383" s="129"/>
      <c r="AP383" s="133"/>
      <c r="AQ383" s="134"/>
      <c r="AR383" s="93"/>
      <c r="AS383" s="93"/>
      <c r="AT383" s="93"/>
      <c r="AU383" s="93"/>
      <c r="AV383" s="93"/>
      <c r="AW383" s="134"/>
      <c r="AX383" s="62"/>
      <c r="AY383" s="93"/>
      <c r="AZ383" s="93"/>
      <c r="BA383" s="93"/>
      <c r="BB383" s="234">
        <f>IFERROR(INDEX('Total Customers'!$E$7:$AA$91,MATCH($C383,'Total Customers'!$C$7:$C$91,0),MATCH($G383,'Total Customers'!$E$5:$AA$5,0)),"NA")</f>
        <v>1670989</v>
      </c>
      <c r="BC383" s="411">
        <f t="shared" si="622"/>
        <v>1.1241963094382976E-2</v>
      </c>
      <c r="BD383" s="92"/>
      <c r="BE383" s="281" t="str">
        <f t="shared" si="618"/>
        <v>CONSUMERS ENERGY COMPANY</v>
      </c>
      <c r="BF383" s="290">
        <f t="shared" si="619"/>
        <v>4057081</v>
      </c>
      <c r="BG383" s="46" t="str">
        <f t="shared" si="620"/>
        <v>MI</v>
      </c>
      <c r="BH383" s="46"/>
      <c r="BI383" s="46" t="str">
        <f t="shared" si="621"/>
        <v>2003 Y</v>
      </c>
      <c r="BJ383" s="129"/>
      <c r="BK383" s="129"/>
      <c r="BL383" s="129">
        <f>INDEX('Dist. Plant Gas Additions'!$E$7:$AD$91,MATCH($C383,'Dist. Plant Gas Additions'!$C$7:$C$91,0),MATCH(Calculation!$G383,'Dist. Plant Gas Additions'!$E$5:$AD$5,0))</f>
        <v>83974</v>
      </c>
      <c r="BM383" s="129">
        <f>INDEX('Gen. Plant Additions'!$E$7:$AD$91,MATCH($C383,'Gen. Plant Additions'!$C$7:$C$91,0),MATCH(Calculation!$G383,'Gen. Plant Additions'!$E$5:$AD$5,0))</f>
        <v>5862</v>
      </c>
      <c r="BN383" s="393">
        <f t="shared" si="714"/>
        <v>0.96535619405690232</v>
      </c>
      <c r="BO383" s="46">
        <f t="shared" si="708"/>
        <v>5658.9180095615611</v>
      </c>
      <c r="BP383" s="46">
        <f t="shared" si="709"/>
        <v>-203.08199043843888</v>
      </c>
      <c r="BQ383" s="129">
        <f>INDEX('Dist Plant Depreciation'!$D$7:$AC$94,MATCH($C383,'Dist Plant Depreciation'!$C$7:$C$94,0),MATCH(Calculation!$G383,'Dist Plant Depreciation'!$D$5:$AC$5,0))</f>
        <v>1263590</v>
      </c>
      <c r="BR383" s="129">
        <f>INDEX('Gen. Plant Depreciation'!$D$7:$AC$94,MATCH($C383,'Gen. Plant Depreciation'!$C$7:$C$94,0),MATCH(Calculation!$G383,'Gen. Plant Depreciation'!$D$5:$AC$5,0))</f>
        <v>24418</v>
      </c>
      <c r="BS383" s="129"/>
      <c r="BT383" s="129"/>
      <c r="BU383" s="129"/>
      <c r="BV383" s="129"/>
      <c r="BW383" s="129"/>
      <c r="BX383" s="129"/>
      <c r="BY383" s="129">
        <f>INDEX('Gross Dx Plant'!$D$7:$AC$91,MATCH($C383,'Gross Dx Plant'!$C$7:$C$91,0),MATCH(Calculation!$G383,'Gross Dx Plant'!$D$5:$AC$5,0))</f>
        <v>1976032</v>
      </c>
      <c r="BZ383" s="129">
        <f>INDEX('Gross Gen Plant'!$D$7:$AC$91,MATCH($C383,'Gross Gen Plant'!$C$7:$C$91,0),MATCH(Calculation!$G383,'Gross Gen Plant'!$D$5:$AC$5,0))</f>
        <v>70914</v>
      </c>
      <c r="CA383" s="129">
        <f t="shared" si="626"/>
        <v>758938</v>
      </c>
      <c r="CB383" s="129"/>
      <c r="CC383" s="133">
        <v>2003</v>
      </c>
      <c r="CD383" s="129"/>
      <c r="CE383" s="129"/>
      <c r="CF383" s="129"/>
      <c r="CG383" s="137"/>
      <c r="CH383" s="129">
        <f t="shared" si="715"/>
        <v>89836</v>
      </c>
      <c r="CI383" s="46">
        <f t="shared" si="724"/>
        <v>89632.918009561559</v>
      </c>
      <c r="CJ383" s="46">
        <f t="shared" si="716"/>
        <v>242.75434576552362</v>
      </c>
      <c r="CK383" s="443">
        <v>0.94845360824742264</v>
      </c>
      <c r="CL383" s="46">
        <f>+CL378*CK383+CJ379*CK382+CJ380*CK381+CJ381*CK380+CJ382*CK379+CJ383</f>
        <v>4650.2775277795536</v>
      </c>
      <c r="CM383" s="134">
        <f t="shared" si="717"/>
        <v>4.2575849285276704E-2</v>
      </c>
      <c r="CN383" s="135">
        <f t="shared" si="718"/>
        <v>1.0977460054147474E-2</v>
      </c>
      <c r="CO383" s="135">
        <f t="shared" si="727"/>
        <v>1.0701430736580671E-2</v>
      </c>
      <c r="CP383" s="134">
        <f>VLOOKUP($H383,RoR!$E:$F,2,FALSE)</f>
        <v>5.6666666666666671E-2</v>
      </c>
      <c r="CQ383" s="135">
        <v>1.8855119140166909E-2</v>
      </c>
      <c r="CR383" s="135">
        <f t="shared" si="725"/>
        <v>3.7811547526499761E-2</v>
      </c>
      <c r="CS383" s="135">
        <f t="shared" si="728"/>
        <v>2.0200510871952952E-2</v>
      </c>
      <c r="CT383" s="135">
        <f t="shared" si="729"/>
        <v>2.1375012817671957E-2</v>
      </c>
      <c r="CU383" s="139">
        <f t="shared" si="719"/>
        <v>0.87050000000000005</v>
      </c>
      <c r="CV383" s="335">
        <f t="shared" si="720"/>
        <v>0.90497737556561086</v>
      </c>
      <c r="CW383" s="335">
        <f t="shared" si="721"/>
        <v>0.5338235294117647</v>
      </c>
      <c r="CX383" s="335">
        <f t="shared" si="722"/>
        <v>0.88972433127405692</v>
      </c>
      <c r="CY383" s="335">
        <f t="shared" si="723"/>
        <v>0.42982423775949252</v>
      </c>
      <c r="CZ383" s="336">
        <f>INDEX('State Tax Lookup'!$D$7:$Z$91,MATCH(Calculation!$C383,'State Tax Lookup'!$B$7:$B$91,0),MATCH($H383,'State Tax Lookup'!$D$6:$Z$6,0))</f>
        <v>0.35</v>
      </c>
      <c r="DA383" s="303">
        <v>0.37</v>
      </c>
      <c r="DB383" s="57">
        <f t="shared" si="726"/>
        <v>9.9602883729058309</v>
      </c>
      <c r="DC383" s="56">
        <f t="shared" si="730"/>
        <v>9.0554219604213077E-3</v>
      </c>
      <c r="DD383" s="303">
        <f>VLOOKUP($H383,RoR!$E:$F,2,FALSE)</f>
        <v>5.6666666666666671E-2</v>
      </c>
      <c r="DE383" s="304">
        <f>HLOOKUP($H383,'GDP-PI'!$D$8:$CQ$11,3,FALSE)</f>
        <v>1.8855119140166909E-2</v>
      </c>
      <c r="DF383" s="303">
        <f>VLOOKUP(H383,'HW Dx Data'!$E:$F,2,FALSE)</f>
        <v>369.23301095560191</v>
      </c>
      <c r="DG383" s="89">
        <f ca="1">VLOOKUP(CC383,'ECI - Input Price'!M$13:N$33,2,FALSE)</f>
        <v>89.25</v>
      </c>
      <c r="DH383" s="89"/>
      <c r="DI383" s="89"/>
      <c r="DJ383" s="56"/>
      <c r="DK383" s="53">
        <f>HLOOKUP(H383,'GDP-PI'!$8:$9,2,FALSE)</f>
        <v>82.566999999999993</v>
      </c>
      <c r="DL383" s="355">
        <f t="shared" ref="DL383:DL402" si="731">LN(DK383/DK382)</f>
        <v>1.8679564681853753E-2</v>
      </c>
      <c r="EC383"/>
    </row>
    <row r="384" spans="1:133" s="126" customFormat="1" ht="21" customHeight="1" x14ac:dyDescent="0.4">
      <c r="A384" s="233" t="s">
        <v>205</v>
      </c>
      <c r="B384" s="127" t="s">
        <v>205</v>
      </c>
      <c r="C384" s="127">
        <v>4057081</v>
      </c>
      <c r="D384" s="127" t="s">
        <v>206</v>
      </c>
      <c r="E384" s="127"/>
      <c r="F384" s="127"/>
      <c r="G384" s="127" t="s">
        <v>160</v>
      </c>
      <c r="H384" s="128">
        <v>2004</v>
      </c>
      <c r="I384" s="129"/>
      <c r="J384" s="125">
        <f>IFERROR(INDEX('Labor Expenditures'!$E$7:$W$91,MATCH($C384,'Labor Expenditures'!$C$7:$C$91,0),MATCH($G384,'Labor Expenditures'!$E$5:$W$5,0)),"NA")</f>
        <v>91667.35283122379</v>
      </c>
      <c r="K384" s="125">
        <f t="shared" ref="K384:K402" ca="1" si="732">+J384/DG384</f>
        <v>971.56706763353259</v>
      </c>
      <c r="L384" s="47"/>
      <c r="M384" s="131"/>
      <c r="N384" s="131"/>
      <c r="O384" s="131"/>
      <c r="P384" s="59"/>
      <c r="Q384" s="59"/>
      <c r="R384" s="386"/>
      <c r="S384" s="119"/>
      <c r="T384" s="59"/>
      <c r="U384" s="59"/>
      <c r="V384" s="125">
        <f>IFERROR(INDEX('Non-Labor Expenditures'!$E$7:$AA$91,MATCH($C384,'Non-Labor Expenditures'!$C$7:$C$91,0),MATCH($G384,'Non-Labor Expenditures'!$E$5:$AA$5,0)),"NA")</f>
        <v>132751.44799944502</v>
      </c>
      <c r="W384" s="125">
        <f t="shared" ref="W384:W402" si="733">+V384/DK384</f>
        <v>1565.8714289018969</v>
      </c>
      <c r="X384" s="125"/>
      <c r="Y384" s="125"/>
      <c r="Z384" s="125"/>
      <c r="AA384" s="125"/>
      <c r="AB384" s="125"/>
      <c r="AC384" s="125">
        <f t="shared" si="713"/>
        <v>50575.569417058286</v>
      </c>
      <c r="AD384" s="129"/>
      <c r="AE384" s="133">
        <v>4942.8295628175338</v>
      </c>
      <c r="AF384" s="134">
        <v>3.8724508738266376E-2</v>
      </c>
      <c r="AG384" s="59">
        <f t="shared" ref="AG384:AG402" si="734">+AF384*$AX384</f>
        <v>0</v>
      </c>
      <c r="AH384" s="134"/>
      <c r="AI384" s="134"/>
      <c r="AJ384" s="129">
        <f t="shared" si="664"/>
        <v>274994.37024772714</v>
      </c>
      <c r="AK384" s="134"/>
      <c r="AL384" s="129"/>
      <c r="AM384" s="129"/>
      <c r="AN384" s="129"/>
      <c r="AO384" s="129"/>
      <c r="AP384" s="133"/>
      <c r="AQ384" s="134"/>
      <c r="AR384" s="93">
        <f t="shared" ref="AR384:AR402" si="735">+J384/AJ384</f>
        <v>0.33334265261010898</v>
      </c>
      <c r="AS384" s="93">
        <f t="shared" ref="AS384:AS402" si="736">+V384/AJ384</f>
        <v>0.48274242079885715</v>
      </c>
      <c r="AT384" s="93">
        <f t="shared" ref="AT384:AT402" si="737">+AC384/AJ384</f>
        <v>0.18391492659103373</v>
      </c>
      <c r="AU384" s="93"/>
      <c r="AV384" s="93"/>
      <c r="AW384" s="134"/>
      <c r="AX384" s="62"/>
      <c r="AY384" s="93"/>
      <c r="AZ384" s="93"/>
      <c r="BA384" s="93"/>
      <c r="BB384" s="234">
        <f>IFERROR(INDEX('Total Customers'!$E$7:$AA$91,MATCH($C384,'Total Customers'!$C$7:$C$91,0),MATCH($G384,'Total Customers'!$E$5:$AA$5,0)),"NA")</f>
        <v>1690874</v>
      </c>
      <c r="BC384" s="411">
        <f t="shared" si="622"/>
        <v>1.1829888310183853E-2</v>
      </c>
      <c r="BD384" s="92"/>
      <c r="BE384" s="281" t="str">
        <f t="shared" si="618"/>
        <v>CONSUMERS ENERGY COMPANY</v>
      </c>
      <c r="BF384" s="290">
        <f t="shared" si="619"/>
        <v>4057081</v>
      </c>
      <c r="BG384" s="46" t="str">
        <f t="shared" si="620"/>
        <v>MI</v>
      </c>
      <c r="BH384" s="46"/>
      <c r="BI384" s="46" t="str">
        <f t="shared" si="621"/>
        <v>2004 Y</v>
      </c>
      <c r="BJ384" s="129"/>
      <c r="BK384" s="129"/>
      <c r="BL384" s="129">
        <f>INDEX('Dist. Plant Gas Additions'!$E$7:$AD$91,MATCH($C384,'Dist. Plant Gas Additions'!$C$7:$C$91,0),MATCH(Calculation!$G384,'Dist. Plant Gas Additions'!$E$5:$AD$5,0))</f>
        <v>88031</v>
      </c>
      <c r="BM384" s="129">
        <f>INDEX('Gen. Plant Additions'!$E$7:$AD$91,MATCH($C384,'Gen. Plant Additions'!$C$7:$C$91,0),MATCH(Calculation!$G384,'Gen. Plant Additions'!$E$5:$AD$5,0))</f>
        <v>1279</v>
      </c>
      <c r="BN384" s="393">
        <f t="shared" si="714"/>
        <v>0.9744866222122206</v>
      </c>
      <c r="BO384" s="46">
        <f t="shared" si="708"/>
        <v>1246.3683898094303</v>
      </c>
      <c r="BP384" s="46">
        <f t="shared" si="709"/>
        <v>-32.631610190569745</v>
      </c>
      <c r="BQ384" s="129">
        <f>INDEX('Dist Plant Depreciation'!$D$7:$AC$94,MATCH($C384,'Dist Plant Depreciation'!$C$7:$C$94,0),MATCH(Calculation!$G384,'Dist Plant Depreciation'!$D$5:$AC$5,0))</f>
        <v>1328511</v>
      </c>
      <c r="BR384" s="129">
        <f>INDEX('Gen. Plant Depreciation'!$D$7:$AC$94,MATCH($C384,'Gen. Plant Depreciation'!$C$7:$C$94,0),MATCH(Calculation!$G384,'Gen. Plant Depreciation'!$D$5:$AC$5,0))</f>
        <v>24724</v>
      </c>
      <c r="BS384" s="129"/>
      <c r="BT384" s="129"/>
      <c r="BU384" s="129"/>
      <c r="BV384" s="129"/>
      <c r="BW384" s="129"/>
      <c r="BX384" s="129"/>
      <c r="BY384" s="129">
        <f>INDEX('Gross Dx Plant'!$D$7:$AC$91,MATCH($C384,'Gross Dx Plant'!$C$7:$C$91,0),MATCH(Calculation!$G384,'Gross Dx Plant'!$D$5:$AC$5,0))</f>
        <v>2056922</v>
      </c>
      <c r="BZ384" s="129">
        <f>INDEX('Gross Gen Plant'!$D$7:$AC$91,MATCH($C384,'Gross Gen Plant'!$C$7:$C$91,0),MATCH(Calculation!$G384,'Gross Gen Plant'!$D$5:$AC$5,0))</f>
        <v>53853</v>
      </c>
      <c r="CA384" s="129">
        <f t="shared" si="626"/>
        <v>757540</v>
      </c>
      <c r="CB384" s="129"/>
      <c r="CC384" s="133">
        <v>2004</v>
      </c>
      <c r="CD384" s="129"/>
      <c r="CE384" s="129"/>
      <c r="CF384" s="129"/>
      <c r="CG384" s="137"/>
      <c r="CH384" s="129">
        <f t="shared" si="715"/>
        <v>89310</v>
      </c>
      <c r="CI384" s="46">
        <f t="shared" si="724"/>
        <v>89277.368389809431</v>
      </c>
      <c r="CJ384" s="46">
        <f t="shared" si="716"/>
        <v>215.18468212725176</v>
      </c>
      <c r="CK384" s="443">
        <v>0.9375</v>
      </c>
      <c r="CL384" s="46">
        <f>+CL378*CK384+CJ379*CK383+CJ380*CK382+CJ381*CK381+CJ382*CK380+CJ383*CK379+CJ384</f>
        <v>4813.1251740848284</v>
      </c>
      <c r="CM384" s="134">
        <f t="shared" si="717"/>
        <v>3.441969626841599E-2</v>
      </c>
      <c r="CN384" s="135">
        <f t="shared" si="718"/>
        <v>1.1254604807848364E-2</v>
      </c>
      <c r="CO384" s="135">
        <f t="shared" si="727"/>
        <v>1.1193250357787024E-2</v>
      </c>
      <c r="CP384" s="134">
        <f>VLOOKUP($H384,RoR!$E:$F,2,FALSE)</f>
        <v>5.6283333333333331E-2</v>
      </c>
      <c r="CQ384" s="135">
        <v>2.6778252812867276E-2</v>
      </c>
      <c r="CR384" s="135">
        <f t="shared" si="725"/>
        <v>2.9505080520466055E-2</v>
      </c>
      <c r="CS384" s="135">
        <f t="shared" si="728"/>
        <v>1.9708691250746601E-2</v>
      </c>
      <c r="CT384" s="135">
        <f t="shared" si="729"/>
        <v>5.5940039414565046E-2</v>
      </c>
      <c r="CU384" s="139">
        <f t="shared" si="719"/>
        <v>0.87050000000000005</v>
      </c>
      <c r="CV384" s="335">
        <f t="shared" si="720"/>
        <v>0.91114097628755619</v>
      </c>
      <c r="CW384" s="335">
        <f t="shared" si="721"/>
        <v>0.53081877405981637</v>
      </c>
      <c r="CX384" s="335">
        <f t="shared" si="722"/>
        <v>0.88811215519385678</v>
      </c>
      <c r="CY384" s="335">
        <f t="shared" si="723"/>
        <v>0.42953609753547711</v>
      </c>
      <c r="CZ384" s="336">
        <f>INDEX('State Tax Lookup'!$D$7:$Z$91,MATCH(Calculation!$C384,'State Tax Lookup'!$B$7:$B$91,0),MATCH($H384,'State Tax Lookup'!$D$6:$Z$6,0))</f>
        <v>0.35</v>
      </c>
      <c r="DA384" s="303">
        <v>0.37</v>
      </c>
      <c r="DB384" s="57">
        <f t="shared" si="726"/>
        <v>10.875817435611731</v>
      </c>
      <c r="DC384" s="56">
        <f t="shared" si="730"/>
        <v>8.7935716362552277E-2</v>
      </c>
      <c r="DD384" s="303">
        <f>VLOOKUP($H384,RoR!$E:$F,2,FALSE)</f>
        <v>5.6283333333333331E-2</v>
      </c>
      <c r="DE384" s="304">
        <f>HLOOKUP($H384,'GDP-PI'!$D$8:$CQ$11,3,FALSE)</f>
        <v>2.6778252812867276E-2</v>
      </c>
      <c r="DF384" s="303">
        <f>VLOOKUP(H384,'HW Dx Data'!$E:$F,2,FALSE)</f>
        <v>414.88719135228365</v>
      </c>
      <c r="DG384" s="89">
        <f ca="1">VLOOKUP(CC384,'ECI - Input Price'!M$13:N$33,2,FALSE)</f>
        <v>94.35</v>
      </c>
      <c r="DH384" s="89"/>
      <c r="DI384" s="89"/>
      <c r="DJ384" s="56">
        <f t="shared" ref="DJ384:DJ402" ca="1" si="738">LN(DG384/DG383)</f>
        <v>5.5569851154810786E-2</v>
      </c>
      <c r="DK384" s="53">
        <f>HLOOKUP(H384,'GDP-PI'!$8:$9,2,FALSE)</f>
        <v>84.778000000000006</v>
      </c>
      <c r="DL384" s="355">
        <f t="shared" si="731"/>
        <v>2.6425990216022755E-2</v>
      </c>
      <c r="EC384"/>
    </row>
    <row r="385" spans="1:133" s="126" customFormat="1" ht="21" customHeight="1" x14ac:dyDescent="0.4">
      <c r="A385" s="233" t="s">
        <v>205</v>
      </c>
      <c r="B385" s="127" t="s">
        <v>205</v>
      </c>
      <c r="C385" s="127">
        <v>4057081</v>
      </c>
      <c r="D385" s="127" t="s">
        <v>206</v>
      </c>
      <c r="E385" s="127"/>
      <c r="F385" s="127"/>
      <c r="G385" s="127" t="s">
        <v>161</v>
      </c>
      <c r="H385" s="128">
        <v>2005</v>
      </c>
      <c r="I385" s="129"/>
      <c r="J385" s="125">
        <f>IFERROR(INDEX('Labor Expenditures'!$E$7:$W$91,MATCH($C385,'Labor Expenditures'!$C$7:$C$91,0),MATCH($G385,'Labor Expenditures'!$E$5:$W$5,0)),"NA")</f>
        <v>105575.7339739138</v>
      </c>
      <c r="K385" s="125">
        <f t="shared" ca="1" si="732"/>
        <v>1064.0033658242762</v>
      </c>
      <c r="L385" s="47"/>
      <c r="M385" s="131">
        <f t="shared" ref="M385:M401" ca="1" si="739">LN(K385/K384)</f>
        <v>9.088353169571084E-2</v>
      </c>
      <c r="N385" s="131"/>
      <c r="O385" s="131"/>
      <c r="P385" s="59"/>
      <c r="Q385" s="61"/>
      <c r="R385" s="387"/>
      <c r="S385" s="49">
        <v>100</v>
      </c>
      <c r="T385" s="46"/>
      <c r="U385" s="46"/>
      <c r="V385" s="125">
        <f>IFERROR(INDEX('Non-Labor Expenditures'!$E$7:$AA$91,MATCH($C385,'Non-Labor Expenditures'!$C$7:$C$91,0),MATCH($G385,'Non-Labor Expenditures'!$E$5:$AA$5,0)),"NA")</f>
        <v>152893.38162132844</v>
      </c>
      <c r="W385" s="125">
        <f t="shared" si="733"/>
        <v>1749.2120953851345</v>
      </c>
      <c r="X385" s="131">
        <f>LN(W385/W384)</f>
        <v>0.11072296273954714</v>
      </c>
      <c r="Y385" s="131"/>
      <c r="Z385" s="131"/>
      <c r="AA385" s="131"/>
      <c r="AB385" s="131"/>
      <c r="AC385" s="125">
        <f t="shared" si="713"/>
        <v>58816.48828583931</v>
      </c>
      <c r="AD385" s="129"/>
      <c r="AE385" s="133">
        <v>5114.7434088698374</v>
      </c>
      <c r="AF385" s="134">
        <v>3.4189280485488617E-2</v>
      </c>
      <c r="AG385" s="59">
        <f t="shared" si="734"/>
        <v>0</v>
      </c>
      <c r="AH385" s="134"/>
      <c r="AI385" s="134"/>
      <c r="AJ385" s="129">
        <f t="shared" si="664"/>
        <v>317285.60388108157</v>
      </c>
      <c r="AK385" s="134">
        <f>LN(AJ385/AJ384)</f>
        <v>0.14305170124250541</v>
      </c>
      <c r="AL385" s="129"/>
      <c r="AM385" s="129"/>
      <c r="AN385" s="129"/>
      <c r="AO385" s="129"/>
      <c r="AP385" s="133"/>
      <c r="AQ385" s="134"/>
      <c r="AR385" s="93">
        <f t="shared" si="735"/>
        <v>0.33274668841730215</v>
      </c>
      <c r="AS385" s="93">
        <f t="shared" si="736"/>
        <v>0.48187935333691589</v>
      </c>
      <c r="AT385" s="93">
        <f t="shared" si="737"/>
        <v>0.1853739582457819</v>
      </c>
      <c r="AU385" s="93">
        <f t="shared" ref="AU385:AU401" ca="1" si="740">+(((AR385+AR384)/2)*M385+((AS384+AS385)/2)*X385+((AT384+AT385)/2)*AF385)</f>
        <v>8.9984026878345058E-2</v>
      </c>
      <c r="AV385" s="132">
        <v>100</v>
      </c>
      <c r="AW385" s="134"/>
      <c r="AX385" s="15"/>
      <c r="AY385" s="93"/>
      <c r="AZ385" s="93"/>
      <c r="BA385" s="93"/>
      <c r="BB385" s="234">
        <f>IFERROR(INDEX('Total Customers'!$E$7:$AA$91,MATCH($C385,'Total Customers'!$C$7:$C$91,0),MATCH($G385,'Total Customers'!$E$5:$AA$5,0)),"NA")</f>
        <v>1696524</v>
      </c>
      <c r="BC385" s="411">
        <f t="shared" si="622"/>
        <v>3.3358968975777292E-3</v>
      </c>
      <c r="BD385" s="92"/>
      <c r="BE385" s="281" t="str">
        <f t="shared" si="618"/>
        <v>CONSUMERS ENERGY COMPANY</v>
      </c>
      <c r="BF385" s="290">
        <f t="shared" si="619"/>
        <v>4057081</v>
      </c>
      <c r="BG385" s="46" t="str">
        <f t="shared" si="620"/>
        <v>MI</v>
      </c>
      <c r="BH385" s="46"/>
      <c r="BI385" s="46" t="str">
        <f t="shared" si="621"/>
        <v>2005 Y</v>
      </c>
      <c r="BJ385" s="129"/>
      <c r="BK385" s="129"/>
      <c r="BL385" s="129">
        <f>INDEX('Dist. Plant Gas Additions'!$E$7:$AD$91,MATCH($C385,'Dist. Plant Gas Additions'!$C$7:$C$91,0),MATCH(Calculation!$G385,'Dist. Plant Gas Additions'!$E$5:$AD$5,0))</f>
        <v>91333</v>
      </c>
      <c r="BM385" s="129">
        <f>INDEX('Gen. Plant Additions'!$E$7:$AD$91,MATCH($C385,'Gen. Plant Additions'!$C$7:$C$91,0),MATCH(Calculation!$G385,'Gen. Plant Additions'!$E$5:$AD$5,0))</f>
        <v>3160</v>
      </c>
      <c r="BN385" s="393">
        <f t="shared" si="714"/>
        <v>0.97436378301709869</v>
      </c>
      <c r="BO385" s="46">
        <f t="shared" si="708"/>
        <v>3078.9895543340317</v>
      </c>
      <c r="BP385" s="46">
        <f t="shared" si="709"/>
        <v>-81.010445665968291</v>
      </c>
      <c r="BQ385" s="129">
        <f>INDEX('Dist Plant Depreciation'!$D$7:$AC$94,MATCH($C385,'Dist Plant Depreciation'!$C$7:$C$94,0),MATCH(Calculation!$G385,'Dist Plant Depreciation'!$D$5:$AC$5,0))</f>
        <v>1397984</v>
      </c>
      <c r="BR385" s="129">
        <f>INDEX('Gen. Plant Depreciation'!$D$7:$AC$94,MATCH($C385,'Gen. Plant Depreciation'!$C$7:$C$94,0),MATCH(Calculation!$G385,'Gen. Plant Depreciation'!$D$5:$AC$5,0))</f>
        <v>26737</v>
      </c>
      <c r="BS385" s="129"/>
      <c r="BT385" s="129"/>
      <c r="BU385" s="129"/>
      <c r="BV385" s="129"/>
      <c r="BW385" s="129"/>
      <c r="BX385" s="129"/>
      <c r="BY385" s="129">
        <f>INDEX('Gross Dx Plant'!$D$7:$AC$91,MATCH($C385,'Gross Dx Plant'!$C$7:$C$91,0),MATCH(Calculation!$G385,'Gross Dx Plant'!$D$5:$AC$5,0))</f>
        <v>2140572</v>
      </c>
      <c r="BZ385" s="129">
        <f>INDEX('Gross Gen Plant'!$D$7:$AC$91,MATCH($C385,'Gross Gen Plant'!$C$7:$C$91,0),MATCH(Calculation!$G385,'Gross Gen Plant'!$D$5:$AC$5,0))</f>
        <v>56320</v>
      </c>
      <c r="CA385" s="129">
        <f t="shared" si="626"/>
        <v>772171</v>
      </c>
      <c r="CB385" s="129"/>
      <c r="CC385" s="133">
        <v>2005</v>
      </c>
      <c r="CD385" s="129"/>
      <c r="CE385" s="129"/>
      <c r="CF385" s="129"/>
      <c r="CG385" s="137"/>
      <c r="CH385" s="129">
        <f t="shared" si="715"/>
        <v>94493</v>
      </c>
      <c r="CI385" s="46">
        <f t="shared" si="724"/>
        <v>94411.989554334024</v>
      </c>
      <c r="CJ385" s="46">
        <f t="shared" si="716"/>
        <v>201.21686962772057</v>
      </c>
      <c r="CK385" s="443">
        <v>0.9263157894736842</v>
      </c>
      <c r="CL385" s="46">
        <f>+CL378*CK385+CJ379*CK384+CJ380*CK383+CJ381*CK382+CJ382*CK381+CJ383*CK380+CJ384*CK379+CJ385</f>
        <v>4958.7814961469721</v>
      </c>
      <c r="CM385" s="134">
        <f t="shared" si="717"/>
        <v>2.9813446976425698E-2</v>
      </c>
      <c r="CN385" s="135">
        <f t="shared" si="718"/>
        <v>1.154354926498273E-2</v>
      </c>
      <c r="CO385" s="135">
        <f t="shared" si="727"/>
        <v>1.125853804232619E-2</v>
      </c>
      <c r="CP385" s="134">
        <f>VLOOKUP($H385,RoR!$E:$F,2,FALSE)</f>
        <v>5.2350000000000001E-2</v>
      </c>
      <c r="CQ385" s="135">
        <v>3.1010403642454332E-2</v>
      </c>
      <c r="CR385" s="135">
        <f t="shared" si="725"/>
        <v>2.1339596357545669E-2</v>
      </c>
      <c r="CS385" s="135">
        <f t="shared" si="728"/>
        <v>1.9643403566207435E-2</v>
      </c>
      <c r="CT385" s="135">
        <f t="shared" si="729"/>
        <v>9.2129610649277341E-2</v>
      </c>
      <c r="CU385" s="139">
        <f t="shared" si="719"/>
        <v>0.87050000000000005</v>
      </c>
      <c r="CV385" s="335">
        <f t="shared" si="720"/>
        <v>0.97959983346802826</v>
      </c>
      <c r="CW385" s="335">
        <f t="shared" si="721"/>
        <v>0.49744508118433622</v>
      </c>
      <c r="CX385" s="335">
        <f t="shared" si="722"/>
        <v>0.87010519444335932</v>
      </c>
      <c r="CY385" s="335">
        <f t="shared" si="723"/>
        <v>0.42399975420741998</v>
      </c>
      <c r="CZ385" s="336">
        <f>INDEX('State Tax Lookup'!$D$7:$Z$91,MATCH(Calculation!$C385,'State Tax Lookup'!$B$7:$B$91,0),MATCH($H385,'State Tax Lookup'!$D$6:$Z$6,0))</f>
        <v>0.35</v>
      </c>
      <c r="DA385" s="303">
        <v>0.37</v>
      </c>
      <c r="DB385" s="57">
        <f t="shared" si="726"/>
        <v>12.220020497809456</v>
      </c>
      <c r="DC385" s="56">
        <f t="shared" si="730"/>
        <v>0.1165338904976037</v>
      </c>
      <c r="DD385" s="303">
        <f>VLOOKUP($H385,RoR!$E:$F,2,FALSE)</f>
        <v>5.2350000000000001E-2</v>
      </c>
      <c r="DE385" s="304">
        <f>HLOOKUP($H385,'GDP-PI'!$D$8:$CQ$11,3,FALSE)</f>
        <v>3.1010403642454332E-2</v>
      </c>
      <c r="DF385" s="303">
        <f>VLOOKUP(H385,'HW Dx Data'!$E:$F,2,FALSE)</f>
        <v>469.20514034936258</v>
      </c>
      <c r="DG385" s="89">
        <f ca="1">VLOOKUP(CC385,'ECI - Input Price'!M$13:N$33,2,FALSE)</f>
        <v>99.224999999999994</v>
      </c>
      <c r="DH385" s="89"/>
      <c r="DI385" s="89"/>
      <c r="DJ385" s="56">
        <f t="shared" ca="1" si="738"/>
        <v>5.0378726854569796E-2</v>
      </c>
      <c r="DK385" s="53">
        <f>HLOOKUP(H385,'GDP-PI'!$8:$9,2,FALSE)</f>
        <v>87.406999999999996</v>
      </c>
      <c r="DL385" s="355">
        <f t="shared" si="731"/>
        <v>3.0539295810733648E-2</v>
      </c>
      <c r="EC385"/>
    </row>
    <row r="386" spans="1:133" s="126" customFormat="1" ht="21" customHeight="1" x14ac:dyDescent="0.4">
      <c r="A386" s="233" t="s">
        <v>205</v>
      </c>
      <c r="B386" s="127" t="s">
        <v>205</v>
      </c>
      <c r="C386" s="127">
        <v>4057081</v>
      </c>
      <c r="D386" s="127" t="s">
        <v>206</v>
      </c>
      <c r="E386" s="127"/>
      <c r="F386" s="127"/>
      <c r="G386" s="127" t="s">
        <v>162</v>
      </c>
      <c r="H386" s="128">
        <v>2006</v>
      </c>
      <c r="I386" s="129"/>
      <c r="J386" s="125">
        <f>IFERROR(INDEX('Labor Expenditures'!$E$7:$W$91,MATCH($C386,'Labor Expenditures'!$C$7:$C$91,0),MATCH($G386,'Labor Expenditures'!$E$5:$W$5,0)),"NA")</f>
        <v>101324.71397236465</v>
      </c>
      <c r="K386" s="125">
        <f t="shared" ca="1" si="732"/>
        <v>926.18568530497851</v>
      </c>
      <c r="L386" s="47"/>
      <c r="M386" s="131">
        <f t="shared" ca="1" si="739"/>
        <v>-0.13871909463390528</v>
      </c>
      <c r="N386" s="131"/>
      <c r="O386" s="131"/>
      <c r="P386" s="59">
        <f t="shared" ref="P386:P402" ca="1" si="741">+M386*$AX386</f>
        <v>-5.8194220374764866E-3</v>
      </c>
      <c r="Q386" s="61"/>
      <c r="R386" s="387"/>
      <c r="S386" s="49">
        <f ca="1">+S385*EXP(T386)</f>
        <v>106.27915868576633</v>
      </c>
      <c r="T386" s="61">
        <f ca="1">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</f>
        <v>6.0899018855689269E-2</v>
      </c>
      <c r="U386" s="61"/>
      <c r="V386" s="125">
        <f>IFERROR(INDEX('Non-Labor Expenditures'!$E$7:$AA$91,MATCH($C386,'Non-Labor Expenditures'!$C$7:$C$91,0),MATCH($G386,'Non-Labor Expenditures'!$E$5:$AA$5,0)),"NA")</f>
        <v>146737.11067807034</v>
      </c>
      <c r="W386" s="125">
        <f t="shared" si="733"/>
        <v>1629.0728809431173</v>
      </c>
      <c r="X386" s="131">
        <f t="shared" ref="X386:X401" si="742">LN(W386/W385)</f>
        <v>-7.1154387040607711E-2</v>
      </c>
      <c r="Y386" s="131">
        <f t="shared" ref="Y386:Y402" si="743">+X386*AX386</f>
        <v>-2.9850065638046372E-3</v>
      </c>
      <c r="Z386" s="131"/>
      <c r="AA386" s="131"/>
      <c r="AB386" s="131"/>
      <c r="AC386" s="125">
        <f t="shared" si="713"/>
        <v>58741.183848156594</v>
      </c>
      <c r="AD386" s="129"/>
      <c r="AE386" s="133">
        <v>5267.9187729814466</v>
      </c>
      <c r="AF386" s="134">
        <v>2.9508131112581115E-2</v>
      </c>
      <c r="AG386" s="59">
        <f t="shared" si="734"/>
        <v>1.2378992880143034E-3</v>
      </c>
      <c r="AH386" s="134"/>
      <c r="AI386" s="134"/>
      <c r="AJ386" s="129">
        <f t="shared" si="664"/>
        <v>306803.0084985916</v>
      </c>
      <c r="AK386" s="134">
        <f t="shared" ref="AK386:AK402" si="744">LN(AJ386/AJ385)</f>
        <v>-3.3596451370066255E-2</v>
      </c>
      <c r="AL386" s="129"/>
      <c r="AM386" s="129"/>
      <c r="AN386" s="129"/>
      <c r="AO386" s="129"/>
      <c r="AP386" s="133">
        <f t="shared" ref="AP386:AP402" si="745">+(AJ386*1000)/BB386</f>
        <v>179.65776848184328</v>
      </c>
      <c r="AQ386" s="134">
        <f>+BB386/Outputs!$B$14</f>
        <v>4.9239811173979499E-2</v>
      </c>
      <c r="AR386" s="93">
        <f t="shared" si="735"/>
        <v>0.33025984480471543</v>
      </c>
      <c r="AS386" s="93">
        <f t="shared" si="736"/>
        <v>0.47827793930757345</v>
      </c>
      <c r="AT386" s="93">
        <f t="shared" si="737"/>
        <v>0.19146221588771106</v>
      </c>
      <c r="AU386" s="93">
        <f t="shared" ca="1" si="740"/>
        <v>-7.4585669205658012E-2</v>
      </c>
      <c r="AV386" s="132">
        <f ca="1">+AV385*EXP(AU386)</f>
        <v>92.812795866805374</v>
      </c>
      <c r="AW386" s="134">
        <f ca="1">LN(AV386/AV385)</f>
        <v>-7.4585669205657984E-2</v>
      </c>
      <c r="AX386" s="56">
        <f>+AJ386/$AL$11</f>
        <v>4.1951124701574589E-2</v>
      </c>
      <c r="AY386" s="135">
        <f ca="1">+AX386*AW386</f>
        <v>-3.1289527097969499E-3</v>
      </c>
      <c r="AZ386" s="93"/>
      <c r="BA386" s="93"/>
      <c r="BB386" s="234">
        <f>IFERROR(INDEX('Total Customers'!$E$7:$AA$91,MATCH($C386,'Total Customers'!$C$7:$C$91,0),MATCH($G386,'Total Customers'!$E$5:$AA$5,0)),"NA")</f>
        <v>1707708</v>
      </c>
      <c r="BC386" s="411">
        <f t="shared" si="622"/>
        <v>6.5706686488153617E-3</v>
      </c>
      <c r="BD386" s="92"/>
      <c r="BE386" s="281" t="str">
        <f t="shared" si="618"/>
        <v>CONSUMERS ENERGY COMPANY</v>
      </c>
      <c r="BF386" s="290">
        <f t="shared" si="619"/>
        <v>4057081</v>
      </c>
      <c r="BG386" s="46" t="str">
        <f t="shared" si="620"/>
        <v>MI</v>
      </c>
      <c r="BH386" s="46"/>
      <c r="BI386" s="46" t="str">
        <f t="shared" si="621"/>
        <v>2006 Y</v>
      </c>
      <c r="BJ386" s="129"/>
      <c r="BK386" s="129"/>
      <c r="BL386" s="129">
        <f>INDEX('Dist. Plant Gas Additions'!$E$7:$AD$91,MATCH($C386,'Dist. Plant Gas Additions'!$C$7:$C$91,0),MATCH(Calculation!$G386,'Dist. Plant Gas Additions'!$E$5:$AD$5,0))</f>
        <v>85018</v>
      </c>
      <c r="BM386" s="129">
        <f>INDEX('Gen. Plant Additions'!$E$7:$AD$91,MATCH($C386,'Gen. Plant Additions'!$C$7:$C$91,0),MATCH(Calculation!$G386,'Gen. Plant Additions'!$E$5:$AD$5,0))</f>
        <v>108</v>
      </c>
      <c r="BN386" s="393">
        <f t="shared" si="714"/>
        <v>0.97692464666347267</v>
      </c>
      <c r="BO386" s="46">
        <f t="shared" si="708"/>
        <v>105.50786183965505</v>
      </c>
      <c r="BP386" s="46">
        <f t="shared" si="709"/>
        <v>-2.4921381603449504</v>
      </c>
      <c r="BQ386" s="129">
        <f>INDEX('Dist Plant Depreciation'!$D$7:$AC$94,MATCH($C386,'Dist Plant Depreciation'!$C$7:$C$94,0),MATCH(Calculation!$G386,'Dist Plant Depreciation'!$D$5:$AC$5,0))</f>
        <v>1468887</v>
      </c>
      <c r="BR386" s="129">
        <f>INDEX('Gen. Plant Depreciation'!$D$7:$AC$94,MATCH($C386,'Gen. Plant Depreciation'!$C$7:$C$94,0),MATCH(Calculation!$G386,'Gen. Plant Depreciation'!$D$5:$AC$5,0))</f>
        <v>24459</v>
      </c>
      <c r="BS386" s="129"/>
      <c r="BT386" s="129"/>
      <c r="BU386" s="129"/>
      <c r="BV386" s="129"/>
      <c r="BW386" s="129"/>
      <c r="BX386" s="129"/>
      <c r="BY386" s="129">
        <f>INDEX('Gross Dx Plant'!$D$7:$AC$91,MATCH($C386,'Gross Dx Plant'!$C$7:$C$91,0),MATCH(Calculation!$G386,'Gross Dx Plant'!$D$5:$AC$5,0))</f>
        <v>2216516</v>
      </c>
      <c r="BZ386" s="129">
        <f>INDEX('Gross Gen Plant'!$D$7:$AC$91,MATCH($C386,'Gross Gen Plant'!$C$7:$C$91,0),MATCH(Calculation!$G386,'Gross Gen Plant'!$D$5:$AC$5,0))</f>
        <v>52355</v>
      </c>
      <c r="CA386" s="129">
        <f t="shared" si="626"/>
        <v>775525</v>
      </c>
      <c r="CB386" s="134"/>
      <c r="CC386" s="133">
        <v>2006</v>
      </c>
      <c r="CD386" s="129"/>
      <c r="CE386" s="129"/>
      <c r="CF386" s="129"/>
      <c r="CG386" s="137"/>
      <c r="CH386" s="129">
        <f t="shared" si="715"/>
        <v>85126</v>
      </c>
      <c r="CI386" s="46">
        <f t="shared" si="724"/>
        <v>85123.507861839651</v>
      </c>
      <c r="CJ386" s="46">
        <f t="shared" si="716"/>
        <v>184.61538255546236</v>
      </c>
      <c r="CK386" s="443">
        <v>0.91489361702127658</v>
      </c>
      <c r="CL386" s="46">
        <f>+CL378*CK386+CJ379*CK385+CJ380*CK384+CJ381*CK383+CJ382*CK382+CJ383*CK381+CJ384*CK380+CJ385*CK379+CJ386</f>
        <v>5084.6738970444385</v>
      </c>
      <c r="CM386" s="134">
        <f t="shared" si="717"/>
        <v>2.5070852612765177E-2</v>
      </c>
      <c r="CN386" s="135">
        <f t="shared" si="718"/>
        <v>1.1842220050152322E-2</v>
      </c>
      <c r="CO386" s="135">
        <f t="shared" si="727"/>
        <v>1.1546791374327806E-2</v>
      </c>
      <c r="CP386" s="134">
        <f>VLOOKUP($H386,RoR!$E:$F,2,FALSE)</f>
        <v>5.5874999999999994E-2</v>
      </c>
      <c r="CQ386" s="135">
        <v>3.0512430354548314E-2</v>
      </c>
      <c r="CR386" s="135">
        <f t="shared" si="725"/>
        <v>2.536256964545168E-2</v>
      </c>
      <c r="CS386" s="135">
        <f t="shared" si="728"/>
        <v>1.9355150234205819E-2</v>
      </c>
      <c r="CT386" s="135">
        <f t="shared" si="729"/>
        <v>7.9087823893859641E-2</v>
      </c>
      <c r="CU386" s="139">
        <f t="shared" si="719"/>
        <v>0.87050000000000005</v>
      </c>
      <c r="CV386" s="335">
        <f t="shared" si="720"/>
        <v>0.91779957551769631</v>
      </c>
      <c r="CW386" s="335">
        <f t="shared" si="721"/>
        <v>0.52757270693512304</v>
      </c>
      <c r="CX386" s="335">
        <f t="shared" si="722"/>
        <v>0.88636824549024895</v>
      </c>
      <c r="CY386" s="335">
        <f t="shared" si="723"/>
        <v>0.42918482841932087</v>
      </c>
      <c r="CZ386" s="336">
        <f>INDEX('State Tax Lookup'!$D$7:$Z$91,MATCH(Calculation!$C386,'State Tax Lookup'!$B$7:$B$91,0),MATCH($H386,'State Tax Lookup'!$D$6:$Z$6,0))</f>
        <v>0.35</v>
      </c>
      <c r="DA386" s="303">
        <v>0.37</v>
      </c>
      <c r="DB386" s="57">
        <f t="shared" si="726"/>
        <v>11.845890748321768</v>
      </c>
      <c r="DC386" s="56">
        <f t="shared" si="730"/>
        <v>-3.1094595992321672E-2</v>
      </c>
      <c r="DD386" s="303">
        <f>VLOOKUP($H386,RoR!$E:$F,2,FALSE)</f>
        <v>5.5874999999999994E-2</v>
      </c>
      <c r="DE386" s="304">
        <f>HLOOKUP($H386,'GDP-PI'!$D$8:$CQ$11,3,FALSE)</f>
        <v>3.0512430354548314E-2</v>
      </c>
      <c r="DF386" s="303">
        <f>VLOOKUP(H386,'HW Dx Data'!$E:$F,2,FALSE)</f>
        <v>461.08567272971823</v>
      </c>
      <c r="DG386" s="89">
        <f ca="1">VLOOKUP(CC386,'ECI - Input Price'!M$13:N$33,2,FALSE)</f>
        <v>109.4</v>
      </c>
      <c r="DH386" s="89"/>
      <c r="DI386" s="89"/>
      <c r="DJ386" s="56">
        <f t="shared" ca="1" si="738"/>
        <v>9.7620891318751846E-2</v>
      </c>
      <c r="DK386" s="53">
        <f>HLOOKUP(H386,'GDP-PI'!$8:$9,2,FALSE)</f>
        <v>90.073999999999998</v>
      </c>
      <c r="DL386" s="355">
        <f t="shared" si="731"/>
        <v>3.005618372545445E-2</v>
      </c>
      <c r="EC386"/>
    </row>
    <row r="387" spans="1:133" s="126" customFormat="1" ht="21" customHeight="1" x14ac:dyDescent="0.4">
      <c r="A387" s="233" t="s">
        <v>205</v>
      </c>
      <c r="B387" s="127" t="s">
        <v>205</v>
      </c>
      <c r="C387" s="127">
        <v>4057081</v>
      </c>
      <c r="D387" s="127" t="s">
        <v>206</v>
      </c>
      <c r="E387" s="127"/>
      <c r="F387" s="127"/>
      <c r="G387" s="127" t="s">
        <v>163</v>
      </c>
      <c r="H387" s="128">
        <v>2007</v>
      </c>
      <c r="I387" s="129"/>
      <c r="J387" s="125">
        <f>IFERROR(INDEX('Labor Expenditures'!$E$7:$W$91,MATCH($C387,'Labor Expenditures'!$C$7:$C$91,0),MATCH($G387,'Labor Expenditures'!$E$5:$W$5,0)),"NA")</f>
        <v>101899.5695421228</v>
      </c>
      <c r="K387" s="125">
        <f t="shared" ca="1" si="732"/>
        <v>974.88227258668076</v>
      </c>
      <c r="L387" s="47"/>
      <c r="M387" s="131">
        <f t="shared" ca="1" si="739"/>
        <v>5.1241979011149692E-2</v>
      </c>
      <c r="N387" s="131"/>
      <c r="O387" s="131"/>
      <c r="P387" s="59">
        <f t="shared" ca="1" si="741"/>
        <v>2.0967246309100654E-3</v>
      </c>
      <c r="Q387" s="61"/>
      <c r="R387" s="387"/>
      <c r="S387" s="49">
        <f t="shared" ref="S387:S400" ca="1" si="746">+S386*EXP(T387)</f>
        <v>117.22646176934546</v>
      </c>
      <c r="T387" s="61">
        <f ca="1">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</f>
        <v>9.8038429828875895E-2</v>
      </c>
      <c r="U387" s="61"/>
      <c r="V387" s="125">
        <f>IFERROR(INDEX('Non-Labor Expenditures'!$E$7:$AA$91,MATCH($C387,'Non-Labor Expenditures'!$C$7:$C$91,0),MATCH($G387,'Non-Labor Expenditures'!$E$5:$AA$5,0)),"NA")</f>
        <v>147569.60891129024</v>
      </c>
      <c r="W387" s="125">
        <f t="shared" si="733"/>
        <v>1595.3816181029886</v>
      </c>
      <c r="X387" s="131">
        <f t="shared" si="742"/>
        <v>-2.08981016841405E-2</v>
      </c>
      <c r="Y387" s="131">
        <f t="shared" si="743"/>
        <v>-8.5511069997640579E-4</v>
      </c>
      <c r="Z387" s="131"/>
      <c r="AA387" s="131"/>
      <c r="AB387" s="131"/>
      <c r="AC387" s="125">
        <f t="shared" si="713"/>
        <v>64183.044705737753</v>
      </c>
      <c r="AD387" s="129"/>
      <c r="AE387" s="133">
        <v>5417.2168507106408</v>
      </c>
      <c r="AF387" s="134">
        <v>2.7946822574324875E-2</v>
      </c>
      <c r="AG387" s="59">
        <f t="shared" si="734"/>
        <v>1.1435309950560339E-3</v>
      </c>
      <c r="AH387" s="134"/>
      <c r="AI387" s="134"/>
      <c r="AJ387" s="129">
        <f t="shared" si="664"/>
        <v>313652.2231591508</v>
      </c>
      <c r="AK387" s="134">
        <f t="shared" si="744"/>
        <v>2.2078927039968586E-2</v>
      </c>
      <c r="AL387" s="129"/>
      <c r="AM387" s="129"/>
      <c r="AN387" s="129"/>
      <c r="AO387" s="129"/>
      <c r="AP387" s="133">
        <f t="shared" si="745"/>
        <v>183.56662965462374</v>
      </c>
      <c r="AQ387" s="134">
        <f>+BB387/Outputs!$B$15</f>
        <v>4.8896209820879361E-2</v>
      </c>
      <c r="AR387" s="93">
        <f t="shared" si="735"/>
        <v>0.32488075013712803</v>
      </c>
      <c r="AS387" s="93">
        <f t="shared" si="736"/>
        <v>0.47048800555260756</v>
      </c>
      <c r="AT387" s="93">
        <f t="shared" si="737"/>
        <v>0.20463124431026439</v>
      </c>
      <c r="AU387" s="93">
        <f t="shared" ca="1" si="740"/>
        <v>1.2406423540113795E-2</v>
      </c>
      <c r="AV387" s="132">
        <f ca="1">+AV386*EXP(AU387)</f>
        <v>93.97144319553631</v>
      </c>
      <c r="AW387" s="134">
        <f ca="1">LN(AV387/AV386)</f>
        <v>1.240642354011388E-2</v>
      </c>
      <c r="AX387" s="56">
        <f>+AJ387/$AL$12</f>
        <v>4.0918104089107121E-2</v>
      </c>
      <c r="AY387" s="135">
        <f t="shared" ref="AY387:AY401" ca="1" si="747">+AX387*AW387</f>
        <v>5.0764732978792859E-4</v>
      </c>
      <c r="AZ387" s="93"/>
      <c r="BA387" s="93"/>
      <c r="BB387" s="234">
        <f>IFERROR(INDEX('Total Customers'!$E$7:$AA$91,MATCH($C387,'Total Customers'!$C$7:$C$91,0),MATCH($G387,'Total Customers'!$E$5:$AA$5,0)),"NA")</f>
        <v>1708656</v>
      </c>
      <c r="BC387" s="411">
        <f t="shared" si="622"/>
        <v>5.5497600626380858E-4</v>
      </c>
      <c r="BD387" s="92"/>
      <c r="BE387" s="281" t="str">
        <f t="shared" ref="BE387:BE450" si="748">A387</f>
        <v>CONSUMERS ENERGY COMPANY</v>
      </c>
      <c r="BF387" s="290">
        <f t="shared" ref="BF387:BF450" si="749">C387</f>
        <v>4057081</v>
      </c>
      <c r="BG387" s="46" t="str">
        <f t="shared" ref="BG387:BG450" si="750">D387</f>
        <v>MI</v>
      </c>
      <c r="BH387" s="46"/>
      <c r="BI387" s="46" t="str">
        <f t="shared" ref="BI387:BI450" si="751">G387</f>
        <v>2007 Y</v>
      </c>
      <c r="BJ387" s="129"/>
      <c r="BK387" s="129"/>
      <c r="BL387" s="129">
        <f>INDEX('Dist. Plant Gas Additions'!$E$7:$AD$91,MATCH($C387,'Dist. Plant Gas Additions'!$C$7:$C$91,0),MATCH(Calculation!$G387,'Dist. Plant Gas Additions'!$E$5:$AD$5,0))</f>
        <v>77548</v>
      </c>
      <c r="BM387" s="129">
        <f>INDEX('Gen. Plant Additions'!$E$7:$AD$91,MATCH($C387,'Gen. Plant Additions'!$C$7:$C$91,0),MATCH(Calculation!$G387,'Gen. Plant Additions'!$E$5:$AD$5,0))</f>
        <v>13445</v>
      </c>
      <c r="BN387" s="393">
        <f t="shared" si="714"/>
        <v>0.97349684032896189</v>
      </c>
      <c r="BO387" s="46">
        <f t="shared" si="708"/>
        <v>13088.665018222893</v>
      </c>
      <c r="BP387" s="46">
        <f t="shared" si="709"/>
        <v>-356.3349817771068</v>
      </c>
      <c r="BQ387" s="129">
        <f>INDEX('Dist Plant Depreciation'!$D$7:$AC$94,MATCH($C387,'Dist Plant Depreciation'!$C$7:$C$94,0),MATCH(Calculation!$G387,'Dist Plant Depreciation'!$D$5:$AC$5,0))</f>
        <v>1402450</v>
      </c>
      <c r="BR387" s="129">
        <f>INDEX('Gen. Plant Depreciation'!$D$7:$AC$94,MATCH($C387,'Gen. Plant Depreciation'!$C$7:$C$94,0),MATCH(Calculation!$G387,'Gen. Plant Depreciation'!$D$5:$AC$5,0))</f>
        <v>26055</v>
      </c>
      <c r="BS387" s="129"/>
      <c r="BT387" s="129"/>
      <c r="BU387" s="129"/>
      <c r="BV387" s="129"/>
      <c r="BW387" s="129"/>
      <c r="BX387" s="129"/>
      <c r="BY387" s="129">
        <f>INDEX('Gross Dx Plant'!$D$7:$AC$91,MATCH($C387,'Gross Dx Plant'!$C$7:$C$91,0),MATCH(Calculation!$G387,'Gross Dx Plant'!$D$5:$AC$5,0))</f>
        <v>2285645</v>
      </c>
      <c r="BZ387" s="129">
        <f>INDEX('Gross Gen Plant'!$D$7:$AC$91,MATCH($C387,'Gross Gen Plant'!$C$7:$C$91,0),MATCH(Calculation!$G387,'Gross Gen Plant'!$D$5:$AC$5,0))</f>
        <v>62226</v>
      </c>
      <c r="CA387" s="129">
        <f t="shared" si="626"/>
        <v>919366</v>
      </c>
      <c r="CB387" s="129"/>
      <c r="CC387" s="133">
        <v>2007</v>
      </c>
      <c r="CD387" s="129"/>
      <c r="CE387" s="129"/>
      <c r="CF387" s="129"/>
      <c r="CG387" s="137"/>
      <c r="CH387" s="129">
        <f t="shared" si="715"/>
        <v>90993</v>
      </c>
      <c r="CI387" s="46">
        <f t="shared" si="724"/>
        <v>90636.665018222891</v>
      </c>
      <c r="CJ387" s="46">
        <f t="shared" si="716"/>
        <v>181.99318022800676</v>
      </c>
      <c r="CK387" s="443">
        <v>0.90322580645161288</v>
      </c>
      <c r="CL387" s="46">
        <f>+CL378*CK387+CJ379*CK386+CJ380*CK385+CJ381*CK384+CJ382*CK383+CJ383*CK382+CJ384*CK381+CJ385*CK380+CJ386*CK379+CJ387</f>
        <v>5204.868812892817</v>
      </c>
      <c r="CM387" s="134">
        <f t="shared" si="717"/>
        <v>2.3363600624788979E-2</v>
      </c>
      <c r="CN387" s="135">
        <f t="shared" si="718"/>
        <v>1.2153830438477018E-2</v>
      </c>
      <c r="CO387" s="135">
        <f t="shared" si="727"/>
        <v>1.1846533251204022E-2</v>
      </c>
      <c r="CP387" s="134">
        <f>VLOOKUP($H387,RoR!$E:$F,2,FALSE)</f>
        <v>5.5558333333333321E-2</v>
      </c>
      <c r="CQ387" s="135">
        <v>2.691120634145272E-2</v>
      </c>
      <c r="CR387" s="135">
        <f t="shared" si="725"/>
        <v>2.86471269918806E-2</v>
      </c>
      <c r="CS387" s="135">
        <f t="shared" si="728"/>
        <v>1.9055408357329603E-2</v>
      </c>
      <c r="CT387" s="135">
        <f t="shared" si="729"/>
        <v>6.4575155250632399E-2</v>
      </c>
      <c r="CU387" s="139">
        <f t="shared" si="719"/>
        <v>0.87050000000000005</v>
      </c>
      <c r="CV387" s="335">
        <f t="shared" si="720"/>
        <v>0.92303077153834634</v>
      </c>
      <c r="CW387" s="335">
        <f t="shared" si="721"/>
        <v>0.52502249887505614</v>
      </c>
      <c r="CX387" s="335">
        <f t="shared" si="722"/>
        <v>0.88499666072084604</v>
      </c>
      <c r="CY387" s="335">
        <f t="shared" si="723"/>
        <v>0.42887993290280618</v>
      </c>
      <c r="CZ387" s="336">
        <f>INDEX('State Tax Lookup'!$D$7:$Z$91,MATCH(Calculation!$C387,'State Tax Lookup'!$B$7:$B$91,0),MATCH($H387,'State Tax Lookup'!$D$6:$Z$6,0))</f>
        <v>0.35</v>
      </c>
      <c r="DA387" s="303">
        <v>0.37</v>
      </c>
      <c r="DB387" s="57">
        <f t="shared" si="726"/>
        <v>12.622843864784592</v>
      </c>
      <c r="DC387" s="56">
        <f t="shared" si="730"/>
        <v>6.3527142440786249E-2</v>
      </c>
      <c r="DD387" s="303">
        <f>VLOOKUP($H387,RoR!$E:$F,2,FALSE)</f>
        <v>5.5558333333333321E-2</v>
      </c>
      <c r="DE387" s="304">
        <f>HLOOKUP($H387,'GDP-PI'!$D$8:$CQ$11,3,FALSE)</f>
        <v>2.691120634145272E-2</v>
      </c>
      <c r="DF387" s="303">
        <f>VLOOKUP(H387,'HW Dx Data'!$E:$F,2,FALSE)</f>
        <v>498.0223154772637</v>
      </c>
      <c r="DG387" s="89">
        <f ca="1">VLOOKUP(CC387,'ECI - Input Price'!M$13:N$33,2,FALSE)</f>
        <v>104.52499999999999</v>
      </c>
      <c r="DH387" s="89"/>
      <c r="DI387" s="89"/>
      <c r="DJ387" s="56">
        <f t="shared" ca="1" si="738"/>
        <v>-4.5584612745252218E-2</v>
      </c>
      <c r="DK387" s="53">
        <f>HLOOKUP(H387,'GDP-PI'!$8:$9,2,FALSE)</f>
        <v>92.498000000000005</v>
      </c>
      <c r="DL387" s="355">
        <f t="shared" si="731"/>
        <v>2.6555467950038037E-2</v>
      </c>
      <c r="EC387"/>
    </row>
    <row r="388" spans="1:133" s="126" customFormat="1" ht="21" customHeight="1" x14ac:dyDescent="0.4">
      <c r="A388" s="233" t="s">
        <v>205</v>
      </c>
      <c r="B388" s="127" t="s">
        <v>205</v>
      </c>
      <c r="C388" s="127">
        <v>4057081</v>
      </c>
      <c r="D388" s="127" t="s">
        <v>206</v>
      </c>
      <c r="E388" s="127"/>
      <c r="F388" s="127"/>
      <c r="G388" s="127" t="s">
        <v>164</v>
      </c>
      <c r="H388" s="128">
        <v>2008</v>
      </c>
      <c r="I388" s="129"/>
      <c r="J388" s="125">
        <f>IFERROR(INDEX('Labor Expenditures'!$E$7:$W$91,MATCH($C388,'Labor Expenditures'!$C$7:$C$91,0),MATCH($G388,'Labor Expenditures'!$E$5:$W$5,0)),"NA")</f>
        <v>109238.41661394139</v>
      </c>
      <c r="K388" s="125">
        <f t="shared" ca="1" si="732"/>
        <v>1012.4042318252214</v>
      </c>
      <c r="L388" s="47"/>
      <c r="M388" s="131">
        <f t="shared" ca="1" si="739"/>
        <v>3.7766491013025726E-2</v>
      </c>
      <c r="N388" s="131"/>
      <c r="O388" s="131"/>
      <c r="P388" s="59">
        <f t="shared" ca="1" si="741"/>
        <v>1.5939004940861688E-3</v>
      </c>
      <c r="Q388" s="61"/>
      <c r="R388" s="387"/>
      <c r="S388" s="49">
        <f t="shared" ca="1" si="746"/>
        <v>108.59768132800431</v>
      </c>
      <c r="T388" s="61">
        <f ca="1">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</f>
        <v>-7.6457577971610666E-2</v>
      </c>
      <c r="U388" s="61"/>
      <c r="V388" s="125">
        <f>IFERROR(INDEX('Non-Labor Expenditures'!$E$7:$AA$91,MATCH($C388,'Non-Labor Expenditures'!$C$7:$C$91,0),MATCH($G388,'Non-Labor Expenditures'!$E$5:$AA$5,0)),"NA")</f>
        <v>158197.63017884188</v>
      </c>
      <c r="W388" s="125">
        <f t="shared" si="733"/>
        <v>1678.2401572057402</v>
      </c>
      <c r="X388" s="131">
        <f t="shared" si="742"/>
        <v>5.0632752286453968E-2</v>
      </c>
      <c r="Y388" s="131">
        <f t="shared" si="743"/>
        <v>2.1369093797590773E-3</v>
      </c>
      <c r="Z388" s="131"/>
      <c r="AA388" s="131"/>
      <c r="AB388" s="131"/>
      <c r="AC388" s="125">
        <f t="shared" si="713"/>
        <v>73982.200684316544</v>
      </c>
      <c r="AD388" s="129"/>
      <c r="AE388" s="133">
        <v>5527.7069832893421</v>
      </c>
      <c r="AF388" s="134">
        <v>2.0190891754843957E-2</v>
      </c>
      <c r="AG388" s="59">
        <f t="shared" si="734"/>
        <v>8.5213827074870189E-4</v>
      </c>
      <c r="AH388" s="134"/>
      <c r="AI388" s="134"/>
      <c r="AJ388" s="129">
        <f t="shared" si="664"/>
        <v>341418.24747709977</v>
      </c>
      <c r="AK388" s="134">
        <f t="shared" si="744"/>
        <v>8.4823455355327981E-2</v>
      </c>
      <c r="AL388" s="129"/>
      <c r="AM388" s="129"/>
      <c r="AN388" s="129"/>
      <c r="AO388" s="129"/>
      <c r="AP388" s="133">
        <f t="shared" si="745"/>
        <v>200.09673021504253</v>
      </c>
      <c r="AQ388" s="134">
        <f>+BB388/Outputs!$B$16</f>
        <v>4.8566754089325044E-2</v>
      </c>
      <c r="AR388" s="93">
        <f t="shared" si="735"/>
        <v>0.31995482790142443</v>
      </c>
      <c r="AS388" s="93">
        <f t="shared" si="736"/>
        <v>0.4633543501199443</v>
      </c>
      <c r="AT388" s="93">
        <f t="shared" si="737"/>
        <v>0.2166908219786314</v>
      </c>
      <c r="AU388" s="93">
        <f t="shared" ca="1" si="740"/>
        <v>4.0071526983302748E-2</v>
      </c>
      <c r="AV388" s="132">
        <f t="shared" ref="AV388:AV401" ca="1" si="752">+AV387*EXP(AU388)</f>
        <v>97.81348659773856</v>
      </c>
      <c r="AW388" s="134">
        <f t="shared" ref="AW388:AW401" ca="1" si="753">LN(AV388/AV387)</f>
        <v>4.007152698330279E-2</v>
      </c>
      <c r="AX388" s="56">
        <f>+AJ388/$AL$13</f>
        <v>4.2204092869957917E-2</v>
      </c>
      <c r="AY388" s="135">
        <f t="shared" ca="1" si="747"/>
        <v>1.6911824462443356E-3</v>
      </c>
      <c r="AZ388" s="93"/>
      <c r="BA388" s="93"/>
      <c r="BB388" s="234">
        <f>IFERROR(INDEX('Total Customers'!$E$7:$AA$91,MATCH($C388,'Total Customers'!$C$7:$C$91,0),MATCH($G388,'Total Customers'!$E$5:$AA$5,0)),"NA")</f>
        <v>1706266</v>
      </c>
      <c r="BC388" s="411">
        <f t="shared" ref="BC388:BC451" si="754">LN(BB388/BB387)</f>
        <v>-1.3997393733861478E-3</v>
      </c>
      <c r="BD388" s="92"/>
      <c r="BE388" s="281" t="str">
        <f t="shared" si="748"/>
        <v>CONSUMERS ENERGY COMPANY</v>
      </c>
      <c r="BF388" s="290">
        <f t="shared" si="749"/>
        <v>4057081</v>
      </c>
      <c r="BG388" s="46" t="str">
        <f t="shared" si="750"/>
        <v>MI</v>
      </c>
      <c r="BH388" s="46"/>
      <c r="BI388" s="46" t="str">
        <f t="shared" si="751"/>
        <v>2008 Y</v>
      </c>
      <c r="BJ388" s="129"/>
      <c r="BK388" s="129"/>
      <c r="BL388" s="129">
        <f>INDEX('Dist. Plant Gas Additions'!$E$7:$AD$91,MATCH($C388,'Dist. Plant Gas Additions'!$C$7:$C$91,0),MATCH(Calculation!$G388,'Dist. Plant Gas Additions'!$E$5:$AD$5,0))</f>
        <v>81780</v>
      </c>
      <c r="BM388" s="129">
        <f>INDEX('Gen. Plant Additions'!$E$7:$AD$91,MATCH($C388,'Gen. Plant Additions'!$C$7:$C$91,0),MATCH(Calculation!$G388,'Gen. Plant Additions'!$E$5:$AD$5,0))</f>
        <v>1387</v>
      </c>
      <c r="BN388" s="393">
        <f t="shared" si="714"/>
        <v>0.97541283981600979</v>
      </c>
      <c r="BO388" s="46">
        <f t="shared" si="708"/>
        <v>1352.8976088248055</v>
      </c>
      <c r="BP388" s="46">
        <f t="shared" si="709"/>
        <v>-34.102391175194498</v>
      </c>
      <c r="BQ388" s="129">
        <f>INDEX('Dist Plant Depreciation'!$D$7:$AC$94,MATCH($C388,'Dist Plant Depreciation'!$C$7:$C$94,0),MATCH(Calculation!$G388,'Dist Plant Depreciation'!$D$5:$AC$5,0))</f>
        <v>1478542</v>
      </c>
      <c r="BR388" s="129">
        <f>INDEX('Gen. Plant Depreciation'!$D$7:$AC$94,MATCH($C388,'Gen. Plant Depreciation'!$C$7:$C$94,0),MATCH(Calculation!$G388,'Gen. Plant Depreciation'!$D$5:$AC$5,0))</f>
        <v>28665</v>
      </c>
      <c r="BS388" s="129"/>
      <c r="BT388" s="129"/>
      <c r="BU388" s="129"/>
      <c r="BV388" s="129"/>
      <c r="BW388" s="129"/>
      <c r="BX388" s="129"/>
      <c r="BY388" s="129">
        <f>INDEX('Gross Dx Plant'!$D$7:$AC$91,MATCH($C388,'Gross Dx Plant'!$C$7:$C$91,0),MATCH(Calculation!$G388,'Gross Dx Plant'!$D$5:$AC$5,0))</f>
        <v>2459443</v>
      </c>
      <c r="BZ388" s="129">
        <f>INDEX('Gross Gen Plant'!$D$7:$AC$91,MATCH($C388,'Gross Gen Plant'!$C$7:$C$91,0),MATCH(Calculation!$G388,'Gross Gen Plant'!$D$5:$AC$5,0))</f>
        <v>61995</v>
      </c>
      <c r="CA388" s="129">
        <f t="shared" si="626"/>
        <v>1014231</v>
      </c>
      <c r="CB388" s="129"/>
      <c r="CC388" s="133">
        <v>2008</v>
      </c>
      <c r="CD388" s="129"/>
      <c r="CE388" s="129"/>
      <c r="CF388" s="129"/>
      <c r="CG388" s="137"/>
      <c r="CH388" s="129">
        <f t="shared" si="715"/>
        <v>83167</v>
      </c>
      <c r="CI388" s="46">
        <f t="shared" si="724"/>
        <v>83132.897608824802</v>
      </c>
      <c r="CJ388" s="46">
        <f t="shared" si="716"/>
        <v>145.87759189511962</v>
      </c>
      <c r="CK388" s="443">
        <v>0.89130434782608692</v>
      </c>
      <c r="CL388" s="46">
        <f>+CL378*CK388+CJ379*CK387+CJ380*CK386+CJ381*CK385+CJ382*CK384+CJ383*CK383+CJ384*CK382+CJ385*CK381+CJ386*CK380+CJ387*CK379+CJ388</f>
        <v>5285.8220710044261</v>
      </c>
      <c r="CM388" s="134">
        <f t="shared" si="717"/>
        <v>1.5433657498518938E-2</v>
      </c>
      <c r="CN388" s="135">
        <f t="shared" si="718"/>
        <v>1.2473769487270936E-2</v>
      </c>
      <c r="CO388" s="135">
        <f t="shared" si="727"/>
        <v>1.2156606658633426E-2</v>
      </c>
      <c r="CP388" s="134">
        <f>VLOOKUP($H388,RoR!$E:$F,2,FALSE)</f>
        <v>5.6316666666666668E-2</v>
      </c>
      <c r="CQ388" s="135">
        <v>1.9092304698479889E-2</v>
      </c>
      <c r="CR388" s="135">
        <f t="shared" si="725"/>
        <v>3.7224361968186778E-2</v>
      </c>
      <c r="CS388" s="135">
        <f t="shared" si="728"/>
        <v>1.8745334949900199E-2</v>
      </c>
      <c r="CT388" s="135">
        <f t="shared" si="729"/>
        <v>6.9030581091053131E-2</v>
      </c>
      <c r="CU388" s="139">
        <f t="shared" si="719"/>
        <v>0.87050000000000005</v>
      </c>
      <c r="CV388" s="335">
        <f t="shared" si="720"/>
        <v>0.91060168006009956</v>
      </c>
      <c r="CW388" s="335">
        <f t="shared" si="721"/>
        <v>0.53108168097070152</v>
      </c>
      <c r="CX388" s="335">
        <f t="shared" si="722"/>
        <v>0.88825329850328805</v>
      </c>
      <c r="CY388" s="335">
        <f t="shared" si="723"/>
        <v>0.4295627335323573</v>
      </c>
      <c r="CZ388" s="336">
        <f>INDEX('State Tax Lookup'!$D$7:$Z$91,MATCH(Calculation!$C388,'State Tax Lookup'!$B$7:$B$91,0),MATCH($H388,'State Tax Lookup'!$D$6:$Z$6,0))</f>
        <v>0.35</v>
      </c>
      <c r="DA388" s="303">
        <v>0.37</v>
      </c>
      <c r="DB388" s="57">
        <f t="shared" si="726"/>
        <v>14.214037537518248</v>
      </c>
      <c r="DC388" s="56">
        <f t="shared" si="730"/>
        <v>0.11872185769573938</v>
      </c>
      <c r="DD388" s="303">
        <f>VLOOKUP($H388,RoR!$E:$F,2,FALSE)</f>
        <v>5.6316666666666668E-2</v>
      </c>
      <c r="DE388" s="304">
        <f>HLOOKUP($H388,'GDP-PI'!$D$8:$CQ$11,3,FALSE)</f>
        <v>1.9092304698479889E-2</v>
      </c>
      <c r="DF388" s="303">
        <f>VLOOKUP(H388,'HW Dx Data'!$E:$F,2,FALSE)</f>
        <v>569.88120333515076</v>
      </c>
      <c r="DG388" s="89">
        <f ca="1">VLOOKUP(CC388,'ECI - Input Price'!M$13:N$33,2,FALSE)</f>
        <v>107.9</v>
      </c>
      <c r="DH388" s="89"/>
      <c r="DI388" s="89"/>
      <c r="DJ388" s="56">
        <f t="shared" ca="1" si="738"/>
        <v>3.1778595021460486E-2</v>
      </c>
      <c r="DK388" s="53">
        <f>HLOOKUP(H388,'GDP-PI'!$8:$9,2,FALSE)</f>
        <v>94.263999999999996</v>
      </c>
      <c r="DL388" s="355">
        <f t="shared" si="731"/>
        <v>1.8912333748032254E-2</v>
      </c>
      <c r="EC388"/>
    </row>
    <row r="389" spans="1:133" s="126" customFormat="1" ht="21" customHeight="1" x14ac:dyDescent="0.4">
      <c r="A389" s="233" t="s">
        <v>205</v>
      </c>
      <c r="B389" s="127" t="s">
        <v>205</v>
      </c>
      <c r="C389" s="127">
        <v>4057081</v>
      </c>
      <c r="D389" s="127" t="s">
        <v>206</v>
      </c>
      <c r="E389" s="127"/>
      <c r="F389" s="127"/>
      <c r="G389" s="127" t="s">
        <v>165</v>
      </c>
      <c r="H389" s="128">
        <v>2009</v>
      </c>
      <c r="I389" s="129"/>
      <c r="J389" s="125">
        <f>IFERROR(INDEX('Labor Expenditures'!$E$7:$W$91,MATCH($C389,'Labor Expenditures'!$C$7:$C$91,0),MATCH($G389,'Labor Expenditures'!$E$5:$W$5,0)),"NA")</f>
        <v>110453.24097685704</v>
      </c>
      <c r="K389" s="125">
        <f t="shared" ca="1" si="732"/>
        <v>995.74704509224284</v>
      </c>
      <c r="L389" s="47"/>
      <c r="M389" s="131">
        <f t="shared" ca="1" si="739"/>
        <v>-1.6589954117902712E-2</v>
      </c>
      <c r="N389" s="131"/>
      <c r="O389" s="131"/>
      <c r="P389" s="59">
        <f t="shared" ca="1" si="741"/>
        <v>-6.7050595752422653E-4</v>
      </c>
      <c r="Q389" s="61"/>
      <c r="R389" s="387"/>
      <c r="S389" s="49">
        <f t="shared" ca="1" si="746"/>
        <v>116.42420902429804</v>
      </c>
      <c r="T389" s="61">
        <f ca="1">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</f>
        <v>6.9590438279580252E-2</v>
      </c>
      <c r="U389" s="61"/>
      <c r="V389" s="125">
        <f>IFERROR(INDEX('Non-Labor Expenditures'!$E$7:$AA$91,MATCH($C389,'Non-Labor Expenditures'!$C$7:$C$91,0),MATCH($G389,'Non-Labor Expenditures'!$E$5:$AA$5,0)),"NA")</f>
        <v>159956.92275423656</v>
      </c>
      <c r="W389" s="125">
        <f t="shared" si="733"/>
        <v>1683.7748055688646</v>
      </c>
      <c r="X389" s="131">
        <f t="shared" si="742"/>
        <v>3.2924620646719522E-3</v>
      </c>
      <c r="Y389" s="131">
        <f t="shared" si="743"/>
        <v>1.3306941137967076E-4</v>
      </c>
      <c r="Z389" s="131"/>
      <c r="AA389" s="131"/>
      <c r="AB389" s="131"/>
      <c r="AC389" s="125">
        <f t="shared" si="713"/>
        <v>71384.085045913846</v>
      </c>
      <c r="AD389" s="129"/>
      <c r="AE389" s="133">
        <v>5708.9063902992821</v>
      </c>
      <c r="AF389" s="134">
        <v>3.225440083972908E-2</v>
      </c>
      <c r="AG389" s="59">
        <f t="shared" si="734"/>
        <v>1.3036062526583286E-3</v>
      </c>
      <c r="AH389" s="134"/>
      <c r="AI389" s="134"/>
      <c r="AJ389" s="129">
        <f t="shared" si="664"/>
        <v>341794.24877700745</v>
      </c>
      <c r="AK389" s="134">
        <f t="shared" si="744"/>
        <v>1.1006863601880576E-3</v>
      </c>
      <c r="AL389" s="129"/>
      <c r="AM389" s="129"/>
      <c r="AN389" s="129"/>
      <c r="AO389" s="129"/>
      <c r="AP389" s="133">
        <f t="shared" si="745"/>
        <v>200.78721236337074</v>
      </c>
      <c r="AQ389" s="134">
        <f>+BB389/Outputs!$B$17</f>
        <v>4.8391274696728534E-2</v>
      </c>
      <c r="AR389" s="93">
        <f t="shared" si="735"/>
        <v>0.32315710803231995</v>
      </c>
      <c r="AS389" s="93">
        <f t="shared" si="736"/>
        <v>0.46799184985290743</v>
      </c>
      <c r="AT389" s="93">
        <f t="shared" si="737"/>
        <v>0.20885104211477259</v>
      </c>
      <c r="AU389" s="93">
        <f t="shared" ca="1" si="740"/>
        <v>3.0614111906123761E-3</v>
      </c>
      <c r="AV389" s="132">
        <f t="shared" ca="1" si="752"/>
        <v>98.113392733969874</v>
      </c>
      <c r="AW389" s="134">
        <f t="shared" ca="1" si="753"/>
        <v>3.0614111906124178E-3</v>
      </c>
      <c r="AX389" s="56">
        <f>+AJ389/$AL$14</f>
        <v>4.0416384081536645E-2</v>
      </c>
      <c r="AY389" s="135">
        <f t="shared" ca="1" si="747"/>
        <v>1.2373117051130587E-4</v>
      </c>
      <c r="AZ389" s="93"/>
      <c r="BA389" s="93"/>
      <c r="BB389" s="234">
        <f>IFERROR(INDEX('Total Customers'!$E$7:$AA$91,MATCH($C389,'Total Customers'!$C$7:$C$91,0),MATCH($G389,'Total Customers'!$E$5:$AA$5,0)),"NA")</f>
        <v>1702271</v>
      </c>
      <c r="BC389" s="411">
        <f t="shared" si="754"/>
        <v>-2.3441152783940582E-3</v>
      </c>
      <c r="BD389" s="92"/>
      <c r="BE389" s="281" t="str">
        <f t="shared" si="748"/>
        <v>CONSUMERS ENERGY COMPANY</v>
      </c>
      <c r="BF389" s="290">
        <f t="shared" si="749"/>
        <v>4057081</v>
      </c>
      <c r="BG389" s="46" t="str">
        <f t="shared" si="750"/>
        <v>MI</v>
      </c>
      <c r="BH389" s="46"/>
      <c r="BI389" s="46" t="str">
        <f t="shared" si="751"/>
        <v>2009 Y</v>
      </c>
      <c r="BJ389" s="129"/>
      <c r="BK389" s="129"/>
      <c r="BL389" s="129">
        <f>INDEX('Dist. Plant Gas Additions'!$E$7:$AD$91,MATCH($C389,'Dist. Plant Gas Additions'!$C$7:$C$91,0),MATCH(Calculation!$G389,'Dist. Plant Gas Additions'!$E$5:$AD$5,0))</f>
        <v>110951</v>
      </c>
      <c r="BM389" s="129">
        <f>INDEX('Gen. Plant Additions'!$E$7:$AD$91,MATCH($C389,'Gen. Plant Additions'!$C$7:$C$91,0),MATCH(Calculation!$G389,'Gen. Plant Additions'!$E$5:$AD$5,0))</f>
        <v>9477</v>
      </c>
      <c r="BN389" s="393">
        <f t="shared" si="714"/>
        <v>0.97466702135606187</v>
      </c>
      <c r="BO389" s="46">
        <f t="shared" si="708"/>
        <v>9236.9193613913976</v>
      </c>
      <c r="BP389" s="46">
        <f t="shared" si="709"/>
        <v>-240.08063860860238</v>
      </c>
      <c r="BQ389" s="129">
        <f>INDEX('Dist Plant Depreciation'!$D$7:$AC$94,MATCH($C389,'Dist Plant Depreciation'!$C$7:$C$94,0),MATCH(Calculation!$G389,'Dist Plant Depreciation'!$D$5:$AC$5,0))</f>
        <v>1528832</v>
      </c>
      <c r="BR389" s="129">
        <f>INDEX('Gen. Plant Depreciation'!$D$7:$AC$94,MATCH($C389,'Gen. Plant Depreciation'!$C$7:$C$94,0),MATCH(Calculation!$G389,'Gen. Plant Depreciation'!$D$5:$AC$5,0))</f>
        <v>26980</v>
      </c>
      <c r="BS389" s="129"/>
      <c r="BT389" s="129"/>
      <c r="BU389" s="129"/>
      <c r="BV389" s="129"/>
      <c r="BW389" s="129"/>
      <c r="BX389" s="129"/>
      <c r="BY389" s="129">
        <f>INDEX('Gross Dx Plant'!$D$7:$AC$91,MATCH($C389,'Gross Dx Plant'!$C$7:$C$91,0),MATCH(Calculation!$G389,'Gross Dx Plant'!$D$5:$AC$5,0))</f>
        <v>2557421</v>
      </c>
      <c r="BZ389" s="129">
        <f>INDEX('Gross Gen Plant'!$D$7:$AC$91,MATCH($C389,'Gross Gen Plant'!$C$7:$C$91,0),MATCH(Calculation!$G389,'Gross Gen Plant'!$D$5:$AC$5,0))</f>
        <v>66471</v>
      </c>
      <c r="CA389" s="129">
        <f t="shared" si="626"/>
        <v>1068080</v>
      </c>
      <c r="CB389" s="129"/>
      <c r="CC389" s="133">
        <v>2009</v>
      </c>
      <c r="CD389" s="129"/>
      <c r="CE389" s="129"/>
      <c r="CF389" s="129"/>
      <c r="CG389" s="137"/>
      <c r="CH389" s="129">
        <f t="shared" si="715"/>
        <v>120428</v>
      </c>
      <c r="CI389" s="46">
        <f t="shared" si="724"/>
        <v>120187.9193613914</v>
      </c>
      <c r="CJ389" s="46">
        <f t="shared" si="716"/>
        <v>218.15039830814226</v>
      </c>
      <c r="CK389" s="443">
        <v>0.87912087912087911</v>
      </c>
      <c r="CL389" s="46">
        <f>+CL378*CK389+CJ379*CK388+CJ380*CK387+CJ381*CK386+CJ382*CK385+CJ383*CK384+CJ384*CK383+CJ385*CK382+CJ386*CK381+CJ387*CK380+CJ388*CK379+CJ389</f>
        <v>5436.2005624060703</v>
      </c>
      <c r="CM389" s="134">
        <f t="shared" si="717"/>
        <v>2.805223563382428E-2</v>
      </c>
      <c r="CN389" s="135">
        <f t="shared" si="718"/>
        <v>1.2821450664838571E-2</v>
      </c>
      <c r="CO389" s="135">
        <f t="shared" si="727"/>
        <v>1.248301686352884E-2</v>
      </c>
      <c r="CP389" s="134">
        <f>VLOOKUP($H389,RoR!$E:$F,2,FALSE)</f>
        <v>5.3133333333333324E-2</v>
      </c>
      <c r="CQ389" s="135">
        <v>7.7972502758210105E-3</v>
      </c>
      <c r="CR389" s="135">
        <f t="shared" si="725"/>
        <v>4.5336083057512314E-2</v>
      </c>
      <c r="CS389" s="135">
        <f t="shared" si="728"/>
        <v>1.8418924745004783E-2</v>
      </c>
      <c r="CT389" s="135">
        <f t="shared" si="729"/>
        <v>6.3720160300892073E-2</v>
      </c>
      <c r="CU389" s="139">
        <f t="shared" si="719"/>
        <v>0.87050000000000005</v>
      </c>
      <c r="CV389" s="335">
        <f t="shared" si="720"/>
        <v>0.96515780330083989</v>
      </c>
      <c r="CW389" s="335">
        <f t="shared" si="721"/>
        <v>0.50448557089084056</v>
      </c>
      <c r="CX389" s="335">
        <f t="shared" si="722"/>
        <v>0.87391435735465484</v>
      </c>
      <c r="CY389" s="335">
        <f t="shared" si="723"/>
        <v>0.42551605393279146</v>
      </c>
      <c r="CZ389" s="336">
        <f>INDEX('State Tax Lookup'!$D$7:$Z$91,MATCH(Calculation!$C389,'State Tax Lookup'!$B$7:$B$91,0),MATCH($H389,'State Tax Lookup'!$D$6:$Z$6,0))</f>
        <v>0.35</v>
      </c>
      <c r="DA389" s="303">
        <v>0.37</v>
      </c>
      <c r="DB389" s="57">
        <f t="shared" si="726"/>
        <v>13.504821783066424</v>
      </c>
      <c r="DC389" s="56">
        <f t="shared" si="730"/>
        <v>-5.1183244494018468E-2</v>
      </c>
      <c r="DD389" s="303">
        <f>VLOOKUP($H389,RoR!$E:$F,2,FALSE)</f>
        <v>5.3133333333333324E-2</v>
      </c>
      <c r="DE389" s="304">
        <f>HLOOKUP($H389,'GDP-PI'!$D$8:$CQ$11,3,FALSE)</f>
        <v>7.7972502758210105E-3</v>
      </c>
      <c r="DF389" s="303">
        <f>VLOOKUP(H389,'HW Dx Data'!$E:$F,2,FALSE)</f>
        <v>550.94063679692806</v>
      </c>
      <c r="DG389" s="89">
        <f ca="1">VLOOKUP(CC389,'ECI - Input Price'!M$13:N$33,2,FALSE)</f>
        <v>110.925</v>
      </c>
      <c r="DH389" s="89"/>
      <c r="DI389" s="89"/>
      <c r="DJ389" s="56">
        <f t="shared" ca="1" si="738"/>
        <v>2.7649425000884052E-2</v>
      </c>
      <c r="DK389" s="53">
        <f>HLOOKUP(H389,'GDP-PI'!$8:$9,2,FALSE)</f>
        <v>94.998999999999995</v>
      </c>
      <c r="DL389" s="355">
        <f t="shared" si="731"/>
        <v>7.7670088183096342E-3</v>
      </c>
      <c r="EC389"/>
    </row>
    <row r="390" spans="1:133" s="126" customFormat="1" ht="21" customHeight="1" x14ac:dyDescent="0.4">
      <c r="A390" s="233" t="s">
        <v>205</v>
      </c>
      <c r="B390" s="127" t="s">
        <v>205</v>
      </c>
      <c r="C390" s="127">
        <v>4057081</v>
      </c>
      <c r="D390" s="127" t="s">
        <v>206</v>
      </c>
      <c r="E390" s="127"/>
      <c r="F390" s="127"/>
      <c r="G390" s="127" t="s">
        <v>166</v>
      </c>
      <c r="H390" s="128">
        <v>2010</v>
      </c>
      <c r="I390" s="129"/>
      <c r="J390" s="125">
        <f>IFERROR(INDEX('Labor Expenditures'!$E$7:$W$91,MATCH($C390,'Labor Expenditures'!$C$7:$C$91,0),MATCH($G390,'Labor Expenditures'!$E$5:$W$5,0)),"NA")</f>
        <v>106779.14164816841</v>
      </c>
      <c r="K390" s="125">
        <f t="shared" ca="1" si="732"/>
        <v>913.22763864159435</v>
      </c>
      <c r="L390" s="47"/>
      <c r="M390" s="131">
        <f t="shared" ca="1" si="739"/>
        <v>-8.6508074635223017E-2</v>
      </c>
      <c r="N390" s="131"/>
      <c r="O390" s="131"/>
      <c r="P390" s="59">
        <f t="shared" ca="1" si="741"/>
        <v>-3.3343673899518455E-3</v>
      </c>
      <c r="Q390" s="61"/>
      <c r="R390" s="387"/>
      <c r="S390" s="49">
        <f t="shared" ca="1" si="746"/>
        <v>96.043508887799177</v>
      </c>
      <c r="T390" s="61">
        <f ca="1">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</f>
        <v>-0.19243918860361559</v>
      </c>
      <c r="U390" s="61"/>
      <c r="V390" s="125">
        <f>IFERROR(INDEX('Non-Labor Expenditures'!$E$7:$AA$91,MATCH($C390,'Non-Labor Expenditures'!$C$7:$C$91,0),MATCH($G390,'Non-Labor Expenditures'!$E$5:$AA$5,0)),"NA")</f>
        <v>154636.14069919862</v>
      </c>
      <c r="W390" s="125">
        <f t="shared" si="733"/>
        <v>1608.9662851470582</v>
      </c>
      <c r="X390" s="131">
        <f t="shared" si="742"/>
        <v>-4.5446267095397119E-2</v>
      </c>
      <c r="Y390" s="131">
        <f t="shared" si="743"/>
        <v>-1.7516810036162132E-3</v>
      </c>
      <c r="Z390" s="131"/>
      <c r="AA390" s="131"/>
      <c r="AB390" s="131"/>
      <c r="AC390" s="125">
        <f t="shared" si="713"/>
        <v>74593.901601018893</v>
      </c>
      <c r="AD390" s="129"/>
      <c r="AE390" s="133">
        <v>5857.8361951270608</v>
      </c>
      <c r="AF390" s="134">
        <v>2.5752805438077696E-2</v>
      </c>
      <c r="AG390" s="59">
        <f t="shared" si="734"/>
        <v>9.9261618079681414E-4</v>
      </c>
      <c r="AH390" s="134"/>
      <c r="AI390" s="134"/>
      <c r="AJ390" s="129">
        <f t="shared" si="664"/>
        <v>336009.18394838594</v>
      </c>
      <c r="AK390" s="134">
        <f t="shared" si="744"/>
        <v>-1.7070451489117937E-2</v>
      </c>
      <c r="AL390" s="129"/>
      <c r="AM390" s="129"/>
      <c r="AN390" s="129"/>
      <c r="AO390" s="129"/>
      <c r="AP390" s="133">
        <f t="shared" si="745"/>
        <v>197.1484569144915</v>
      </c>
      <c r="AQ390" s="134">
        <f>+BB390/Outputs!$B$18</f>
        <v>4.8185170360216766E-2</v>
      </c>
      <c r="AR390" s="93">
        <f t="shared" si="735"/>
        <v>0.31778637831688156</v>
      </c>
      <c r="AS390" s="93">
        <f t="shared" si="736"/>
        <v>0.4602140301110107</v>
      </c>
      <c r="AT390" s="93">
        <f t="shared" si="737"/>
        <v>0.22199959157210772</v>
      </c>
      <c r="AU390" s="93">
        <f t="shared" ca="1" si="740"/>
        <v>-4.3267333376102203E-2</v>
      </c>
      <c r="AV390" s="132">
        <f t="shared" ca="1" si="752"/>
        <v>93.958814733049635</v>
      </c>
      <c r="AW390" s="134">
        <f t="shared" ca="1" si="753"/>
        <v>-4.326733337610212E-2</v>
      </c>
      <c r="AX390" s="56">
        <f>+AJ390/$AL$15</f>
        <v>3.8544001863546382E-2</v>
      </c>
      <c r="AY390" s="135">
        <f t="shared" ca="1" si="747"/>
        <v>-1.6676961782791627E-3</v>
      </c>
      <c r="AZ390" s="93"/>
      <c r="BA390" s="93"/>
      <c r="BB390" s="234">
        <f>IFERROR(INDEX('Total Customers'!$E$7:$AA$91,MATCH($C390,'Total Customers'!$C$7:$C$91,0),MATCH($G390,'Total Customers'!$E$5:$AA$5,0)),"NA")</f>
        <v>1704346</v>
      </c>
      <c r="BC390" s="411">
        <f t="shared" si="754"/>
        <v>1.2182175199723366E-3</v>
      </c>
      <c r="BD390" s="92"/>
      <c r="BE390" s="281" t="str">
        <f t="shared" si="748"/>
        <v>CONSUMERS ENERGY COMPANY</v>
      </c>
      <c r="BF390" s="290">
        <f t="shared" si="749"/>
        <v>4057081</v>
      </c>
      <c r="BG390" s="46" t="str">
        <f t="shared" si="750"/>
        <v>MI</v>
      </c>
      <c r="BH390" s="46"/>
      <c r="BI390" s="46" t="str">
        <f t="shared" si="751"/>
        <v>2010 Y</v>
      </c>
      <c r="BJ390" s="129"/>
      <c r="BK390" s="129"/>
      <c r="BL390" s="129">
        <f>INDEX('Dist. Plant Gas Additions'!$E$7:$AD$91,MATCH($C390,'Dist. Plant Gas Additions'!$C$7:$C$91,0),MATCH(Calculation!$G390,'Dist. Plant Gas Additions'!$E$5:$AD$5,0))</f>
        <v>106197</v>
      </c>
      <c r="BM390" s="129">
        <f>INDEX('Gen. Plant Additions'!$E$7:$AD$91,MATCH($C390,'Gen. Plant Additions'!$C$7:$C$91,0),MATCH(Calculation!$G390,'Gen. Plant Additions'!$E$5:$AD$5,0))</f>
        <v>1173</v>
      </c>
      <c r="BN390" s="393">
        <f t="shared" si="714"/>
        <v>0.97655094571745171</v>
      </c>
      <c r="BO390" s="46">
        <f t="shared" si="708"/>
        <v>1145.494259326571</v>
      </c>
      <c r="BP390" s="46">
        <f t="shared" si="709"/>
        <v>-27.505740673429045</v>
      </c>
      <c r="BQ390" s="129">
        <f>INDEX('Dist Plant Depreciation'!$D$7:$AC$94,MATCH($C390,'Dist Plant Depreciation'!$C$7:$C$94,0),MATCH(Calculation!$G390,'Dist Plant Depreciation'!$D$5:$AC$5,0))</f>
        <v>1586520</v>
      </c>
      <c r="BR390" s="129">
        <f>INDEX('Gen. Plant Depreciation'!$D$7:$AC$94,MATCH($C390,'Gen. Plant Depreciation'!$C$7:$C$94,0),MATCH(Calculation!$G390,'Gen. Plant Depreciation'!$D$5:$AC$5,0))</f>
        <v>27958</v>
      </c>
      <c r="BS390" s="129"/>
      <c r="BT390" s="129"/>
      <c r="BU390" s="129"/>
      <c r="BV390" s="129"/>
      <c r="BW390" s="129"/>
      <c r="BX390" s="129"/>
      <c r="BY390" s="129">
        <f>INDEX('Gross Dx Plant'!$D$7:$AC$91,MATCH($C390,'Gross Dx Plant'!$C$7:$C$91,0),MATCH(Calculation!$G390,'Gross Dx Plant'!$D$5:$AC$5,0))</f>
        <v>2654410</v>
      </c>
      <c r="BZ390" s="129">
        <f>INDEX('Gross Gen Plant'!$D$7:$AC$91,MATCH($C390,'Gross Gen Plant'!$C$7:$C$91,0),MATCH(Calculation!$G390,'Gross Gen Plant'!$D$5:$AC$5,0))</f>
        <v>63738</v>
      </c>
      <c r="CA390" s="129">
        <f t="shared" si="626"/>
        <v>1103670</v>
      </c>
      <c r="CB390" s="129"/>
      <c r="CC390" s="133">
        <v>2010</v>
      </c>
      <c r="CD390" s="129"/>
      <c r="CE390" s="129"/>
      <c r="CF390" s="129"/>
      <c r="CG390" s="137"/>
      <c r="CH390" s="129">
        <f t="shared" si="715"/>
        <v>107370</v>
      </c>
      <c r="CI390" s="46">
        <f t="shared" si="724"/>
        <v>107342.49425932657</v>
      </c>
      <c r="CJ390" s="46">
        <f t="shared" si="716"/>
        <v>188.65461271819296</v>
      </c>
      <c r="CK390" s="443">
        <v>0.8666666666666667</v>
      </c>
      <c r="CL390" s="46">
        <f>+CL378*CK390+CJ379*CK389+CJ380*CK388+CJ381*CK387+CJ382*CK386+CJ383*CK385+CJ384*CK384+CJ385*CK383+CJ386*CK382+CJ387*CK381+CJ388*CK380+CJ389*CK379+CJ390</f>
        <v>5553.445211190573</v>
      </c>
      <c r="CM390" s="134">
        <f t="shared" si="717"/>
        <v>2.13381031139162E-2</v>
      </c>
      <c r="CN390" s="135">
        <f t="shared" si="718"/>
        <v>1.3136006134049642E-2</v>
      </c>
      <c r="CO390" s="135">
        <f t="shared" si="727"/>
        <v>1.281040876205305E-2</v>
      </c>
      <c r="CP390" s="134">
        <f>VLOOKUP($H390,RoR!$E:$F,2,FALSE)</f>
        <v>4.9433333333333322E-2</v>
      </c>
      <c r="CQ390" s="135">
        <v>1.1684333519300205E-2</v>
      </c>
      <c r="CR390" s="135">
        <f t="shared" si="725"/>
        <v>3.7748999814033117E-2</v>
      </c>
      <c r="CS390" s="135">
        <f t="shared" si="728"/>
        <v>1.8091532846480574E-2</v>
      </c>
      <c r="CT390" s="135">
        <f t="shared" si="729"/>
        <v>4.7937530248493419E-2</v>
      </c>
      <c r="CU390" s="139">
        <f t="shared" si="719"/>
        <v>0.87050000000000005</v>
      </c>
      <c r="CV390" s="335">
        <f t="shared" si="720"/>
        <v>1.037398205301105</v>
      </c>
      <c r="CW390" s="335">
        <f t="shared" si="721"/>
        <v>0.46926837491571133</v>
      </c>
      <c r="CX390" s="335">
        <f t="shared" si="722"/>
        <v>0.8548537519972772</v>
      </c>
      <c r="CY390" s="335">
        <f t="shared" si="723"/>
        <v>0.41615833911547367</v>
      </c>
      <c r="CZ390" s="336">
        <f>INDEX('State Tax Lookup'!$D$7:$Z$91,MATCH(Calculation!$C390,'State Tax Lookup'!$B$7:$B$91,0),MATCH($H390,'State Tax Lookup'!$D$6:$Z$6,0))</f>
        <v>0.35</v>
      </c>
      <c r="DA390" s="303">
        <v>0.37</v>
      </c>
      <c r="DB390" s="57">
        <f t="shared" si="726"/>
        <v>13.721697855828101</v>
      </c>
      <c r="DC390" s="56">
        <f t="shared" si="730"/>
        <v>1.5931574275365221E-2</v>
      </c>
      <c r="DD390" s="303">
        <f>VLOOKUP($H390,RoR!$E:$F,2,FALSE)</f>
        <v>4.9433333333333322E-2</v>
      </c>
      <c r="DE390" s="304">
        <f>HLOOKUP($H390,'GDP-PI'!$D$8:$CQ$11,3,FALSE)</f>
        <v>1.1684333519300205E-2</v>
      </c>
      <c r="DF390" s="303">
        <f>VLOOKUP(H390,'HW Dx Data'!$E:$F,2,FALSE)</f>
        <v>568.98950262971744</v>
      </c>
      <c r="DG390" s="89">
        <f ca="1">VLOOKUP(CC390,'ECI - Input Price'!M$13:N$33,2,FALSE)</f>
        <v>116.925</v>
      </c>
      <c r="DH390" s="89"/>
      <c r="DI390" s="89"/>
      <c r="DJ390" s="56">
        <f t="shared" ca="1" si="738"/>
        <v>5.2678406346976722E-2</v>
      </c>
      <c r="DK390" s="53">
        <f>HLOOKUP(H390,'GDP-PI'!$8:$9,2,FALSE)</f>
        <v>96.108999999999995</v>
      </c>
      <c r="DL390" s="355">
        <f t="shared" si="731"/>
        <v>1.1616598807150427E-2</v>
      </c>
      <c r="EC390"/>
    </row>
    <row r="391" spans="1:133" s="126" customFormat="1" ht="21" customHeight="1" x14ac:dyDescent="0.4">
      <c r="A391" s="233" t="s">
        <v>205</v>
      </c>
      <c r="B391" s="127" t="s">
        <v>205</v>
      </c>
      <c r="C391" s="127">
        <v>4057081</v>
      </c>
      <c r="D391" s="127" t="s">
        <v>206</v>
      </c>
      <c r="E391" s="127"/>
      <c r="F391" s="127"/>
      <c r="G391" s="127" t="s">
        <v>167</v>
      </c>
      <c r="H391" s="128">
        <v>2011</v>
      </c>
      <c r="I391" s="129"/>
      <c r="J391" s="125">
        <f>IFERROR(INDEX('Labor Expenditures'!$E$7:$W$91,MATCH($C391,'Labor Expenditures'!$C$7:$C$91,0),MATCH($G391,'Labor Expenditures'!$E$5:$W$5,0)),"NA")</f>
        <v>107757.50586358148</v>
      </c>
      <c r="K391" s="125">
        <f t="shared" ca="1" si="732"/>
        <v>891.47884892311458</v>
      </c>
      <c r="L391" s="47"/>
      <c r="M391" s="131">
        <f t="shared" ca="1" si="739"/>
        <v>-2.4103468149184869E-2</v>
      </c>
      <c r="N391" s="131"/>
      <c r="O391" s="131"/>
      <c r="P391" s="59">
        <f t="shared" ca="1" si="741"/>
        <v>-9.1496427003358478E-4</v>
      </c>
      <c r="Q391" s="61"/>
      <c r="R391" s="387"/>
      <c r="S391" s="49">
        <f t="shared" ca="1" si="746"/>
        <v>115.19461334165248</v>
      </c>
      <c r="T391" s="61">
        <f ca="1">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</f>
        <v>0.1818216816044913</v>
      </c>
      <c r="U391" s="61"/>
      <c r="V391" s="125">
        <f>IFERROR(INDEX('Non-Labor Expenditures'!$E$7:$AA$91,MATCH($C391,'Non-Labor Expenditures'!$C$7:$C$91,0),MATCH($G391,'Non-Labor Expenditures'!$E$5:$AA$5,0)),"NA")</f>
        <v>156052.99481634604</v>
      </c>
      <c r="W391" s="125">
        <f t="shared" si="733"/>
        <v>1590.5597155938729</v>
      </c>
      <c r="X391" s="131">
        <f t="shared" si="742"/>
        <v>-1.1505937200525456E-2</v>
      </c>
      <c r="Y391" s="131">
        <f t="shared" si="743"/>
        <v>-4.3676376223423526E-4</v>
      </c>
      <c r="Z391" s="131"/>
      <c r="AA391" s="131"/>
      <c r="AB391" s="131"/>
      <c r="AC391" s="125">
        <f t="shared" si="713"/>
        <v>80587.225803074325</v>
      </c>
      <c r="AD391" s="129"/>
      <c r="AE391" s="133">
        <v>5983.1320095000701</v>
      </c>
      <c r="AF391" s="134">
        <v>2.1163892841731986E-2</v>
      </c>
      <c r="AG391" s="59">
        <f t="shared" si="734"/>
        <v>8.0337840368665679E-4</v>
      </c>
      <c r="AH391" s="134"/>
      <c r="AI391" s="134"/>
      <c r="AJ391" s="129">
        <f t="shared" si="664"/>
        <v>344397.72648300184</v>
      </c>
      <c r="AK391" s="134">
        <f t="shared" si="744"/>
        <v>2.4658678377394647E-2</v>
      </c>
      <c r="AL391" s="129"/>
      <c r="AM391" s="129"/>
      <c r="AN391" s="129"/>
      <c r="AO391" s="129"/>
      <c r="AP391" s="133">
        <f t="shared" si="745"/>
        <v>201.64061040774638</v>
      </c>
      <c r="AQ391" s="134">
        <f>+BB391/Outputs!$B$19</f>
        <v>4.8054865633291803E-2</v>
      </c>
      <c r="AR391" s="93">
        <f t="shared" si="735"/>
        <v>0.31288680957334941</v>
      </c>
      <c r="AS391" s="93">
        <f t="shared" si="736"/>
        <v>0.45311853945716513</v>
      </c>
      <c r="AT391" s="93">
        <f t="shared" si="737"/>
        <v>0.23399465096948543</v>
      </c>
      <c r="AU391" s="93">
        <f t="shared" ca="1" si="740"/>
        <v>-8.0297724999530105E-3</v>
      </c>
      <c r="AV391" s="132">
        <f t="shared" ca="1" si="752"/>
        <v>93.207367837783281</v>
      </c>
      <c r="AW391" s="134">
        <f t="shared" ca="1" si="753"/>
        <v>-8.0297724999530175E-3</v>
      </c>
      <c r="AX391" s="56">
        <f>+AJ391/$AL$16</f>
        <v>3.795985973348516E-2</v>
      </c>
      <c r="AY391" s="135">
        <f t="shared" ca="1" si="747"/>
        <v>-3.04809037790013E-4</v>
      </c>
      <c r="AZ391" s="93"/>
      <c r="BA391" s="93"/>
      <c r="BB391" s="234">
        <f>IFERROR(INDEX('Total Customers'!$E$7:$AA$91,MATCH($C391,'Total Customers'!$C$7:$C$91,0),MATCH($G391,'Total Customers'!$E$5:$AA$5,0)),"NA")</f>
        <v>1707978</v>
      </c>
      <c r="BC391" s="411">
        <f t="shared" si="754"/>
        <v>2.1287552832404341E-3</v>
      </c>
      <c r="BD391" s="92"/>
      <c r="BE391" s="281" t="str">
        <f t="shared" si="748"/>
        <v>CONSUMERS ENERGY COMPANY</v>
      </c>
      <c r="BF391" s="290">
        <f t="shared" si="749"/>
        <v>4057081</v>
      </c>
      <c r="BG391" s="46" t="str">
        <f t="shared" si="750"/>
        <v>MI</v>
      </c>
      <c r="BH391" s="46"/>
      <c r="BI391" s="46" t="str">
        <f t="shared" si="751"/>
        <v>2011 Y</v>
      </c>
      <c r="BJ391" s="129"/>
      <c r="BK391" s="129"/>
      <c r="BL391" s="129">
        <f>INDEX('Dist. Plant Gas Additions'!$E$7:$AD$91,MATCH($C391,'Dist. Plant Gas Additions'!$C$7:$C$91,0),MATCH(Calculation!$G391,'Dist. Plant Gas Additions'!$E$5:$AD$5,0))</f>
        <v>97700</v>
      </c>
      <c r="BM391" s="129">
        <f>INDEX('Gen. Plant Additions'!$E$7:$AD$91,MATCH($C391,'Gen. Plant Additions'!$C$7:$C$91,0),MATCH(Calculation!$G391,'Gen. Plant Additions'!$E$5:$AD$5,0))</f>
        <v>4689</v>
      </c>
      <c r="BN391" s="393">
        <f t="shared" si="714"/>
        <v>0.97595812850920538</v>
      </c>
      <c r="BO391" s="46">
        <f t="shared" si="708"/>
        <v>4576.2676645796637</v>
      </c>
      <c r="BP391" s="46">
        <f t="shared" si="709"/>
        <v>-112.73233542033631</v>
      </c>
      <c r="BQ391" s="129">
        <f>INDEX('Dist Plant Depreciation'!$D$7:$AC$94,MATCH($C391,'Dist Plant Depreciation'!$C$7:$C$94,0),MATCH(Calculation!$G391,'Dist Plant Depreciation'!$D$5:$AC$5,0))</f>
        <v>1647763</v>
      </c>
      <c r="BR391" s="129">
        <f>INDEX('Gen. Plant Depreciation'!$D$7:$AC$94,MATCH($C391,'Gen. Plant Depreciation'!$C$7:$C$94,0),MATCH(Calculation!$G391,'Gen. Plant Depreciation'!$D$5:$AC$5,0))</f>
        <v>32081</v>
      </c>
      <c r="BS391" s="129"/>
      <c r="BT391" s="129"/>
      <c r="BU391" s="129"/>
      <c r="BV391" s="129"/>
      <c r="BW391" s="129"/>
      <c r="BX391" s="129"/>
      <c r="BY391" s="129">
        <f>INDEX('Gross Dx Plant'!$D$7:$AC$91,MATCH($C391,'Gross Dx Plant'!$C$7:$C$91,0),MATCH(Calculation!$G391,'Gross Dx Plant'!$D$5:$AC$5,0))</f>
        <v>2742375</v>
      </c>
      <c r="BZ391" s="129">
        <f>INDEX('Gross Gen Plant'!$D$7:$AC$91,MATCH($C391,'Gross Gen Plant'!$C$7:$C$91,0),MATCH(Calculation!$G391,'Gross Gen Plant'!$D$5:$AC$5,0))</f>
        <v>67556</v>
      </c>
      <c r="CA391" s="129">
        <f t="shared" si="626"/>
        <v>1130087</v>
      </c>
      <c r="CB391" s="129"/>
      <c r="CC391" s="133">
        <v>2011</v>
      </c>
      <c r="CD391" s="129"/>
      <c r="CE391" s="129"/>
      <c r="CF391" s="129"/>
      <c r="CG391" s="137"/>
      <c r="CH391" s="129">
        <f t="shared" si="715"/>
        <v>102389</v>
      </c>
      <c r="CI391" s="46">
        <f t="shared" si="724"/>
        <v>102276.26766457966</v>
      </c>
      <c r="CJ391" s="46">
        <f t="shared" si="716"/>
        <v>167.22434944842655</v>
      </c>
      <c r="CK391" s="443">
        <v>0.8539325842696629</v>
      </c>
      <c r="CL391" s="46">
        <f>+CL378*CK391+CJ379*CK390+CJ380*CK389+CJ381*CK388+CJ382*CK387+CJ383*CK386+CJ384*CK385+CJ385*CK384+CJ386*CK383+CJ387*CK382+CJ388*CK381+CJ389*CK380+CJ390*CK379+CJ391</f>
        <v>5645.8214422868023</v>
      </c>
      <c r="CM391" s="134">
        <f t="shared" si="717"/>
        <v>1.6497209865979075E-2</v>
      </c>
      <c r="CN391" s="135">
        <f t="shared" si="718"/>
        <v>1.3477781000048976E-2</v>
      </c>
      <c r="CO391" s="135">
        <f t="shared" si="727"/>
        <v>1.3145079266312398E-2</v>
      </c>
      <c r="CP391" s="134">
        <f>VLOOKUP($H391,RoR!$E:$F,2,FALSE)</f>
        <v>4.6391666666666664E-2</v>
      </c>
      <c r="CQ391" s="135">
        <v>2.0840920205183799E-2</v>
      </c>
      <c r="CR391" s="135">
        <f t="shared" si="725"/>
        <v>2.5550746461482865E-2</v>
      </c>
      <c r="CS391" s="135">
        <f t="shared" si="728"/>
        <v>1.7756862342221229E-2</v>
      </c>
      <c r="CT391" s="135">
        <f t="shared" si="729"/>
        <v>2.4810540821321614E-2</v>
      </c>
      <c r="CU391" s="139">
        <f t="shared" si="719"/>
        <v>0.87050000000000005</v>
      </c>
      <c r="CV391" s="335">
        <f t="shared" si="720"/>
        <v>1.1054151524782025</v>
      </c>
      <c r="CW391" s="335">
        <f t="shared" si="721"/>
        <v>0.43611011316687626</v>
      </c>
      <c r="CX391" s="335">
        <f t="shared" si="722"/>
        <v>0.83698442246886229</v>
      </c>
      <c r="CY391" s="335">
        <f t="shared" si="723"/>
        <v>0.40349573304423936</v>
      </c>
      <c r="CZ391" s="336">
        <f>INDEX('State Tax Lookup'!$D$7:$Z$91,MATCH(Calculation!$C391,'State Tax Lookup'!$B$7:$B$91,0),MATCH($H391,'State Tax Lookup'!$D$6:$Z$6,0))</f>
        <v>0.35</v>
      </c>
      <c r="DA391" s="303">
        <v>0.37</v>
      </c>
      <c r="DB391" s="57">
        <f t="shared" si="726"/>
        <v>14.51121290270147</v>
      </c>
      <c r="DC391" s="56">
        <f t="shared" si="730"/>
        <v>5.5943289149836907E-2</v>
      </c>
      <c r="DD391" s="303">
        <f>VLOOKUP($H391,RoR!$E:$F,2,FALSE)</f>
        <v>4.6391666666666664E-2</v>
      </c>
      <c r="DE391" s="304">
        <f>HLOOKUP($H391,'GDP-PI'!$D$8:$CQ$11,3,FALSE)</f>
        <v>2.0840920205183799E-2</v>
      </c>
      <c r="DF391" s="303">
        <f>VLOOKUP(H391,'HW Dx Data'!$E:$F,2,FALSE)</f>
        <v>611.61109612283201</v>
      </c>
      <c r="DG391" s="89">
        <f ca="1">VLOOKUP(CC391,'ECI - Input Price'!M$13:N$33,2,FALSE)</f>
        <v>120.875</v>
      </c>
      <c r="DH391" s="89"/>
      <c r="DI391" s="89"/>
      <c r="DJ391" s="56">
        <f t="shared" ca="1" si="738"/>
        <v>3.3224250161508609E-2</v>
      </c>
      <c r="DK391" s="53">
        <f>HLOOKUP(H391,'GDP-PI'!$8:$9,2,FALSE)</f>
        <v>98.111999999999995</v>
      </c>
      <c r="DL391" s="355">
        <f t="shared" si="731"/>
        <v>2.0626719212849295E-2</v>
      </c>
      <c r="EC391"/>
    </row>
    <row r="392" spans="1:133" s="126" customFormat="1" ht="21" customHeight="1" x14ac:dyDescent="0.4">
      <c r="A392" s="233" t="s">
        <v>205</v>
      </c>
      <c r="B392" s="127" t="s">
        <v>205</v>
      </c>
      <c r="C392" s="127">
        <v>4057081</v>
      </c>
      <c r="D392" s="127" t="s">
        <v>206</v>
      </c>
      <c r="E392" s="127"/>
      <c r="F392" s="127"/>
      <c r="G392" s="127" t="s">
        <v>168</v>
      </c>
      <c r="H392" s="128">
        <v>2012</v>
      </c>
      <c r="I392" s="129"/>
      <c r="J392" s="125">
        <f>IFERROR(INDEX('Labor Expenditures'!$E$7:$W$91,MATCH($C392,'Labor Expenditures'!$C$7:$C$91,0),MATCH($G392,'Labor Expenditures'!$E$5:$W$5,0)),"NA")</f>
        <v>110647.19852325744</v>
      </c>
      <c r="K392" s="125">
        <f t="shared" ca="1" si="732"/>
        <v>886.59614201328066</v>
      </c>
      <c r="L392" s="47"/>
      <c r="M392" s="131">
        <f t="shared" ca="1" si="739"/>
        <v>-5.4921408917582926E-3</v>
      </c>
      <c r="N392" s="131"/>
      <c r="O392" s="131"/>
      <c r="P392" s="59">
        <f t="shared" ca="1" si="741"/>
        <v>-2.0969846928899134E-4</v>
      </c>
      <c r="Q392" s="61"/>
      <c r="R392" s="387"/>
      <c r="S392" s="49">
        <f t="shared" ca="1" si="746"/>
        <v>113.85501949864268</v>
      </c>
      <c r="T392" s="61">
        <f ca="1">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</f>
        <v>-1.1697107742334085E-2</v>
      </c>
      <c r="U392" s="61"/>
      <c r="V392" s="125">
        <f>IFERROR(INDEX('Non-Labor Expenditures'!$E$7:$AA$91,MATCH($C392,'Non-Labor Expenditures'!$C$7:$C$91,0),MATCH($G392,'Non-Labor Expenditures'!$E$5:$AA$5,0)),"NA")</f>
        <v>160237.80950769695</v>
      </c>
      <c r="W392" s="125">
        <f t="shared" si="733"/>
        <v>1602.3780950769694</v>
      </c>
      <c r="X392" s="131">
        <f t="shared" si="742"/>
        <v>7.4028585313682385E-3</v>
      </c>
      <c r="Y392" s="131">
        <f t="shared" si="743"/>
        <v>2.8265263637362447E-4</v>
      </c>
      <c r="Z392" s="131"/>
      <c r="AA392" s="131"/>
      <c r="AB392" s="131"/>
      <c r="AC392" s="125">
        <f t="shared" si="713"/>
        <v>87577.169591162849</v>
      </c>
      <c r="AD392" s="129"/>
      <c r="AE392" s="133">
        <v>6137.4512582809566</v>
      </c>
      <c r="AF392" s="134">
        <v>2.546537320204386E-2</v>
      </c>
      <c r="AG392" s="59">
        <f t="shared" si="734"/>
        <v>9.7230750004155422E-4</v>
      </c>
      <c r="AH392" s="134"/>
      <c r="AI392" s="134"/>
      <c r="AJ392" s="129">
        <f t="shared" si="664"/>
        <v>358462.17762211722</v>
      </c>
      <c r="AK392" s="134">
        <f t="shared" si="744"/>
        <v>4.0025981575783007E-2</v>
      </c>
      <c r="AL392" s="129"/>
      <c r="AM392" s="129"/>
      <c r="AN392" s="129"/>
      <c r="AO392" s="129"/>
      <c r="AP392" s="133">
        <f t="shared" si="745"/>
        <v>209.53449069102075</v>
      </c>
      <c r="AQ392" s="134">
        <f>+BB392/Outputs!$B$20</f>
        <v>4.7902329319032336E-2</v>
      </c>
      <c r="AR392" s="93">
        <f t="shared" si="735"/>
        <v>0.30867189184991012</v>
      </c>
      <c r="AS392" s="93">
        <f t="shared" si="736"/>
        <v>0.44701455135558554</v>
      </c>
      <c r="AT392" s="93">
        <f t="shared" si="737"/>
        <v>0.24431355679450437</v>
      </c>
      <c r="AU392" s="93">
        <f t="shared" ca="1" si="740"/>
        <v>7.7150834931429503E-3</v>
      </c>
      <c r="AV392" s="132">
        <f t="shared" ca="1" si="752"/>
        <v>93.929251578804028</v>
      </c>
      <c r="AW392" s="134">
        <f t="shared" ca="1" si="753"/>
        <v>7.7150834931430179E-3</v>
      </c>
      <c r="AX392" s="56">
        <f>+AJ392/$AL$17</f>
        <v>3.8181553135986104E-2</v>
      </c>
      <c r="AY392" s="135">
        <f t="shared" ca="1" si="747"/>
        <v>2.9457387034200941E-4</v>
      </c>
      <c r="AZ392" s="93"/>
      <c r="BA392" s="93"/>
      <c r="BB392" s="234">
        <f>IFERROR(INDEX('Total Customers'!$E$7:$AA$91,MATCH($C392,'Total Customers'!$C$7:$C$91,0),MATCH($G392,'Total Customers'!$E$5:$AA$5,0)),"NA")</f>
        <v>1710755</v>
      </c>
      <c r="BC392" s="411">
        <f t="shared" si="754"/>
        <v>1.6245788195615291E-3</v>
      </c>
      <c r="BD392" s="92"/>
      <c r="BE392" s="281" t="str">
        <f t="shared" si="748"/>
        <v>CONSUMERS ENERGY COMPANY</v>
      </c>
      <c r="BF392" s="290">
        <f t="shared" si="749"/>
        <v>4057081</v>
      </c>
      <c r="BG392" s="46" t="str">
        <f t="shared" si="750"/>
        <v>MI</v>
      </c>
      <c r="BH392" s="46"/>
      <c r="BI392" s="46" t="str">
        <f t="shared" si="751"/>
        <v>2012 Y</v>
      </c>
      <c r="BJ392" s="129"/>
      <c r="BK392" s="129"/>
      <c r="BL392" s="129">
        <f>INDEX('Dist. Plant Gas Additions'!$E$7:$AD$91,MATCH($C392,'Dist. Plant Gas Additions'!$C$7:$C$91,0),MATCH(Calculation!$G392,'Dist. Plant Gas Additions'!$E$5:$AD$5,0))</f>
        <v>128481</v>
      </c>
      <c r="BM392" s="129">
        <f>INDEX('Gen. Plant Additions'!$E$7:$AD$91,MATCH($C392,'Gen. Plant Additions'!$C$7:$C$91,0),MATCH(Calculation!$G392,'Gen. Plant Additions'!$E$5:$AD$5,0))</f>
        <v>4480</v>
      </c>
      <c r="BN392" s="393">
        <f t="shared" si="714"/>
        <v>0.97625754746852722</v>
      </c>
      <c r="BO392" s="46">
        <f t="shared" si="708"/>
        <v>4373.6338126590017</v>
      </c>
      <c r="BP392" s="46">
        <f t="shared" si="709"/>
        <v>-106.36618734099829</v>
      </c>
      <c r="BQ392" s="129">
        <f>INDEX('Dist Plant Depreciation'!$D$7:$AC$94,MATCH($C392,'Dist Plant Depreciation'!$C$7:$C$94,0),MATCH(Calculation!$G392,'Dist Plant Depreciation'!$D$5:$AC$5,0))</f>
        <v>1714727</v>
      </c>
      <c r="BR392" s="129">
        <f>INDEX('Gen. Plant Depreciation'!$D$7:$AC$94,MATCH($C392,'Gen. Plant Depreciation'!$C$7:$C$94,0),MATCH(Calculation!$G392,'Gen. Plant Depreciation'!$D$5:$AC$5,0))</f>
        <v>34927</v>
      </c>
      <c r="BS392" s="129"/>
      <c r="BT392" s="129"/>
      <c r="BU392" s="129"/>
      <c r="BV392" s="129"/>
      <c r="BW392" s="129"/>
      <c r="BX392" s="129"/>
      <c r="BY392" s="129">
        <f>INDEX('Gross Dx Plant'!$D$7:$AC$91,MATCH($C392,'Gross Dx Plant'!$C$7:$C$91,0),MATCH(Calculation!$G392,'Gross Dx Plant'!$D$5:$AC$5,0))</f>
        <v>2861200</v>
      </c>
      <c r="BZ392" s="129">
        <f>INDEX('Gross Gen Plant'!$D$7:$AC$91,MATCH($C392,'Gross Gen Plant'!$C$7:$C$91,0),MATCH(Calculation!$G392,'Gross Gen Plant'!$D$5:$AC$5,0))</f>
        <v>69584</v>
      </c>
      <c r="CA392" s="129">
        <f t="shared" si="626"/>
        <v>1181130</v>
      </c>
      <c r="CB392" s="129"/>
      <c r="CC392" s="133">
        <v>2012</v>
      </c>
      <c r="CD392" s="129"/>
      <c r="CE392" s="129"/>
      <c r="CF392" s="129"/>
      <c r="CG392" s="137"/>
      <c r="CH392" s="129">
        <f t="shared" si="715"/>
        <v>132961</v>
      </c>
      <c r="CI392" s="46">
        <f t="shared" si="724"/>
        <v>132854.63381265901</v>
      </c>
      <c r="CJ392" s="46">
        <f t="shared" si="716"/>
        <v>198.61084800640745</v>
      </c>
      <c r="CK392" s="443">
        <v>0.84090909090909094</v>
      </c>
      <c r="CL392" s="46">
        <f>+CL378*CK392+CJ379*CK391+CJ380*CK390+CJ381*CK389+CJ382*CK388+CJ383*CK387+CJ384*CK386+CJ385*CK385+CJ386*CK384+CJ387*CK383+CJ388*CK382+CJ389*CK381+CJ390*CK380+CJ391*CK379+CJ392</f>
        <v>5766.2684089719278</v>
      </c>
      <c r="CM392" s="134">
        <f t="shared" si="717"/>
        <v>2.1109444616373676E-2</v>
      </c>
      <c r="CN392" s="135">
        <f t="shared" si="718"/>
        <v>1.3844554263767538E-2</v>
      </c>
      <c r="CO392" s="135">
        <f t="shared" si="727"/>
        <v>1.3486113799288718E-2</v>
      </c>
      <c r="CP392" s="134">
        <f>VLOOKUP($H392,RoR!$E:$F,2,FALSE)</f>
        <v>3.6733333333333333E-2</v>
      </c>
      <c r="CQ392" s="135">
        <v>1.924331376386168E-2</v>
      </c>
      <c r="CR392" s="135">
        <f t="shared" si="725"/>
        <v>1.7490019569471653E-2</v>
      </c>
      <c r="CS392" s="135">
        <f t="shared" si="728"/>
        <v>1.7415827809244909E-2</v>
      </c>
      <c r="CT392" s="135">
        <f t="shared" si="729"/>
        <v>6.7122682943869583E-2</v>
      </c>
      <c r="CU392" s="139">
        <f t="shared" si="719"/>
        <v>0.87050000000000005</v>
      </c>
      <c r="CV392" s="335">
        <f t="shared" si="720"/>
        <v>1.3960631020522127</v>
      </c>
      <c r="CW392" s="335">
        <f t="shared" si="721"/>
        <v>0.29441923774954631</v>
      </c>
      <c r="CX392" s="335">
        <f t="shared" si="722"/>
        <v>0.76377954189366437</v>
      </c>
      <c r="CY392" s="335">
        <f t="shared" si="723"/>
        <v>0.31393465103033691</v>
      </c>
      <c r="CZ392" s="336">
        <f>INDEX('State Tax Lookup'!$D$7:$Z$91,MATCH(Calculation!$C392,'State Tax Lookup'!$B$7:$B$91,0),MATCH($H392,'State Tax Lookup'!$D$6:$Z$6,0))</f>
        <v>0.35</v>
      </c>
      <c r="DA392" s="303">
        <v>0.37</v>
      </c>
      <c r="DB392" s="57">
        <f t="shared" si="726"/>
        <v>15.511856066721498</v>
      </c>
      <c r="DC392" s="56">
        <f t="shared" si="730"/>
        <v>6.6682984847035207E-2</v>
      </c>
      <c r="DD392" s="303">
        <f>VLOOKUP($H392,RoR!$E:$F,2,FALSE)</f>
        <v>3.6733333333333333E-2</v>
      </c>
      <c r="DE392" s="304">
        <f>HLOOKUP($H392,'GDP-PI'!$D$8:$CQ$11,3,FALSE)</f>
        <v>1.924331376386168E-2</v>
      </c>
      <c r="DF392" s="303">
        <f>VLOOKUP(H392,'HW Dx Data'!$E:$F,2,FALSE)</f>
        <v>668.91932211262167</v>
      </c>
      <c r="DG392" s="89">
        <f ca="1">VLOOKUP(CC392,'ECI - Input Price'!M$13:N$33,2,FALSE)</f>
        <v>124.80000000000001</v>
      </c>
      <c r="DH392" s="89"/>
      <c r="DI392" s="89"/>
      <c r="DJ392" s="56">
        <f t="shared" ca="1" si="738"/>
        <v>3.1955502161869064E-2</v>
      </c>
      <c r="DK392" s="53">
        <f>HLOOKUP(H392,'GDP-PI'!$8:$9,2,FALSE)</f>
        <v>100</v>
      </c>
      <c r="DL392" s="355">
        <f t="shared" si="731"/>
        <v>1.9060502738742411E-2</v>
      </c>
      <c r="EC392"/>
    </row>
    <row r="393" spans="1:133" s="126" customFormat="1" ht="21" customHeight="1" x14ac:dyDescent="0.4">
      <c r="A393" s="233" t="s">
        <v>205</v>
      </c>
      <c r="B393" s="127" t="s">
        <v>205</v>
      </c>
      <c r="C393" s="127">
        <v>4057081</v>
      </c>
      <c r="D393" s="127" t="s">
        <v>206</v>
      </c>
      <c r="E393" s="127"/>
      <c r="F393" s="127"/>
      <c r="G393" s="127" t="s">
        <v>169</v>
      </c>
      <c r="H393" s="128">
        <v>2013</v>
      </c>
      <c r="I393" s="129"/>
      <c r="J393" s="125">
        <f>IFERROR(INDEX('Labor Expenditures'!$E$7:$W$91,MATCH($C393,'Labor Expenditures'!$C$7:$C$91,0),MATCH($G393,'Labor Expenditures'!$E$5:$W$5,0)),"NA")</f>
        <v>110877.57693443171</v>
      </c>
      <c r="K393" s="125">
        <f t="shared" ca="1" si="732"/>
        <v>874.42884017690619</v>
      </c>
      <c r="L393" s="47"/>
      <c r="M393" s="131">
        <f t="shared" ca="1" si="739"/>
        <v>-1.381865172409206E-2</v>
      </c>
      <c r="N393" s="131"/>
      <c r="O393" s="131"/>
      <c r="P393" s="59">
        <f t="shared" ca="1" si="741"/>
        <v>-5.0900445482508294E-4</v>
      </c>
      <c r="Q393" s="61"/>
      <c r="R393" s="387"/>
      <c r="S393" s="49">
        <f t="shared" ca="1" si="746"/>
        <v>106.86563246768631</v>
      </c>
      <c r="T393" s="61">
        <f ca="1">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</f>
        <v>-6.3353606248835931E-2</v>
      </c>
      <c r="U393" s="61"/>
      <c r="V393" s="125">
        <f>IFERROR(INDEX('Non-Labor Expenditures'!$E$7:$AA$91,MATCH($C393,'Non-Labor Expenditures'!$C$7:$C$91,0),MATCH($G393,'Non-Labor Expenditures'!$E$5:$AA$5,0)),"NA")</f>
        <v>160571.44047582915</v>
      </c>
      <c r="W393" s="125">
        <f t="shared" si="733"/>
        <v>1577.741055838279</v>
      </c>
      <c r="X393" s="131">
        <f t="shared" si="742"/>
        <v>-1.549472267280415E-2</v>
      </c>
      <c r="Y393" s="131">
        <f t="shared" si="743"/>
        <v>-5.7074185124632532E-4</v>
      </c>
      <c r="Z393" s="131"/>
      <c r="AA393" s="131"/>
      <c r="AB393" s="131"/>
      <c r="AC393" s="125">
        <f t="shared" si="713"/>
        <v>86972.914453536738</v>
      </c>
      <c r="AD393" s="129"/>
      <c r="AE393" s="133">
        <v>6375.6905264665056</v>
      </c>
      <c r="AF393" s="134">
        <v>3.8082851590811068E-2</v>
      </c>
      <c r="AG393" s="59">
        <f t="shared" si="734"/>
        <v>1.4027664564676592E-3</v>
      </c>
      <c r="AH393" s="134"/>
      <c r="AI393" s="134"/>
      <c r="AJ393" s="129">
        <f t="shared" si="664"/>
        <v>358421.9318637976</v>
      </c>
      <c r="AK393" s="134">
        <f t="shared" si="744"/>
        <v>-1.1227967764767705E-4</v>
      </c>
      <c r="AL393" s="129"/>
      <c r="AM393" s="129"/>
      <c r="AN393" s="129"/>
      <c r="AO393" s="129"/>
      <c r="AP393" s="133">
        <f t="shared" si="745"/>
        <v>208.57134569388069</v>
      </c>
      <c r="AQ393" s="134">
        <f>+BB393/Outputs!$B$21</f>
        <v>4.7811458265864408E-2</v>
      </c>
      <c r="AR393" s="93">
        <f t="shared" si="735"/>
        <v>0.30934930894955898</v>
      </c>
      <c r="AS393" s="93">
        <f t="shared" si="736"/>
        <v>0.44799557783993871</v>
      </c>
      <c r="AT393" s="93">
        <f t="shared" si="737"/>
        <v>0.24265511321050226</v>
      </c>
      <c r="AU393" s="93">
        <f t="shared" ca="1" si="740"/>
        <v>-1.9314989420064869E-3</v>
      </c>
      <c r="AV393" s="132">
        <f t="shared" ca="1" si="752"/>
        <v>93.748002426377852</v>
      </c>
      <c r="AW393" s="134">
        <f t="shared" ca="1" si="753"/>
        <v>-1.9314989420064564E-3</v>
      </c>
      <c r="AX393" s="56">
        <f>+AJ393/$AL$18</f>
        <v>3.6834596094325295E-2</v>
      </c>
      <c r="AY393" s="135">
        <f t="shared" ca="1" si="747"/>
        <v>-7.1145983385424453E-5</v>
      </c>
      <c r="AZ393" s="93"/>
      <c r="BA393" s="93"/>
      <c r="BB393" s="234">
        <f>IFERROR(INDEX('Total Customers'!$E$7:$AA$91,MATCH($C393,'Total Customers'!$C$7:$C$91,0),MATCH($G393,'Total Customers'!$E$5:$AA$5,0)),"NA")</f>
        <v>1718462</v>
      </c>
      <c r="BC393" s="411">
        <f t="shared" si="754"/>
        <v>4.4949112151026474E-3</v>
      </c>
      <c r="BD393" s="92"/>
      <c r="BE393" s="281" t="str">
        <f t="shared" si="748"/>
        <v>CONSUMERS ENERGY COMPANY</v>
      </c>
      <c r="BF393" s="290">
        <f t="shared" si="749"/>
        <v>4057081</v>
      </c>
      <c r="BG393" s="46" t="str">
        <f t="shared" si="750"/>
        <v>MI</v>
      </c>
      <c r="BH393" s="46"/>
      <c r="BI393" s="46" t="str">
        <f t="shared" si="751"/>
        <v>2013 Y</v>
      </c>
      <c r="BJ393" s="129"/>
      <c r="BK393" s="129"/>
      <c r="BL393" s="129">
        <f>INDEX('Dist. Plant Gas Additions'!$E$7:$AD$91,MATCH($C393,'Dist. Plant Gas Additions'!$C$7:$C$91,0),MATCH(Calculation!$G393,'Dist. Plant Gas Additions'!$E$5:$AD$5,0))</f>
        <v>163183</v>
      </c>
      <c r="BM393" s="129">
        <f>INDEX('Gen. Plant Additions'!$E$7:$AD$91,MATCH($C393,'Gen. Plant Additions'!$C$7:$C$91,0),MATCH(Calculation!$G393,'Gen. Plant Additions'!$E$5:$AD$5,0))</f>
        <v>26036</v>
      </c>
      <c r="BN393" s="393">
        <f t="shared" si="714"/>
        <v>0.96952823777950514</v>
      </c>
      <c r="BO393" s="46">
        <f t="shared" si="708"/>
        <v>25242.637198827197</v>
      </c>
      <c r="BP393" s="46">
        <f t="shared" si="709"/>
        <v>-793.3628011728033</v>
      </c>
      <c r="BQ393" s="129">
        <f>INDEX('Dist Plant Depreciation'!$D$7:$AC$94,MATCH($C393,'Dist Plant Depreciation'!$C$7:$C$94,0),MATCH(Calculation!$G393,'Dist Plant Depreciation'!$D$5:$AC$5,0))</f>
        <v>1776417</v>
      </c>
      <c r="BR393" s="129">
        <f>INDEX('Gen. Plant Depreciation'!$D$7:$AC$94,MATCH($C393,'Gen. Plant Depreciation'!$C$7:$C$94,0),MATCH(Calculation!$G393,'Gen. Plant Depreciation'!$D$5:$AC$5,0))</f>
        <v>38751</v>
      </c>
      <c r="BS393" s="129"/>
      <c r="BT393" s="129"/>
      <c r="BU393" s="129"/>
      <c r="BV393" s="129"/>
      <c r="BW393" s="129"/>
      <c r="BX393" s="129"/>
      <c r="BY393" s="129">
        <f>INDEX('Gross Dx Plant'!$D$7:$AC$91,MATCH($C393,'Gross Dx Plant'!$C$7:$C$91,0),MATCH(Calculation!$G393,'Gross Dx Plant'!$D$5:$AC$5,0))</f>
        <v>3014718</v>
      </c>
      <c r="BZ393" s="129">
        <f>INDEX('Gross Gen Plant'!$D$7:$AC$91,MATCH($C393,'Gross Gen Plant'!$C$7:$C$91,0),MATCH(Calculation!$G393,'Gross Gen Plant'!$D$5:$AC$5,0))</f>
        <v>94751</v>
      </c>
      <c r="CA393" s="129">
        <f t="shared" si="626"/>
        <v>1294301</v>
      </c>
      <c r="CB393" s="129"/>
      <c r="CC393" s="133">
        <v>2013</v>
      </c>
      <c r="CD393" s="129"/>
      <c r="CE393" s="129"/>
      <c r="CF393" s="129"/>
      <c r="CG393" s="137"/>
      <c r="CH393" s="129">
        <f t="shared" si="715"/>
        <v>189219</v>
      </c>
      <c r="CI393" s="46">
        <f t="shared" si="724"/>
        <v>188425.6371988272</v>
      </c>
      <c r="CJ393" s="46">
        <f t="shared" si="716"/>
        <v>284.09512279208269</v>
      </c>
      <c r="CK393" s="443">
        <v>0.82758620689655171</v>
      </c>
      <c r="CL393" s="46">
        <f>+CL378*CK393+CJ379*CK392+CJ380*CK391+CJ381*CK390+CJ382*CK389+CJ383*CK388+CJ384*CK387+CJ385*CK386+CJ386*CK385+CJ387*CK384+CJ388*CK383+CJ389*CK382+CJ390*CK381+CJ391*CK380+CJ392*CK379+CJ393</f>
        <v>5968.4840890435453</v>
      </c>
      <c r="CM393" s="134">
        <f t="shared" si="717"/>
        <v>3.4467825305020856E-2</v>
      </c>
      <c r="CN393" s="135">
        <f t="shared" si="718"/>
        <v>1.4199727954575659E-2</v>
      </c>
      <c r="CO393" s="135">
        <f t="shared" si="727"/>
        <v>1.3840687739464057E-2</v>
      </c>
      <c r="CP393" s="134">
        <f>VLOOKUP($H393,RoR!$E:$F,2,FALSE)</f>
        <v>4.2350000000000006E-2</v>
      </c>
      <c r="CQ393" s="135">
        <v>1.7730000000000024E-2</v>
      </c>
      <c r="CR393" s="135">
        <f t="shared" si="725"/>
        <v>2.4619999999999982E-2</v>
      </c>
      <c r="CS393" s="135">
        <f t="shared" si="728"/>
        <v>1.7061253869069568E-2</v>
      </c>
      <c r="CT393" s="135">
        <f t="shared" si="729"/>
        <v>5.3376742735721204E-2</v>
      </c>
      <c r="CU393" s="139">
        <f t="shared" si="719"/>
        <v>0.87050000000000005</v>
      </c>
      <c r="CV393" s="335">
        <f t="shared" si="720"/>
        <v>1.2109103018193925</v>
      </c>
      <c r="CW393" s="335">
        <f t="shared" si="721"/>
        <v>0.38468122786304604</v>
      </c>
      <c r="CX393" s="335">
        <f t="shared" si="722"/>
        <v>0.80969194503422559</v>
      </c>
      <c r="CY393" s="335">
        <f t="shared" si="723"/>
        <v>0.37716621754800816</v>
      </c>
      <c r="CZ393" s="336">
        <f>INDEX('State Tax Lookup'!$D$7:$Z$91,MATCH(Calculation!$C393,'State Tax Lookup'!$B$7:$B$91,0),MATCH($H393,'State Tax Lookup'!$D$6:$Z$6,0))</f>
        <v>0.35</v>
      </c>
      <c r="DA393" s="303">
        <v>0.37</v>
      </c>
      <c r="DB393" s="57">
        <f t="shared" si="726"/>
        <v>15.083049952758477</v>
      </c>
      <c r="DC393" s="56">
        <f t="shared" si="730"/>
        <v>-2.8033045424034158E-2</v>
      </c>
      <c r="DD393" s="303">
        <f>VLOOKUP($H393,RoR!$E:$F,2,FALSE)</f>
        <v>4.2350000000000006E-2</v>
      </c>
      <c r="DE393" s="304">
        <f>HLOOKUP($H393,'GDP-PI'!$D$8:$CQ$11,3,FALSE)</f>
        <v>1.7730000000000024E-2</v>
      </c>
      <c r="DF393" s="303">
        <f>VLOOKUP(H393,'HW Dx Data'!$E:$F,2,FALSE)</f>
        <v>663.24840548821396</v>
      </c>
      <c r="DG393" s="89">
        <f ca="1">VLOOKUP(CC393,'ECI - Input Price'!M$13:N$33,2,FALSE)</f>
        <v>126.8</v>
      </c>
      <c r="DH393" s="89"/>
      <c r="DI393" s="89"/>
      <c r="DJ393" s="56">
        <f t="shared" ca="1" si="738"/>
        <v>1.5898586067798204E-2</v>
      </c>
      <c r="DK393" s="53">
        <f>HLOOKUP(H393,'GDP-PI'!$8:$9,2,FALSE)</f>
        <v>101.773</v>
      </c>
      <c r="DL393" s="355">
        <f t="shared" si="731"/>
        <v>1.7574657016510519E-2</v>
      </c>
      <c r="EC393"/>
    </row>
    <row r="394" spans="1:133" s="126" customFormat="1" ht="21" customHeight="1" x14ac:dyDescent="0.4">
      <c r="A394" s="233" t="s">
        <v>205</v>
      </c>
      <c r="B394" s="127" t="s">
        <v>205</v>
      </c>
      <c r="C394" s="127">
        <v>4057081</v>
      </c>
      <c r="D394" s="127" t="s">
        <v>206</v>
      </c>
      <c r="E394" s="127"/>
      <c r="F394" s="127"/>
      <c r="G394" s="127" t="s">
        <v>170</v>
      </c>
      <c r="H394" s="128">
        <v>2014</v>
      </c>
      <c r="I394" s="129"/>
      <c r="J394" s="125">
        <f>IFERROR(INDEX('Labor Expenditures'!$E$7:$W$91,MATCH($C394,'Labor Expenditures'!$C$7:$C$91,0),MATCH($G394,'Labor Expenditures'!$E$5:$W$5,0)),"NA")</f>
        <v>109347.33676154299</v>
      </c>
      <c r="K394" s="125">
        <f t="shared" ca="1" si="732"/>
        <v>845.03351438595814</v>
      </c>
      <c r="L394" s="47"/>
      <c r="M394" s="131">
        <f t="shared" ca="1" si="739"/>
        <v>-3.4194630571501808E-2</v>
      </c>
      <c r="N394" s="131"/>
      <c r="O394" s="131"/>
      <c r="P394" s="59">
        <f t="shared" ca="1" si="741"/>
        <v>-1.2383871459938436E-3</v>
      </c>
      <c r="Q394" s="61"/>
      <c r="R394" s="387"/>
      <c r="S394" s="49">
        <f t="shared" ca="1" si="746"/>
        <v>118.64039452278358</v>
      </c>
      <c r="T394" s="61">
        <f ca="1">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</f>
        <v>0.10452474921129047</v>
      </c>
      <c r="U394" s="61"/>
      <c r="V394" s="125">
        <f>IFERROR(INDEX('Non-Labor Expenditures'!$E$7:$AA$91,MATCH($C394,'Non-Labor Expenditures'!$C$7:$C$91,0),MATCH($G394,'Non-Labor Expenditures'!$E$5:$AA$5,0)),"NA")</f>
        <v>158355.36689604638</v>
      </c>
      <c r="W394" s="125">
        <f t="shared" si="733"/>
        <v>1527.8335783577563</v>
      </c>
      <c r="X394" s="131">
        <f t="shared" si="742"/>
        <v>-3.2143342406083332E-2</v>
      </c>
      <c r="Y394" s="131">
        <f t="shared" si="743"/>
        <v>-1.1640980294183121E-3</v>
      </c>
      <c r="Z394" s="131"/>
      <c r="AA394" s="131"/>
      <c r="AB394" s="131"/>
      <c r="AC394" s="125">
        <f t="shared" si="713"/>
        <v>91167.878363579744</v>
      </c>
      <c r="AD394" s="129"/>
      <c r="AE394" s="133">
        <v>6734.4812719891952</v>
      </c>
      <c r="AF394" s="134">
        <v>5.4748384091331537E-2</v>
      </c>
      <c r="AG394" s="59">
        <f t="shared" si="734"/>
        <v>1.9827585205480724E-3</v>
      </c>
      <c r="AH394" s="134"/>
      <c r="AI394" s="134"/>
      <c r="AJ394" s="129">
        <f t="shared" si="664"/>
        <v>358870.58202116913</v>
      </c>
      <c r="AK394" s="134">
        <f t="shared" si="744"/>
        <v>1.2509546863909049E-3</v>
      </c>
      <c r="AL394" s="129"/>
      <c r="AM394" s="129"/>
      <c r="AN394" s="129"/>
      <c r="AO394" s="129"/>
      <c r="AP394" s="133">
        <f t="shared" si="745"/>
        <v>207.94038245924528</v>
      </c>
      <c r="AQ394" s="134">
        <f>+BB394/Outputs!$B$22</f>
        <v>4.775997721912232E-2</v>
      </c>
      <c r="AR394" s="93">
        <f t="shared" si="735"/>
        <v>0.30469852431396227</v>
      </c>
      <c r="AS394" s="93">
        <f t="shared" si="736"/>
        <v>0.44126037304084537</v>
      </c>
      <c r="AT394" s="93">
        <f t="shared" si="737"/>
        <v>0.25404110264519236</v>
      </c>
      <c r="AU394" s="93">
        <f t="shared" ca="1" si="740"/>
        <v>-1.1193741062553513E-2</v>
      </c>
      <c r="AV394" s="132">
        <f t="shared" ca="1" si="752"/>
        <v>92.704463013328407</v>
      </c>
      <c r="AW394" s="134">
        <f t="shared" ca="1" si="753"/>
        <v>-1.1193741062553508E-2</v>
      </c>
      <c r="AX394" s="56">
        <f>+AJ394/$AL$19</f>
        <v>3.6215836384146508E-2</v>
      </c>
      <c r="AY394" s="135">
        <f t="shared" ca="1" si="747"/>
        <v>-4.0539069484794008E-4</v>
      </c>
      <c r="AZ394" s="93"/>
      <c r="BA394" s="93"/>
      <c r="BB394" s="234">
        <f>IFERROR(INDEX('Total Customers'!$E$7:$AA$91,MATCH($C394,'Total Customers'!$C$7:$C$91,0),MATCH($G394,'Total Customers'!$E$5:$AA$5,0)),"NA")</f>
        <v>1725834</v>
      </c>
      <c r="BC394" s="411">
        <f t="shared" si="754"/>
        <v>4.2807071502095669E-3</v>
      </c>
      <c r="BD394" s="92"/>
      <c r="BE394" s="281" t="str">
        <f t="shared" si="748"/>
        <v>CONSUMERS ENERGY COMPANY</v>
      </c>
      <c r="BF394" s="290">
        <f t="shared" si="749"/>
        <v>4057081</v>
      </c>
      <c r="BG394" s="46" t="str">
        <f t="shared" si="750"/>
        <v>MI</v>
      </c>
      <c r="BH394" s="46"/>
      <c r="BI394" s="46" t="str">
        <f t="shared" si="751"/>
        <v>2014 Y</v>
      </c>
      <c r="BJ394" s="129"/>
      <c r="BK394" s="129"/>
      <c r="BL394" s="129">
        <f>INDEX('Dist. Plant Gas Additions'!$E$7:$AD$91,MATCH($C394,'Dist. Plant Gas Additions'!$C$7:$C$91,0),MATCH(Calculation!$G394,'Dist. Plant Gas Additions'!$E$5:$AD$5,0))</f>
        <v>240078</v>
      </c>
      <c r="BM394" s="129">
        <f>INDEX('Gen. Plant Additions'!$E$7:$AD$91,MATCH($C394,'Gen. Plant Additions'!$C$7:$C$91,0),MATCH(Calculation!$G394,'Gen. Plant Additions'!$E$5:$AD$5,0))</f>
        <v>39866</v>
      </c>
      <c r="BN394" s="393">
        <f t="shared" si="714"/>
        <v>0.96093098288544532</v>
      </c>
      <c r="BO394" s="46">
        <f t="shared" si="708"/>
        <v>38308.474563711163</v>
      </c>
      <c r="BP394" s="46">
        <f t="shared" si="709"/>
        <v>-1557.5254362888372</v>
      </c>
      <c r="BQ394" s="129">
        <f>INDEX('Dist Plant Depreciation'!$D$7:$AC$94,MATCH($C394,'Dist Plant Depreciation'!$C$7:$C$94,0),MATCH(Calculation!$G394,'Dist Plant Depreciation'!$D$5:$AC$5,0))</f>
        <v>1836225</v>
      </c>
      <c r="BR394" s="129">
        <f>INDEX('Gen. Plant Depreciation'!$D$7:$AC$94,MATCH($C394,'Gen. Plant Depreciation'!$C$7:$C$94,0),MATCH(Calculation!$G394,'Gen. Plant Depreciation'!$D$5:$AC$5,0))</f>
        <v>40492</v>
      </c>
      <c r="BS394" s="129"/>
      <c r="BT394" s="129"/>
      <c r="BU394" s="129"/>
      <c r="BV394" s="129"/>
      <c r="BW394" s="129"/>
      <c r="BX394" s="129"/>
      <c r="BY394" s="129">
        <f>INDEX('Gross Dx Plant'!$D$7:$AC$91,MATCH($C394,'Gross Dx Plant'!$C$7:$C$91,0),MATCH(Calculation!$G394,'Gross Dx Plant'!$D$5:$AC$5,0))</f>
        <v>3239233</v>
      </c>
      <c r="BZ394" s="129">
        <f>INDEX('Gross Gen Plant'!$D$7:$AC$91,MATCH($C394,'Gross Gen Plant'!$C$7:$C$91,0),MATCH(Calculation!$G394,'Gross Gen Plant'!$D$5:$AC$5,0))</f>
        <v>131699</v>
      </c>
      <c r="CA394" s="129">
        <f t="shared" si="626"/>
        <v>1494215</v>
      </c>
      <c r="CB394" s="129"/>
      <c r="CC394" s="133">
        <v>2014</v>
      </c>
      <c r="CD394" s="129"/>
      <c r="CE394" s="129"/>
      <c r="CF394" s="129"/>
      <c r="CG394" s="137"/>
      <c r="CH394" s="129">
        <f t="shared" si="715"/>
        <v>279944</v>
      </c>
      <c r="CI394" s="46">
        <f t="shared" si="724"/>
        <v>278386.47456371115</v>
      </c>
      <c r="CJ394" s="46">
        <f t="shared" si="716"/>
        <v>406.71880898003394</v>
      </c>
      <c r="CK394" s="443">
        <v>0.81395348837209303</v>
      </c>
      <c r="CL394" s="46">
        <f>+CL378*CK394+CJ379*CK393+CJ380*CK392+CJ381*CK391+CJ382*CK390+CJ383*CK389+CJ384*CK388+CJ385*CK387+CJ386*CK386+CJ387*CK385+CJ388*CK384+CJ389*CK383+CJ390*CK382+CJ391*CK381+CJ392*CK380+CJ393*CK379+CJ394</f>
        <v>6288.6627110986392</v>
      </c>
      <c r="CM394" s="134">
        <f t="shared" si="717"/>
        <v>5.2255468832116299E-2</v>
      </c>
      <c r="CN394" s="135">
        <f t="shared" si="718"/>
        <v>1.449952544630276E-2</v>
      </c>
      <c r="CO394" s="135">
        <f t="shared" si="727"/>
        <v>1.4181269221548651E-2</v>
      </c>
      <c r="CP394" s="134">
        <f>VLOOKUP($H394,RoR!$E:$F,2,FALSE)</f>
        <v>4.1625000000000002E-2</v>
      </c>
      <c r="CQ394" s="135">
        <v>1.841352814597208E-2</v>
      </c>
      <c r="CR394" s="135">
        <f t="shared" si="725"/>
        <v>2.3211471854027922E-2</v>
      </c>
      <c r="CS394" s="135">
        <f t="shared" si="728"/>
        <v>1.6720672386984974E-2</v>
      </c>
      <c r="CT394" s="135">
        <f t="shared" si="729"/>
        <v>3.9072621432650924E-2</v>
      </c>
      <c r="CU394" s="139">
        <f t="shared" si="719"/>
        <v>0.87050000000000005</v>
      </c>
      <c r="CV394" s="335">
        <f t="shared" si="720"/>
        <v>1.2320012320012319</v>
      </c>
      <c r="CW394" s="335">
        <f t="shared" si="721"/>
        <v>0.37439939939939942</v>
      </c>
      <c r="CX394" s="335">
        <f t="shared" si="722"/>
        <v>0.80432100613819935</v>
      </c>
      <c r="CY394" s="335">
        <f t="shared" si="723"/>
        <v>0.37100152660040037</v>
      </c>
      <c r="CZ394" s="336">
        <f>INDEX('State Tax Lookup'!$D$7:$Z$91,MATCH(Calculation!$C394,'State Tax Lookup'!$B$7:$B$91,0),MATCH($H394,'State Tax Lookup'!$D$6:$Z$6,0))</f>
        <v>0.35</v>
      </c>
      <c r="DA394" s="303">
        <v>0.37</v>
      </c>
      <c r="DB394" s="57">
        <f t="shared" si="726"/>
        <v>15.274880020362001</v>
      </c>
      <c r="DC394" s="56">
        <f t="shared" si="730"/>
        <v>1.2638056747112009E-2</v>
      </c>
      <c r="DD394" s="303">
        <f>VLOOKUP($H394,RoR!$E:$F,2,FALSE)</f>
        <v>4.1625000000000002E-2</v>
      </c>
      <c r="DE394" s="304">
        <f>HLOOKUP($H394,'GDP-PI'!$D$8:$CQ$11,3,FALSE)</f>
        <v>1.841352814597208E-2</v>
      </c>
      <c r="DF394" s="303">
        <f>VLOOKUP(H394,'HW Dx Data'!$E:$F,2,FALSE)</f>
        <v>684.46914285042885</v>
      </c>
      <c r="DG394" s="89">
        <f ca="1">VLOOKUP(CC394,'ECI - Input Price'!M$13:N$33,2,FALSE)</f>
        <v>129.4</v>
      </c>
      <c r="DH394" s="89"/>
      <c r="DI394" s="89"/>
      <c r="DJ394" s="56">
        <f t="shared" ca="1" si="738"/>
        <v>2.0297340063674733E-2</v>
      </c>
      <c r="DK394" s="53">
        <f>HLOOKUP(H394,'GDP-PI'!$8:$9,2,FALSE)</f>
        <v>103.64700000000001</v>
      </c>
      <c r="DL394" s="355">
        <f t="shared" si="731"/>
        <v>1.8246051898256087E-2</v>
      </c>
      <c r="EC394"/>
    </row>
    <row r="395" spans="1:133" s="126" customFormat="1" ht="21" customHeight="1" x14ac:dyDescent="0.4">
      <c r="A395" s="233" t="s">
        <v>205</v>
      </c>
      <c r="B395" s="127" t="s">
        <v>205</v>
      </c>
      <c r="C395" s="127">
        <v>4057081</v>
      </c>
      <c r="D395" s="127" t="s">
        <v>206</v>
      </c>
      <c r="E395" s="127"/>
      <c r="F395" s="127"/>
      <c r="G395" s="127" t="s">
        <v>171</v>
      </c>
      <c r="H395" s="128">
        <v>2015</v>
      </c>
      <c r="I395" s="129"/>
      <c r="J395" s="125">
        <f>IFERROR(INDEX('Labor Expenditures'!$E$7:$W$91,MATCH($C395,'Labor Expenditures'!$C$7:$C$91,0),MATCH($G395,'Labor Expenditures'!$E$5:$W$5,0)),"NA")</f>
        <v>113048.56167988709</v>
      </c>
      <c r="K395" s="125">
        <f t="shared" ca="1" si="732"/>
        <v>846.80570546731906</v>
      </c>
      <c r="L395" s="47"/>
      <c r="M395" s="131">
        <f t="shared" ca="1" si="739"/>
        <v>2.094988352013734E-3</v>
      </c>
      <c r="N395" s="131"/>
      <c r="O395" s="131"/>
      <c r="P395" s="59">
        <f t="shared" ca="1" si="741"/>
        <v>7.7868769763897759E-5</v>
      </c>
      <c r="Q395" s="61"/>
      <c r="R395" s="387"/>
      <c r="S395" s="49">
        <f t="shared" ca="1" si="746"/>
        <v>116.8217228785138</v>
      </c>
      <c r="T395" s="61">
        <f ca="1">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</f>
        <v>-1.5447986551372092E-2</v>
      </c>
      <c r="U395" s="61"/>
      <c r="V395" s="125">
        <f>IFERROR(INDEX('Non-Labor Expenditures'!$E$7:$AA$91,MATCH($C395,'Non-Labor Expenditures'!$C$7:$C$91,0),MATCH($G395,'Non-Labor Expenditures'!$E$5:$AA$5,0)),"NA")</f>
        <v>163715.43187126672</v>
      </c>
      <c r="W395" s="125">
        <f t="shared" si="733"/>
        <v>1564.5737427848767</v>
      </c>
      <c r="X395" s="131">
        <f t="shared" si="742"/>
        <v>2.3762647940074776E-2</v>
      </c>
      <c r="Y395" s="131">
        <f t="shared" si="743"/>
        <v>8.8323553667858852E-4</v>
      </c>
      <c r="Z395" s="131"/>
      <c r="AA395" s="131"/>
      <c r="AB395" s="131"/>
      <c r="AC395" s="125">
        <f t="shared" si="713"/>
        <v>93460.985659645477</v>
      </c>
      <c r="AD395" s="129"/>
      <c r="AE395" s="133">
        <v>7153.6440185373167</v>
      </c>
      <c r="AF395" s="134">
        <v>6.0381092672284802E-2</v>
      </c>
      <c r="AG395" s="59">
        <f t="shared" si="734"/>
        <v>2.2443090907265798E-3</v>
      </c>
      <c r="AH395" s="134"/>
      <c r="AI395" s="134"/>
      <c r="AJ395" s="129">
        <f t="shared" si="664"/>
        <v>370224.97921079927</v>
      </c>
      <c r="AK395" s="134">
        <f t="shared" si="744"/>
        <v>3.1149045039382723E-2</v>
      </c>
      <c r="AL395" s="129"/>
      <c r="AM395" s="129"/>
      <c r="AN395" s="129"/>
      <c r="AO395" s="129"/>
      <c r="AP395" s="133">
        <f t="shared" si="745"/>
        <v>213.32652210235136</v>
      </c>
      <c r="AQ395" s="134">
        <f>+BB395/Outputs!$B$23</f>
        <v>4.7636532340091381E-2</v>
      </c>
      <c r="AR395" s="93">
        <f t="shared" si="735"/>
        <v>0.30535098393649807</v>
      </c>
      <c r="AS395" s="93">
        <f t="shared" si="736"/>
        <v>0.44220525643692499</v>
      </c>
      <c r="AT395" s="93">
        <f t="shared" si="737"/>
        <v>0.252443759626577</v>
      </c>
      <c r="AU395" s="93">
        <f t="shared" ca="1" si="740"/>
        <v>2.6426819370157166E-2</v>
      </c>
      <c r="AV395" s="132">
        <f t="shared" ca="1" si="752"/>
        <v>95.187005485446846</v>
      </c>
      <c r="AW395" s="134">
        <f t="shared" ca="1" si="753"/>
        <v>2.642681937015726E-2</v>
      </c>
      <c r="AX395" s="56">
        <f>+AJ395/$AL$20</f>
        <v>3.716907050535586E-2</v>
      </c>
      <c r="AY395" s="135">
        <f t="shared" ca="1" si="747"/>
        <v>9.8226031240167917E-4</v>
      </c>
      <c r="AZ395" s="93"/>
      <c r="BA395" s="93"/>
      <c r="BB395" s="234">
        <f>IFERROR(INDEX('Total Customers'!$E$7:$AA$91,MATCH($C395,'Total Customers'!$C$7:$C$91,0),MATCH($G395,'Total Customers'!$E$5:$AA$5,0)),"NA")</f>
        <v>1735485</v>
      </c>
      <c r="BC395" s="411">
        <f t="shared" si="754"/>
        <v>5.576501333765871E-3</v>
      </c>
      <c r="BD395" s="92"/>
      <c r="BE395" s="281" t="str">
        <f t="shared" si="748"/>
        <v>CONSUMERS ENERGY COMPANY</v>
      </c>
      <c r="BF395" s="290">
        <f t="shared" si="749"/>
        <v>4057081</v>
      </c>
      <c r="BG395" s="46" t="str">
        <f t="shared" si="750"/>
        <v>MI</v>
      </c>
      <c r="BH395" s="46"/>
      <c r="BI395" s="46" t="str">
        <f t="shared" si="751"/>
        <v>2015 Y</v>
      </c>
      <c r="BJ395" s="129"/>
      <c r="BK395" s="129"/>
      <c r="BL395" s="129">
        <f>INDEX('Dist. Plant Gas Additions'!$E$7:$AD$91,MATCH($C395,'Dist. Plant Gas Additions'!$C$7:$C$91,0),MATCH(Calculation!$G395,'Dist. Plant Gas Additions'!$E$5:$AD$5,0))</f>
        <v>273076</v>
      </c>
      <c r="BM395" s="129">
        <f>INDEX('Gen. Plant Additions'!$E$7:$AD$91,MATCH($C395,'Gen. Plant Additions'!$C$7:$C$91,0),MATCH(Calculation!$G395,'Gen. Plant Additions'!$E$5:$AD$5,0))</f>
        <v>46675</v>
      </c>
      <c r="BN395" s="393">
        <f t="shared" si="714"/>
        <v>0.95367512594564907</v>
      </c>
      <c r="BO395" s="46">
        <f t="shared" si="708"/>
        <v>44512.786503513169</v>
      </c>
      <c r="BP395" s="46">
        <f t="shared" si="709"/>
        <v>-2162.213496486831</v>
      </c>
      <c r="BQ395" s="129">
        <f>INDEX('Dist Plant Depreciation'!$D$7:$AC$94,MATCH($C395,'Dist Plant Depreciation'!$C$7:$C$94,0),MATCH(Calculation!$G395,'Dist Plant Depreciation'!$D$5:$AC$5,0))</f>
        <v>1905140</v>
      </c>
      <c r="BR395" s="129">
        <f>INDEX('Gen. Plant Depreciation'!$D$7:$AC$94,MATCH($C395,'Gen. Plant Depreciation'!$C$7:$C$94,0),MATCH(Calculation!$G395,'Gen. Plant Depreciation'!$D$5:$AC$5,0))</f>
        <v>45932</v>
      </c>
      <c r="BS395" s="129"/>
      <c r="BT395" s="129"/>
      <c r="BU395" s="129"/>
      <c r="BV395" s="129"/>
      <c r="BW395" s="129"/>
      <c r="BX395" s="129"/>
      <c r="BY395" s="129">
        <f>INDEX('Gross Dx Plant'!$D$7:$AC$91,MATCH($C395,'Gross Dx Plant'!$C$7:$C$91,0),MATCH(Calculation!$G395,'Gross Dx Plant'!$D$5:$AC$5,0))</f>
        <v>3497182</v>
      </c>
      <c r="BZ395" s="129">
        <f>INDEX('Gross Gen Plant'!$D$7:$AC$91,MATCH($C395,'Gross Gen Plant'!$C$7:$C$91,0),MATCH(Calculation!$G395,'Gross Gen Plant'!$D$5:$AC$5,0))</f>
        <v>169876</v>
      </c>
      <c r="CA395" s="129">
        <f t="shared" ref="CA395:CA464" si="755">IF(OR(BQ395="NA",BR395="NA"),"NA",(SUM(BY395:BZ395)-SUM(BQ395:BR395)))</f>
        <v>1715986</v>
      </c>
      <c r="CB395" s="129"/>
      <c r="CC395" s="133">
        <v>2015</v>
      </c>
      <c r="CD395" s="129"/>
      <c r="CE395" s="129"/>
      <c r="CF395" s="129"/>
      <c r="CG395" s="137"/>
      <c r="CH395" s="129">
        <f t="shared" si="715"/>
        <v>319751</v>
      </c>
      <c r="CI395" s="46">
        <f t="shared" si="724"/>
        <v>317588.78650351317</v>
      </c>
      <c r="CJ395" s="46">
        <f t="shared" si="716"/>
        <v>470.07387192393389</v>
      </c>
      <c r="CK395" s="443">
        <v>0.8</v>
      </c>
      <c r="CL395" s="46">
        <f>+CL378*CK395+CJ379*CK394+CJ380*CK393+CJ381*CK392+CJ382*CK391+CJ383*CK390+CJ384*CK389+CJ385*CK388+CJ386*CK387+CJ387*CK386+CJ388*CK385+CJ389*CK384+CJ390*CK383+CJ391*CK382+CJ392*CK381+CJ393*CK380+CJ394*CK379+CJ395</f>
        <v>6666.2019010540807</v>
      </c>
      <c r="CM395" s="134">
        <f t="shared" si="717"/>
        <v>5.8301825053921147E-2</v>
      </c>
      <c r="CN395" s="135">
        <f t="shared" si="718"/>
        <v>1.4714524568980484E-2</v>
      </c>
      <c r="CO395" s="135">
        <f t="shared" si="727"/>
        <v>1.4471259323286301E-2</v>
      </c>
      <c r="CP395" s="134">
        <f>VLOOKUP($H395,RoR!$E:$F,2,FALSE)</f>
        <v>3.8866666666666674E-2</v>
      </c>
      <c r="CQ395" s="135">
        <v>9.5709475431029478E-3</v>
      </c>
      <c r="CR395" s="135">
        <f t="shared" si="725"/>
        <v>2.9295719123563727E-2</v>
      </c>
      <c r="CS395" s="135">
        <f t="shared" si="728"/>
        <v>1.6430682285247324E-2</v>
      </c>
      <c r="CT395" s="135">
        <f t="shared" si="729"/>
        <v>3.5270373279175926E-3</v>
      </c>
      <c r="CU395" s="139">
        <f t="shared" si="719"/>
        <v>0.87050000000000005</v>
      </c>
      <c r="CV395" s="335">
        <f t="shared" si="720"/>
        <v>1.3194352816994324</v>
      </c>
      <c r="CW395" s="335">
        <f t="shared" si="721"/>
        <v>0.33177530017152673</v>
      </c>
      <c r="CX395" s="335">
        <f t="shared" si="722"/>
        <v>0.78242572977668579</v>
      </c>
      <c r="CY395" s="335">
        <f t="shared" si="723"/>
        <v>0.34251158643433932</v>
      </c>
      <c r="CZ395" s="336">
        <f>INDEX('State Tax Lookup'!$D$7:$Z$91,MATCH(Calculation!$C395,'State Tax Lookup'!$B$7:$B$91,0),MATCH($H395,'State Tax Lookup'!$D$6:$Z$6,0))</f>
        <v>0.35</v>
      </c>
      <c r="DA395" s="303">
        <v>0.37</v>
      </c>
      <c r="DB395" s="57">
        <f t="shared" si="726"/>
        <v>14.861821972849565</v>
      </c>
      <c r="DC395" s="56">
        <f t="shared" si="730"/>
        <v>-2.7414009403049937E-2</v>
      </c>
      <c r="DD395" s="303">
        <f>VLOOKUP($H395,RoR!$E:$F,2,FALSE)</f>
        <v>3.8866666666666674E-2</v>
      </c>
      <c r="DE395" s="304">
        <f>HLOOKUP($H395,'GDP-PI'!$D$8:$CQ$11,3,FALSE)</f>
        <v>9.5709475431029478E-3</v>
      </c>
      <c r="DF395" s="303">
        <f>VLOOKUP(H395,'HW Dx Data'!$E:$F,2,FALSE)</f>
        <v>675.61463308665782</v>
      </c>
      <c r="DG395" s="89">
        <f ca="1">VLOOKUP(CC395,'ECI - Input Price'!M$13:N$33,2,FALSE)</f>
        <v>133.5</v>
      </c>
      <c r="DH395" s="89"/>
      <c r="DI395" s="89"/>
      <c r="DJ395" s="56">
        <f t="shared" ca="1" si="738"/>
        <v>3.1193095773504077E-2</v>
      </c>
      <c r="DK395" s="53">
        <f>HLOOKUP(H395,'GDP-PI'!$8:$9,2,FALSE)</f>
        <v>104.639</v>
      </c>
      <c r="DL395" s="355">
        <f t="shared" si="731"/>
        <v>9.5254361854427965E-3</v>
      </c>
      <c r="EC395"/>
    </row>
    <row r="396" spans="1:133" s="126" customFormat="1" ht="21" customHeight="1" x14ac:dyDescent="0.4">
      <c r="A396" s="233" t="s">
        <v>205</v>
      </c>
      <c r="B396" s="127" t="s">
        <v>205</v>
      </c>
      <c r="C396" s="127">
        <v>4057081</v>
      </c>
      <c r="D396" s="127" t="s">
        <v>206</v>
      </c>
      <c r="E396" s="127"/>
      <c r="F396" s="127"/>
      <c r="G396" s="127" t="s">
        <v>172</v>
      </c>
      <c r="H396" s="128">
        <v>2016</v>
      </c>
      <c r="I396" s="129"/>
      <c r="J396" s="125">
        <f>IFERROR(INDEX('Labor Expenditures'!$E$7:$W$91,MATCH($C396,'Labor Expenditures'!$C$7:$C$91,0),MATCH($G396,'Labor Expenditures'!$E$5:$W$5,0)),"NA")</f>
        <v>111819.22825536168</v>
      </c>
      <c r="K396" s="125">
        <f t="shared" ca="1" si="732"/>
        <v>816.49673789968381</v>
      </c>
      <c r="L396" s="47"/>
      <c r="M396" s="131">
        <f t="shared" ca="1" si="739"/>
        <v>-3.6448359739251465E-2</v>
      </c>
      <c r="N396" s="131"/>
      <c r="O396" s="131"/>
      <c r="P396" s="59">
        <f t="shared" ca="1" si="741"/>
        <v>-1.3144266507431849E-3</v>
      </c>
      <c r="Q396" s="61"/>
      <c r="R396" s="387"/>
      <c r="S396" s="49">
        <f t="shared" ca="1" si="746"/>
        <v>292.5070307462114</v>
      </c>
      <c r="T396" s="61">
        <f ca="1">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</f>
        <v>0.91783966647196757</v>
      </c>
      <c r="U396" s="61"/>
      <c r="V396" s="125">
        <f>IFERROR(INDEX('Non-Labor Expenditures'!$E$7:$AA$91,MATCH($C396,'Non-Labor Expenditures'!$C$7:$C$91,0),MATCH($G396,'Non-Labor Expenditures'!$E$5:$AA$5,0)),"NA")</f>
        <v>161935.12746474223</v>
      </c>
      <c r="W396" s="125">
        <f t="shared" si="733"/>
        <v>1531.5041940752649</v>
      </c>
      <c r="X396" s="131">
        <f t="shared" si="742"/>
        <v>-2.1363032237673499E-2</v>
      </c>
      <c r="Y396" s="131">
        <f t="shared" si="743"/>
        <v>-7.7040885007629537E-4</v>
      </c>
      <c r="Z396" s="131"/>
      <c r="AA396" s="131"/>
      <c r="AB396" s="131"/>
      <c r="AC396" s="125">
        <f t="shared" si="713"/>
        <v>97062.186562201838</v>
      </c>
      <c r="AD396" s="129"/>
      <c r="AE396" s="133">
        <v>7631.6307290679697</v>
      </c>
      <c r="AF396" s="134">
        <v>6.4679668600083923E-2</v>
      </c>
      <c r="AG396" s="59">
        <f t="shared" si="734"/>
        <v>2.3325241733068293E-3</v>
      </c>
      <c r="AH396" s="134"/>
      <c r="AI396" s="134"/>
      <c r="AJ396" s="129">
        <f t="shared" si="664"/>
        <v>370816.54228230572</v>
      </c>
      <c r="AK396" s="134">
        <f t="shared" si="744"/>
        <v>1.5965723377402965E-3</v>
      </c>
      <c r="AL396" s="129"/>
      <c r="AM396" s="129"/>
      <c r="AN396" s="129"/>
      <c r="AO396" s="129"/>
      <c r="AP396" s="133">
        <f t="shared" si="745"/>
        <v>211.93973491700297</v>
      </c>
      <c r="AQ396" s="134">
        <f>+BB396/Outputs!$B$24</f>
        <v>4.7609845000352931E-2</v>
      </c>
      <c r="AR396" s="93">
        <f t="shared" si="735"/>
        <v>0.3015486514359243</v>
      </c>
      <c r="AS396" s="93">
        <f t="shared" si="736"/>
        <v>0.43669876879834468</v>
      </c>
      <c r="AT396" s="93">
        <f t="shared" si="737"/>
        <v>0.26175257976573113</v>
      </c>
      <c r="AU396" s="93">
        <f t="shared" ca="1" si="740"/>
        <v>-3.8192512166629437E-3</v>
      </c>
      <c r="AV396" s="132">
        <f t="shared" ca="1" si="752"/>
        <v>94.824155747152574</v>
      </c>
      <c r="AW396" s="134">
        <f t="shared" ca="1" si="753"/>
        <v>-3.8192512166629949E-3</v>
      </c>
      <c r="AX396" s="56">
        <f>+AJ396/$AL$21</f>
        <v>3.6062710644497689E-2</v>
      </c>
      <c r="AY396" s="135">
        <f t="shared" ca="1" si="747"/>
        <v>-1.3773255150516334E-4</v>
      </c>
      <c r="AZ396" s="93"/>
      <c r="BA396" s="93"/>
      <c r="BB396" s="234">
        <f>IFERROR(INDEX('Total Customers'!$E$7:$AA$91,MATCH($C396,'Total Customers'!$C$7:$C$91,0),MATCH($G396,'Total Customers'!$E$5:$AA$5,0)),"NA")</f>
        <v>1749632</v>
      </c>
      <c r="BC396" s="411">
        <f t="shared" si="754"/>
        <v>8.1185668679944218E-3</v>
      </c>
      <c r="BD396" s="92"/>
      <c r="BE396" s="281" t="str">
        <f t="shared" si="748"/>
        <v>CONSUMERS ENERGY COMPANY</v>
      </c>
      <c r="BF396" s="290">
        <f t="shared" si="749"/>
        <v>4057081</v>
      </c>
      <c r="BG396" s="46" t="str">
        <f t="shared" si="750"/>
        <v>MI</v>
      </c>
      <c r="BH396" s="46"/>
      <c r="BI396" s="46" t="str">
        <f t="shared" si="751"/>
        <v>2016 Y</v>
      </c>
      <c r="BJ396" s="129"/>
      <c r="BK396" s="129"/>
      <c r="BL396" s="129">
        <f>INDEX('Dist. Plant Gas Additions'!$E$7:$AD$91,MATCH($C396,'Dist. Plant Gas Additions'!$C$7:$C$91,0),MATCH(Calculation!$G396,'Dist. Plant Gas Additions'!$E$5:$AD$5,0))</f>
        <v>324644</v>
      </c>
      <c r="BM396" s="129">
        <f>INDEX('Gen. Plant Additions'!$E$7:$AD$91,MATCH($C396,'Gen. Plant Additions'!$C$7:$C$91,0),MATCH(Calculation!$G396,'Gen. Plant Additions'!$E$5:$AD$5,0))</f>
        <v>35589</v>
      </c>
      <c r="BN396" s="393">
        <f t="shared" si="714"/>
        <v>0.95057714696347484</v>
      </c>
      <c r="BO396" s="46">
        <f t="shared" si="708"/>
        <v>33830.090083283103</v>
      </c>
      <c r="BP396" s="46">
        <f t="shared" si="709"/>
        <v>-1758.909916716897</v>
      </c>
      <c r="BQ396" s="129">
        <f>INDEX('Dist Plant Depreciation'!$D$7:$AC$94,MATCH($C396,'Dist Plant Depreciation'!$C$7:$C$94,0),MATCH(Calculation!$G396,'Dist Plant Depreciation'!$D$5:$AC$5,0))</f>
        <v>1984804</v>
      </c>
      <c r="BR396" s="129">
        <f>INDEX('Gen. Plant Depreciation'!$D$7:$AC$94,MATCH($C396,'Gen. Plant Depreciation'!$C$7:$C$94,0),MATCH(Calculation!$G396,'Gen. Plant Depreciation'!$D$5:$AC$5,0))</f>
        <v>53270</v>
      </c>
      <c r="BS396" s="129"/>
      <c r="BT396" s="129"/>
      <c r="BU396" s="129"/>
      <c r="BV396" s="129"/>
      <c r="BW396" s="129"/>
      <c r="BX396" s="129"/>
      <c r="BY396" s="129">
        <f>INDEX('Gross Dx Plant'!$D$7:$AC$91,MATCH($C396,'Gross Dx Plant'!$C$7:$C$91,0),MATCH(Calculation!$G396,'Gross Dx Plant'!$D$5:$AC$5,0))</f>
        <v>3805705</v>
      </c>
      <c r="BZ396" s="129">
        <f>INDEX('Gross Gen Plant'!$D$7:$AC$91,MATCH($C396,'Gross Gen Plant'!$C$7:$C$91,0),MATCH(Calculation!$G396,'Gross Gen Plant'!$D$5:$AC$5,0))</f>
        <v>197868</v>
      </c>
      <c r="CA396" s="129">
        <f t="shared" si="755"/>
        <v>1965499</v>
      </c>
      <c r="CB396" s="129"/>
      <c r="CC396" s="133">
        <v>2016</v>
      </c>
      <c r="CD396" s="129"/>
      <c r="CE396" s="129"/>
      <c r="CF396" s="129"/>
      <c r="CG396" s="137"/>
      <c r="CH396" s="129">
        <f t="shared" si="715"/>
        <v>360233</v>
      </c>
      <c r="CI396" s="46">
        <f t="shared" si="724"/>
        <v>358474.09008328308</v>
      </c>
      <c r="CJ396" s="46">
        <f t="shared" si="716"/>
        <v>533.87545842355814</v>
      </c>
      <c r="CK396" s="443">
        <v>0.7857142857142857</v>
      </c>
      <c r="CL396" s="46">
        <f>+CL378*CK396+CJ379*CK395+CJ380*CK394+CJ381*CK393+CJ382*CK392+CJ383*CK391+CJ384*CK390+CJ385*CK389+CJ386*CK388+CJ387*CK387+CJ388*CK386+CJ389*CK385+CJ390*CK384+CJ391*CK383+CJ392*CK382+CJ393*CK381+CJ394*CK380+CJ395*CK379+CJ396</f>
        <v>7100.7723237442506</v>
      </c>
      <c r="CM396" s="134">
        <f t="shared" si="717"/>
        <v>6.3153288509719976E-2</v>
      </c>
      <c r="CN396" s="135">
        <f t="shared" si="718"/>
        <v>1.489679388763876E-2</v>
      </c>
      <c r="CO396" s="135">
        <f t="shared" si="727"/>
        <v>1.4703614634307334E-2</v>
      </c>
      <c r="CP396" s="134">
        <f>VLOOKUP($H396,RoR!$E:$F,2,FALSE)</f>
        <v>3.6658333333333334E-2</v>
      </c>
      <c r="CQ396" s="135">
        <v>1.0483662879041455E-2</v>
      </c>
      <c r="CR396" s="135">
        <f t="shared" si="725"/>
        <v>2.6174670454291879E-2</v>
      </c>
      <c r="CS396" s="135">
        <f t="shared" si="728"/>
        <v>1.6198326974226289E-2</v>
      </c>
      <c r="CT396" s="135">
        <f t="shared" si="729"/>
        <v>4.301363574220729E-3</v>
      </c>
      <c r="CU396" s="139">
        <f t="shared" si="719"/>
        <v>0.87050000000000005</v>
      </c>
      <c r="CV396" s="335">
        <f t="shared" si="720"/>
        <v>1.3989193348138562</v>
      </c>
      <c r="CW396" s="335">
        <f t="shared" si="721"/>
        <v>0.29302682427824522</v>
      </c>
      <c r="CX396" s="335">
        <f t="shared" si="722"/>
        <v>0.76309497491941802</v>
      </c>
      <c r="CY396" s="335">
        <f t="shared" si="723"/>
        <v>0.31280857135128509</v>
      </c>
      <c r="CZ396" s="336">
        <f>INDEX('State Tax Lookup'!$D$7:$Z$91,MATCH(Calculation!$C396,'State Tax Lookup'!$B$7:$B$91,0),MATCH($H396,'State Tax Lookup'!$D$6:$Z$6,0))</f>
        <v>0.35</v>
      </c>
      <c r="DA396" s="303">
        <v>0.37</v>
      </c>
      <c r="DB396" s="57">
        <f t="shared" si="726"/>
        <v>14.560343056344282</v>
      </c>
      <c r="DC396" s="56">
        <f t="shared" si="730"/>
        <v>-2.0494036929897892E-2</v>
      </c>
      <c r="DD396" s="303">
        <f>VLOOKUP($H396,RoR!$E:$F,2,FALSE)</f>
        <v>3.6658333333333334E-2</v>
      </c>
      <c r="DE396" s="304">
        <f>HLOOKUP($H396,'GDP-PI'!$D$8:$CQ$11,3,FALSE)</f>
        <v>1.0483662879041455E-2</v>
      </c>
      <c r="DF396" s="303">
        <f>VLOOKUP(H396,'HW Dx Data'!$E:$F,2,FALSE)</f>
        <v>671.45639385971219</v>
      </c>
      <c r="DG396" s="89">
        <f ca="1">VLOOKUP(CC396,'ECI - Input Price'!M$13:N$33,2,FALSE)</f>
        <v>136.94999999999999</v>
      </c>
      <c r="DH396" s="89"/>
      <c r="DI396" s="89"/>
      <c r="DJ396" s="56">
        <f t="shared" ca="1" si="738"/>
        <v>2.5514417868782811E-2</v>
      </c>
      <c r="DK396" s="53">
        <f>HLOOKUP(H396,'GDP-PI'!$8:$9,2,FALSE)</f>
        <v>105.736</v>
      </c>
      <c r="DL396" s="355">
        <f t="shared" si="731"/>
        <v>1.0429090367205095E-2</v>
      </c>
      <c r="EC396"/>
    </row>
    <row r="397" spans="1:133" s="126" customFormat="1" ht="21" customHeight="1" x14ac:dyDescent="0.4">
      <c r="A397" s="233" t="s">
        <v>205</v>
      </c>
      <c r="B397" s="127" t="s">
        <v>205</v>
      </c>
      <c r="C397" s="127">
        <v>4057081</v>
      </c>
      <c r="D397" s="127" t="s">
        <v>206</v>
      </c>
      <c r="E397" s="127"/>
      <c r="F397" s="127"/>
      <c r="G397" s="127" t="s">
        <v>173</v>
      </c>
      <c r="H397" s="128">
        <v>2017</v>
      </c>
      <c r="I397" s="129"/>
      <c r="J397" s="125">
        <f>IFERROR(INDEX('Labor Expenditures'!$E$7:$W$91,MATCH($C397,'Labor Expenditures'!$C$7:$C$91,0),MATCH($G397,'Labor Expenditures'!$E$5:$W$5,0)),"NA")</f>
        <v>106858.4565753466</v>
      </c>
      <c r="K397" s="125">
        <f t="shared" ca="1" si="732"/>
        <v>760.8291674997979</v>
      </c>
      <c r="L397" s="47"/>
      <c r="M397" s="131">
        <f t="shared" ca="1" si="739"/>
        <v>-7.0614068748847597E-2</v>
      </c>
      <c r="N397" s="131"/>
      <c r="O397" s="131"/>
      <c r="P397" s="59">
        <f t="shared" ca="1" si="741"/>
        <v>-2.4461121696172047E-3</v>
      </c>
      <c r="Q397" s="61"/>
      <c r="R397" s="387"/>
      <c r="S397" s="49">
        <f t="shared" ca="1" si="746"/>
        <v>162.53700653649051</v>
      </c>
      <c r="T397" s="61">
        <f ca="1">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</f>
        <v>-0.58758299474729325</v>
      </c>
      <c r="U397" s="61"/>
      <c r="V397" s="125">
        <f>IFERROR(INDEX('Non-Labor Expenditures'!$E$7:$AA$91,MATCH($C397,'Non-Labor Expenditures'!$C$7:$C$91,0),MATCH($G397,'Non-Labor Expenditures'!$E$5:$AA$5,0)),"NA")</f>
        <v>154751.00352773763</v>
      </c>
      <c r="W397" s="125">
        <f t="shared" si="733"/>
        <v>1436.1908801564498</v>
      </c>
      <c r="X397" s="131">
        <f t="shared" si="742"/>
        <v>-6.4255999135427025E-2</v>
      </c>
      <c r="Y397" s="131">
        <f t="shared" si="743"/>
        <v>-2.2258649620532697E-3</v>
      </c>
      <c r="Z397" s="131"/>
      <c r="AA397" s="131"/>
      <c r="AB397" s="131"/>
      <c r="AC397" s="125">
        <f t="shared" si="713"/>
        <v>94465.450764297901</v>
      </c>
      <c r="AD397" s="129"/>
      <c r="AE397" s="133">
        <v>8144.1061393358714</v>
      </c>
      <c r="AF397" s="134">
        <v>6.4992944130022989E-2</v>
      </c>
      <c r="AG397" s="59">
        <f t="shared" si="734"/>
        <v>2.2513931627583038E-3</v>
      </c>
      <c r="AH397" s="134"/>
      <c r="AI397" s="134"/>
      <c r="AJ397" s="129">
        <f t="shared" si="664"/>
        <v>356074.91086738213</v>
      </c>
      <c r="AK397" s="134">
        <f t="shared" si="744"/>
        <v>-4.0566312607591443E-2</v>
      </c>
      <c r="AL397" s="129"/>
      <c r="AM397" s="129"/>
      <c r="AN397" s="129"/>
      <c r="AO397" s="129"/>
      <c r="AP397" s="133">
        <f t="shared" si="745"/>
        <v>201.88101666947244</v>
      </c>
      <c r="AQ397" s="134">
        <f>+BB397/Outputs!$B$25</f>
        <v>4.7634400401344208E-2</v>
      </c>
      <c r="AR397" s="93">
        <f t="shared" si="735"/>
        <v>0.30010105546342569</v>
      </c>
      <c r="AS397" s="93">
        <f t="shared" si="736"/>
        <v>0.43460237945653429</v>
      </c>
      <c r="AT397" s="93">
        <f t="shared" si="737"/>
        <v>0.26529656508004001</v>
      </c>
      <c r="AU397" s="93">
        <f t="shared" ca="1" si="740"/>
        <v>-3.2108391984969592E-2</v>
      </c>
      <c r="AV397" s="132">
        <f t="shared" ca="1" si="752"/>
        <v>91.827865037199217</v>
      </c>
      <c r="AW397" s="134">
        <f t="shared" ca="1" si="753"/>
        <v>-3.2108391984969439E-2</v>
      </c>
      <c r="AX397" s="56">
        <f>+AJ397/$AL$22</f>
        <v>3.4640578187291104E-2</v>
      </c>
      <c r="AY397" s="135">
        <f t="shared" ca="1" si="747"/>
        <v>-1.1122532630235249E-3</v>
      </c>
      <c r="AZ397" s="93"/>
      <c r="BA397" s="93"/>
      <c r="BB397" s="234">
        <f>IFERROR(INDEX('Total Customers'!$E$7:$AA$91,MATCH($C397,'Total Customers'!$C$7:$C$91,0),MATCH($G397,'Total Customers'!$E$5:$AA$5,0)),"NA")</f>
        <v>1763786</v>
      </c>
      <c r="BC397" s="411">
        <f t="shared" si="754"/>
        <v>8.0571549245764783E-3</v>
      </c>
      <c r="BD397" s="92"/>
      <c r="BE397" s="281" t="str">
        <f t="shared" si="748"/>
        <v>CONSUMERS ENERGY COMPANY</v>
      </c>
      <c r="BF397" s="290">
        <f t="shared" si="749"/>
        <v>4057081</v>
      </c>
      <c r="BG397" s="46" t="str">
        <f t="shared" si="750"/>
        <v>MI</v>
      </c>
      <c r="BH397" s="46"/>
      <c r="BI397" s="46" t="str">
        <f t="shared" si="751"/>
        <v>2017 Y</v>
      </c>
      <c r="BJ397" s="129"/>
      <c r="BK397" s="129"/>
      <c r="BL397" s="129">
        <f>INDEX('Dist. Plant Gas Additions'!$E$7:$AD$91,MATCH($C397,'Dist. Plant Gas Additions'!$C$7:$C$91,0),MATCH(Calculation!$G397,'Dist. Plant Gas Additions'!$E$5:$AD$5,0))</f>
        <v>394545</v>
      </c>
      <c r="BM397" s="129">
        <f>INDEX('Gen. Plant Additions'!$E$7:$AD$91,MATCH($C397,'Gen. Plant Additions'!$C$7:$C$91,0),MATCH(Calculation!$G397,'Gen. Plant Additions'!$E$5:$AD$5,0))</f>
        <v>15732</v>
      </c>
      <c r="BN397" s="393">
        <f t="shared" si="714"/>
        <v>0.95272139002444045</v>
      </c>
      <c r="BO397" s="46">
        <f t="shared" si="708"/>
        <v>14988.212907864498</v>
      </c>
      <c r="BP397" s="46">
        <f t="shared" si="709"/>
        <v>-743.78709213550246</v>
      </c>
      <c r="BQ397" s="129">
        <f>INDEX('Dist Plant Depreciation'!$D$7:$AC$94,MATCH($C397,'Dist Plant Depreciation'!$C$7:$C$94,0),MATCH(Calculation!$G397,'Dist Plant Depreciation'!$D$5:$AC$5,0))</f>
        <v>2074548</v>
      </c>
      <c r="BR397" s="129">
        <f>INDEX('Gen. Plant Depreciation'!$D$7:$AC$94,MATCH($C397,'Gen. Plant Depreciation'!$C$7:$C$94,0),MATCH(Calculation!$G397,'Gen. Plant Depreciation'!$D$5:$AC$5,0))</f>
        <v>61821</v>
      </c>
      <c r="BS397" s="129"/>
      <c r="BT397" s="129"/>
      <c r="BU397" s="129"/>
      <c r="BV397" s="129"/>
      <c r="BW397" s="129"/>
      <c r="BX397" s="129"/>
      <c r="BY397" s="129">
        <f>INDEX('Gross Dx Plant'!$D$7:$AC$91,MATCH($C397,'Gross Dx Plant'!$C$7:$C$91,0),MATCH(Calculation!$G397,'Gross Dx Plant'!$D$5:$AC$5,0))</f>
        <v>4181921</v>
      </c>
      <c r="BZ397" s="129">
        <f>INDEX('Gross Gen Plant'!$D$7:$AC$91,MATCH($C397,'Gross Gen Plant'!$C$7:$C$91,0),MATCH(Calculation!$G397,'Gross Gen Plant'!$D$5:$AC$5,0))</f>
        <v>207527</v>
      </c>
      <c r="CA397" s="129">
        <f t="shared" si="755"/>
        <v>2253079</v>
      </c>
      <c r="CB397" s="129"/>
      <c r="CC397" s="133">
        <v>2017</v>
      </c>
      <c r="CD397" s="129"/>
      <c r="CE397" s="129"/>
      <c r="CF397" s="129"/>
      <c r="CG397" s="137"/>
      <c r="CH397" s="129">
        <f t="shared" si="715"/>
        <v>410277</v>
      </c>
      <c r="CI397" s="46">
        <f t="shared" si="724"/>
        <v>409533.21290786448</v>
      </c>
      <c r="CJ397" s="46">
        <f t="shared" si="716"/>
        <v>574.84107498836158</v>
      </c>
      <c r="CK397" s="443">
        <v>0.77108433734939763</v>
      </c>
      <c r="CL397" s="46">
        <f>+CL378*CK397+CJ379*CK396+CJ380*CK395+CJ381*CK394+CJ382*CK393+CJ383*CK392+CJ384*CK391+CJ385*CK390+CJ386*CK389+CJ387*CK388+CJ388*CK387+CJ389*CK386+CJ390*CK385+CJ391*CK384+CJ392*CK383+CJ393*CK382+CJ394*CK381+CJ395*CK380+CJ396*CK379+CJ397</f>
        <v>7568.739561865742</v>
      </c>
      <c r="CM397" s="134">
        <f t="shared" si="717"/>
        <v>6.3822993085395227E-2</v>
      </c>
      <c r="CN397" s="135">
        <f t="shared" si="718"/>
        <v>1.5051015860555773E-2</v>
      </c>
      <c r="CO397" s="135">
        <f t="shared" si="727"/>
        <v>1.4887444772391673E-2</v>
      </c>
      <c r="CP397" s="134">
        <f>VLOOKUP($H397,RoR!$E:$F,2,FALSE)</f>
        <v>3.7433333333333339E-2</v>
      </c>
      <c r="CQ397" s="135">
        <v>1.9056896421275615E-2</v>
      </c>
      <c r="CR397" s="135">
        <f t="shared" si="725"/>
        <v>1.8376436912057724E-2</v>
      </c>
      <c r="CS397" s="135">
        <f t="shared" si="728"/>
        <v>1.601449683614195E-2</v>
      </c>
      <c r="CT397" s="135">
        <f t="shared" si="729"/>
        <v>1.3976271617800498E-2</v>
      </c>
      <c r="CU397" s="139">
        <f t="shared" si="719"/>
        <v>0.92230000000000001</v>
      </c>
      <c r="CV397" s="335">
        <f t="shared" si="720"/>
        <v>1.3699568463593395</v>
      </c>
      <c r="CW397" s="335">
        <f t="shared" si="721"/>
        <v>0.30714603739982199</v>
      </c>
      <c r="CX397" s="335">
        <f t="shared" si="722"/>
        <v>0.77007188472689425</v>
      </c>
      <c r="CY397" s="335">
        <f t="shared" si="723"/>
        <v>0.32402839633793828</v>
      </c>
      <c r="CZ397" s="336">
        <f>INDEX('State Tax Lookup'!$D$7:$Z$91,MATCH(Calculation!$C397,'State Tax Lookup'!$B$7:$B$91,0),MATCH($H397,'State Tax Lookup'!$D$6:$Z$6,0))</f>
        <v>0.20999999999999996</v>
      </c>
      <c r="DA397" s="303">
        <v>0.37</v>
      </c>
      <c r="DB397" s="57">
        <f t="shared" si="726"/>
        <v>13.303545932379098</v>
      </c>
      <c r="DC397" s="56">
        <f t="shared" si="730"/>
        <v>-9.0270992902813582E-2</v>
      </c>
      <c r="DD397" s="303">
        <f>VLOOKUP($H397,RoR!$E:$F,2,FALSE)</f>
        <v>3.7433333333333339E-2</v>
      </c>
      <c r="DE397" s="304">
        <f>HLOOKUP($H397,'GDP-PI'!$D$8:$CQ$11,3,FALSE)</f>
        <v>1.9056896421275615E-2</v>
      </c>
      <c r="DF397" s="303">
        <f>VLOOKUP(H397,'HW Dx Data'!$E:$F,2,FALSE)</f>
        <v>712.42858370229726</v>
      </c>
      <c r="DG397" s="89">
        <f ca="1">VLOOKUP(CC397,'ECI - Input Price'!M$13:N$33,2,FALSE)</f>
        <v>140.44999999999999</v>
      </c>
      <c r="DH397" s="89"/>
      <c r="DI397" s="89"/>
      <c r="DJ397" s="56">
        <f t="shared" ca="1" si="738"/>
        <v>2.5235657841165486E-2</v>
      </c>
      <c r="DK397" s="53">
        <f>HLOOKUP(H397,'GDP-PI'!$8:$9,2,FALSE)</f>
        <v>107.751</v>
      </c>
      <c r="DL397" s="355">
        <f t="shared" si="731"/>
        <v>1.8877588227745139E-2</v>
      </c>
      <c r="EC397"/>
    </row>
    <row r="398" spans="1:133" s="126" customFormat="1" ht="21" customHeight="1" x14ac:dyDescent="0.4">
      <c r="A398" s="233" t="s">
        <v>205</v>
      </c>
      <c r="B398" s="127" t="s">
        <v>205</v>
      </c>
      <c r="C398" s="127">
        <v>4057081</v>
      </c>
      <c r="D398" s="127" t="s">
        <v>206</v>
      </c>
      <c r="E398" s="127"/>
      <c r="F398" s="127"/>
      <c r="G398" s="127" t="s">
        <v>174</v>
      </c>
      <c r="H398" s="128">
        <v>2018</v>
      </c>
      <c r="I398" s="129"/>
      <c r="J398" s="125">
        <f>IFERROR(INDEX('Labor Expenditures'!$E$7:$W$91,MATCH($C398,'Labor Expenditures'!$C$7:$C$91,0),MATCH($G398,'Labor Expenditures'!$E$5:$W$5,0)),"NA")</f>
        <v>114322.44571808956</v>
      </c>
      <c r="K398" s="125">
        <f t="shared" ca="1" si="732"/>
        <v>791.43264602346528</v>
      </c>
      <c r="L398" s="47"/>
      <c r="M398" s="131">
        <f t="shared" ca="1" si="739"/>
        <v>3.9435930648074768E-2</v>
      </c>
      <c r="N398" s="131"/>
      <c r="O398" s="131"/>
      <c r="P398" s="59">
        <f t="shared" ca="1" si="741"/>
        <v>1.3655431593067352E-3</v>
      </c>
      <c r="Q398" s="61"/>
      <c r="R398" s="387"/>
      <c r="S398" s="49">
        <f t="shared" ca="1" si="746"/>
        <v>112.36375943620534</v>
      </c>
      <c r="T398" s="61">
        <f ca="1">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</f>
        <v>-0.36916424785022423</v>
      </c>
      <c r="U398" s="61"/>
      <c r="V398" s="125">
        <f>IFERROR(INDEX('Non-Labor Expenditures'!$E$7:$AA$91,MATCH($C398,'Non-Labor Expenditures'!$C$7:$C$91,0),MATCH($G398,'Non-Labor Expenditures'!$E$5:$AA$5,0)),"NA")</f>
        <v>165560.25388730245</v>
      </c>
      <c r="W398" s="125">
        <f t="shared" si="733"/>
        <v>1500.7002582195976</v>
      </c>
      <c r="X398" s="131">
        <f t="shared" si="742"/>
        <v>4.3937451293557597E-2</v>
      </c>
      <c r="Y398" s="131">
        <f t="shared" si="743"/>
        <v>1.5214167655054317E-3</v>
      </c>
      <c r="Z398" s="131"/>
      <c r="AA398" s="131"/>
      <c r="AB398" s="131"/>
      <c r="AC398" s="125">
        <f t="shared" si="713"/>
        <v>105443.37709971079</v>
      </c>
      <c r="AD398" s="129"/>
      <c r="AE398" s="133">
        <v>8748.3589532563783</v>
      </c>
      <c r="AF398" s="134">
        <v>7.1571642031534932E-2</v>
      </c>
      <c r="AG398" s="59">
        <f t="shared" si="734"/>
        <v>2.4783025167756305E-3</v>
      </c>
      <c r="AH398" s="134"/>
      <c r="AI398" s="134"/>
      <c r="AJ398" s="129">
        <f t="shared" si="664"/>
        <v>385326.07670510281</v>
      </c>
      <c r="AK398" s="134">
        <f t="shared" si="744"/>
        <v>7.8948795805871913E-2</v>
      </c>
      <c r="AL398" s="129"/>
      <c r="AM398" s="129"/>
      <c r="AN398" s="129"/>
      <c r="AO398" s="129"/>
      <c r="AP398" s="133">
        <f t="shared" si="745"/>
        <v>217.01114645718096</v>
      </c>
      <c r="AQ398" s="134">
        <f>+BB398/Outputs!$B$26</f>
        <v>4.7533623331522584E-2</v>
      </c>
      <c r="AR398" s="93">
        <f t="shared" si="735"/>
        <v>0.29669013500371699</v>
      </c>
      <c r="AS398" s="93">
        <f t="shared" si="736"/>
        <v>0.42966272955881152</v>
      </c>
      <c r="AT398" s="93">
        <f t="shared" si="737"/>
        <v>0.27364713543747149</v>
      </c>
      <c r="AU398" s="93">
        <f t="shared" ca="1" si="740"/>
        <v>5.0040853869658661E-2</v>
      </c>
      <c r="AV398" s="132">
        <f t="shared" ca="1" si="752"/>
        <v>96.539924304447041</v>
      </c>
      <c r="AW398" s="134">
        <f t="shared" ca="1" si="753"/>
        <v>5.0040853869658675E-2</v>
      </c>
      <c r="AX398" s="56">
        <f>+AJ398/$AL$23</f>
        <v>3.4626877998463056E-2</v>
      </c>
      <c r="AY398" s="135">
        <f t="shared" ca="1" si="747"/>
        <v>1.7327585418835888E-3</v>
      </c>
      <c r="AZ398" s="93"/>
      <c r="BA398" s="93"/>
      <c r="BB398" s="234">
        <f>IFERROR(INDEX('Total Customers'!$E$7:$AA$91,MATCH($C398,'Total Customers'!$C$7:$C$91,0),MATCH($G398,'Total Customers'!$E$5:$AA$5,0)),"NA")</f>
        <v>1775605</v>
      </c>
      <c r="BC398" s="411">
        <f t="shared" si="754"/>
        <v>6.6785748907439288E-3</v>
      </c>
      <c r="BD398" s="92"/>
      <c r="BE398" s="281" t="str">
        <f t="shared" si="748"/>
        <v>CONSUMERS ENERGY COMPANY</v>
      </c>
      <c r="BF398" s="290">
        <f t="shared" si="749"/>
        <v>4057081</v>
      </c>
      <c r="BG398" s="46" t="str">
        <f t="shared" si="750"/>
        <v>MI</v>
      </c>
      <c r="BH398" s="46"/>
      <c r="BI398" s="46" t="str">
        <f t="shared" si="751"/>
        <v>2018 Y</v>
      </c>
      <c r="BJ398" s="129"/>
      <c r="BK398" s="129"/>
      <c r="BL398" s="129">
        <f>INDEX('Dist. Plant Gas Additions'!$E$7:$AD$91,MATCH($C398,'Dist. Plant Gas Additions'!$C$7:$C$91,0),MATCH(Calculation!$G398,'Dist. Plant Gas Additions'!$E$5:$AD$5,0))</f>
        <v>486899</v>
      </c>
      <c r="BM398" s="129">
        <f>INDEX('Gen. Plant Additions'!$E$7:$AD$91,MATCH($C398,'Gen. Plant Additions'!$C$7:$C$91,0),MATCH(Calculation!$G398,'Gen. Plant Additions'!$E$5:$AD$5,0))</f>
        <v>21287</v>
      </c>
      <c r="BN398" s="393">
        <f t="shared" si="714"/>
        <v>0.95404181534213939</v>
      </c>
      <c r="BO398" s="46">
        <f t="shared" si="708"/>
        <v>20308.68812318812</v>
      </c>
      <c r="BP398" s="46">
        <f t="shared" si="709"/>
        <v>-978.31187681188021</v>
      </c>
      <c r="BQ398" s="129">
        <f>INDEX('Dist Plant Depreciation'!$D$7:$AC$94,MATCH($C398,'Dist Plant Depreciation'!$C$7:$C$94,0),MATCH(Calculation!$G398,'Dist Plant Depreciation'!$D$5:$AC$5,0))</f>
        <v>2178057</v>
      </c>
      <c r="BR398" s="129">
        <f>INDEX('Gen. Plant Depreciation'!$D$7:$AC$94,MATCH($C398,'Gen. Plant Depreciation'!$C$7:$C$94,0),MATCH(Calculation!$G398,'Gen. Plant Depreciation'!$D$5:$AC$5,0))</f>
        <v>73755</v>
      </c>
      <c r="BS398" s="129"/>
      <c r="BT398" s="129"/>
      <c r="BU398" s="129"/>
      <c r="BV398" s="129"/>
      <c r="BW398" s="129"/>
      <c r="BX398" s="129"/>
      <c r="BY398" s="129">
        <f>INDEX('Gross Dx Plant'!$D$7:$AC$91,MATCH($C398,'Gross Dx Plant'!$C$7:$C$91,0),MATCH(Calculation!$G398,'Gross Dx Plant'!$D$5:$AC$5,0))</f>
        <v>4650411</v>
      </c>
      <c r="BZ398" s="129">
        <f>INDEX('Gross Gen Plant'!$D$7:$AC$91,MATCH($C398,'Gross Gen Plant'!$C$7:$C$91,0),MATCH(Calculation!$G398,'Gross Gen Plant'!$D$5:$AC$5,0))</f>
        <v>224020</v>
      </c>
      <c r="CA398" s="129">
        <f t="shared" si="755"/>
        <v>2622619</v>
      </c>
      <c r="CB398" s="129"/>
      <c r="CC398" s="133">
        <v>2018</v>
      </c>
      <c r="CD398" s="129"/>
      <c r="CE398" s="129"/>
      <c r="CF398" s="129"/>
      <c r="CG398" s="137"/>
      <c r="CH398" s="129">
        <f t="shared" si="715"/>
        <v>508186</v>
      </c>
      <c r="CI398" s="46">
        <f t="shared" si="724"/>
        <v>507207.6881231881</v>
      </c>
      <c r="CJ398" s="46">
        <f t="shared" si="716"/>
        <v>671.67663615100514</v>
      </c>
      <c r="CK398" s="443">
        <v>0.75609756097560976</v>
      </c>
      <c r="CL398" s="46">
        <f>+CL378*CK398++CJ379*CK397+CJ380*CK396+CJ381*CK395+CJ382*CK394+CJ383*CK393+CJ384*CK392+CJ385*CK391+CJ386*CK390+CJ387*CK389+CJ388*CK388+CJ389*CK387+CJ390*CK386+CJ391*CK385+CJ392*CK384+CJ393*CK383+CJ394*CK382+CJ395*CK381+CJ396*CK380+CJ397*CK379+CJ398</f>
        <v>8125.3822869601263</v>
      </c>
      <c r="CM398" s="134">
        <f t="shared" si="717"/>
        <v>7.096622860282023E-2</v>
      </c>
      <c r="CN398" s="135">
        <f t="shared" si="718"/>
        <v>1.519855586473162E-2</v>
      </c>
      <c r="CO398" s="135">
        <f t="shared" si="727"/>
        <v>1.5048788537642051E-2</v>
      </c>
      <c r="CP398" s="134">
        <f>VLOOKUP($H398,RoR!$E:$F,2,FALSE)</f>
        <v>3.9299999999999995E-2</v>
      </c>
      <c r="CQ398" s="135">
        <v>2.386056741932796E-2</v>
      </c>
      <c r="CR398" s="135">
        <f t="shared" si="725"/>
        <v>1.5439432580672034E-2</v>
      </c>
      <c r="CS398" s="135">
        <f t="shared" si="728"/>
        <v>1.5853153070891572E-2</v>
      </c>
      <c r="CT398" s="135">
        <f t="shared" si="729"/>
        <v>3.8270792163076606E-2</v>
      </c>
      <c r="CU398" s="139">
        <f t="shared" si="719"/>
        <v>0.92230000000000001</v>
      </c>
      <c r="CV398" s="335">
        <f t="shared" si="720"/>
        <v>1.3048868010700074</v>
      </c>
      <c r="CW398" s="335">
        <f t="shared" si="721"/>
        <v>0.33886768447837151</v>
      </c>
      <c r="CX398" s="335">
        <f t="shared" si="722"/>
        <v>0.78602506232557801</v>
      </c>
      <c r="CY398" s="335">
        <f t="shared" si="723"/>
        <v>0.34756768162358759</v>
      </c>
      <c r="CZ398" s="336">
        <f>INDEX('State Tax Lookup'!$D$7:$Z$91,MATCH(Calculation!$C398,'State Tax Lookup'!$B$7:$B$91,0),MATCH($H398,'State Tax Lookup'!$D$6:$Z$6,0))</f>
        <v>0.20999999999999996</v>
      </c>
      <c r="DA398" s="303">
        <v>0.37</v>
      </c>
      <c r="DB398" s="57">
        <f t="shared" si="726"/>
        <v>13.931431546538555</v>
      </c>
      <c r="DC398" s="56">
        <f t="shared" si="730"/>
        <v>4.6116938521249554E-2</v>
      </c>
      <c r="DD398" s="303">
        <f>VLOOKUP($H398,RoR!$E:$F,2,FALSE)</f>
        <v>3.9299999999999995E-2</v>
      </c>
      <c r="DE398" s="304">
        <f>HLOOKUP($H398,'GDP-PI'!$D$8:$CQ$11,3,FALSE)</f>
        <v>2.386056741932796E-2</v>
      </c>
      <c r="DF398" s="303">
        <f>VLOOKUP(H398,'HW Dx Data'!$E:$F,2,FALSE)</f>
        <v>755.13671434174842</v>
      </c>
      <c r="DG398" s="89">
        <f ca="1">VLOOKUP(CC398,'ECI - Input Price'!M$13:N$33,2,FALSE)</f>
        <v>144.44999999999999</v>
      </c>
      <c r="DH398" s="89"/>
      <c r="DI398" s="89"/>
      <c r="DJ398" s="56">
        <f t="shared" ca="1" si="738"/>
        <v>2.80818733619915E-2</v>
      </c>
      <c r="DK398" s="53">
        <f>HLOOKUP(H398,'GDP-PI'!$8:$9,2,FALSE)</f>
        <v>110.322</v>
      </c>
      <c r="DL398" s="355">
        <f t="shared" si="731"/>
        <v>2.3580352716508712E-2</v>
      </c>
      <c r="EC398"/>
    </row>
    <row r="399" spans="1:133" s="126" customFormat="1" ht="21" customHeight="1" x14ac:dyDescent="0.4">
      <c r="A399" s="233" t="s">
        <v>205</v>
      </c>
      <c r="B399" s="127" t="s">
        <v>205</v>
      </c>
      <c r="C399" s="127">
        <v>4057081</v>
      </c>
      <c r="D399" s="127" t="s">
        <v>206</v>
      </c>
      <c r="E399" s="127"/>
      <c r="F399" s="127"/>
      <c r="G399" s="127" t="s">
        <v>175</v>
      </c>
      <c r="H399" s="128">
        <v>2019</v>
      </c>
      <c r="I399" s="129"/>
      <c r="J399" s="125">
        <f>IFERROR(INDEX('Labor Expenditures'!$E$7:$W$91,MATCH($C399,'Labor Expenditures'!$C$7:$C$91,0),MATCH($G399,'Labor Expenditures'!$E$5:$W$5,0)),"NA")</f>
        <v>114700.57730108232</v>
      </c>
      <c r="K399" s="125">
        <f t="shared" ca="1" si="732"/>
        <v>766.33089895495107</v>
      </c>
      <c r="L399" s="47"/>
      <c r="M399" s="131">
        <f t="shared" ca="1" si="739"/>
        <v>-3.2230719645143555E-2</v>
      </c>
      <c r="N399" s="131"/>
      <c r="O399" s="131"/>
      <c r="P399" s="59">
        <f t="shared" ca="1" si="741"/>
        <v>-1.1193671514154728E-3</v>
      </c>
      <c r="Q399" s="61"/>
      <c r="R399" s="387"/>
      <c r="S399" s="49">
        <f t="shared" ca="1" si="746"/>
        <v>113.75607841848763</v>
      </c>
      <c r="T399" s="61">
        <f ca="1">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</f>
        <v>1.2315032524717823E-2</v>
      </c>
      <c r="U399" s="61"/>
      <c r="V399" s="125">
        <f>IFERROR(INDEX('Non-Labor Expenditures'!$E$7:$AA$91,MATCH($C399,'Non-Labor Expenditures'!$C$7:$C$91,0),MATCH($G399,'Non-Labor Expenditures'!$E$5:$AA$5,0)),"NA")</f>
        <v>166107.85904471367</v>
      </c>
      <c r="W399" s="125">
        <f t="shared" si="733"/>
        <v>1478.9068452493248</v>
      </c>
      <c r="X399" s="131">
        <f t="shared" si="742"/>
        <v>-1.4628641197373766E-2</v>
      </c>
      <c r="Y399" s="131">
        <f t="shared" si="743"/>
        <v>-5.0805010271157949E-4</v>
      </c>
      <c r="Z399" s="131"/>
      <c r="AA399" s="131"/>
      <c r="AB399" s="131"/>
      <c r="AC399" s="125">
        <f t="shared" si="713"/>
        <v>114872.34065679615</v>
      </c>
      <c r="AD399" s="129"/>
      <c r="AE399" s="133">
        <v>9456.9060872989958</v>
      </c>
      <c r="AF399" s="134">
        <v>7.787914290714297E-2</v>
      </c>
      <c r="AG399" s="59">
        <f t="shared" si="734"/>
        <v>2.7047287590980774E-3</v>
      </c>
      <c r="AH399" s="134"/>
      <c r="AI399" s="134"/>
      <c r="AJ399" s="129">
        <f t="shared" si="664"/>
        <v>395680.77700259211</v>
      </c>
      <c r="AK399" s="134">
        <f t="shared" si="744"/>
        <v>2.6517839179071759E-2</v>
      </c>
      <c r="AL399" s="129"/>
      <c r="AM399" s="129"/>
      <c r="AN399" s="129"/>
      <c r="AO399" s="129"/>
      <c r="AP399" s="133">
        <f t="shared" si="745"/>
        <v>222.03436284915412</v>
      </c>
      <c r="AQ399" s="134">
        <f>+BB399/Outputs!$B$27</f>
        <v>4.7313248046632991E-2</v>
      </c>
      <c r="AR399" s="93">
        <f t="shared" si="735"/>
        <v>0.28988160145149261</v>
      </c>
      <c r="AS399" s="93">
        <f t="shared" si="736"/>
        <v>0.41980270131653502</v>
      </c>
      <c r="AT399" s="93">
        <f t="shared" si="737"/>
        <v>0.29031569723197248</v>
      </c>
      <c r="AU399" s="93">
        <f t="shared" ca="1" si="740"/>
        <v>6.294393926239969E-3</v>
      </c>
      <c r="AV399" s="132">
        <f t="shared" ca="1" si="752"/>
        <v>97.149501063165246</v>
      </c>
      <c r="AW399" s="134">
        <f t="shared" ca="1" si="753"/>
        <v>6.2943939262400019E-3</v>
      </c>
      <c r="AX399" s="56">
        <f>+AJ399/$AL$24</f>
        <v>3.4729821851313715E-2</v>
      </c>
      <c r="AY399" s="135">
        <f t="shared" ca="1" si="747"/>
        <v>2.1860317972030634E-4</v>
      </c>
      <c r="AZ399" s="93"/>
      <c r="BA399" s="93"/>
      <c r="BB399" s="234">
        <f>IFERROR(INDEX('Total Customers'!$E$7:$AA$91,MATCH($C399,'Total Customers'!$C$7:$C$91,0),MATCH($G399,'Total Customers'!$E$5:$AA$5,0)),"NA")</f>
        <v>1782070</v>
      </c>
      <c r="BC399" s="411">
        <f t="shared" si="754"/>
        <v>3.6344000597434466E-3</v>
      </c>
      <c r="BD399" s="92"/>
      <c r="BE399" s="281" t="str">
        <f t="shared" si="748"/>
        <v>CONSUMERS ENERGY COMPANY</v>
      </c>
      <c r="BF399" s="290">
        <f t="shared" si="749"/>
        <v>4057081</v>
      </c>
      <c r="BG399" s="46" t="str">
        <f t="shared" si="750"/>
        <v>MI</v>
      </c>
      <c r="BH399" s="46"/>
      <c r="BI399" s="46" t="str">
        <f t="shared" si="751"/>
        <v>2019 Y</v>
      </c>
      <c r="BJ399" s="129"/>
      <c r="BK399" s="129"/>
      <c r="BL399" s="129">
        <f>INDEX('Dist. Plant Gas Additions'!$E$7:$AD$91,MATCH($C399,'Dist. Plant Gas Additions'!$C$7:$C$91,0),MATCH(Calculation!$G399,'Dist. Plant Gas Additions'!$E$5:$AD$5,0))</f>
        <v>590954</v>
      </c>
      <c r="BM399" s="129">
        <f>INDEX('Gen. Plant Additions'!$E$7:$AD$91,MATCH($C399,'Gen. Plant Additions'!$C$7:$C$91,0),MATCH(Calculation!$G399,'Gen. Plant Additions'!$E$5:$AD$5,0))</f>
        <v>14953</v>
      </c>
      <c r="BN399" s="393">
        <f t="shared" si="714"/>
        <v>0.95692874927299465</v>
      </c>
      <c r="BO399" s="46">
        <f t="shared" si="708"/>
        <v>14308.955587879089</v>
      </c>
      <c r="BP399" s="46">
        <f t="shared" si="709"/>
        <v>-644.04441212091115</v>
      </c>
      <c r="BQ399" s="129">
        <f>INDEX('Dist Plant Depreciation'!$D$7:$AC$94,MATCH($C399,'Dist Plant Depreciation'!$C$7:$C$94,0),MATCH(Calculation!$G399,'Dist Plant Depreciation'!$D$5:$AC$5,0))</f>
        <v>2295251</v>
      </c>
      <c r="BR399" s="129">
        <f>INDEX('Gen. Plant Depreciation'!$D$7:$AC$94,MATCH($C399,'Gen. Plant Depreciation'!$C$7:$C$94,0),MATCH(Calculation!$G399,'Gen. Plant Depreciation'!$D$5:$AC$5,0))</f>
        <v>86867</v>
      </c>
      <c r="BS399" s="129"/>
      <c r="BT399" s="129"/>
      <c r="BU399" s="129"/>
      <c r="BV399" s="129"/>
      <c r="BW399" s="129"/>
      <c r="BX399" s="129"/>
      <c r="BY399" s="129">
        <f>INDEX('Gross Dx Plant'!$D$7:$AC$91,MATCH($C399,'Gross Dx Plant'!$C$7:$C$91,0),MATCH(Calculation!$G399,'Gross Dx Plant'!$D$5:$AC$5,0))</f>
        <v>5235428</v>
      </c>
      <c r="BZ399" s="129">
        <f>INDEX('Gross Gen Plant'!$D$7:$AC$91,MATCH($C399,'Gross Gen Plant'!$C$7:$C$91,0),MATCH(Calculation!$G399,'Gross Gen Plant'!$D$5:$AC$5,0))</f>
        <v>235646</v>
      </c>
      <c r="CA399" s="129">
        <f t="shared" si="755"/>
        <v>3088956</v>
      </c>
      <c r="CB399" s="129"/>
      <c r="CC399" s="133">
        <v>2019</v>
      </c>
      <c r="CD399" s="129"/>
      <c r="CE399" s="129"/>
      <c r="CF399" s="129"/>
      <c r="CG399" s="137"/>
      <c r="CH399" s="129">
        <f t="shared" si="715"/>
        <v>605907</v>
      </c>
      <c r="CI399" s="46">
        <f t="shared" si="724"/>
        <v>605262.95558787906</v>
      </c>
      <c r="CJ399" s="46">
        <f t="shared" si="716"/>
        <v>782.45921984859012</v>
      </c>
      <c r="CK399" s="443">
        <v>0.7407407407407407</v>
      </c>
      <c r="CL399" s="46">
        <f>CL378*CK399+CJ379*CK398+CJ380*CK397+CJ381*CK396+CJ382*CK395+CJ383*CK394+CJ384*CK393+CJ385*CK392+CJ386*CK391+CJ387*CK390+CJ388*CK389+CJ389*CK388+CJ390*CK387+CJ391*CK386+CJ392*CK385+CJ393*CK384+CJ394*CK383+CJ395*CK382+CJ396*CK381+CJ397*CK380+CJ398*CK379+CJ399</f>
        <v>8783.4879730207194</v>
      </c>
      <c r="CM399" s="134">
        <f t="shared" si="717"/>
        <v>7.7880814389055336E-2</v>
      </c>
      <c r="CN399" s="135">
        <f t="shared" si="718"/>
        <v>1.5304330232875751E-2</v>
      </c>
      <c r="CO399" s="135">
        <f t="shared" si="727"/>
        <v>1.5184633986054382E-2</v>
      </c>
      <c r="CP399" s="134">
        <f>VLOOKUP($H399,RoR!$E:$F,2,FALSE)</f>
        <v>3.3875000000000009E-2</v>
      </c>
      <c r="CQ399" s="135">
        <v>1.8092492884465461E-2</v>
      </c>
      <c r="CR399" s="135">
        <f t="shared" si="725"/>
        <v>1.5782507115534548E-2</v>
      </c>
      <c r="CS399" s="135">
        <f t="shared" si="728"/>
        <v>1.5717307622479242E-2</v>
      </c>
      <c r="CT399" s="135">
        <f t="shared" si="729"/>
        <v>4.8445665544254078E-2</v>
      </c>
      <c r="CU399" s="139">
        <f t="shared" si="719"/>
        <v>0.92230000000000001</v>
      </c>
      <c r="CV399" s="335">
        <f t="shared" si="720"/>
        <v>1.513861292459078</v>
      </c>
      <c r="CW399" s="335">
        <f t="shared" si="721"/>
        <v>0.23699261992619944</v>
      </c>
      <c r="CX399" s="335">
        <f t="shared" si="722"/>
        <v>0.73619765810468829</v>
      </c>
      <c r="CY399" s="335">
        <f t="shared" si="723"/>
        <v>0.26412854465362851</v>
      </c>
      <c r="CZ399" s="336">
        <f>INDEX('State Tax Lookup'!$D$7:$Z$91,MATCH(Calculation!$C399,'State Tax Lookup'!$B$7:$B$91,0),MATCH($H399,'State Tax Lookup'!$D$6:$Z$6,0))</f>
        <v>0.20999999999999996</v>
      </c>
      <c r="DA399" s="303">
        <v>0.37</v>
      </c>
      <c r="DB399" s="57">
        <f t="shared" si="726"/>
        <v>14.13746905682788</v>
      </c>
      <c r="DC399" s="56">
        <f t="shared" si="730"/>
        <v>1.4681103038206217E-2</v>
      </c>
      <c r="DD399" s="303">
        <f>VLOOKUP($H399,RoR!$E:$F,2,FALSE)</f>
        <v>3.3875000000000009E-2</v>
      </c>
      <c r="DE399" s="304">
        <f>HLOOKUP($H399,'GDP-PI'!$D$8:$CQ$11,3,FALSE)</f>
        <v>1.8092492884465461E-2</v>
      </c>
      <c r="DF399" s="303">
        <f>VLOOKUP(H399,'HW Dx Data'!$E:$F,2,FALSE)</f>
        <v>773.53929793938721</v>
      </c>
      <c r="DG399" s="89">
        <f ca="1">VLOOKUP(CC399,'ECI - Input Price'!M$13:N$33,2,FALSE)</f>
        <v>149.67500000000001</v>
      </c>
      <c r="DH399" s="89"/>
      <c r="DI399" s="89"/>
      <c r="DJ399" s="56">
        <f t="shared" ca="1" si="738"/>
        <v>3.5532849899171604E-2</v>
      </c>
      <c r="DK399" s="53">
        <f>HLOOKUP(H399,'GDP-PI'!$8:$9,2,FALSE)</f>
        <v>112.318</v>
      </c>
      <c r="DL399" s="355">
        <f t="shared" si="731"/>
        <v>1.7930771451401852E-2</v>
      </c>
      <c r="EC399"/>
    </row>
    <row r="400" spans="1:133" s="126" customFormat="1" ht="21" customHeight="1" x14ac:dyDescent="0.4">
      <c r="A400" s="233" t="s">
        <v>205</v>
      </c>
      <c r="B400" s="126" t="s">
        <v>205</v>
      </c>
      <c r="C400" s="126">
        <v>4057081</v>
      </c>
      <c r="D400" s="126" t="s">
        <v>206</v>
      </c>
      <c r="G400" s="127" t="s">
        <v>176</v>
      </c>
      <c r="H400" s="128">
        <v>2020</v>
      </c>
      <c r="I400" s="129"/>
      <c r="J400" s="125">
        <f>IFERROR(INDEX('Labor Expenditures'!$E$7:$W$91,MATCH($C400,'Labor Expenditures'!$C$7:$C$91,0),MATCH($G400,'Labor Expenditures'!$E$5:$W$5,0)),"NA")</f>
        <v>104019.6138718424</v>
      </c>
      <c r="K400" s="125">
        <f t="shared" ca="1" si="732"/>
        <v>679.20087412237933</v>
      </c>
      <c r="L400" s="47"/>
      <c r="M400" s="131">
        <f t="shared" ca="1" si="739"/>
        <v>-0.12069713744821974</v>
      </c>
      <c r="N400" s="131"/>
      <c r="O400" s="131"/>
      <c r="P400" s="59">
        <f t="shared" ca="1" si="741"/>
        <v>-3.9984879082211261E-3</v>
      </c>
      <c r="Q400" s="61"/>
      <c r="R400" s="387"/>
      <c r="S400" s="49">
        <f t="shared" ca="1" si="746"/>
        <v>113.1853360094173</v>
      </c>
      <c r="T400" s="61">
        <f ca="1">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</f>
        <v>-5.0298762242884697E-3</v>
      </c>
      <c r="U400" s="61"/>
      <c r="V400" s="125">
        <f>IFERROR(INDEX('Non-Labor Expenditures'!$E$7:$AA$91,MATCH($C400,'Non-Labor Expenditures'!$C$7:$C$91,0),MATCH($G400,'Non-Labor Expenditures'!$E$5:$AA$5,0)),"NA")</f>
        <v>150639.8290703852</v>
      </c>
      <c r="W400" s="125">
        <f t="shared" si="733"/>
        <v>1325.7864083010058</v>
      </c>
      <c r="X400" s="131">
        <f t="shared" si="742"/>
        <v>-0.10929739771224391</v>
      </c>
      <c r="Y400" s="131">
        <f t="shared" si="743"/>
        <v>-3.6208342003134115E-3</v>
      </c>
      <c r="Z400" s="131"/>
      <c r="AA400" s="131"/>
      <c r="AB400" s="131"/>
      <c r="AC400" s="125">
        <f t="shared" si="713"/>
        <v>129697.9681869718</v>
      </c>
      <c r="AD400" s="129"/>
      <c r="AE400" s="133">
        <v>9987.7605714040983</v>
      </c>
      <c r="AF400" s="134">
        <v>5.4615123016629727E-2</v>
      </c>
      <c r="AG400" s="59">
        <f t="shared" si="734"/>
        <v>1.8093047905273607E-3</v>
      </c>
      <c r="AH400" s="134"/>
      <c r="AI400" s="134"/>
      <c r="AJ400" s="129">
        <f t="shared" si="664"/>
        <v>384357.41112919938</v>
      </c>
      <c r="AK400" s="134">
        <f t="shared" si="744"/>
        <v>-2.9034889635870496E-2</v>
      </c>
      <c r="AL400" s="129"/>
      <c r="AM400" s="129"/>
      <c r="AN400" s="129"/>
      <c r="AO400" s="129"/>
      <c r="AP400" s="133">
        <f t="shared" si="745"/>
        <v>213.8372070841142</v>
      </c>
      <c r="AQ400" s="134">
        <f>+BB400/Outputs!$B$28</f>
        <v>4.7384064473097551E-2</v>
      </c>
      <c r="AR400" s="93">
        <f t="shared" si="735"/>
        <v>0.27063251770336449</v>
      </c>
      <c r="AS400" s="93">
        <f t="shared" si="736"/>
        <v>0.39192643281632611</v>
      </c>
      <c r="AT400" s="93">
        <f t="shared" si="737"/>
        <v>0.33744104948030945</v>
      </c>
      <c r="AU400" s="93">
        <f t="shared" ca="1" si="740"/>
        <v>-6.1043659871512876E-2</v>
      </c>
      <c r="AV400" s="132">
        <f t="shared" ca="1" si="752"/>
        <v>91.39651788553185</v>
      </c>
      <c r="AW400" s="134">
        <f t="shared" ca="1" si="753"/>
        <v>-6.1043659871512897E-2</v>
      </c>
      <c r="AX400" s="56">
        <f>+AJ400/$AL$25</f>
        <v>3.3128274561909282E-2</v>
      </c>
      <c r="AY400" s="135">
        <f t="shared" ca="1" si="747"/>
        <v>-2.0222711244872833E-3</v>
      </c>
      <c r="AZ400" s="93"/>
      <c r="BA400" s="93"/>
      <c r="BB400" s="234">
        <f>IFERROR(INDEX('Total Customers'!$E$7:$AA$91,MATCH($C400,'Total Customers'!$C$7:$C$91,0),MATCH($G400,'Total Customers'!$E$5:$AA$5,0)),"NA")</f>
        <v>1797430</v>
      </c>
      <c r="BC400" s="411">
        <f t="shared" si="754"/>
        <v>8.5822568953513954E-3</v>
      </c>
      <c r="BD400" s="92"/>
      <c r="BE400" s="281" t="str">
        <f t="shared" si="748"/>
        <v>CONSUMERS ENERGY COMPANY</v>
      </c>
      <c r="BF400" s="290">
        <f t="shared" si="749"/>
        <v>4057081</v>
      </c>
      <c r="BG400" s="46" t="str">
        <f t="shared" si="750"/>
        <v>MI</v>
      </c>
      <c r="BH400" s="46"/>
      <c r="BI400" s="46" t="str">
        <f t="shared" si="751"/>
        <v>2020 Y</v>
      </c>
      <c r="BJ400" s="129"/>
      <c r="BK400" s="129"/>
      <c r="BL400" s="129">
        <f>INDEX('Dist. Plant Gas Additions'!$E$7:$AD$91,MATCH($C400,'Dist. Plant Gas Additions'!$C$7:$C$91,0),MATCH(Calculation!$G400,'Dist. Plant Gas Additions'!$E$5:$AD$5,0))</f>
        <v>481405</v>
      </c>
      <c r="BM400" s="129">
        <f>INDEX('Gen. Plant Additions'!$E$7:$AD$91,MATCH($C400,'Gen. Plant Additions'!$C$7:$C$91,0),MATCH(Calculation!$G400,'Gen. Plant Additions'!$E$5:$AD$5,0))</f>
        <v>16555</v>
      </c>
      <c r="BN400" s="393">
        <f t="shared" si="714"/>
        <v>0.95800567315159668</v>
      </c>
      <c r="BO400" s="46">
        <f t="shared" si="708"/>
        <v>15859.783919024683</v>
      </c>
      <c r="BP400" s="46">
        <f t="shared" si="709"/>
        <v>-695.2160809753168</v>
      </c>
      <c r="BQ400" s="129">
        <f>INDEX('Dist Plant Depreciation'!$D$7:$AC$94,MATCH($C400,'Dist Plant Depreciation'!$C$7:$C$94,0),MATCH(Calculation!$G400,'Dist Plant Depreciation'!$D$5:$AC$5,0))</f>
        <v>2413834</v>
      </c>
      <c r="BR400" s="129">
        <f>INDEX('Gen. Plant Depreciation'!$D$7:$AC$94,MATCH($C400,'Gen. Plant Depreciation'!$C$7:$C$94,0),MATCH(Calculation!$G400,'Gen. Plant Depreciation'!$D$5:$AC$5,0))</f>
        <v>103586</v>
      </c>
      <c r="BS400" s="129"/>
      <c r="BT400" s="129"/>
      <c r="BU400" s="129"/>
      <c r="BV400" s="129"/>
      <c r="BW400" s="129"/>
      <c r="BX400" s="129"/>
      <c r="BY400" s="129">
        <f>INDEX('Gross Dx Plant'!$D$7:$AC$91,MATCH($C400,'Gross Dx Plant'!$C$7:$C$91,0),MATCH(Calculation!$G400,'Gross Dx Plant'!$D$5:$AC$5,0))</f>
        <v>5701611</v>
      </c>
      <c r="BZ400" s="129">
        <f>INDEX('Gross Gen Plant'!$D$7:$AC$91,MATCH($C400,'Gross Gen Plant'!$C$7:$C$91,0),MATCH(Calculation!$G400,'Gross Gen Plant'!$D$5:$AC$5,0))</f>
        <v>249931</v>
      </c>
      <c r="CA400" s="129">
        <f t="shared" si="755"/>
        <v>3434122</v>
      </c>
      <c r="CB400" s="129"/>
      <c r="CC400" s="133">
        <v>2020</v>
      </c>
      <c r="CD400" s="129"/>
      <c r="CE400" s="129"/>
      <c r="CF400" s="129"/>
      <c r="CG400" s="137"/>
      <c r="CH400" s="129">
        <f t="shared" si="715"/>
        <v>497960</v>
      </c>
      <c r="CI400" s="46">
        <f t="shared" si="724"/>
        <v>497264.78391902469</v>
      </c>
      <c r="CJ400" s="46">
        <f t="shared" si="716"/>
        <v>611.58149820707456</v>
      </c>
      <c r="CK400" s="443">
        <v>0.72499999999999998</v>
      </c>
      <c r="CL400" s="46">
        <f>CL378*CK400+CJ379*CK399+CJ380*CK398+CJ381*CK397+CJ382*CK396+CJ383*CK395+CJ384*CK394+CJ385*CK393+CJ386*CK392+CJ387*CK391+CJ388*CK390+CJ389*CK389+CJ390*CK388+CJ391*CK387+CJ392*CK386+CJ393*CK385+CJ394*CK384+CJ395*CK383+CJ396*CK382+CJ397*CK381+CJ398*CK380+CJ399*CK379+CJ400</f>
        <v>9260.0719008548076</v>
      </c>
      <c r="CM400" s="134">
        <f t="shared" si="717"/>
        <v>5.2838221098296931E-2</v>
      </c>
      <c r="CN400" s="135">
        <f t="shared" si="718"/>
        <v>1.5369471761974705E-2</v>
      </c>
      <c r="CO400" s="135">
        <f t="shared" si="727"/>
        <v>1.5290785953194025E-2</v>
      </c>
      <c r="CP400" s="134">
        <f>VLOOKUP($H400,RoR!$E:$F,2,FALSE)</f>
        <v>2.4766666666666666E-2</v>
      </c>
      <c r="CQ400" s="135">
        <v>1.1618796630994188E-2</v>
      </c>
      <c r="CR400" s="135">
        <f t="shared" si="725"/>
        <v>1.3147870035672478E-2</v>
      </c>
      <c r="CS400" s="135">
        <f t="shared" si="728"/>
        <v>1.56111556553396E-2</v>
      </c>
      <c r="CT400" s="135">
        <f t="shared" si="729"/>
        <v>4.5144642961987357E-2</v>
      </c>
      <c r="CU400" s="139">
        <f t="shared" si="719"/>
        <v>0.92230000000000001</v>
      </c>
      <c r="CV400" s="335">
        <f t="shared" si="720"/>
        <v>2.0706077233668081</v>
      </c>
      <c r="CW400" s="335">
        <f t="shared" si="721"/>
        <v>-3.4421265141318998E-2</v>
      </c>
      <c r="CX400" s="335">
        <f t="shared" si="722"/>
        <v>0.62416226176410472</v>
      </c>
      <c r="CY400" s="335">
        <f t="shared" si="723"/>
        <v>-4.4485877841158712E-2</v>
      </c>
      <c r="CZ400" s="336">
        <f>INDEX('State Tax Lookup'!$D$7:$Z$91,MATCH(Calculation!$C400,'State Tax Lookup'!$B$7:$B$91,0),MATCH($H400,'State Tax Lookup'!$D$6:$Z$6,0))</f>
        <v>0.20999999999999996</v>
      </c>
      <c r="DA400" s="303">
        <v>0.37</v>
      </c>
      <c r="DB400" s="57">
        <f t="shared" si="726"/>
        <v>14.7661121168892</v>
      </c>
      <c r="DC400" s="56">
        <f t="shared" si="730"/>
        <v>4.3506180807082608E-2</v>
      </c>
      <c r="DD400" s="303">
        <f>VLOOKUP($H400,RoR!$E:$F,2,FALSE)</f>
        <v>2.4766666666666666E-2</v>
      </c>
      <c r="DE400" s="304">
        <f>HLOOKUP($H400,'GDP-PI'!$D$8:$CQ$11,3,FALSE)</f>
        <v>1.1618796630994188E-2</v>
      </c>
      <c r="DF400" s="303">
        <f>VLOOKUP(H400,'HW Dx Data'!$E:$F,2,FALSE)</f>
        <v>813.080162458833</v>
      </c>
      <c r="DG400" s="89">
        <f ca="1">VLOOKUP(CC400,'ECI - Input Price'!M$13:N$33,2,FALSE)</f>
        <v>153.15</v>
      </c>
      <c r="DH400" s="89"/>
      <c r="DI400" s="89"/>
      <c r="DJ400" s="56">
        <f t="shared" ca="1" si="738"/>
        <v>2.2951556467368479E-2</v>
      </c>
      <c r="DK400" s="53">
        <f>HLOOKUP(H400,'GDP-PI'!$8:$9,2,FALSE)</f>
        <v>113.623</v>
      </c>
      <c r="DL400" s="355">
        <f t="shared" si="731"/>
        <v>1.1551816731392881E-2</v>
      </c>
      <c r="EC400"/>
    </row>
    <row r="401" spans="1:133" s="126" customFormat="1" ht="21" customHeight="1" x14ac:dyDescent="0.4">
      <c r="A401" s="233" t="s">
        <v>205</v>
      </c>
      <c r="B401" s="126" t="s">
        <v>205</v>
      </c>
      <c r="C401" s="126">
        <v>4057081</v>
      </c>
      <c r="D401" s="126" t="s">
        <v>206</v>
      </c>
      <c r="G401" s="127" t="s">
        <v>177</v>
      </c>
      <c r="H401" s="128">
        <v>2021</v>
      </c>
      <c r="I401" s="129"/>
      <c r="J401" s="125">
        <v>114352.14945213952</v>
      </c>
      <c r="K401" s="125">
        <f t="shared" ca="1" si="732"/>
        <v>727.19967855096672</v>
      </c>
      <c r="L401" s="47"/>
      <c r="M401" s="130">
        <f t="shared" ca="1" si="739"/>
        <v>6.8284178842046503E-2</v>
      </c>
      <c r="N401" s="130"/>
      <c r="O401" s="130"/>
      <c r="P401" s="59">
        <f t="shared" ca="1" si="741"/>
        <v>2.2179028845177376E-3</v>
      </c>
      <c r="Q401" s="61"/>
      <c r="R401" s="387"/>
      <c r="S401" s="132">
        <f ca="1">+S400*EXP(T401)</f>
        <v>118.43241047449852</v>
      </c>
      <c r="T401" s="134">
        <f ca="1">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</f>
        <v>4.5315805281304099E-2</v>
      </c>
      <c r="U401" s="134"/>
      <c r="V401" s="125">
        <v>161195.19862530514</v>
      </c>
      <c r="W401" s="125">
        <f t="shared" si="733"/>
        <v>1360.4118374994105</v>
      </c>
      <c r="X401" s="131">
        <f t="shared" si="742"/>
        <v>2.5781676521194525E-2</v>
      </c>
      <c r="Y401" s="131">
        <f t="shared" si="743"/>
        <v>8.3740122080593537E-4</v>
      </c>
      <c r="Z401" s="131"/>
      <c r="AA401" s="131"/>
      <c r="AB401" s="131"/>
      <c r="AC401" s="125">
        <f t="shared" si="713"/>
        <v>141670.10112303845</v>
      </c>
      <c r="AD401" s="129"/>
      <c r="AE401" s="133">
        <v>10568.889206536356</v>
      </c>
      <c r="AF401" s="134"/>
      <c r="AG401" s="59">
        <f t="shared" si="734"/>
        <v>0</v>
      </c>
      <c r="AH401" s="134"/>
      <c r="AI401" s="134"/>
      <c r="AJ401" s="129">
        <f t="shared" si="664"/>
        <v>417217.4492004831</v>
      </c>
      <c r="AK401" s="134">
        <f t="shared" si="744"/>
        <v>8.2034668947830874E-2</v>
      </c>
      <c r="AL401" s="129"/>
      <c r="AM401" s="134"/>
      <c r="AN401" s="134"/>
      <c r="AO401" s="134"/>
      <c r="AP401" s="133">
        <f t="shared" si="745"/>
        <v>231.06680010261499</v>
      </c>
      <c r="AQ401" s="134">
        <f>+BB401/Outputs!$B$29</f>
        <v>4.6769960903639801E-2</v>
      </c>
      <c r="AR401" s="93">
        <f t="shared" si="735"/>
        <v>0.27408285456726078</v>
      </c>
      <c r="AS401" s="93">
        <f t="shared" si="736"/>
        <v>0.38635775884782553</v>
      </c>
      <c r="AT401" s="93">
        <f t="shared" si="737"/>
        <v>0.33955938658491375</v>
      </c>
      <c r="AU401" s="93">
        <f t="shared" ca="1" si="740"/>
        <v>2.8630456584591915E-2</v>
      </c>
      <c r="AV401" s="132">
        <f t="shared" ca="1" si="752"/>
        <v>94.051060987745075</v>
      </c>
      <c r="AW401" s="134">
        <f t="shared" ca="1" si="753"/>
        <v>2.8630456584591912E-2</v>
      </c>
      <c r="AX401" s="56">
        <f>+AJ401/$AL$26</f>
        <v>3.2480479697180556E-2</v>
      </c>
      <c r="AY401" s="135">
        <f t="shared" ca="1" si="747"/>
        <v>9.299309638168469E-4</v>
      </c>
      <c r="AZ401" s="93"/>
      <c r="BA401" s="93"/>
      <c r="BB401" s="234">
        <f>INDEX('Total Customers'!$D$7:$D$91,MATCH(Calculation!$C401,'Total Customers'!$C$7:$C$91,0))</f>
        <v>1805614</v>
      </c>
      <c r="BC401" s="411">
        <f t="shared" si="754"/>
        <v>4.5428332680127427E-3</v>
      </c>
      <c r="BD401" s="91"/>
      <c r="BE401" s="281" t="str">
        <f t="shared" si="748"/>
        <v>CONSUMERS ENERGY COMPANY</v>
      </c>
      <c r="BF401" s="290">
        <f t="shared" si="749"/>
        <v>4057081</v>
      </c>
      <c r="BG401" s="46" t="str">
        <f t="shared" si="750"/>
        <v>MI</v>
      </c>
      <c r="BH401" s="46"/>
      <c r="BI401" s="46" t="str">
        <f t="shared" si="751"/>
        <v>2021 Y</v>
      </c>
      <c r="BJ401" s="129"/>
      <c r="BK401" s="129"/>
      <c r="BL401" s="129">
        <f>INDEX('Dist. Plant Gas Additions'!$D$7:$AD$91,MATCH($C401,'Dist. Plant Gas Additions'!$C$7:$C$91,0),MATCH(Calculation!$G401,'Dist. Plant Gas Additions'!$D$5:$AD$5,0))</f>
        <v>656622</v>
      </c>
      <c r="BM401" s="129">
        <f>INDEX('Gen. Plant Additions'!$D$7:$AD$91,MATCH($C401,'Gen. Plant Additions'!$C$7:$C$91,0),MATCH(Calculation!$G401,'Gen. Plant Additions'!$D$5:$AD$5,0))</f>
        <v>5000</v>
      </c>
      <c r="BN401" s="343">
        <v>0.95800567315159668</v>
      </c>
      <c r="BO401" s="46">
        <f t="shared" si="708"/>
        <v>4790.028365757983</v>
      </c>
      <c r="BP401" s="46">
        <f t="shared" si="709"/>
        <v>-209.97163424201699</v>
      </c>
      <c r="BQ401" s="129"/>
      <c r="BR401" s="129"/>
      <c r="BS401" s="137"/>
      <c r="BT401" s="137"/>
      <c r="BU401" s="333"/>
      <c r="BV401" s="93"/>
      <c r="BW401" s="334"/>
      <c r="BX401" s="334"/>
      <c r="BY401" s="129"/>
      <c r="BZ401" s="129"/>
      <c r="CA401" s="129"/>
      <c r="CB401" s="129"/>
      <c r="CC401" s="133">
        <v>2021</v>
      </c>
      <c r="CD401" s="129"/>
      <c r="CE401" s="129"/>
      <c r="CF401" s="129"/>
      <c r="CG401" s="137"/>
      <c r="CH401" s="129">
        <f t="shared" si="715"/>
        <v>661622</v>
      </c>
      <c r="CI401" s="46">
        <f t="shared" si="724"/>
        <v>661412.02836575801</v>
      </c>
      <c r="CJ401" s="46">
        <f t="shared" si="716"/>
        <v>708.89183157006994</v>
      </c>
      <c r="CK401" s="443">
        <v>0.70886075949367089</v>
      </c>
      <c r="CL401" s="129">
        <f>CL378*CK401+CJ379*CK400+CJ380*CK399+CJ381*CK398+CJ382*CK397+CJ383*CK396+CJ384*CK395+CJ385*CK394+CJ386*CK393+CJ387*CK392+CJ388*CK391+CJ389*CK390+CJ390*CK389+CJ391*CK388+CJ392*CK387+CJ383*CK386+CJ394*CK385+CJ395*CK384+CJ396*CK383+CJ397*CK382+CJ398*CK381+CJ399*CK380+CJ401+CJ400*CK379</f>
        <v>9786.9335030275088</v>
      </c>
      <c r="CM401" s="134"/>
      <c r="CN401" s="135">
        <f t="shared" si="718"/>
        <v>1.9657539525213121E-2</v>
      </c>
      <c r="CO401" s="135">
        <f t="shared" si="727"/>
        <v>1.6777113840021191E-2</v>
      </c>
      <c r="CP401" s="134">
        <f>VLOOKUP($H401,RoR!$E:$F,2,FALSE)</f>
        <v>2.7033333333333336E-2</v>
      </c>
      <c r="CQ401" s="135"/>
      <c r="CR401" s="135"/>
      <c r="CS401" s="135">
        <f t="shared" si="728"/>
        <v>1.4124827768512434E-2</v>
      </c>
      <c r="CT401" s="135">
        <f t="shared" si="729"/>
        <v>7.433422950153494E-2</v>
      </c>
      <c r="CU401" s="139">
        <f t="shared" si="719"/>
        <v>0.92230000000000001</v>
      </c>
      <c r="CV401" s="335">
        <f t="shared" si="720"/>
        <v>1.8969932656739068</v>
      </c>
      <c r="CW401" s="335">
        <f t="shared" si="721"/>
        <v>5.0215782983970621E-2</v>
      </c>
      <c r="CX401" s="335">
        <f t="shared" si="722"/>
        <v>0.655952481704143</v>
      </c>
      <c r="CY401" s="335">
        <f t="shared" si="723"/>
        <v>6.2485378865697057E-2</v>
      </c>
      <c r="CZ401" s="336">
        <f>CZ400</f>
        <v>0.20999999999999996</v>
      </c>
      <c r="DA401" s="303">
        <v>0.37</v>
      </c>
      <c r="DB401" s="141">
        <f t="shared" si="726"/>
        <v>15.299028197606191</v>
      </c>
      <c r="DC401" s="135">
        <f t="shared" si="730"/>
        <v>3.5454476368001385E-2</v>
      </c>
      <c r="DD401" s="336">
        <f>VLOOKUP($H401,RoR!$E:$F,2,FALSE)</f>
        <v>2.7033333333333336E-2</v>
      </c>
      <c r="DE401" s="342">
        <f>HLOOKUP($H401,'GDP-PI'!$D$8:$CR$11,3,FALSE)</f>
        <v>4.2834637353352578E-2</v>
      </c>
      <c r="DF401" s="336">
        <f>VLOOKUP(H401,'HW Dx Data'!$E:$F,2,FALSE)</f>
        <v>933.02249921662576</v>
      </c>
      <c r="DG401" s="89">
        <f ca="1">VLOOKUP(CC401,'ECI - Input Price'!M$13:N$33,2,FALSE)</f>
        <v>157.25</v>
      </c>
      <c r="DH401" s="89"/>
      <c r="DI401" s="89"/>
      <c r="DJ401" s="135">
        <f t="shared" ca="1" si="738"/>
        <v>2.6419062301765574E-2</v>
      </c>
      <c r="DK401" s="137">
        <f>HLOOKUP(H401,'GDP-PI'!$8:$9,2,FALSE)</f>
        <v>118.49</v>
      </c>
      <c r="DL401" s="356">
        <f t="shared" si="731"/>
        <v>4.194261824609434E-2</v>
      </c>
      <c r="EC401"/>
    </row>
    <row r="402" spans="1:133" s="126" customFormat="1" ht="21" customHeight="1" thickBot="1" x14ac:dyDescent="0.45">
      <c r="A402" s="235"/>
      <c r="B402" s="236"/>
      <c r="C402" s="236"/>
      <c r="D402" s="236"/>
      <c r="E402" s="236"/>
      <c r="F402" s="236"/>
      <c r="G402" s="237" t="s">
        <v>178</v>
      </c>
      <c r="H402" s="238"/>
      <c r="I402" s="239"/>
      <c r="J402" s="240">
        <v>117750.91325027205</v>
      </c>
      <c r="K402" s="240">
        <f t="shared" ca="1" si="732"/>
        <v>724.39811289001557</v>
      </c>
      <c r="L402" s="47"/>
      <c r="M402" s="241">
        <f t="shared" ref="M402" ca="1" si="756">LN(K402/K401)</f>
        <v>-3.8599798869221285E-3</v>
      </c>
      <c r="N402" s="241"/>
      <c r="O402" s="241"/>
      <c r="P402" s="242">
        <f t="shared" ca="1" si="741"/>
        <v>-1.3481781135004156E-4</v>
      </c>
      <c r="Q402" s="61"/>
      <c r="R402" s="387"/>
      <c r="S402" s="206">
        <f ca="1">+S401*EXP(T402)</f>
        <v>118.36058286236562</v>
      </c>
      <c r="T402" s="243">
        <f ca="1">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</f>
        <v>-6.0667009883797547E-4</v>
      </c>
      <c r="U402" s="243"/>
      <c r="V402" s="239">
        <v>165986.22711182927</v>
      </c>
      <c r="W402" s="240">
        <f t="shared" si="733"/>
        <v>1304.4104291695817</v>
      </c>
      <c r="X402" s="244">
        <f t="shared" ref="X402" si="757">LN(W402/W401)</f>
        <v>-4.2036315319541294E-2</v>
      </c>
      <c r="Y402" s="244">
        <f t="shared" si="743"/>
        <v>-1.4682055851642606E-3</v>
      </c>
      <c r="Z402" s="206"/>
      <c r="AA402" s="243"/>
      <c r="AB402" s="243"/>
      <c r="AC402" s="240">
        <f t="shared" si="713"/>
        <v>178439.65639505594</v>
      </c>
      <c r="AD402" s="243"/>
      <c r="AE402" s="245">
        <v>11155.930184470089</v>
      </c>
      <c r="AF402" s="243">
        <v>5.4056506529492412E-2</v>
      </c>
      <c r="AG402" s="242">
        <f t="shared" si="734"/>
        <v>1.8880357185867434E-3</v>
      </c>
      <c r="AH402" s="206"/>
      <c r="AI402" s="243"/>
      <c r="AJ402" s="239">
        <f t="shared" si="664"/>
        <v>462176.79675715725</v>
      </c>
      <c r="AK402" s="243">
        <f t="shared" si="744"/>
        <v>0.10233994804539175</v>
      </c>
      <c r="AL402" s="239"/>
      <c r="AM402" s="243"/>
      <c r="AN402" s="243"/>
      <c r="AO402" s="243"/>
      <c r="AP402" s="245">
        <f t="shared" si="745"/>
        <v>254.62055762451513</v>
      </c>
      <c r="AQ402" s="243"/>
      <c r="AR402" s="207">
        <f t="shared" si="735"/>
        <v>0.25477461022809028</v>
      </c>
      <c r="AS402" s="207">
        <f t="shared" si="736"/>
        <v>0.35914011321309114</v>
      </c>
      <c r="AT402" s="207">
        <f t="shared" si="737"/>
        <v>0.38608527655881858</v>
      </c>
      <c r="AU402" s="207"/>
      <c r="AV402" s="206"/>
      <c r="AW402" s="243"/>
      <c r="AX402" s="248">
        <f>+AJ402/$AL$27</f>
        <v>3.4927076124622661E-2</v>
      </c>
      <c r="AY402" s="249"/>
      <c r="AZ402" s="206"/>
      <c r="BA402" s="243"/>
      <c r="BB402" s="250">
        <v>1815159</v>
      </c>
      <c r="BC402" s="412">
        <f t="shared" si="754"/>
        <v>5.2723670392295918E-3</v>
      </c>
      <c r="BD402" s="91"/>
      <c r="BE402" s="401">
        <f t="shared" si="748"/>
        <v>0</v>
      </c>
      <c r="BF402" s="402">
        <f t="shared" si="749"/>
        <v>0</v>
      </c>
      <c r="BG402" s="313">
        <f t="shared" si="750"/>
        <v>0</v>
      </c>
      <c r="BH402" s="313"/>
      <c r="BI402" s="313" t="str">
        <f t="shared" si="751"/>
        <v>2022Y</v>
      </c>
      <c r="BJ402" s="239"/>
      <c r="BK402" s="239"/>
      <c r="BL402" s="239"/>
      <c r="BM402" s="239"/>
      <c r="BN402" s="337">
        <v>0.95800567315159668</v>
      </c>
      <c r="BO402" s="313">
        <f t="shared" si="708"/>
        <v>0</v>
      </c>
      <c r="BP402" s="313">
        <f t="shared" si="709"/>
        <v>0</v>
      </c>
      <c r="BQ402" s="239"/>
      <c r="BR402" s="239"/>
      <c r="BS402" s="310"/>
      <c r="BT402" s="310"/>
      <c r="BU402" s="311"/>
      <c r="BV402" s="207"/>
      <c r="BW402" s="312"/>
      <c r="BX402" s="312"/>
      <c r="BY402" s="239"/>
      <c r="BZ402" s="239"/>
      <c r="CA402" s="239"/>
      <c r="CB402" s="239"/>
      <c r="CC402" s="245">
        <v>2022</v>
      </c>
      <c r="CD402" s="239"/>
      <c r="CE402" s="239"/>
      <c r="CF402" s="239"/>
      <c r="CG402" s="310"/>
      <c r="CH402" s="239">
        <v>657584</v>
      </c>
      <c r="CI402" s="313">
        <f t="shared" si="724"/>
        <v>657584</v>
      </c>
      <c r="CJ402" s="313">
        <f t="shared" si="716"/>
        <v>637.92939532988623</v>
      </c>
      <c r="CK402" s="443">
        <v>0.69230769230769229</v>
      </c>
      <c r="CL402" s="239">
        <f>+CL378*CK402+CJ379*CK401+CJ380*CK400+CJ381*CK399+CJ382*CK398+CJ383*CK397+CJ384*CK396+CJ385*CK395+CJ386*CK394+CJ387*CK393+CJ388*CK392+CJ389*CK391+CJ390*CK390+CJ391*CK389+CJ392*CK388+CJ393*CK387+CJ394*CK386+CJ395*CK385+CJ396*CK384+CJ397*CK383+CJ398*CK382+CJ399*CK381+CJ400*CK380+CJ401*CK379+CJ402*CK378</f>
        <v>10308.069868190742</v>
      </c>
      <c r="CM402" s="243">
        <f t="shared" ref="CM402" si="758">LN(CL402/CL401)</f>
        <v>5.1878890819888342E-2</v>
      </c>
      <c r="CN402" s="249">
        <f t="shared" si="718"/>
        <v>1.1933567355957256E-2</v>
      </c>
      <c r="CO402" s="249">
        <f t="shared" si="727"/>
        <v>1.5653526214381694E-2</v>
      </c>
      <c r="CP402" s="243"/>
      <c r="CQ402" s="249"/>
      <c r="CR402" s="249"/>
      <c r="CS402" s="248">
        <f t="shared" si="728"/>
        <v>1.5248415394151931E-2</v>
      </c>
      <c r="CT402" s="249">
        <f t="shared" si="729"/>
        <v>0.10114668178709289</v>
      </c>
      <c r="CU402" s="314">
        <f t="shared" si="719"/>
        <v>0.92230000000000001</v>
      </c>
      <c r="CV402" s="315"/>
      <c r="CW402" s="315"/>
      <c r="CX402" s="315"/>
      <c r="CY402" s="315"/>
      <c r="CZ402" s="316">
        <f>CZ401</f>
        <v>0.20999999999999996</v>
      </c>
      <c r="DA402" s="360">
        <v>0.37</v>
      </c>
      <c r="DB402" s="318">
        <f t="shared" si="726"/>
        <v>18.232437804942382</v>
      </c>
      <c r="DC402" s="249">
        <f t="shared" si="730"/>
        <v>0.17541299476623359</v>
      </c>
      <c r="DD402" s="316">
        <v>0.04</v>
      </c>
      <c r="DE402" s="319">
        <v>7.0000000000000001E-3</v>
      </c>
      <c r="DF402" s="316">
        <v>1030.81</v>
      </c>
      <c r="DG402" s="89">
        <f ca="1">VLOOKUP(CC402,'ECI - Input Price'!M$13:N$33,2,FALSE)</f>
        <v>162.55000000000001</v>
      </c>
      <c r="DH402" s="89"/>
      <c r="DI402" s="89"/>
      <c r="DJ402" s="249">
        <f t="shared" ca="1" si="738"/>
        <v>3.3148751169364422E-2</v>
      </c>
      <c r="DK402" s="310">
        <v>127.25</v>
      </c>
      <c r="DL402" s="357">
        <f t="shared" si="731"/>
        <v>7.1325086601983473E-2</v>
      </c>
      <c r="EC402"/>
    </row>
    <row r="403" spans="1:133" s="126" customFormat="1" ht="21" customHeight="1" x14ac:dyDescent="0.4">
      <c r="A403" s="251" t="s">
        <v>207</v>
      </c>
      <c r="B403" s="252" t="s">
        <v>207</v>
      </c>
      <c r="C403" s="252">
        <v>4059459</v>
      </c>
      <c r="D403" s="252" t="s">
        <v>194</v>
      </c>
      <c r="E403" s="252" t="s">
        <v>15</v>
      </c>
      <c r="F403" s="252"/>
      <c r="G403" s="252" t="s">
        <v>150</v>
      </c>
      <c r="H403" s="253">
        <v>1998</v>
      </c>
      <c r="I403" s="254"/>
      <c r="J403" s="255"/>
      <c r="K403" s="255"/>
      <c r="L403" s="47"/>
      <c r="M403" s="255"/>
      <c r="N403" s="255"/>
      <c r="O403" s="255"/>
      <c r="P403" s="219"/>
      <c r="Q403" s="218"/>
      <c r="R403" s="385"/>
      <c r="S403" s="257"/>
      <c r="T403" s="258"/>
      <c r="U403" s="258"/>
      <c r="V403" s="259"/>
      <c r="W403" s="259"/>
      <c r="X403" s="259"/>
      <c r="Y403" s="255"/>
      <c r="Z403" s="259"/>
      <c r="AA403" s="259"/>
      <c r="AB403" s="259"/>
      <c r="AC403" s="255"/>
      <c r="AD403" s="254"/>
      <c r="AE403" s="260">
        <v>61.169117266300752</v>
      </c>
      <c r="AF403" s="256"/>
      <c r="AG403" s="225"/>
      <c r="AH403" s="256"/>
      <c r="AI403" s="256"/>
      <c r="AJ403" s="254">
        <f t="shared" si="664"/>
        <v>0</v>
      </c>
      <c r="AK403" s="254"/>
      <c r="AL403" s="254"/>
      <c r="AM403" s="256"/>
      <c r="AN403" s="256"/>
      <c r="AO403" s="256"/>
      <c r="AP403" s="226">
        <f>+(AP400+AP401+AP402)/3</f>
        <v>233.17485493708145</v>
      </c>
      <c r="AQ403" s="256"/>
      <c r="AR403" s="261"/>
      <c r="AS403" s="261"/>
      <c r="AT403" s="261"/>
      <c r="AU403" s="261"/>
      <c r="AV403" s="261"/>
      <c r="AW403" s="256">
        <f ca="1">AVERAGE(AW412:AW426)</f>
        <v>3.5011804580729985E-2</v>
      </c>
      <c r="AX403" s="223"/>
      <c r="AY403" s="261"/>
      <c r="AZ403" s="261"/>
      <c r="BA403" s="261"/>
      <c r="BB403" s="262">
        <f>IFERROR(INDEX('Total Customers'!$E$7:$AA$91,MATCH($C403,'Total Customers'!$C$7:$C$91,0),MATCH($G403,'Total Customers'!$E$5:$AA$5,0)),"NA")</f>
        <v>13880</v>
      </c>
      <c r="BC403" s="413"/>
      <c r="BD403" s="92"/>
      <c r="BE403" s="407" t="str">
        <f t="shared" si="748"/>
        <v>CORNING NATURAL GAS CORPORATION</v>
      </c>
      <c r="BF403" s="408">
        <f t="shared" si="749"/>
        <v>4059459</v>
      </c>
      <c r="BG403" s="218" t="str">
        <f t="shared" si="750"/>
        <v>NY</v>
      </c>
      <c r="BH403" s="218"/>
      <c r="BI403" s="218" t="str">
        <f t="shared" si="751"/>
        <v>1998 Y</v>
      </c>
      <c r="BJ403" s="254">
        <f>INDEX('Gross Dx Plant'!$D$7:$AC$91,MATCH($C403,'Gross Dx Plant'!$C$7:$C$91,0),MATCH(Calculation!$G403,'Gross Dx Plant'!$D$5:$AC$5,0))</f>
        <v>10678</v>
      </c>
      <c r="BK403" s="254">
        <f>INDEX('Gross Gen Plant'!$D$7:$AC$91,MATCH($C403,'Gross Gen Plant'!$C$7:$C$91,0),MATCH(Calculation!$G403,'Gross Gen Plant'!$D$5:$AC$5,0))</f>
        <v>6979</v>
      </c>
      <c r="BL403" s="254">
        <f>INDEX('Dist. Plant Gas Additions'!$E$7:$AD$91,MATCH($C403,'Dist. Plant Gas Additions'!$C$7:$C$91,0),MATCH(Calculation!$G403,'Dist. Plant Gas Additions'!$E$5:$AD$5,0))</f>
        <v>717</v>
      </c>
      <c r="BM403" s="254">
        <f>INDEX('Gen. Plant Additions'!$E$7:$AD$91,MATCH($C403,'Gen. Plant Additions'!$C$7:$C$91,0),MATCH(Calculation!$G403,'Gen. Plant Additions'!$E$5:$AD$5,0))</f>
        <v>236</v>
      </c>
      <c r="BN403" s="409">
        <f>+(BY403/(BY403+BZ403))</f>
        <v>0.60474599309055899</v>
      </c>
      <c r="BO403" s="218">
        <f t="shared" si="708"/>
        <v>142.72005436937192</v>
      </c>
      <c r="BP403" s="218">
        <f t="shared" si="709"/>
        <v>-93.279945630628077</v>
      </c>
      <c r="BQ403" s="254">
        <f>INDEX('Dist Plant Depreciation'!$D$7:$AC$94,MATCH($C403,'Dist Plant Depreciation'!$C$7:$C$94,0),MATCH(Calculation!$G403,'Dist Plant Depreciation'!$D$5:$AC$5,0))</f>
        <v>2904</v>
      </c>
      <c r="BR403" s="254">
        <f>INDEX('Gen. Plant Depreciation'!$D$7:$AC$94,MATCH($C403,'Gen. Plant Depreciation'!$C$7:$C$94,0),MATCH(Calculation!$G403,'Gen. Plant Depreciation'!$D$5:$AC$5,0))</f>
        <v>2414</v>
      </c>
      <c r="BS403" s="254"/>
      <c r="BT403" s="254"/>
      <c r="BU403" s="254"/>
      <c r="BV403" s="254"/>
      <c r="BW403" s="254"/>
      <c r="BX403" s="254"/>
      <c r="BY403" s="254">
        <f>INDEX('Gross Dx Plant'!$D$7:$AC$91,MATCH($C403,'Gross Dx Plant'!$C$7:$C$91,0),MATCH(Calculation!$G403,'Gross Dx Plant'!$D$5:$AC$5,0))</f>
        <v>10678</v>
      </c>
      <c r="BZ403" s="254">
        <f>INDEX('Gross Gen Plant'!$D$7:$AC$91,MATCH($C403,'Gross Gen Plant'!$C$7:$C$91,0),MATCH(Calculation!$G403,'Gross Gen Plant'!$D$5:$AC$5,0))</f>
        <v>6979</v>
      </c>
      <c r="CA403" s="254">
        <f t="shared" si="755"/>
        <v>12339</v>
      </c>
      <c r="CB403" s="254"/>
      <c r="CC403" s="260">
        <v>1998</v>
      </c>
      <c r="CD403" s="254">
        <f>BJ403+BK403</f>
        <v>17657</v>
      </c>
      <c r="CE403" s="254">
        <f>2904+2414</f>
        <v>5318</v>
      </c>
      <c r="CF403" s="254">
        <f>+CD403-CE403</f>
        <v>12339</v>
      </c>
      <c r="CG403" s="254">
        <f>CF403/$BX$3</f>
        <v>61.169117266300752</v>
      </c>
      <c r="CH403" s="323"/>
      <c r="CI403" s="344"/>
      <c r="CJ403" s="344"/>
      <c r="CK403" s="443">
        <v>1</v>
      </c>
      <c r="CL403" s="254">
        <f>+CG403</f>
        <v>61.169117266300752</v>
      </c>
      <c r="CM403" s="256"/>
      <c r="CN403" s="325"/>
      <c r="CO403" s="325"/>
      <c r="CP403" s="256" t="e">
        <f>VLOOKUP($H403,RoR!$E:$F,2,FALSE)</f>
        <v>#N/A</v>
      </c>
      <c r="CQ403" s="325">
        <v>1.1028127770464469E-2</v>
      </c>
      <c r="CR403" s="325"/>
      <c r="CS403" s="325"/>
      <c r="CT403" s="325"/>
      <c r="CU403" s="327"/>
      <c r="CV403" s="331" t="e">
        <f>2/(DD403*39)</f>
        <v>#N/A</v>
      </c>
      <c r="CW403" s="328" t="e">
        <f>+(DD403*40-(1+DD403))/(DD403*40)</f>
        <v>#N/A</v>
      </c>
      <c r="CX403" s="328" t="e">
        <f>+(1-(1/(1+DD403)^40))</f>
        <v>#N/A</v>
      </c>
      <c r="CY403" s="328" t="e">
        <f>+CX403*CW403*CV403</f>
        <v>#N/A</v>
      </c>
      <c r="CZ403" s="329">
        <f>INDEX('State Tax Lookup'!$D$7:$Z$91,MATCH(Calculation!$C403,'State Tax Lookup'!$B$7:$B$91,0),MATCH($H403,'State Tax Lookup'!$D$6:$Z$6,0))</f>
        <v>0.39649667</v>
      </c>
      <c r="DA403" s="351">
        <v>0.37</v>
      </c>
      <c r="DB403" s="344"/>
      <c r="DC403" s="326"/>
      <c r="DD403" s="351" t="e">
        <f>VLOOKUP($H403,RoR!$E:$F,2,FALSE)</f>
        <v>#N/A</v>
      </c>
      <c r="DE403" s="354">
        <f>HLOOKUP($H403,'GDP-PI'!$D$8:$CQ$11,3,FALSE)</f>
        <v>1.1028127770464469E-2</v>
      </c>
      <c r="DF403" s="351">
        <f>VLOOKUP(H403,'HW Dx Data'!$E:$F,2,FALSE)</f>
        <v>329.24564746449528</v>
      </c>
      <c r="DG403" s="351"/>
      <c r="DH403" s="351"/>
      <c r="DI403" s="351"/>
      <c r="DJ403" s="326"/>
      <c r="DK403" s="344">
        <f>HLOOKUP(H403,'GDP-PI'!$8:$9,2,FALSE)</f>
        <v>75.266999999999996</v>
      </c>
      <c r="DL403" s="292"/>
      <c r="EC403"/>
    </row>
    <row r="404" spans="1:133" s="126" customFormat="1" ht="21" customHeight="1" x14ac:dyDescent="0.4">
      <c r="A404" s="233" t="s">
        <v>207</v>
      </c>
      <c r="B404" s="127" t="s">
        <v>207</v>
      </c>
      <c r="C404" s="127">
        <v>4059459</v>
      </c>
      <c r="D404" s="127" t="s">
        <v>194</v>
      </c>
      <c r="E404" s="127" t="s">
        <v>15</v>
      </c>
      <c r="F404" s="127"/>
      <c r="G404" s="127" t="s">
        <v>155</v>
      </c>
      <c r="H404" s="128">
        <v>1999</v>
      </c>
      <c r="I404" s="129"/>
      <c r="J404" s="125"/>
      <c r="K404" s="129"/>
      <c r="L404" s="47"/>
      <c r="M404" s="129"/>
      <c r="N404" s="129"/>
      <c r="O404" s="129"/>
      <c r="P404" s="47"/>
      <c r="Q404" s="47"/>
      <c r="R404" s="386"/>
      <c r="S404" s="119"/>
      <c r="T404" s="47"/>
      <c r="U404" s="46"/>
      <c r="V404" s="135"/>
      <c r="W404" s="135"/>
      <c r="X404" s="135"/>
      <c r="Y404" s="143"/>
      <c r="Z404" s="135"/>
      <c r="AA404" s="135"/>
      <c r="AB404" s="135"/>
      <c r="AC404" s="125">
        <f t="shared" ref="AC404:AC427" si="759">+CL403*DB404</f>
        <v>0</v>
      </c>
      <c r="AD404" s="129"/>
      <c r="AE404" s="133">
        <v>63.489113056437134</v>
      </c>
      <c r="AF404" s="134">
        <v>3.7226000946488078E-2</v>
      </c>
      <c r="AG404" s="61"/>
      <c r="AH404" s="134"/>
      <c r="AI404" s="134"/>
      <c r="AJ404" s="129">
        <f t="shared" si="664"/>
        <v>0</v>
      </c>
      <c r="AK404" s="134"/>
      <c r="AL404" s="129"/>
      <c r="AM404" s="134"/>
      <c r="AN404" s="134"/>
      <c r="AO404" s="134"/>
      <c r="AP404" s="133"/>
      <c r="AQ404" s="134"/>
      <c r="AR404" s="93"/>
      <c r="AS404" s="93"/>
      <c r="AT404" s="93"/>
      <c r="AU404" s="93"/>
      <c r="AV404" s="93"/>
      <c r="AW404" s="134"/>
      <c r="AX404" s="62"/>
      <c r="AY404" s="93"/>
      <c r="AZ404" s="93"/>
      <c r="BA404" s="93"/>
      <c r="BB404" s="234">
        <f>IFERROR(INDEX('Total Customers'!$E$7:$AA$91,MATCH($C404,'Total Customers'!$C$7:$C$91,0),MATCH($G404,'Total Customers'!$E$5:$AA$5,0)),"NA")</f>
        <v>14418</v>
      </c>
      <c r="BC404" s="411">
        <f t="shared" si="754"/>
        <v>3.8028470903728379E-2</v>
      </c>
      <c r="BD404" s="92"/>
      <c r="BE404" s="281" t="str">
        <f t="shared" si="748"/>
        <v>CORNING NATURAL GAS CORPORATION</v>
      </c>
      <c r="BF404" s="290">
        <f t="shared" si="749"/>
        <v>4059459</v>
      </c>
      <c r="BG404" s="46" t="str">
        <f t="shared" si="750"/>
        <v>NY</v>
      </c>
      <c r="BH404" s="46"/>
      <c r="BI404" s="46" t="str">
        <f t="shared" si="751"/>
        <v>1999 Y</v>
      </c>
      <c r="BJ404" s="129"/>
      <c r="BK404" s="129"/>
      <c r="BL404" s="129">
        <f>INDEX('Dist. Plant Gas Additions'!$E$7:$AD$91,MATCH($C404,'Dist. Plant Gas Additions'!$C$7:$C$91,0),MATCH(Calculation!$G404,'Dist. Plant Gas Additions'!$E$5:$AD$5,0))</f>
        <v>595</v>
      </c>
      <c r="BM404" s="129">
        <f>INDEX('Gen. Plant Additions'!$E$7:$AD$91,MATCH($C404,'Gen. Plant Additions'!$C$7:$C$91,0),MATCH(Calculation!$G404,'Gen. Plant Additions'!$E$5:$AD$5,0))</f>
        <v>285</v>
      </c>
      <c r="BN404" s="393">
        <f t="shared" ref="BN404:BN425" si="760">+(BY404/(BY404+BZ404))</f>
        <v>0.62785630482149846</v>
      </c>
      <c r="BO404" s="46">
        <f t="shared" si="708"/>
        <v>178.93904687412706</v>
      </c>
      <c r="BP404" s="46">
        <f t="shared" si="709"/>
        <v>-106.06095312587294</v>
      </c>
      <c r="BQ404" s="129">
        <f>INDEX('Dist Plant Depreciation'!$D$7:$AC$94,MATCH($C404,'Dist Plant Depreciation'!$C$7:$C$94,0),MATCH(Calculation!$G404,'Dist Plant Depreciation'!$D$5:$AC$5,0))</f>
        <v>3081</v>
      </c>
      <c r="BR404" s="129">
        <f>INDEX('Gen. Plant Depreciation'!$D$7:$AC$94,MATCH($C404,'Gen. Plant Depreciation'!$C$7:$C$94,0),MATCH(Calculation!$G404,'Gen. Plant Depreciation'!$D$5:$AC$5,0))</f>
        <v>2039</v>
      </c>
      <c r="BS404" s="129"/>
      <c r="BT404" s="129"/>
      <c r="BU404" s="129"/>
      <c r="BV404" s="129"/>
      <c r="BW404" s="129"/>
      <c r="BX404" s="129"/>
      <c r="BY404" s="129">
        <f>INDEX('Gross Dx Plant'!$D$7:$AC$91,MATCH($C404,'Gross Dx Plant'!$C$7:$C$91,0),MATCH(Calculation!$G404,'Gross Dx Plant'!$D$5:$AC$5,0))</f>
        <v>11238</v>
      </c>
      <c r="BZ404" s="129">
        <f>INDEX('Gross Gen Plant'!$D$7:$AC$91,MATCH($C404,'Gross Gen Plant'!$C$7:$C$91,0),MATCH(Calculation!$G404,'Gross Gen Plant'!$D$5:$AC$5,0))</f>
        <v>6661</v>
      </c>
      <c r="CA404" s="129">
        <f t="shared" si="755"/>
        <v>12779</v>
      </c>
      <c r="CB404" s="129"/>
      <c r="CC404" s="133">
        <v>1999</v>
      </c>
      <c r="CD404" s="129"/>
      <c r="CE404" s="129"/>
      <c r="CF404" s="129"/>
      <c r="CG404" s="137"/>
      <c r="CH404" s="129">
        <f t="shared" ref="CH404:CH426" si="761">+BM404+BL404</f>
        <v>880</v>
      </c>
      <c r="CI404" s="46">
        <f>+CH404+BP404</f>
        <v>773.93904687412703</v>
      </c>
      <c r="CJ404" s="46">
        <f t="shared" ref="CJ404:CJ427" si="762">+CI404/$DF404</f>
        <v>2.3080267399356029</v>
      </c>
      <c r="CK404" s="443">
        <v>0.99009900990099009</v>
      </c>
      <c r="CL404" s="46">
        <f>+CL403*CK404+CJ404</f>
        <v>62.871509181817537</v>
      </c>
      <c r="CM404" s="134">
        <f t="shared" ref="CM404:CM425" si="763">LN(CL404/CL403)</f>
        <v>2.745066458436219E-2</v>
      </c>
      <c r="CN404" s="135">
        <f t="shared" ref="CN404:CN426" si="764">+(CL403-CL404+CJ404)/CL403</f>
        <v>9.9009900990098855E-3</v>
      </c>
      <c r="CO404" s="135"/>
      <c r="CP404" s="134">
        <f>VLOOKUP($H404,RoR!$E:$F,2,FALSE)</f>
        <v>7.0416666666666669E-2</v>
      </c>
      <c r="CQ404" s="135">
        <v>1.4335631817396832E-2</v>
      </c>
      <c r="CR404" s="135">
        <f>+CP404-CQ404</f>
        <v>5.6081034849269837E-2</v>
      </c>
      <c r="CS404" s="135"/>
      <c r="CT404" s="135"/>
      <c r="CU404" s="139">
        <f t="shared" ref="CU404:CU427" si="765">1-CZ404*DA404</f>
        <v>0.85329623209999994</v>
      </c>
      <c r="CV404" s="335">
        <f t="shared" ref="CV404:CV426" si="766">2/(DD404*39)</f>
        <v>0.72826581702321336</v>
      </c>
      <c r="CW404" s="335">
        <f t="shared" ref="CW404:CW426" si="767">+(DD404*40-(1+DD404))/(DD404*40)</f>
        <v>0.61997041420118348</v>
      </c>
      <c r="CX404" s="335">
        <f t="shared" ref="CX404:CX426" si="768">+(1-(1/(1+DD404)^40))</f>
        <v>0.93425155319585029</v>
      </c>
      <c r="CY404" s="335">
        <f t="shared" ref="CY404:CY426" si="769">+CX404*CW404*CV404</f>
        <v>0.42181762214141483</v>
      </c>
      <c r="CZ404" s="336">
        <f>INDEX('State Tax Lookup'!$D$7:$Z$91,MATCH(Calculation!$C404,'State Tax Lookup'!$B$7:$B$91,0),MATCH($H404,'State Tax Lookup'!$D$6:$Z$6,0))</f>
        <v>0.39649667</v>
      </c>
      <c r="DA404" s="303">
        <v>0.37</v>
      </c>
      <c r="DB404" s="57"/>
      <c r="DC404" s="56"/>
      <c r="DD404" s="303">
        <f>VLOOKUP($H404,RoR!$E:$F,2,FALSE)</f>
        <v>7.0416666666666669E-2</v>
      </c>
      <c r="DE404" s="304">
        <f>HLOOKUP($H404,'GDP-PI'!$D$8:$CQ$11,3,FALSE)</f>
        <v>1.4335631817396832E-2</v>
      </c>
      <c r="DF404" s="303">
        <f>VLOOKUP(H404,'HW Dx Data'!$E:$F,2,FALSE)</f>
        <v>335.32499146683239</v>
      </c>
      <c r="DG404" s="89"/>
      <c r="DH404" s="89"/>
      <c r="DI404" s="89"/>
      <c r="DJ404" s="56"/>
      <c r="DK404" s="53">
        <f>HLOOKUP(H404,'GDP-PI'!$8:$9,2,FALSE)</f>
        <v>76.346000000000004</v>
      </c>
      <c r="DL404" s="298"/>
      <c r="EC404"/>
    </row>
    <row r="405" spans="1:133" s="126" customFormat="1" ht="21" customHeight="1" x14ac:dyDescent="0.4">
      <c r="A405" s="233" t="s">
        <v>207</v>
      </c>
      <c r="B405" s="127" t="s">
        <v>207</v>
      </c>
      <c r="C405" s="127">
        <v>4059459</v>
      </c>
      <c r="D405" s="127" t="s">
        <v>194</v>
      </c>
      <c r="E405" s="127" t="s">
        <v>15</v>
      </c>
      <c r="F405" s="127"/>
      <c r="G405" s="127" t="s">
        <v>156</v>
      </c>
      <c r="H405" s="128">
        <v>2000</v>
      </c>
      <c r="I405" s="129"/>
      <c r="J405" s="125"/>
      <c r="K405" s="125"/>
      <c r="L405" s="47"/>
      <c r="M405" s="125"/>
      <c r="N405" s="125"/>
      <c r="O405" s="125"/>
      <c r="P405" s="47"/>
      <c r="Q405" s="47"/>
      <c r="R405" s="386"/>
      <c r="S405" s="119"/>
      <c r="T405" s="47"/>
      <c r="U405" s="47"/>
      <c r="V405" s="125"/>
      <c r="W405" s="125"/>
      <c r="X405" s="125"/>
      <c r="Y405" s="125"/>
      <c r="Z405" s="125"/>
      <c r="AA405" s="125"/>
      <c r="AB405" s="125"/>
      <c r="AC405" s="125">
        <f t="shared" si="759"/>
        <v>0</v>
      </c>
      <c r="AD405" s="129"/>
      <c r="AE405" s="133">
        <v>65.295059449388006</v>
      </c>
      <c r="AF405" s="134">
        <v>2.80479308761293E-2</v>
      </c>
      <c r="AG405" s="61"/>
      <c r="AH405" s="134"/>
      <c r="AI405" s="134"/>
      <c r="AJ405" s="129">
        <f t="shared" si="664"/>
        <v>0</v>
      </c>
      <c r="AK405" s="134"/>
      <c r="AL405" s="129"/>
      <c r="AM405" s="129"/>
      <c r="AN405" s="129"/>
      <c r="AO405" s="129"/>
      <c r="AP405" s="133"/>
      <c r="AQ405" s="134"/>
      <c r="AR405" s="93"/>
      <c r="AS405" s="93"/>
      <c r="AT405" s="93"/>
      <c r="AU405" s="93"/>
      <c r="AV405" s="93"/>
      <c r="AW405" s="134"/>
      <c r="AX405" s="62"/>
      <c r="AY405" s="93"/>
      <c r="AZ405" s="93"/>
      <c r="BA405" s="93"/>
      <c r="BB405" s="234">
        <f>IFERROR(INDEX('Total Customers'!$E$7:$AA$91,MATCH($C405,'Total Customers'!$C$7:$C$91,0),MATCH($G405,'Total Customers'!$E$5:$AA$5,0)),"NA")</f>
        <v>15234</v>
      </c>
      <c r="BC405" s="411">
        <f t="shared" si="754"/>
        <v>5.5052345968209584E-2</v>
      </c>
      <c r="BD405" s="92"/>
      <c r="BE405" s="281" t="str">
        <f t="shared" si="748"/>
        <v>CORNING NATURAL GAS CORPORATION</v>
      </c>
      <c r="BF405" s="290">
        <f t="shared" si="749"/>
        <v>4059459</v>
      </c>
      <c r="BG405" s="46" t="str">
        <f t="shared" si="750"/>
        <v>NY</v>
      </c>
      <c r="BH405" s="46"/>
      <c r="BI405" s="46" t="str">
        <f t="shared" si="751"/>
        <v>2000 Y</v>
      </c>
      <c r="BJ405" s="129"/>
      <c r="BK405" s="129"/>
      <c r="BL405" s="129">
        <f>INDEX('Dist. Plant Gas Additions'!$E$7:$AD$91,MATCH($C405,'Dist. Plant Gas Additions'!$C$7:$C$91,0),MATCH(Calculation!$G405,'Dist. Plant Gas Additions'!$E$5:$AD$5,0))</f>
        <v>518</v>
      </c>
      <c r="BM405" s="129">
        <f>INDEX('Gen. Plant Additions'!$E$7:$AD$91,MATCH($C405,'Gen. Plant Additions'!$C$7:$C$91,0),MATCH(Calculation!$G405,'Gen. Plant Additions'!$E$5:$AD$5,0))</f>
        <v>221</v>
      </c>
      <c r="BN405" s="393">
        <f t="shared" si="760"/>
        <v>0.63229907347554404</v>
      </c>
      <c r="BO405" s="46">
        <f t="shared" si="708"/>
        <v>139.73809523809524</v>
      </c>
      <c r="BP405" s="46">
        <f t="shared" si="709"/>
        <v>-81.261904761904759</v>
      </c>
      <c r="BQ405" s="129">
        <f>INDEX('Dist Plant Depreciation'!$D$7:$AC$94,MATCH($C405,'Dist Plant Depreciation'!$C$7:$C$94,0),MATCH(Calculation!$G405,'Dist Plant Depreciation'!$D$5:$AC$5,0))</f>
        <v>3302</v>
      </c>
      <c r="BR405" s="129">
        <f>INDEX('Gen. Plant Depreciation'!$D$7:$AC$94,MATCH($C405,'Gen. Plant Depreciation'!$C$7:$C$94,0),MATCH(Calculation!$G405,'Gen. Plant Depreciation'!$D$5:$AC$5,0))</f>
        <v>2247</v>
      </c>
      <c r="BS405" s="129"/>
      <c r="BT405" s="129"/>
      <c r="BU405" s="129"/>
      <c r="BV405" s="129"/>
      <c r="BW405" s="129"/>
      <c r="BX405" s="129"/>
      <c r="BY405" s="129">
        <f>INDEX('Gross Dx Plant'!$D$7:$AC$91,MATCH($C405,'Gross Dx Plant'!$C$7:$C$91,0),MATCH(Calculation!$G405,'Gross Dx Plant'!$D$5:$AC$5,0))</f>
        <v>11738</v>
      </c>
      <c r="BZ405" s="129">
        <f>INDEX('Gross Gen Plant'!$D$7:$AC$91,MATCH($C405,'Gross Gen Plant'!$C$7:$C$91,0),MATCH(Calculation!$G405,'Gross Gen Plant'!$D$5:$AC$5,0))</f>
        <v>6826</v>
      </c>
      <c r="CA405" s="129">
        <f t="shared" si="755"/>
        <v>13015</v>
      </c>
      <c r="CB405" s="129"/>
      <c r="CC405" s="133">
        <v>2000</v>
      </c>
      <c r="CD405" s="129"/>
      <c r="CE405" s="129"/>
      <c r="CF405" s="129"/>
      <c r="CG405" s="137"/>
      <c r="CH405" s="129">
        <f t="shared" si="761"/>
        <v>739</v>
      </c>
      <c r="CI405" s="46">
        <f t="shared" ref="CI405:CI427" si="770">+CH405+BP405</f>
        <v>657.73809523809518</v>
      </c>
      <c r="CJ405" s="46">
        <f t="shared" si="762"/>
        <v>1.8980493424218263</v>
      </c>
      <c r="CK405" s="443">
        <v>0.98</v>
      </c>
      <c r="CL405" s="46">
        <f>+CL403*CK405+CJ404*CK404+CJ405</f>
        <v>64.128959253431816</v>
      </c>
      <c r="CM405" s="134">
        <f t="shared" si="763"/>
        <v>1.9802937420985108E-2</v>
      </c>
      <c r="CN405" s="135">
        <f t="shared" si="764"/>
        <v>1.0189023281674436E-2</v>
      </c>
      <c r="CO405" s="135"/>
      <c r="CP405" s="134">
        <f>VLOOKUP($H405,RoR!$E:$F,2,FALSE)</f>
        <v>7.6225000000000001E-2</v>
      </c>
      <c r="CQ405" s="135">
        <v>2.2568307442433211E-2</v>
      </c>
      <c r="CR405" s="135">
        <f t="shared" ref="CR405:CR425" si="771">+CP405-CQ405</f>
        <v>5.365669255756679E-2</v>
      </c>
      <c r="CS405" s="135"/>
      <c r="CT405" s="135"/>
      <c r="CU405" s="139">
        <f t="shared" si="765"/>
        <v>0.85329623209999994</v>
      </c>
      <c r="CV405" s="335">
        <f t="shared" si="766"/>
        <v>0.67277207323124022</v>
      </c>
      <c r="CW405" s="335">
        <f t="shared" si="767"/>
        <v>0.6470236142997704</v>
      </c>
      <c r="CX405" s="335">
        <f t="shared" si="768"/>
        <v>0.94704866037543145</v>
      </c>
      <c r="CY405" s="335">
        <f t="shared" si="769"/>
        <v>0.41224973107878493</v>
      </c>
      <c r="CZ405" s="336">
        <f>INDEX('State Tax Lookup'!$D$7:$Z$91,MATCH(Calculation!$C405,'State Tax Lookup'!$B$7:$B$91,0),MATCH($H405,'State Tax Lookup'!$D$6:$Z$6,0))</f>
        <v>0.39649667</v>
      </c>
      <c r="DA405" s="303">
        <v>0.37</v>
      </c>
      <c r="DB405" s="57"/>
      <c r="DC405" s="56"/>
      <c r="DD405" s="303">
        <f>VLOOKUP($H405,RoR!$E:$F,2,FALSE)</f>
        <v>7.6225000000000001E-2</v>
      </c>
      <c r="DE405" s="304">
        <f>HLOOKUP($H405,'GDP-PI'!$D$8:$CQ$11,3,FALSE)</f>
        <v>2.2568307442433211E-2</v>
      </c>
      <c r="DF405" s="303">
        <f>VLOOKUP(H405,'HW Dx Data'!$E:$F,2,FALSE)</f>
        <v>346.53371782150339</v>
      </c>
      <c r="DG405" s="89"/>
      <c r="DH405" s="89"/>
      <c r="DI405" s="89"/>
      <c r="DJ405" s="56"/>
      <c r="DK405" s="53">
        <f>HLOOKUP(H405,'GDP-PI'!$8:$9,2,FALSE)</f>
        <v>78.069000000000003</v>
      </c>
      <c r="DL405" s="298"/>
      <c r="EC405"/>
    </row>
    <row r="406" spans="1:133" s="126" customFormat="1" ht="21" customHeight="1" x14ac:dyDescent="0.4">
      <c r="A406" s="233" t="s">
        <v>207</v>
      </c>
      <c r="B406" s="127" t="s">
        <v>207</v>
      </c>
      <c r="C406" s="127">
        <v>4059459</v>
      </c>
      <c r="D406" s="127" t="s">
        <v>194</v>
      </c>
      <c r="E406" s="127" t="s">
        <v>15</v>
      </c>
      <c r="F406" s="127"/>
      <c r="G406" s="127" t="s">
        <v>157</v>
      </c>
      <c r="H406" s="128">
        <v>2001</v>
      </c>
      <c r="I406" s="129"/>
      <c r="J406" s="125"/>
      <c r="K406" s="125"/>
      <c r="L406" s="47"/>
      <c r="M406" s="125"/>
      <c r="N406" s="125"/>
      <c r="O406" s="125"/>
      <c r="P406" s="47"/>
      <c r="Q406" s="47"/>
      <c r="R406" s="386"/>
      <c r="S406" s="119"/>
      <c r="T406" s="47"/>
      <c r="U406" s="47"/>
      <c r="V406" s="125"/>
      <c r="W406" s="125"/>
      <c r="X406" s="125"/>
      <c r="Y406" s="125"/>
      <c r="Z406" s="125"/>
      <c r="AA406" s="125"/>
      <c r="AB406" s="125"/>
      <c r="AC406" s="125">
        <f t="shared" si="759"/>
        <v>664.68967214914835</v>
      </c>
      <c r="AD406" s="129"/>
      <c r="AE406" s="133">
        <v>67.790518752957539</v>
      </c>
      <c r="AF406" s="134">
        <v>3.7505969620048138E-2</v>
      </c>
      <c r="AG406" s="61"/>
      <c r="AH406" s="134"/>
      <c r="AI406" s="134"/>
      <c r="AJ406" s="129">
        <f t="shared" si="664"/>
        <v>664.68967214914835</v>
      </c>
      <c r="AK406" s="134"/>
      <c r="AL406" s="129"/>
      <c r="AM406" s="129"/>
      <c r="AN406" s="129"/>
      <c r="AO406" s="129"/>
      <c r="AP406" s="133"/>
      <c r="AQ406" s="134"/>
      <c r="AR406" s="93"/>
      <c r="AS406" s="93"/>
      <c r="AT406" s="93"/>
      <c r="AU406" s="93"/>
      <c r="AV406" s="93"/>
      <c r="AW406" s="134"/>
      <c r="AX406" s="62"/>
      <c r="AY406" s="93"/>
      <c r="AZ406" s="93"/>
      <c r="BA406" s="93"/>
      <c r="BB406" s="234">
        <f>IFERROR(INDEX('Total Customers'!$E$7:$AA$91,MATCH($C406,'Total Customers'!$C$7:$C$91,0),MATCH($G406,'Total Customers'!$E$5:$AA$5,0)),"NA")</f>
        <v>18138</v>
      </c>
      <c r="BC406" s="411">
        <f t="shared" si="754"/>
        <v>0.17447941307477968</v>
      </c>
      <c r="BD406" s="92"/>
      <c r="BE406" s="281" t="str">
        <f t="shared" si="748"/>
        <v>CORNING NATURAL GAS CORPORATION</v>
      </c>
      <c r="BF406" s="290">
        <f t="shared" si="749"/>
        <v>4059459</v>
      </c>
      <c r="BG406" s="46" t="str">
        <f t="shared" si="750"/>
        <v>NY</v>
      </c>
      <c r="BH406" s="46"/>
      <c r="BI406" s="46" t="str">
        <f t="shared" si="751"/>
        <v>2001 Y</v>
      </c>
      <c r="BJ406" s="129"/>
      <c r="BK406" s="129"/>
      <c r="BL406" s="129">
        <f>INDEX('Dist. Plant Gas Additions'!$E$7:$AD$91,MATCH($C406,'Dist. Plant Gas Additions'!$C$7:$C$91,0),MATCH(Calculation!$G406,'Dist. Plant Gas Additions'!$E$5:$AD$5,0))</f>
        <v>649</v>
      </c>
      <c r="BM406" s="129">
        <f>INDEX('Gen. Plant Additions'!$E$7:$AD$91,MATCH($C406,'Gen. Plant Additions'!$C$7:$C$91,0),MATCH(Calculation!$G406,'Gen. Plant Additions'!$E$5:$AD$5,0))</f>
        <v>352</v>
      </c>
      <c r="BN406" s="393">
        <f t="shared" si="760"/>
        <v>0.63920513351273023</v>
      </c>
      <c r="BO406" s="46">
        <f t="shared" si="708"/>
        <v>225.00020699648104</v>
      </c>
      <c r="BP406" s="46">
        <f t="shared" si="709"/>
        <v>-126.99979300351896</v>
      </c>
      <c r="BQ406" s="129">
        <f>INDEX('Dist Plant Depreciation'!$D$7:$AC$94,MATCH($C406,'Dist Plant Depreciation'!$C$7:$C$94,0),MATCH(Calculation!$G406,'Dist Plant Depreciation'!$D$5:$AC$5,0))</f>
        <v>3508</v>
      </c>
      <c r="BR406" s="129">
        <f>INDEX('Gen. Plant Depreciation'!$D$7:$AC$94,MATCH($C406,'Gen. Plant Depreciation'!$C$7:$C$94,0),MATCH(Calculation!$G406,'Gen. Plant Depreciation'!$D$5:$AC$5,0))</f>
        <v>2376</v>
      </c>
      <c r="BS406" s="129"/>
      <c r="BT406" s="129"/>
      <c r="BU406" s="129"/>
      <c r="BV406" s="129"/>
      <c r="BW406" s="129"/>
      <c r="BX406" s="129"/>
      <c r="BY406" s="129">
        <f>INDEX('Gross Dx Plant'!$D$7:$AC$91,MATCH($C406,'Gross Dx Plant'!$C$7:$C$91,0),MATCH(Calculation!$G406,'Gross Dx Plant'!$D$5:$AC$5,0))</f>
        <v>12352</v>
      </c>
      <c r="BZ406" s="129">
        <f>INDEX('Gross Gen Plant'!$D$7:$AC$91,MATCH($C406,'Gross Gen Plant'!$C$7:$C$91,0),MATCH(Calculation!$G406,'Gross Gen Plant'!$D$5:$AC$5,0))</f>
        <v>6972</v>
      </c>
      <c r="CA406" s="129">
        <f t="shared" si="755"/>
        <v>13440</v>
      </c>
      <c r="CB406" s="129"/>
      <c r="CC406" s="133">
        <v>2001</v>
      </c>
      <c r="CD406" s="129"/>
      <c r="CE406" s="129"/>
      <c r="CF406" s="129"/>
      <c r="CG406" s="137"/>
      <c r="CH406" s="129">
        <f t="shared" si="761"/>
        <v>1001</v>
      </c>
      <c r="CI406" s="46">
        <f t="shared" si="770"/>
        <v>874.00020699648098</v>
      </c>
      <c r="CJ406" s="46">
        <f t="shared" si="762"/>
        <v>2.4727873398415352</v>
      </c>
      <c r="CK406" s="443">
        <v>0.96969696969696972</v>
      </c>
      <c r="CL406" s="46">
        <f>+CL403*CK406+CJ404*CK405+CJ405*CK403+CJ406</f>
        <v>65.948210539570681</v>
      </c>
      <c r="CM406" s="134">
        <f t="shared" si="763"/>
        <v>2.797370087413625E-2</v>
      </c>
      <c r="CN406" s="135">
        <f t="shared" si="764"/>
        <v>1.019096616116839E-2</v>
      </c>
      <c r="CO406" s="135">
        <f>+(CN406+CN405+CN404)/3</f>
        <v>1.0093659847284237E-2</v>
      </c>
      <c r="CP406" s="134">
        <f>VLOOKUP($H406,RoR!$E:$F,2,FALSE)</f>
        <v>7.0824999999999999E-2</v>
      </c>
      <c r="CQ406" s="135">
        <v>2.2454495382290052E-2</v>
      </c>
      <c r="CR406" s="135">
        <f t="shared" si="771"/>
        <v>4.8370504617709947E-2</v>
      </c>
      <c r="CS406" s="135">
        <f>+$CR$2-CO406</f>
        <v>2.0808281761249388E-2</v>
      </c>
      <c r="CT406" s="135">
        <f>+((DF404/DF403-1)+(DF405/DF404-1)+(DF406/DF405-1))/3</f>
        <v>2.3947275901631187E-2</v>
      </c>
      <c r="CU406" s="139">
        <f t="shared" si="765"/>
        <v>0.85329623209999994</v>
      </c>
      <c r="CV406" s="335">
        <f t="shared" si="766"/>
        <v>0.72406708481540816</v>
      </c>
      <c r="CW406" s="335">
        <f t="shared" si="767"/>
        <v>0.62201729615248857</v>
      </c>
      <c r="CX406" s="335">
        <f t="shared" si="768"/>
        <v>0.9352469954311422</v>
      </c>
      <c r="CY406" s="335">
        <f t="shared" si="769"/>
        <v>0.42121864641655071</v>
      </c>
      <c r="CZ406" s="336">
        <f>INDEX('State Tax Lookup'!$D$7:$Z$91,MATCH(Calculation!$C406,'State Tax Lookup'!$B$7:$B$91,0),MATCH($H406,'State Tax Lookup'!$D$6:$Z$6,0))</f>
        <v>0.39649667</v>
      </c>
      <c r="DA406" s="303">
        <v>0.37</v>
      </c>
      <c r="DB406" s="57">
        <f t="shared" ref="DB406:DB427" si="772">+(DF406*CS406-CT406)*CU406/(1-CZ406)</f>
        <v>10.364890992887553</v>
      </c>
      <c r="DC406" s="56"/>
      <c r="DD406" s="303">
        <f>VLOOKUP($H406,RoR!$E:$F,2,FALSE)</f>
        <v>7.0824999999999999E-2</v>
      </c>
      <c r="DE406" s="304">
        <f>HLOOKUP($H406,'GDP-PI'!$D$8:$CQ$11,3,FALSE)</f>
        <v>2.2454495382290052E-2</v>
      </c>
      <c r="DF406" s="303">
        <f>VLOOKUP(H406,'HW Dx Data'!$E:$F,2,FALSE)</f>
        <v>353.44738017483138</v>
      </c>
      <c r="DG406" s="89"/>
      <c r="DH406" s="89"/>
      <c r="DI406" s="89"/>
      <c r="DJ406" s="56"/>
      <c r="DK406" s="53">
        <f>HLOOKUP(H406,'GDP-PI'!$8:$9,2,FALSE)</f>
        <v>79.822000000000003</v>
      </c>
      <c r="DL406" s="298"/>
      <c r="EC406"/>
    </row>
    <row r="407" spans="1:133" s="126" customFormat="1" ht="21" customHeight="1" x14ac:dyDescent="0.4">
      <c r="A407" s="233" t="s">
        <v>207</v>
      </c>
      <c r="B407" s="127" t="s">
        <v>207</v>
      </c>
      <c r="C407" s="127">
        <v>4059459</v>
      </c>
      <c r="D407" s="127" t="s">
        <v>194</v>
      </c>
      <c r="E407" s="127" t="s">
        <v>15</v>
      </c>
      <c r="F407" s="127"/>
      <c r="G407" s="127" t="s">
        <v>158</v>
      </c>
      <c r="H407" s="128">
        <v>2002</v>
      </c>
      <c r="I407" s="129"/>
      <c r="J407" s="125"/>
      <c r="K407" s="125"/>
      <c r="L407" s="47"/>
      <c r="M407" s="125"/>
      <c r="N407" s="125"/>
      <c r="O407" s="125"/>
      <c r="P407" s="47"/>
      <c r="Q407" s="47"/>
      <c r="R407" s="386"/>
      <c r="S407" s="119"/>
      <c r="T407" s="47"/>
      <c r="U407" s="47"/>
      <c r="V407" s="125"/>
      <c r="W407" s="125"/>
      <c r="X407" s="125"/>
      <c r="Y407" s="125"/>
      <c r="Z407" s="125"/>
      <c r="AA407" s="125"/>
      <c r="AB407" s="125"/>
      <c r="AC407" s="125">
        <f t="shared" si="759"/>
        <v>685.75025601853247</v>
      </c>
      <c r="AD407" s="129"/>
      <c r="AE407" s="133">
        <v>69.776635096252377</v>
      </c>
      <c r="AF407" s="134">
        <v>2.8876869222945897E-2</v>
      </c>
      <c r="AG407" s="61"/>
      <c r="AH407" s="134"/>
      <c r="AI407" s="134"/>
      <c r="AJ407" s="129">
        <f t="shared" si="664"/>
        <v>685.75025601853247</v>
      </c>
      <c r="AK407" s="134"/>
      <c r="AL407" s="129"/>
      <c r="AM407" s="129"/>
      <c r="AN407" s="129"/>
      <c r="AO407" s="129"/>
      <c r="AP407" s="133"/>
      <c r="AQ407" s="134"/>
      <c r="AR407" s="93"/>
      <c r="AS407" s="93"/>
      <c r="AT407" s="93"/>
      <c r="AU407" s="93"/>
      <c r="AV407" s="93"/>
      <c r="AW407" s="134"/>
      <c r="AX407" s="62"/>
      <c r="AY407" s="93"/>
      <c r="AZ407" s="93"/>
      <c r="BA407" s="93"/>
      <c r="BB407" s="234">
        <f>IFERROR(INDEX('Total Customers'!$E$7:$AA$91,MATCH($C407,'Total Customers'!$C$7:$C$91,0),MATCH($G407,'Total Customers'!$E$5:$AA$5,0)),"NA")</f>
        <v>14509</v>
      </c>
      <c r="BC407" s="411">
        <f t="shared" si="754"/>
        <v>-0.22324003849182797</v>
      </c>
      <c r="BD407" s="92"/>
      <c r="BE407" s="281" t="str">
        <f t="shared" si="748"/>
        <v>CORNING NATURAL GAS CORPORATION</v>
      </c>
      <c r="BF407" s="290">
        <f t="shared" si="749"/>
        <v>4059459</v>
      </c>
      <c r="BG407" s="46" t="str">
        <f t="shared" si="750"/>
        <v>NY</v>
      </c>
      <c r="BH407" s="46"/>
      <c r="BI407" s="46" t="str">
        <f t="shared" si="751"/>
        <v>2002 Y</v>
      </c>
      <c r="BJ407" s="129"/>
      <c r="BK407" s="129"/>
      <c r="BL407" s="129">
        <f>INDEX('Dist. Plant Gas Additions'!$E$7:$AD$91,MATCH($C407,'Dist. Plant Gas Additions'!$C$7:$C$91,0),MATCH(Calculation!$G407,'Dist. Plant Gas Additions'!$E$5:$AD$5,0))</f>
        <v>649</v>
      </c>
      <c r="BM407" s="129">
        <f>INDEX('Gen. Plant Additions'!$E$7:$AD$91,MATCH($C407,'Gen. Plant Additions'!$C$7:$C$91,0),MATCH(Calculation!$G407,'Gen. Plant Additions'!$E$5:$AD$5,0))</f>
        <v>207</v>
      </c>
      <c r="BN407" s="393">
        <f t="shared" si="760"/>
        <v>0.64642429085097886</v>
      </c>
      <c r="BO407" s="46">
        <f t="shared" si="708"/>
        <v>133.80982820615262</v>
      </c>
      <c r="BP407" s="46">
        <f t="shared" si="709"/>
        <v>-73.190171793847384</v>
      </c>
      <c r="BQ407" s="129">
        <f>INDEX('Dist Plant Depreciation'!$D$7:$AC$94,MATCH($C407,'Dist Plant Depreciation'!$C$7:$C$94,0),MATCH(Calculation!$G407,'Dist Plant Depreciation'!$D$5:$AC$5,0))</f>
        <v>3695</v>
      </c>
      <c r="BR407" s="129">
        <f>INDEX('Gen. Plant Depreciation'!$D$7:$AC$94,MATCH($C407,'Gen. Plant Depreciation'!$C$7:$C$94,0),MATCH(Calculation!$G407,'Gen. Plant Depreciation'!$D$5:$AC$5,0))</f>
        <v>2573</v>
      </c>
      <c r="BS407" s="129"/>
      <c r="BT407" s="129"/>
      <c r="BU407" s="129"/>
      <c r="BV407" s="129"/>
      <c r="BW407" s="129"/>
      <c r="BX407" s="129"/>
      <c r="BY407" s="129">
        <f>INDEX('Gross Dx Plant'!$D$7:$AC$91,MATCH($C407,'Gross Dx Plant'!$C$7:$C$91,0),MATCH(Calculation!$G407,'Gross Dx Plant'!$D$5:$AC$5,0))</f>
        <v>12944</v>
      </c>
      <c r="BZ407" s="129">
        <f>INDEX('Gross Gen Plant'!$D$7:$AC$91,MATCH($C407,'Gross Gen Plant'!$C$7:$C$91,0),MATCH(Calculation!$G407,'Gross Gen Plant'!$D$5:$AC$5,0))</f>
        <v>7080</v>
      </c>
      <c r="CA407" s="129">
        <f t="shared" si="755"/>
        <v>13756</v>
      </c>
      <c r="CB407" s="129"/>
      <c r="CC407" s="133">
        <v>2002</v>
      </c>
      <c r="CD407" s="129"/>
      <c r="CE407" s="129"/>
      <c r="CF407" s="129"/>
      <c r="CG407" s="137"/>
      <c r="CH407" s="129">
        <f t="shared" si="761"/>
        <v>856</v>
      </c>
      <c r="CI407" s="46">
        <f t="shared" si="770"/>
        <v>782.80982820615259</v>
      </c>
      <c r="CJ407" s="46">
        <f t="shared" si="762"/>
        <v>2.1663589369984777</v>
      </c>
      <c r="CK407" s="443">
        <v>0.95918367346938771</v>
      </c>
      <c r="CL407" s="46">
        <f>+CL403*CK407+CJ404*CK406+CJ405*CK405+CJ406*CK404+CJ407</f>
        <v>67.385256727509912</v>
      </c>
      <c r="CM407" s="134">
        <f t="shared" si="763"/>
        <v>2.155650587261607E-2</v>
      </c>
      <c r="CN407" s="135">
        <f t="shared" si="764"/>
        <v>1.1058870939669238E-2</v>
      </c>
      <c r="CO407" s="135">
        <f t="shared" ref="CO407:CO426" si="773">+(CN407+CN406+CN405)/3</f>
        <v>1.0479620127504021E-2</v>
      </c>
      <c r="CP407" s="134">
        <f>VLOOKUP($H407,RoR!$E:$F,2,FALSE)</f>
        <v>6.4916666666666664E-2</v>
      </c>
      <c r="CQ407" s="135">
        <v>1.5246423291824351E-2</v>
      </c>
      <c r="CR407" s="135">
        <f t="shared" si="771"/>
        <v>4.9670243374842313E-2</v>
      </c>
      <c r="CS407" s="135">
        <f t="shared" ref="CS407:CS427" si="774">+$CR$2-CO407</f>
        <v>2.0422321481029605E-2</v>
      </c>
      <c r="CT407" s="135">
        <f t="shared" ref="CT407:CT427" si="775">+((DF405/DF404-1)+(DF406/DF405-1)+(DF407/DF406-1))/3</f>
        <v>2.5243621214759093E-2</v>
      </c>
      <c r="CU407" s="139">
        <f t="shared" si="765"/>
        <v>0.85329623209999994</v>
      </c>
      <c r="CV407" s="335">
        <f t="shared" si="766"/>
        <v>0.78996741384417901</v>
      </c>
      <c r="CW407" s="335">
        <f t="shared" si="767"/>
        <v>0.58989088575096271</v>
      </c>
      <c r="CX407" s="335">
        <f t="shared" si="768"/>
        <v>0.91920675783645744</v>
      </c>
      <c r="CY407" s="335">
        <f t="shared" si="769"/>
        <v>0.42834536472275586</v>
      </c>
      <c r="CZ407" s="336">
        <f>INDEX('State Tax Lookup'!$D$7:$Z$91,MATCH(Calculation!$C407,'State Tax Lookup'!$B$7:$B$91,0),MATCH($H407,'State Tax Lookup'!$D$6:$Z$6,0))</f>
        <v>0.39649667</v>
      </c>
      <c r="DA407" s="303">
        <v>0.37</v>
      </c>
      <c r="DB407" s="57">
        <f t="shared" si="772"/>
        <v>10.398314835351963</v>
      </c>
      <c r="DC407" s="56">
        <f t="shared" ref="DC407:DC427" si="776">LN(DB407/DB406)</f>
        <v>3.2195289698290965E-3</v>
      </c>
      <c r="DD407" s="303">
        <f>VLOOKUP($H407,RoR!$E:$F,2,FALSE)</f>
        <v>6.4916666666666664E-2</v>
      </c>
      <c r="DE407" s="304">
        <f>HLOOKUP($H407,'GDP-PI'!$D$8:$CQ$11,3,FALSE)</f>
        <v>1.5246423291824351E-2</v>
      </c>
      <c r="DF407" s="303">
        <f>VLOOKUP(H407,'HW Dx Data'!$E:$F,2,FALSE)</f>
        <v>361.34816573413599</v>
      </c>
      <c r="DG407" s="89"/>
      <c r="DH407" s="89"/>
      <c r="DI407" s="89"/>
      <c r="DJ407" s="56"/>
      <c r="DK407" s="53">
        <f>HLOOKUP(H407,'GDP-PI'!$8:$9,2,FALSE)</f>
        <v>81.039000000000001</v>
      </c>
      <c r="DL407" s="355">
        <f>LN(DK407/DK406)</f>
        <v>1.513136459537477E-2</v>
      </c>
      <c r="EC407"/>
    </row>
    <row r="408" spans="1:133" s="126" customFormat="1" ht="21" customHeight="1" x14ac:dyDescent="0.4">
      <c r="A408" s="233" t="s">
        <v>207</v>
      </c>
      <c r="B408" s="127" t="s">
        <v>207</v>
      </c>
      <c r="C408" s="127">
        <v>4059459</v>
      </c>
      <c r="D408" s="127" t="s">
        <v>194</v>
      </c>
      <c r="E408" s="127" t="s">
        <v>15</v>
      </c>
      <c r="F408" s="127"/>
      <c r="G408" s="127" t="s">
        <v>159</v>
      </c>
      <c r="H408" s="128">
        <v>2003</v>
      </c>
      <c r="I408" s="129"/>
      <c r="J408" s="125"/>
      <c r="K408" s="125"/>
      <c r="L408" s="47"/>
      <c r="M408" s="125"/>
      <c r="N408" s="125"/>
      <c r="O408" s="125"/>
      <c r="P408" s="59"/>
      <c r="Q408" s="59"/>
      <c r="R408" s="386"/>
      <c r="S408" s="119"/>
      <c r="T408" s="59"/>
      <c r="U408" s="59"/>
      <c r="V408" s="125"/>
      <c r="W408" s="125"/>
      <c r="X408" s="125"/>
      <c r="Y408" s="125"/>
      <c r="Z408" s="125"/>
      <c r="AA408" s="125"/>
      <c r="AB408" s="125"/>
      <c r="AC408" s="125">
        <f t="shared" si="759"/>
        <v>705.96235161302104</v>
      </c>
      <c r="AD408" s="129"/>
      <c r="AE408" s="133">
        <v>71.775043848661142</v>
      </c>
      <c r="AF408" s="134">
        <v>2.8237623936474211E-2</v>
      </c>
      <c r="AG408" s="61"/>
      <c r="AH408" s="134"/>
      <c r="AI408" s="134"/>
      <c r="AJ408" s="129">
        <f t="shared" si="664"/>
        <v>705.96235161302104</v>
      </c>
      <c r="AK408" s="134"/>
      <c r="AL408" s="129"/>
      <c r="AM408" s="129"/>
      <c r="AN408" s="129"/>
      <c r="AO408" s="129"/>
      <c r="AP408" s="133"/>
      <c r="AQ408" s="134"/>
      <c r="AR408" s="93"/>
      <c r="AS408" s="93"/>
      <c r="AT408" s="93"/>
      <c r="AU408" s="93"/>
      <c r="AV408" s="93"/>
      <c r="AW408" s="134"/>
      <c r="AX408" s="62"/>
      <c r="AY408" s="93"/>
      <c r="AZ408" s="93"/>
      <c r="BA408" s="93"/>
      <c r="BB408" s="234">
        <f>IFERROR(INDEX('Total Customers'!$E$7:$AA$91,MATCH($C408,'Total Customers'!$C$7:$C$91,0),MATCH($G408,'Total Customers'!$E$5:$AA$5,0)),"NA")</f>
        <v>18100</v>
      </c>
      <c r="BC408" s="411">
        <f t="shared" si="754"/>
        <v>0.22114279173823201</v>
      </c>
      <c r="BD408" s="92"/>
      <c r="BE408" s="281" t="str">
        <f t="shared" si="748"/>
        <v>CORNING NATURAL GAS CORPORATION</v>
      </c>
      <c r="BF408" s="290">
        <f t="shared" si="749"/>
        <v>4059459</v>
      </c>
      <c r="BG408" s="46" t="str">
        <f t="shared" si="750"/>
        <v>NY</v>
      </c>
      <c r="BH408" s="46"/>
      <c r="BI408" s="46" t="str">
        <f t="shared" si="751"/>
        <v>2003 Y</v>
      </c>
      <c r="BJ408" s="129"/>
      <c r="BK408" s="129"/>
      <c r="BL408" s="129">
        <f>INDEX('Dist. Plant Gas Additions'!$E$7:$AD$91,MATCH($C408,'Dist. Plant Gas Additions'!$C$7:$C$91,0),MATCH(Calculation!$G408,'Dist. Plant Gas Additions'!$E$5:$AD$5,0))</f>
        <v>707</v>
      </c>
      <c r="BM408" s="129">
        <f>INDEX('Gen. Plant Additions'!$E$7:$AD$91,MATCH($C408,'Gen. Plant Additions'!$C$7:$C$91,0),MATCH(Calculation!$G408,'Gen. Plant Additions'!$E$5:$AD$5,0))</f>
        <v>177</v>
      </c>
      <c r="BN408" s="393">
        <f t="shared" si="760"/>
        <v>0.66028592197722313</v>
      </c>
      <c r="BO408" s="46">
        <f t="shared" si="708"/>
        <v>116.87060818996849</v>
      </c>
      <c r="BP408" s="46">
        <f t="shared" si="709"/>
        <v>-60.129391810031507</v>
      </c>
      <c r="BQ408" s="129">
        <f>INDEX('Dist Plant Depreciation'!$D$7:$AC$94,MATCH($C408,'Dist Plant Depreciation'!$C$7:$C$94,0),MATCH(Calculation!$G408,'Dist Plant Depreciation'!$D$5:$AC$5,0))</f>
        <v>3919</v>
      </c>
      <c r="BR408" s="129">
        <f>INDEX('Gen. Plant Depreciation'!$D$7:$AC$94,MATCH($C408,'Gen. Plant Depreciation'!$C$7:$C$94,0),MATCH(Calculation!$G408,'Gen. Plant Depreciation'!$D$5:$AC$5,0))</f>
        <v>2689</v>
      </c>
      <c r="BS408" s="129"/>
      <c r="BT408" s="129"/>
      <c r="BU408" s="129"/>
      <c r="BV408" s="129"/>
      <c r="BW408" s="129"/>
      <c r="BX408" s="129"/>
      <c r="BY408" s="129">
        <f>INDEX('Gross Dx Plant'!$D$7:$AC$91,MATCH($C408,'Gross Dx Plant'!$C$7:$C$91,0),MATCH(Calculation!$G408,'Gross Dx Plant'!$D$5:$AC$5,0))</f>
        <v>13625</v>
      </c>
      <c r="BZ408" s="129">
        <f>INDEX('Gross Gen Plant'!$D$7:$AC$91,MATCH($C408,'Gross Gen Plant'!$C$7:$C$91,0),MATCH(Calculation!$G408,'Gross Gen Plant'!$D$5:$AC$5,0))</f>
        <v>7010</v>
      </c>
      <c r="CA408" s="129">
        <f t="shared" si="755"/>
        <v>14027</v>
      </c>
      <c r="CB408" s="129"/>
      <c r="CC408" s="133">
        <v>2003</v>
      </c>
      <c r="CD408" s="129"/>
      <c r="CE408" s="129"/>
      <c r="CF408" s="129"/>
      <c r="CG408" s="137"/>
      <c r="CH408" s="129">
        <f t="shared" si="761"/>
        <v>884</v>
      </c>
      <c r="CI408" s="46">
        <f t="shared" si="770"/>
        <v>823.87060818996849</v>
      </c>
      <c r="CJ408" s="46">
        <f t="shared" si="762"/>
        <v>2.2313026835215286</v>
      </c>
      <c r="CK408" s="443">
        <v>0.94845360824742264</v>
      </c>
      <c r="CL408" s="46">
        <f>+CL403*CK408+CJ404*CK407+CJ405*CK406+CJ406*CK405+CJ407*CK404+CJ408</f>
        <v>68.869968362270043</v>
      </c>
      <c r="CM408" s="134">
        <f t="shared" si="763"/>
        <v>2.1793959097913779E-2</v>
      </c>
      <c r="CN408" s="135">
        <f t="shared" si="764"/>
        <v>1.1079442077076819E-2</v>
      </c>
      <c r="CO408" s="135">
        <f t="shared" si="773"/>
        <v>1.077642639263815E-2</v>
      </c>
      <c r="CP408" s="134">
        <f>VLOOKUP($H408,RoR!$E:$F,2,FALSE)</f>
        <v>5.6666666666666671E-2</v>
      </c>
      <c r="CQ408" s="135">
        <v>1.8855119140166909E-2</v>
      </c>
      <c r="CR408" s="135">
        <f t="shared" si="771"/>
        <v>3.7811547526499761E-2</v>
      </c>
      <c r="CS408" s="135">
        <f t="shared" si="774"/>
        <v>2.0125515215895475E-2</v>
      </c>
      <c r="CT408" s="135">
        <f t="shared" si="775"/>
        <v>2.1375012817671957E-2</v>
      </c>
      <c r="CU408" s="139">
        <f t="shared" si="765"/>
        <v>0.85329623209999994</v>
      </c>
      <c r="CV408" s="335">
        <f t="shared" si="766"/>
        <v>0.90497737556561086</v>
      </c>
      <c r="CW408" s="335">
        <f t="shared" si="767"/>
        <v>0.5338235294117647</v>
      </c>
      <c r="CX408" s="335">
        <f t="shared" si="768"/>
        <v>0.88972433127405692</v>
      </c>
      <c r="CY408" s="335">
        <f t="shared" si="769"/>
        <v>0.42982423775949252</v>
      </c>
      <c r="CZ408" s="336">
        <f>INDEX('State Tax Lookup'!$D$7:$Z$91,MATCH(Calculation!$C408,'State Tax Lookup'!$B$7:$B$91,0),MATCH($H408,'State Tax Lookup'!$D$6:$Z$6,0))</f>
        <v>0.39649667</v>
      </c>
      <c r="DA408" s="303">
        <v>0.37</v>
      </c>
      <c r="DB408" s="57">
        <f t="shared" si="772"/>
        <v>10.476510529117167</v>
      </c>
      <c r="DC408" s="56">
        <f t="shared" si="776"/>
        <v>7.4919007130032017E-3</v>
      </c>
      <c r="DD408" s="303">
        <f>VLOOKUP($H408,RoR!$E:$F,2,FALSE)</f>
        <v>5.6666666666666671E-2</v>
      </c>
      <c r="DE408" s="304">
        <f>HLOOKUP($H408,'GDP-PI'!$D$8:$CQ$11,3,FALSE)</f>
        <v>1.8855119140166909E-2</v>
      </c>
      <c r="DF408" s="303">
        <f>VLOOKUP(H408,'HW Dx Data'!$E:$F,2,FALSE)</f>
        <v>369.23301095560191</v>
      </c>
      <c r="DG408" s="89">
        <f ca="1">VLOOKUP(CC408,'ECI - Input Price'!M$13:N$33,2,FALSE)</f>
        <v>89.25</v>
      </c>
      <c r="DH408" s="89"/>
      <c r="DI408" s="89"/>
      <c r="DJ408" s="56"/>
      <c r="DK408" s="53">
        <f>HLOOKUP(H408,'GDP-PI'!$8:$9,2,FALSE)</f>
        <v>82.566999999999993</v>
      </c>
      <c r="DL408" s="355">
        <f t="shared" ref="DL408:DL427" si="777">LN(DK408/DK407)</f>
        <v>1.8679564681853753E-2</v>
      </c>
      <c r="EC408"/>
    </row>
    <row r="409" spans="1:133" s="126" customFormat="1" ht="21" customHeight="1" x14ac:dyDescent="0.4">
      <c r="A409" s="233" t="s">
        <v>207</v>
      </c>
      <c r="B409" s="127" t="s">
        <v>207</v>
      </c>
      <c r="C409" s="127">
        <v>4059459</v>
      </c>
      <c r="D409" s="127" t="s">
        <v>194</v>
      </c>
      <c r="E409" s="127" t="s">
        <v>15</v>
      </c>
      <c r="F409" s="127"/>
      <c r="G409" s="127" t="s">
        <v>160</v>
      </c>
      <c r="H409" s="128">
        <v>2004</v>
      </c>
      <c r="I409" s="129"/>
      <c r="J409" s="125">
        <f>IFERROR(INDEX('Labor Expenditures'!$E$7:$W$91,MATCH($C409,'Labor Expenditures'!$C$7:$C$91,0),MATCH($G409,'Labor Expenditures'!$E$5:$W$5,0)),"NA")</f>
        <v>1077.7043382577167</v>
      </c>
      <c r="K409" s="125">
        <f t="shared" ref="K409:K427" ca="1" si="778">+J409/DG409</f>
        <v>11.422409520484544</v>
      </c>
      <c r="L409" s="47"/>
      <c r="M409" s="131"/>
      <c r="N409" s="131"/>
      <c r="O409" s="131"/>
      <c r="P409" s="59"/>
      <c r="Q409" s="59"/>
      <c r="R409" s="386"/>
      <c r="S409" s="119"/>
      <c r="T409" s="59"/>
      <c r="U409" s="59"/>
      <c r="V409" s="125">
        <f>IFERROR(INDEX('Non-Labor Expenditures'!$E$7:$AA$91,MATCH($C409,'Non-Labor Expenditures'!$C$7:$C$91,0),MATCH($G409,'Non-Labor Expenditures'!$E$5:$AA$5,0)),"NA")</f>
        <v>1560.7171692020775</v>
      </c>
      <c r="W409" s="125">
        <f t="shared" ref="W409:W427" si="779">+V409/DK409</f>
        <v>18.409459638138166</v>
      </c>
      <c r="X409" s="125"/>
      <c r="Y409" s="125"/>
      <c r="Z409" s="125"/>
      <c r="AA409" s="125"/>
      <c r="AB409" s="125"/>
      <c r="AC409" s="125">
        <f t="shared" si="759"/>
        <v>791.52097930691161</v>
      </c>
      <c r="AD409" s="129"/>
      <c r="AE409" s="133">
        <v>73.05394377131978</v>
      </c>
      <c r="AF409" s="134">
        <v>1.7661287101264848E-2</v>
      </c>
      <c r="AG409" s="59">
        <f t="shared" ref="AG409:AG427" si="780">+AF409*$AX409</f>
        <v>0</v>
      </c>
      <c r="AH409" s="134"/>
      <c r="AI409" s="134"/>
      <c r="AJ409" s="129">
        <f t="shared" si="664"/>
        <v>3429.9424867667058</v>
      </c>
      <c r="AK409" s="134"/>
      <c r="AL409" s="129"/>
      <c r="AM409" s="129"/>
      <c r="AN409" s="129"/>
      <c r="AO409" s="129"/>
      <c r="AP409" s="133"/>
      <c r="AQ409" s="134"/>
      <c r="AR409" s="93">
        <f t="shared" ref="AR409:AR427" si="781">+J409/AJ409</f>
        <v>0.3142047840206304</v>
      </c>
      <c r="AS409" s="93">
        <f t="shared" ref="AS409:AS427" si="782">+V409/AJ409</f>
        <v>0.45502721262049917</v>
      </c>
      <c r="AT409" s="93">
        <f t="shared" ref="AT409:AT427" si="783">+AC409/AJ409</f>
        <v>0.23076800335887046</v>
      </c>
      <c r="AU409" s="93"/>
      <c r="AV409" s="93"/>
      <c r="AW409" s="134"/>
      <c r="AX409" s="62"/>
      <c r="AY409" s="93"/>
      <c r="AZ409" s="93"/>
      <c r="BA409" s="93"/>
      <c r="BB409" s="234">
        <f>IFERROR(INDEX('Total Customers'!$E$7:$AA$91,MATCH($C409,'Total Customers'!$C$7:$C$91,0),MATCH($G409,'Total Customers'!$E$5:$AA$5,0)),"NA")</f>
        <v>17982</v>
      </c>
      <c r="BC409" s="411">
        <f t="shared" si="754"/>
        <v>-6.5406807091989072E-3</v>
      </c>
      <c r="BD409" s="92"/>
      <c r="BE409" s="281" t="str">
        <f t="shared" si="748"/>
        <v>CORNING NATURAL GAS CORPORATION</v>
      </c>
      <c r="BF409" s="290">
        <f t="shared" si="749"/>
        <v>4059459</v>
      </c>
      <c r="BG409" s="46" t="str">
        <f t="shared" si="750"/>
        <v>NY</v>
      </c>
      <c r="BH409" s="46"/>
      <c r="BI409" s="46" t="str">
        <f t="shared" si="751"/>
        <v>2004 Y</v>
      </c>
      <c r="BJ409" s="129"/>
      <c r="BK409" s="129"/>
      <c r="BL409" s="129">
        <f>INDEX('Dist. Plant Gas Additions'!$E$7:$AD$91,MATCH($C409,'Dist. Plant Gas Additions'!$C$7:$C$91,0),MATCH(Calculation!$G409,'Dist. Plant Gas Additions'!$E$5:$AD$5,0))</f>
        <v>623</v>
      </c>
      <c r="BM409" s="129">
        <f>INDEX('Gen. Plant Additions'!$E$7:$AD$91,MATCH($C409,'Gen. Plant Additions'!$C$7:$C$91,0),MATCH(Calculation!$G409,'Gen. Plant Additions'!$E$5:$AD$5,0))</f>
        <v>82</v>
      </c>
      <c r="BN409" s="393">
        <f t="shared" si="760"/>
        <v>0.66683896433438283</v>
      </c>
      <c r="BO409" s="46">
        <f t="shared" si="708"/>
        <v>54.68079507541939</v>
      </c>
      <c r="BP409" s="46">
        <f t="shared" si="709"/>
        <v>-27.31920492458061</v>
      </c>
      <c r="BQ409" s="129">
        <f>INDEX('Dist Plant Depreciation'!$D$7:$AC$94,MATCH($C409,'Dist Plant Depreciation'!$C$7:$C$94,0),MATCH(Calculation!$G409,'Dist Plant Depreciation'!$D$5:$AC$5,0))</f>
        <v>4099</v>
      </c>
      <c r="BR409" s="129">
        <f>INDEX('Gen. Plant Depreciation'!$D$7:$AC$94,MATCH($C409,'Gen. Plant Depreciation'!$C$7:$C$94,0),MATCH(Calculation!$G409,'Gen. Plant Depreciation'!$D$5:$AC$5,0))</f>
        <v>2900</v>
      </c>
      <c r="BS409" s="129"/>
      <c r="BT409" s="129"/>
      <c r="BU409" s="129"/>
      <c r="BV409" s="129"/>
      <c r="BW409" s="129"/>
      <c r="BX409" s="129"/>
      <c r="BY409" s="129">
        <f>INDEX('Gross Dx Plant'!$D$7:$AC$91,MATCH($C409,'Gross Dx Plant'!$C$7:$C$91,0),MATCH(Calculation!$G409,'Gross Dx Plant'!$D$5:$AC$5,0))</f>
        <v>14191</v>
      </c>
      <c r="BZ409" s="129">
        <f>INDEX('Gross Gen Plant'!$D$7:$AC$91,MATCH($C409,'Gross Gen Plant'!$C$7:$C$91,0),MATCH(Calculation!$G409,'Gross Gen Plant'!$D$5:$AC$5,0))</f>
        <v>7090</v>
      </c>
      <c r="CA409" s="129">
        <f t="shared" si="755"/>
        <v>14282</v>
      </c>
      <c r="CB409" s="129"/>
      <c r="CC409" s="133">
        <v>2004</v>
      </c>
      <c r="CD409" s="129"/>
      <c r="CE409" s="129"/>
      <c r="CF409" s="129"/>
      <c r="CG409" s="137"/>
      <c r="CH409" s="129">
        <f t="shared" si="761"/>
        <v>705</v>
      </c>
      <c r="CI409" s="46">
        <f t="shared" si="770"/>
        <v>677.68079507541938</v>
      </c>
      <c r="CJ409" s="46">
        <f t="shared" si="762"/>
        <v>1.6334097778882641</v>
      </c>
      <c r="CK409" s="443">
        <v>0.9375</v>
      </c>
      <c r="CL409" s="46">
        <f>+CL403*CK409+CJ404*CK408+CJ405*CK407+CJ406*CK406+CJ407*CK405+CJ408*CK404+CJ409</f>
        <v>69.719188171310961</v>
      </c>
      <c r="CM409" s="134">
        <f t="shared" si="763"/>
        <v>1.2255366281638189E-2</v>
      </c>
      <c r="CN409" s="135">
        <f t="shared" si="764"/>
        <v>1.1386530116034726E-2</v>
      </c>
      <c r="CO409" s="135">
        <f t="shared" si="773"/>
        <v>1.1174947710926928E-2</v>
      </c>
      <c r="CP409" s="134">
        <f>VLOOKUP($H409,RoR!$E:$F,2,FALSE)</f>
        <v>5.6283333333333331E-2</v>
      </c>
      <c r="CQ409" s="135">
        <v>2.6778252812867276E-2</v>
      </c>
      <c r="CR409" s="135">
        <f t="shared" si="771"/>
        <v>2.9505080520466055E-2</v>
      </c>
      <c r="CS409" s="135">
        <f t="shared" si="774"/>
        <v>1.9726993897606696E-2</v>
      </c>
      <c r="CT409" s="135">
        <f t="shared" si="775"/>
        <v>5.5940039414565046E-2</v>
      </c>
      <c r="CU409" s="139">
        <f t="shared" si="765"/>
        <v>0.85329623209999994</v>
      </c>
      <c r="CV409" s="335">
        <f t="shared" si="766"/>
        <v>0.91114097628755619</v>
      </c>
      <c r="CW409" s="335">
        <f t="shared" si="767"/>
        <v>0.53081877405981637</v>
      </c>
      <c r="CX409" s="335">
        <f t="shared" si="768"/>
        <v>0.88811215519385678</v>
      </c>
      <c r="CY409" s="335">
        <f t="shared" si="769"/>
        <v>0.42953609753547711</v>
      </c>
      <c r="CZ409" s="336">
        <f>INDEX('State Tax Lookup'!$D$7:$Z$91,MATCH(Calculation!$C409,'State Tax Lookup'!$B$7:$B$91,0),MATCH($H409,'State Tax Lookup'!$D$6:$Z$6,0))</f>
        <v>0.39649667</v>
      </c>
      <c r="DA409" s="303">
        <v>0.37</v>
      </c>
      <c r="DB409" s="57">
        <f t="shared" si="772"/>
        <v>11.492977245805461</v>
      </c>
      <c r="DC409" s="56">
        <f t="shared" si="776"/>
        <v>9.2600515885015264E-2</v>
      </c>
      <c r="DD409" s="303">
        <f>VLOOKUP($H409,RoR!$E:$F,2,FALSE)</f>
        <v>5.6283333333333331E-2</v>
      </c>
      <c r="DE409" s="304">
        <f>HLOOKUP($H409,'GDP-PI'!$D$8:$CQ$11,3,FALSE)</f>
        <v>2.6778252812867276E-2</v>
      </c>
      <c r="DF409" s="303">
        <f>VLOOKUP(H409,'HW Dx Data'!$E:$F,2,FALSE)</f>
        <v>414.88719135228365</v>
      </c>
      <c r="DG409" s="89">
        <f ca="1">VLOOKUP(CC409,'ECI - Input Price'!M$13:N$33,2,FALSE)</f>
        <v>94.35</v>
      </c>
      <c r="DH409" s="89"/>
      <c r="DI409" s="89"/>
      <c r="DJ409" s="56">
        <f t="shared" ref="DJ409:DJ427" ca="1" si="784">LN(DG409/DG408)</f>
        <v>5.5569851154810786E-2</v>
      </c>
      <c r="DK409" s="53">
        <f>HLOOKUP(H409,'GDP-PI'!$8:$9,2,FALSE)</f>
        <v>84.778000000000006</v>
      </c>
      <c r="DL409" s="355">
        <f t="shared" si="777"/>
        <v>2.6425990216022755E-2</v>
      </c>
      <c r="EC409"/>
    </row>
    <row r="410" spans="1:133" s="126" customFormat="1" ht="21" customHeight="1" x14ac:dyDescent="0.4">
      <c r="A410" s="233" t="s">
        <v>207</v>
      </c>
      <c r="B410" s="127" t="s">
        <v>207</v>
      </c>
      <c r="C410" s="127">
        <v>4059459</v>
      </c>
      <c r="D410" s="127" t="s">
        <v>194</v>
      </c>
      <c r="E410" s="127" t="s">
        <v>15</v>
      </c>
      <c r="F410" s="127"/>
      <c r="G410" s="127" t="s">
        <v>161</v>
      </c>
      <c r="H410" s="128">
        <v>2005</v>
      </c>
      <c r="I410" s="129"/>
      <c r="J410" s="125">
        <f>IFERROR(INDEX('Labor Expenditures'!$E$7:$W$91,MATCH($C410,'Labor Expenditures'!$C$7:$C$91,0),MATCH($G410,'Labor Expenditures'!$E$5:$W$5,0)),"NA")</f>
        <v>1111.6450131313147</v>
      </c>
      <c r="K410" s="125">
        <f t="shared" ca="1" si="778"/>
        <v>11.203275516566539</v>
      </c>
      <c r="L410" s="47"/>
      <c r="M410" s="131">
        <f t="shared" ref="M410:M426" ca="1" si="785">LN(K410/K409)</f>
        <v>-1.9370980878012711E-2</v>
      </c>
      <c r="N410" s="131"/>
      <c r="O410" s="131"/>
      <c r="P410" s="59"/>
      <c r="Q410" s="61"/>
      <c r="R410" s="387"/>
      <c r="S410" s="49">
        <v>100</v>
      </c>
      <c r="T410" s="46"/>
      <c r="U410" s="46"/>
      <c r="V410" s="125">
        <f>IFERROR(INDEX('Non-Labor Expenditures'!$E$7:$AA$91,MATCH($C410,'Non-Labor Expenditures'!$C$7:$C$91,0),MATCH($G410,'Non-Labor Expenditures'!$E$5:$AA$5,0)),"NA")</f>
        <v>1609.8696056626816</v>
      </c>
      <c r="W410" s="125">
        <f t="shared" si="779"/>
        <v>18.418085572810892</v>
      </c>
      <c r="X410" s="131">
        <f>LN(W410/W409)</f>
        <v>4.6845016582330987E-4</v>
      </c>
      <c r="Y410" s="131"/>
      <c r="Z410" s="131"/>
      <c r="AA410" s="131"/>
      <c r="AB410" s="131"/>
      <c r="AC410" s="125">
        <f t="shared" si="759"/>
        <v>893.21656752248759</v>
      </c>
      <c r="AD410" s="129"/>
      <c r="AE410" s="133">
        <v>74.898293585808588</v>
      </c>
      <c r="AF410" s="134">
        <v>2.4932983671165743E-2</v>
      </c>
      <c r="AG410" s="59">
        <f t="shared" si="780"/>
        <v>0</v>
      </c>
      <c r="AH410" s="134"/>
      <c r="AI410" s="134"/>
      <c r="AJ410" s="129">
        <f t="shared" si="664"/>
        <v>3614.7311863164841</v>
      </c>
      <c r="AK410" s="134">
        <f>LN(AJ410/AJ409)</f>
        <v>5.2473998883391972E-2</v>
      </c>
      <c r="AL410" s="129"/>
      <c r="AM410" s="129"/>
      <c r="AN410" s="129"/>
      <c r="AO410" s="129"/>
      <c r="AP410" s="133"/>
      <c r="AQ410" s="134"/>
      <c r="AR410" s="93">
        <f t="shared" si="781"/>
        <v>0.3075318622141065</v>
      </c>
      <c r="AS410" s="93">
        <f t="shared" si="782"/>
        <v>0.44536357551477718</v>
      </c>
      <c r="AT410" s="93">
        <f t="shared" si="783"/>
        <v>0.24710456227111627</v>
      </c>
      <c r="AU410" s="93">
        <f t="shared" ref="AU410:AU426" ca="1" si="786">+(((AR410+AR409)/2)*M410+((AS409+AS410)/2)*X410+((AT409+AT410)/2)*AF410)</f>
        <v>1.464642021927233E-4</v>
      </c>
      <c r="AV410" s="132">
        <v>100</v>
      </c>
      <c r="AW410" s="134"/>
      <c r="AX410" s="15"/>
      <c r="AY410" s="93"/>
      <c r="AZ410" s="93"/>
      <c r="BA410" s="93"/>
      <c r="BB410" s="234">
        <f>IFERROR(INDEX('Total Customers'!$E$7:$AA$91,MATCH($C410,'Total Customers'!$C$7:$C$91,0),MATCH($G410,'Total Customers'!$E$5:$AA$5,0)),"NA")</f>
        <v>18025</v>
      </c>
      <c r="BC410" s="411">
        <f t="shared" si="754"/>
        <v>2.3884256084316527E-3</v>
      </c>
      <c r="BD410" s="92"/>
      <c r="BE410" s="281" t="str">
        <f t="shared" si="748"/>
        <v>CORNING NATURAL GAS CORPORATION</v>
      </c>
      <c r="BF410" s="290">
        <f t="shared" si="749"/>
        <v>4059459</v>
      </c>
      <c r="BG410" s="46" t="str">
        <f t="shared" si="750"/>
        <v>NY</v>
      </c>
      <c r="BH410" s="46"/>
      <c r="BI410" s="46" t="str">
        <f t="shared" si="751"/>
        <v>2005 Y</v>
      </c>
      <c r="BJ410" s="129"/>
      <c r="BK410" s="129"/>
      <c r="BL410" s="129">
        <f>INDEX('Dist. Plant Gas Additions'!$E$7:$AD$91,MATCH($C410,'Dist. Plant Gas Additions'!$C$7:$C$91,0),MATCH(Calculation!$G410,'Dist. Plant Gas Additions'!$E$5:$AD$5,0))</f>
        <v>981</v>
      </c>
      <c r="BM410" s="129">
        <f>INDEX('Gen. Plant Additions'!$E$7:$AD$91,MATCH($C410,'Gen. Plant Additions'!$C$7:$C$91,0),MATCH(Calculation!$G410,'Gen. Plant Additions'!$E$5:$AD$5,0))</f>
        <v>92</v>
      </c>
      <c r="BN410" s="393">
        <f t="shared" si="760"/>
        <v>0.67776381909547734</v>
      </c>
      <c r="BO410" s="46">
        <f t="shared" si="708"/>
        <v>62.354271356783912</v>
      </c>
      <c r="BP410" s="46">
        <f t="shared" si="709"/>
        <v>-29.645728643216088</v>
      </c>
      <c r="BQ410" s="129">
        <f>INDEX('Dist Plant Depreciation'!$D$7:$AC$94,MATCH($C410,'Dist Plant Depreciation'!$C$7:$C$94,0),MATCH(Calculation!$G410,'Dist Plant Depreciation'!$D$5:$AC$5,0))</f>
        <v>4323</v>
      </c>
      <c r="BR410" s="129">
        <f>INDEX('Gen. Plant Depreciation'!$D$7:$AC$94,MATCH($C410,'Gen. Plant Depreciation'!$C$7:$C$94,0),MATCH(Calculation!$G410,'Gen. Plant Depreciation'!$D$5:$AC$5,0))</f>
        <v>3128</v>
      </c>
      <c r="BS410" s="129"/>
      <c r="BT410" s="129"/>
      <c r="BU410" s="129"/>
      <c r="BV410" s="129"/>
      <c r="BW410" s="129"/>
      <c r="BX410" s="129"/>
      <c r="BY410" s="129">
        <f>INDEX('Gross Dx Plant'!$D$7:$AC$91,MATCH($C410,'Gross Dx Plant'!$C$7:$C$91,0),MATCH(Calculation!$G410,'Gross Dx Plant'!$D$5:$AC$5,0))</f>
        <v>15106</v>
      </c>
      <c r="BZ410" s="129">
        <f>INDEX('Gross Gen Plant'!$D$7:$AC$91,MATCH($C410,'Gross Gen Plant'!$C$7:$C$91,0),MATCH(Calculation!$G410,'Gross Gen Plant'!$D$5:$AC$5,0))</f>
        <v>7182</v>
      </c>
      <c r="CA410" s="129">
        <f t="shared" si="755"/>
        <v>14837</v>
      </c>
      <c r="CB410" s="129"/>
      <c r="CC410" s="133">
        <v>2005</v>
      </c>
      <c r="CD410" s="129"/>
      <c r="CE410" s="129"/>
      <c r="CF410" s="129"/>
      <c r="CG410" s="137"/>
      <c r="CH410" s="129">
        <f t="shared" si="761"/>
        <v>1073</v>
      </c>
      <c r="CI410" s="46">
        <f t="shared" si="770"/>
        <v>1043.354271356784</v>
      </c>
      <c r="CJ410" s="46">
        <f t="shared" si="762"/>
        <v>2.2236633438839122</v>
      </c>
      <c r="CK410" s="443">
        <v>0.9263157894736842</v>
      </c>
      <c r="CL410" s="46">
        <f>+CL403*CK410+CJ404*CK409+CJ405*CK408+CJ406*CK407+CJ407*CK406+CJ408*CK405+CJ409*CK404+CJ410</f>
        <v>71.126052286488942</v>
      </c>
      <c r="CM410" s="134">
        <f t="shared" si="763"/>
        <v>1.9978110771366245E-2</v>
      </c>
      <c r="CN410" s="135">
        <f t="shared" si="764"/>
        <v>1.1715558515955854E-2</v>
      </c>
      <c r="CO410" s="135">
        <f t="shared" si="773"/>
        <v>1.1393843569689132E-2</v>
      </c>
      <c r="CP410" s="134">
        <f>VLOOKUP($H410,RoR!$E:$F,2,FALSE)</f>
        <v>5.2350000000000001E-2</v>
      </c>
      <c r="CQ410" s="135">
        <v>3.1010403642454332E-2</v>
      </c>
      <c r="CR410" s="135">
        <f t="shared" si="771"/>
        <v>2.1339596357545669E-2</v>
      </c>
      <c r="CS410" s="135">
        <f t="shared" si="774"/>
        <v>1.9508098038844492E-2</v>
      </c>
      <c r="CT410" s="135">
        <f t="shared" si="775"/>
        <v>9.2129610649277341E-2</v>
      </c>
      <c r="CU410" s="139">
        <f t="shared" si="765"/>
        <v>0.85329623209999994</v>
      </c>
      <c r="CV410" s="335">
        <f t="shared" si="766"/>
        <v>0.97959983346802826</v>
      </c>
      <c r="CW410" s="335">
        <f t="shared" si="767"/>
        <v>0.49744508118433622</v>
      </c>
      <c r="CX410" s="335">
        <f t="shared" si="768"/>
        <v>0.87010519444335932</v>
      </c>
      <c r="CY410" s="335">
        <f t="shared" si="769"/>
        <v>0.42399975420741998</v>
      </c>
      <c r="CZ410" s="336">
        <f>INDEX('State Tax Lookup'!$D$7:$Z$91,MATCH(Calculation!$C410,'State Tax Lookup'!$B$7:$B$91,0),MATCH($H410,'State Tax Lookup'!$D$6:$Z$6,0))</f>
        <v>0.39649667</v>
      </c>
      <c r="DA410" s="303">
        <v>0.37</v>
      </c>
      <c r="DB410" s="57">
        <f t="shared" si="772"/>
        <v>12.811631789626045</v>
      </c>
      <c r="DC410" s="56">
        <f t="shared" si="776"/>
        <v>0.10861731728779786</v>
      </c>
      <c r="DD410" s="303">
        <f>VLOOKUP($H410,RoR!$E:$F,2,FALSE)</f>
        <v>5.2350000000000001E-2</v>
      </c>
      <c r="DE410" s="304">
        <f>HLOOKUP($H410,'GDP-PI'!$D$8:$CQ$11,3,FALSE)</f>
        <v>3.1010403642454332E-2</v>
      </c>
      <c r="DF410" s="303">
        <f>VLOOKUP(H410,'HW Dx Data'!$E:$F,2,FALSE)</f>
        <v>469.20514034936258</v>
      </c>
      <c r="DG410" s="89">
        <f ca="1">VLOOKUP(CC410,'ECI - Input Price'!M$13:N$33,2,FALSE)</f>
        <v>99.224999999999994</v>
      </c>
      <c r="DH410" s="89"/>
      <c r="DI410" s="89"/>
      <c r="DJ410" s="56">
        <f t="shared" ca="1" si="784"/>
        <v>5.0378726854569796E-2</v>
      </c>
      <c r="DK410" s="53">
        <f>HLOOKUP(H410,'GDP-PI'!$8:$9,2,FALSE)</f>
        <v>87.406999999999996</v>
      </c>
      <c r="DL410" s="355">
        <f t="shared" si="777"/>
        <v>3.0539295810733648E-2</v>
      </c>
      <c r="EC410"/>
    </row>
    <row r="411" spans="1:133" s="126" customFormat="1" ht="21" customHeight="1" x14ac:dyDescent="0.4">
      <c r="A411" s="233" t="s">
        <v>207</v>
      </c>
      <c r="B411" s="127" t="s">
        <v>207</v>
      </c>
      <c r="C411" s="127">
        <v>4059459</v>
      </c>
      <c r="D411" s="127" t="s">
        <v>194</v>
      </c>
      <c r="E411" s="127" t="s">
        <v>15</v>
      </c>
      <c r="F411" s="127"/>
      <c r="G411" s="127" t="s">
        <v>162</v>
      </c>
      <c r="H411" s="128">
        <v>2006</v>
      </c>
      <c r="I411" s="129"/>
      <c r="J411" s="125">
        <f>IFERROR(INDEX('Labor Expenditures'!$E$7:$W$91,MATCH($C411,'Labor Expenditures'!$C$7:$C$91,0),MATCH($G411,'Labor Expenditures'!$E$5:$W$5,0)),"NA")</f>
        <v>1621.0375810447977</v>
      </c>
      <c r="K411" s="125">
        <f t="shared" ca="1" si="778"/>
        <v>14.817528163115151</v>
      </c>
      <c r="L411" s="47"/>
      <c r="M411" s="131">
        <f t="shared" ca="1" si="785"/>
        <v>0.2796046229636443</v>
      </c>
      <c r="N411" s="131"/>
      <c r="O411" s="131"/>
      <c r="P411" s="59">
        <f t="shared" ref="P411:P427" ca="1" si="787">+M411*$AX411</f>
        <v>1.8544241807848087E-4</v>
      </c>
      <c r="Q411" s="61"/>
      <c r="R411" s="387"/>
      <c r="S411" s="49">
        <f ca="1">+S410*EXP(T411)</f>
        <v>106.89944506753291</v>
      </c>
      <c r="T411" s="61">
        <f ca="1">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</f>
        <v>6.6718440893165754E-2</v>
      </c>
      <c r="U411" s="61"/>
      <c r="V411" s="125">
        <f>IFERROR(INDEX('Non-Labor Expenditures'!$E$7:$AA$91,MATCH($C411,'Non-Labor Expenditures'!$C$7:$C$91,0),MATCH($G411,'Non-Labor Expenditures'!$E$5:$AA$5,0)),"NA")</f>
        <v>2347.565185409333</v>
      </c>
      <c r="W411" s="125">
        <f t="shared" si="779"/>
        <v>26.06262834346574</v>
      </c>
      <c r="X411" s="131">
        <f t="shared" ref="X411:X426" si="788">LN(W411/W410)</f>
        <v>0.34716933055694171</v>
      </c>
      <c r="Y411" s="131">
        <f t="shared" ref="Y411:Y427" si="789">+X411*AX411</f>
        <v>2.3025341805431356E-4</v>
      </c>
      <c r="Z411" s="131"/>
      <c r="AA411" s="131"/>
      <c r="AB411" s="131"/>
      <c r="AC411" s="125">
        <f t="shared" si="759"/>
        <v>881.83279393523662</v>
      </c>
      <c r="AD411" s="129"/>
      <c r="AE411" s="133">
        <v>78.752205958722399</v>
      </c>
      <c r="AF411" s="134">
        <v>5.0175181789987665E-2</v>
      </c>
      <c r="AG411" s="59">
        <f t="shared" si="780"/>
        <v>3.3277729602748768E-5</v>
      </c>
      <c r="AH411" s="134"/>
      <c r="AI411" s="134"/>
      <c r="AJ411" s="129">
        <f t="shared" si="664"/>
        <v>4850.4355603893673</v>
      </c>
      <c r="AK411" s="134">
        <f t="shared" ref="AK411:AK427" si="790">LN(AJ411/AJ410)</f>
        <v>0.29405101496873837</v>
      </c>
      <c r="AL411" s="129"/>
      <c r="AM411" s="129"/>
      <c r="AN411" s="129"/>
      <c r="AO411" s="129"/>
      <c r="AP411" s="133">
        <f t="shared" ref="AP411:AP427" si="791">+(AJ411*1000)/BB411</f>
        <v>337.09330463474646</v>
      </c>
      <c r="AQ411" s="134">
        <f>+BB411/Outputs!$B$14</f>
        <v>4.1489039284373612E-4</v>
      </c>
      <c r="AR411" s="93">
        <f t="shared" si="781"/>
        <v>0.33420453913105264</v>
      </c>
      <c r="AS411" s="93">
        <f t="shared" si="782"/>
        <v>0.48399059345938056</v>
      </c>
      <c r="AT411" s="93">
        <f t="shared" si="783"/>
        <v>0.18180486740956678</v>
      </c>
      <c r="AU411" s="93">
        <f t="shared" ca="1" si="786"/>
        <v>0.2617981689194443</v>
      </c>
      <c r="AV411" s="132">
        <f ca="1">+AV410*EXP(AU411)</f>
        <v>129.92642840499485</v>
      </c>
      <c r="AW411" s="134">
        <f ca="1">LN(AV411/AV410)</f>
        <v>0.26179816891944407</v>
      </c>
      <c r="AX411" s="56">
        <f>+AJ411/$AL$11</f>
        <v>6.6323087262614073E-4</v>
      </c>
      <c r="AY411" s="135">
        <f ca="1">+AX411*AW411</f>
        <v>1.7363262802436868E-4</v>
      </c>
      <c r="AZ411" s="93"/>
      <c r="BA411" s="93"/>
      <c r="BB411" s="234">
        <f>IFERROR(INDEX('Total Customers'!$E$7:$AA$91,MATCH($C411,'Total Customers'!$C$7:$C$91,0),MATCH($G411,'Total Customers'!$E$5:$AA$5,0)),"NA")</f>
        <v>14389</v>
      </c>
      <c r="BC411" s="411">
        <f t="shared" si="754"/>
        <v>-0.22529565738973223</v>
      </c>
      <c r="BD411" s="92"/>
      <c r="BE411" s="281" t="str">
        <f t="shared" si="748"/>
        <v>CORNING NATURAL GAS CORPORATION</v>
      </c>
      <c r="BF411" s="290">
        <f t="shared" si="749"/>
        <v>4059459</v>
      </c>
      <c r="BG411" s="46" t="str">
        <f t="shared" si="750"/>
        <v>NY</v>
      </c>
      <c r="BH411" s="46"/>
      <c r="BI411" s="46" t="str">
        <f t="shared" si="751"/>
        <v>2006 Y</v>
      </c>
      <c r="BJ411" s="129"/>
      <c r="BK411" s="129"/>
      <c r="BL411" s="129">
        <f>INDEX('Dist. Plant Gas Additions'!$E$7:$AD$91,MATCH($C411,'Dist. Plant Gas Additions'!$C$7:$C$91,0),MATCH(Calculation!$G411,'Dist. Plant Gas Additions'!$E$5:$AD$5,0))</f>
        <v>1885</v>
      </c>
      <c r="BM411" s="129">
        <f>INDEX('Gen. Plant Additions'!$E$7:$AD$91,MATCH($C411,'Gen. Plant Additions'!$C$7:$C$91,0),MATCH(Calculation!$G411,'Gen. Plant Additions'!$E$5:$AD$5,0))</f>
        <v>108</v>
      </c>
      <c r="BN411" s="393">
        <f t="shared" si="760"/>
        <v>0.70039764725374865</v>
      </c>
      <c r="BO411" s="46">
        <f t="shared" si="708"/>
        <v>75.642945903404851</v>
      </c>
      <c r="BP411" s="46">
        <f t="shared" si="709"/>
        <v>-32.357054096595149</v>
      </c>
      <c r="BQ411" s="129">
        <f>INDEX('Dist Plant Depreciation'!$D$7:$AC$94,MATCH($C411,'Dist Plant Depreciation'!$C$7:$C$94,0),MATCH(Calculation!$G411,'Dist Plant Depreciation'!$D$5:$AC$5,0))</f>
        <v>4561</v>
      </c>
      <c r="BR411" s="129">
        <f>INDEX('Gen. Plant Depreciation'!$D$7:$AC$94,MATCH($C411,'Gen. Plant Depreciation'!$C$7:$C$94,0),MATCH(Calculation!$G411,'Gen. Plant Depreciation'!$D$5:$AC$5,0))</f>
        <v>3321</v>
      </c>
      <c r="BS411" s="129"/>
      <c r="BT411" s="129"/>
      <c r="BU411" s="129"/>
      <c r="BV411" s="129"/>
      <c r="BW411" s="129"/>
      <c r="BX411" s="129"/>
      <c r="BY411" s="129">
        <f>INDEX('Gross Dx Plant'!$D$7:$AC$91,MATCH($C411,'Gross Dx Plant'!$C$7:$C$91,0),MATCH(Calculation!$G411,'Gross Dx Plant'!$D$5:$AC$5,0))</f>
        <v>16909</v>
      </c>
      <c r="BZ411" s="129">
        <f>INDEX('Gross Gen Plant'!$D$7:$AC$91,MATCH($C411,'Gross Gen Plant'!$C$7:$C$91,0),MATCH(Calculation!$G411,'Gross Gen Plant'!$D$5:$AC$5,0))</f>
        <v>7233</v>
      </c>
      <c r="CA411" s="129">
        <f t="shared" si="755"/>
        <v>16260</v>
      </c>
      <c r="CB411" s="134"/>
      <c r="CC411" s="133">
        <v>2006</v>
      </c>
      <c r="CD411" s="129"/>
      <c r="CE411" s="129"/>
      <c r="CF411" s="129"/>
      <c r="CG411" s="137"/>
      <c r="CH411" s="129">
        <f t="shared" si="761"/>
        <v>1993</v>
      </c>
      <c r="CI411" s="46">
        <f t="shared" si="770"/>
        <v>1960.6429459034048</v>
      </c>
      <c r="CJ411" s="46">
        <f t="shared" si="762"/>
        <v>4.252231335439272</v>
      </c>
      <c r="CK411" s="443">
        <v>0.91489361702127658</v>
      </c>
      <c r="CL411" s="46">
        <f>+CL403*CK411+CJ404*CK410+CJ405*CK409+CJ406*CK408+CJ407*CK407+CJ408*CK406+CJ409*CK405+CJ410*CK404+CJ411</f>
        <v>74.522185257749399</v>
      </c>
      <c r="CM411" s="134">
        <f t="shared" si="763"/>
        <v>4.6643182523708041E-2</v>
      </c>
      <c r="CN411" s="135">
        <f t="shared" si="764"/>
        <v>1.203635428451073E-2</v>
      </c>
      <c r="CO411" s="135">
        <f t="shared" si="773"/>
        <v>1.1712814305500438E-2</v>
      </c>
      <c r="CP411" s="134">
        <f>VLOOKUP($H411,RoR!$E:$F,2,FALSE)</f>
        <v>5.5874999999999994E-2</v>
      </c>
      <c r="CQ411" s="135">
        <v>3.0512430354548314E-2</v>
      </c>
      <c r="CR411" s="135">
        <f t="shared" si="771"/>
        <v>2.536256964545168E-2</v>
      </c>
      <c r="CS411" s="135">
        <f t="shared" si="774"/>
        <v>1.9189127303033189E-2</v>
      </c>
      <c r="CT411" s="135">
        <f t="shared" si="775"/>
        <v>7.9087823893859641E-2</v>
      </c>
      <c r="CU411" s="139">
        <f t="shared" si="765"/>
        <v>0.85329623209999994</v>
      </c>
      <c r="CV411" s="335">
        <f t="shared" si="766"/>
        <v>0.91779957551769631</v>
      </c>
      <c r="CW411" s="335">
        <f t="shared" si="767"/>
        <v>0.52757270693512304</v>
      </c>
      <c r="CX411" s="335">
        <f t="shared" si="768"/>
        <v>0.88636824549024895</v>
      </c>
      <c r="CY411" s="335">
        <f t="shared" si="769"/>
        <v>0.42918482841932087</v>
      </c>
      <c r="CZ411" s="336">
        <f>INDEX('State Tax Lookup'!$D$7:$Z$91,MATCH(Calculation!$C411,'State Tax Lookup'!$B$7:$B$91,0),MATCH($H411,'State Tax Lookup'!$D$6:$Z$6,0))</f>
        <v>0.39649667</v>
      </c>
      <c r="DA411" s="303">
        <v>0.37</v>
      </c>
      <c r="DB411" s="57">
        <f t="shared" si="772"/>
        <v>12.398168682036484</v>
      </c>
      <c r="DC411" s="56">
        <f t="shared" si="776"/>
        <v>-3.2804717070072605E-2</v>
      </c>
      <c r="DD411" s="303">
        <f>VLOOKUP($H411,RoR!$E:$F,2,FALSE)</f>
        <v>5.5874999999999994E-2</v>
      </c>
      <c r="DE411" s="304">
        <f>HLOOKUP($H411,'GDP-PI'!$D$8:$CQ$11,3,FALSE)</f>
        <v>3.0512430354548314E-2</v>
      </c>
      <c r="DF411" s="303">
        <f>VLOOKUP(H411,'HW Dx Data'!$E:$F,2,FALSE)</f>
        <v>461.08567272971823</v>
      </c>
      <c r="DG411" s="89">
        <f ca="1">VLOOKUP(CC411,'ECI - Input Price'!M$13:N$33,2,FALSE)</f>
        <v>109.4</v>
      </c>
      <c r="DH411" s="89"/>
      <c r="DI411" s="89"/>
      <c r="DJ411" s="56">
        <f t="shared" ca="1" si="784"/>
        <v>9.7620891318751846E-2</v>
      </c>
      <c r="DK411" s="53">
        <f>HLOOKUP(H411,'GDP-PI'!$8:$9,2,FALSE)</f>
        <v>90.073999999999998</v>
      </c>
      <c r="DL411" s="355">
        <f t="shared" si="777"/>
        <v>3.005618372545445E-2</v>
      </c>
      <c r="EC411"/>
    </row>
    <row r="412" spans="1:133" s="126" customFormat="1" ht="21" customHeight="1" x14ac:dyDescent="0.4">
      <c r="A412" s="233" t="s">
        <v>207</v>
      </c>
      <c r="B412" s="127" t="s">
        <v>207</v>
      </c>
      <c r="C412" s="127">
        <v>4059459</v>
      </c>
      <c r="D412" s="127" t="s">
        <v>194</v>
      </c>
      <c r="E412" s="127" t="s">
        <v>15</v>
      </c>
      <c r="F412" s="127"/>
      <c r="G412" s="127" t="s">
        <v>163</v>
      </c>
      <c r="H412" s="128">
        <v>2007</v>
      </c>
      <c r="I412" s="129"/>
      <c r="J412" s="125">
        <f>IFERROR(INDEX('Labor Expenditures'!$E$7:$W$91,MATCH($C412,'Labor Expenditures'!$C$7:$C$91,0),MATCH($G412,'Labor Expenditures'!$E$5:$W$5,0)),"NA")</f>
        <v>1713.6087540880446</v>
      </c>
      <c r="K412" s="125">
        <f t="shared" ca="1" si="778"/>
        <v>16.394247826721308</v>
      </c>
      <c r="L412" s="47"/>
      <c r="M412" s="131">
        <f t="shared" ca="1" si="785"/>
        <v>0.10111971568877715</v>
      </c>
      <c r="N412" s="131"/>
      <c r="O412" s="131"/>
      <c r="P412" s="59">
        <f t="shared" ca="1" si="787"/>
        <v>6.8325972415060767E-5</v>
      </c>
      <c r="Q412" s="61"/>
      <c r="R412" s="387"/>
      <c r="S412" s="49">
        <f t="shared" ref="S412:S425" ca="1" si="792">+S411*EXP(T412)</f>
        <v>117.66367371351637</v>
      </c>
      <c r="T412" s="61">
        <f ca="1">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</f>
        <v>9.5941705197965826E-2</v>
      </c>
      <c r="U412" s="61"/>
      <c r="V412" s="125">
        <f>IFERROR(INDEX('Non-Labor Expenditures'!$E$7:$AA$91,MATCH($C412,'Non-Labor Expenditures'!$C$7:$C$91,0),MATCH($G412,'Non-Labor Expenditures'!$E$5:$AA$5,0)),"NA")</f>
        <v>2481.6255338861183</v>
      </c>
      <c r="W412" s="125">
        <f t="shared" si="779"/>
        <v>26.828964235833404</v>
      </c>
      <c r="X412" s="131">
        <f t="shared" si="788"/>
        <v>2.8979634993487241E-2</v>
      </c>
      <c r="Y412" s="131">
        <f t="shared" si="789"/>
        <v>1.958136183113594E-5</v>
      </c>
      <c r="Z412" s="131"/>
      <c r="AA412" s="131"/>
      <c r="AB412" s="131"/>
      <c r="AC412" s="125">
        <f t="shared" si="759"/>
        <v>984.20621695526768</v>
      </c>
      <c r="AD412" s="129"/>
      <c r="AE412" s="133">
        <v>81.720243627475568</v>
      </c>
      <c r="AF412" s="134">
        <v>3.6995461703957615E-2</v>
      </c>
      <c r="AG412" s="59">
        <f t="shared" si="780"/>
        <v>2.4997606833140942E-5</v>
      </c>
      <c r="AH412" s="134"/>
      <c r="AI412" s="134"/>
      <c r="AJ412" s="129">
        <f t="shared" si="664"/>
        <v>5179.4405049294301</v>
      </c>
      <c r="AK412" s="134">
        <f t="shared" si="790"/>
        <v>6.5628532623539737E-2</v>
      </c>
      <c r="AL412" s="129"/>
      <c r="AM412" s="129"/>
      <c r="AN412" s="129"/>
      <c r="AO412" s="129"/>
      <c r="AP412" s="133">
        <f t="shared" si="791"/>
        <v>356.19561962240766</v>
      </c>
      <c r="AQ412" s="134">
        <f>+BB412/Outputs!$B$15</f>
        <v>4.1611640201737903E-4</v>
      </c>
      <c r="AR412" s="93">
        <f t="shared" si="781"/>
        <v>0.33084823591605145</v>
      </c>
      <c r="AS412" s="93">
        <f t="shared" si="782"/>
        <v>0.47913003953308864</v>
      </c>
      <c r="AT412" s="93">
        <f t="shared" si="783"/>
        <v>0.19002172455086005</v>
      </c>
      <c r="AU412" s="93">
        <f t="shared" ca="1" si="786"/>
        <v>5.4458364186499304E-2</v>
      </c>
      <c r="AV412" s="132">
        <f ca="1">+AV411*EXP(AU412)</f>
        <v>137.19821693325525</v>
      </c>
      <c r="AW412" s="134">
        <f ca="1">LN(AV412/AV411)</f>
        <v>5.4458364186499304E-2</v>
      </c>
      <c r="AX412" s="56">
        <f>+AJ412/$AL$12</f>
        <v>6.7569387383714706E-4</v>
      </c>
      <c r="AY412" s="135">
        <f t="shared" ref="AY412:AY426" ca="1" si="793">+AX412*AW412</f>
        <v>3.6797183060009866E-5</v>
      </c>
      <c r="AZ412" s="93"/>
      <c r="BA412" s="93"/>
      <c r="BB412" s="234">
        <f>IFERROR(INDEX('Total Customers'!$E$7:$AA$91,MATCH($C412,'Total Customers'!$C$7:$C$91,0),MATCH($G412,'Total Customers'!$E$5:$AA$5,0)),"NA")</f>
        <v>14541</v>
      </c>
      <c r="BC412" s="411">
        <f t="shared" si="754"/>
        <v>1.0508219750068106E-2</v>
      </c>
      <c r="BD412" s="92"/>
      <c r="BE412" s="281" t="str">
        <f t="shared" si="748"/>
        <v>CORNING NATURAL GAS CORPORATION</v>
      </c>
      <c r="BF412" s="290">
        <f t="shared" si="749"/>
        <v>4059459</v>
      </c>
      <c r="BG412" s="46" t="str">
        <f t="shared" si="750"/>
        <v>NY</v>
      </c>
      <c r="BH412" s="46"/>
      <c r="BI412" s="46" t="str">
        <f t="shared" si="751"/>
        <v>2007 Y</v>
      </c>
      <c r="BJ412" s="129"/>
      <c r="BK412" s="129"/>
      <c r="BL412" s="129">
        <f>INDEX('Dist. Plant Gas Additions'!$E$7:$AD$91,MATCH($C412,'Dist. Plant Gas Additions'!$C$7:$C$91,0),MATCH(Calculation!$G412,'Dist. Plant Gas Additions'!$E$5:$AD$5,0))</f>
        <v>1429</v>
      </c>
      <c r="BM412" s="129">
        <f>INDEX('Gen. Plant Additions'!$E$7:$AD$91,MATCH($C412,'Gen. Plant Additions'!$C$7:$C$91,0),MATCH(Calculation!$G412,'Gen. Plant Additions'!$E$5:$AD$5,0))</f>
        <v>301</v>
      </c>
      <c r="BN412" s="393">
        <f t="shared" si="760"/>
        <v>0.70923828730995964</v>
      </c>
      <c r="BO412" s="46">
        <f t="shared" si="708"/>
        <v>213.48072448029785</v>
      </c>
      <c r="BP412" s="46">
        <f t="shared" si="709"/>
        <v>-87.519275519702148</v>
      </c>
      <c r="BQ412" s="129">
        <f>INDEX('Dist Plant Depreciation'!$D$7:$AC$94,MATCH($C412,'Dist Plant Depreciation'!$C$7:$C$94,0),MATCH(Calculation!$G412,'Dist Plant Depreciation'!$D$5:$AC$5,0))</f>
        <v>4861</v>
      </c>
      <c r="BR412" s="129">
        <f>INDEX('Gen. Plant Depreciation'!$D$7:$AC$94,MATCH($C412,'Gen. Plant Depreciation'!$C$7:$C$94,0),MATCH(Calculation!$G412,'Gen. Plant Depreciation'!$D$5:$AC$5,0))</f>
        <v>3501</v>
      </c>
      <c r="BS412" s="129"/>
      <c r="BT412" s="129"/>
      <c r="BU412" s="129"/>
      <c r="BV412" s="129"/>
      <c r="BW412" s="129"/>
      <c r="BX412" s="129"/>
      <c r="BY412" s="129">
        <f>INDEX('Gross Dx Plant'!$D$7:$AC$91,MATCH($C412,'Gross Dx Plant'!$C$7:$C$91,0),MATCH(Calculation!$G412,'Gross Dx Plant'!$D$5:$AC$5,0))</f>
        <v>18287</v>
      </c>
      <c r="BZ412" s="129">
        <f>INDEX('Gross Gen Plant'!$D$7:$AC$91,MATCH($C412,'Gross Gen Plant'!$C$7:$C$91,0),MATCH(Calculation!$G412,'Gross Gen Plant'!$D$5:$AC$5,0))</f>
        <v>7497</v>
      </c>
      <c r="CA412" s="129">
        <f t="shared" si="755"/>
        <v>17422</v>
      </c>
      <c r="CB412" s="129"/>
      <c r="CC412" s="133">
        <v>2007</v>
      </c>
      <c r="CD412" s="129"/>
      <c r="CE412" s="129"/>
      <c r="CF412" s="129"/>
      <c r="CG412" s="137"/>
      <c r="CH412" s="129">
        <f t="shared" si="761"/>
        <v>1730</v>
      </c>
      <c r="CI412" s="46">
        <f t="shared" si="770"/>
        <v>1642.4807244802978</v>
      </c>
      <c r="CJ412" s="46">
        <f t="shared" si="762"/>
        <v>3.2980062809159048</v>
      </c>
      <c r="CK412" s="443">
        <v>0.90322580645161288</v>
      </c>
      <c r="CL412" s="46">
        <f>+CL403*CK412+CJ404*CK411+CJ405*CK410+CJ406*CK409+CJ407*CK408+CJ408*CK407+CJ409*CK406+CJ410*CK405+CJ411*CK404+CJ412</f>
        <v>76.903714371315914</v>
      </c>
      <c r="CM412" s="134">
        <f t="shared" si="763"/>
        <v>3.1457306912745571E-2</v>
      </c>
      <c r="CN412" s="135">
        <f t="shared" si="764"/>
        <v>1.2298044725601863E-2</v>
      </c>
      <c r="CO412" s="135">
        <f t="shared" si="773"/>
        <v>1.2016652508689482E-2</v>
      </c>
      <c r="CP412" s="134">
        <f>VLOOKUP($H412,RoR!$E:$F,2,FALSE)</f>
        <v>5.5558333333333321E-2</v>
      </c>
      <c r="CQ412" s="135">
        <v>2.691120634145272E-2</v>
      </c>
      <c r="CR412" s="135">
        <f t="shared" si="771"/>
        <v>2.86471269918806E-2</v>
      </c>
      <c r="CS412" s="135">
        <f t="shared" si="774"/>
        <v>1.8885289099844143E-2</v>
      </c>
      <c r="CT412" s="135">
        <f t="shared" si="775"/>
        <v>6.4575155250632399E-2</v>
      </c>
      <c r="CU412" s="139">
        <f t="shared" si="765"/>
        <v>0.85329623209999994</v>
      </c>
      <c r="CV412" s="335">
        <f t="shared" si="766"/>
        <v>0.92303077153834634</v>
      </c>
      <c r="CW412" s="335">
        <f t="shared" si="767"/>
        <v>0.52502249887505614</v>
      </c>
      <c r="CX412" s="335">
        <f t="shared" si="768"/>
        <v>0.88499666072084604</v>
      </c>
      <c r="CY412" s="335">
        <f t="shared" si="769"/>
        <v>0.42887993290280618</v>
      </c>
      <c r="CZ412" s="336">
        <f>INDEX('State Tax Lookup'!$D$7:$Z$91,MATCH(Calculation!$C412,'State Tax Lookup'!$B$7:$B$91,0),MATCH($H412,'State Tax Lookup'!$D$6:$Z$6,0))</f>
        <v>0.39649667</v>
      </c>
      <c r="DA412" s="303">
        <v>0.37</v>
      </c>
      <c r="DB412" s="57">
        <f t="shared" si="772"/>
        <v>13.206888841909292</v>
      </c>
      <c r="DC412" s="56">
        <f t="shared" si="776"/>
        <v>6.3189800650459677E-2</v>
      </c>
      <c r="DD412" s="303">
        <f>VLOOKUP($H412,RoR!$E:$F,2,FALSE)</f>
        <v>5.5558333333333321E-2</v>
      </c>
      <c r="DE412" s="304">
        <f>HLOOKUP($H412,'GDP-PI'!$D$8:$CQ$11,3,FALSE)</f>
        <v>2.691120634145272E-2</v>
      </c>
      <c r="DF412" s="303">
        <f>VLOOKUP(H412,'HW Dx Data'!$E:$F,2,FALSE)</f>
        <v>498.0223154772637</v>
      </c>
      <c r="DG412" s="89">
        <f ca="1">VLOOKUP(CC412,'ECI - Input Price'!M$13:N$33,2,FALSE)</f>
        <v>104.52499999999999</v>
      </c>
      <c r="DH412" s="89"/>
      <c r="DI412" s="89"/>
      <c r="DJ412" s="56">
        <f t="shared" ca="1" si="784"/>
        <v>-4.5584612745252218E-2</v>
      </c>
      <c r="DK412" s="53">
        <f>HLOOKUP(H412,'GDP-PI'!$8:$9,2,FALSE)</f>
        <v>92.498000000000005</v>
      </c>
      <c r="DL412" s="355">
        <f t="shared" si="777"/>
        <v>2.6555467950038037E-2</v>
      </c>
      <c r="EC412"/>
    </row>
    <row r="413" spans="1:133" s="126" customFormat="1" ht="21" customHeight="1" x14ac:dyDescent="0.4">
      <c r="A413" s="233" t="s">
        <v>207</v>
      </c>
      <c r="B413" s="127" t="s">
        <v>207</v>
      </c>
      <c r="C413" s="127">
        <v>4059459</v>
      </c>
      <c r="D413" s="127" t="s">
        <v>194</v>
      </c>
      <c r="E413" s="127" t="s">
        <v>15</v>
      </c>
      <c r="F413" s="127"/>
      <c r="G413" s="127" t="s">
        <v>164</v>
      </c>
      <c r="H413" s="128">
        <v>2008</v>
      </c>
      <c r="I413" s="129"/>
      <c r="J413" s="125">
        <f>IFERROR(INDEX('Labor Expenditures'!$E$7:$W$91,MATCH($C413,'Labor Expenditures'!$C$7:$C$91,0),MATCH($G413,'Labor Expenditures'!$E$5:$W$5,0)),"NA")</f>
        <v>1841.0861245779301</v>
      </c>
      <c r="K413" s="125">
        <f t="shared" ca="1" si="778"/>
        <v>17.062892720833457</v>
      </c>
      <c r="L413" s="47"/>
      <c r="M413" s="131">
        <f t="shared" ca="1" si="785"/>
        <v>3.9975558253320227E-2</v>
      </c>
      <c r="N413" s="131"/>
      <c r="O413" s="131"/>
      <c r="P413" s="59">
        <f t="shared" ca="1" si="787"/>
        <v>2.7928741009588848E-5</v>
      </c>
      <c r="Q413" s="61"/>
      <c r="R413" s="387"/>
      <c r="S413" s="49">
        <f t="shared" ca="1" si="792"/>
        <v>108.82910998162097</v>
      </c>
      <c r="T413" s="61">
        <f ca="1">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</f>
        <v>-7.8051478465696836E-2</v>
      </c>
      <c r="U413" s="61"/>
      <c r="V413" s="125">
        <f>IFERROR(INDEX('Non-Labor Expenditures'!$E$7:$AA$91,MATCH($C413,'Non-Labor Expenditures'!$C$7:$C$91,0),MATCH($G413,'Non-Labor Expenditures'!$E$5:$AA$5,0)),"NA")</f>
        <v>2666.2365758440105</v>
      </c>
      <c r="W413" s="125">
        <f t="shared" si="779"/>
        <v>28.284780784223145</v>
      </c>
      <c r="X413" s="131">
        <f t="shared" si="788"/>
        <v>5.2841819526748067E-2</v>
      </c>
      <c r="Y413" s="131">
        <f t="shared" si="789"/>
        <v>3.6917695625061255E-5</v>
      </c>
      <c r="Z413" s="131"/>
      <c r="AA413" s="131"/>
      <c r="AB413" s="131"/>
      <c r="AC413" s="125">
        <f t="shared" si="759"/>
        <v>1144.5058652611217</v>
      </c>
      <c r="AD413" s="129"/>
      <c r="AE413" s="133">
        <v>90.5732866552421</v>
      </c>
      <c r="AF413" s="134">
        <v>0.10285756910083078</v>
      </c>
      <c r="AG413" s="59">
        <f t="shared" si="780"/>
        <v>7.1860970398190669E-5</v>
      </c>
      <c r="AH413" s="134"/>
      <c r="AI413" s="134"/>
      <c r="AJ413" s="129">
        <f t="shared" si="664"/>
        <v>5651.8285656830622</v>
      </c>
      <c r="AK413" s="134">
        <f t="shared" si="790"/>
        <v>8.7282092935705477E-2</v>
      </c>
      <c r="AL413" s="129"/>
      <c r="AM413" s="129"/>
      <c r="AN413" s="129"/>
      <c r="AO413" s="129"/>
      <c r="AP413" s="133">
        <f t="shared" si="791"/>
        <v>387.4034248874537</v>
      </c>
      <c r="AQ413" s="134">
        <f>+BB413/Outputs!$B$16</f>
        <v>4.1525786448839925E-4</v>
      </c>
      <c r="AR413" s="93">
        <f t="shared" si="781"/>
        <v>0.32575052537097299</v>
      </c>
      <c r="AS413" s="93">
        <f t="shared" si="782"/>
        <v>0.47174760254282017</v>
      </c>
      <c r="AT413" s="93">
        <f t="shared" si="783"/>
        <v>0.2025018720862069</v>
      </c>
      <c r="AU413" s="93">
        <f t="shared" ca="1" si="786"/>
        <v>5.8434014875143006E-2</v>
      </c>
      <c r="AV413" s="132">
        <f t="shared" ref="AV413:AV426" ca="1" si="794">+AV412*EXP(AU413)</f>
        <v>145.45412342456507</v>
      </c>
      <c r="AW413" s="134">
        <f t="shared" ref="AW413:AW426" ca="1" si="795">LN(AV413/AV412)</f>
        <v>5.8434014875143034E-2</v>
      </c>
      <c r="AX413" s="56">
        <f>+AJ413/$AL$13</f>
        <v>6.9864542810403867E-4</v>
      </c>
      <c r="AY413" s="135">
        <f t="shared" ca="1" si="793"/>
        <v>4.0824657338282067E-5</v>
      </c>
      <c r="AZ413" s="93"/>
      <c r="BA413" s="93"/>
      <c r="BB413" s="234">
        <f>IFERROR(INDEX('Total Customers'!$E$7:$AA$91,MATCH($C413,'Total Customers'!$C$7:$C$91,0),MATCH($G413,'Total Customers'!$E$5:$AA$5,0)),"NA")</f>
        <v>14589</v>
      </c>
      <c r="BC413" s="411">
        <f t="shared" si="754"/>
        <v>3.2955745584098647E-3</v>
      </c>
      <c r="BD413" s="92"/>
      <c r="BE413" s="281" t="str">
        <f t="shared" si="748"/>
        <v>CORNING NATURAL GAS CORPORATION</v>
      </c>
      <c r="BF413" s="290">
        <f t="shared" si="749"/>
        <v>4059459</v>
      </c>
      <c r="BG413" s="46" t="str">
        <f t="shared" si="750"/>
        <v>NY</v>
      </c>
      <c r="BH413" s="46"/>
      <c r="BI413" s="46" t="str">
        <f t="shared" si="751"/>
        <v>2008 Y</v>
      </c>
      <c r="BJ413" s="129"/>
      <c r="BK413" s="129"/>
      <c r="BL413" s="129">
        <f>INDEX('Dist. Plant Gas Additions'!$E$7:$AD$91,MATCH($C413,'Dist. Plant Gas Additions'!$C$7:$C$91,0),MATCH(Calculation!$G413,'Dist. Plant Gas Additions'!$E$5:$AD$5,0))</f>
        <v>5152</v>
      </c>
      <c r="BM413" s="129">
        <f>INDEX('Gen. Plant Additions'!$E$7:$AD$91,MATCH($C413,'Gen. Plant Additions'!$C$7:$C$91,0),MATCH(Calculation!$G413,'Gen. Plant Additions'!$E$5:$AD$5,0))</f>
        <v>201</v>
      </c>
      <c r="BN413" s="393">
        <f t="shared" si="760"/>
        <v>0.75363815301216486</v>
      </c>
      <c r="BO413" s="46">
        <f t="shared" si="708"/>
        <v>151.48126875544514</v>
      </c>
      <c r="BP413" s="46">
        <f t="shared" si="709"/>
        <v>-49.518731244554857</v>
      </c>
      <c r="BQ413" s="129">
        <f>INDEX('Dist Plant Depreciation'!$D$7:$AC$94,MATCH($C413,'Dist Plant Depreciation'!$C$7:$C$94,0),MATCH(Calculation!$G413,'Dist Plant Depreciation'!$D$5:$AC$5,0))</f>
        <v>5174</v>
      </c>
      <c r="BR413" s="129">
        <f>INDEX('Gen. Plant Depreciation'!$D$7:$AC$94,MATCH($C413,'Gen. Plant Depreciation'!$C$7:$C$94,0),MATCH(Calculation!$G413,'Gen. Plant Depreciation'!$D$5:$AC$5,0))</f>
        <v>3687</v>
      </c>
      <c r="BS413" s="129"/>
      <c r="BT413" s="129"/>
      <c r="BU413" s="129"/>
      <c r="BV413" s="129"/>
      <c r="BW413" s="129"/>
      <c r="BX413" s="129"/>
      <c r="BY413" s="129">
        <f>INDEX('Gross Dx Plant'!$D$7:$AC$91,MATCH($C413,'Gross Dx Plant'!$C$7:$C$91,0),MATCH(Calculation!$G413,'Gross Dx Plant'!$D$5:$AC$5,0))</f>
        <v>23356</v>
      </c>
      <c r="BZ413" s="129">
        <f>INDEX('Gross Gen Plant'!$D$7:$AC$91,MATCH($C413,'Gross Gen Plant'!$C$7:$C$91,0),MATCH(Calculation!$G413,'Gross Gen Plant'!$D$5:$AC$5,0))</f>
        <v>7635</v>
      </c>
      <c r="CA413" s="129">
        <f t="shared" si="755"/>
        <v>22130</v>
      </c>
      <c r="CB413" s="129"/>
      <c r="CC413" s="133">
        <v>2008</v>
      </c>
      <c r="CD413" s="129"/>
      <c r="CE413" s="129"/>
      <c r="CF413" s="129"/>
      <c r="CG413" s="137"/>
      <c r="CH413" s="129">
        <f t="shared" si="761"/>
        <v>5353</v>
      </c>
      <c r="CI413" s="46">
        <f t="shared" si="770"/>
        <v>5303.4812687554449</v>
      </c>
      <c r="CJ413" s="46">
        <f t="shared" si="762"/>
        <v>9.3062926759429079</v>
      </c>
      <c r="CK413" s="443">
        <v>0.89130434782608692</v>
      </c>
      <c r="CL413" s="46">
        <f>+CL403*CK413+CJ404*CK412+CJ405*CK411+CJ406*CK410+CJ407*CK409+CJ408*CK408+CJ409*CK407+CJ410*CK406+CJ411*CK405+CJ412*CK404+CJ413</f>
        <v>85.2411649907027</v>
      </c>
      <c r="CM413" s="134">
        <f t="shared" si="763"/>
        <v>0.10293029765767095</v>
      </c>
      <c r="CN413" s="135">
        <f t="shared" si="764"/>
        <v>1.2598117847445448E-2</v>
      </c>
      <c r="CO413" s="135">
        <f t="shared" si="773"/>
        <v>1.2310838952519346E-2</v>
      </c>
      <c r="CP413" s="134">
        <f>VLOOKUP($H413,RoR!$E:$F,2,FALSE)</f>
        <v>5.6316666666666668E-2</v>
      </c>
      <c r="CQ413" s="135">
        <v>1.9092304698479889E-2</v>
      </c>
      <c r="CR413" s="135">
        <f t="shared" si="771"/>
        <v>3.7224361968186778E-2</v>
      </c>
      <c r="CS413" s="135">
        <f t="shared" si="774"/>
        <v>1.8591102656014279E-2</v>
      </c>
      <c r="CT413" s="135">
        <f t="shared" si="775"/>
        <v>6.9030581091053131E-2</v>
      </c>
      <c r="CU413" s="139">
        <f t="shared" si="765"/>
        <v>0.85329623209999994</v>
      </c>
      <c r="CV413" s="335">
        <f t="shared" si="766"/>
        <v>0.91060168006009956</v>
      </c>
      <c r="CW413" s="335">
        <f t="shared" si="767"/>
        <v>0.53108168097070152</v>
      </c>
      <c r="CX413" s="335">
        <f t="shared" si="768"/>
        <v>0.88825329850328805</v>
      </c>
      <c r="CY413" s="335">
        <f t="shared" si="769"/>
        <v>0.4295627335323573</v>
      </c>
      <c r="CZ413" s="336">
        <f>INDEX('State Tax Lookup'!$D$7:$Z$91,MATCH(Calculation!$C413,'State Tax Lookup'!$B$7:$B$91,0),MATCH($H413,'State Tax Lookup'!$D$6:$Z$6,0))</f>
        <v>0.39649667</v>
      </c>
      <c r="DA413" s="303">
        <v>0.37</v>
      </c>
      <c r="DB413" s="57">
        <f t="shared" si="772"/>
        <v>14.882322324967017</v>
      </c>
      <c r="DC413" s="56">
        <f t="shared" si="776"/>
        <v>0.11943551203141281</v>
      </c>
      <c r="DD413" s="303">
        <f>VLOOKUP($H413,RoR!$E:$F,2,FALSE)</f>
        <v>5.6316666666666668E-2</v>
      </c>
      <c r="DE413" s="304">
        <f>HLOOKUP($H413,'GDP-PI'!$D$8:$CQ$11,3,FALSE)</f>
        <v>1.9092304698479889E-2</v>
      </c>
      <c r="DF413" s="303">
        <f>VLOOKUP(H413,'HW Dx Data'!$E:$F,2,FALSE)</f>
        <v>569.88120333515076</v>
      </c>
      <c r="DG413" s="89">
        <f ca="1">VLOOKUP(CC413,'ECI - Input Price'!M$13:N$33,2,FALSE)</f>
        <v>107.9</v>
      </c>
      <c r="DH413" s="89"/>
      <c r="DI413" s="89"/>
      <c r="DJ413" s="56">
        <f t="shared" ca="1" si="784"/>
        <v>3.1778595021460486E-2</v>
      </c>
      <c r="DK413" s="53">
        <f>HLOOKUP(H413,'GDP-PI'!$8:$9,2,FALSE)</f>
        <v>94.263999999999996</v>
      </c>
      <c r="DL413" s="355">
        <f t="shared" si="777"/>
        <v>1.8912333748032254E-2</v>
      </c>
      <c r="EC413"/>
    </row>
    <row r="414" spans="1:133" s="126" customFormat="1" ht="21" customHeight="1" x14ac:dyDescent="0.4">
      <c r="A414" s="233" t="s">
        <v>207</v>
      </c>
      <c r="B414" s="127" t="s">
        <v>207</v>
      </c>
      <c r="C414" s="127">
        <v>4059459</v>
      </c>
      <c r="D414" s="127" t="s">
        <v>194</v>
      </c>
      <c r="E414" s="127" t="s">
        <v>15</v>
      </c>
      <c r="F414" s="127"/>
      <c r="G414" s="127" t="s">
        <v>165</v>
      </c>
      <c r="H414" s="128">
        <v>2009</v>
      </c>
      <c r="I414" s="129"/>
      <c r="J414" s="125">
        <f>IFERROR(INDEX('Labor Expenditures'!$E$7:$W$91,MATCH($C414,'Labor Expenditures'!$C$7:$C$91,0),MATCH($G414,'Labor Expenditures'!$E$5:$W$5,0)),"NA")</f>
        <v>2019.4924785226083</v>
      </c>
      <c r="K414" s="125">
        <f t="shared" ca="1" si="778"/>
        <v>18.2059272348218</v>
      </c>
      <c r="L414" s="47"/>
      <c r="M414" s="131">
        <f t="shared" ca="1" si="785"/>
        <v>6.4841124020087501E-2</v>
      </c>
      <c r="N414" s="131"/>
      <c r="O414" s="131"/>
      <c r="P414" s="59">
        <f t="shared" ca="1" si="787"/>
        <v>4.7202602908202014E-5</v>
      </c>
      <c r="Q414" s="61"/>
      <c r="R414" s="387"/>
      <c r="S414" s="49">
        <f t="shared" ca="1" si="792"/>
        <v>116.75057222836692</v>
      </c>
      <c r="T414" s="61">
        <f ca="1">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</f>
        <v>7.0260944237104467E-2</v>
      </c>
      <c r="U414" s="61"/>
      <c r="V414" s="125">
        <f>IFERROR(INDEX('Non-Labor Expenditures'!$E$7:$AA$91,MATCH($C414,'Non-Labor Expenditures'!$C$7:$C$91,0),MATCH($G414,'Non-Labor Expenditures'!$E$5:$AA$5,0)),"NA")</f>
        <v>2924.6022980664411</v>
      </c>
      <c r="W414" s="125">
        <f t="shared" si="779"/>
        <v>30.785611407135246</v>
      </c>
      <c r="X414" s="131">
        <f t="shared" si="788"/>
        <v>8.4723540202661984E-2</v>
      </c>
      <c r="Y414" s="131">
        <f t="shared" si="789"/>
        <v>6.1676469765151146E-5</v>
      </c>
      <c r="Z414" s="131"/>
      <c r="AA414" s="131"/>
      <c r="AB414" s="131"/>
      <c r="AC414" s="125">
        <f t="shared" si="759"/>
        <v>1212.2467947278813</v>
      </c>
      <c r="AD414" s="129"/>
      <c r="AE414" s="133">
        <v>98.662061962427686</v>
      </c>
      <c r="AF414" s="134">
        <v>8.5541174974735623E-2</v>
      </c>
      <c r="AG414" s="59">
        <f t="shared" si="780"/>
        <v>6.2271685996414717E-5</v>
      </c>
      <c r="AH414" s="134"/>
      <c r="AI414" s="134"/>
      <c r="AJ414" s="129">
        <f t="shared" ref="AJ414:AJ477" si="796">+J414+V414+AC414</f>
        <v>6156.3415713169306</v>
      </c>
      <c r="AK414" s="134">
        <f t="shared" si="790"/>
        <v>8.5503567614131151E-2</v>
      </c>
      <c r="AL414" s="129"/>
      <c r="AM414" s="129"/>
      <c r="AN414" s="129"/>
      <c r="AO414" s="129"/>
      <c r="AP414" s="133">
        <f t="shared" si="791"/>
        <v>421.92732309758964</v>
      </c>
      <c r="AQ414" s="134">
        <f>+BB414/Outputs!$B$17</f>
        <v>4.1478535973412349E-4</v>
      </c>
      <c r="AR414" s="93">
        <f t="shared" si="781"/>
        <v>0.3280345080155469</v>
      </c>
      <c r="AS414" s="93">
        <f t="shared" si="782"/>
        <v>0.47505523600127769</v>
      </c>
      <c r="AT414" s="93">
        <f t="shared" si="783"/>
        <v>0.19691025598317544</v>
      </c>
      <c r="AU414" s="93">
        <f t="shared" ca="1" si="786"/>
        <v>7.8387413760946142E-2</v>
      </c>
      <c r="AV414" s="132">
        <f t="shared" ca="1" si="794"/>
        <v>157.31468270005857</v>
      </c>
      <c r="AW414" s="134">
        <f t="shared" ca="1" si="795"/>
        <v>7.8387413760946142E-2</v>
      </c>
      <c r="AX414" s="56">
        <f>+AJ414/$AL$14</f>
        <v>7.2797323645374886E-4</v>
      </c>
      <c r="AY414" s="135">
        <f t="shared" ca="1" si="793"/>
        <v>5.7063939292795093E-5</v>
      </c>
      <c r="AZ414" s="93"/>
      <c r="BA414" s="93"/>
      <c r="BB414" s="234">
        <f>IFERROR(INDEX('Total Customers'!$E$7:$AA$91,MATCH($C414,'Total Customers'!$C$7:$C$91,0),MATCH($G414,'Total Customers'!$E$5:$AA$5,0)),"NA")</f>
        <v>14591</v>
      </c>
      <c r="BC414" s="411">
        <f t="shared" si="754"/>
        <v>1.3708019212683905E-4</v>
      </c>
      <c r="BD414" s="92"/>
      <c r="BE414" s="281" t="str">
        <f t="shared" si="748"/>
        <v>CORNING NATURAL GAS CORPORATION</v>
      </c>
      <c r="BF414" s="290">
        <f t="shared" si="749"/>
        <v>4059459</v>
      </c>
      <c r="BG414" s="46" t="str">
        <f t="shared" si="750"/>
        <v>NY</v>
      </c>
      <c r="BH414" s="46"/>
      <c r="BI414" s="46" t="str">
        <f t="shared" si="751"/>
        <v>2009 Y</v>
      </c>
      <c r="BJ414" s="129"/>
      <c r="BK414" s="129"/>
      <c r="BL414" s="129">
        <f>INDEX('Dist. Plant Gas Additions'!$E$7:$AD$91,MATCH($C414,'Dist. Plant Gas Additions'!$C$7:$C$91,0),MATCH(Calculation!$G414,'Dist. Plant Gas Additions'!$E$5:$AD$5,0))</f>
        <v>4713</v>
      </c>
      <c r="BM414" s="129">
        <f>INDEX('Gen. Plant Additions'!$E$7:$AD$91,MATCH($C414,'Gen. Plant Additions'!$C$7:$C$91,0),MATCH(Calculation!$G414,'Gen. Plant Additions'!$E$5:$AD$5,0))</f>
        <v>77</v>
      </c>
      <c r="BN414" s="393">
        <f t="shared" si="760"/>
        <v>0.78180629016663827</v>
      </c>
      <c r="BO414" s="46">
        <f t="shared" si="708"/>
        <v>60.199084342831149</v>
      </c>
      <c r="BP414" s="46">
        <f t="shared" si="709"/>
        <v>-16.800915657168851</v>
      </c>
      <c r="BQ414" s="129">
        <f>INDEX('Dist Plant Depreciation'!$D$7:$AC$94,MATCH($C414,'Dist Plant Depreciation'!$C$7:$C$94,0),MATCH(Calculation!$G414,'Dist Plant Depreciation'!$D$5:$AC$5,0))</f>
        <v>5815</v>
      </c>
      <c r="BR414" s="129">
        <f>INDEX('Gen. Plant Depreciation'!$D$7:$AC$94,MATCH($C414,'Gen. Plant Depreciation'!$C$7:$C$94,0),MATCH(Calculation!$G414,'Gen. Plant Depreciation'!$D$5:$AC$5,0))</f>
        <v>4916</v>
      </c>
      <c r="BS414" s="129"/>
      <c r="BT414" s="129"/>
      <c r="BU414" s="129"/>
      <c r="BV414" s="129"/>
      <c r="BW414" s="129"/>
      <c r="BX414" s="129"/>
      <c r="BY414" s="129">
        <f>INDEX('Gross Dx Plant'!$D$7:$AC$91,MATCH($C414,'Gross Dx Plant'!$C$7:$C$91,0),MATCH(Calculation!$G414,'Gross Dx Plant'!$D$5:$AC$5,0))</f>
        <v>27493</v>
      </c>
      <c r="BZ414" s="129">
        <f>INDEX('Gross Gen Plant'!$D$7:$AC$91,MATCH($C414,'Gross Gen Plant'!$C$7:$C$91,0),MATCH(Calculation!$G414,'Gross Gen Plant'!$D$5:$AC$5,0))</f>
        <v>7673</v>
      </c>
      <c r="CA414" s="129">
        <f t="shared" si="755"/>
        <v>24435</v>
      </c>
      <c r="CB414" s="129"/>
      <c r="CC414" s="133">
        <v>2009</v>
      </c>
      <c r="CD414" s="129"/>
      <c r="CE414" s="129"/>
      <c r="CF414" s="129"/>
      <c r="CG414" s="137"/>
      <c r="CH414" s="129">
        <f t="shared" si="761"/>
        <v>4790</v>
      </c>
      <c r="CI414" s="46">
        <f t="shared" si="770"/>
        <v>4773.1990843428312</v>
      </c>
      <c r="CJ414" s="46">
        <f t="shared" si="762"/>
        <v>8.6637266622650504</v>
      </c>
      <c r="CK414" s="443">
        <v>0.87912087912087911</v>
      </c>
      <c r="CL414" s="46">
        <f>+CL403*CK414+CJ404*CK413+CJ405*CK412+CJ406*CK411+CJ407*CK410+CJ408*CK409+CJ409*CK408+CJ410*CK407+CJ411*CK406+CJ412*CK405+CJ413*CK404+CJ414</f>
        <v>92.822900465297465</v>
      </c>
      <c r="CM414" s="134">
        <f t="shared" si="763"/>
        <v>8.5208907283950475E-2</v>
      </c>
      <c r="CN414" s="135">
        <f t="shared" si="764"/>
        <v>1.2693294229241217E-2</v>
      </c>
      <c r="CO414" s="135">
        <f t="shared" si="773"/>
        <v>1.2529818934096175E-2</v>
      </c>
      <c r="CP414" s="134">
        <f>VLOOKUP($H414,RoR!$E:$F,2,FALSE)</f>
        <v>5.3133333333333324E-2</v>
      </c>
      <c r="CQ414" s="135">
        <v>7.7972502758210105E-3</v>
      </c>
      <c r="CR414" s="135">
        <f t="shared" si="771"/>
        <v>4.5336083057512314E-2</v>
      </c>
      <c r="CS414" s="135">
        <f t="shared" si="774"/>
        <v>1.8372122674437448E-2</v>
      </c>
      <c r="CT414" s="135">
        <f t="shared" si="775"/>
        <v>6.3720160300892073E-2</v>
      </c>
      <c r="CU414" s="139">
        <f t="shared" si="765"/>
        <v>0.85329623209999994</v>
      </c>
      <c r="CV414" s="335">
        <f t="shared" si="766"/>
        <v>0.96515780330083989</v>
      </c>
      <c r="CW414" s="335">
        <f t="shared" si="767"/>
        <v>0.50448557089084056</v>
      </c>
      <c r="CX414" s="335">
        <f t="shared" si="768"/>
        <v>0.87391435735465484</v>
      </c>
      <c r="CY414" s="335">
        <f t="shared" si="769"/>
        <v>0.42551605393279146</v>
      </c>
      <c r="CZ414" s="336">
        <f>INDEX('State Tax Lookup'!$D$7:$Z$91,MATCH(Calculation!$C414,'State Tax Lookup'!$B$7:$B$91,0),MATCH($H414,'State Tax Lookup'!$D$6:$Z$6,0))</f>
        <v>0.39649667</v>
      </c>
      <c r="DA414" s="303">
        <v>0.37</v>
      </c>
      <c r="DB414" s="57">
        <f t="shared" si="772"/>
        <v>14.221377603885418</v>
      </c>
      <c r="DC414" s="56">
        <f t="shared" si="776"/>
        <v>-4.542778986043304E-2</v>
      </c>
      <c r="DD414" s="303">
        <f>VLOOKUP($H414,RoR!$E:$F,2,FALSE)</f>
        <v>5.3133333333333324E-2</v>
      </c>
      <c r="DE414" s="304">
        <f>HLOOKUP($H414,'GDP-PI'!$D$8:$CQ$11,3,FALSE)</f>
        <v>7.7972502758210105E-3</v>
      </c>
      <c r="DF414" s="303">
        <f>VLOOKUP(H414,'HW Dx Data'!$E:$F,2,FALSE)</f>
        <v>550.94063679692806</v>
      </c>
      <c r="DG414" s="89">
        <f ca="1">VLOOKUP(CC414,'ECI - Input Price'!M$13:N$33,2,FALSE)</f>
        <v>110.925</v>
      </c>
      <c r="DH414" s="89"/>
      <c r="DI414" s="89"/>
      <c r="DJ414" s="56">
        <f t="shared" ca="1" si="784"/>
        <v>2.7649425000884052E-2</v>
      </c>
      <c r="DK414" s="53">
        <f>HLOOKUP(H414,'GDP-PI'!$8:$9,2,FALSE)</f>
        <v>94.998999999999995</v>
      </c>
      <c r="DL414" s="355">
        <f t="shared" si="777"/>
        <v>7.7670088183096342E-3</v>
      </c>
      <c r="EC414"/>
    </row>
    <row r="415" spans="1:133" s="126" customFormat="1" ht="21" customHeight="1" x14ac:dyDescent="0.4">
      <c r="A415" s="233" t="s">
        <v>207</v>
      </c>
      <c r="B415" s="127" t="s">
        <v>207</v>
      </c>
      <c r="C415" s="127">
        <v>4059459</v>
      </c>
      <c r="D415" s="127" t="s">
        <v>194</v>
      </c>
      <c r="E415" s="127" t="s">
        <v>15</v>
      </c>
      <c r="F415" s="127"/>
      <c r="G415" s="127" t="s">
        <v>166</v>
      </c>
      <c r="H415" s="128">
        <v>2010</v>
      </c>
      <c r="I415" s="129"/>
      <c r="J415" s="125">
        <f>IFERROR(INDEX('Labor Expenditures'!$E$7:$W$91,MATCH($C415,'Labor Expenditures'!$C$7:$C$91,0),MATCH($G415,'Labor Expenditures'!$E$5:$W$5,0)),"NA")</f>
        <v>2127.5832288076867</v>
      </c>
      <c r="K415" s="125">
        <f t="shared" ca="1" si="778"/>
        <v>18.196136230982997</v>
      </c>
      <c r="L415" s="47"/>
      <c r="M415" s="131">
        <f t="shared" ca="1" si="785"/>
        <v>-5.3793676196997858E-4</v>
      </c>
      <c r="N415" s="131"/>
      <c r="O415" s="131"/>
      <c r="P415" s="59">
        <f t="shared" ca="1" si="787"/>
        <v>-4.048640289111591E-7</v>
      </c>
      <c r="Q415" s="61"/>
      <c r="R415" s="387"/>
      <c r="S415" s="49">
        <f t="shared" ca="1" si="792"/>
        <v>96.634418471601904</v>
      </c>
      <c r="T415" s="61">
        <f ca="1">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</f>
        <v>-0.18910482121366373</v>
      </c>
      <c r="U415" s="61"/>
      <c r="V415" s="125">
        <f>IFERROR(INDEX('Non-Labor Expenditures'!$E$7:$AA$91,MATCH($C415,'Non-Labor Expenditures'!$C$7:$C$91,0),MATCH($G415,'Non-Labor Expenditures'!$E$5:$AA$5,0)),"NA")</f>
        <v>3081.1378930465876</v>
      </c>
      <c r="W415" s="125">
        <f t="shared" si="779"/>
        <v>32.058786305617453</v>
      </c>
      <c r="X415" s="131">
        <f t="shared" si="788"/>
        <v>4.0523870777856463E-2</v>
      </c>
      <c r="Y415" s="131">
        <f t="shared" si="789"/>
        <v>3.0499231043655247E-5</v>
      </c>
      <c r="Z415" s="131"/>
      <c r="AA415" s="131"/>
      <c r="AB415" s="131"/>
      <c r="AC415" s="125">
        <f t="shared" si="759"/>
        <v>1352.313240764006</v>
      </c>
      <c r="AD415" s="129"/>
      <c r="AE415" s="133">
        <v>107.58835621606292</v>
      </c>
      <c r="AF415" s="134">
        <v>8.6611932999620625E-2</v>
      </c>
      <c r="AG415" s="59">
        <f t="shared" si="780"/>
        <v>6.5186205191841419E-5</v>
      </c>
      <c r="AH415" s="134"/>
      <c r="AI415" s="134"/>
      <c r="AJ415" s="129">
        <f t="shared" si="796"/>
        <v>6561.0343626182803</v>
      </c>
      <c r="AK415" s="134">
        <f t="shared" si="790"/>
        <v>6.3665567398370759E-2</v>
      </c>
      <c r="AL415" s="129"/>
      <c r="AM415" s="129"/>
      <c r="AN415" s="129"/>
      <c r="AO415" s="129"/>
      <c r="AP415" s="133">
        <f t="shared" si="791"/>
        <v>446.23779926669937</v>
      </c>
      <c r="AQ415" s="134">
        <f>+BB415/Outputs!$B$18</f>
        <v>4.1568235546436412E-4</v>
      </c>
      <c r="AR415" s="93">
        <f t="shared" si="781"/>
        <v>0.32427558083366637</v>
      </c>
      <c r="AS415" s="93">
        <f t="shared" si="782"/>
        <v>0.46961160737116042</v>
      </c>
      <c r="AT415" s="93">
        <f t="shared" si="783"/>
        <v>0.20611281179517324</v>
      </c>
      <c r="AU415" s="93">
        <f t="shared" ca="1" si="786"/>
        <v>3.6418631227837131E-2</v>
      </c>
      <c r="AV415" s="132">
        <f t="shared" ca="1" si="794"/>
        <v>163.14947072898318</v>
      </c>
      <c r="AW415" s="134">
        <f t="shared" ca="1" si="795"/>
        <v>3.6418631227837069E-2</v>
      </c>
      <c r="AX415" s="56">
        <f>+AJ415/$AL$15</f>
        <v>7.5262383524135113E-4</v>
      </c>
      <c r="AY415" s="135">
        <f t="shared" ca="1" si="793"/>
        <v>2.7409529908935171E-5</v>
      </c>
      <c r="AZ415" s="93"/>
      <c r="BA415" s="93"/>
      <c r="BB415" s="234">
        <f>IFERROR(INDEX('Total Customers'!$E$7:$AA$91,MATCH($C415,'Total Customers'!$C$7:$C$91,0),MATCH($G415,'Total Customers'!$E$5:$AA$5,0)),"NA")</f>
        <v>14703</v>
      </c>
      <c r="BC415" s="411">
        <f t="shared" si="754"/>
        <v>7.6466543136347025E-3</v>
      </c>
      <c r="BD415" s="92"/>
      <c r="BE415" s="281" t="str">
        <f t="shared" si="748"/>
        <v>CORNING NATURAL GAS CORPORATION</v>
      </c>
      <c r="BF415" s="290">
        <f t="shared" si="749"/>
        <v>4059459</v>
      </c>
      <c r="BG415" s="46" t="str">
        <f t="shared" si="750"/>
        <v>NY</v>
      </c>
      <c r="BH415" s="46"/>
      <c r="BI415" s="46" t="str">
        <f t="shared" si="751"/>
        <v>2010 Y</v>
      </c>
      <c r="BJ415" s="129"/>
      <c r="BK415" s="129"/>
      <c r="BL415" s="129">
        <f>INDEX('Dist. Plant Gas Additions'!$E$7:$AD$91,MATCH($C415,'Dist. Plant Gas Additions'!$C$7:$C$91,0),MATCH(Calculation!$G415,'Dist. Plant Gas Additions'!$E$5:$AD$5,0))</f>
        <v>5193</v>
      </c>
      <c r="BM415" s="129">
        <f>INDEX('Gen. Plant Additions'!$E$7:$AD$91,MATCH($C415,'Gen. Plant Additions'!$C$7:$C$91,0),MATCH(Calculation!$G415,'Gen. Plant Additions'!$E$5:$AD$5,0))</f>
        <v>267</v>
      </c>
      <c r="BN415" s="393">
        <f t="shared" si="760"/>
        <v>0.80442859636436181</v>
      </c>
      <c r="BO415" s="46">
        <f t="shared" si="708"/>
        <v>214.7824352292846</v>
      </c>
      <c r="BP415" s="46">
        <f t="shared" si="709"/>
        <v>-52.217564770715398</v>
      </c>
      <c r="BQ415" s="129">
        <f>INDEX('Dist Plant Depreciation'!$D$7:$AC$94,MATCH($C415,'Dist Plant Depreciation'!$C$7:$C$94,0),MATCH(Calculation!$G415,'Dist Plant Depreciation'!$D$5:$AC$5,0))</f>
        <v>6372</v>
      </c>
      <c r="BR415" s="129">
        <f>INDEX('Gen. Plant Depreciation'!$D$7:$AC$94,MATCH($C415,'Gen. Plant Depreciation'!$C$7:$C$94,0),MATCH(Calculation!$G415,'Gen. Plant Depreciation'!$D$5:$AC$5,0))</f>
        <v>4910</v>
      </c>
      <c r="BS415" s="129"/>
      <c r="BT415" s="129"/>
      <c r="BU415" s="129"/>
      <c r="BV415" s="129"/>
      <c r="BW415" s="129"/>
      <c r="BX415" s="129"/>
      <c r="BY415" s="129">
        <f>INDEX('Gross Dx Plant'!$D$7:$AC$91,MATCH($C415,'Gross Dx Plant'!$C$7:$C$91,0),MATCH(Calculation!$G415,'Gross Dx Plant'!$D$5:$AC$5,0))</f>
        <v>32260</v>
      </c>
      <c r="BZ415" s="129">
        <f>INDEX('Gross Gen Plant'!$D$7:$AC$91,MATCH($C415,'Gross Gen Plant'!$C$7:$C$91,0),MATCH(Calculation!$G415,'Gross Gen Plant'!$D$5:$AC$5,0))</f>
        <v>7843</v>
      </c>
      <c r="CA415" s="129">
        <f t="shared" si="755"/>
        <v>28821</v>
      </c>
      <c r="CB415" s="129"/>
      <c r="CC415" s="133">
        <v>2010</v>
      </c>
      <c r="CD415" s="129"/>
      <c r="CE415" s="129"/>
      <c r="CF415" s="129"/>
      <c r="CG415" s="137"/>
      <c r="CH415" s="129">
        <f t="shared" si="761"/>
        <v>5460</v>
      </c>
      <c r="CI415" s="46">
        <f t="shared" si="770"/>
        <v>5407.7824352292846</v>
      </c>
      <c r="CJ415" s="46">
        <f t="shared" si="762"/>
        <v>9.5041866506077159</v>
      </c>
      <c r="CK415" s="443">
        <v>0.8666666666666667</v>
      </c>
      <c r="CL415" s="46">
        <f>+CL403*CK415+CJ404*CK414+CJ405*CK413+CJ406*CK412+CJ407*CK411+CJ408*CK410+CJ409*CK409+CJ410*CK408+CJ411*CK407+CJ412*CK406+CJ413*CK405+CJ414*CK404+CJ415</f>
        <v>101.13577472336435</v>
      </c>
      <c r="CM415" s="134">
        <f t="shared" si="763"/>
        <v>8.5770536660827484E-2</v>
      </c>
      <c r="CN415" s="135">
        <f t="shared" si="764"/>
        <v>1.2834250886032298E-2</v>
      </c>
      <c r="CO415" s="135">
        <f t="shared" si="773"/>
        <v>1.2708554320906321E-2</v>
      </c>
      <c r="CP415" s="134">
        <f>VLOOKUP($H415,RoR!$E:$F,2,FALSE)</f>
        <v>4.9433333333333322E-2</v>
      </c>
      <c r="CQ415" s="135">
        <v>1.1684333519300205E-2</v>
      </c>
      <c r="CR415" s="135">
        <f t="shared" si="771"/>
        <v>3.7748999814033117E-2</v>
      </c>
      <c r="CS415" s="135">
        <f t="shared" si="774"/>
        <v>1.8193387287627302E-2</v>
      </c>
      <c r="CT415" s="135">
        <f t="shared" si="775"/>
        <v>4.7937530248493419E-2</v>
      </c>
      <c r="CU415" s="139">
        <f t="shared" si="765"/>
        <v>0.85329623209999994</v>
      </c>
      <c r="CV415" s="335">
        <f t="shared" si="766"/>
        <v>1.037398205301105</v>
      </c>
      <c r="CW415" s="335">
        <f t="shared" si="767"/>
        <v>0.46926837491571133</v>
      </c>
      <c r="CX415" s="335">
        <f t="shared" si="768"/>
        <v>0.8548537519972772</v>
      </c>
      <c r="CY415" s="335">
        <f t="shared" si="769"/>
        <v>0.41615833911547367</v>
      </c>
      <c r="CZ415" s="336">
        <f>INDEX('State Tax Lookup'!$D$7:$Z$91,MATCH(Calculation!$C415,'State Tax Lookup'!$B$7:$B$91,0),MATCH($H415,'State Tax Lookup'!$D$6:$Z$6,0))</f>
        <v>0.39649667</v>
      </c>
      <c r="DA415" s="303">
        <v>0.37</v>
      </c>
      <c r="DB415" s="57">
        <f t="shared" si="772"/>
        <v>14.568745794251262</v>
      </c>
      <c r="DC415" s="56">
        <f t="shared" si="776"/>
        <v>2.4132237525906486E-2</v>
      </c>
      <c r="DD415" s="303">
        <f>VLOOKUP($H415,RoR!$E:$F,2,FALSE)</f>
        <v>4.9433333333333322E-2</v>
      </c>
      <c r="DE415" s="304">
        <f>HLOOKUP($H415,'GDP-PI'!$D$8:$CQ$11,3,FALSE)</f>
        <v>1.1684333519300205E-2</v>
      </c>
      <c r="DF415" s="303">
        <f>VLOOKUP(H415,'HW Dx Data'!$E:$F,2,FALSE)</f>
        <v>568.98950262971744</v>
      </c>
      <c r="DG415" s="89">
        <f ca="1">VLOOKUP(CC415,'ECI - Input Price'!M$13:N$33,2,FALSE)</f>
        <v>116.925</v>
      </c>
      <c r="DH415" s="89"/>
      <c r="DI415" s="89"/>
      <c r="DJ415" s="56">
        <f t="shared" ca="1" si="784"/>
        <v>5.2678406346976722E-2</v>
      </c>
      <c r="DK415" s="53">
        <f>HLOOKUP(H415,'GDP-PI'!$8:$9,2,FALSE)</f>
        <v>96.108999999999995</v>
      </c>
      <c r="DL415" s="355">
        <f t="shared" si="777"/>
        <v>1.1616598807150427E-2</v>
      </c>
      <c r="EC415"/>
    </row>
    <row r="416" spans="1:133" s="126" customFormat="1" ht="21" customHeight="1" x14ac:dyDescent="0.4">
      <c r="A416" s="233" t="s">
        <v>207</v>
      </c>
      <c r="B416" s="127" t="s">
        <v>207</v>
      </c>
      <c r="C416" s="127">
        <v>4059459</v>
      </c>
      <c r="D416" s="127" t="s">
        <v>194</v>
      </c>
      <c r="E416" s="127" t="s">
        <v>15</v>
      </c>
      <c r="F416" s="127"/>
      <c r="G416" s="127" t="s">
        <v>167</v>
      </c>
      <c r="H416" s="128">
        <v>2011</v>
      </c>
      <c r="I416" s="129"/>
      <c r="J416" s="125">
        <f>IFERROR(INDEX('Labor Expenditures'!$E$7:$W$91,MATCH($C416,'Labor Expenditures'!$C$7:$C$91,0),MATCH($G416,'Labor Expenditures'!$E$5:$W$5,0)),"NA")</f>
        <v>2118.6355273628774</v>
      </c>
      <c r="K416" s="125">
        <f t="shared" ca="1" si="778"/>
        <v>17.527491436300952</v>
      </c>
      <c r="L416" s="47"/>
      <c r="M416" s="131">
        <f t="shared" ca="1" si="785"/>
        <v>-3.7438689031628218E-2</v>
      </c>
      <c r="N416" s="131"/>
      <c r="O416" s="131"/>
      <c r="P416" s="59">
        <f t="shared" ca="1" si="787"/>
        <v>-2.791047507597099E-5</v>
      </c>
      <c r="Q416" s="61"/>
      <c r="R416" s="387"/>
      <c r="S416" s="49">
        <f t="shared" ca="1" si="792"/>
        <v>116.00944642760746</v>
      </c>
      <c r="T416" s="61">
        <f ca="1">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</f>
        <v>0.18273664587452487</v>
      </c>
      <c r="U416" s="61"/>
      <c r="V416" s="125">
        <f>IFERROR(INDEX('Non-Labor Expenditures'!$E$7:$AA$91,MATCH($C416,'Non-Labor Expenditures'!$C$7:$C$91,0),MATCH($G416,'Non-Labor Expenditures'!$E$5:$AA$5,0)),"NA")</f>
        <v>3068.1799501543978</v>
      </c>
      <c r="W416" s="125">
        <f t="shared" si="779"/>
        <v>31.272218996192088</v>
      </c>
      <c r="X416" s="131">
        <f t="shared" si="788"/>
        <v>-2.4841158082968995E-2</v>
      </c>
      <c r="Y416" s="131">
        <f t="shared" si="789"/>
        <v>-1.8519038499110831E-5</v>
      </c>
      <c r="Z416" s="131"/>
      <c r="AA416" s="131"/>
      <c r="AB416" s="131"/>
      <c r="AC416" s="125">
        <f t="shared" si="759"/>
        <v>1576.8523829884798</v>
      </c>
      <c r="AD416" s="129"/>
      <c r="AE416" s="133">
        <v>114.74473968912166</v>
      </c>
      <c r="AF416" s="134">
        <v>6.4397578133959341E-2</v>
      </c>
      <c r="AG416" s="59">
        <f t="shared" si="780"/>
        <v>4.8008278226364987E-5</v>
      </c>
      <c r="AH416" s="134"/>
      <c r="AI416" s="134"/>
      <c r="AJ416" s="129">
        <f t="shared" si="796"/>
        <v>6763.667860505755</v>
      </c>
      <c r="AK416" s="134">
        <f t="shared" si="790"/>
        <v>3.0417058070392081E-2</v>
      </c>
      <c r="AL416" s="129"/>
      <c r="AM416" s="129"/>
      <c r="AN416" s="129"/>
      <c r="AO416" s="129"/>
      <c r="AP416" s="133">
        <f t="shared" si="791"/>
        <v>457.56107837273407</v>
      </c>
      <c r="AQ416" s="134">
        <f>+BB416/Outputs!$B$19</f>
        <v>4.1589939905040899E-4</v>
      </c>
      <c r="AR416" s="93">
        <f t="shared" si="781"/>
        <v>0.31323766498558608</v>
      </c>
      <c r="AS416" s="93">
        <f t="shared" si="782"/>
        <v>0.45362664362483551</v>
      </c>
      <c r="AT416" s="93">
        <f t="shared" si="783"/>
        <v>0.2331356913895784</v>
      </c>
      <c r="AU416" s="93">
        <f t="shared" ca="1" si="786"/>
        <v>-9.2577138504707848E-3</v>
      </c>
      <c r="AV416" s="132">
        <f t="shared" ca="1" si="794"/>
        <v>161.64604947358592</v>
      </c>
      <c r="AW416" s="134">
        <f t="shared" ca="1" si="795"/>
        <v>-9.2577138504708351E-3</v>
      </c>
      <c r="AX416" s="56">
        <f>+AJ416/$AL$16</f>
        <v>7.4549819445847074E-4</v>
      </c>
      <c r="AY416" s="135">
        <f t="shared" ca="1" si="793"/>
        <v>-6.9016089603391846E-6</v>
      </c>
      <c r="AZ416" s="93"/>
      <c r="BA416" s="93"/>
      <c r="BB416" s="234">
        <f>IFERROR(INDEX('Total Customers'!$E$7:$AA$91,MATCH($C416,'Total Customers'!$C$7:$C$91,0),MATCH($G416,'Total Customers'!$E$5:$AA$5,0)),"NA")</f>
        <v>14782</v>
      </c>
      <c r="BC416" s="411">
        <f t="shared" si="754"/>
        <v>5.3586697671749598E-3</v>
      </c>
      <c r="BD416" s="92"/>
      <c r="BE416" s="281" t="str">
        <f t="shared" si="748"/>
        <v>CORNING NATURAL GAS CORPORATION</v>
      </c>
      <c r="BF416" s="290">
        <f t="shared" si="749"/>
        <v>4059459</v>
      </c>
      <c r="BG416" s="46" t="str">
        <f t="shared" si="750"/>
        <v>NY</v>
      </c>
      <c r="BH416" s="46"/>
      <c r="BI416" s="46" t="str">
        <f t="shared" si="751"/>
        <v>2011 Y</v>
      </c>
      <c r="BJ416" s="129"/>
      <c r="BK416" s="129"/>
      <c r="BL416" s="129">
        <f>INDEX('Dist. Plant Gas Additions'!$E$7:$AD$91,MATCH($C416,'Dist. Plant Gas Additions'!$C$7:$C$91,0),MATCH(Calculation!$G416,'Dist. Plant Gas Additions'!$E$5:$AD$5,0))</f>
        <v>4544</v>
      </c>
      <c r="BM416" s="129">
        <f>INDEX('Gen. Plant Additions'!$E$7:$AD$91,MATCH($C416,'Gen. Plant Additions'!$C$7:$C$91,0),MATCH(Calculation!$G416,'Gen. Plant Additions'!$E$5:$AD$5,0))</f>
        <v>286</v>
      </c>
      <c r="BN416" s="393">
        <f t="shared" si="760"/>
        <v>0.81866212948867201</v>
      </c>
      <c r="BO416" s="46">
        <f t="shared" si="708"/>
        <v>234.13736903376019</v>
      </c>
      <c r="BP416" s="46">
        <f t="shared" si="709"/>
        <v>-51.862630966239806</v>
      </c>
      <c r="BQ416" s="129">
        <f>INDEX('Dist Plant Depreciation'!$D$7:$AC$94,MATCH($C416,'Dist Plant Depreciation'!$C$7:$C$94,0),MATCH(Calculation!$G416,'Dist Plant Depreciation'!$D$5:$AC$5,0))</f>
        <v>7704</v>
      </c>
      <c r="BR416" s="129">
        <f>INDEX('Gen. Plant Depreciation'!$D$7:$AC$94,MATCH($C416,'Gen. Plant Depreciation'!$C$7:$C$94,0),MATCH(Calculation!$G416,'Gen. Plant Depreciation'!$D$5:$AC$5,0))</f>
        <v>4956</v>
      </c>
      <c r="BS416" s="129"/>
      <c r="BT416" s="129"/>
      <c r="BU416" s="129"/>
      <c r="BV416" s="129"/>
      <c r="BW416" s="129"/>
      <c r="BX416" s="129"/>
      <c r="BY416" s="129">
        <f>INDEX('Gross Dx Plant'!$D$7:$AC$91,MATCH($C416,'Gross Dx Plant'!$C$7:$C$91,0),MATCH(Calculation!$G416,'Gross Dx Plant'!$D$5:$AC$5,0))</f>
        <v>36568</v>
      </c>
      <c r="BZ416" s="129">
        <f>INDEX('Gross Gen Plant'!$D$7:$AC$91,MATCH($C416,'Gross Gen Plant'!$C$7:$C$91,0),MATCH(Calculation!$G416,'Gross Gen Plant'!$D$5:$AC$5,0))</f>
        <v>8100</v>
      </c>
      <c r="CA416" s="129">
        <f t="shared" si="755"/>
        <v>32008</v>
      </c>
      <c r="CB416" s="129"/>
      <c r="CC416" s="133">
        <v>2011</v>
      </c>
      <c r="CD416" s="129"/>
      <c r="CE416" s="129"/>
      <c r="CF416" s="129"/>
      <c r="CG416" s="137"/>
      <c r="CH416" s="129">
        <f t="shared" si="761"/>
        <v>4830</v>
      </c>
      <c r="CI416" s="46">
        <f t="shared" si="770"/>
        <v>4778.1373690337605</v>
      </c>
      <c r="CJ416" s="46">
        <f t="shared" si="762"/>
        <v>7.8123784858117586</v>
      </c>
      <c r="CK416" s="443">
        <v>0.8539325842696629</v>
      </c>
      <c r="CL416" s="46">
        <f>+CL403*CK416+CJ404*CK415+CJ405*CK414+CJ406*CK413+CJ407*CK412+CJ408*CK411+CJ409*CK410+CJ410*CK409+CJ411*CK408+CJ412*CK407+CJ413*CK406+CJ414*CK405+CJ415*CK404+CJ416</f>
        <v>107.6367048206602</v>
      </c>
      <c r="CM416" s="134">
        <f t="shared" si="763"/>
        <v>6.229779416201732E-2</v>
      </c>
      <c r="CN416" s="135">
        <f t="shared" si="764"/>
        <v>1.2967205641160115E-2</v>
      </c>
      <c r="CO416" s="135">
        <f t="shared" si="773"/>
        <v>1.2831583585477877E-2</v>
      </c>
      <c r="CP416" s="134">
        <f>VLOOKUP($H416,RoR!$E:$F,2,FALSE)</f>
        <v>4.6391666666666664E-2</v>
      </c>
      <c r="CQ416" s="135">
        <v>2.0840920205183799E-2</v>
      </c>
      <c r="CR416" s="135">
        <f t="shared" si="771"/>
        <v>2.5550746461482865E-2</v>
      </c>
      <c r="CS416" s="135">
        <f t="shared" si="774"/>
        <v>1.8070358023055746E-2</v>
      </c>
      <c r="CT416" s="135">
        <f t="shared" si="775"/>
        <v>2.4810540821321614E-2</v>
      </c>
      <c r="CU416" s="139">
        <f t="shared" si="765"/>
        <v>0.85329623209999994</v>
      </c>
      <c r="CV416" s="335">
        <f t="shared" si="766"/>
        <v>1.1054151524782025</v>
      </c>
      <c r="CW416" s="335">
        <f t="shared" si="767"/>
        <v>0.43611011316687626</v>
      </c>
      <c r="CX416" s="335">
        <f t="shared" si="768"/>
        <v>0.83698442246886229</v>
      </c>
      <c r="CY416" s="335">
        <f t="shared" si="769"/>
        <v>0.40349573304423936</v>
      </c>
      <c r="CZ416" s="336">
        <f>INDEX('State Tax Lookup'!$D$7:$Z$91,MATCH(Calculation!$C416,'State Tax Lookup'!$B$7:$B$91,0),MATCH($H416,'State Tax Lookup'!$D$6:$Z$6,0))</f>
        <v>0.39649667</v>
      </c>
      <c r="DA416" s="303">
        <v>0.37</v>
      </c>
      <c r="DB416" s="57">
        <f t="shared" si="772"/>
        <v>15.59144019316239</v>
      </c>
      <c r="DC416" s="56">
        <f t="shared" si="776"/>
        <v>6.7843522975981702E-2</v>
      </c>
      <c r="DD416" s="303">
        <f>VLOOKUP($H416,RoR!$E:$F,2,FALSE)</f>
        <v>4.6391666666666664E-2</v>
      </c>
      <c r="DE416" s="304">
        <f>HLOOKUP($H416,'GDP-PI'!$D$8:$CQ$11,3,FALSE)</f>
        <v>2.0840920205183799E-2</v>
      </c>
      <c r="DF416" s="303">
        <f>VLOOKUP(H416,'HW Dx Data'!$E:$F,2,FALSE)</f>
        <v>611.61109612283201</v>
      </c>
      <c r="DG416" s="89">
        <f ca="1">VLOOKUP(CC416,'ECI - Input Price'!M$13:N$33,2,FALSE)</f>
        <v>120.875</v>
      </c>
      <c r="DH416" s="89"/>
      <c r="DI416" s="89"/>
      <c r="DJ416" s="56">
        <f t="shared" ca="1" si="784"/>
        <v>3.3224250161508609E-2</v>
      </c>
      <c r="DK416" s="53">
        <f>HLOOKUP(H416,'GDP-PI'!$8:$9,2,FALSE)</f>
        <v>98.111999999999995</v>
      </c>
      <c r="DL416" s="355">
        <f t="shared" si="777"/>
        <v>2.0626719212849295E-2</v>
      </c>
      <c r="EC416"/>
    </row>
    <row r="417" spans="1:133" s="126" customFormat="1" ht="21" customHeight="1" x14ac:dyDescent="0.4">
      <c r="A417" s="233" t="s">
        <v>207</v>
      </c>
      <c r="B417" s="127" t="s">
        <v>207</v>
      </c>
      <c r="C417" s="127">
        <v>4059459</v>
      </c>
      <c r="D417" s="127" t="s">
        <v>194</v>
      </c>
      <c r="E417" s="127" t="s">
        <v>15</v>
      </c>
      <c r="F417" s="127"/>
      <c r="G417" s="127" t="s">
        <v>168</v>
      </c>
      <c r="H417" s="128">
        <v>2012</v>
      </c>
      <c r="I417" s="129"/>
      <c r="J417" s="125">
        <f>IFERROR(INDEX('Labor Expenditures'!$E$7:$W$91,MATCH($C417,'Labor Expenditures'!$C$7:$C$91,0),MATCH($G417,'Labor Expenditures'!$E$5:$W$5,0)),"NA")</f>
        <v>2278.6274292024723</v>
      </c>
      <c r="K417" s="125">
        <f t="shared" ca="1" si="778"/>
        <v>18.25823260578904</v>
      </c>
      <c r="L417" s="47"/>
      <c r="M417" s="131">
        <f t="shared" ca="1" si="785"/>
        <v>4.0845492487379641E-2</v>
      </c>
      <c r="N417" s="131"/>
      <c r="O417" s="131"/>
      <c r="P417" s="59">
        <f t="shared" ca="1" si="787"/>
        <v>3.2158727502355056E-5</v>
      </c>
      <c r="Q417" s="61"/>
      <c r="R417" s="387"/>
      <c r="S417" s="49">
        <f t="shared" ca="1" si="792"/>
        <v>114.68442354787796</v>
      </c>
      <c r="T417" s="61">
        <f ca="1">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</f>
        <v>-1.1487409273045094E-2</v>
      </c>
      <c r="U417" s="61"/>
      <c r="V417" s="125">
        <f>IFERROR(INDEX('Non-Labor Expenditures'!$E$7:$AA$91,MATCH($C417,'Non-Labor Expenditures'!$C$7:$C$91,0),MATCH($G417,'Non-Labor Expenditures'!$E$5:$AA$5,0)),"NA")</f>
        <v>3299.8781063834372</v>
      </c>
      <c r="W417" s="125">
        <f t="shared" si="779"/>
        <v>32.998781063834372</v>
      </c>
      <c r="X417" s="131">
        <f t="shared" si="788"/>
        <v>5.374049191050647E-2</v>
      </c>
      <c r="Y417" s="131">
        <f t="shared" si="789"/>
        <v>4.2311298749218847E-5</v>
      </c>
      <c r="Z417" s="131"/>
      <c r="AA417" s="131"/>
      <c r="AB417" s="131"/>
      <c r="AC417" s="125">
        <f t="shared" si="759"/>
        <v>1813.1967592968126</v>
      </c>
      <c r="AD417" s="129"/>
      <c r="AE417" s="133">
        <v>123.6527498908259</v>
      </c>
      <c r="AF417" s="134">
        <v>7.4767226630537781E-2</v>
      </c>
      <c r="AG417" s="59">
        <f t="shared" si="780"/>
        <v>5.8866198468807824E-5</v>
      </c>
      <c r="AH417" s="134"/>
      <c r="AI417" s="134"/>
      <c r="AJ417" s="129">
        <f t="shared" si="796"/>
        <v>7391.7022948827216</v>
      </c>
      <c r="AK417" s="134">
        <f t="shared" si="790"/>
        <v>8.8792733742656033E-2</v>
      </c>
      <c r="AL417" s="129"/>
      <c r="AM417" s="129"/>
      <c r="AN417" s="129"/>
      <c r="AO417" s="129"/>
      <c r="AP417" s="133">
        <f t="shared" si="791"/>
        <v>496.42057050924927</v>
      </c>
      <c r="AQ417" s="134">
        <f>+BB417/Outputs!$B$20</f>
        <v>4.1693035154676818E-4</v>
      </c>
      <c r="AR417" s="93">
        <f t="shared" si="781"/>
        <v>0.30826829034767361</v>
      </c>
      <c r="AS417" s="93">
        <f t="shared" si="782"/>
        <v>0.44643006099798471</v>
      </c>
      <c r="AT417" s="93">
        <f t="shared" si="783"/>
        <v>0.2453016486543417</v>
      </c>
      <c r="AU417" s="93">
        <f t="shared" ca="1" si="786"/>
        <v>5.4763319957390796E-2</v>
      </c>
      <c r="AV417" s="132">
        <f t="shared" ca="1" si="794"/>
        <v>170.74519970681388</v>
      </c>
      <c r="AW417" s="134">
        <f t="shared" ca="1" si="795"/>
        <v>5.4763319957390845E-2</v>
      </c>
      <c r="AX417" s="56">
        <f>+AJ417/$AL$17</f>
        <v>7.8732622730136987E-4</v>
      </c>
      <c r="AY417" s="135">
        <f t="shared" ca="1" si="793"/>
        <v>4.3116598096550353E-5</v>
      </c>
      <c r="AZ417" s="93"/>
      <c r="BA417" s="93"/>
      <c r="BB417" s="234">
        <f>IFERROR(INDEX('Total Customers'!$E$7:$AA$91,MATCH($C417,'Total Customers'!$C$7:$C$91,0),MATCH($G417,'Total Customers'!$E$5:$AA$5,0)),"NA")</f>
        <v>14890</v>
      </c>
      <c r="BC417" s="411">
        <f t="shared" si="754"/>
        <v>7.2796223332225393E-3</v>
      </c>
      <c r="BD417" s="92"/>
      <c r="BE417" s="281" t="str">
        <f t="shared" si="748"/>
        <v>CORNING NATURAL GAS CORPORATION</v>
      </c>
      <c r="BF417" s="290">
        <f t="shared" si="749"/>
        <v>4059459</v>
      </c>
      <c r="BG417" s="46" t="str">
        <f t="shared" si="750"/>
        <v>NY</v>
      </c>
      <c r="BH417" s="46"/>
      <c r="BI417" s="46" t="str">
        <f t="shared" si="751"/>
        <v>2012 Y</v>
      </c>
      <c r="BJ417" s="129"/>
      <c r="BK417" s="129"/>
      <c r="BL417" s="129">
        <f>INDEX('Dist. Plant Gas Additions'!$E$7:$AD$91,MATCH($C417,'Dist. Plant Gas Additions'!$C$7:$C$91,0),MATCH(Calculation!$G417,'Dist. Plant Gas Additions'!$E$5:$AD$5,0))</f>
        <v>5772</v>
      </c>
      <c r="BM417" s="129">
        <f>INDEX('Gen. Plant Additions'!$E$7:$AD$91,MATCH($C417,'Gen. Plant Additions'!$C$7:$C$91,0),MATCH(Calculation!$G417,'Gen. Plant Additions'!$E$5:$AD$5,0))</f>
        <v>726</v>
      </c>
      <c r="BN417" s="393">
        <f t="shared" si="760"/>
        <v>0.82747252747252742</v>
      </c>
      <c r="BO417" s="46">
        <f t="shared" si="708"/>
        <v>600.7450549450549</v>
      </c>
      <c r="BP417" s="46">
        <f t="shared" si="709"/>
        <v>-125.2549450549451</v>
      </c>
      <c r="BQ417" s="129">
        <f>INDEX('Dist Plant Depreciation'!$D$7:$AC$94,MATCH($C417,'Dist Plant Depreciation'!$C$7:$C$94,0),MATCH(Calculation!$G417,'Dist Plant Depreciation'!$D$5:$AC$5,0))</f>
        <v>9146</v>
      </c>
      <c r="BR417" s="129">
        <f>INDEX('Gen. Plant Depreciation'!$D$7:$AC$94,MATCH($C417,'Gen. Plant Depreciation'!$C$7:$C$94,0),MATCH(Calculation!$G417,'Gen. Plant Depreciation'!$D$5:$AC$5,0))</f>
        <v>5004</v>
      </c>
      <c r="BS417" s="129"/>
      <c r="BT417" s="129"/>
      <c r="BU417" s="129"/>
      <c r="BV417" s="129"/>
      <c r="BW417" s="129"/>
      <c r="BX417" s="129"/>
      <c r="BY417" s="129">
        <f>INDEX('Gross Dx Plant'!$D$7:$AC$91,MATCH($C417,'Gross Dx Plant'!$C$7:$C$91,0),MATCH(Calculation!$G417,'Gross Dx Plant'!$D$5:$AC$5,0))</f>
        <v>42168</v>
      </c>
      <c r="BZ417" s="129">
        <f>INDEX('Gross Gen Plant'!$D$7:$AC$91,MATCH($C417,'Gross Gen Plant'!$C$7:$C$91,0),MATCH(Calculation!$G417,'Gross Gen Plant'!$D$5:$AC$5,0))</f>
        <v>8792</v>
      </c>
      <c r="CA417" s="129">
        <f t="shared" si="755"/>
        <v>36810</v>
      </c>
      <c r="CB417" s="129"/>
      <c r="CC417" s="133">
        <v>2012</v>
      </c>
      <c r="CD417" s="129"/>
      <c r="CE417" s="129"/>
      <c r="CF417" s="129"/>
      <c r="CG417" s="137"/>
      <c r="CH417" s="129">
        <f t="shared" si="761"/>
        <v>6498</v>
      </c>
      <c r="CI417" s="46">
        <f t="shared" si="770"/>
        <v>6372.745054945055</v>
      </c>
      <c r="CJ417" s="46">
        <f t="shared" si="762"/>
        <v>9.5269262589369728</v>
      </c>
      <c r="CK417" s="443">
        <v>0.84090909090909094</v>
      </c>
      <c r="CL417" s="46">
        <f>+CL403*CK417+CJ404*CK416+CJ405*CK415+CJ406*CK414+CJ407*CK413+CJ408*CK412+CJ409*CK411+CJ410*CK410+CJ411*CK409+CJ412*CK408+CJ413*CK407+CJ414*CK406+CJ415*CK405+CJ416*CK404+CJ417</f>
        <v>115.74605075891461</v>
      </c>
      <c r="CM417" s="134">
        <f t="shared" si="763"/>
        <v>7.2636861243710465E-2</v>
      </c>
      <c r="CN417" s="135">
        <f t="shared" si="764"/>
        <v>1.3170045692540284E-2</v>
      </c>
      <c r="CO417" s="135">
        <f t="shared" si="773"/>
        <v>1.2990500739910898E-2</v>
      </c>
      <c r="CP417" s="134">
        <f>VLOOKUP($H417,RoR!$E:$F,2,FALSE)</f>
        <v>3.6733333333333333E-2</v>
      </c>
      <c r="CQ417" s="135">
        <v>1.924331376386168E-2</v>
      </c>
      <c r="CR417" s="135">
        <f t="shared" si="771"/>
        <v>1.7490019569471653E-2</v>
      </c>
      <c r="CS417" s="135">
        <f t="shared" si="774"/>
        <v>1.7911440868622727E-2</v>
      </c>
      <c r="CT417" s="135">
        <f t="shared" si="775"/>
        <v>6.7122682943869583E-2</v>
      </c>
      <c r="CU417" s="139">
        <f t="shared" si="765"/>
        <v>0.85329623209999994</v>
      </c>
      <c r="CV417" s="335">
        <f t="shared" si="766"/>
        <v>1.3960631020522127</v>
      </c>
      <c r="CW417" s="335">
        <f t="shared" si="767"/>
        <v>0.29441923774954631</v>
      </c>
      <c r="CX417" s="335">
        <f t="shared" si="768"/>
        <v>0.76377954189366437</v>
      </c>
      <c r="CY417" s="335">
        <f t="shared" si="769"/>
        <v>0.31393465103033691</v>
      </c>
      <c r="CZ417" s="336">
        <f>INDEX('State Tax Lookup'!$D$7:$Z$91,MATCH(Calculation!$C417,'State Tax Lookup'!$B$7:$B$91,0),MATCH($H417,'State Tax Lookup'!$D$6:$Z$6,0))</f>
        <v>0.39649667</v>
      </c>
      <c r="DA417" s="303">
        <v>0.37</v>
      </c>
      <c r="DB417" s="57">
        <f t="shared" si="772"/>
        <v>16.845524603506636</v>
      </c>
      <c r="DC417" s="56">
        <f t="shared" si="776"/>
        <v>7.7362961259102275E-2</v>
      </c>
      <c r="DD417" s="303">
        <f>VLOOKUP($H417,RoR!$E:$F,2,FALSE)</f>
        <v>3.6733333333333333E-2</v>
      </c>
      <c r="DE417" s="304">
        <f>HLOOKUP($H417,'GDP-PI'!$D$8:$CQ$11,3,FALSE)</f>
        <v>1.924331376386168E-2</v>
      </c>
      <c r="DF417" s="303">
        <f>VLOOKUP(H417,'HW Dx Data'!$E:$F,2,FALSE)</f>
        <v>668.91932211262167</v>
      </c>
      <c r="DG417" s="89">
        <f ca="1">VLOOKUP(CC417,'ECI - Input Price'!M$13:N$33,2,FALSE)</f>
        <v>124.80000000000001</v>
      </c>
      <c r="DH417" s="89"/>
      <c r="DI417" s="89"/>
      <c r="DJ417" s="56">
        <f t="shared" ca="1" si="784"/>
        <v>3.1955502161869064E-2</v>
      </c>
      <c r="DK417" s="53">
        <f>HLOOKUP(H417,'GDP-PI'!$8:$9,2,FALSE)</f>
        <v>100</v>
      </c>
      <c r="DL417" s="355">
        <f t="shared" si="777"/>
        <v>1.9060502738742411E-2</v>
      </c>
      <c r="EC417"/>
    </row>
    <row r="418" spans="1:133" s="126" customFormat="1" ht="21" customHeight="1" x14ac:dyDescent="0.4">
      <c r="A418" s="233" t="s">
        <v>207</v>
      </c>
      <c r="B418" s="127" t="s">
        <v>207</v>
      </c>
      <c r="C418" s="127">
        <v>4059459</v>
      </c>
      <c r="D418" s="127" t="s">
        <v>194</v>
      </c>
      <c r="E418" s="127" t="s">
        <v>15</v>
      </c>
      <c r="F418" s="127"/>
      <c r="G418" s="127" t="s">
        <v>169</v>
      </c>
      <c r="H418" s="128">
        <v>2013</v>
      </c>
      <c r="I418" s="129"/>
      <c r="J418" s="125">
        <f>IFERROR(INDEX('Labor Expenditures'!$E$7:$W$91,MATCH($C418,'Labor Expenditures'!$C$7:$C$91,0),MATCH($G418,'Labor Expenditures'!$E$5:$W$5,0)),"NA")</f>
        <v>2219.9375483313474</v>
      </c>
      <c r="K418" s="125">
        <f t="shared" ca="1" si="778"/>
        <v>17.507393914285075</v>
      </c>
      <c r="L418" s="47"/>
      <c r="M418" s="131">
        <f t="shared" ca="1" si="785"/>
        <v>-4.1992778914564564E-2</v>
      </c>
      <c r="N418" s="131"/>
      <c r="O418" s="131"/>
      <c r="P418" s="59">
        <f t="shared" ca="1" si="787"/>
        <v>-3.1728860898119352E-5</v>
      </c>
      <c r="Q418" s="61"/>
      <c r="R418" s="387"/>
      <c r="S418" s="49">
        <f t="shared" ca="1" si="792"/>
        <v>107.69892594363705</v>
      </c>
      <c r="T418" s="61">
        <f ca="1">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</f>
        <v>-6.2844601794010843E-2</v>
      </c>
      <c r="U418" s="61"/>
      <c r="V418" s="125">
        <f>IFERROR(INDEX('Non-Labor Expenditures'!$E$7:$AA$91,MATCH($C418,'Non-Labor Expenditures'!$C$7:$C$91,0),MATCH($G418,'Non-Labor Expenditures'!$E$5:$AA$5,0)),"NA")</f>
        <v>3214.8841971243605</v>
      </c>
      <c r="W418" s="125">
        <f t="shared" si="779"/>
        <v>31.588773025501464</v>
      </c>
      <c r="X418" s="131">
        <f t="shared" si="788"/>
        <v>-4.3668849863277015E-2</v>
      </c>
      <c r="Y418" s="131">
        <f t="shared" si="789"/>
        <v>-3.2995264869508621E-5</v>
      </c>
      <c r="Z418" s="131"/>
      <c r="AA418" s="131"/>
      <c r="AB418" s="131"/>
      <c r="AC418" s="125">
        <f t="shared" si="759"/>
        <v>1917.3988575668682</v>
      </c>
      <c r="AD418" s="129"/>
      <c r="AE418" s="133">
        <v>133.34630058042816</v>
      </c>
      <c r="AF418" s="134">
        <v>7.5472275032882272E-2</v>
      </c>
      <c r="AG418" s="59">
        <f t="shared" si="780"/>
        <v>5.7025264297342784E-5</v>
      </c>
      <c r="AH418" s="134"/>
      <c r="AI418" s="134"/>
      <c r="AJ418" s="129">
        <f t="shared" si="796"/>
        <v>7352.2206030225761</v>
      </c>
      <c r="AK418" s="134">
        <f t="shared" si="790"/>
        <v>-5.3556691126558174E-3</v>
      </c>
      <c r="AL418" s="129"/>
      <c r="AM418" s="129"/>
      <c r="AN418" s="129"/>
      <c r="AO418" s="129"/>
      <c r="AP418" s="133">
        <f t="shared" si="791"/>
        <v>493.53699422854106</v>
      </c>
      <c r="AQ418" s="134">
        <f>+BB418/Outputs!$B$21</f>
        <v>4.1446787522015738E-4</v>
      </c>
      <c r="AR418" s="93">
        <f t="shared" si="781"/>
        <v>0.30194109619326542</v>
      </c>
      <c r="AS418" s="93">
        <f t="shared" si="782"/>
        <v>0.43726710210554448</v>
      </c>
      <c r="AT418" s="93">
        <f t="shared" si="783"/>
        <v>0.26079180170119015</v>
      </c>
      <c r="AU418" s="93">
        <f t="shared" ca="1" si="786"/>
        <v>-1.3009201261602252E-2</v>
      </c>
      <c r="AV418" s="132">
        <f t="shared" ca="1" si="794"/>
        <v>168.53832698909548</v>
      </c>
      <c r="AW418" s="134">
        <f t="shared" ca="1" si="795"/>
        <v>-1.300920126160226E-2</v>
      </c>
      <c r="AX418" s="56">
        <f>+AJ418/$AL$18</f>
        <v>7.5557897615379465E-4</v>
      </c>
      <c r="AY418" s="135">
        <f t="shared" ca="1" si="793"/>
        <v>-9.8294789698200896E-6</v>
      </c>
      <c r="AZ418" s="93"/>
      <c r="BA418" s="93"/>
      <c r="BB418" s="234">
        <f>IFERROR(INDEX('Total Customers'!$E$7:$AA$91,MATCH($C418,'Total Customers'!$C$7:$C$91,0),MATCH($G418,'Total Customers'!$E$5:$AA$5,0)),"NA")</f>
        <v>14897</v>
      </c>
      <c r="BC418" s="411">
        <f t="shared" si="754"/>
        <v>4.7000370153828491E-4</v>
      </c>
      <c r="BD418" s="92"/>
      <c r="BE418" s="281" t="str">
        <f t="shared" si="748"/>
        <v>CORNING NATURAL GAS CORPORATION</v>
      </c>
      <c r="BF418" s="290">
        <f t="shared" si="749"/>
        <v>4059459</v>
      </c>
      <c r="BG418" s="46" t="str">
        <f t="shared" si="750"/>
        <v>NY</v>
      </c>
      <c r="BH418" s="46"/>
      <c r="BI418" s="46" t="str">
        <f t="shared" si="751"/>
        <v>2013 Y</v>
      </c>
      <c r="BJ418" s="129"/>
      <c r="BK418" s="129"/>
      <c r="BL418" s="129">
        <f>INDEX('Dist. Plant Gas Additions'!$E$7:$AD$91,MATCH($C418,'Dist. Plant Gas Additions'!$C$7:$C$91,0),MATCH(Calculation!$G418,'Dist. Plant Gas Additions'!$E$5:$AD$5,0))</f>
        <v>6217</v>
      </c>
      <c r="BM418" s="129">
        <f>INDEX('Gen. Plant Additions'!$E$7:$AD$91,MATCH($C418,'Gen. Plant Additions'!$C$7:$C$91,0),MATCH(Calculation!$G418,'Gen. Plant Additions'!$E$5:$AD$5,0))</f>
        <v>798</v>
      </c>
      <c r="BN418" s="393">
        <f t="shared" si="760"/>
        <v>0.83430101952652502</v>
      </c>
      <c r="BO418" s="46">
        <f t="shared" si="708"/>
        <v>665.77221358216696</v>
      </c>
      <c r="BP418" s="46">
        <f t="shared" si="709"/>
        <v>-132.22778641783304</v>
      </c>
      <c r="BQ418" s="129">
        <f>INDEX('Dist Plant Depreciation'!$D$7:$AC$94,MATCH($C418,'Dist Plant Depreciation'!$C$7:$C$94,0),MATCH(Calculation!$G418,'Dist Plant Depreciation'!$D$5:$AC$5,0))</f>
        <v>11049</v>
      </c>
      <c r="BR418" s="129">
        <f>INDEX('Gen. Plant Depreciation'!$D$7:$AC$94,MATCH($C418,'Gen. Plant Depreciation'!$C$7:$C$94,0),MATCH(Calculation!$G418,'Gen. Plant Depreciation'!$D$5:$AC$5,0))</f>
        <v>5134</v>
      </c>
      <c r="BS418" s="129"/>
      <c r="BT418" s="129"/>
      <c r="BU418" s="129"/>
      <c r="BV418" s="129"/>
      <c r="BW418" s="129"/>
      <c r="BX418" s="129"/>
      <c r="BY418" s="129">
        <f>INDEX('Gross Dx Plant'!$D$7:$AC$91,MATCH($C418,'Gross Dx Plant'!$C$7:$C$91,0),MATCH(Calculation!$G418,'Gross Dx Plant'!$D$5:$AC$5,0))</f>
        <v>48281</v>
      </c>
      <c r="BZ418" s="129">
        <f>INDEX('Gross Gen Plant'!$D$7:$AC$91,MATCH($C418,'Gross Gen Plant'!$C$7:$C$91,0),MATCH(Calculation!$G418,'Gross Gen Plant'!$D$5:$AC$5,0))</f>
        <v>9589</v>
      </c>
      <c r="CA418" s="129">
        <f t="shared" si="755"/>
        <v>41687</v>
      </c>
      <c r="CB418" s="129"/>
      <c r="CC418" s="133">
        <v>2013</v>
      </c>
      <c r="CD418" s="129"/>
      <c r="CE418" s="129"/>
      <c r="CF418" s="129"/>
      <c r="CG418" s="137"/>
      <c r="CH418" s="129">
        <f t="shared" si="761"/>
        <v>7015</v>
      </c>
      <c r="CI418" s="46">
        <f t="shared" si="770"/>
        <v>6882.7722135821668</v>
      </c>
      <c r="CJ418" s="46">
        <f t="shared" si="762"/>
        <v>10.377367147254265</v>
      </c>
      <c r="CK418" s="443">
        <v>0.82758620689655171</v>
      </c>
      <c r="CL418" s="46">
        <f>+CL403*CK418+CJ404*CK417+CJ405*CK416+CJ406*CK415+CJ407*CK414+CJ408*CK413+CJ409*CK412+CJ410*CK411+CJ411*CK410+CJ412*CK409+CJ413*CK408+CJ414*CK407+CJ415*CK406+CJ416*CK405+CJ417*CK404+CJ418</f>
        <v>124.58022262936304</v>
      </c>
      <c r="CM418" s="134">
        <f t="shared" si="763"/>
        <v>7.3551293192952977E-2</v>
      </c>
      <c r="CN418" s="135">
        <f t="shared" si="764"/>
        <v>1.3332595511359001E-2</v>
      </c>
      <c r="CO418" s="135">
        <f t="shared" si="773"/>
        <v>1.3156615615019801E-2</v>
      </c>
      <c r="CP418" s="134">
        <f>VLOOKUP($H418,RoR!$E:$F,2,FALSE)</f>
        <v>4.2350000000000006E-2</v>
      </c>
      <c r="CQ418" s="135">
        <v>1.7730000000000024E-2</v>
      </c>
      <c r="CR418" s="135">
        <f t="shared" si="771"/>
        <v>2.4619999999999982E-2</v>
      </c>
      <c r="CS418" s="135">
        <f t="shared" si="774"/>
        <v>1.7745325993513826E-2</v>
      </c>
      <c r="CT418" s="135">
        <f t="shared" si="775"/>
        <v>5.3376742735721204E-2</v>
      </c>
      <c r="CU418" s="139">
        <f t="shared" si="765"/>
        <v>0.85329623209999994</v>
      </c>
      <c r="CV418" s="335">
        <f t="shared" si="766"/>
        <v>1.2109103018193925</v>
      </c>
      <c r="CW418" s="335">
        <f t="shared" si="767"/>
        <v>0.38468122786304604</v>
      </c>
      <c r="CX418" s="335">
        <f t="shared" si="768"/>
        <v>0.80969194503422559</v>
      </c>
      <c r="CY418" s="335">
        <f t="shared" si="769"/>
        <v>0.37716621754800816</v>
      </c>
      <c r="CZ418" s="336">
        <f>INDEX('State Tax Lookup'!$D$7:$Z$91,MATCH(Calculation!$C418,'State Tax Lookup'!$B$7:$B$91,0),MATCH($H418,'State Tax Lookup'!$D$6:$Z$6,0))</f>
        <v>0.39649667</v>
      </c>
      <c r="DA418" s="303">
        <v>0.37</v>
      </c>
      <c r="DB418" s="57">
        <f t="shared" si="772"/>
        <v>16.565566125107665</v>
      </c>
      <c r="DC418" s="56">
        <f t="shared" si="776"/>
        <v>-1.6758808206279119E-2</v>
      </c>
      <c r="DD418" s="303">
        <f>VLOOKUP($H418,RoR!$E:$F,2,FALSE)</f>
        <v>4.2350000000000006E-2</v>
      </c>
      <c r="DE418" s="304">
        <f>HLOOKUP($H418,'GDP-PI'!$D$8:$CQ$11,3,FALSE)</f>
        <v>1.7730000000000024E-2</v>
      </c>
      <c r="DF418" s="303">
        <f>VLOOKUP(H418,'HW Dx Data'!$E:$F,2,FALSE)</f>
        <v>663.24840548821396</v>
      </c>
      <c r="DG418" s="89">
        <f ca="1">VLOOKUP(CC418,'ECI - Input Price'!M$13:N$33,2,FALSE)</f>
        <v>126.8</v>
      </c>
      <c r="DH418" s="89"/>
      <c r="DI418" s="89"/>
      <c r="DJ418" s="56">
        <f t="shared" ca="1" si="784"/>
        <v>1.5898586067798204E-2</v>
      </c>
      <c r="DK418" s="53">
        <f>HLOOKUP(H418,'GDP-PI'!$8:$9,2,FALSE)</f>
        <v>101.773</v>
      </c>
      <c r="DL418" s="355">
        <f t="shared" si="777"/>
        <v>1.7574657016510519E-2</v>
      </c>
      <c r="EC418"/>
    </row>
    <row r="419" spans="1:133" s="126" customFormat="1" ht="21" customHeight="1" x14ac:dyDescent="0.4">
      <c r="A419" s="233" t="s">
        <v>207</v>
      </c>
      <c r="B419" s="127" t="s">
        <v>207</v>
      </c>
      <c r="C419" s="127">
        <v>4059459</v>
      </c>
      <c r="D419" s="127" t="s">
        <v>194</v>
      </c>
      <c r="E419" s="127" t="s">
        <v>15</v>
      </c>
      <c r="F419" s="127"/>
      <c r="G419" s="127" t="s">
        <v>170</v>
      </c>
      <c r="H419" s="128">
        <v>2014</v>
      </c>
      <c r="I419" s="129"/>
      <c r="J419" s="125">
        <f>IFERROR(INDEX('Labor Expenditures'!$E$7:$W$91,MATCH($C419,'Labor Expenditures'!$C$7:$C$91,0),MATCH($G419,'Labor Expenditures'!$E$5:$W$5,0)),"NA")</f>
        <v>2560.0428994144359</v>
      </c>
      <c r="K419" s="125">
        <f t="shared" ca="1" si="778"/>
        <v>19.783948218040461</v>
      </c>
      <c r="L419" s="47"/>
      <c r="M419" s="131">
        <f t="shared" ca="1" si="785"/>
        <v>0.12224761176493629</v>
      </c>
      <c r="N419" s="131"/>
      <c r="O419" s="131"/>
      <c r="P419" s="59">
        <f t="shared" ca="1" si="787"/>
        <v>1.0337191957869361E-4</v>
      </c>
      <c r="Q419" s="61"/>
      <c r="R419" s="387"/>
      <c r="S419" s="49">
        <f t="shared" ca="1" si="792"/>
        <v>119.71366276765056</v>
      </c>
      <c r="T419" s="61">
        <f ca="1">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</f>
        <v>0.10576313635728432</v>
      </c>
      <c r="U419" s="61"/>
      <c r="V419" s="125">
        <f>IFERROR(INDEX('Non-Labor Expenditures'!$E$7:$AA$91,MATCH($C419,'Non-Labor Expenditures'!$C$7:$C$91,0),MATCH($G419,'Non-Labor Expenditures'!$E$5:$AA$5,0)),"NA")</f>
        <v>3707.4202684099355</v>
      </c>
      <c r="W419" s="125">
        <f t="shared" si="779"/>
        <v>35.769682368133523</v>
      </c>
      <c r="X419" s="131">
        <f t="shared" si="788"/>
        <v>0.12429889993035496</v>
      </c>
      <c r="Y419" s="131">
        <f t="shared" si="789"/>
        <v>1.0510647776111534E-4</v>
      </c>
      <c r="Z419" s="131"/>
      <c r="AA419" s="131"/>
      <c r="AB419" s="131"/>
      <c r="AC419" s="125">
        <f t="shared" si="759"/>
        <v>2111.7171639583389</v>
      </c>
      <c r="AD419" s="129"/>
      <c r="AE419" s="133">
        <v>143.49834686168364</v>
      </c>
      <c r="AF419" s="134">
        <v>7.3374006941492931E-2</v>
      </c>
      <c r="AG419" s="59">
        <f t="shared" si="780"/>
        <v>6.20446635743442E-5</v>
      </c>
      <c r="AH419" s="134"/>
      <c r="AI419" s="134"/>
      <c r="AJ419" s="129">
        <f t="shared" si="796"/>
        <v>8379.1803317827107</v>
      </c>
      <c r="AK419" s="134">
        <f t="shared" si="790"/>
        <v>0.13074770681857389</v>
      </c>
      <c r="AL419" s="129"/>
      <c r="AM419" s="129"/>
      <c r="AN419" s="129"/>
      <c r="AO419" s="129"/>
      <c r="AP419" s="133">
        <f t="shared" si="791"/>
        <v>564.14059999883602</v>
      </c>
      <c r="AQ419" s="134">
        <f>+BB419/Outputs!$B$22</f>
        <v>4.110354423633002E-4</v>
      </c>
      <c r="AR419" s="93">
        <f t="shared" si="781"/>
        <v>0.30552426347766337</v>
      </c>
      <c r="AS419" s="93">
        <f t="shared" si="782"/>
        <v>0.44245619757668636</v>
      </c>
      <c r="AT419" s="93">
        <f t="shared" si="783"/>
        <v>0.25201953894565021</v>
      </c>
      <c r="AU419" s="93">
        <f t="shared" ca="1" si="786"/>
        <v>0.11061842535579997</v>
      </c>
      <c r="AV419" s="132">
        <f t="shared" ca="1" si="794"/>
        <v>188.2520222825481</v>
      </c>
      <c r="AW419" s="134">
        <f t="shared" ca="1" si="795"/>
        <v>0.11061842535579997</v>
      </c>
      <c r="AX419" s="56">
        <f>+AJ419/$AL$19</f>
        <v>8.4559459351616793E-4</v>
      </c>
      <c r="AY419" s="135">
        <f t="shared" ca="1" si="793"/>
        <v>9.3538342424136231E-5</v>
      </c>
      <c r="AZ419" s="93"/>
      <c r="BA419" s="93"/>
      <c r="BB419" s="234">
        <f>IFERROR(INDEX('Total Customers'!$E$7:$AA$91,MATCH($C419,'Total Customers'!$C$7:$C$91,0),MATCH($G419,'Total Customers'!$E$5:$AA$5,0)),"NA")</f>
        <v>14853</v>
      </c>
      <c r="BC419" s="411">
        <f t="shared" si="754"/>
        <v>-2.9579853500602592E-3</v>
      </c>
      <c r="BD419" s="92"/>
      <c r="BE419" s="281" t="str">
        <f t="shared" si="748"/>
        <v>CORNING NATURAL GAS CORPORATION</v>
      </c>
      <c r="BF419" s="290">
        <f t="shared" si="749"/>
        <v>4059459</v>
      </c>
      <c r="BG419" s="46" t="str">
        <f t="shared" si="750"/>
        <v>NY</v>
      </c>
      <c r="BH419" s="46"/>
      <c r="BI419" s="46" t="str">
        <f t="shared" si="751"/>
        <v>2014 Y</v>
      </c>
      <c r="BJ419" s="129"/>
      <c r="BK419" s="129"/>
      <c r="BL419" s="129">
        <f>INDEX('Dist. Plant Gas Additions'!$E$7:$AD$91,MATCH($C419,'Dist. Plant Gas Additions'!$C$7:$C$91,0),MATCH(Calculation!$G419,'Dist. Plant Gas Additions'!$E$5:$AD$5,0))</f>
        <v>6646</v>
      </c>
      <c r="BM419" s="129">
        <f>INDEX('Gen. Plant Additions'!$E$7:$AD$91,MATCH($C419,'Gen. Plant Additions'!$C$7:$C$91,0),MATCH(Calculation!$G419,'Gen. Plant Additions'!$E$5:$AD$5,0))</f>
        <v>965</v>
      </c>
      <c r="BN419" s="393">
        <f t="shared" si="760"/>
        <v>0.83977942865895683</v>
      </c>
      <c r="BO419" s="46">
        <f t="shared" si="708"/>
        <v>810.38714865589338</v>
      </c>
      <c r="BP419" s="46">
        <f t="shared" si="709"/>
        <v>-154.61285134410662</v>
      </c>
      <c r="BQ419" s="129">
        <f>INDEX('Dist Plant Depreciation'!$D$7:$AC$94,MATCH($C419,'Dist Plant Depreciation'!$C$7:$C$94,0),MATCH(Calculation!$G419,'Dist Plant Depreciation'!$D$5:$AC$5,0))</f>
        <v>11660</v>
      </c>
      <c r="BR419" s="129">
        <f>INDEX('Gen. Plant Depreciation'!$D$7:$AC$94,MATCH($C419,'Gen. Plant Depreciation'!$C$7:$C$94,0),MATCH(Calculation!$G419,'Gen. Plant Depreciation'!$D$5:$AC$5,0))</f>
        <v>5892</v>
      </c>
      <c r="BS419" s="129"/>
      <c r="BT419" s="129"/>
      <c r="BU419" s="129"/>
      <c r="BV419" s="129"/>
      <c r="BW419" s="129"/>
      <c r="BX419" s="129"/>
      <c r="BY419" s="129">
        <f>INDEX('Gross Dx Plant'!$D$7:$AC$91,MATCH($C419,'Gross Dx Plant'!$C$7:$C$91,0),MATCH(Calculation!$G419,'Gross Dx Plant'!$D$5:$AC$5,0))</f>
        <v>54825</v>
      </c>
      <c r="BZ419" s="129">
        <f>INDEX('Gross Gen Plant'!$D$7:$AC$91,MATCH($C419,'Gross Gen Plant'!$C$7:$C$91,0),MATCH(Calculation!$G419,'Gross Gen Plant'!$D$5:$AC$5,0))</f>
        <v>10460</v>
      </c>
      <c r="CA419" s="129">
        <f t="shared" si="755"/>
        <v>47733</v>
      </c>
      <c r="CB419" s="129"/>
      <c r="CC419" s="133">
        <v>2014</v>
      </c>
      <c r="CD419" s="129"/>
      <c r="CE419" s="129"/>
      <c r="CF419" s="129"/>
      <c r="CG419" s="137"/>
      <c r="CH419" s="129">
        <f t="shared" si="761"/>
        <v>7611</v>
      </c>
      <c r="CI419" s="46">
        <f t="shared" si="770"/>
        <v>7456.3871486558937</v>
      </c>
      <c r="CJ419" s="46">
        <f t="shared" si="762"/>
        <v>10.893679030736488</v>
      </c>
      <c r="CK419" s="443">
        <v>0.81395348837209303</v>
      </c>
      <c r="CL419" s="46">
        <f>+CL403*CK419+CJ404*CK418+CJ405*CK417+CJ406*CK416+CJ407*CK415+CJ408*CK414+CJ409*CK413+CJ410*CK412+CJ411*CK411+CJ412*CK410+CJ413*CK409+CJ414*CK408+CJ415*CK407+CJ416*CK406+CJ417*CK405+CJ418*CK404+CJ419</f>
        <v>133.79373422162161</v>
      </c>
      <c r="CM419" s="134">
        <f t="shared" si="763"/>
        <v>7.1349450299020456E-2</v>
      </c>
      <c r="CN419" s="135">
        <f t="shared" si="764"/>
        <v>1.3486630566366556E-2</v>
      </c>
      <c r="CO419" s="135">
        <f t="shared" si="773"/>
        <v>1.3329757256755281E-2</v>
      </c>
      <c r="CP419" s="134">
        <f>VLOOKUP($H419,RoR!$E:$F,2,FALSE)</f>
        <v>4.1625000000000002E-2</v>
      </c>
      <c r="CQ419" s="135">
        <v>1.841352814597208E-2</v>
      </c>
      <c r="CR419" s="135">
        <f t="shared" si="771"/>
        <v>2.3211471854027922E-2</v>
      </c>
      <c r="CS419" s="135">
        <f t="shared" si="774"/>
        <v>1.7572184351778344E-2</v>
      </c>
      <c r="CT419" s="135">
        <f t="shared" si="775"/>
        <v>3.9072621432650924E-2</v>
      </c>
      <c r="CU419" s="139">
        <f t="shared" si="765"/>
        <v>0.85329623209999994</v>
      </c>
      <c r="CV419" s="335">
        <f t="shared" si="766"/>
        <v>1.2320012320012319</v>
      </c>
      <c r="CW419" s="335">
        <f t="shared" si="767"/>
        <v>0.37439939939939942</v>
      </c>
      <c r="CX419" s="335">
        <f t="shared" si="768"/>
        <v>0.80432100613819935</v>
      </c>
      <c r="CY419" s="335">
        <f t="shared" si="769"/>
        <v>0.37100152660040037</v>
      </c>
      <c r="CZ419" s="336">
        <f>INDEX('State Tax Lookup'!$D$7:$Z$91,MATCH(Calculation!$C419,'State Tax Lookup'!$B$7:$B$91,0),MATCH($H419,'State Tax Lookup'!$D$6:$Z$6,0))</f>
        <v>0.39649667</v>
      </c>
      <c r="DA419" s="303">
        <v>0.37</v>
      </c>
      <c r="DB419" s="57">
        <f t="shared" si="772"/>
        <v>16.95066134406326</v>
      </c>
      <c r="DC419" s="56">
        <f t="shared" si="776"/>
        <v>2.2980639266356014E-2</v>
      </c>
      <c r="DD419" s="303">
        <f>VLOOKUP($H419,RoR!$E:$F,2,FALSE)</f>
        <v>4.1625000000000002E-2</v>
      </c>
      <c r="DE419" s="304">
        <f>HLOOKUP($H419,'GDP-PI'!$D$8:$CQ$11,3,FALSE)</f>
        <v>1.841352814597208E-2</v>
      </c>
      <c r="DF419" s="303">
        <f>VLOOKUP(H419,'HW Dx Data'!$E:$F,2,FALSE)</f>
        <v>684.46914285042885</v>
      </c>
      <c r="DG419" s="89">
        <f ca="1">VLOOKUP(CC419,'ECI - Input Price'!M$13:N$33,2,FALSE)</f>
        <v>129.4</v>
      </c>
      <c r="DH419" s="89"/>
      <c r="DI419" s="89"/>
      <c r="DJ419" s="56">
        <f t="shared" ca="1" si="784"/>
        <v>2.0297340063674733E-2</v>
      </c>
      <c r="DK419" s="53">
        <f>HLOOKUP(H419,'GDP-PI'!$8:$9,2,FALSE)</f>
        <v>103.64700000000001</v>
      </c>
      <c r="DL419" s="355">
        <f t="shared" si="777"/>
        <v>1.8246051898256087E-2</v>
      </c>
      <c r="EC419"/>
    </row>
    <row r="420" spans="1:133" s="126" customFormat="1" ht="21" customHeight="1" x14ac:dyDescent="0.4">
      <c r="A420" s="233" t="s">
        <v>207</v>
      </c>
      <c r="B420" s="127" t="s">
        <v>207</v>
      </c>
      <c r="C420" s="127">
        <v>4059459</v>
      </c>
      <c r="D420" s="127" t="s">
        <v>194</v>
      </c>
      <c r="E420" s="127" t="s">
        <v>15</v>
      </c>
      <c r="F420" s="127"/>
      <c r="G420" s="127" t="s">
        <v>171</v>
      </c>
      <c r="H420" s="128">
        <v>2015</v>
      </c>
      <c r="I420" s="129"/>
      <c r="J420" s="125">
        <f>IFERROR(INDEX('Labor Expenditures'!$E$7:$W$91,MATCH($C420,'Labor Expenditures'!$C$7:$C$91,0),MATCH($G420,'Labor Expenditures'!$E$5:$W$5,0)),"NA")</f>
        <v>2625.6756584550667</v>
      </c>
      <c r="K420" s="125">
        <f t="shared" ca="1" si="778"/>
        <v>19.66798246033758</v>
      </c>
      <c r="L420" s="47"/>
      <c r="M420" s="131">
        <f t="shared" ca="1" si="785"/>
        <v>-5.8788550876514205E-3</v>
      </c>
      <c r="N420" s="131"/>
      <c r="O420" s="131"/>
      <c r="P420" s="59">
        <f t="shared" ca="1" si="787"/>
        <v>-5.10719643822171E-6</v>
      </c>
      <c r="Q420" s="61"/>
      <c r="R420" s="387"/>
      <c r="S420" s="49">
        <f t="shared" ca="1" si="792"/>
        <v>117.86935999617457</v>
      </c>
      <c r="T420" s="61">
        <f ca="1">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</f>
        <v>-1.5525855321135989E-2</v>
      </c>
      <c r="U420" s="61"/>
      <c r="V420" s="125">
        <f>IFERROR(INDEX('Non-Labor Expenditures'!$E$7:$AA$91,MATCH($C420,'Non-Labor Expenditures'!$C$7:$C$91,0),MATCH($G420,'Non-Labor Expenditures'!$E$5:$AA$5,0)),"NA")</f>
        <v>3802.4687620092254</v>
      </c>
      <c r="W420" s="125">
        <f t="shared" si="779"/>
        <v>36.338924894248088</v>
      </c>
      <c r="X420" s="131">
        <f t="shared" si="788"/>
        <v>1.5788804500409721E-2</v>
      </c>
      <c r="Y420" s="131">
        <f t="shared" si="789"/>
        <v>1.3716365670868306E-5</v>
      </c>
      <c r="Z420" s="131"/>
      <c r="AA420" s="131"/>
      <c r="AB420" s="131"/>
      <c r="AC420" s="125">
        <f t="shared" si="759"/>
        <v>2224.9974483126211</v>
      </c>
      <c r="AD420" s="129"/>
      <c r="AE420" s="133">
        <v>146.20589804020997</v>
      </c>
      <c r="AF420" s="134">
        <v>1.8692373768569977E-2</v>
      </c>
      <c r="AG420" s="59">
        <f t="shared" si="780"/>
        <v>1.6238812372374302E-5</v>
      </c>
      <c r="AH420" s="134"/>
      <c r="AI420" s="134"/>
      <c r="AJ420" s="129">
        <f t="shared" si="796"/>
        <v>8653.1418687769128</v>
      </c>
      <c r="AK420" s="134">
        <f t="shared" si="790"/>
        <v>3.2172379545018087E-2</v>
      </c>
      <c r="AL420" s="129"/>
      <c r="AM420" s="129"/>
      <c r="AN420" s="129"/>
      <c r="AO420" s="129"/>
      <c r="AP420" s="133">
        <f t="shared" si="791"/>
        <v>583.84332155569223</v>
      </c>
      <c r="AQ420" s="134">
        <f>+BB420/Outputs!$B$23</f>
        <v>4.0681483609048447E-4</v>
      </c>
      <c r="AR420" s="93">
        <f t="shared" si="781"/>
        <v>0.30343610428129908</v>
      </c>
      <c r="AS420" s="93">
        <f t="shared" si="782"/>
        <v>0.43943215304601141</v>
      </c>
      <c r="AT420" s="93">
        <f t="shared" si="783"/>
        <v>0.25713174267268957</v>
      </c>
      <c r="AU420" s="93">
        <f t="shared" ca="1" si="786"/>
        <v>9.9306095318745687E-3</v>
      </c>
      <c r="AV420" s="132">
        <f t="shared" ca="1" si="794"/>
        <v>190.13079283794616</v>
      </c>
      <c r="AW420" s="134">
        <f t="shared" ca="1" si="795"/>
        <v>9.9306095318746276E-3</v>
      </c>
      <c r="AX420" s="56">
        <f>+AJ420/$AL$20</f>
        <v>8.687399777806081E-4</v>
      </c>
      <c r="AY420" s="135">
        <f t="shared" ca="1" si="793"/>
        <v>8.6271175040686587E-6</v>
      </c>
      <c r="AZ420" s="93"/>
      <c r="BA420" s="93"/>
      <c r="BB420" s="234">
        <f>IFERROR(INDEX('Total Customers'!$E$7:$AA$91,MATCH($C420,'Total Customers'!$C$7:$C$91,0),MATCH($G420,'Total Customers'!$E$5:$AA$5,0)),"NA")</f>
        <v>14821</v>
      </c>
      <c r="BC420" s="411">
        <f t="shared" si="754"/>
        <v>-2.1567710726177517E-3</v>
      </c>
      <c r="BD420" s="92"/>
      <c r="BE420" s="281" t="str">
        <f t="shared" si="748"/>
        <v>CORNING NATURAL GAS CORPORATION</v>
      </c>
      <c r="BF420" s="290">
        <f t="shared" si="749"/>
        <v>4059459</v>
      </c>
      <c r="BG420" s="46" t="str">
        <f t="shared" si="750"/>
        <v>NY</v>
      </c>
      <c r="BH420" s="46"/>
      <c r="BI420" s="46" t="str">
        <f t="shared" si="751"/>
        <v>2015 Y</v>
      </c>
      <c r="BJ420" s="129"/>
      <c r="BK420" s="129"/>
      <c r="BL420" s="129">
        <f>INDEX('Dist. Plant Gas Additions'!$E$7:$AD$91,MATCH($C420,'Dist. Plant Gas Additions'!$C$7:$C$91,0),MATCH(Calculation!$G420,'Dist. Plant Gas Additions'!$E$5:$AD$5,0))</f>
        <v>2247</v>
      </c>
      <c r="BM420" s="129">
        <f>INDEX('Gen. Plant Additions'!$E$7:$AD$91,MATCH($C420,'Gen. Plant Additions'!$C$7:$C$91,0),MATCH(Calculation!$G420,'Gen. Plant Additions'!$E$5:$AD$5,0))</f>
        <v>297</v>
      </c>
      <c r="BN420" s="393">
        <f t="shared" si="760"/>
        <v>0.840889927663792</v>
      </c>
      <c r="BO420" s="46">
        <f t="shared" si="708"/>
        <v>249.74430851614622</v>
      </c>
      <c r="BP420" s="46">
        <f t="shared" si="709"/>
        <v>-47.255691483853781</v>
      </c>
      <c r="BQ420" s="129">
        <f>INDEX('Dist Plant Depreciation'!$D$7:$AC$94,MATCH($C420,'Dist Plant Depreciation'!$C$7:$C$94,0),MATCH(Calculation!$G420,'Dist Plant Depreciation'!$D$5:$AC$5,0))</f>
        <v>12520</v>
      </c>
      <c r="BR420" s="129">
        <f>INDEX('Gen. Plant Depreciation'!$D$7:$AC$94,MATCH($C420,'Gen. Plant Depreciation'!$C$7:$C$94,0),MATCH(Calculation!$G420,'Gen. Plant Depreciation'!$D$5:$AC$5,0))</f>
        <v>6428</v>
      </c>
      <c r="BS420" s="129"/>
      <c r="BT420" s="129"/>
      <c r="BU420" s="129"/>
      <c r="BV420" s="129"/>
      <c r="BW420" s="129"/>
      <c r="BX420" s="129"/>
      <c r="BY420" s="129">
        <f>INDEX('Gross Dx Plant'!$D$7:$AC$91,MATCH($C420,'Gross Dx Plant'!$C$7:$C$91,0),MATCH(Calculation!$G420,'Gross Dx Plant'!$D$5:$AC$5,0))</f>
        <v>56845</v>
      </c>
      <c r="BZ420" s="129">
        <f>INDEX('Gross Gen Plant'!$D$7:$AC$91,MATCH($C420,'Gross Gen Plant'!$C$7:$C$91,0),MATCH(Calculation!$G420,'Gross Gen Plant'!$D$5:$AC$5,0))</f>
        <v>10756</v>
      </c>
      <c r="CA420" s="129">
        <f t="shared" si="755"/>
        <v>48653</v>
      </c>
      <c r="CB420" s="129"/>
      <c r="CC420" s="133">
        <v>2015</v>
      </c>
      <c r="CD420" s="129"/>
      <c r="CE420" s="129"/>
      <c r="CF420" s="129"/>
      <c r="CG420" s="137"/>
      <c r="CH420" s="129">
        <f t="shared" si="761"/>
        <v>2544</v>
      </c>
      <c r="CI420" s="46">
        <f t="shared" si="770"/>
        <v>2496.7443085161462</v>
      </c>
      <c r="CJ420" s="46">
        <f t="shared" si="762"/>
        <v>3.6955154406726725</v>
      </c>
      <c r="CK420" s="443">
        <v>0.8</v>
      </c>
      <c r="CL420" s="46">
        <f>+CL403*CK420+CJ404*CK419+CJ405*CK418+CJ406*CK417+CJ407*CK416+CJ408*CK415+CJ409*CK414+CJ410*CK413+CJ411*CK412+CJ412*CK411+CJ413*CK410+CJ414*CK409+CJ415*CK408+CJ416*CK407+CJ417*CK406+CJ418*CK405+CJ419*CK404+CJ420</f>
        <v>135.66378780363868</v>
      </c>
      <c r="CM420" s="134">
        <f t="shared" si="763"/>
        <v>1.3880359265956294E-2</v>
      </c>
      <c r="CN420" s="135">
        <f t="shared" si="764"/>
        <v>1.3643851629343283E-2</v>
      </c>
      <c r="CO420" s="135">
        <f t="shared" si="773"/>
        <v>1.3487692569022948E-2</v>
      </c>
      <c r="CP420" s="134">
        <f>VLOOKUP($H420,RoR!$E:$F,2,FALSE)</f>
        <v>3.8866666666666674E-2</v>
      </c>
      <c r="CQ420" s="135">
        <v>9.5709475431029478E-3</v>
      </c>
      <c r="CR420" s="135">
        <f t="shared" si="771"/>
        <v>2.9295719123563727E-2</v>
      </c>
      <c r="CS420" s="135">
        <f t="shared" si="774"/>
        <v>1.7414249039510679E-2</v>
      </c>
      <c r="CT420" s="135">
        <f t="shared" si="775"/>
        <v>3.5270373279175926E-3</v>
      </c>
      <c r="CU420" s="139">
        <f t="shared" si="765"/>
        <v>0.85329623209999994</v>
      </c>
      <c r="CV420" s="335">
        <f t="shared" si="766"/>
        <v>1.3194352816994324</v>
      </c>
      <c r="CW420" s="335">
        <f t="shared" si="767"/>
        <v>0.33177530017152673</v>
      </c>
      <c r="CX420" s="335">
        <f t="shared" si="768"/>
        <v>0.78242572977668579</v>
      </c>
      <c r="CY420" s="335">
        <f t="shared" si="769"/>
        <v>0.34251158643433932</v>
      </c>
      <c r="CZ420" s="336">
        <f>INDEX('State Tax Lookup'!$D$7:$Z$91,MATCH(Calculation!$C420,'State Tax Lookup'!$B$7:$B$91,0),MATCH($H420,'State Tax Lookup'!$D$6:$Z$6,0))</f>
        <v>0.39649667</v>
      </c>
      <c r="DA420" s="303">
        <v>0.37</v>
      </c>
      <c r="DB420" s="57">
        <f t="shared" si="772"/>
        <v>16.630057164164661</v>
      </c>
      <c r="DC420" s="56">
        <f t="shared" si="776"/>
        <v>-1.9095119803052275E-2</v>
      </c>
      <c r="DD420" s="303">
        <f>VLOOKUP($H420,RoR!$E:$F,2,FALSE)</f>
        <v>3.8866666666666674E-2</v>
      </c>
      <c r="DE420" s="304">
        <f>HLOOKUP($H420,'GDP-PI'!$D$8:$CQ$11,3,FALSE)</f>
        <v>9.5709475431029478E-3</v>
      </c>
      <c r="DF420" s="303">
        <f>VLOOKUP(H420,'HW Dx Data'!$E:$F,2,FALSE)</f>
        <v>675.61463308665782</v>
      </c>
      <c r="DG420" s="89">
        <f ca="1">VLOOKUP(CC420,'ECI - Input Price'!M$13:N$33,2,FALSE)</f>
        <v>133.5</v>
      </c>
      <c r="DH420" s="89"/>
      <c r="DI420" s="89"/>
      <c r="DJ420" s="56">
        <f t="shared" ca="1" si="784"/>
        <v>3.1193095773504077E-2</v>
      </c>
      <c r="DK420" s="53">
        <f>HLOOKUP(H420,'GDP-PI'!$8:$9,2,FALSE)</f>
        <v>104.639</v>
      </c>
      <c r="DL420" s="355">
        <f t="shared" si="777"/>
        <v>9.5254361854427965E-3</v>
      </c>
      <c r="EC420"/>
    </row>
    <row r="421" spans="1:133" s="126" customFormat="1" ht="21" customHeight="1" x14ac:dyDescent="0.4">
      <c r="A421" s="233" t="s">
        <v>207</v>
      </c>
      <c r="B421" s="127" t="s">
        <v>207</v>
      </c>
      <c r="C421" s="127">
        <v>4059459</v>
      </c>
      <c r="D421" s="127" t="s">
        <v>194</v>
      </c>
      <c r="E421" s="127" t="s">
        <v>15</v>
      </c>
      <c r="F421" s="127"/>
      <c r="G421" s="127" t="s">
        <v>172</v>
      </c>
      <c r="H421" s="128">
        <v>2016</v>
      </c>
      <c r="I421" s="129"/>
      <c r="J421" s="125">
        <f>IFERROR(INDEX('Labor Expenditures'!$E$7:$W$91,MATCH($C421,'Labor Expenditures'!$C$7:$C$91,0),MATCH($G421,'Labor Expenditures'!$E$5:$W$5,0)),"NA")</f>
        <v>2515.3910202612187</v>
      </c>
      <c r="K421" s="125">
        <f t="shared" ca="1" si="778"/>
        <v>18.367221761673743</v>
      </c>
      <c r="L421" s="47"/>
      <c r="M421" s="131">
        <f t="shared" ca="1" si="785"/>
        <v>-6.8424407769815968E-2</v>
      </c>
      <c r="N421" s="131"/>
      <c r="O421" s="131"/>
      <c r="P421" s="59">
        <f t="shared" ca="1" si="787"/>
        <v>-5.570021091437456E-5</v>
      </c>
      <c r="Q421" s="61"/>
      <c r="R421" s="387"/>
      <c r="S421" s="49">
        <f t="shared" ca="1" si="792"/>
        <v>295.5183655284269</v>
      </c>
      <c r="T421" s="61">
        <f ca="1">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</f>
        <v>0.91915409312271068</v>
      </c>
      <c r="U421" s="61"/>
      <c r="V421" s="125">
        <f>IFERROR(INDEX('Non-Labor Expenditures'!$E$7:$AA$91,MATCH($C421,'Non-Labor Expenditures'!$C$7:$C$91,0),MATCH($G421,'Non-Labor Expenditures'!$E$5:$AA$5,0)),"NA")</f>
        <v>3642.7560075754427</v>
      </c>
      <c r="W421" s="125">
        <f t="shared" si="779"/>
        <v>34.4514262651835</v>
      </c>
      <c r="X421" s="131">
        <f t="shared" si="788"/>
        <v>-5.3339080268238012E-2</v>
      </c>
      <c r="Y421" s="131">
        <f t="shared" si="789"/>
        <v>-4.3420149589226064E-5</v>
      </c>
      <c r="Z421" s="131"/>
      <c r="AA421" s="131"/>
      <c r="AB421" s="131"/>
      <c r="AC421" s="125">
        <f t="shared" si="759"/>
        <v>2212.2590030397209</v>
      </c>
      <c r="AD421" s="129"/>
      <c r="AE421" s="133">
        <v>160.66416069339874</v>
      </c>
      <c r="AF421" s="134">
        <v>9.430033914261092E-2</v>
      </c>
      <c r="AG421" s="59">
        <f t="shared" si="780"/>
        <v>7.6764256363173581E-5</v>
      </c>
      <c r="AH421" s="134"/>
      <c r="AI421" s="134"/>
      <c r="AJ421" s="129">
        <f t="shared" si="796"/>
        <v>8370.4060308763819</v>
      </c>
      <c r="AK421" s="134">
        <f t="shared" si="790"/>
        <v>-3.3220083233809719E-2</v>
      </c>
      <c r="AL421" s="129"/>
      <c r="AM421" s="129"/>
      <c r="AN421" s="129"/>
      <c r="AO421" s="129"/>
      <c r="AP421" s="133">
        <f t="shared" si="791"/>
        <v>569.22176340539829</v>
      </c>
      <c r="AQ421" s="134">
        <f>+BB421/Outputs!$B$24</f>
        <v>4.0014287046086824E-4</v>
      </c>
      <c r="AR421" s="93">
        <f t="shared" si="781"/>
        <v>0.30051003630917739</v>
      </c>
      <c r="AS421" s="93">
        <f t="shared" si="782"/>
        <v>0.43519466010826791</v>
      </c>
      <c r="AT421" s="93">
        <f t="shared" si="783"/>
        <v>0.26429530358255482</v>
      </c>
      <c r="AU421" s="93">
        <f t="shared" ca="1" si="786"/>
        <v>-1.9402849743179636E-2</v>
      </c>
      <c r="AV421" s="132">
        <f t="shared" ca="1" si="794"/>
        <v>186.47727260454147</v>
      </c>
      <c r="AW421" s="134">
        <f t="shared" ca="1" si="795"/>
        <v>-1.9402849743179598E-2</v>
      </c>
      <c r="AX421" s="56">
        <f>+AJ421/$AL$21</f>
        <v>8.1404008788433493E-4</v>
      </c>
      <c r="AY421" s="135">
        <f t="shared" ca="1" si="793"/>
        <v>-1.5794697510144466E-5</v>
      </c>
      <c r="AZ421" s="93"/>
      <c r="BA421" s="93"/>
      <c r="BB421" s="234">
        <f>IFERROR(INDEX('Total Customers'!$E$7:$AA$91,MATCH($C421,'Total Customers'!$C$7:$C$91,0),MATCH($G421,'Total Customers'!$E$5:$AA$5,0)),"NA")</f>
        <v>14705</v>
      </c>
      <c r="BC421" s="411">
        <f t="shared" si="754"/>
        <v>-7.8575219688195811E-3</v>
      </c>
      <c r="BD421" s="92"/>
      <c r="BE421" s="281" t="str">
        <f t="shared" si="748"/>
        <v>CORNING NATURAL GAS CORPORATION</v>
      </c>
      <c r="BF421" s="290">
        <f t="shared" si="749"/>
        <v>4059459</v>
      </c>
      <c r="BG421" s="46" t="str">
        <f t="shared" si="750"/>
        <v>NY</v>
      </c>
      <c r="BH421" s="46"/>
      <c r="BI421" s="46" t="str">
        <f t="shared" si="751"/>
        <v>2016 Y</v>
      </c>
      <c r="BJ421" s="129"/>
      <c r="BK421" s="129"/>
      <c r="BL421" s="129">
        <f>INDEX('Dist. Plant Gas Additions'!$E$7:$AD$91,MATCH($C421,'Dist. Plant Gas Additions'!$C$7:$C$91,0),MATCH(Calculation!$G421,'Dist. Plant Gas Additions'!$E$5:$AD$5,0))</f>
        <v>10186</v>
      </c>
      <c r="BM421" s="129">
        <f>INDEX('Gen. Plant Additions'!$E$7:$AD$91,MATCH($C421,'Gen. Plant Additions'!$C$7:$C$91,0),MATCH(Calculation!$G421,'Gen. Plant Additions'!$E$5:$AD$5,0))</f>
        <v>271</v>
      </c>
      <c r="BN421" s="393">
        <f t="shared" si="760"/>
        <v>0.85375366054439217</v>
      </c>
      <c r="BO421" s="46">
        <f t="shared" si="708"/>
        <v>231.36724200753028</v>
      </c>
      <c r="BP421" s="46">
        <f t="shared" si="709"/>
        <v>-39.63275799246972</v>
      </c>
      <c r="BQ421" s="129">
        <f>INDEX('Dist Plant Depreciation'!$D$7:$AC$94,MATCH($C421,'Dist Plant Depreciation'!$C$7:$C$94,0),MATCH(Calculation!$G421,'Dist Plant Depreciation'!$D$5:$AC$5,0))</f>
        <v>9450</v>
      </c>
      <c r="BR421" s="129">
        <f>INDEX('Gen. Plant Depreciation'!$D$7:$AC$94,MATCH($C421,'Gen. Plant Depreciation'!$C$7:$C$94,0),MATCH(Calculation!$G421,'Gen. Plant Depreciation'!$D$5:$AC$5,0))</f>
        <v>10250</v>
      </c>
      <c r="BS421" s="129"/>
      <c r="BT421" s="129"/>
      <c r="BU421" s="129"/>
      <c r="BV421" s="129"/>
      <c r="BW421" s="129"/>
      <c r="BX421" s="129"/>
      <c r="BY421" s="129">
        <f>INDEX('Gross Dx Plant'!$D$7:$AC$91,MATCH($C421,'Gross Dx Plant'!$C$7:$C$91,0),MATCH(Calculation!$G421,'Gross Dx Plant'!$D$5:$AC$5,0))</f>
        <v>63264</v>
      </c>
      <c r="BZ421" s="129">
        <f>INDEX('Gross Gen Plant'!$D$7:$AC$91,MATCH($C421,'Gross Gen Plant'!$C$7:$C$91,0),MATCH(Calculation!$G421,'Gross Gen Plant'!$D$5:$AC$5,0))</f>
        <v>10837</v>
      </c>
      <c r="CA421" s="129">
        <f t="shared" si="755"/>
        <v>54401</v>
      </c>
      <c r="CB421" s="129"/>
      <c r="CC421" s="133">
        <v>2016</v>
      </c>
      <c r="CD421" s="129"/>
      <c r="CE421" s="129"/>
      <c r="CF421" s="129"/>
      <c r="CG421" s="137"/>
      <c r="CH421" s="129">
        <f t="shared" si="761"/>
        <v>10457</v>
      </c>
      <c r="CI421" s="46">
        <f t="shared" si="770"/>
        <v>10417.367242007531</v>
      </c>
      <c r="CJ421" s="46">
        <f t="shared" si="762"/>
        <v>15.514584919097572</v>
      </c>
      <c r="CK421" s="443">
        <v>0.7857142857142857</v>
      </c>
      <c r="CL421" s="46">
        <f>+CL403*CK421+CJ404*CK420+CJ405*CK419+CJ406*CK418+CJ407*CK417+CJ408*CK416+CJ409*CK415+CJ410*CK414+CJ411*CK413+CJ412*CK412+CJ413*CK411+CJ414*CK410+CJ415*CK409+CJ416*CK408+CJ417*CK407+CJ418*CK406+CJ419*CK405+CJ420*CK404+CJ421</f>
        <v>149.27545785263953</v>
      </c>
      <c r="CM421" s="134">
        <f t="shared" si="763"/>
        <v>9.5613633175228724E-2</v>
      </c>
      <c r="CN421" s="135">
        <f t="shared" si="764"/>
        <v>1.4026697182088292E-2</v>
      </c>
      <c r="CO421" s="135">
        <f t="shared" si="773"/>
        <v>1.3719059792599375E-2</v>
      </c>
      <c r="CP421" s="134">
        <f>VLOOKUP($H421,RoR!$E:$F,2,FALSE)</f>
        <v>3.6658333333333334E-2</v>
      </c>
      <c r="CQ421" s="135">
        <v>1.0483662879041455E-2</v>
      </c>
      <c r="CR421" s="135">
        <f t="shared" si="771"/>
        <v>2.6174670454291879E-2</v>
      </c>
      <c r="CS421" s="135">
        <f t="shared" si="774"/>
        <v>1.7182881815934248E-2</v>
      </c>
      <c r="CT421" s="135">
        <f t="shared" si="775"/>
        <v>4.301363574220729E-3</v>
      </c>
      <c r="CU421" s="139">
        <f t="shared" si="765"/>
        <v>0.85329623209999994</v>
      </c>
      <c r="CV421" s="335">
        <f t="shared" si="766"/>
        <v>1.3989193348138562</v>
      </c>
      <c r="CW421" s="335">
        <f t="shared" si="767"/>
        <v>0.29302682427824522</v>
      </c>
      <c r="CX421" s="335">
        <f t="shared" si="768"/>
        <v>0.76309497491941802</v>
      </c>
      <c r="CY421" s="335">
        <f t="shared" si="769"/>
        <v>0.31280857135128509</v>
      </c>
      <c r="CZ421" s="336">
        <f>INDEX('State Tax Lookup'!$D$7:$Z$91,MATCH(Calculation!$C421,'State Tax Lookup'!$B$7:$B$91,0),MATCH($H421,'State Tax Lookup'!$D$6:$Z$6,0))</f>
        <v>0.39649667</v>
      </c>
      <c r="DA421" s="303">
        <v>0.37</v>
      </c>
      <c r="DB421" s="57">
        <f t="shared" si="772"/>
        <v>16.306923452865476</v>
      </c>
      <c r="DC421" s="56">
        <f t="shared" si="776"/>
        <v>-1.9621961270331664E-2</v>
      </c>
      <c r="DD421" s="303">
        <f>VLOOKUP($H421,RoR!$E:$F,2,FALSE)</f>
        <v>3.6658333333333334E-2</v>
      </c>
      <c r="DE421" s="304">
        <f>HLOOKUP($H421,'GDP-PI'!$D$8:$CQ$11,3,FALSE)</f>
        <v>1.0483662879041455E-2</v>
      </c>
      <c r="DF421" s="303">
        <f>VLOOKUP(H421,'HW Dx Data'!$E:$F,2,FALSE)</f>
        <v>671.45639385971219</v>
      </c>
      <c r="DG421" s="89">
        <f ca="1">VLOOKUP(CC421,'ECI - Input Price'!M$13:N$33,2,FALSE)</f>
        <v>136.94999999999999</v>
      </c>
      <c r="DH421" s="89"/>
      <c r="DI421" s="89"/>
      <c r="DJ421" s="56">
        <f t="shared" ca="1" si="784"/>
        <v>2.5514417868782811E-2</v>
      </c>
      <c r="DK421" s="53">
        <f>HLOOKUP(H421,'GDP-PI'!$8:$9,2,FALSE)</f>
        <v>105.736</v>
      </c>
      <c r="DL421" s="355">
        <f t="shared" si="777"/>
        <v>1.0429090367205095E-2</v>
      </c>
      <c r="EC421"/>
    </row>
    <row r="422" spans="1:133" s="126" customFormat="1" ht="21" customHeight="1" x14ac:dyDescent="0.4">
      <c r="A422" s="233" t="s">
        <v>207</v>
      </c>
      <c r="B422" s="127" t="s">
        <v>207</v>
      </c>
      <c r="C422" s="127">
        <v>4059459</v>
      </c>
      <c r="D422" s="127" t="s">
        <v>194</v>
      </c>
      <c r="E422" s="127" t="s">
        <v>15</v>
      </c>
      <c r="F422" s="127"/>
      <c r="G422" s="127" t="s">
        <v>173</v>
      </c>
      <c r="H422" s="128">
        <v>2017</v>
      </c>
      <c r="I422" s="129"/>
      <c r="J422" s="125">
        <f>IFERROR(INDEX('Labor Expenditures'!$E$7:$W$91,MATCH($C422,'Labor Expenditures'!$C$7:$C$91,0),MATCH($G422,'Labor Expenditures'!$E$5:$W$5,0)),"NA")</f>
        <v>2819.7500745346247</v>
      </c>
      <c r="K422" s="125">
        <f t="shared" ca="1" si="778"/>
        <v>20.07654022452563</v>
      </c>
      <c r="L422" s="47"/>
      <c r="M422" s="131">
        <f t="shared" ca="1" si="785"/>
        <v>8.8984330410136772E-2</v>
      </c>
      <c r="N422" s="131"/>
      <c r="O422" s="131"/>
      <c r="P422" s="59">
        <f t="shared" ca="1" si="787"/>
        <v>7.8779596989276264E-5</v>
      </c>
      <c r="Q422" s="61"/>
      <c r="R422" s="387"/>
      <c r="S422" s="49">
        <f t="shared" ca="1" si="792"/>
        <v>164.61247958628664</v>
      </c>
      <c r="T422" s="61">
        <f ca="1">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</f>
        <v>-0.58513688257767604</v>
      </c>
      <c r="U422" s="61"/>
      <c r="V422" s="125">
        <f>IFERROR(INDEX('Non-Labor Expenditures'!$E$7:$AA$91,MATCH($C422,'Non-Labor Expenditures'!$C$7:$C$91,0),MATCH($G422,'Non-Labor Expenditures'!$E$5:$AA$5,0)),"NA")</f>
        <v>4083.5247645933046</v>
      </c>
      <c r="W422" s="125">
        <f t="shared" si="779"/>
        <v>37.897789947130924</v>
      </c>
      <c r="X422" s="131">
        <f t="shared" si="788"/>
        <v>9.5342400023557261E-2</v>
      </c>
      <c r="Y422" s="131">
        <f t="shared" si="789"/>
        <v>8.4408522435659914E-5</v>
      </c>
      <c r="Z422" s="131"/>
      <c r="AA422" s="131"/>
      <c r="AB422" s="131"/>
      <c r="AC422" s="125">
        <f t="shared" si="759"/>
        <v>2197.0408868655336</v>
      </c>
      <c r="AD422" s="129"/>
      <c r="AE422" s="133">
        <v>165.07956125380861</v>
      </c>
      <c r="AF422" s="134">
        <v>2.7111319184783132E-2</v>
      </c>
      <c r="AG422" s="59">
        <f t="shared" si="780"/>
        <v>2.4002189929178184E-5</v>
      </c>
      <c r="AH422" s="134"/>
      <c r="AI422" s="134"/>
      <c r="AJ422" s="129">
        <f t="shared" si="796"/>
        <v>9100.3157259934633</v>
      </c>
      <c r="AK422" s="134">
        <f t="shared" si="790"/>
        <v>8.3606714500236851E-2</v>
      </c>
      <c r="AL422" s="129"/>
      <c r="AM422" s="129"/>
      <c r="AN422" s="129"/>
      <c r="AO422" s="129"/>
      <c r="AP422" s="133">
        <f t="shared" si="791"/>
        <v>610.30888109405566</v>
      </c>
      <c r="AQ422" s="134">
        <f>+BB422/Outputs!$B$25</f>
        <v>4.0269995588152049E-4</v>
      </c>
      <c r="AR422" s="93">
        <f t="shared" si="781"/>
        <v>0.3098518951908999</v>
      </c>
      <c r="AS422" s="93">
        <f t="shared" si="782"/>
        <v>0.44872341658756176</v>
      </c>
      <c r="AT422" s="93">
        <f t="shared" si="783"/>
        <v>0.24142468822153829</v>
      </c>
      <c r="AU422" s="93">
        <f t="shared" ca="1" si="786"/>
        <v>7.6149127377342987E-2</v>
      </c>
      <c r="AV422" s="132">
        <f t="shared" ca="1" si="794"/>
        <v>201.23200503488843</v>
      </c>
      <c r="AW422" s="134">
        <f t="shared" ca="1" si="795"/>
        <v>7.6149127377342904E-2</v>
      </c>
      <c r="AX422" s="56">
        <f>+AJ422/$AL$22</f>
        <v>8.8531988301956109E-4</v>
      </c>
      <c r="AY422" s="135">
        <f t="shared" ca="1" si="793"/>
        <v>6.7416336541750881E-5</v>
      </c>
      <c r="AZ422" s="93"/>
      <c r="BA422" s="93"/>
      <c r="BB422" s="234">
        <f>IFERROR(INDEX('Total Customers'!$E$7:$AA$91,MATCH($C422,'Total Customers'!$C$7:$C$91,0),MATCH($G422,'Total Customers'!$E$5:$AA$5,0)),"NA")</f>
        <v>14911</v>
      </c>
      <c r="BC422" s="411">
        <f t="shared" si="754"/>
        <v>1.3911623602811922E-2</v>
      </c>
      <c r="BD422" s="92"/>
      <c r="BE422" s="281" t="str">
        <f t="shared" si="748"/>
        <v>CORNING NATURAL GAS CORPORATION</v>
      </c>
      <c r="BF422" s="290">
        <f t="shared" si="749"/>
        <v>4059459</v>
      </c>
      <c r="BG422" s="46" t="str">
        <f t="shared" si="750"/>
        <v>NY</v>
      </c>
      <c r="BH422" s="46"/>
      <c r="BI422" s="46" t="str">
        <f t="shared" si="751"/>
        <v>2017 Y</v>
      </c>
      <c r="BJ422" s="129"/>
      <c r="BK422" s="129"/>
      <c r="BL422" s="129">
        <f>INDEX('Dist. Plant Gas Additions'!$E$7:$AD$91,MATCH($C422,'Dist. Plant Gas Additions'!$C$7:$C$91,0),MATCH(Calculation!$G422,'Dist. Plant Gas Additions'!$E$5:$AD$5,0))</f>
        <v>3554</v>
      </c>
      <c r="BM422" s="129">
        <f>INDEX('Gen. Plant Additions'!$E$7:$AD$91,MATCH($C422,'Gen. Plant Additions'!$C$7:$C$91,0),MATCH(Calculation!$G422,'Gen. Plant Additions'!$E$5:$AD$5,0))</f>
        <v>471</v>
      </c>
      <c r="BN422" s="393">
        <f t="shared" si="760"/>
        <v>0.85615976594797427</v>
      </c>
      <c r="BO422" s="46">
        <f t="shared" si="708"/>
        <v>403.2512497614959</v>
      </c>
      <c r="BP422" s="46">
        <f t="shared" si="709"/>
        <v>-67.748750238504101</v>
      </c>
      <c r="BQ422" s="129">
        <f>INDEX('Dist Plant Depreciation'!$D$7:$AC$94,MATCH($C422,'Dist Plant Depreciation'!$C$7:$C$94,0),MATCH(Calculation!$G422,'Dist Plant Depreciation'!$D$5:$AC$5,0))</f>
        <v>6228</v>
      </c>
      <c r="BR422" s="129">
        <f>INDEX('Gen. Plant Depreciation'!$D$7:$AC$94,MATCH($C422,'Gen. Plant Depreciation'!$C$7:$C$94,0),MATCH(Calculation!$G422,'Gen. Plant Depreciation'!$D$5:$AC$5,0))</f>
        <v>8027</v>
      </c>
      <c r="BS422" s="129"/>
      <c r="BT422" s="129"/>
      <c r="BU422" s="129"/>
      <c r="BV422" s="129"/>
      <c r="BW422" s="129"/>
      <c r="BX422" s="129"/>
      <c r="BY422" s="129">
        <f>INDEX('Gross Dx Plant'!$D$7:$AC$91,MATCH($C422,'Gross Dx Plant'!$C$7:$C$91,0),MATCH(Calculation!$G422,'Gross Dx Plant'!$D$5:$AC$5,0))</f>
        <v>67307</v>
      </c>
      <c r="BZ422" s="129">
        <f>INDEX('Gross Gen Plant'!$D$7:$AC$91,MATCH($C422,'Gross Gen Plant'!$C$7:$C$91,0),MATCH(Calculation!$G422,'Gross Gen Plant'!$D$5:$AC$5,0))</f>
        <v>11308</v>
      </c>
      <c r="CA422" s="129">
        <f t="shared" si="755"/>
        <v>64360</v>
      </c>
      <c r="CB422" s="129"/>
      <c r="CC422" s="133">
        <v>2017</v>
      </c>
      <c r="CD422" s="129"/>
      <c r="CE422" s="129"/>
      <c r="CF422" s="129"/>
      <c r="CG422" s="137"/>
      <c r="CH422" s="129">
        <f t="shared" si="761"/>
        <v>4025</v>
      </c>
      <c r="CI422" s="46">
        <f t="shared" si="770"/>
        <v>3957.2512497614957</v>
      </c>
      <c r="CJ422" s="46">
        <f t="shared" si="762"/>
        <v>5.5545935975740042</v>
      </c>
      <c r="CK422" s="443">
        <v>0.77108433734939763</v>
      </c>
      <c r="CL422" s="46">
        <f>+CL403*CK422+CJ404*CK421+CJ405*CK420+CJ406*CK419+CJ407*CK418+CJ408*CK417+CJ409*CK416+CJ410*CK415+CJ411*CK414+CJ412*CK413+CJ413*CK412+CJ414*CK411+CJ415*CK410+CJ416*CK409+CJ417*CK408+CJ418*CK407+CJ419*CK406+CJ420*CK405+CJ421*CK404+CJ422</f>
        <v>152.73053718480702</v>
      </c>
      <c r="CM422" s="134">
        <f t="shared" si="763"/>
        <v>2.2881864190871192E-2</v>
      </c>
      <c r="CN422" s="135">
        <f t="shared" si="764"/>
        <v>1.4064698213681573E-2</v>
      </c>
      <c r="CO422" s="135">
        <f t="shared" si="773"/>
        <v>1.391174900837105E-2</v>
      </c>
      <c r="CP422" s="134">
        <f>VLOOKUP($H422,RoR!$E:$F,2,FALSE)</f>
        <v>3.7433333333333339E-2</v>
      </c>
      <c r="CQ422" s="135">
        <v>1.9056896421275615E-2</v>
      </c>
      <c r="CR422" s="135">
        <f t="shared" si="771"/>
        <v>1.8376436912057724E-2</v>
      </c>
      <c r="CS422" s="135">
        <f t="shared" si="774"/>
        <v>1.6990192600162574E-2</v>
      </c>
      <c r="CT422" s="135">
        <f t="shared" si="775"/>
        <v>1.3976271617800498E-2</v>
      </c>
      <c r="CU422" s="139">
        <f t="shared" si="765"/>
        <v>0.90509623210000001</v>
      </c>
      <c r="CV422" s="335">
        <f t="shared" si="766"/>
        <v>1.3699568463593395</v>
      </c>
      <c r="CW422" s="335">
        <f t="shared" si="767"/>
        <v>0.30714603739982199</v>
      </c>
      <c r="CX422" s="335">
        <f t="shared" si="768"/>
        <v>0.77007188472689425</v>
      </c>
      <c r="CY422" s="335">
        <f t="shared" si="769"/>
        <v>0.32402839633793828</v>
      </c>
      <c r="CZ422" s="336">
        <f>INDEX('State Tax Lookup'!$D$7:$Z$91,MATCH(Calculation!$C422,'State Tax Lookup'!$B$7:$B$91,0),MATCH($H422,'State Tax Lookup'!$D$6:$Z$6,0))</f>
        <v>0.25649666999999998</v>
      </c>
      <c r="DA422" s="303">
        <v>0.37</v>
      </c>
      <c r="DB422" s="57">
        <f t="shared" si="772"/>
        <v>14.718031473294088</v>
      </c>
      <c r="DC422" s="56">
        <f t="shared" si="776"/>
        <v>-0.10251639641672408</v>
      </c>
      <c r="DD422" s="303">
        <f>VLOOKUP($H422,RoR!$E:$F,2,FALSE)</f>
        <v>3.7433333333333339E-2</v>
      </c>
      <c r="DE422" s="304">
        <f>HLOOKUP($H422,'GDP-PI'!$D$8:$CQ$11,3,FALSE)</f>
        <v>1.9056896421275615E-2</v>
      </c>
      <c r="DF422" s="303">
        <f>VLOOKUP(H422,'HW Dx Data'!$E:$F,2,FALSE)</f>
        <v>712.42858370229726</v>
      </c>
      <c r="DG422" s="89">
        <f ca="1">VLOOKUP(CC422,'ECI - Input Price'!M$13:N$33,2,FALSE)</f>
        <v>140.44999999999999</v>
      </c>
      <c r="DH422" s="89"/>
      <c r="DI422" s="89"/>
      <c r="DJ422" s="56">
        <f t="shared" ca="1" si="784"/>
        <v>2.5235657841165486E-2</v>
      </c>
      <c r="DK422" s="53">
        <f>HLOOKUP(H422,'GDP-PI'!$8:$9,2,FALSE)</f>
        <v>107.751</v>
      </c>
      <c r="DL422" s="355">
        <f t="shared" si="777"/>
        <v>1.8877588227745139E-2</v>
      </c>
      <c r="EC422"/>
    </row>
    <row r="423" spans="1:133" s="126" customFormat="1" ht="21" customHeight="1" x14ac:dyDescent="0.4">
      <c r="A423" s="233" t="s">
        <v>207</v>
      </c>
      <c r="B423" s="127" t="s">
        <v>207</v>
      </c>
      <c r="C423" s="127">
        <v>4059459</v>
      </c>
      <c r="D423" s="127" t="s">
        <v>194</v>
      </c>
      <c r="E423" s="127" t="s">
        <v>15</v>
      </c>
      <c r="F423" s="127"/>
      <c r="G423" s="127" t="s">
        <v>174</v>
      </c>
      <c r="H423" s="128">
        <v>2018</v>
      </c>
      <c r="I423" s="129"/>
      <c r="J423" s="125">
        <f>IFERROR(INDEX('Labor Expenditures'!$E$7:$W$91,MATCH($C423,'Labor Expenditures'!$C$7:$C$91,0),MATCH($G423,'Labor Expenditures'!$E$5:$W$5,0)),"NA")</f>
        <v>2843.0428550716942</v>
      </c>
      <c r="K423" s="125">
        <f t="shared" ca="1" si="778"/>
        <v>19.681847387135303</v>
      </c>
      <c r="L423" s="47"/>
      <c r="M423" s="131">
        <f t="shared" ca="1" si="785"/>
        <v>-1.9855221886836166E-2</v>
      </c>
      <c r="N423" s="131"/>
      <c r="O423" s="131"/>
      <c r="P423" s="59">
        <f t="shared" ca="1" si="787"/>
        <v>-1.6597890747570627E-5</v>
      </c>
      <c r="Q423" s="61"/>
      <c r="R423" s="387"/>
      <c r="S423" s="49">
        <f t="shared" ca="1" si="792"/>
        <v>113.64326776860278</v>
      </c>
      <c r="T423" s="61">
        <f ca="1">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</f>
        <v>-0.37052979100953098</v>
      </c>
      <c r="U423" s="61"/>
      <c r="V423" s="125">
        <f>IFERROR(INDEX('Non-Labor Expenditures'!$E$7:$AA$91,MATCH($C423,'Non-Labor Expenditures'!$C$7:$C$91,0),MATCH($G423,'Non-Labor Expenditures'!$E$5:$AA$5,0)),"NA")</f>
        <v>4117.2570613022808</v>
      </c>
      <c r="W423" s="125">
        <f t="shared" si="779"/>
        <v>37.320362768099571</v>
      </c>
      <c r="X423" s="131">
        <f t="shared" si="788"/>
        <v>-1.5353701241353249E-2</v>
      </c>
      <c r="Y423" s="131">
        <f t="shared" si="789"/>
        <v>-1.2834863152235871E-5</v>
      </c>
      <c r="Z423" s="131"/>
      <c r="AA423" s="131"/>
      <c r="AB423" s="131"/>
      <c r="AC423" s="125">
        <f t="shared" si="759"/>
        <v>2342.0617547546294</v>
      </c>
      <c r="AD423" s="129"/>
      <c r="AE423" s="133">
        <v>172.80509775052292</v>
      </c>
      <c r="AF423" s="134">
        <v>4.5736809704252014E-2</v>
      </c>
      <c r="AG423" s="59">
        <f t="shared" si="780"/>
        <v>3.8233497209965825E-5</v>
      </c>
      <c r="AH423" s="134"/>
      <c r="AI423" s="134"/>
      <c r="AJ423" s="129">
        <f t="shared" si="796"/>
        <v>9302.3616711286049</v>
      </c>
      <c r="AK423" s="134">
        <f t="shared" si="790"/>
        <v>2.1959202968160944E-2</v>
      </c>
      <c r="AL423" s="129"/>
      <c r="AM423" s="129"/>
      <c r="AN423" s="129"/>
      <c r="AO423" s="129"/>
      <c r="AP423" s="133">
        <f t="shared" si="791"/>
        <v>622.56469489550295</v>
      </c>
      <c r="AQ423" s="134">
        <f>+BB423/Outputs!$B$26</f>
        <v>4.0000304111534405E-4</v>
      </c>
      <c r="AR423" s="93">
        <f t="shared" si="781"/>
        <v>0.30562592119972509</v>
      </c>
      <c r="AS423" s="93">
        <f t="shared" si="782"/>
        <v>0.44260341694527516</v>
      </c>
      <c r="AT423" s="93">
        <f t="shared" si="783"/>
        <v>0.25177066185499963</v>
      </c>
      <c r="AU423" s="93">
        <f t="shared" ca="1" si="786"/>
        <v>-1.6742163239266399E-3</v>
      </c>
      <c r="AV423" s="132">
        <f t="shared" ca="1" si="794"/>
        <v>200.89538099652233</v>
      </c>
      <c r="AW423" s="134">
        <f t="shared" ca="1" si="795"/>
        <v>-1.6742163239266176E-3</v>
      </c>
      <c r="AX423" s="56">
        <f>+AJ423/$AL$23</f>
        <v>8.3594587067167847E-4</v>
      </c>
      <c r="AY423" s="135">
        <f t="shared" ca="1" si="793"/>
        <v>-1.3995542225975731E-6</v>
      </c>
      <c r="AZ423" s="93"/>
      <c r="BA423" s="93"/>
      <c r="BB423" s="234">
        <f>IFERROR(INDEX('Total Customers'!$E$7:$AA$91,MATCH($C423,'Total Customers'!$C$7:$C$91,0),MATCH($G423,'Total Customers'!$E$5:$AA$5,0)),"NA")</f>
        <v>14942</v>
      </c>
      <c r="BC423" s="411">
        <f t="shared" si="754"/>
        <v>2.0768439448390691E-3</v>
      </c>
      <c r="BD423" s="92"/>
      <c r="BE423" s="281" t="str">
        <f t="shared" si="748"/>
        <v>CORNING NATURAL GAS CORPORATION</v>
      </c>
      <c r="BF423" s="290">
        <f t="shared" si="749"/>
        <v>4059459</v>
      </c>
      <c r="BG423" s="46" t="str">
        <f t="shared" si="750"/>
        <v>NY</v>
      </c>
      <c r="BH423" s="46"/>
      <c r="BI423" s="46" t="str">
        <f t="shared" si="751"/>
        <v>2018 Y</v>
      </c>
      <c r="BJ423" s="129"/>
      <c r="BK423" s="129"/>
      <c r="BL423" s="129">
        <f>INDEX('Dist. Plant Gas Additions'!$E$7:$AD$91,MATCH($C423,'Dist. Plant Gas Additions'!$C$7:$C$91,0),MATCH(Calculation!$G423,'Dist. Plant Gas Additions'!$E$5:$AD$5,0))</f>
        <v>6215</v>
      </c>
      <c r="BM423" s="129">
        <f>INDEX('Gen. Plant Additions'!$E$7:$AD$91,MATCH($C423,'Gen. Plant Additions'!$C$7:$C$91,0),MATCH(Calculation!$G423,'Gen. Plant Additions'!$E$5:$AD$5,0))</f>
        <v>607</v>
      </c>
      <c r="BN423" s="393">
        <f t="shared" si="760"/>
        <v>0.86027716342760341</v>
      </c>
      <c r="BO423" s="46">
        <f t="shared" si="708"/>
        <v>522.18823820055525</v>
      </c>
      <c r="BP423" s="46">
        <f t="shared" si="709"/>
        <v>-84.811761799444753</v>
      </c>
      <c r="BQ423" s="129">
        <f>INDEX('Dist Plant Depreciation'!$D$7:$AC$94,MATCH($C423,'Dist Plant Depreciation'!$C$7:$C$94,0),MATCH(Calculation!$G423,'Dist Plant Depreciation'!$D$5:$AC$5,0))</f>
        <v>6688</v>
      </c>
      <c r="BR423" s="129">
        <f>INDEX('Gen. Plant Depreciation'!$D$7:$AC$94,MATCH($C423,'Gen. Plant Depreciation'!$C$7:$C$94,0),MATCH(Calculation!$G423,'Gen. Plant Depreciation'!$D$5:$AC$5,0))</f>
        <v>8501</v>
      </c>
      <c r="BS423" s="129"/>
      <c r="BT423" s="129"/>
      <c r="BU423" s="129"/>
      <c r="BV423" s="129"/>
      <c r="BW423" s="129"/>
      <c r="BX423" s="129"/>
      <c r="BY423" s="129">
        <f>INDEX('Gross Dx Plant'!$D$7:$AC$91,MATCH($C423,'Gross Dx Plant'!$C$7:$C$91,0),MATCH(Calculation!$G423,'Gross Dx Plant'!$D$5:$AC$5,0))</f>
        <v>73127</v>
      </c>
      <c r="BZ423" s="129">
        <f>INDEX('Gross Gen Plant'!$D$7:$AC$91,MATCH($C423,'Gross Gen Plant'!$C$7:$C$91,0),MATCH(Calculation!$G423,'Gross Gen Plant'!$D$5:$AC$5,0))</f>
        <v>11877</v>
      </c>
      <c r="CA423" s="129">
        <f t="shared" si="755"/>
        <v>69815</v>
      </c>
      <c r="CB423" s="129"/>
      <c r="CC423" s="133">
        <v>2018</v>
      </c>
      <c r="CD423" s="129"/>
      <c r="CE423" s="129"/>
      <c r="CF423" s="129"/>
      <c r="CG423" s="137"/>
      <c r="CH423" s="129">
        <f t="shared" si="761"/>
        <v>6822</v>
      </c>
      <c r="CI423" s="46">
        <f t="shared" si="770"/>
        <v>6737.1882382005551</v>
      </c>
      <c r="CJ423" s="46">
        <f t="shared" si="762"/>
        <v>8.9218125807501654</v>
      </c>
      <c r="CK423" s="443">
        <v>0.75609756097560976</v>
      </c>
      <c r="CL423" s="46">
        <f>+CL403*CK423++CJ404*CK422+CJ405*CK421+CJ406*CK420+CJ407*CK419+CJ408*CK418+CJ409*CK417+CJ410*CK416+CJ411*CK415+CJ412*CK414+CJ413*CK413+CJ414*CK412+CJ415*CK411+CJ416*CK410+CJ417*CK409+CJ418*CK408+CJ419*CK407+CJ420*CK406+CJ421*CK405+CJ422*CK404+CJ423</f>
        <v>159.45029696243401</v>
      </c>
      <c r="CM423" s="134">
        <f t="shared" si="763"/>
        <v>4.3057082076768172E-2</v>
      </c>
      <c r="CN423" s="135">
        <f t="shared" si="764"/>
        <v>1.4417894703392858E-2</v>
      </c>
      <c r="CO423" s="135">
        <f t="shared" si="773"/>
        <v>1.4169763366387575E-2</v>
      </c>
      <c r="CP423" s="134">
        <f>VLOOKUP($H423,RoR!$E:$F,2,FALSE)</f>
        <v>3.9299999999999995E-2</v>
      </c>
      <c r="CQ423" s="135">
        <v>2.386056741932796E-2</v>
      </c>
      <c r="CR423" s="135">
        <f t="shared" si="771"/>
        <v>1.5439432580672034E-2</v>
      </c>
      <c r="CS423" s="135">
        <f t="shared" si="774"/>
        <v>1.673217824214605E-2</v>
      </c>
      <c r="CT423" s="135">
        <f t="shared" si="775"/>
        <v>3.8270792163076606E-2</v>
      </c>
      <c r="CU423" s="139">
        <f t="shared" si="765"/>
        <v>0.90509623210000001</v>
      </c>
      <c r="CV423" s="335">
        <f t="shared" si="766"/>
        <v>1.3048868010700074</v>
      </c>
      <c r="CW423" s="335">
        <f t="shared" si="767"/>
        <v>0.33886768447837151</v>
      </c>
      <c r="CX423" s="335">
        <f t="shared" si="768"/>
        <v>0.78602506232557801</v>
      </c>
      <c r="CY423" s="335">
        <f t="shared" si="769"/>
        <v>0.34756768162358759</v>
      </c>
      <c r="CZ423" s="336">
        <f>INDEX('State Tax Lookup'!$D$7:$Z$91,MATCH(Calculation!$C423,'State Tax Lookup'!$B$7:$B$91,0),MATCH($H423,'State Tax Lookup'!$D$6:$Z$6,0))</f>
        <v>0.25649666999999998</v>
      </c>
      <c r="DA423" s="303">
        <v>0.37</v>
      </c>
      <c r="DB423" s="57">
        <f t="shared" si="772"/>
        <v>15.334600387875854</v>
      </c>
      <c r="DC423" s="56">
        <f t="shared" si="776"/>
        <v>4.1038365474829433E-2</v>
      </c>
      <c r="DD423" s="303">
        <f>VLOOKUP($H423,RoR!$E:$F,2,FALSE)</f>
        <v>3.9299999999999995E-2</v>
      </c>
      <c r="DE423" s="304">
        <f>HLOOKUP($H423,'GDP-PI'!$D$8:$CQ$11,3,FALSE)</f>
        <v>2.386056741932796E-2</v>
      </c>
      <c r="DF423" s="303">
        <f>VLOOKUP(H423,'HW Dx Data'!$E:$F,2,FALSE)</f>
        <v>755.13671434174842</v>
      </c>
      <c r="DG423" s="89">
        <f ca="1">VLOOKUP(CC423,'ECI - Input Price'!M$13:N$33,2,FALSE)</f>
        <v>144.44999999999999</v>
      </c>
      <c r="DH423" s="89"/>
      <c r="DI423" s="89"/>
      <c r="DJ423" s="56">
        <f t="shared" ca="1" si="784"/>
        <v>2.80818733619915E-2</v>
      </c>
      <c r="DK423" s="53">
        <f>HLOOKUP(H423,'GDP-PI'!$8:$9,2,FALSE)</f>
        <v>110.322</v>
      </c>
      <c r="DL423" s="355">
        <f t="shared" si="777"/>
        <v>2.3580352716508712E-2</v>
      </c>
      <c r="EC423"/>
    </row>
    <row r="424" spans="1:133" s="126" customFormat="1" ht="21" customHeight="1" x14ac:dyDescent="0.4">
      <c r="A424" s="233" t="s">
        <v>207</v>
      </c>
      <c r="B424" s="127" t="s">
        <v>207</v>
      </c>
      <c r="C424" s="127">
        <v>4059459</v>
      </c>
      <c r="D424" s="127" t="s">
        <v>194</v>
      </c>
      <c r="E424" s="127" t="s">
        <v>15</v>
      </c>
      <c r="F424" s="127"/>
      <c r="G424" s="127" t="s">
        <v>175</v>
      </c>
      <c r="H424" s="128">
        <v>2019</v>
      </c>
      <c r="I424" s="129"/>
      <c r="J424" s="125">
        <f>IFERROR(INDEX('Labor Expenditures'!$E$7:$W$91,MATCH($C424,'Labor Expenditures'!$C$7:$C$91,0),MATCH($G424,'Labor Expenditures'!$E$5:$W$5,0)),"NA")</f>
        <v>2862.2052792562249</v>
      </c>
      <c r="K424" s="125">
        <f t="shared" ca="1" si="778"/>
        <v>19.122801264447801</v>
      </c>
      <c r="L424" s="47"/>
      <c r="M424" s="131">
        <f t="shared" ca="1" si="785"/>
        <v>-2.8815351977381738E-2</v>
      </c>
      <c r="N424" s="131"/>
      <c r="O424" s="131"/>
      <c r="P424" s="59">
        <f t="shared" ca="1" si="787"/>
        <v>-2.3970233735384803E-5</v>
      </c>
      <c r="Q424" s="61"/>
      <c r="R424" s="387"/>
      <c r="S424" s="49">
        <f t="shared" ca="1" si="792"/>
        <v>115.18029827209155</v>
      </c>
      <c r="T424" s="61">
        <f ca="1">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</f>
        <v>1.3434399676133297E-2</v>
      </c>
      <c r="U424" s="61"/>
      <c r="V424" s="125">
        <f>IFERROR(INDEX('Non-Labor Expenditures'!$E$7:$AA$91,MATCH($C424,'Non-Labor Expenditures'!$C$7:$C$91,0),MATCH($G424,'Non-Labor Expenditures'!$E$5:$AA$5,0)),"NA")</f>
        <v>4145.0078305686275</v>
      </c>
      <c r="W424" s="125">
        <f t="shared" si="779"/>
        <v>36.904216871459852</v>
      </c>
      <c r="X424" s="131">
        <f t="shared" si="788"/>
        <v>-1.1213273529611791E-2</v>
      </c>
      <c r="Y424" s="131">
        <f t="shared" si="789"/>
        <v>-9.3278328737603959E-6</v>
      </c>
      <c r="Z424" s="131"/>
      <c r="AA424" s="131"/>
      <c r="AB424" s="131"/>
      <c r="AC424" s="125">
        <f t="shared" si="759"/>
        <v>2470.2201834141997</v>
      </c>
      <c r="AD424" s="129"/>
      <c r="AE424" s="133">
        <v>176.48367307227977</v>
      </c>
      <c r="AF424" s="134">
        <v>2.1064011448938019E-2</v>
      </c>
      <c r="AG424" s="59">
        <f t="shared" si="780"/>
        <v>1.7522231837812991E-5</v>
      </c>
      <c r="AH424" s="134"/>
      <c r="AI424" s="134"/>
      <c r="AJ424" s="129">
        <f t="shared" si="796"/>
        <v>9477.4332932390516</v>
      </c>
      <c r="AK424" s="134">
        <f t="shared" si="790"/>
        <v>1.8645218896077859E-2</v>
      </c>
      <c r="AL424" s="129"/>
      <c r="AM424" s="129"/>
      <c r="AN424" s="129"/>
      <c r="AO424" s="129"/>
      <c r="AP424" s="133">
        <f t="shared" si="791"/>
        <v>635.3018697706832</v>
      </c>
      <c r="AQ424" s="134">
        <f>+BB424/Outputs!$B$27</f>
        <v>3.9606695267844192E-4</v>
      </c>
      <c r="AR424" s="93">
        <f t="shared" si="781"/>
        <v>0.30200215508750095</v>
      </c>
      <c r="AS424" s="93">
        <f t="shared" si="782"/>
        <v>0.43735552678862594</v>
      </c>
      <c r="AT424" s="93">
        <f t="shared" si="783"/>
        <v>0.26064231812387317</v>
      </c>
      <c r="AU424" s="93">
        <f t="shared" ca="1" si="786"/>
        <v>-8.2913821718064301E-3</v>
      </c>
      <c r="AV424" s="132">
        <f t="shared" ca="1" si="794"/>
        <v>199.23656704952126</v>
      </c>
      <c r="AW424" s="134">
        <f t="shared" ca="1" si="795"/>
        <v>-8.291382171806477E-3</v>
      </c>
      <c r="AX424" s="56">
        <f>+AJ424/$AL$24</f>
        <v>8.3185635747916418E-4</v>
      </c>
      <c r="AY424" s="135">
        <f t="shared" ca="1" si="793"/>
        <v>-6.8972389719066173E-6</v>
      </c>
      <c r="AZ424" s="93"/>
      <c r="BA424" s="93"/>
      <c r="BB424" s="234">
        <f>IFERROR(INDEX('Total Customers'!$E$7:$AA$91,MATCH($C424,'Total Customers'!$C$7:$C$91,0),MATCH($G424,'Total Customers'!$E$5:$AA$5,0)),"NA")</f>
        <v>14918</v>
      </c>
      <c r="BC424" s="411">
        <f t="shared" si="754"/>
        <v>-1.6075020206380328E-3</v>
      </c>
      <c r="BD424" s="92"/>
      <c r="BE424" s="281" t="str">
        <f t="shared" si="748"/>
        <v>CORNING NATURAL GAS CORPORATION</v>
      </c>
      <c r="BF424" s="290">
        <f t="shared" si="749"/>
        <v>4059459</v>
      </c>
      <c r="BG424" s="46" t="str">
        <f t="shared" si="750"/>
        <v>NY</v>
      </c>
      <c r="BH424" s="46"/>
      <c r="BI424" s="46" t="str">
        <f t="shared" si="751"/>
        <v>2019 Y</v>
      </c>
      <c r="BJ424" s="129"/>
      <c r="BK424" s="129"/>
      <c r="BL424" s="129">
        <f>INDEX('Dist. Plant Gas Additions'!$E$7:$AD$91,MATCH($C424,'Dist. Plant Gas Additions'!$C$7:$C$91,0),MATCH(Calculation!$G424,'Dist. Plant Gas Additions'!$E$5:$AD$5,0))</f>
        <v>3761</v>
      </c>
      <c r="BM424" s="129">
        <f>INDEX('Gen. Plant Additions'!$E$7:$AD$91,MATCH($C424,'Gen. Plant Additions'!$C$7:$C$91,0),MATCH(Calculation!$G424,'Gen. Plant Additions'!$E$5:$AD$5,0))</f>
        <v>170</v>
      </c>
      <c r="BN424" s="393">
        <f t="shared" si="760"/>
        <v>0.86623850928867829</v>
      </c>
      <c r="BO424" s="46">
        <f t="shared" si="708"/>
        <v>147.26054657907531</v>
      </c>
      <c r="BP424" s="46">
        <f t="shared" si="709"/>
        <v>-22.73945342092469</v>
      </c>
      <c r="BQ424" s="129">
        <f>INDEX('Dist Plant Depreciation'!$D$7:$AC$94,MATCH($C424,'Dist Plant Depreciation'!$C$7:$C$94,0),MATCH(Calculation!$G424,'Dist Plant Depreciation'!$D$5:$AC$5,0))</f>
        <v>7145</v>
      </c>
      <c r="BR424" s="129">
        <f>INDEX('Gen. Plant Depreciation'!$D$7:$AC$94,MATCH($C424,'Gen. Plant Depreciation'!$C$7:$C$94,0),MATCH(Calculation!$G424,'Gen. Plant Depreciation'!$D$5:$AC$5,0))</f>
        <v>8862</v>
      </c>
      <c r="BS424" s="129"/>
      <c r="BT424" s="129"/>
      <c r="BU424" s="129"/>
      <c r="BV424" s="129"/>
      <c r="BW424" s="129"/>
      <c r="BX424" s="129"/>
      <c r="BY424" s="129">
        <f>INDEX('Gross Dx Plant'!$D$7:$AC$91,MATCH($C424,'Gross Dx Plant'!$C$7:$C$91,0),MATCH(Calculation!$G424,'Gross Dx Plant'!$D$5:$AC$5,0))</f>
        <v>76611</v>
      </c>
      <c r="BZ424" s="129">
        <f>INDEX('Gross Gen Plant'!$D$7:$AC$91,MATCH($C424,'Gross Gen Plant'!$C$7:$C$91,0),MATCH(Calculation!$G424,'Gross Gen Plant'!$D$5:$AC$5,0))</f>
        <v>11830</v>
      </c>
      <c r="CA424" s="129">
        <f t="shared" si="755"/>
        <v>72434</v>
      </c>
      <c r="CB424" s="129"/>
      <c r="CC424" s="133">
        <v>2019</v>
      </c>
      <c r="CD424" s="129"/>
      <c r="CE424" s="129"/>
      <c r="CF424" s="129"/>
      <c r="CG424" s="137"/>
      <c r="CH424" s="129">
        <f t="shared" si="761"/>
        <v>3931</v>
      </c>
      <c r="CI424" s="46">
        <f t="shared" si="770"/>
        <v>3908.2605465790753</v>
      </c>
      <c r="CJ424" s="46">
        <f t="shared" si="762"/>
        <v>5.0524395554178012</v>
      </c>
      <c r="CK424" s="443">
        <v>0.7407407407407407</v>
      </c>
      <c r="CL424" s="46">
        <f>CL403*CK424+CJ404*CK423+CJ405*CK422+CJ406*CK421+CJ407*CK420+CJ408*CK419+CJ409*CK418+CJ410*CK417+CJ411*CK416+CJ412*CK415+CJ413*CK414+CJ414*CK413+CJ415*CK412+CJ416*CK411+CJ417*CK410+CJ418*CK409+CJ419*CK408+CJ420*CK407+CJ421*CK406+CJ422*CK405+CJ423*CK404+CJ424</f>
        <v>162.16206350857607</v>
      </c>
      <c r="CM424" s="134">
        <f t="shared" si="763"/>
        <v>1.6863971330397434E-2</v>
      </c>
      <c r="CN424" s="135">
        <f t="shared" si="764"/>
        <v>1.4679640325958112E-2</v>
      </c>
      <c r="CO424" s="135">
        <f t="shared" si="773"/>
        <v>1.4387411081010848E-2</v>
      </c>
      <c r="CP424" s="134">
        <f>VLOOKUP($H424,RoR!$E:$F,2,FALSE)</f>
        <v>3.3875000000000009E-2</v>
      </c>
      <c r="CQ424" s="135">
        <v>1.8092492884465461E-2</v>
      </c>
      <c r="CR424" s="135">
        <f t="shared" si="771"/>
        <v>1.5782507115534548E-2</v>
      </c>
      <c r="CS424" s="135">
        <f t="shared" si="774"/>
        <v>1.6514530527522775E-2</v>
      </c>
      <c r="CT424" s="135">
        <f t="shared" si="775"/>
        <v>4.8445665544254078E-2</v>
      </c>
      <c r="CU424" s="139">
        <f t="shared" si="765"/>
        <v>0.90509623210000001</v>
      </c>
      <c r="CV424" s="335">
        <f t="shared" si="766"/>
        <v>1.513861292459078</v>
      </c>
      <c r="CW424" s="335">
        <f t="shared" si="767"/>
        <v>0.23699261992619944</v>
      </c>
      <c r="CX424" s="335">
        <f t="shared" si="768"/>
        <v>0.73619765810468829</v>
      </c>
      <c r="CY424" s="335">
        <f t="shared" si="769"/>
        <v>0.26412854465362851</v>
      </c>
      <c r="CZ424" s="336">
        <f>INDEX('State Tax Lookup'!$D$7:$Z$91,MATCH(Calculation!$C424,'State Tax Lookup'!$B$7:$B$91,0),MATCH($H424,'State Tax Lookup'!$D$6:$Z$6,0))</f>
        <v>0.25649666999999998</v>
      </c>
      <c r="DA424" s="303">
        <v>0.37</v>
      </c>
      <c r="DB424" s="57">
        <f t="shared" si="772"/>
        <v>15.492101491640218</v>
      </c>
      <c r="DC424" s="56">
        <f t="shared" si="776"/>
        <v>1.021857446119356E-2</v>
      </c>
      <c r="DD424" s="303">
        <f>VLOOKUP($H424,RoR!$E:$F,2,FALSE)</f>
        <v>3.3875000000000009E-2</v>
      </c>
      <c r="DE424" s="304">
        <f>HLOOKUP($H424,'GDP-PI'!$D$8:$CQ$11,3,FALSE)</f>
        <v>1.8092492884465461E-2</v>
      </c>
      <c r="DF424" s="303">
        <f>VLOOKUP(H424,'HW Dx Data'!$E:$F,2,FALSE)</f>
        <v>773.53929793938721</v>
      </c>
      <c r="DG424" s="89">
        <f ca="1">VLOOKUP(CC424,'ECI - Input Price'!M$13:N$33,2,FALSE)</f>
        <v>149.67500000000001</v>
      </c>
      <c r="DH424" s="89"/>
      <c r="DI424" s="89"/>
      <c r="DJ424" s="56">
        <f t="shared" ca="1" si="784"/>
        <v>3.5532849899171604E-2</v>
      </c>
      <c r="DK424" s="53">
        <f>HLOOKUP(H424,'GDP-PI'!$8:$9,2,FALSE)</f>
        <v>112.318</v>
      </c>
      <c r="DL424" s="355">
        <f t="shared" si="777"/>
        <v>1.7930771451401852E-2</v>
      </c>
      <c r="EC424"/>
    </row>
    <row r="425" spans="1:133" s="126" customFormat="1" ht="21" customHeight="1" x14ac:dyDescent="0.4">
      <c r="A425" s="233" t="s">
        <v>207</v>
      </c>
      <c r="B425" s="126" t="s">
        <v>207</v>
      </c>
      <c r="C425" s="126">
        <v>4059459</v>
      </c>
      <c r="D425" s="126" t="s">
        <v>194</v>
      </c>
      <c r="E425" s="126" t="s">
        <v>15</v>
      </c>
      <c r="G425" s="127" t="s">
        <v>176</v>
      </c>
      <c r="H425" s="128">
        <v>2020</v>
      </c>
      <c r="I425" s="129"/>
      <c r="J425" s="125">
        <f>IFERROR(INDEX('Labor Expenditures'!$E$7:$W$91,MATCH($C425,'Labor Expenditures'!$C$7:$C$91,0),MATCH($G425,'Labor Expenditures'!$E$5:$W$5,0)),"NA")</f>
        <v>2816.0264601751242</v>
      </c>
      <c r="K425" s="125">
        <f t="shared" ca="1" si="778"/>
        <v>18.387374862390622</v>
      </c>
      <c r="L425" s="47"/>
      <c r="M425" s="131">
        <f t="shared" ca="1" si="785"/>
        <v>-3.9217126214606393E-2</v>
      </c>
      <c r="N425" s="131"/>
      <c r="O425" s="131"/>
      <c r="P425" s="59">
        <f t="shared" ca="1" si="787"/>
        <v>-3.2050572403456414E-5</v>
      </c>
      <c r="Q425" s="61"/>
      <c r="R425" s="387"/>
      <c r="S425" s="49">
        <f t="shared" ca="1" si="792"/>
        <v>115.06156389936037</v>
      </c>
      <c r="T425" s="61">
        <f ca="1">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</f>
        <v>-1.0313883160673496E-3</v>
      </c>
      <c r="U425" s="61"/>
      <c r="V425" s="125">
        <f>IFERROR(INDEX('Non-Labor Expenditures'!$E$7:$AA$91,MATCH($C425,'Non-Labor Expenditures'!$C$7:$C$91,0),MATCH($G425,'Non-Labor Expenditures'!$E$5:$AA$5,0)),"NA")</f>
        <v>4078.1322755255187</v>
      </c>
      <c r="W425" s="125">
        <f t="shared" si="779"/>
        <v>35.891784898528627</v>
      </c>
      <c r="X425" s="131">
        <f t="shared" si="788"/>
        <v>-2.781738647863103E-2</v>
      </c>
      <c r="Y425" s="131">
        <f t="shared" si="789"/>
        <v>-2.2734025806210941E-5</v>
      </c>
      <c r="Z425" s="131"/>
      <c r="AA425" s="131"/>
      <c r="AB425" s="131"/>
      <c r="AC425" s="125">
        <f t="shared" si="759"/>
        <v>2587.7651956725203</v>
      </c>
      <c r="AD425" s="129"/>
      <c r="AE425" s="133">
        <v>182.43456794715516</v>
      </c>
      <c r="AF425" s="134">
        <v>3.3163208683412132E-2</v>
      </c>
      <c r="AG425" s="59">
        <f t="shared" si="780"/>
        <v>2.7102950257552495E-5</v>
      </c>
      <c r="AH425" s="134"/>
      <c r="AI425" s="134"/>
      <c r="AJ425" s="129">
        <f t="shared" si="796"/>
        <v>9481.9239313731632</v>
      </c>
      <c r="AK425" s="134">
        <f t="shared" si="790"/>
        <v>4.7371207418985217E-4</v>
      </c>
      <c r="AL425" s="129"/>
      <c r="AM425" s="129"/>
      <c r="AN425" s="129"/>
      <c r="AO425" s="129"/>
      <c r="AP425" s="133">
        <f t="shared" si="791"/>
        <v>632.29687459143531</v>
      </c>
      <c r="AQ425" s="134">
        <f>+BB425/Outputs!$B$28</f>
        <v>3.9532634419063377E-4</v>
      </c>
      <c r="AR425" s="93">
        <f t="shared" si="781"/>
        <v>0.29698893184089381</v>
      </c>
      <c r="AS425" s="93">
        <f t="shared" si="782"/>
        <v>0.43009544318659465</v>
      </c>
      <c r="AT425" s="93">
        <f t="shared" si="783"/>
        <v>0.27291562497251154</v>
      </c>
      <c r="AU425" s="93">
        <f t="shared" ca="1" si="786"/>
        <v>-1.4963217264480829E-2</v>
      </c>
      <c r="AV425" s="132">
        <f t="shared" ca="1" si="794"/>
        <v>196.27754049809286</v>
      </c>
      <c r="AW425" s="134">
        <f t="shared" ca="1" si="795"/>
        <v>-1.4963217264480938E-2</v>
      </c>
      <c r="AX425" s="56">
        <f>+AJ425/$AL$25</f>
        <v>8.172595877644701E-4</v>
      </c>
      <c r="AY425" s="135">
        <f t="shared" ca="1" si="793"/>
        <v>-1.2228832773199894E-5</v>
      </c>
      <c r="AZ425" s="93"/>
      <c r="BA425" s="93"/>
      <c r="BB425" s="234">
        <f>IFERROR(INDEX('Total Customers'!$E$7:$AA$91,MATCH($C425,'Total Customers'!$C$7:$C$91,0),MATCH($G425,'Total Customers'!$E$5:$AA$5,0)),"NA")</f>
        <v>14996</v>
      </c>
      <c r="BC425" s="411">
        <f t="shared" si="754"/>
        <v>5.2149613406941584E-3</v>
      </c>
      <c r="BD425" s="92"/>
      <c r="BE425" s="281" t="str">
        <f t="shared" si="748"/>
        <v>CORNING NATURAL GAS CORPORATION</v>
      </c>
      <c r="BF425" s="290">
        <f t="shared" si="749"/>
        <v>4059459</v>
      </c>
      <c r="BG425" s="46" t="str">
        <f t="shared" si="750"/>
        <v>NY</v>
      </c>
      <c r="BH425" s="46"/>
      <c r="BI425" s="46" t="str">
        <f t="shared" si="751"/>
        <v>2020 Y</v>
      </c>
      <c r="BJ425" s="129"/>
      <c r="BK425" s="129"/>
      <c r="BL425" s="129">
        <f>INDEX('Dist. Plant Gas Additions'!$E$7:$AD$91,MATCH($C425,'Dist. Plant Gas Additions'!$C$7:$C$91,0),MATCH(Calculation!$G425,'Dist. Plant Gas Additions'!$E$5:$AD$5,0))</f>
        <v>4861</v>
      </c>
      <c r="BM425" s="129">
        <f>INDEX('Gen. Plant Additions'!$E$7:$AD$91,MATCH($C425,'Gen. Plant Additions'!$C$7:$C$91,0),MATCH(Calculation!$G425,'Gen. Plant Additions'!$E$5:$AD$5,0))</f>
        <v>1183</v>
      </c>
      <c r="BN425" s="393">
        <f t="shared" si="760"/>
        <v>0.86978565495517846</v>
      </c>
      <c r="BO425" s="46">
        <f t="shared" si="708"/>
        <v>1028.956429811976</v>
      </c>
      <c r="BP425" s="46">
        <f t="shared" si="709"/>
        <v>-154.04357018802398</v>
      </c>
      <c r="BQ425" s="129">
        <f>INDEX('Dist Plant Depreciation'!$D$7:$AC$94,MATCH($C425,'Dist Plant Depreciation'!$C$7:$C$94,0),MATCH(Calculation!$G425,'Dist Plant Depreciation'!$D$5:$AC$5,0))</f>
        <v>7587</v>
      </c>
      <c r="BR425" s="129">
        <f>INDEX('Gen. Plant Depreciation'!$D$7:$AC$94,MATCH($C425,'Gen. Plant Depreciation'!$C$7:$C$94,0),MATCH(Calculation!$G425,'Gen. Plant Depreciation'!$D$5:$AC$5,0))</f>
        <v>8379</v>
      </c>
      <c r="BS425" s="129"/>
      <c r="BT425" s="129"/>
      <c r="BU425" s="129"/>
      <c r="BV425" s="129"/>
      <c r="BW425" s="129"/>
      <c r="BX425" s="129"/>
      <c r="BY425" s="129">
        <f>INDEX('Gross Dx Plant'!$D$7:$AC$91,MATCH($C425,'Gross Dx Plant'!$C$7:$C$91,0),MATCH(Calculation!$G425,'Gross Dx Plant'!$D$5:$AC$5,0))</f>
        <v>80630</v>
      </c>
      <c r="BZ425" s="129">
        <f>INDEX('Gross Gen Plant'!$D$7:$AC$91,MATCH($C425,'Gross Gen Plant'!$C$7:$C$91,0),MATCH(Calculation!$G425,'Gross Gen Plant'!$D$5:$AC$5,0))</f>
        <v>12071</v>
      </c>
      <c r="CA425" s="129">
        <f t="shared" si="755"/>
        <v>76735</v>
      </c>
      <c r="CB425" s="129"/>
      <c r="CC425" s="133">
        <v>2020</v>
      </c>
      <c r="CD425" s="129"/>
      <c r="CE425" s="129"/>
      <c r="CF425" s="129"/>
      <c r="CG425" s="137"/>
      <c r="CH425" s="129">
        <f t="shared" si="761"/>
        <v>6044</v>
      </c>
      <c r="CI425" s="46">
        <f t="shared" si="770"/>
        <v>5889.9564298119758</v>
      </c>
      <c r="CJ425" s="46">
        <f t="shared" si="762"/>
        <v>7.2440045911342592</v>
      </c>
      <c r="CK425" s="443">
        <v>0.72499999999999998</v>
      </c>
      <c r="CL425" s="46">
        <f>CL403*CK425+CJ404*CK424+CJ405*CK423+CJ406*CK422+CJ407*CK421+CJ408*CK420+CJ409*CK419+CJ410*CK418+CJ411*CK417+CJ412*CK416+CJ413*CK415+CJ414*CK414+CJ415*CK413+CJ416*CK412+CJ417*CK411+CJ418*CK410+CJ419*CK409+CJ420*CK408+CJ421*CK407+CJ422*CK406+CJ423*CK405+CJ424*CK404+CJ425</f>
        <v>166.96156550629115</v>
      </c>
      <c r="CM425" s="134">
        <f t="shared" si="763"/>
        <v>2.9167412058029401E-2</v>
      </c>
      <c r="CN425" s="135">
        <f t="shared" si="764"/>
        <v>1.5074441830162679E-2</v>
      </c>
      <c r="CO425" s="135">
        <f t="shared" si="773"/>
        <v>1.4723992286504549E-2</v>
      </c>
      <c r="CP425" s="134">
        <f>VLOOKUP($H425,RoR!$E:$F,2,FALSE)</f>
        <v>2.4766666666666666E-2</v>
      </c>
      <c r="CQ425" s="135">
        <v>1.1618796630994188E-2</v>
      </c>
      <c r="CR425" s="135">
        <f t="shared" si="771"/>
        <v>1.3147870035672478E-2</v>
      </c>
      <c r="CS425" s="135">
        <f t="shared" si="774"/>
        <v>1.6177949322029074E-2</v>
      </c>
      <c r="CT425" s="135">
        <f t="shared" si="775"/>
        <v>4.5144642961987357E-2</v>
      </c>
      <c r="CU425" s="139">
        <f t="shared" si="765"/>
        <v>0.90509623210000001</v>
      </c>
      <c r="CV425" s="335">
        <f t="shared" si="766"/>
        <v>2.0706077233668081</v>
      </c>
      <c r="CW425" s="335">
        <f t="shared" si="767"/>
        <v>-3.4421265141318998E-2</v>
      </c>
      <c r="CX425" s="335">
        <f t="shared" si="768"/>
        <v>0.62416226176410472</v>
      </c>
      <c r="CY425" s="335">
        <f t="shared" si="769"/>
        <v>-4.4485877841158712E-2</v>
      </c>
      <c r="CZ425" s="336">
        <f>INDEX('State Tax Lookup'!$D$7:$Z$91,MATCH(Calculation!$C425,'State Tax Lookup'!$B$7:$B$91,0),MATCH($H425,'State Tax Lookup'!$D$6:$Z$6,0))</f>
        <v>0.25649666999999998</v>
      </c>
      <c r="DA425" s="303">
        <v>0.37</v>
      </c>
      <c r="DB425" s="57">
        <f t="shared" si="772"/>
        <v>15.957895081519263</v>
      </c>
      <c r="DC425" s="56">
        <f t="shared" si="776"/>
        <v>2.9623383340856121E-2</v>
      </c>
      <c r="DD425" s="303">
        <f>VLOOKUP($H425,RoR!$E:$F,2,FALSE)</f>
        <v>2.4766666666666666E-2</v>
      </c>
      <c r="DE425" s="304">
        <f>HLOOKUP($H425,'GDP-PI'!$D$8:$CQ$11,3,FALSE)</f>
        <v>1.1618796630994188E-2</v>
      </c>
      <c r="DF425" s="303">
        <f>VLOOKUP(H425,'HW Dx Data'!$E:$F,2,FALSE)</f>
        <v>813.080162458833</v>
      </c>
      <c r="DG425" s="89">
        <f ca="1">VLOOKUP(CC425,'ECI - Input Price'!M$13:N$33,2,FALSE)</f>
        <v>153.15</v>
      </c>
      <c r="DH425" s="89"/>
      <c r="DI425" s="89"/>
      <c r="DJ425" s="56">
        <f t="shared" ca="1" si="784"/>
        <v>2.2951556467368479E-2</v>
      </c>
      <c r="DK425" s="53">
        <f>HLOOKUP(H425,'GDP-PI'!$8:$9,2,FALSE)</f>
        <v>113.623</v>
      </c>
      <c r="DL425" s="355">
        <f t="shared" si="777"/>
        <v>1.1551816731392881E-2</v>
      </c>
      <c r="EC425"/>
    </row>
    <row r="426" spans="1:133" s="126" customFormat="1" ht="21" customHeight="1" x14ac:dyDescent="0.4">
      <c r="A426" s="233" t="s">
        <v>207</v>
      </c>
      <c r="B426" s="126" t="s">
        <v>207</v>
      </c>
      <c r="C426" s="126">
        <v>4059459</v>
      </c>
      <c r="D426" s="126" t="s">
        <v>194</v>
      </c>
      <c r="E426" s="126" t="s">
        <v>15</v>
      </c>
      <c r="G426" s="127" t="s">
        <v>177</v>
      </c>
      <c r="H426" s="128">
        <v>2021</v>
      </c>
      <c r="I426" s="129"/>
      <c r="J426" s="125">
        <v>3382.7416396897574</v>
      </c>
      <c r="K426" s="125">
        <f t="shared" ca="1" si="778"/>
        <v>21.511870522669362</v>
      </c>
      <c r="L426" s="47"/>
      <c r="M426" s="130">
        <f t="shared" ca="1" si="785"/>
        <v>0.15694061978236878</v>
      </c>
      <c r="N426" s="130"/>
      <c r="O426" s="130"/>
      <c r="P426" s="59">
        <f t="shared" ca="1" si="787"/>
        <v>1.0164811037429545E-4</v>
      </c>
      <c r="Q426" s="61"/>
      <c r="R426" s="387"/>
      <c r="S426" s="132">
        <f ca="1">+S425*EXP(T426)</f>
        <v>120.12888712559872</v>
      </c>
      <c r="T426" s="134">
        <f ca="1">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</f>
        <v>4.3097902396786368E-2</v>
      </c>
      <c r="U426" s="134"/>
      <c r="V426" s="125">
        <v>4768.4430342614651</v>
      </c>
      <c r="W426" s="125">
        <f t="shared" si="779"/>
        <v>40.243421674921642</v>
      </c>
      <c r="X426" s="131">
        <f t="shared" si="788"/>
        <v>0.11443811746151664</v>
      </c>
      <c r="Y426" s="131">
        <f t="shared" si="789"/>
        <v>7.411987037444881E-5</v>
      </c>
      <c r="Z426" s="131"/>
      <c r="AA426" s="131"/>
      <c r="AB426" s="131"/>
      <c r="AC426" s="125">
        <f t="shared" si="759"/>
        <v>168.44461416847446</v>
      </c>
      <c r="AD426" s="129"/>
      <c r="AE426" s="133">
        <v>182.56411372616364</v>
      </c>
      <c r="AF426" s="134"/>
      <c r="AG426" s="59">
        <f t="shared" si="780"/>
        <v>0</v>
      </c>
      <c r="AH426" s="134"/>
      <c r="AI426" s="134"/>
      <c r="AJ426" s="129">
        <f t="shared" si="796"/>
        <v>8319.6292881196969</v>
      </c>
      <c r="AK426" s="134">
        <f t="shared" si="790"/>
        <v>-0.13076954489943168</v>
      </c>
      <c r="AL426" s="129"/>
      <c r="AM426" s="134"/>
      <c r="AN426" s="134"/>
      <c r="AO426" s="134"/>
      <c r="AP426" s="133">
        <f t="shared" si="791"/>
        <v>549.91270329299334</v>
      </c>
      <c r="AQ426" s="134">
        <f>+BB426/Outputs!$B$29</f>
        <v>3.9187929342105599E-4</v>
      </c>
      <c r="AR426" s="93">
        <f t="shared" si="781"/>
        <v>0.40659764065692933</v>
      </c>
      <c r="AS426" s="93">
        <f t="shared" si="782"/>
        <v>0.57315571032362322</v>
      </c>
      <c r="AT426" s="93">
        <f t="shared" si="783"/>
        <v>2.024664901944739E-2</v>
      </c>
      <c r="AU426" s="93">
        <f t="shared" ca="1" si="786"/>
        <v>0.11261574305358266</v>
      </c>
      <c r="AV426" s="132">
        <f t="shared" ca="1" si="794"/>
        <v>219.67417451487128</v>
      </c>
      <c r="AW426" s="134">
        <f t="shared" ca="1" si="795"/>
        <v>0.11261574305358257</v>
      </c>
      <c r="AX426" s="56">
        <f>+AJ426/$AL$26</f>
        <v>6.4768515961802599E-4</v>
      </c>
      <c r="AY426" s="135">
        <f t="shared" ca="1" si="793"/>
        <v>7.2939545515162232E-5</v>
      </c>
      <c r="AZ426" s="93"/>
      <c r="BA426" s="93"/>
      <c r="BB426" s="234">
        <f>INDEX('Total Customers'!$D$7:$D$91,MATCH(Calculation!$C426,'Total Customers'!$C$7:$C$91,0))</f>
        <v>15129</v>
      </c>
      <c r="BC426" s="411">
        <f t="shared" si="754"/>
        <v>8.8299328890324054E-3</v>
      </c>
      <c r="BD426" s="91"/>
      <c r="BE426" s="281" t="str">
        <f t="shared" si="748"/>
        <v>CORNING NATURAL GAS CORPORATION</v>
      </c>
      <c r="BF426" s="290">
        <f t="shared" si="749"/>
        <v>4059459</v>
      </c>
      <c r="BG426" s="46" t="str">
        <f t="shared" si="750"/>
        <v>NY</v>
      </c>
      <c r="BH426" s="46"/>
      <c r="BI426" s="46" t="str">
        <f t="shared" si="751"/>
        <v>2021 Y</v>
      </c>
      <c r="BJ426" s="129"/>
      <c r="BK426" s="129"/>
      <c r="BL426" s="129">
        <f>INDEX('Dist. Plant Gas Additions'!$D$7:$AD$91,MATCH($C426,'Dist. Plant Gas Additions'!$C$7:$C$91,0),MATCH(Calculation!$G426,'Dist. Plant Gas Additions'!$D$5:$AD$5,0))</f>
        <v>8379</v>
      </c>
      <c r="BM426" s="129">
        <f>INDEX('Gen. Plant Additions'!$D$7:$AD$91,MATCH($C426,'Gen. Plant Additions'!$C$7:$C$91,0),MATCH(Calculation!$G426,'Gen. Plant Additions'!$D$5:$AD$5,0))</f>
        <v>509</v>
      </c>
      <c r="BN426" s="393">
        <v>0.86978565495517846</v>
      </c>
      <c r="BO426" s="46">
        <f t="shared" si="708"/>
        <v>442.72089837218584</v>
      </c>
      <c r="BP426" s="46">
        <f t="shared" si="709"/>
        <v>-66.279101627814157</v>
      </c>
      <c r="BQ426" s="129"/>
      <c r="BR426" s="129"/>
      <c r="BS426" s="137"/>
      <c r="BT426" s="137"/>
      <c r="BU426" s="333"/>
      <c r="BV426" s="93"/>
      <c r="BW426" s="334"/>
      <c r="BX426" s="334"/>
      <c r="BY426" s="129"/>
      <c r="BZ426" s="129"/>
      <c r="CA426" s="129"/>
      <c r="CB426" s="129"/>
      <c r="CC426" s="133">
        <v>2021</v>
      </c>
      <c r="CD426" s="129"/>
      <c r="CE426" s="129"/>
      <c r="CF426" s="129"/>
      <c r="CG426" s="137"/>
      <c r="CH426" s="129">
        <f t="shared" si="761"/>
        <v>8888</v>
      </c>
      <c r="CI426" s="46">
        <f t="shared" si="770"/>
        <v>8821.7208983721866</v>
      </c>
      <c r="CJ426" s="46">
        <f t="shared" si="762"/>
        <v>9.4549926778603783</v>
      </c>
      <c r="CK426" s="443">
        <v>0.70886075949367089</v>
      </c>
      <c r="CL426" s="129">
        <f>CL403*CK426+CJ404*CK425+CJ405*CK424+CJ406*CK423+CJ407*CK422+CJ408*CK421+CJ409*CK420+CJ410*CK419+CJ411*CK418+CJ412*CK417+CJ413*CK416+CJ414*CK415+CJ415*CK414+CJ416*CK413+CJ417*CK412+CJ408*CK411+CJ419*CK410+CJ420*CK409+CJ421*CK408+CJ422*CK407+CJ423*CK406+CJ424*CK405+CJ426+CJ425*CK404</f>
        <v>166.39085465265629</v>
      </c>
      <c r="CM426" s="134"/>
      <c r="CN426" s="135">
        <f t="shared" si="764"/>
        <v>6.0047972724102609E-2</v>
      </c>
      <c r="CO426" s="135">
        <f t="shared" si="773"/>
        <v>2.9934018293407801E-2</v>
      </c>
      <c r="CP426" s="134">
        <f>VLOOKUP($H426,RoR!$E:$F,2,FALSE)</f>
        <v>2.7033333333333336E-2</v>
      </c>
      <c r="CQ426" s="135"/>
      <c r="CR426" s="135"/>
      <c r="CS426" s="135">
        <f t="shared" si="774"/>
        <v>9.6792331512582375E-4</v>
      </c>
      <c r="CT426" s="135">
        <f t="shared" si="775"/>
        <v>7.433422950153494E-2</v>
      </c>
      <c r="CU426" s="139">
        <f t="shared" si="765"/>
        <v>0.90509623210000001</v>
      </c>
      <c r="CV426" s="335">
        <f t="shared" si="766"/>
        <v>1.8969932656739068</v>
      </c>
      <c r="CW426" s="335">
        <f t="shared" si="767"/>
        <v>5.0215782983970621E-2</v>
      </c>
      <c r="CX426" s="335">
        <f t="shared" si="768"/>
        <v>0.655952481704143</v>
      </c>
      <c r="CY426" s="335">
        <f t="shared" si="769"/>
        <v>6.2485378865697057E-2</v>
      </c>
      <c r="CZ426" s="336">
        <f>CZ425</f>
        <v>0.25649666999999998</v>
      </c>
      <c r="DA426" s="303">
        <v>0.37</v>
      </c>
      <c r="DB426" s="141">
        <f t="shared" si="772"/>
        <v>1.0088825752063724</v>
      </c>
      <c r="DC426" s="135">
        <f t="shared" si="776"/>
        <v>-2.7611103389988951</v>
      </c>
      <c r="DD426" s="336">
        <f>VLOOKUP($H426,RoR!$E:$F,2,FALSE)</f>
        <v>2.7033333333333336E-2</v>
      </c>
      <c r="DE426" s="342">
        <f>HLOOKUP($H426,'GDP-PI'!$D$8:$CR$11,3,FALSE)</f>
        <v>4.2834637353352578E-2</v>
      </c>
      <c r="DF426" s="336">
        <f>VLOOKUP(H426,'HW Dx Data'!$E:$F,2,FALSE)</f>
        <v>933.02249921662576</v>
      </c>
      <c r="DG426" s="89">
        <f ca="1">VLOOKUP(CC426,'ECI - Input Price'!M$13:N$33,2,FALSE)</f>
        <v>157.25</v>
      </c>
      <c r="DH426" s="89"/>
      <c r="DI426" s="89"/>
      <c r="DJ426" s="135">
        <f t="shared" ca="1" si="784"/>
        <v>2.6419062301765574E-2</v>
      </c>
      <c r="DK426" s="137">
        <f>HLOOKUP(H426,'GDP-PI'!$8:$9,2,FALSE)</f>
        <v>118.49</v>
      </c>
      <c r="DL426" s="356">
        <f t="shared" si="777"/>
        <v>4.194261824609434E-2</v>
      </c>
      <c r="EC426"/>
    </row>
    <row r="427" spans="1:133" s="126" customFormat="1" ht="21" customHeight="1" thickBot="1" x14ac:dyDescent="0.45">
      <c r="A427" s="235"/>
      <c r="B427" s="236"/>
      <c r="C427" s="236"/>
      <c r="D427" s="236"/>
      <c r="E427" s="236"/>
      <c r="F427" s="236"/>
      <c r="G427" s="237" t="s">
        <v>178</v>
      </c>
      <c r="H427" s="238"/>
      <c r="I427" s="239"/>
      <c r="J427" s="240">
        <v>3565.8048839232288</v>
      </c>
      <c r="K427" s="240">
        <f t="shared" ca="1" si="778"/>
        <v>21.936664927242255</v>
      </c>
      <c r="L427" s="47"/>
      <c r="M427" s="241">
        <f t="shared" ref="M427" ca="1" si="797">LN(K427/K426)</f>
        <v>1.9554534400522305E-2</v>
      </c>
      <c r="N427" s="241"/>
      <c r="O427" s="241"/>
      <c r="P427" s="242">
        <f t="shared" ca="1" si="787"/>
        <v>2.2201719493664737E-5</v>
      </c>
      <c r="Q427" s="61"/>
      <c r="R427" s="387"/>
      <c r="S427" s="206">
        <f ca="1">+S426*EXP(T427)</f>
        <v>120.07221740633489</v>
      </c>
      <c r="T427" s="243">
        <f ca="1">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</f>
        <v>-4.7185228748793394E-4</v>
      </c>
      <c r="U427" s="243"/>
      <c r="V427" s="239">
        <v>5026.496041192986</v>
      </c>
      <c r="W427" s="240">
        <f t="shared" si="779"/>
        <v>39.500951207803425</v>
      </c>
      <c r="X427" s="244">
        <f t="shared" ref="X427" si="798">LN(W427/W426)</f>
        <v>-1.8621801032096711E-2</v>
      </c>
      <c r="Y427" s="244">
        <f t="shared" si="789"/>
        <v>-2.1142717822542721E-5</v>
      </c>
      <c r="Z427" s="206"/>
      <c r="AA427" s="243"/>
      <c r="AB427" s="243"/>
      <c r="AC427" s="240">
        <f t="shared" si="759"/>
        <v>6431.6805373367379</v>
      </c>
      <c r="AD427" s="243"/>
      <c r="AE427" s="245">
        <v>197.3177118486889</v>
      </c>
      <c r="AF427" s="243">
        <v>7.7713760736528387E-2</v>
      </c>
      <c r="AG427" s="242">
        <f t="shared" si="780"/>
        <v>8.8234221348890534E-5</v>
      </c>
      <c r="AH427" s="206"/>
      <c r="AI427" s="243"/>
      <c r="AJ427" s="239">
        <f t="shared" si="796"/>
        <v>15023.981462452954</v>
      </c>
      <c r="AK427" s="243">
        <f t="shared" si="790"/>
        <v>0.59102999147880109</v>
      </c>
      <c r="AL427" s="239"/>
      <c r="AM427" s="243"/>
      <c r="AN427" s="243"/>
      <c r="AO427" s="243"/>
      <c r="AP427" s="245">
        <f t="shared" si="791"/>
        <v>973.18185402597192</v>
      </c>
      <c r="AQ427" s="243"/>
      <c r="AR427" s="207">
        <f t="shared" si="781"/>
        <v>0.23734087351177033</v>
      </c>
      <c r="AS427" s="207">
        <f t="shared" si="782"/>
        <v>0.33456484579370044</v>
      </c>
      <c r="AT427" s="207">
        <f t="shared" si="783"/>
        <v>0.42809428069452921</v>
      </c>
      <c r="AU427" s="207"/>
      <c r="AV427" s="206"/>
      <c r="AW427" s="243"/>
      <c r="AX427" s="248">
        <f>+AJ427/$AL$27</f>
        <v>1.1353744885417331E-3</v>
      </c>
      <c r="AY427" s="249"/>
      <c r="AZ427" s="206"/>
      <c r="BA427" s="243"/>
      <c r="BB427" s="250">
        <v>15438</v>
      </c>
      <c r="BC427" s="412">
        <f t="shared" si="754"/>
        <v>2.0218570764964191E-2</v>
      </c>
      <c r="BD427" s="91"/>
      <c r="BE427" s="401">
        <f t="shared" si="748"/>
        <v>0</v>
      </c>
      <c r="BF427" s="402">
        <f t="shared" si="749"/>
        <v>0</v>
      </c>
      <c r="BG427" s="313">
        <f t="shared" si="750"/>
        <v>0</v>
      </c>
      <c r="BH427" s="313"/>
      <c r="BI427" s="313" t="str">
        <f t="shared" si="751"/>
        <v>2022Y</v>
      </c>
      <c r="BJ427" s="239"/>
      <c r="BK427" s="239"/>
      <c r="BL427" s="239"/>
      <c r="BM427" s="239"/>
      <c r="BN427" s="415">
        <v>0.86978565495517846</v>
      </c>
      <c r="BO427" s="313">
        <f t="shared" si="708"/>
        <v>0</v>
      </c>
      <c r="BP427" s="313">
        <f t="shared" si="709"/>
        <v>0</v>
      </c>
      <c r="BQ427" s="239"/>
      <c r="BR427" s="239"/>
      <c r="BS427" s="310"/>
      <c r="BT427" s="310"/>
      <c r="BU427" s="311"/>
      <c r="BV427" s="207"/>
      <c r="BW427" s="312"/>
      <c r="BX427" s="312"/>
      <c r="BY427" s="239"/>
      <c r="BZ427" s="239"/>
      <c r="CA427" s="239"/>
      <c r="CB427" s="239"/>
      <c r="CC427" s="245">
        <v>2022</v>
      </c>
      <c r="CD427" s="239"/>
      <c r="CE427" s="239"/>
      <c r="CF427" s="239"/>
      <c r="CG427" s="310"/>
      <c r="CH427" s="239">
        <v>7599</v>
      </c>
      <c r="CI427" s="313">
        <f t="shared" si="770"/>
        <v>7599</v>
      </c>
      <c r="CJ427" s="313">
        <f t="shared" si="762"/>
        <v>7.3718726050387566</v>
      </c>
      <c r="CK427" s="443">
        <v>0.69230769230769229</v>
      </c>
      <c r="CL427" s="239">
        <f>+CL403*CK427+CJ404*CK426+CJ405*CK425+CJ406*CK424+CJ407*CK423+CJ408*CK422+CJ409*CK421+CJ410*CK420+CJ411*CK419+CJ412*CK418+CJ413*CK417+CJ414*CK416+CJ415*CK415+CJ416*CK414+CJ417*CK413+CJ418*CK412+CJ419*CK411+CJ420*CK410+CJ421*CK409+CJ422*CK408+CJ423*CK407+CJ424*CK406+CJ425*CK405+CJ426*CK404+CJ427*CK403</f>
        <v>178.48883419621359</v>
      </c>
      <c r="CM427" s="243">
        <f t="shared" ref="CM427" si="799">LN(CL427/CL426)</f>
        <v>7.0186478883870987E-2</v>
      </c>
      <c r="CN427" s="249"/>
      <c r="CO427" s="249"/>
      <c r="CP427" s="243"/>
      <c r="CQ427" s="249"/>
      <c r="CR427" s="249"/>
      <c r="CS427" s="248">
        <f t="shared" si="774"/>
        <v>3.0901941608533625E-2</v>
      </c>
      <c r="CT427" s="249">
        <f t="shared" si="775"/>
        <v>0.10114668178709289</v>
      </c>
      <c r="CU427" s="314">
        <f t="shared" si="765"/>
        <v>0.90509623210000001</v>
      </c>
      <c r="CV427" s="315"/>
      <c r="CW427" s="315"/>
      <c r="CX427" s="315"/>
      <c r="CY427" s="315"/>
      <c r="CZ427" s="316">
        <f>CZ426</f>
        <v>0.25649666999999998</v>
      </c>
      <c r="DA427" s="360">
        <v>0.37</v>
      </c>
      <c r="DB427" s="318">
        <f t="shared" si="772"/>
        <v>38.654050733515248</v>
      </c>
      <c r="DC427" s="249">
        <f t="shared" si="776"/>
        <v>3.6458082178639999</v>
      </c>
      <c r="DD427" s="316">
        <v>0.04</v>
      </c>
      <c r="DE427" s="319">
        <v>7.0000000000000001E-3</v>
      </c>
      <c r="DF427" s="316">
        <v>1030.81</v>
      </c>
      <c r="DG427" s="89">
        <f ca="1">VLOOKUP(CC427,'ECI - Input Price'!M$13:N$33,2,FALSE)</f>
        <v>162.55000000000001</v>
      </c>
      <c r="DH427" s="89"/>
      <c r="DI427" s="89"/>
      <c r="DJ427" s="249">
        <f t="shared" ca="1" si="784"/>
        <v>3.3148751169364422E-2</v>
      </c>
      <c r="DK427" s="310">
        <v>127.25</v>
      </c>
      <c r="DL427" s="357">
        <f t="shared" si="777"/>
        <v>7.1325086601983473E-2</v>
      </c>
      <c r="EC427"/>
    </row>
    <row r="428" spans="1:133" s="126" customFormat="1" ht="21" customHeight="1" x14ac:dyDescent="0.4">
      <c r="A428" s="251" t="s">
        <v>208</v>
      </c>
      <c r="B428" s="252" t="s">
        <v>208</v>
      </c>
      <c r="C428" s="252">
        <v>4057118</v>
      </c>
      <c r="D428" s="252" t="s">
        <v>209</v>
      </c>
      <c r="E428" s="252"/>
      <c r="F428" s="252"/>
      <c r="G428" s="252" t="s">
        <v>150</v>
      </c>
      <c r="H428" s="253">
        <v>1998</v>
      </c>
      <c r="I428" s="254"/>
      <c r="J428" s="255"/>
      <c r="K428" s="255"/>
      <c r="L428" s="47"/>
      <c r="M428" s="255"/>
      <c r="N428" s="255"/>
      <c r="O428" s="255"/>
      <c r="P428" s="219"/>
      <c r="Q428" s="218"/>
      <c r="R428" s="385"/>
      <c r="S428" s="257"/>
      <c r="T428" s="258"/>
      <c r="U428" s="258"/>
      <c r="V428" s="259"/>
      <c r="W428" s="259"/>
      <c r="X428" s="259"/>
      <c r="Y428" s="255"/>
      <c r="Z428" s="259"/>
      <c r="AA428" s="259"/>
      <c r="AB428" s="259"/>
      <c r="AC428" s="255"/>
      <c r="AD428" s="254"/>
      <c r="AE428" s="260">
        <v>286.7795011539211</v>
      </c>
      <c r="AF428" s="256"/>
      <c r="AG428" s="225"/>
      <c r="AH428" s="256"/>
      <c r="AI428" s="256"/>
      <c r="AJ428" s="254">
        <f t="shared" si="796"/>
        <v>0</v>
      </c>
      <c r="AK428" s="254"/>
      <c r="AL428" s="254"/>
      <c r="AM428" s="256"/>
      <c r="AN428" s="256"/>
      <c r="AO428" s="256"/>
      <c r="AP428" s="226">
        <f>+(AP425+AP426+AP427)/3</f>
        <v>718.46381063680019</v>
      </c>
      <c r="AQ428" s="256"/>
      <c r="AR428" s="261"/>
      <c r="AS428" s="261"/>
      <c r="AT428" s="261"/>
      <c r="AU428" s="261"/>
      <c r="AV428" s="261"/>
      <c r="AW428" s="256">
        <f ca="1">AVERAGE(AW437:AW451)</f>
        <v>-7.8528156174861915E-3</v>
      </c>
      <c r="AX428" s="223"/>
      <c r="AY428" s="261"/>
      <c r="AZ428" s="261"/>
      <c r="BA428" s="261"/>
      <c r="BB428" s="262">
        <f>IFERROR(INDEX('Total Customers'!$E$7:$AA$91,MATCH($C428,'Total Customers'!$C$7:$C$91,0),MATCH($G428,'Total Customers'!$E$5:$AA$5,0)),"NA")</f>
        <v>37165</v>
      </c>
      <c r="BC428" s="413"/>
      <c r="BD428" s="92"/>
      <c r="BE428" s="407" t="str">
        <f t="shared" si="748"/>
        <v>DELTA NATURAL GAS COMPANY, INC.</v>
      </c>
      <c r="BF428" s="408">
        <f t="shared" si="749"/>
        <v>4057118</v>
      </c>
      <c r="BG428" s="218" t="str">
        <f t="shared" si="750"/>
        <v>KY</v>
      </c>
      <c r="BH428" s="218"/>
      <c r="BI428" s="218" t="str">
        <f t="shared" si="751"/>
        <v>1998 Y</v>
      </c>
      <c r="BJ428" s="254">
        <f>INDEX('Gross Dx Plant'!$D$7:$AC$91,MATCH($C428,'Gross Dx Plant'!$C$7:$C$91,0),MATCH(Calculation!$G428,'Gross Dx Plant'!$D$5:$AC$5,0))</f>
        <v>67055</v>
      </c>
      <c r="BK428" s="254">
        <f>INDEX('Gross Gen Plant'!$D$7:$AC$91,MATCH($C428,'Gross Gen Plant'!$C$7:$C$91,0),MATCH(Calculation!$G428,'Gross Gen Plant'!$D$5:$AC$5,0))</f>
        <v>14554</v>
      </c>
      <c r="BL428" s="254">
        <f>INDEX('Dist. Plant Gas Additions'!$E$7:$AD$91,MATCH($C428,'Dist. Plant Gas Additions'!$C$7:$C$91,0),MATCH(Calculation!$G428,'Dist. Plant Gas Additions'!$E$5:$AD$5,0))</f>
        <v>6817</v>
      </c>
      <c r="BM428" s="254">
        <f>INDEX('Gen. Plant Additions'!$E$7:$AD$91,MATCH($C428,'Gen. Plant Additions'!$C$7:$C$91,0),MATCH(Calculation!$G428,'Gen. Plant Additions'!$E$5:$AD$5,0))</f>
        <v>1171</v>
      </c>
      <c r="BN428" s="409">
        <f>+(BY428/(BY428+BZ428))</f>
        <v>0.82166182651423247</v>
      </c>
      <c r="BO428" s="218">
        <f t="shared" si="708"/>
        <v>962.16599884816628</v>
      </c>
      <c r="BP428" s="218">
        <f t="shared" si="709"/>
        <v>-208.83400115183372</v>
      </c>
      <c r="BQ428" s="254">
        <f>INDEX('Dist Plant Depreciation'!$D$7:$AC$94,MATCH($C428,'Dist Plant Depreciation'!$C$7:$C$94,0),MATCH(Calculation!$G428,'Dist Plant Depreciation'!$D$5:$AC$5,0))</f>
        <v>16184</v>
      </c>
      <c r="BR428" s="254">
        <f>INDEX('Gen. Plant Depreciation'!$D$7:$AC$94,MATCH($C428,'Gen. Plant Depreciation'!$C$7:$C$94,0),MATCH(Calculation!$G428,'Gen. Plant Depreciation'!$D$5:$AC$5,0))</f>
        <v>7576</v>
      </c>
      <c r="BS428" s="254"/>
      <c r="BT428" s="254"/>
      <c r="BU428" s="254"/>
      <c r="BV428" s="254"/>
      <c r="BW428" s="254"/>
      <c r="BX428" s="254"/>
      <c r="BY428" s="254">
        <f>INDEX('Gross Dx Plant'!$D$7:$AC$91,MATCH($C428,'Gross Dx Plant'!$C$7:$C$91,0),MATCH(Calculation!$G428,'Gross Dx Plant'!$D$5:$AC$5,0))</f>
        <v>67055</v>
      </c>
      <c r="BZ428" s="254">
        <f>INDEX('Gross Gen Plant'!$D$7:$AC$91,MATCH($C428,'Gross Gen Plant'!$C$7:$C$91,0),MATCH(Calculation!$G428,'Gross Gen Plant'!$D$5:$AC$5,0))</f>
        <v>14554</v>
      </c>
      <c r="CA428" s="254">
        <f t="shared" si="755"/>
        <v>57849</v>
      </c>
      <c r="CB428" s="254"/>
      <c r="CC428" s="260">
        <v>1998</v>
      </c>
      <c r="CD428" s="254">
        <f>BJ428+BK428</f>
        <v>81609</v>
      </c>
      <c r="CE428" s="254">
        <f>16184+7576</f>
        <v>23760</v>
      </c>
      <c r="CF428" s="254">
        <f>+CD428-CE428</f>
        <v>57849</v>
      </c>
      <c r="CG428" s="254">
        <f>CF428/$BX$3</f>
        <v>286.7795011539211</v>
      </c>
      <c r="CH428" s="323"/>
      <c r="CI428" s="344"/>
      <c r="CJ428" s="344"/>
      <c r="CK428" s="443">
        <v>1</v>
      </c>
      <c r="CL428" s="254">
        <f>+CG428</f>
        <v>286.7795011539211</v>
      </c>
      <c r="CM428" s="256"/>
      <c r="CN428" s="325"/>
      <c r="CO428" s="325"/>
      <c r="CP428" s="256" t="e">
        <f>VLOOKUP($H428,RoR!$E:$F,2,FALSE)</f>
        <v>#N/A</v>
      </c>
      <c r="CQ428" s="325">
        <v>1.1028127770464469E-2</v>
      </c>
      <c r="CR428" s="325"/>
      <c r="CS428" s="325"/>
      <c r="CT428" s="325"/>
      <c r="CU428" s="327"/>
      <c r="CV428" s="331" t="e">
        <f>2/(DD428*39)</f>
        <v>#N/A</v>
      </c>
      <c r="CW428" s="328" t="e">
        <f>+(DD428*40-(1+DD428))/(DD428*40)</f>
        <v>#N/A</v>
      </c>
      <c r="CX428" s="328" t="e">
        <f>+(1-(1/(1+DD428)^40))</f>
        <v>#N/A</v>
      </c>
      <c r="CY428" s="328" t="e">
        <f>+CX428*CW428*CV428</f>
        <v>#N/A</v>
      </c>
      <c r="CZ428" s="329">
        <f>INDEX('State Tax Lookup'!$D$7:$Z$91,MATCH(Calculation!$C428,'State Tax Lookup'!$B$7:$B$91,0),MATCH($H428,'State Tax Lookup'!$D$6:$Z$6,0))</f>
        <v>0.39279166999999998</v>
      </c>
      <c r="DA428" s="351">
        <v>0.37</v>
      </c>
      <c r="DB428" s="344"/>
      <c r="DC428" s="326"/>
      <c r="DD428" s="351" t="e">
        <f>VLOOKUP($H428,RoR!$E:$F,2,FALSE)</f>
        <v>#N/A</v>
      </c>
      <c r="DE428" s="354">
        <f>HLOOKUP($H428,'GDP-PI'!$D$8:$CQ$11,3,FALSE)</f>
        <v>1.1028127770464469E-2</v>
      </c>
      <c r="DF428" s="351">
        <f>VLOOKUP(H428,'HW Dx Data'!$E:$F,2,FALSE)</f>
        <v>329.24564746449528</v>
      </c>
      <c r="DG428" s="351"/>
      <c r="DH428" s="351"/>
      <c r="DI428" s="351"/>
      <c r="DJ428" s="326"/>
      <c r="DK428" s="344">
        <f>HLOOKUP(H428,'GDP-PI'!$8:$9,2,FALSE)</f>
        <v>75.266999999999996</v>
      </c>
      <c r="DL428" s="292"/>
      <c r="EC428"/>
    </row>
    <row r="429" spans="1:133" s="126" customFormat="1" ht="21" customHeight="1" x14ac:dyDescent="0.4">
      <c r="A429" s="233" t="s">
        <v>208</v>
      </c>
      <c r="B429" s="127" t="s">
        <v>208</v>
      </c>
      <c r="C429" s="127">
        <v>4057118</v>
      </c>
      <c r="D429" s="127" t="s">
        <v>209</v>
      </c>
      <c r="E429" s="127"/>
      <c r="F429" s="127"/>
      <c r="G429" s="127" t="s">
        <v>155</v>
      </c>
      <c r="H429" s="128">
        <v>1999</v>
      </c>
      <c r="I429" s="129"/>
      <c r="J429" s="125"/>
      <c r="K429" s="129"/>
      <c r="L429" s="47"/>
      <c r="M429" s="129"/>
      <c r="N429" s="129"/>
      <c r="O429" s="129"/>
      <c r="P429" s="47"/>
      <c r="Q429" s="47"/>
      <c r="R429" s="386"/>
      <c r="S429" s="119"/>
      <c r="T429" s="47"/>
      <c r="U429" s="46"/>
      <c r="V429" s="135"/>
      <c r="W429" s="135"/>
      <c r="X429" s="135"/>
      <c r="Y429" s="143"/>
      <c r="Z429" s="135"/>
      <c r="AA429" s="135"/>
      <c r="AB429" s="135"/>
      <c r="AC429" s="125">
        <f t="shared" ref="AC429:AC452" si="800">+CL428*DB429</f>
        <v>0</v>
      </c>
      <c r="AD429" s="129"/>
      <c r="AE429" s="133">
        <v>304.30450116365392</v>
      </c>
      <c r="AF429" s="134">
        <v>5.9315216843343815E-2</v>
      </c>
      <c r="AG429" s="61"/>
      <c r="AH429" s="134"/>
      <c r="AI429" s="134"/>
      <c r="AJ429" s="129">
        <f t="shared" si="796"/>
        <v>0</v>
      </c>
      <c r="AK429" s="134"/>
      <c r="AL429" s="129"/>
      <c r="AM429" s="134"/>
      <c r="AN429" s="134"/>
      <c r="AO429" s="134"/>
      <c r="AP429" s="133"/>
      <c r="AQ429" s="134"/>
      <c r="AR429" s="93"/>
      <c r="AS429" s="93"/>
      <c r="AT429" s="93"/>
      <c r="AU429" s="93"/>
      <c r="AV429" s="93"/>
      <c r="AW429" s="134"/>
      <c r="AX429" s="62"/>
      <c r="AY429" s="93"/>
      <c r="AZ429" s="93"/>
      <c r="BA429" s="93"/>
      <c r="BB429" s="234">
        <f>IFERROR(INDEX('Total Customers'!$E$7:$AA$91,MATCH($C429,'Total Customers'!$C$7:$C$91,0),MATCH($G429,'Total Customers'!$E$5:$AA$5,0)),"NA")</f>
        <v>37963</v>
      </c>
      <c r="BC429" s="411">
        <f t="shared" si="754"/>
        <v>2.1244543000202783E-2</v>
      </c>
      <c r="BD429" s="92"/>
      <c r="BE429" s="281" t="str">
        <f t="shared" si="748"/>
        <v>DELTA NATURAL GAS COMPANY, INC.</v>
      </c>
      <c r="BF429" s="290">
        <f t="shared" si="749"/>
        <v>4057118</v>
      </c>
      <c r="BG429" s="46" t="str">
        <f t="shared" si="750"/>
        <v>KY</v>
      </c>
      <c r="BH429" s="46"/>
      <c r="BI429" s="46" t="str">
        <f t="shared" si="751"/>
        <v>1999 Y</v>
      </c>
      <c r="BJ429" s="129"/>
      <c r="BK429" s="129"/>
      <c r="BL429" s="129">
        <f>INDEX('Dist. Plant Gas Additions'!$E$7:$AD$91,MATCH($C429,'Dist. Plant Gas Additions'!$C$7:$C$91,0),MATCH(Calculation!$G429,'Dist. Plant Gas Additions'!$E$5:$AD$5,0))</f>
        <v>4714</v>
      </c>
      <c r="BM429" s="129">
        <f>INDEX('Gen. Plant Additions'!$E$7:$AD$91,MATCH($C429,'Gen. Plant Additions'!$C$7:$C$91,0),MATCH(Calculation!$G429,'Gen. Plant Additions'!$E$5:$AD$5,0))</f>
        <v>1641</v>
      </c>
      <c r="BN429" s="393">
        <f t="shared" ref="BN429:BN450" si="801">+(BY429/(BY429+BZ429))</f>
        <v>0.82463953234139997</v>
      </c>
      <c r="BO429" s="46">
        <f t="shared" si="708"/>
        <v>1353.2334725722374</v>
      </c>
      <c r="BP429" s="46">
        <f t="shared" si="709"/>
        <v>-287.76652742776264</v>
      </c>
      <c r="BQ429" s="129">
        <f>INDEX('Dist Plant Depreciation'!$D$7:$AC$94,MATCH($C429,'Dist Plant Depreciation'!$C$7:$C$94,0),MATCH(Calculation!$G429,'Dist Plant Depreciation'!$D$5:$AC$5,0))</f>
        <v>17844</v>
      </c>
      <c r="BR429" s="129">
        <f>INDEX('Gen. Plant Depreciation'!$D$7:$AC$94,MATCH($C429,'Gen. Plant Depreciation'!$C$7:$C$94,0),MATCH(Calculation!$G429,'Gen. Plant Depreciation'!$D$5:$AC$5,0))</f>
        <v>8098</v>
      </c>
      <c r="BS429" s="129"/>
      <c r="BT429" s="129"/>
      <c r="BU429" s="129"/>
      <c r="BV429" s="129"/>
      <c r="BW429" s="129"/>
      <c r="BX429" s="129"/>
      <c r="BY429" s="129">
        <f>INDEX('Gross Dx Plant'!$D$7:$AC$91,MATCH($C429,'Gross Dx Plant'!$C$7:$C$91,0),MATCH(Calculation!$G429,'Gross Dx Plant'!$D$5:$AC$5,0))</f>
        <v>71662</v>
      </c>
      <c r="BZ429" s="129">
        <f>INDEX('Gross Gen Plant'!$D$7:$AC$91,MATCH($C429,'Gross Gen Plant'!$C$7:$C$91,0),MATCH(Calculation!$G429,'Gross Gen Plant'!$D$5:$AC$5,0))</f>
        <v>15239</v>
      </c>
      <c r="CA429" s="129">
        <f t="shared" si="755"/>
        <v>60959</v>
      </c>
      <c r="CB429" s="129"/>
      <c r="CC429" s="133">
        <v>1999</v>
      </c>
      <c r="CD429" s="129"/>
      <c r="CE429" s="129"/>
      <c r="CF429" s="129"/>
      <c r="CG429" s="137"/>
      <c r="CH429" s="129">
        <f t="shared" ref="CH429:CH451" si="802">+BM429+BL429</f>
        <v>6355</v>
      </c>
      <c r="CI429" s="46">
        <f>+CH429+BP429</f>
        <v>6067.2334725722376</v>
      </c>
      <c r="CJ429" s="46">
        <f t="shared" ref="CJ429:CJ452" si="803">+CI429/$DF429</f>
        <v>18.093591670671401</v>
      </c>
      <c r="CK429" s="443">
        <v>0.99009900990099009</v>
      </c>
      <c r="CL429" s="46">
        <f>+CL428*CK429+CJ429</f>
        <v>302.03369182306852</v>
      </c>
      <c r="CM429" s="134">
        <f t="shared" ref="CM429:CM450" si="804">LN(CL429/CL428)</f>
        <v>5.182494166795891E-2</v>
      </c>
      <c r="CN429" s="135">
        <f t="shared" ref="CN429:CN452" si="805">+(CL428-CL429+CJ429)/CL428</f>
        <v>9.9009900990099358E-3</v>
      </c>
      <c r="CO429" s="135"/>
      <c r="CP429" s="134">
        <f>VLOOKUP($H429,RoR!$E:$F,2,FALSE)</f>
        <v>7.0416666666666669E-2</v>
      </c>
      <c r="CQ429" s="135">
        <v>1.4335631817396832E-2</v>
      </c>
      <c r="CR429" s="135">
        <f>+CP429-CQ429</f>
        <v>5.6081034849269837E-2</v>
      </c>
      <c r="CS429" s="135"/>
      <c r="CT429" s="135"/>
      <c r="CU429" s="139">
        <f t="shared" ref="CU429:CU452" si="806">1-CZ429*DA429</f>
        <v>0.85466708209999998</v>
      </c>
      <c r="CV429" s="335">
        <f t="shared" ref="CV429:CV451" si="807">2/(DD429*39)</f>
        <v>0.72826581702321336</v>
      </c>
      <c r="CW429" s="335">
        <f t="shared" ref="CW429:CW451" si="808">+(DD429*40-(1+DD429))/(DD429*40)</f>
        <v>0.61997041420118348</v>
      </c>
      <c r="CX429" s="335">
        <f t="shared" ref="CX429:CX451" si="809">+(1-(1/(1+DD429)^40))</f>
        <v>0.93425155319585029</v>
      </c>
      <c r="CY429" s="335">
        <f t="shared" ref="CY429:CY451" si="810">+CX429*CW429*CV429</f>
        <v>0.42181762214141483</v>
      </c>
      <c r="CZ429" s="336">
        <f>INDEX('State Tax Lookup'!$D$7:$Z$91,MATCH(Calculation!$C429,'State Tax Lookup'!$B$7:$B$91,0),MATCH($H429,'State Tax Lookup'!$D$6:$Z$6,0))</f>
        <v>0.39279166999999998</v>
      </c>
      <c r="DA429" s="303">
        <v>0.37</v>
      </c>
      <c r="DB429" s="57"/>
      <c r="DC429" s="56"/>
      <c r="DD429" s="303">
        <f>VLOOKUP($H429,RoR!$E:$F,2,FALSE)</f>
        <v>7.0416666666666669E-2</v>
      </c>
      <c r="DE429" s="304">
        <f>HLOOKUP($H429,'GDP-PI'!$D$8:$CQ$11,3,FALSE)</f>
        <v>1.4335631817396832E-2</v>
      </c>
      <c r="DF429" s="303">
        <f>VLOOKUP(H429,'HW Dx Data'!$E:$F,2,FALSE)</f>
        <v>335.32499146683239</v>
      </c>
      <c r="DG429" s="89"/>
      <c r="DH429" s="89"/>
      <c r="DI429" s="89"/>
      <c r="DJ429" s="56"/>
      <c r="DK429" s="53">
        <f>HLOOKUP(H429,'GDP-PI'!$8:$9,2,FALSE)</f>
        <v>76.346000000000004</v>
      </c>
      <c r="DL429" s="298"/>
      <c r="EC429"/>
    </row>
    <row r="430" spans="1:133" s="126" customFormat="1" ht="21" customHeight="1" x14ac:dyDescent="0.4">
      <c r="A430" s="233" t="s">
        <v>208</v>
      </c>
      <c r="B430" s="127" t="s">
        <v>208</v>
      </c>
      <c r="C430" s="127">
        <v>4057118</v>
      </c>
      <c r="D430" s="127" t="s">
        <v>209</v>
      </c>
      <c r="E430" s="127"/>
      <c r="F430" s="127"/>
      <c r="G430" s="127" t="s">
        <v>156</v>
      </c>
      <c r="H430" s="128">
        <v>2000</v>
      </c>
      <c r="I430" s="129"/>
      <c r="J430" s="125"/>
      <c r="K430" s="125"/>
      <c r="L430" s="47"/>
      <c r="M430" s="125"/>
      <c r="N430" s="125"/>
      <c r="O430" s="125"/>
      <c r="P430" s="47"/>
      <c r="Q430" s="47"/>
      <c r="R430" s="386"/>
      <c r="S430" s="119"/>
      <c r="T430" s="47"/>
      <c r="U430" s="47"/>
      <c r="V430" s="125"/>
      <c r="W430" s="125"/>
      <c r="X430" s="125"/>
      <c r="Y430" s="125"/>
      <c r="Z430" s="125"/>
      <c r="AA430" s="125"/>
      <c r="AB430" s="125"/>
      <c r="AC430" s="125">
        <f t="shared" si="800"/>
        <v>0</v>
      </c>
      <c r="AD430" s="129"/>
      <c r="AE430" s="133">
        <v>317.3679400406466</v>
      </c>
      <c r="AF430" s="134">
        <v>4.2032946271473116E-2</v>
      </c>
      <c r="AG430" s="61"/>
      <c r="AH430" s="134"/>
      <c r="AI430" s="134"/>
      <c r="AJ430" s="129">
        <f t="shared" si="796"/>
        <v>0</v>
      </c>
      <c r="AK430" s="134"/>
      <c r="AL430" s="129"/>
      <c r="AM430" s="129"/>
      <c r="AN430" s="129"/>
      <c r="AO430" s="129"/>
      <c r="AP430" s="133"/>
      <c r="AQ430" s="134"/>
      <c r="AR430" s="93"/>
      <c r="AS430" s="93"/>
      <c r="AT430" s="93"/>
      <c r="AU430" s="93"/>
      <c r="AV430" s="93"/>
      <c r="AW430" s="134"/>
      <c r="AX430" s="62"/>
      <c r="AY430" s="93"/>
      <c r="AZ430" s="93"/>
      <c r="BA430" s="93"/>
      <c r="BB430" s="234">
        <f>IFERROR(INDEX('Total Customers'!$E$7:$AA$91,MATCH($C430,'Total Customers'!$C$7:$C$91,0),MATCH($G430,'Total Customers'!$E$5:$AA$5,0)),"NA")</f>
        <v>38960</v>
      </c>
      <c r="BC430" s="411">
        <f t="shared" si="754"/>
        <v>2.5923477596874724E-2</v>
      </c>
      <c r="BD430" s="92"/>
      <c r="BE430" s="281" t="str">
        <f t="shared" si="748"/>
        <v>DELTA NATURAL GAS COMPANY, INC.</v>
      </c>
      <c r="BF430" s="290">
        <f t="shared" si="749"/>
        <v>4057118</v>
      </c>
      <c r="BG430" s="46" t="str">
        <f t="shared" si="750"/>
        <v>KY</v>
      </c>
      <c r="BH430" s="46"/>
      <c r="BI430" s="46" t="str">
        <f t="shared" si="751"/>
        <v>2000 Y</v>
      </c>
      <c r="BJ430" s="129"/>
      <c r="BK430" s="129"/>
      <c r="BL430" s="129">
        <f>INDEX('Dist. Plant Gas Additions'!$E$7:$AD$91,MATCH($C430,'Dist. Plant Gas Additions'!$C$7:$C$91,0),MATCH(Calculation!$G430,'Dist. Plant Gas Additions'!$E$5:$AD$5,0))</f>
        <v>4328</v>
      </c>
      <c r="BM430" s="129">
        <f>INDEX('Gen. Plant Additions'!$E$7:$AD$91,MATCH($C430,'Gen. Plant Additions'!$C$7:$C$91,0),MATCH(Calculation!$G430,'Gen. Plant Additions'!$E$5:$AD$5,0))</f>
        <v>741</v>
      </c>
      <c r="BN430" s="393">
        <f t="shared" si="801"/>
        <v>0.83104289892038086</v>
      </c>
      <c r="BO430" s="46">
        <f t="shared" si="708"/>
        <v>615.8027881000022</v>
      </c>
      <c r="BP430" s="46">
        <f t="shared" si="709"/>
        <v>-125.1972118999978</v>
      </c>
      <c r="BQ430" s="129">
        <f>INDEX('Dist Plant Depreciation'!$D$7:$AC$94,MATCH($C430,'Dist Plant Depreciation'!$C$7:$C$94,0),MATCH(Calculation!$G430,'Dist Plant Depreciation'!$D$5:$AC$5,0))</f>
        <v>19340</v>
      </c>
      <c r="BR430" s="129">
        <f>INDEX('Gen. Plant Depreciation'!$D$7:$AC$94,MATCH($C430,'Gen. Plant Depreciation'!$C$7:$C$94,0),MATCH(Calculation!$G430,'Gen. Plant Depreciation'!$D$5:$AC$5,0))</f>
        <v>8847</v>
      </c>
      <c r="BS430" s="129"/>
      <c r="BT430" s="129"/>
      <c r="BU430" s="129"/>
      <c r="BV430" s="129"/>
      <c r="BW430" s="129"/>
      <c r="BX430" s="129"/>
      <c r="BY430" s="129">
        <f>INDEX('Gross Dx Plant'!$D$7:$AC$91,MATCH($C430,'Gross Dx Plant'!$C$7:$C$91,0),MATCH(Calculation!$G430,'Gross Dx Plant'!$D$5:$AC$5,0))</f>
        <v>75590</v>
      </c>
      <c r="BZ430" s="129">
        <f>INDEX('Gross Gen Plant'!$D$7:$AC$91,MATCH($C430,'Gross Gen Plant'!$C$7:$C$91,0),MATCH(Calculation!$G430,'Gross Gen Plant'!$D$5:$AC$5,0))</f>
        <v>15368</v>
      </c>
      <c r="CA430" s="129">
        <f t="shared" si="755"/>
        <v>62771</v>
      </c>
      <c r="CB430" s="129"/>
      <c r="CC430" s="133">
        <v>2000</v>
      </c>
      <c r="CD430" s="129"/>
      <c r="CE430" s="129"/>
      <c r="CF430" s="129"/>
      <c r="CG430" s="137"/>
      <c r="CH430" s="129">
        <f t="shared" si="802"/>
        <v>5069</v>
      </c>
      <c r="CI430" s="46">
        <f t="shared" ref="CI430:CI452" si="811">+CH430+BP430</f>
        <v>4943.8027881000025</v>
      </c>
      <c r="CJ430" s="46">
        <f t="shared" si="803"/>
        <v>14.266440850776068</v>
      </c>
      <c r="CK430" s="443">
        <v>0.98</v>
      </c>
      <c r="CL430" s="46">
        <f>+CL428*CK430+CJ429*CK429+CJ430</f>
        <v>313.22479918030331</v>
      </c>
      <c r="CM430" s="134">
        <f t="shared" si="804"/>
        <v>3.6382567515518667E-2</v>
      </c>
      <c r="CN430" s="135">
        <f t="shared" si="805"/>
        <v>1.0182087551155766E-2</v>
      </c>
      <c r="CO430" s="135">
        <f>+(CN430+CN429+CN428)/3</f>
        <v>6.6943592167219013E-3</v>
      </c>
      <c r="CP430" s="134">
        <f>VLOOKUP($H430,RoR!$E:$F,2,FALSE)</f>
        <v>7.6225000000000001E-2</v>
      </c>
      <c r="CQ430" s="135">
        <v>2.2568307442433211E-2</v>
      </c>
      <c r="CR430" s="135">
        <f t="shared" ref="CR430:CR450" si="812">+CP430-CQ430</f>
        <v>5.365669255756679E-2</v>
      </c>
      <c r="CS430" s="135"/>
      <c r="CT430" s="135"/>
      <c r="CU430" s="139">
        <f t="shared" si="806"/>
        <v>0.85466708209999998</v>
      </c>
      <c r="CV430" s="335">
        <f t="shared" si="807"/>
        <v>0.67277207323124022</v>
      </c>
      <c r="CW430" s="335">
        <f t="shared" si="808"/>
        <v>0.6470236142997704</v>
      </c>
      <c r="CX430" s="335">
        <f t="shared" si="809"/>
        <v>0.94704866037543145</v>
      </c>
      <c r="CY430" s="335">
        <f t="shared" si="810"/>
        <v>0.41224973107878493</v>
      </c>
      <c r="CZ430" s="336">
        <f>INDEX('State Tax Lookup'!$D$7:$Z$91,MATCH(Calculation!$C430,'State Tax Lookup'!$B$7:$B$91,0),MATCH($H430,'State Tax Lookup'!$D$6:$Z$6,0))</f>
        <v>0.39279166999999998</v>
      </c>
      <c r="DA430" s="303">
        <v>0.37</v>
      </c>
      <c r="DB430" s="57"/>
      <c r="DC430" s="56"/>
      <c r="DD430" s="303">
        <f>VLOOKUP($H430,RoR!$E:$F,2,FALSE)</f>
        <v>7.6225000000000001E-2</v>
      </c>
      <c r="DE430" s="304">
        <f>HLOOKUP($H430,'GDP-PI'!$D$8:$CQ$11,3,FALSE)</f>
        <v>2.2568307442433211E-2</v>
      </c>
      <c r="DF430" s="303">
        <f>VLOOKUP(H430,'HW Dx Data'!$E:$F,2,FALSE)</f>
        <v>346.53371782150339</v>
      </c>
      <c r="DG430" s="89"/>
      <c r="DH430" s="89"/>
      <c r="DI430" s="89"/>
      <c r="DJ430" s="56"/>
      <c r="DK430" s="53">
        <f>HLOOKUP(H430,'GDP-PI'!$8:$9,2,FALSE)</f>
        <v>78.069000000000003</v>
      </c>
      <c r="DL430" s="298"/>
      <c r="EC430"/>
    </row>
    <row r="431" spans="1:133" s="126" customFormat="1" ht="21" customHeight="1" x14ac:dyDescent="0.4">
      <c r="A431" s="233" t="s">
        <v>208</v>
      </c>
      <c r="B431" s="127" t="s">
        <v>208</v>
      </c>
      <c r="C431" s="127">
        <v>4057118</v>
      </c>
      <c r="D431" s="127" t="s">
        <v>209</v>
      </c>
      <c r="E431" s="127"/>
      <c r="F431" s="127"/>
      <c r="G431" s="127" t="s">
        <v>157</v>
      </c>
      <c r="H431" s="128">
        <v>2001</v>
      </c>
      <c r="I431" s="129"/>
      <c r="J431" s="125"/>
      <c r="K431" s="125"/>
      <c r="L431" s="47"/>
      <c r="M431" s="125"/>
      <c r="N431" s="125"/>
      <c r="O431" s="125"/>
      <c r="P431" s="47"/>
      <c r="Q431" s="47"/>
      <c r="R431" s="386"/>
      <c r="S431" s="119"/>
      <c r="T431" s="47"/>
      <c r="U431" s="47"/>
      <c r="V431" s="125"/>
      <c r="W431" s="125"/>
      <c r="X431" s="125"/>
      <c r="Y431" s="125"/>
      <c r="Z431" s="125"/>
      <c r="AA431" s="125"/>
      <c r="AB431" s="125"/>
      <c r="AC431" s="125">
        <f t="shared" si="800"/>
        <v>3241.3362349828935</v>
      </c>
      <c r="AD431" s="129"/>
      <c r="AE431" s="133">
        <v>328.04876766255722</v>
      </c>
      <c r="AF431" s="134">
        <v>3.3100484302970655E-2</v>
      </c>
      <c r="AG431" s="61"/>
      <c r="AH431" s="134"/>
      <c r="AI431" s="134"/>
      <c r="AJ431" s="129">
        <f t="shared" si="796"/>
        <v>3241.3362349828935</v>
      </c>
      <c r="AK431" s="134"/>
      <c r="AL431" s="129"/>
      <c r="AM431" s="129"/>
      <c r="AN431" s="129"/>
      <c r="AO431" s="129"/>
      <c r="AP431" s="133"/>
      <c r="AQ431" s="134"/>
      <c r="AR431" s="93"/>
      <c r="AS431" s="93"/>
      <c r="AT431" s="93"/>
      <c r="AU431" s="93"/>
      <c r="AV431" s="93"/>
      <c r="AW431" s="134"/>
      <c r="AX431" s="62"/>
      <c r="AY431" s="93"/>
      <c r="AZ431" s="93"/>
      <c r="BA431" s="93"/>
      <c r="BB431" s="234">
        <f>IFERROR(INDEX('Total Customers'!$E$7:$AA$91,MATCH($C431,'Total Customers'!$C$7:$C$91,0),MATCH($G431,'Total Customers'!$E$5:$AA$5,0)),"NA")</f>
        <v>39001</v>
      </c>
      <c r="BC431" s="411">
        <f t="shared" si="754"/>
        <v>1.0518080522275467E-3</v>
      </c>
      <c r="BD431" s="92"/>
      <c r="BE431" s="281" t="str">
        <f t="shared" si="748"/>
        <v>DELTA NATURAL GAS COMPANY, INC.</v>
      </c>
      <c r="BF431" s="290">
        <f t="shared" si="749"/>
        <v>4057118</v>
      </c>
      <c r="BG431" s="46" t="str">
        <f t="shared" si="750"/>
        <v>KY</v>
      </c>
      <c r="BH431" s="46"/>
      <c r="BI431" s="46" t="str">
        <f t="shared" si="751"/>
        <v>2001 Y</v>
      </c>
      <c r="BJ431" s="129"/>
      <c r="BK431" s="129"/>
      <c r="BL431" s="129">
        <f>INDEX('Dist. Plant Gas Additions'!$E$7:$AD$91,MATCH($C431,'Dist. Plant Gas Additions'!$C$7:$C$91,0),MATCH(Calculation!$G431,'Dist. Plant Gas Additions'!$E$5:$AD$5,0))</f>
        <v>3102</v>
      </c>
      <c r="BM431" s="129">
        <f>INDEX('Gen. Plant Additions'!$E$7:$AD$91,MATCH($C431,'Gen. Plant Additions'!$C$7:$C$91,0),MATCH(Calculation!$G431,'Gen. Plant Additions'!$E$5:$AD$5,0))</f>
        <v>1243</v>
      </c>
      <c r="BN431" s="393">
        <f t="shared" si="801"/>
        <v>0.83158675496688739</v>
      </c>
      <c r="BO431" s="46">
        <f t="shared" si="708"/>
        <v>1033.662336423841</v>
      </c>
      <c r="BP431" s="46">
        <f t="shared" si="709"/>
        <v>-209.337663576159</v>
      </c>
      <c r="BQ431" s="129">
        <f>INDEX('Dist Plant Depreciation'!$D$7:$AC$94,MATCH($C431,'Dist Plant Depreciation'!$C$7:$C$94,0),MATCH(Calculation!$G431,'Dist Plant Depreciation'!$D$5:$AC$5,0))</f>
        <v>21050</v>
      </c>
      <c r="BR431" s="129">
        <f>INDEX('Gen. Plant Depreciation'!$D$7:$AC$94,MATCH($C431,'Gen. Plant Depreciation'!$C$7:$C$94,0),MATCH(Calculation!$G431,'Gen. Plant Depreciation'!$D$5:$AC$5,0))</f>
        <v>9281</v>
      </c>
      <c r="BS431" s="129"/>
      <c r="BT431" s="129"/>
      <c r="BU431" s="129"/>
      <c r="BV431" s="129"/>
      <c r="BW431" s="129"/>
      <c r="BX431" s="129"/>
      <c r="BY431" s="129">
        <f>INDEX('Gross Dx Plant'!$D$7:$AC$91,MATCH($C431,'Gross Dx Plant'!$C$7:$C$91,0),MATCH(Calculation!$G431,'Gross Dx Plant'!$D$5:$AC$5,0))</f>
        <v>78481</v>
      </c>
      <c r="BZ431" s="129">
        <f>INDEX('Gross Gen Plant'!$D$7:$AC$91,MATCH($C431,'Gross Gen Plant'!$C$7:$C$91,0),MATCH(Calculation!$G431,'Gross Gen Plant'!$D$5:$AC$5,0))</f>
        <v>15894</v>
      </c>
      <c r="CA431" s="129">
        <f t="shared" si="755"/>
        <v>64044</v>
      </c>
      <c r="CB431" s="129"/>
      <c r="CC431" s="133">
        <v>2001</v>
      </c>
      <c r="CD431" s="129"/>
      <c r="CE431" s="129"/>
      <c r="CF431" s="129"/>
      <c r="CG431" s="137"/>
      <c r="CH431" s="129">
        <f t="shared" si="802"/>
        <v>4345</v>
      </c>
      <c r="CI431" s="46">
        <f t="shared" si="811"/>
        <v>4135.6623364238412</v>
      </c>
      <c r="CJ431" s="46">
        <f t="shared" si="803"/>
        <v>11.700927969470737</v>
      </c>
      <c r="CK431" s="443">
        <v>0.96969696969696972</v>
      </c>
      <c r="CL431" s="46">
        <f>+CL428*CK431+CJ429*CK430+CJ430*CK428+CJ431</f>
        <v>321.78830189767069</v>
      </c>
      <c r="CM431" s="134">
        <f t="shared" si="804"/>
        <v>2.6972740812436603E-2</v>
      </c>
      <c r="CN431" s="135">
        <f t="shared" si="805"/>
        <v>1.0016528896542891E-2</v>
      </c>
      <c r="CO431" s="135">
        <f t="shared" ref="CO431:CO450" si="813">+(CN431+CN430+CN429)/3</f>
        <v>1.0033202182236198E-2</v>
      </c>
      <c r="CP431" s="134">
        <f>VLOOKUP($H431,RoR!$E:$F,2,FALSE)</f>
        <v>7.0824999999999999E-2</v>
      </c>
      <c r="CQ431" s="135">
        <v>2.2454495382290052E-2</v>
      </c>
      <c r="CR431" s="135">
        <f t="shared" si="812"/>
        <v>4.8370504617709947E-2</v>
      </c>
      <c r="CS431" s="135">
        <f>+$CR$2-CO431</f>
        <v>2.0868739426297425E-2</v>
      </c>
      <c r="CT431" s="135">
        <f>+((DF429/DF428-1)+(DF430/DF429-1)+(DF431/DF430-1))/3</f>
        <v>2.3947275901631187E-2</v>
      </c>
      <c r="CU431" s="139">
        <f t="shared" si="806"/>
        <v>0.85466708209999998</v>
      </c>
      <c r="CV431" s="335">
        <f t="shared" si="807"/>
        <v>0.72406708481540816</v>
      </c>
      <c r="CW431" s="335">
        <f t="shared" si="808"/>
        <v>0.62201729615248857</v>
      </c>
      <c r="CX431" s="335">
        <f t="shared" si="809"/>
        <v>0.9352469954311422</v>
      </c>
      <c r="CY431" s="335">
        <f t="shared" si="810"/>
        <v>0.42121864641655071</v>
      </c>
      <c r="CZ431" s="336">
        <f>INDEX('State Tax Lookup'!$D$7:$Z$91,MATCH(Calculation!$C431,'State Tax Lookup'!$B$7:$B$91,0),MATCH($H431,'State Tax Lookup'!$D$6:$Z$6,0))</f>
        <v>0.39279166999999998</v>
      </c>
      <c r="DA431" s="303">
        <v>0.37</v>
      </c>
      <c r="DB431" s="57">
        <f t="shared" ref="DB431:DB452" si="814">+(DF431*CS431-CT431)*CU431/(1-CZ431)</f>
        <v>10.348274604901464</v>
      </c>
      <c r="DC431" s="56"/>
      <c r="DD431" s="303">
        <f>VLOOKUP($H431,RoR!$E:$F,2,FALSE)</f>
        <v>7.0824999999999999E-2</v>
      </c>
      <c r="DE431" s="304">
        <f>HLOOKUP($H431,'GDP-PI'!$D$8:$CQ$11,3,FALSE)</f>
        <v>2.2454495382290052E-2</v>
      </c>
      <c r="DF431" s="303">
        <f>VLOOKUP(H431,'HW Dx Data'!$E:$F,2,FALSE)</f>
        <v>353.44738017483138</v>
      </c>
      <c r="DG431" s="89"/>
      <c r="DH431" s="89"/>
      <c r="DI431" s="89"/>
      <c r="DJ431" s="56"/>
      <c r="DK431" s="53">
        <f>HLOOKUP(H431,'GDP-PI'!$8:$9,2,FALSE)</f>
        <v>79.822000000000003</v>
      </c>
      <c r="DL431" s="298"/>
      <c r="EC431"/>
    </row>
    <row r="432" spans="1:133" s="126" customFormat="1" ht="21" customHeight="1" x14ac:dyDescent="0.4">
      <c r="A432" s="233" t="s">
        <v>208</v>
      </c>
      <c r="B432" s="127" t="s">
        <v>208</v>
      </c>
      <c r="C432" s="127">
        <v>4057118</v>
      </c>
      <c r="D432" s="127" t="s">
        <v>209</v>
      </c>
      <c r="E432" s="127"/>
      <c r="F432" s="127"/>
      <c r="G432" s="127" t="s">
        <v>158</v>
      </c>
      <c r="H432" s="128">
        <v>2002</v>
      </c>
      <c r="I432" s="129"/>
      <c r="J432" s="125"/>
      <c r="K432" s="125"/>
      <c r="L432" s="47"/>
      <c r="M432" s="125"/>
      <c r="N432" s="125"/>
      <c r="O432" s="125"/>
      <c r="P432" s="47"/>
      <c r="Q432" s="47"/>
      <c r="R432" s="386"/>
      <c r="S432" s="119"/>
      <c r="T432" s="47"/>
      <c r="U432" s="47"/>
      <c r="V432" s="125"/>
      <c r="W432" s="125"/>
      <c r="X432" s="125"/>
      <c r="Y432" s="125"/>
      <c r="Z432" s="125"/>
      <c r="AA432" s="125"/>
      <c r="AB432" s="125"/>
      <c r="AC432" s="125">
        <f t="shared" si="800"/>
        <v>3333.4206196950827</v>
      </c>
      <c r="AD432" s="129"/>
      <c r="AE432" s="133">
        <v>341.8573065516652</v>
      </c>
      <c r="AF432" s="134">
        <v>4.1231138461789739E-2</v>
      </c>
      <c r="AG432" s="61"/>
      <c r="AH432" s="134"/>
      <c r="AI432" s="134"/>
      <c r="AJ432" s="129">
        <f t="shared" si="796"/>
        <v>3333.4206196950827</v>
      </c>
      <c r="AK432" s="134"/>
      <c r="AL432" s="129"/>
      <c r="AM432" s="129"/>
      <c r="AN432" s="129"/>
      <c r="AO432" s="129"/>
      <c r="AP432" s="133"/>
      <c r="AQ432" s="134"/>
      <c r="AR432" s="93"/>
      <c r="AS432" s="93"/>
      <c r="AT432" s="93"/>
      <c r="AU432" s="93"/>
      <c r="AV432" s="93"/>
      <c r="AW432" s="134"/>
      <c r="AX432" s="62"/>
      <c r="AY432" s="93"/>
      <c r="AZ432" s="93"/>
      <c r="BA432" s="93"/>
      <c r="BB432" s="234">
        <f>IFERROR(INDEX('Total Customers'!$E$7:$AA$91,MATCH($C432,'Total Customers'!$C$7:$C$91,0),MATCH($G432,'Total Customers'!$E$5:$AA$5,0)),"NA")</f>
        <v>39123</v>
      </c>
      <c r="BC432" s="411">
        <f t="shared" si="754"/>
        <v>3.1232425163123753E-3</v>
      </c>
      <c r="BD432" s="92"/>
      <c r="BE432" s="281" t="str">
        <f t="shared" si="748"/>
        <v>DELTA NATURAL GAS COMPANY, INC.</v>
      </c>
      <c r="BF432" s="290">
        <f t="shared" si="749"/>
        <v>4057118</v>
      </c>
      <c r="BG432" s="46" t="str">
        <f t="shared" si="750"/>
        <v>KY</v>
      </c>
      <c r="BH432" s="46"/>
      <c r="BI432" s="46" t="str">
        <f t="shared" si="751"/>
        <v>2002 Y</v>
      </c>
      <c r="BJ432" s="129"/>
      <c r="BK432" s="129"/>
      <c r="BL432" s="129">
        <f>INDEX('Dist. Plant Gas Additions'!$E$7:$AD$91,MATCH($C432,'Dist. Plant Gas Additions'!$C$7:$C$91,0),MATCH(Calculation!$G432,'Dist. Plant Gas Additions'!$E$5:$AD$5,0))</f>
        <v>2590</v>
      </c>
      <c r="BM432" s="129">
        <f>INDEX('Gen. Plant Additions'!$E$7:$AD$91,MATCH($C432,'Gen. Plant Additions'!$C$7:$C$91,0),MATCH(Calculation!$G432,'Gen. Plant Additions'!$E$5:$AD$5,0))</f>
        <v>3076</v>
      </c>
      <c r="BN432" s="393">
        <f t="shared" si="801"/>
        <v>0.81917811001868857</v>
      </c>
      <c r="BO432" s="46">
        <f t="shared" si="708"/>
        <v>2519.7918664174858</v>
      </c>
      <c r="BP432" s="46">
        <f t="shared" si="709"/>
        <v>-556.20813358251417</v>
      </c>
      <c r="BQ432" s="129">
        <f>INDEX('Dist Plant Depreciation'!$D$7:$AC$94,MATCH($C432,'Dist Plant Depreciation'!$C$7:$C$94,0),MATCH(Calculation!$G432,'Dist Plant Depreciation'!$D$5:$AC$5,0))</f>
        <v>22667</v>
      </c>
      <c r="BR432" s="129">
        <f>INDEX('Gen. Plant Depreciation'!$D$7:$AC$94,MATCH($C432,'Gen. Plant Depreciation'!$C$7:$C$94,0),MATCH(Calculation!$G432,'Gen. Plant Depreciation'!$D$5:$AC$5,0))</f>
        <v>9247</v>
      </c>
      <c r="BS432" s="129"/>
      <c r="BT432" s="129"/>
      <c r="BU432" s="129"/>
      <c r="BV432" s="129"/>
      <c r="BW432" s="129"/>
      <c r="BX432" s="129"/>
      <c r="BY432" s="129">
        <f>INDEX('Gross Dx Plant'!$D$7:$AC$91,MATCH($C432,'Gross Dx Plant'!$C$7:$C$91,0),MATCH(Calculation!$G432,'Gross Dx Plant'!$D$5:$AC$5,0))</f>
        <v>80653</v>
      </c>
      <c r="BZ432" s="129">
        <f>INDEX('Gross Gen Plant'!$D$7:$AC$91,MATCH($C432,'Gross Gen Plant'!$C$7:$C$91,0),MATCH(Calculation!$G432,'Gross Gen Plant'!$D$5:$AC$5,0))</f>
        <v>17803</v>
      </c>
      <c r="CA432" s="129">
        <f t="shared" si="755"/>
        <v>66542</v>
      </c>
      <c r="CB432" s="129"/>
      <c r="CC432" s="133">
        <v>2002</v>
      </c>
      <c r="CD432" s="129"/>
      <c r="CE432" s="129"/>
      <c r="CF432" s="129"/>
      <c r="CG432" s="137"/>
      <c r="CH432" s="129">
        <f t="shared" si="802"/>
        <v>5666</v>
      </c>
      <c r="CI432" s="46">
        <f t="shared" si="811"/>
        <v>5109.7918664174858</v>
      </c>
      <c r="CJ432" s="46">
        <f t="shared" si="803"/>
        <v>14.140909933875367</v>
      </c>
      <c r="CK432" s="443">
        <v>0.95918367346938771</v>
      </c>
      <c r="CL432" s="46">
        <f>+CL428*CK432+CJ429*CK431+CJ430*CK430+CJ431*CK429+CJ432</f>
        <v>332.32661557165261</v>
      </c>
      <c r="CM432" s="134">
        <f t="shared" si="804"/>
        <v>3.2224385354349037E-2</v>
      </c>
      <c r="CN432" s="135">
        <f t="shared" si="805"/>
        <v>1.1195547627579953E-2</v>
      </c>
      <c r="CO432" s="135">
        <f t="shared" si="813"/>
        <v>1.0464721358426203E-2</v>
      </c>
      <c r="CP432" s="134">
        <f>VLOOKUP($H432,RoR!$E:$F,2,FALSE)</f>
        <v>6.4916666666666664E-2</v>
      </c>
      <c r="CQ432" s="135">
        <v>1.5246423291824351E-2</v>
      </c>
      <c r="CR432" s="135">
        <f t="shared" si="812"/>
        <v>4.9670243374842313E-2</v>
      </c>
      <c r="CS432" s="135">
        <f t="shared" ref="CS432:CS452" si="815">+$CR$2-CO432</f>
        <v>2.043722025010742E-2</v>
      </c>
      <c r="CT432" s="135">
        <f t="shared" ref="CT432:CT452" si="816">+((DF430/DF429-1)+(DF431/DF430-1)+(DF432/DF431-1))/3</f>
        <v>2.5243621214759093E-2</v>
      </c>
      <c r="CU432" s="139">
        <f t="shared" si="806"/>
        <v>0.85466708209999998</v>
      </c>
      <c r="CV432" s="335">
        <f t="shared" si="807"/>
        <v>0.78996741384417901</v>
      </c>
      <c r="CW432" s="335">
        <f t="shared" si="808"/>
        <v>0.58989088575096271</v>
      </c>
      <c r="CX432" s="335">
        <f t="shared" si="809"/>
        <v>0.91920675783645744</v>
      </c>
      <c r="CY432" s="335">
        <f t="shared" si="810"/>
        <v>0.42834536472275586</v>
      </c>
      <c r="CZ432" s="336">
        <f>INDEX('State Tax Lookup'!$D$7:$Z$91,MATCH(Calculation!$C432,'State Tax Lookup'!$B$7:$B$91,0),MATCH($H432,'State Tax Lookup'!$D$6:$Z$6,0))</f>
        <v>0.39279166999999998</v>
      </c>
      <c r="DA432" s="303">
        <v>0.37</v>
      </c>
      <c r="DB432" s="57">
        <f t="shared" si="814"/>
        <v>10.359048480125038</v>
      </c>
      <c r="DC432" s="56">
        <f t="shared" ref="DC432:DC452" si="817">LN(DB432/DB431)</f>
        <v>1.040586091356754E-3</v>
      </c>
      <c r="DD432" s="303">
        <f>VLOOKUP($H432,RoR!$E:$F,2,FALSE)</f>
        <v>6.4916666666666664E-2</v>
      </c>
      <c r="DE432" s="304">
        <f>HLOOKUP($H432,'GDP-PI'!$D$8:$CQ$11,3,FALSE)</f>
        <v>1.5246423291824351E-2</v>
      </c>
      <c r="DF432" s="303">
        <f>VLOOKUP(H432,'HW Dx Data'!$E:$F,2,FALSE)</f>
        <v>361.34816573413599</v>
      </c>
      <c r="DG432" s="89"/>
      <c r="DH432" s="89"/>
      <c r="DI432" s="89"/>
      <c r="DJ432" s="56"/>
      <c r="DK432" s="53">
        <f>HLOOKUP(H432,'GDP-PI'!$8:$9,2,FALSE)</f>
        <v>81.039000000000001</v>
      </c>
      <c r="DL432" s="355">
        <f>LN(DK432/DK431)</f>
        <v>1.513136459537477E-2</v>
      </c>
      <c r="EC432"/>
    </row>
    <row r="433" spans="1:133" s="126" customFormat="1" ht="21" customHeight="1" x14ac:dyDescent="0.4">
      <c r="A433" s="233" t="s">
        <v>208</v>
      </c>
      <c r="B433" s="127" t="s">
        <v>208</v>
      </c>
      <c r="C433" s="127">
        <v>4057118</v>
      </c>
      <c r="D433" s="127" t="s">
        <v>209</v>
      </c>
      <c r="E433" s="127"/>
      <c r="F433" s="127"/>
      <c r="G433" s="127" t="s">
        <v>159</v>
      </c>
      <c r="H433" s="128">
        <v>2003</v>
      </c>
      <c r="I433" s="129"/>
      <c r="J433" s="125"/>
      <c r="K433" s="125"/>
      <c r="L433" s="47"/>
      <c r="M433" s="125"/>
      <c r="N433" s="125"/>
      <c r="O433" s="125"/>
      <c r="P433" s="59"/>
      <c r="Q433" s="59"/>
      <c r="R433" s="386"/>
      <c r="S433" s="119"/>
      <c r="T433" s="59"/>
      <c r="U433" s="59"/>
      <c r="V433" s="125"/>
      <c r="W433" s="125"/>
      <c r="X433" s="125"/>
      <c r="Y433" s="125"/>
      <c r="Z433" s="125"/>
      <c r="AA433" s="125"/>
      <c r="AB433" s="125"/>
      <c r="AC433" s="125">
        <f t="shared" si="800"/>
        <v>3469.7484996354556</v>
      </c>
      <c r="AD433" s="129"/>
      <c r="AE433" s="133">
        <v>357.39218986847186</v>
      </c>
      <c r="AF433" s="134">
        <v>4.4440332160257522E-2</v>
      </c>
      <c r="AG433" s="61"/>
      <c r="AH433" s="134"/>
      <c r="AI433" s="134"/>
      <c r="AJ433" s="129">
        <f t="shared" si="796"/>
        <v>3469.7484996354556</v>
      </c>
      <c r="AK433" s="134"/>
      <c r="AL433" s="129"/>
      <c r="AM433" s="129"/>
      <c r="AN433" s="129"/>
      <c r="AO433" s="129"/>
      <c r="AP433" s="133"/>
      <c r="AQ433" s="134"/>
      <c r="AR433" s="93"/>
      <c r="AS433" s="93"/>
      <c r="AT433" s="93"/>
      <c r="AU433" s="93"/>
      <c r="AV433" s="93"/>
      <c r="AW433" s="134"/>
      <c r="AX433" s="62"/>
      <c r="AY433" s="93"/>
      <c r="AZ433" s="93"/>
      <c r="BA433" s="93"/>
      <c r="BB433" s="234">
        <f>IFERROR(INDEX('Total Customers'!$E$7:$AA$91,MATCH($C433,'Total Customers'!$C$7:$C$91,0),MATCH($G433,'Total Customers'!$E$5:$AA$5,0)),"NA")</f>
        <v>39190</v>
      </c>
      <c r="BC433" s="411">
        <f t="shared" si="754"/>
        <v>1.7110828686656564E-3</v>
      </c>
      <c r="BD433" s="92"/>
      <c r="BE433" s="281" t="str">
        <f t="shared" si="748"/>
        <v>DELTA NATURAL GAS COMPANY, INC.</v>
      </c>
      <c r="BF433" s="290">
        <f t="shared" si="749"/>
        <v>4057118</v>
      </c>
      <c r="BG433" s="46" t="str">
        <f t="shared" si="750"/>
        <v>KY</v>
      </c>
      <c r="BH433" s="46"/>
      <c r="BI433" s="46" t="str">
        <f t="shared" si="751"/>
        <v>2003 Y</v>
      </c>
      <c r="BJ433" s="129"/>
      <c r="BK433" s="129"/>
      <c r="BL433" s="129">
        <f>INDEX('Dist. Plant Gas Additions'!$E$7:$AD$91,MATCH($C433,'Dist. Plant Gas Additions'!$C$7:$C$91,0),MATCH(Calculation!$G433,'Dist. Plant Gas Additions'!$E$5:$AD$5,0))</f>
        <v>4452</v>
      </c>
      <c r="BM433" s="129">
        <f>INDEX('Gen. Plant Additions'!$E$7:$AD$91,MATCH($C433,'Gen. Plant Additions'!$C$7:$C$91,0),MATCH(Calculation!$G433,'Gen. Plant Additions'!$E$5:$AD$5,0))</f>
        <v>1998</v>
      </c>
      <c r="BN433" s="393">
        <f t="shared" si="801"/>
        <v>0.81772076372315039</v>
      </c>
      <c r="BO433" s="46">
        <f t="shared" si="708"/>
        <v>1633.8060859188545</v>
      </c>
      <c r="BP433" s="46">
        <f t="shared" si="709"/>
        <v>-364.19391408114552</v>
      </c>
      <c r="BQ433" s="129">
        <f>INDEX('Dist Plant Depreciation'!$D$7:$AC$94,MATCH($C433,'Dist Plant Depreciation'!$C$7:$C$94,0),MATCH(Calculation!$G433,'Dist Plant Depreciation'!$D$5:$AC$5,0))</f>
        <v>24640</v>
      </c>
      <c r="BR433" s="129">
        <f>INDEX('Gen. Plant Depreciation'!$D$7:$AC$94,MATCH($C433,'Gen. Plant Depreciation'!$C$7:$C$94,0),MATCH(Calculation!$G433,'Gen. Plant Depreciation'!$D$5:$AC$5,0))</f>
        <v>9655</v>
      </c>
      <c r="BS433" s="129"/>
      <c r="BT433" s="129"/>
      <c r="BU433" s="129"/>
      <c r="BV433" s="129"/>
      <c r="BW433" s="129"/>
      <c r="BX433" s="129"/>
      <c r="BY433" s="129">
        <f>INDEX('Gross Dx Plant'!$D$7:$AC$91,MATCH($C433,'Gross Dx Plant'!$C$7:$C$91,0),MATCH(Calculation!$G433,'Gross Dx Plant'!$D$5:$AC$5,0))</f>
        <v>84971</v>
      </c>
      <c r="BZ433" s="129">
        <f>INDEX('Gross Gen Plant'!$D$7:$AC$91,MATCH($C433,'Gross Gen Plant'!$C$7:$C$91,0),MATCH(Calculation!$G433,'Gross Gen Plant'!$D$5:$AC$5,0))</f>
        <v>18941</v>
      </c>
      <c r="CA433" s="129">
        <f t="shared" si="755"/>
        <v>69617</v>
      </c>
      <c r="CB433" s="129"/>
      <c r="CC433" s="133">
        <v>2003</v>
      </c>
      <c r="CD433" s="129"/>
      <c r="CE433" s="129"/>
      <c r="CF433" s="129"/>
      <c r="CG433" s="137"/>
      <c r="CH433" s="129">
        <f t="shared" si="802"/>
        <v>6450</v>
      </c>
      <c r="CI433" s="46">
        <f t="shared" si="811"/>
        <v>6085.8060859188545</v>
      </c>
      <c r="CJ433" s="46">
        <f t="shared" si="803"/>
        <v>16.482291413133254</v>
      </c>
      <c r="CK433" s="443">
        <v>0.94845360824742264</v>
      </c>
      <c r="CL433" s="46">
        <f>+CL428*CK433+CJ429*CK432+CJ430*CK431+CJ431*CK430+CJ432*CK429+CJ433</f>
        <v>345.13635657496434</v>
      </c>
      <c r="CM433" s="134">
        <f t="shared" si="804"/>
        <v>3.7821308232578683E-2</v>
      </c>
      <c r="CN433" s="135">
        <f t="shared" si="805"/>
        <v>1.1051027025037333E-2</v>
      </c>
      <c r="CO433" s="135">
        <f t="shared" si="813"/>
        <v>1.0754367849720059E-2</v>
      </c>
      <c r="CP433" s="134">
        <f>VLOOKUP($H433,RoR!$E:$F,2,FALSE)</f>
        <v>5.6666666666666671E-2</v>
      </c>
      <c r="CQ433" s="135">
        <v>1.8855119140166909E-2</v>
      </c>
      <c r="CR433" s="135">
        <f t="shared" si="812"/>
        <v>3.7811547526499761E-2</v>
      </c>
      <c r="CS433" s="135">
        <f t="shared" si="815"/>
        <v>2.0147573758813566E-2</v>
      </c>
      <c r="CT433" s="135">
        <f t="shared" si="816"/>
        <v>2.1375012817671957E-2</v>
      </c>
      <c r="CU433" s="139">
        <f t="shared" si="806"/>
        <v>0.85466708209999998</v>
      </c>
      <c r="CV433" s="335">
        <f t="shared" si="807"/>
        <v>0.90497737556561086</v>
      </c>
      <c r="CW433" s="335">
        <f t="shared" si="808"/>
        <v>0.5338235294117647</v>
      </c>
      <c r="CX433" s="335">
        <f t="shared" si="809"/>
        <v>0.88972433127405692</v>
      </c>
      <c r="CY433" s="335">
        <f t="shared" si="810"/>
        <v>0.42982423775949252</v>
      </c>
      <c r="CZ433" s="336">
        <f>INDEX('State Tax Lookup'!$D$7:$Z$91,MATCH(Calculation!$C433,'State Tax Lookup'!$B$7:$B$91,0),MATCH($H433,'State Tax Lookup'!$D$6:$Z$6,0))</f>
        <v>0.39279166999999998</v>
      </c>
      <c r="DA433" s="303">
        <v>0.37</v>
      </c>
      <c r="DB433" s="57">
        <f t="shared" si="814"/>
        <v>10.4407782496354</v>
      </c>
      <c r="DC433" s="56">
        <f t="shared" si="817"/>
        <v>7.858737594886981E-3</v>
      </c>
      <c r="DD433" s="303">
        <f>VLOOKUP($H433,RoR!$E:$F,2,FALSE)</f>
        <v>5.6666666666666671E-2</v>
      </c>
      <c r="DE433" s="304">
        <f>HLOOKUP($H433,'GDP-PI'!$D$8:$CQ$11,3,FALSE)</f>
        <v>1.8855119140166909E-2</v>
      </c>
      <c r="DF433" s="303">
        <f>VLOOKUP(H433,'HW Dx Data'!$E:$F,2,FALSE)</f>
        <v>369.23301095560191</v>
      </c>
      <c r="DG433" s="89">
        <f ca="1">VLOOKUP(CC433,'ECI - Input Price'!M$13:N$33,2,FALSE)</f>
        <v>89.25</v>
      </c>
      <c r="DH433" s="89"/>
      <c r="DI433" s="89"/>
      <c r="DJ433" s="56"/>
      <c r="DK433" s="53">
        <f>HLOOKUP(H433,'GDP-PI'!$8:$9,2,FALSE)</f>
        <v>82.566999999999993</v>
      </c>
      <c r="DL433" s="355">
        <f t="shared" ref="DL433:DL452" si="818">LN(DK433/DK432)</f>
        <v>1.8679564681853753E-2</v>
      </c>
      <c r="EC433"/>
    </row>
    <row r="434" spans="1:133" s="126" customFormat="1" ht="21" customHeight="1" x14ac:dyDescent="0.4">
      <c r="A434" s="233" t="s">
        <v>208</v>
      </c>
      <c r="B434" s="127" t="s">
        <v>208</v>
      </c>
      <c r="C434" s="127">
        <v>4057118</v>
      </c>
      <c r="D434" s="127" t="s">
        <v>209</v>
      </c>
      <c r="E434" s="127"/>
      <c r="F434" s="127"/>
      <c r="G434" s="127" t="s">
        <v>160</v>
      </c>
      <c r="H434" s="128">
        <v>2004</v>
      </c>
      <c r="I434" s="129"/>
      <c r="J434" s="125">
        <f>IFERROR(INDEX('Labor Expenditures'!$E$7:$W$91,MATCH($C434,'Labor Expenditures'!$C$7:$C$91,0),MATCH($G434,'Labor Expenditures'!$E$5:$W$5,0)),"NA")</f>
        <v>3050.8507059750482</v>
      </c>
      <c r="K434" s="125">
        <f t="shared" ref="K434:K452" ca="1" si="819">+J434/DG434</f>
        <v>32.335460582671416</v>
      </c>
      <c r="L434" s="47"/>
      <c r="M434" s="131"/>
      <c r="N434" s="131"/>
      <c r="O434" s="131"/>
      <c r="P434" s="59"/>
      <c r="Q434" s="59"/>
      <c r="R434" s="386"/>
      <c r="S434" s="119"/>
      <c r="T434" s="59"/>
      <c r="U434" s="59"/>
      <c r="V434" s="125">
        <f>IFERROR(INDEX('Non-Labor Expenditures'!$E$7:$AA$91,MATCH($C434,'Non-Labor Expenditures'!$C$7:$C$91,0),MATCH($G434,'Non-Labor Expenditures'!$E$5:$AA$5,0)),"NA")</f>
        <v>4418.20164256302</v>
      </c>
      <c r="W434" s="125">
        <f t="shared" ref="W434:W452" si="820">+V434/DK434</f>
        <v>52.114954853417395</v>
      </c>
      <c r="X434" s="125"/>
      <c r="Y434" s="125"/>
      <c r="Z434" s="125"/>
      <c r="AA434" s="125"/>
      <c r="AB434" s="125"/>
      <c r="AC434" s="125">
        <f t="shared" si="800"/>
        <v>3944.9949214103272</v>
      </c>
      <c r="AD434" s="129"/>
      <c r="AE434" s="133">
        <v>365.74609019971837</v>
      </c>
      <c r="AF434" s="134">
        <v>2.3105600174706149E-2</v>
      </c>
      <c r="AG434" s="59">
        <f t="shared" ref="AG434:AG452" si="821">+AF434*$AX434</f>
        <v>0</v>
      </c>
      <c r="AH434" s="134"/>
      <c r="AI434" s="134"/>
      <c r="AJ434" s="129">
        <f t="shared" si="796"/>
        <v>11414.047269948394</v>
      </c>
      <c r="AK434" s="134"/>
      <c r="AL434" s="129"/>
      <c r="AM434" s="129"/>
      <c r="AN434" s="129"/>
      <c r="AO434" s="129"/>
      <c r="AP434" s="133"/>
      <c r="AQ434" s="134"/>
      <c r="AR434" s="93">
        <f t="shared" ref="AR434:AR452" si="822">+J434/AJ434</f>
        <v>0.26728912486699746</v>
      </c>
      <c r="AS434" s="93">
        <f t="shared" ref="AS434:AS452" si="823">+V434/AJ434</f>
        <v>0.38708457552962244</v>
      </c>
      <c r="AT434" s="93">
        <f t="shared" ref="AT434:AT452" si="824">+AC434/AJ434</f>
        <v>0.34562629960338015</v>
      </c>
      <c r="AU434" s="93"/>
      <c r="AV434" s="93"/>
      <c r="AW434" s="134"/>
      <c r="AX434" s="62"/>
      <c r="AY434" s="93"/>
      <c r="AZ434" s="93"/>
      <c r="BA434" s="93"/>
      <c r="BB434" s="234">
        <f>IFERROR(INDEX('Total Customers'!$E$7:$AA$91,MATCH($C434,'Total Customers'!$C$7:$C$91,0),MATCH($G434,'Total Customers'!$E$5:$AA$5,0)),"NA")</f>
        <v>38862</v>
      </c>
      <c r="BC434" s="411">
        <f t="shared" si="754"/>
        <v>-8.4047027827050449E-3</v>
      </c>
      <c r="BD434" s="92"/>
      <c r="BE434" s="281" t="str">
        <f t="shared" si="748"/>
        <v>DELTA NATURAL GAS COMPANY, INC.</v>
      </c>
      <c r="BF434" s="290">
        <f t="shared" si="749"/>
        <v>4057118</v>
      </c>
      <c r="BG434" s="46" t="str">
        <f t="shared" si="750"/>
        <v>KY</v>
      </c>
      <c r="BH434" s="46"/>
      <c r="BI434" s="46" t="str">
        <f t="shared" si="751"/>
        <v>2004 Y</v>
      </c>
      <c r="BJ434" s="129"/>
      <c r="BK434" s="129"/>
      <c r="BL434" s="129">
        <f>INDEX('Dist. Plant Gas Additions'!$E$7:$AD$91,MATCH($C434,'Dist. Plant Gas Additions'!$C$7:$C$91,0),MATCH(Calculation!$G434,'Dist. Plant Gas Additions'!$E$5:$AD$5,0))</f>
        <v>3082</v>
      </c>
      <c r="BM434" s="129">
        <f>INDEX('Gen. Plant Additions'!$E$7:$AD$91,MATCH($C434,'Gen. Plant Additions'!$C$7:$C$91,0),MATCH(Calculation!$G434,'Gen. Plant Additions'!$E$5:$AD$5,0))</f>
        <v>1248</v>
      </c>
      <c r="BN434" s="393">
        <f t="shared" si="801"/>
        <v>0.8218834751706724</v>
      </c>
      <c r="BO434" s="46">
        <f t="shared" si="708"/>
        <v>1025.7105770129992</v>
      </c>
      <c r="BP434" s="46">
        <f t="shared" si="709"/>
        <v>-222.28942298700076</v>
      </c>
      <c r="BQ434" s="129">
        <f>INDEX('Dist Plant Depreciation'!$D$7:$AC$94,MATCH($C434,'Dist Plant Depreciation'!$C$7:$C$94,0),MATCH(Calculation!$G434,'Dist Plant Depreciation'!$D$5:$AC$5,0))</f>
        <v>25847</v>
      </c>
      <c r="BR434" s="129">
        <f>INDEX('Gen. Plant Depreciation'!$D$7:$AC$94,MATCH($C434,'Gen. Plant Depreciation'!$C$7:$C$94,0),MATCH(Calculation!$G434,'Gen. Plant Depreciation'!$D$5:$AC$5,0))</f>
        <v>9640</v>
      </c>
      <c r="BS434" s="129"/>
      <c r="BT434" s="129"/>
      <c r="BU434" s="129"/>
      <c r="BV434" s="129"/>
      <c r="BW434" s="129"/>
      <c r="BX434" s="129"/>
      <c r="BY434" s="129">
        <f>INDEX('Gross Dx Plant'!$D$7:$AC$91,MATCH($C434,'Gross Dx Plant'!$C$7:$C$91,0),MATCH(Calculation!$G434,'Gross Dx Plant'!$D$5:$AC$5,0))</f>
        <v>87884</v>
      </c>
      <c r="BZ434" s="129">
        <f>INDEX('Gross Gen Plant'!$D$7:$AC$91,MATCH($C434,'Gross Gen Plant'!$C$7:$C$91,0),MATCH(Calculation!$G434,'Gross Gen Plant'!$D$5:$AC$5,0))</f>
        <v>19046</v>
      </c>
      <c r="CA434" s="129">
        <f t="shared" si="755"/>
        <v>71443</v>
      </c>
      <c r="CB434" s="129"/>
      <c r="CC434" s="133">
        <v>2004</v>
      </c>
      <c r="CD434" s="129"/>
      <c r="CE434" s="129"/>
      <c r="CF434" s="129"/>
      <c r="CG434" s="137"/>
      <c r="CH434" s="129">
        <f t="shared" si="802"/>
        <v>4330</v>
      </c>
      <c r="CI434" s="46">
        <f t="shared" si="811"/>
        <v>4107.7105770129992</v>
      </c>
      <c r="CJ434" s="46">
        <f t="shared" si="803"/>
        <v>9.9007890882924681</v>
      </c>
      <c r="CK434" s="443">
        <v>0.9375</v>
      </c>
      <c r="CL434" s="46">
        <f>+CL428*CK434+CJ429*CK433+CJ430*CK432+CJ431*CK431+CJ432*CK430+CJ433*CK429+CJ434</f>
        <v>351.12518740775738</v>
      </c>
      <c r="CM434" s="134">
        <f t="shared" si="804"/>
        <v>1.7203243764242895E-2</v>
      </c>
      <c r="CN434" s="135">
        <f t="shared" si="805"/>
        <v>1.1334529616991367E-2</v>
      </c>
      <c r="CO434" s="135">
        <f t="shared" si="813"/>
        <v>1.1193701423202885E-2</v>
      </c>
      <c r="CP434" s="134">
        <f>VLOOKUP($H434,RoR!$E:$F,2,FALSE)</f>
        <v>5.6283333333333331E-2</v>
      </c>
      <c r="CQ434" s="135">
        <v>2.6778252812867276E-2</v>
      </c>
      <c r="CR434" s="135">
        <f t="shared" si="812"/>
        <v>2.9505080520466055E-2</v>
      </c>
      <c r="CS434" s="135">
        <f t="shared" si="815"/>
        <v>1.9708240185330739E-2</v>
      </c>
      <c r="CT434" s="135">
        <f t="shared" si="816"/>
        <v>5.5940039414565046E-2</v>
      </c>
      <c r="CU434" s="139">
        <f t="shared" si="806"/>
        <v>0.85466708209999998</v>
      </c>
      <c r="CV434" s="335">
        <f t="shared" si="807"/>
        <v>0.91114097628755619</v>
      </c>
      <c r="CW434" s="335">
        <f t="shared" si="808"/>
        <v>0.53081877405981637</v>
      </c>
      <c r="CX434" s="335">
        <f t="shared" si="809"/>
        <v>0.88811215519385678</v>
      </c>
      <c r="CY434" s="335">
        <f t="shared" si="810"/>
        <v>0.42953609753547711</v>
      </c>
      <c r="CZ434" s="336">
        <f>INDEX('State Tax Lookup'!$D$7:$Z$91,MATCH(Calculation!$C434,'State Tax Lookup'!$B$7:$B$91,0),MATCH($H434,'State Tax Lookup'!$D$6:$Z$6,0))</f>
        <v>0.39279166999999998</v>
      </c>
      <c r="DA434" s="303">
        <v>0.37</v>
      </c>
      <c r="DB434" s="57">
        <f t="shared" si="814"/>
        <v>11.430250236629202</v>
      </c>
      <c r="DC434" s="56">
        <f t="shared" si="817"/>
        <v>9.0544245875118737E-2</v>
      </c>
      <c r="DD434" s="303">
        <f>VLOOKUP($H434,RoR!$E:$F,2,FALSE)</f>
        <v>5.6283333333333331E-2</v>
      </c>
      <c r="DE434" s="304">
        <f>HLOOKUP($H434,'GDP-PI'!$D$8:$CQ$11,3,FALSE)</f>
        <v>2.6778252812867276E-2</v>
      </c>
      <c r="DF434" s="303">
        <f>VLOOKUP(H434,'HW Dx Data'!$E:$F,2,FALSE)</f>
        <v>414.88719135228365</v>
      </c>
      <c r="DG434" s="89">
        <f ca="1">VLOOKUP(CC434,'ECI - Input Price'!M$13:N$33,2,FALSE)</f>
        <v>94.35</v>
      </c>
      <c r="DH434" s="89"/>
      <c r="DI434" s="89"/>
      <c r="DJ434" s="56">
        <f t="shared" ref="DJ434:DJ452" ca="1" si="825">LN(DG434/DG433)</f>
        <v>5.5569851154810786E-2</v>
      </c>
      <c r="DK434" s="53">
        <f>HLOOKUP(H434,'GDP-PI'!$8:$9,2,FALSE)</f>
        <v>84.778000000000006</v>
      </c>
      <c r="DL434" s="355">
        <f t="shared" si="818"/>
        <v>2.6425990216022755E-2</v>
      </c>
      <c r="EC434"/>
    </row>
    <row r="435" spans="1:133" s="126" customFormat="1" ht="21" customHeight="1" x14ac:dyDescent="0.4">
      <c r="A435" s="233" t="s">
        <v>208</v>
      </c>
      <c r="B435" s="127" t="s">
        <v>208</v>
      </c>
      <c r="C435" s="127">
        <v>4057118</v>
      </c>
      <c r="D435" s="127" t="s">
        <v>209</v>
      </c>
      <c r="E435" s="127"/>
      <c r="F435" s="127"/>
      <c r="G435" s="127" t="s">
        <v>161</v>
      </c>
      <c r="H435" s="128">
        <v>2005</v>
      </c>
      <c r="I435" s="129"/>
      <c r="J435" s="125">
        <f>IFERROR(INDEX('Labor Expenditures'!$E$7:$W$91,MATCH($C435,'Labor Expenditures'!$C$7:$C$91,0),MATCH($G435,'Labor Expenditures'!$E$5:$W$5,0)),"NA")</f>
        <v>3189.0305908644023</v>
      </c>
      <c r="K435" s="125">
        <f t="shared" ca="1" si="819"/>
        <v>32.139386151316728</v>
      </c>
      <c r="L435" s="47"/>
      <c r="M435" s="131">
        <f t="shared" ref="M435:M451" ca="1" si="826">LN(K435/K434)</f>
        <v>-6.0822179730918736E-3</v>
      </c>
      <c r="N435" s="131"/>
      <c r="O435" s="131"/>
      <c r="P435" s="59"/>
      <c r="Q435" s="61"/>
      <c r="R435" s="387"/>
      <c r="S435" s="49">
        <v>100</v>
      </c>
      <c r="T435" s="46"/>
      <c r="U435" s="46"/>
      <c r="V435" s="125">
        <f>IFERROR(INDEX('Non-Labor Expenditures'!$E$7:$AA$91,MATCH($C435,'Non-Labor Expenditures'!$C$7:$C$91,0),MATCH($G435,'Non-Labor Expenditures'!$E$5:$AA$5,0)),"NA")</f>
        <v>4618.3119243252986</v>
      </c>
      <c r="W435" s="125">
        <f t="shared" si="820"/>
        <v>52.836865746739953</v>
      </c>
      <c r="X435" s="131">
        <f>LN(W435/W434)</f>
        <v>1.3757213070744241E-2</v>
      </c>
      <c r="Y435" s="131"/>
      <c r="Z435" s="131"/>
      <c r="AA435" s="131"/>
      <c r="AB435" s="131"/>
      <c r="AC435" s="125">
        <f t="shared" si="800"/>
        <v>4489.2280004970498</v>
      </c>
      <c r="AD435" s="129"/>
      <c r="AE435" s="133">
        <v>371.36982946058737</v>
      </c>
      <c r="AF435" s="134">
        <v>1.5259060967856158E-2</v>
      </c>
      <c r="AG435" s="59">
        <f t="shared" si="821"/>
        <v>0</v>
      </c>
      <c r="AH435" s="134"/>
      <c r="AI435" s="134"/>
      <c r="AJ435" s="129">
        <f t="shared" si="796"/>
        <v>12296.570515686752</v>
      </c>
      <c r="AK435" s="134">
        <f>LN(AJ435/AJ434)</f>
        <v>7.4475590131310124E-2</v>
      </c>
      <c r="AL435" s="129"/>
      <c r="AM435" s="129"/>
      <c r="AN435" s="129"/>
      <c r="AO435" s="129"/>
      <c r="AP435" s="133"/>
      <c r="AQ435" s="134"/>
      <c r="AR435" s="93">
        <f t="shared" si="822"/>
        <v>0.25934308974979259</v>
      </c>
      <c r="AS435" s="93">
        <f t="shared" si="823"/>
        <v>0.37557723256526782</v>
      </c>
      <c r="AT435" s="93">
        <f t="shared" si="824"/>
        <v>0.36507967768493954</v>
      </c>
      <c r="AU435" s="93">
        <f t="shared" ref="AU435:AU451" ca="1" si="827">+(((AR435+AR434)/2)*M435+((AS434+AS435)/2)*X435+((AT434+AT435)/2)*AF435)</f>
        <v>9.066857455795654E-3</v>
      </c>
      <c r="AV435" s="132">
        <v>100</v>
      </c>
      <c r="AW435" s="134"/>
      <c r="AX435" s="15"/>
      <c r="AY435" s="93"/>
      <c r="AZ435" s="93"/>
      <c r="BA435" s="93"/>
      <c r="BB435" s="234">
        <f>IFERROR(INDEX('Total Customers'!$E$7:$AA$91,MATCH($C435,'Total Customers'!$C$7:$C$91,0),MATCH($G435,'Total Customers'!$E$5:$AA$5,0)),"NA")</f>
        <v>38408</v>
      </c>
      <c r="BC435" s="411">
        <f t="shared" si="754"/>
        <v>-1.1751138200195761E-2</v>
      </c>
      <c r="BD435" s="92"/>
      <c r="BE435" s="281" t="str">
        <f t="shared" si="748"/>
        <v>DELTA NATURAL GAS COMPANY, INC.</v>
      </c>
      <c r="BF435" s="290">
        <f t="shared" si="749"/>
        <v>4057118</v>
      </c>
      <c r="BG435" s="46" t="str">
        <f t="shared" si="750"/>
        <v>KY</v>
      </c>
      <c r="BH435" s="46"/>
      <c r="BI435" s="46" t="str">
        <f t="shared" si="751"/>
        <v>2005 Y</v>
      </c>
      <c r="BJ435" s="129"/>
      <c r="BK435" s="129"/>
      <c r="BL435" s="129">
        <f>INDEX('Dist. Plant Gas Additions'!$E$7:$AD$91,MATCH($C435,'Dist. Plant Gas Additions'!$C$7:$C$91,0),MATCH(Calculation!$G435,'Dist. Plant Gas Additions'!$E$5:$AD$5,0))</f>
        <v>2909</v>
      </c>
      <c r="BM435" s="129">
        <f>INDEX('Gen. Plant Additions'!$E$7:$AD$91,MATCH($C435,'Gen. Plant Additions'!$C$7:$C$91,0),MATCH(Calculation!$G435,'Gen. Plant Additions'!$E$5:$AD$5,0))</f>
        <v>763</v>
      </c>
      <c r="BN435" s="393">
        <f t="shared" si="801"/>
        <v>0.82622201169633258</v>
      </c>
      <c r="BO435" s="46">
        <f t="shared" si="708"/>
        <v>630.4073949243018</v>
      </c>
      <c r="BP435" s="46">
        <f t="shared" si="709"/>
        <v>-132.5926050756982</v>
      </c>
      <c r="BQ435" s="129">
        <f>INDEX('Dist Plant Depreciation'!$D$7:$AC$94,MATCH($C435,'Dist Plant Depreciation'!$C$7:$C$94,0),MATCH(Calculation!$G435,'Dist Plant Depreciation'!$D$5:$AC$5,0))</f>
        <v>27911</v>
      </c>
      <c r="BR435" s="129">
        <f>INDEX('Gen. Plant Depreciation'!$D$7:$AC$94,MATCH($C435,'Gen. Plant Depreciation'!$C$7:$C$94,0),MATCH(Calculation!$G435,'Gen. Plant Depreciation'!$D$5:$AC$5,0))</f>
        <v>9689</v>
      </c>
      <c r="BS435" s="129"/>
      <c r="BT435" s="129"/>
      <c r="BU435" s="129"/>
      <c r="BV435" s="129"/>
      <c r="BW435" s="129"/>
      <c r="BX435" s="129"/>
      <c r="BY435" s="129">
        <f>INDEX('Gross Dx Plant'!$D$7:$AC$91,MATCH($C435,'Gross Dx Plant'!$C$7:$C$91,0),MATCH(Calculation!$G435,'Gross Dx Plant'!$D$5:$AC$5,0))</f>
        <v>90701</v>
      </c>
      <c r="BZ435" s="129">
        <f>INDEX('Gross Gen Plant'!$D$7:$AC$91,MATCH($C435,'Gross Gen Plant'!$C$7:$C$91,0),MATCH(Calculation!$G435,'Gross Gen Plant'!$D$5:$AC$5,0))</f>
        <v>19077</v>
      </c>
      <c r="CA435" s="129">
        <f t="shared" si="755"/>
        <v>72178</v>
      </c>
      <c r="CB435" s="129"/>
      <c r="CC435" s="133">
        <v>2005</v>
      </c>
      <c r="CD435" s="129"/>
      <c r="CE435" s="129"/>
      <c r="CF435" s="129"/>
      <c r="CG435" s="137"/>
      <c r="CH435" s="129">
        <f t="shared" si="802"/>
        <v>3672</v>
      </c>
      <c r="CI435" s="46">
        <f t="shared" si="811"/>
        <v>3539.407394924302</v>
      </c>
      <c r="CJ435" s="46">
        <f t="shared" si="803"/>
        <v>7.5434113792720092</v>
      </c>
      <c r="CK435" s="443">
        <v>0.9263157894736842</v>
      </c>
      <c r="CL435" s="46">
        <f>+CL428*CK435+CJ429*CK434+CJ430*CK433+CJ431*CK432+CJ432*CK431+CJ433*CK430+CJ434*CK429+CJ435</f>
        <v>354.57673453137897</v>
      </c>
      <c r="CM435" s="134">
        <f t="shared" si="804"/>
        <v>9.7819618696197465E-3</v>
      </c>
      <c r="CN435" s="135">
        <f t="shared" si="805"/>
        <v>1.1653576565837707E-2</v>
      </c>
      <c r="CO435" s="135">
        <f t="shared" si="813"/>
        <v>1.1346377735955468E-2</v>
      </c>
      <c r="CP435" s="134">
        <f>VLOOKUP($H435,RoR!$E:$F,2,FALSE)</f>
        <v>5.2350000000000001E-2</v>
      </c>
      <c r="CQ435" s="135">
        <v>3.1010403642454332E-2</v>
      </c>
      <c r="CR435" s="135">
        <f t="shared" si="812"/>
        <v>2.1339596357545669E-2</v>
      </c>
      <c r="CS435" s="135">
        <f t="shared" si="815"/>
        <v>1.9555563872578157E-2</v>
      </c>
      <c r="CT435" s="135">
        <f t="shared" si="816"/>
        <v>9.2129610649277341E-2</v>
      </c>
      <c r="CU435" s="139">
        <f t="shared" si="806"/>
        <v>0.85466708209999998</v>
      </c>
      <c r="CV435" s="335">
        <f t="shared" si="807"/>
        <v>0.97959983346802826</v>
      </c>
      <c r="CW435" s="335">
        <f t="shared" si="808"/>
        <v>0.49744508118433622</v>
      </c>
      <c r="CX435" s="335">
        <f t="shared" si="809"/>
        <v>0.87010519444335932</v>
      </c>
      <c r="CY435" s="335">
        <f t="shared" si="810"/>
        <v>0.42399975420741998</v>
      </c>
      <c r="CZ435" s="336">
        <f>INDEX('State Tax Lookup'!$D$7:$Z$91,MATCH(Calculation!$C435,'State Tax Lookup'!$B$7:$B$91,0),MATCH($H435,'State Tax Lookup'!$D$6:$Z$6,0))</f>
        <v>0.39279166999999998</v>
      </c>
      <c r="DA435" s="303">
        <v>0.37</v>
      </c>
      <c r="DB435" s="57">
        <f t="shared" si="814"/>
        <v>12.785263380390209</v>
      </c>
      <c r="DC435" s="56">
        <f t="shared" si="817"/>
        <v>0.11202983872992264</v>
      </c>
      <c r="DD435" s="303">
        <f>VLOOKUP($H435,RoR!$E:$F,2,FALSE)</f>
        <v>5.2350000000000001E-2</v>
      </c>
      <c r="DE435" s="304">
        <f>HLOOKUP($H435,'GDP-PI'!$D$8:$CQ$11,3,FALSE)</f>
        <v>3.1010403642454332E-2</v>
      </c>
      <c r="DF435" s="303">
        <f>VLOOKUP(H435,'HW Dx Data'!$E:$F,2,FALSE)</f>
        <v>469.20514034936258</v>
      </c>
      <c r="DG435" s="89">
        <f ca="1">VLOOKUP(CC435,'ECI - Input Price'!M$13:N$33,2,FALSE)</f>
        <v>99.224999999999994</v>
      </c>
      <c r="DH435" s="89"/>
      <c r="DI435" s="89"/>
      <c r="DJ435" s="56">
        <f t="shared" ca="1" si="825"/>
        <v>5.0378726854569796E-2</v>
      </c>
      <c r="DK435" s="53">
        <f>HLOOKUP(H435,'GDP-PI'!$8:$9,2,FALSE)</f>
        <v>87.406999999999996</v>
      </c>
      <c r="DL435" s="355">
        <f t="shared" si="818"/>
        <v>3.0539295810733648E-2</v>
      </c>
      <c r="EC435"/>
    </row>
    <row r="436" spans="1:133" s="126" customFormat="1" ht="21" customHeight="1" x14ac:dyDescent="0.4">
      <c r="A436" s="233" t="s">
        <v>208</v>
      </c>
      <c r="B436" s="127" t="s">
        <v>208</v>
      </c>
      <c r="C436" s="127">
        <v>4057118</v>
      </c>
      <c r="D436" s="127" t="s">
        <v>209</v>
      </c>
      <c r="E436" s="127"/>
      <c r="F436" s="127"/>
      <c r="G436" s="127" t="s">
        <v>162</v>
      </c>
      <c r="H436" s="128">
        <v>2006</v>
      </c>
      <c r="I436" s="129"/>
      <c r="J436" s="125">
        <f>IFERROR(INDEX('Labor Expenditures'!$E$7:$W$91,MATCH($C436,'Labor Expenditures'!$C$7:$C$91,0),MATCH($G436,'Labor Expenditures'!$E$5:$W$5,0)),"NA")</f>
        <v>3241.831597828033</v>
      </c>
      <c r="K436" s="125">
        <f t="shared" ca="1" si="819"/>
        <v>29.632829961865017</v>
      </c>
      <c r="L436" s="47"/>
      <c r="M436" s="131">
        <f t="shared" ca="1" si="826"/>
        <v>-8.1199393870924341E-2</v>
      </c>
      <c r="N436" s="131"/>
      <c r="O436" s="131"/>
      <c r="P436" s="59">
        <f t="shared" ref="P436:P452" ca="1" si="828">+M436*$AX436</f>
        <v>-1.368417645781259E-4</v>
      </c>
      <c r="Q436" s="61"/>
      <c r="R436" s="387"/>
      <c r="S436" s="49">
        <f ca="1">+S435*EXP(T436)</f>
        <v>106.87962321391137</v>
      </c>
      <c r="T436" s="61">
        <f ca="1">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</f>
        <v>6.6532998475087285E-2</v>
      </c>
      <c r="U436" s="61"/>
      <c r="V436" s="125">
        <f>IFERROR(INDEX('Non-Labor Expenditures'!$E$7:$AA$91,MATCH($C436,'Non-Labor Expenditures'!$C$7:$C$91,0),MATCH($G436,'Non-Labor Expenditures'!$E$5:$AA$5,0)),"NA")</f>
        <v>4694.7776442763952</v>
      </c>
      <c r="W436" s="125">
        <f t="shared" si="820"/>
        <v>52.121340722921104</v>
      </c>
      <c r="X436" s="131">
        <f t="shared" ref="X436:X451" si="829">LN(W436/W435)</f>
        <v>-1.3634686277627046E-2</v>
      </c>
      <c r="Y436" s="131">
        <f t="shared" ref="Y436:Y452" si="830">+X436*AX436</f>
        <v>-2.2977936666196503E-5</v>
      </c>
      <c r="Z436" s="131"/>
      <c r="AA436" s="131"/>
      <c r="AB436" s="131"/>
      <c r="AC436" s="125">
        <f t="shared" si="800"/>
        <v>4388.2476065250949</v>
      </c>
      <c r="AD436" s="129"/>
      <c r="AE436" s="133">
        <v>379.02164783989065</v>
      </c>
      <c r="AF436" s="134">
        <v>2.0394910767559112E-2</v>
      </c>
      <c r="AG436" s="59">
        <f t="shared" si="821"/>
        <v>3.4370645454356749E-5</v>
      </c>
      <c r="AH436" s="134"/>
      <c r="AI436" s="134"/>
      <c r="AJ436" s="129">
        <f t="shared" si="796"/>
        <v>12324.856848629523</v>
      </c>
      <c r="AK436" s="134">
        <f t="shared" ref="AK436:AK452" si="831">LN(AJ436/AJ435)</f>
        <v>2.2977015076235553E-3</v>
      </c>
      <c r="AL436" s="129"/>
      <c r="AM436" s="129"/>
      <c r="AN436" s="129"/>
      <c r="AO436" s="129"/>
      <c r="AP436" s="133">
        <f t="shared" ref="AP436:AP452" si="832">+(AJ436*1000)/BB436</f>
        <v>329.65621335302438</v>
      </c>
      <c r="AQ436" s="134">
        <f>+BB436/Outputs!$B$14</f>
        <v>1.0780114752414179E-3</v>
      </c>
      <c r="AR436" s="93">
        <f t="shared" si="822"/>
        <v>0.26303198792840443</v>
      </c>
      <c r="AS436" s="93">
        <f t="shared" si="823"/>
        <v>0.38091944611903844</v>
      </c>
      <c r="AT436" s="93">
        <f t="shared" si="824"/>
        <v>0.35604856595255718</v>
      </c>
      <c r="AU436" s="93">
        <f t="shared" ca="1" si="827"/>
        <v>-1.9011894191860293E-2</v>
      </c>
      <c r="AV436" s="132">
        <f ca="1">+AV435*EXP(AU436)</f>
        <v>98.116769197662649</v>
      </c>
      <c r="AW436" s="134">
        <f ca="1">LN(AV436/AV435)</f>
        <v>-1.90118941918603E-2</v>
      </c>
      <c r="AX436" s="56">
        <f>+AJ436/$AL$11</f>
        <v>1.6852559859701838E-3</v>
      </c>
      <c r="AY436" s="135">
        <f ca="1">+AX436*AW436</f>
        <v>-3.2039908491464338E-5</v>
      </c>
      <c r="AZ436" s="93"/>
      <c r="BA436" s="93"/>
      <c r="BB436" s="234">
        <f>IFERROR(INDEX('Total Customers'!$E$7:$AA$91,MATCH($C436,'Total Customers'!$C$7:$C$91,0),MATCH($G436,'Total Customers'!$E$5:$AA$5,0)),"NA")</f>
        <v>37387</v>
      </c>
      <c r="BC436" s="411">
        <f t="shared" si="754"/>
        <v>-2.6942720815692711E-2</v>
      </c>
      <c r="BD436" s="92"/>
      <c r="BE436" s="281" t="str">
        <f t="shared" si="748"/>
        <v>DELTA NATURAL GAS COMPANY, INC.</v>
      </c>
      <c r="BF436" s="290">
        <f t="shared" si="749"/>
        <v>4057118</v>
      </c>
      <c r="BG436" s="46" t="str">
        <f t="shared" si="750"/>
        <v>KY</v>
      </c>
      <c r="BH436" s="46"/>
      <c r="BI436" s="46" t="str">
        <f t="shared" si="751"/>
        <v>2006 Y</v>
      </c>
      <c r="BJ436" s="129"/>
      <c r="BK436" s="129"/>
      <c r="BL436" s="129">
        <f>INDEX('Dist. Plant Gas Additions'!$E$7:$AD$91,MATCH($C436,'Dist. Plant Gas Additions'!$C$7:$C$91,0),MATCH(Calculation!$G436,'Dist. Plant Gas Additions'!$E$5:$AD$5,0))</f>
        <v>2836</v>
      </c>
      <c r="BM436" s="129">
        <f>INDEX('Gen. Plant Additions'!$E$7:$AD$91,MATCH($C436,'Gen. Plant Additions'!$C$7:$C$91,0),MATCH(Calculation!$G436,'Gen. Plant Additions'!$E$5:$AD$5,0))</f>
        <v>1759</v>
      </c>
      <c r="BN436" s="393">
        <f t="shared" si="801"/>
        <v>0.82877934063983671</v>
      </c>
      <c r="BO436" s="46">
        <f t="shared" si="708"/>
        <v>1457.8228601854728</v>
      </c>
      <c r="BP436" s="46">
        <f t="shared" si="709"/>
        <v>-301.17713981452721</v>
      </c>
      <c r="BQ436" s="129">
        <f>INDEX('Dist Plant Depreciation'!$D$7:$AC$94,MATCH($C436,'Dist Plant Depreciation'!$C$7:$C$94,0),MATCH(Calculation!$G436,'Dist Plant Depreciation'!$D$5:$AC$5,0))</f>
        <v>30164</v>
      </c>
      <c r="BR436" s="129">
        <f>INDEX('Gen. Plant Depreciation'!$D$7:$AC$94,MATCH($C436,'Gen. Plant Depreciation'!$C$7:$C$94,0),MATCH(Calculation!$G436,'Gen. Plant Depreciation'!$D$5:$AC$5,0))</f>
        <v>9156</v>
      </c>
      <c r="BS436" s="129"/>
      <c r="BT436" s="129"/>
      <c r="BU436" s="129"/>
      <c r="BV436" s="129"/>
      <c r="BW436" s="129"/>
      <c r="BX436" s="129"/>
      <c r="BY436" s="129">
        <f>INDEX('Gross Dx Plant'!$D$7:$AC$91,MATCH($C436,'Gross Dx Plant'!$C$7:$C$91,0),MATCH(Calculation!$G436,'Gross Dx Plant'!$D$5:$AC$5,0))</f>
        <v>93391</v>
      </c>
      <c r="BZ436" s="129">
        <f>INDEX('Gross Gen Plant'!$D$7:$AC$91,MATCH($C436,'Gross Gen Plant'!$C$7:$C$91,0),MATCH(Calculation!$G436,'Gross Gen Plant'!$D$5:$AC$5,0))</f>
        <v>19294</v>
      </c>
      <c r="CA436" s="129">
        <f t="shared" si="755"/>
        <v>73365</v>
      </c>
      <c r="CB436" s="134"/>
      <c r="CC436" s="133">
        <v>2006</v>
      </c>
      <c r="CD436" s="129"/>
      <c r="CE436" s="129"/>
      <c r="CF436" s="129"/>
      <c r="CG436" s="137"/>
      <c r="CH436" s="129">
        <f t="shared" si="802"/>
        <v>4595</v>
      </c>
      <c r="CI436" s="46">
        <f t="shared" si="811"/>
        <v>4293.8228601854726</v>
      </c>
      <c r="CJ436" s="46">
        <f t="shared" si="803"/>
        <v>9.3124187415436133</v>
      </c>
      <c r="CK436" s="443">
        <v>0.91489361702127658</v>
      </c>
      <c r="CL436" s="46">
        <f>+CL428*CK436+CJ429*CK435+CJ430*CK434+CJ431*CK433+CJ432*CK432+CJ433*CK431+CJ434*CK430+CJ435*CK429+CJ436</f>
        <v>359.63616456070639</v>
      </c>
      <c r="CM436" s="134">
        <f t="shared" si="804"/>
        <v>1.4168085367960579E-2</v>
      </c>
      <c r="CN436" s="135">
        <f t="shared" si="805"/>
        <v>1.1994550961830861E-2</v>
      </c>
      <c r="CO436" s="135">
        <f t="shared" si="813"/>
        <v>1.1660885714886646E-2</v>
      </c>
      <c r="CP436" s="134">
        <f>VLOOKUP($H436,RoR!$E:$F,2,FALSE)</f>
        <v>5.5874999999999994E-2</v>
      </c>
      <c r="CQ436" s="135">
        <v>3.0512430354548314E-2</v>
      </c>
      <c r="CR436" s="135">
        <f t="shared" si="812"/>
        <v>2.536256964545168E-2</v>
      </c>
      <c r="CS436" s="135">
        <f t="shared" si="815"/>
        <v>1.9241055893646979E-2</v>
      </c>
      <c r="CT436" s="135">
        <f t="shared" si="816"/>
        <v>7.9087823893859641E-2</v>
      </c>
      <c r="CU436" s="139">
        <f t="shared" si="806"/>
        <v>0.85466708209999998</v>
      </c>
      <c r="CV436" s="335">
        <f t="shared" si="807"/>
        <v>0.91779957551769631</v>
      </c>
      <c r="CW436" s="335">
        <f t="shared" si="808"/>
        <v>0.52757270693512304</v>
      </c>
      <c r="CX436" s="335">
        <f t="shared" si="809"/>
        <v>0.88636824549024895</v>
      </c>
      <c r="CY436" s="335">
        <f t="shared" si="810"/>
        <v>0.42918482841932087</v>
      </c>
      <c r="CZ436" s="336">
        <f>INDEX('State Tax Lookup'!$D$7:$Z$91,MATCH(Calculation!$C436,'State Tax Lookup'!$B$7:$B$91,0),MATCH($H436,'State Tax Lookup'!$D$6:$Z$6,0))</f>
        <v>0.39279166999999998</v>
      </c>
      <c r="DA436" s="303">
        <v>0.37</v>
      </c>
      <c r="DB436" s="57">
        <f t="shared" si="814"/>
        <v>12.376016752268747</v>
      </c>
      <c r="DC436" s="56">
        <f t="shared" si="817"/>
        <v>-3.2532742386275626E-2</v>
      </c>
      <c r="DD436" s="303">
        <f>VLOOKUP($H436,RoR!$E:$F,2,FALSE)</f>
        <v>5.5874999999999994E-2</v>
      </c>
      <c r="DE436" s="304">
        <f>HLOOKUP($H436,'GDP-PI'!$D$8:$CQ$11,3,FALSE)</f>
        <v>3.0512430354548314E-2</v>
      </c>
      <c r="DF436" s="303">
        <f>VLOOKUP(H436,'HW Dx Data'!$E:$F,2,FALSE)</f>
        <v>461.08567272971823</v>
      </c>
      <c r="DG436" s="89">
        <f ca="1">VLOOKUP(CC436,'ECI - Input Price'!M$13:N$33,2,FALSE)</f>
        <v>109.4</v>
      </c>
      <c r="DH436" s="89"/>
      <c r="DI436" s="89"/>
      <c r="DJ436" s="56">
        <f t="shared" ca="1" si="825"/>
        <v>9.7620891318751846E-2</v>
      </c>
      <c r="DK436" s="53">
        <f>HLOOKUP(H436,'GDP-PI'!$8:$9,2,FALSE)</f>
        <v>90.073999999999998</v>
      </c>
      <c r="DL436" s="355">
        <f t="shared" si="818"/>
        <v>3.005618372545445E-2</v>
      </c>
      <c r="EC436"/>
    </row>
    <row r="437" spans="1:133" s="126" customFormat="1" ht="21" customHeight="1" x14ac:dyDescent="0.4">
      <c r="A437" s="233" t="s">
        <v>208</v>
      </c>
      <c r="B437" s="127" t="s">
        <v>208</v>
      </c>
      <c r="C437" s="127">
        <v>4057118</v>
      </c>
      <c r="D437" s="127" t="s">
        <v>209</v>
      </c>
      <c r="E437" s="127"/>
      <c r="F437" s="127"/>
      <c r="G437" s="127" t="s">
        <v>163</v>
      </c>
      <c r="H437" s="128">
        <v>2007</v>
      </c>
      <c r="I437" s="129"/>
      <c r="J437" s="125">
        <f>IFERROR(INDEX('Labor Expenditures'!$E$7:$W$91,MATCH($C437,'Labor Expenditures'!$C$7:$C$91,0),MATCH($G437,'Labor Expenditures'!$E$5:$W$5,0)),"NA")</f>
        <v>3421.642050850312</v>
      </c>
      <c r="K437" s="125">
        <f t="shared" ca="1" si="819"/>
        <v>32.735154755803038</v>
      </c>
      <c r="L437" s="47"/>
      <c r="M437" s="131">
        <f t="shared" ca="1" si="826"/>
        <v>9.9566702371442495E-2</v>
      </c>
      <c r="N437" s="131"/>
      <c r="O437" s="131"/>
      <c r="P437" s="59">
        <f t="shared" ca="1" si="828"/>
        <v>1.702978886565676E-4</v>
      </c>
      <c r="Q437" s="61"/>
      <c r="R437" s="387"/>
      <c r="S437" s="49">
        <f t="shared" ref="S437:S450" ca="1" si="833">+S436*EXP(T437)</f>
        <v>117.63381818077401</v>
      </c>
      <c r="T437" s="61">
        <f ca="1">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</f>
        <v>9.5873379225550781E-2</v>
      </c>
      <c r="U437" s="61"/>
      <c r="V437" s="125">
        <f>IFERROR(INDEX('Non-Labor Expenditures'!$E$7:$AA$91,MATCH($C437,'Non-Labor Expenditures'!$C$7:$C$91,0),MATCH($G437,'Non-Labor Expenditures'!$E$5:$AA$5,0)),"NA")</f>
        <v>4955.1767642127252</v>
      </c>
      <c r="W437" s="125">
        <f t="shared" si="820"/>
        <v>53.570636816068728</v>
      </c>
      <c r="X437" s="131">
        <f t="shared" si="829"/>
        <v>2.7426621676152264E-2</v>
      </c>
      <c r="Y437" s="131">
        <f t="shared" si="830"/>
        <v>4.6910218508660991E-5</v>
      </c>
      <c r="Z437" s="131"/>
      <c r="AA437" s="131"/>
      <c r="AB437" s="131"/>
      <c r="AC437" s="125">
        <f t="shared" si="800"/>
        <v>4733.9454092734732</v>
      </c>
      <c r="AD437" s="129"/>
      <c r="AE437" s="133">
        <v>384.51021355741671</v>
      </c>
      <c r="AF437" s="134">
        <v>1.4377030048856675E-2</v>
      </c>
      <c r="AG437" s="59">
        <f t="shared" si="821"/>
        <v>2.4590327932509283E-5</v>
      </c>
      <c r="AH437" s="134"/>
      <c r="AI437" s="134"/>
      <c r="AJ437" s="129">
        <f t="shared" si="796"/>
        <v>13110.764224336512</v>
      </c>
      <c r="AK437" s="134">
        <f t="shared" si="831"/>
        <v>6.1815484167936065E-2</v>
      </c>
      <c r="AL437" s="129"/>
      <c r="AM437" s="129"/>
      <c r="AN437" s="129"/>
      <c r="AO437" s="129"/>
      <c r="AP437" s="133">
        <f t="shared" si="832"/>
        <v>353.83812982313208</v>
      </c>
      <c r="AQ437" s="134">
        <f>+BB437/Outputs!$B$15</f>
        <v>1.0603370499931192E-3</v>
      </c>
      <c r="AR437" s="93">
        <f t="shared" si="822"/>
        <v>0.26097960365262146</v>
      </c>
      <c r="AS437" s="93">
        <f t="shared" si="823"/>
        <v>0.37794721035519868</v>
      </c>
      <c r="AT437" s="93">
        <f t="shared" si="824"/>
        <v>0.36107318599217975</v>
      </c>
      <c r="AU437" s="93">
        <f t="shared" ca="1" si="827"/>
        <v>4.1648667922148809E-2</v>
      </c>
      <c r="AV437" s="132">
        <f ca="1">+AV436*EXP(AU437)</f>
        <v>102.28949297524426</v>
      </c>
      <c r="AW437" s="134">
        <f ca="1">LN(AV437/AV436)</f>
        <v>4.1648667922148802E-2</v>
      </c>
      <c r="AX437" s="56">
        <f>+AJ437/$AL$12</f>
        <v>1.7103899657262534E-3</v>
      </c>
      <c r="AY437" s="135">
        <f t="shared" ref="AY437:AY451" ca="1" si="834">+AX437*AW437</f>
        <v>7.1235463699908201E-5</v>
      </c>
      <c r="AZ437" s="93"/>
      <c r="BA437" s="93"/>
      <c r="BB437" s="234">
        <f>IFERROR(INDEX('Total Customers'!$E$7:$AA$91,MATCH($C437,'Total Customers'!$C$7:$C$91,0),MATCH($G437,'Total Customers'!$E$5:$AA$5,0)),"NA")</f>
        <v>37053</v>
      </c>
      <c r="BC437" s="411">
        <f t="shared" si="754"/>
        <v>-8.9737302889595916E-3</v>
      </c>
      <c r="BD437" s="92"/>
      <c r="BE437" s="281" t="str">
        <f t="shared" si="748"/>
        <v>DELTA NATURAL GAS COMPANY, INC.</v>
      </c>
      <c r="BF437" s="290">
        <f t="shared" si="749"/>
        <v>4057118</v>
      </c>
      <c r="BG437" s="46" t="str">
        <f t="shared" si="750"/>
        <v>KY</v>
      </c>
      <c r="BH437" s="46"/>
      <c r="BI437" s="46" t="str">
        <f t="shared" si="751"/>
        <v>2007 Y</v>
      </c>
      <c r="BJ437" s="129"/>
      <c r="BK437" s="129"/>
      <c r="BL437" s="129">
        <f>INDEX('Dist. Plant Gas Additions'!$E$7:$AD$91,MATCH($C437,'Dist. Plant Gas Additions'!$C$7:$C$91,0),MATCH(Calculation!$G437,'Dist. Plant Gas Additions'!$E$5:$AD$5,0))</f>
        <v>2565</v>
      </c>
      <c r="BM437" s="129">
        <f>INDEX('Gen. Plant Additions'!$E$7:$AD$91,MATCH($C437,'Gen. Plant Additions'!$C$7:$C$91,0),MATCH(Calculation!$G437,'Gen. Plant Additions'!$E$5:$AD$5,0))</f>
        <v>1384</v>
      </c>
      <c r="BN437" s="393">
        <f t="shared" si="801"/>
        <v>0.82502010915161006</v>
      </c>
      <c r="BO437" s="46">
        <f t="shared" si="708"/>
        <v>1141.8278310658284</v>
      </c>
      <c r="BP437" s="46">
        <f t="shared" si="709"/>
        <v>-242.17216893417162</v>
      </c>
      <c r="BQ437" s="129">
        <f>INDEX('Dist Plant Depreciation'!$D$7:$AC$94,MATCH($C437,'Dist Plant Depreciation'!$C$7:$C$94,0),MATCH(Calculation!$G437,'Dist Plant Depreciation'!$D$5:$AC$5,0))</f>
        <v>32424</v>
      </c>
      <c r="BR437" s="129">
        <f>INDEX('Gen. Plant Depreciation'!$D$7:$AC$94,MATCH($C437,'Gen. Plant Depreciation'!$C$7:$C$94,0),MATCH(Calculation!$G437,'Gen. Plant Depreciation'!$D$5:$AC$5,0))</f>
        <v>10252</v>
      </c>
      <c r="BS437" s="129"/>
      <c r="BT437" s="129"/>
      <c r="BU437" s="129"/>
      <c r="BV437" s="129"/>
      <c r="BW437" s="129"/>
      <c r="BX437" s="129"/>
      <c r="BY437" s="129">
        <f>INDEX('Gross Dx Plant'!$D$7:$AC$91,MATCH($C437,'Gross Dx Plant'!$C$7:$C$91,0),MATCH(Calculation!$G437,'Gross Dx Plant'!$D$5:$AC$5,0))</f>
        <v>95388</v>
      </c>
      <c r="BZ437" s="129">
        <f>INDEX('Gross Gen Plant'!$D$7:$AC$91,MATCH($C437,'Gross Gen Plant'!$C$7:$C$91,0),MATCH(Calculation!$G437,'Gross Gen Plant'!$D$5:$AC$5,0))</f>
        <v>20231</v>
      </c>
      <c r="CA437" s="129">
        <f t="shared" si="755"/>
        <v>72943</v>
      </c>
      <c r="CB437" s="129"/>
      <c r="CC437" s="133">
        <v>2007</v>
      </c>
      <c r="CD437" s="129"/>
      <c r="CE437" s="129"/>
      <c r="CF437" s="129"/>
      <c r="CG437" s="137"/>
      <c r="CH437" s="129">
        <f t="shared" si="802"/>
        <v>3949</v>
      </c>
      <c r="CI437" s="46">
        <f t="shared" si="811"/>
        <v>3706.8278310658284</v>
      </c>
      <c r="CJ437" s="46">
        <f t="shared" si="803"/>
        <v>7.4430958530713811</v>
      </c>
      <c r="CK437" s="443">
        <v>0.90322580645161288</v>
      </c>
      <c r="CL437" s="46">
        <f>+CL428*CK437+CJ429*CK436+CJ430*CK435+CJ431*CK434+CJ432*CK433+CJ433*CK432+CJ434*CK431+CJ435*CK430+CJ436*CK429+CJ437</f>
        <v>362.64336975567096</v>
      </c>
      <c r="CM437" s="134">
        <f t="shared" si="804"/>
        <v>8.3270324813839221E-3</v>
      </c>
      <c r="CN437" s="135">
        <f t="shared" si="805"/>
        <v>1.2334384289536697E-2</v>
      </c>
      <c r="CO437" s="135">
        <f t="shared" si="813"/>
        <v>1.1994170605735087E-2</v>
      </c>
      <c r="CP437" s="134">
        <f>VLOOKUP($H437,RoR!$E:$F,2,FALSE)</f>
        <v>5.5558333333333321E-2</v>
      </c>
      <c r="CQ437" s="135">
        <v>2.691120634145272E-2</v>
      </c>
      <c r="CR437" s="135">
        <f t="shared" si="812"/>
        <v>2.86471269918806E-2</v>
      </c>
      <c r="CS437" s="135">
        <f t="shared" si="815"/>
        <v>1.8907771002798536E-2</v>
      </c>
      <c r="CT437" s="135">
        <f t="shared" si="816"/>
        <v>6.4575155250632399E-2</v>
      </c>
      <c r="CU437" s="139">
        <f t="shared" si="806"/>
        <v>0.85466708209999998</v>
      </c>
      <c r="CV437" s="335">
        <f t="shared" si="807"/>
        <v>0.92303077153834634</v>
      </c>
      <c r="CW437" s="335">
        <f t="shared" si="808"/>
        <v>0.52502249887505614</v>
      </c>
      <c r="CX437" s="335">
        <f t="shared" si="809"/>
        <v>0.88499666072084604</v>
      </c>
      <c r="CY437" s="335">
        <f t="shared" si="810"/>
        <v>0.42887993290280618</v>
      </c>
      <c r="CZ437" s="336">
        <f>INDEX('State Tax Lookup'!$D$7:$Z$91,MATCH(Calculation!$C437,'State Tax Lookup'!$B$7:$B$91,0),MATCH($H437,'State Tax Lookup'!$D$6:$Z$6,0))</f>
        <v>0.39279166999999998</v>
      </c>
      <c r="DA437" s="303">
        <v>0.37</v>
      </c>
      <c r="DB437" s="57">
        <f t="shared" si="814"/>
        <v>13.163151751036944</v>
      </c>
      <c r="DC437" s="56">
        <f t="shared" si="817"/>
        <v>6.1660925103372538E-2</v>
      </c>
      <c r="DD437" s="303">
        <f>VLOOKUP($H437,RoR!$E:$F,2,FALSE)</f>
        <v>5.5558333333333321E-2</v>
      </c>
      <c r="DE437" s="304">
        <f>HLOOKUP($H437,'GDP-PI'!$D$8:$CQ$11,3,FALSE)</f>
        <v>2.691120634145272E-2</v>
      </c>
      <c r="DF437" s="303">
        <f>VLOOKUP(H437,'HW Dx Data'!$E:$F,2,FALSE)</f>
        <v>498.0223154772637</v>
      </c>
      <c r="DG437" s="89">
        <f ca="1">VLOOKUP(CC437,'ECI - Input Price'!M$13:N$33,2,FALSE)</f>
        <v>104.52499999999999</v>
      </c>
      <c r="DH437" s="89"/>
      <c r="DI437" s="89"/>
      <c r="DJ437" s="56">
        <f t="shared" ca="1" si="825"/>
        <v>-4.5584612745252218E-2</v>
      </c>
      <c r="DK437" s="53">
        <f>HLOOKUP(H437,'GDP-PI'!$8:$9,2,FALSE)</f>
        <v>92.498000000000005</v>
      </c>
      <c r="DL437" s="355">
        <f t="shared" si="818"/>
        <v>2.6555467950038037E-2</v>
      </c>
      <c r="EC437"/>
    </row>
    <row r="438" spans="1:133" s="126" customFormat="1" ht="21" customHeight="1" x14ac:dyDescent="0.4">
      <c r="A438" s="233" t="s">
        <v>208</v>
      </c>
      <c r="B438" s="127" t="s">
        <v>208</v>
      </c>
      <c r="C438" s="127">
        <v>4057118</v>
      </c>
      <c r="D438" s="127" t="s">
        <v>209</v>
      </c>
      <c r="E438" s="127"/>
      <c r="F438" s="127"/>
      <c r="G438" s="127" t="s">
        <v>164</v>
      </c>
      <c r="H438" s="128">
        <v>2008</v>
      </c>
      <c r="I438" s="129"/>
      <c r="J438" s="125">
        <f>IFERROR(INDEX('Labor Expenditures'!$E$7:$W$91,MATCH($C438,'Labor Expenditures'!$C$7:$C$91,0),MATCH($G438,'Labor Expenditures'!$E$5:$W$5,0)),"NA")</f>
        <v>3716.8762775798655</v>
      </c>
      <c r="K438" s="125">
        <f t="shared" ca="1" si="819"/>
        <v>34.447416845040458</v>
      </c>
      <c r="L438" s="47"/>
      <c r="M438" s="131">
        <f t="shared" ca="1" si="826"/>
        <v>5.0984442505710603E-2</v>
      </c>
      <c r="N438" s="131"/>
      <c r="O438" s="131"/>
      <c r="P438" s="59">
        <f t="shared" ca="1" si="828"/>
        <v>9.1151875008895007E-5</v>
      </c>
      <c r="Q438" s="61"/>
      <c r="R438" s="387"/>
      <c r="S438" s="49">
        <f t="shared" ca="1" si="833"/>
        <v>108.79845745108278</v>
      </c>
      <c r="T438" s="61">
        <f ca="1">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</f>
        <v>-7.8079407206706419E-2</v>
      </c>
      <c r="U438" s="61"/>
      <c r="V438" s="125">
        <f>IFERROR(INDEX('Non-Labor Expenditures'!$E$7:$AA$91,MATCH($C438,'Non-Labor Expenditures'!$C$7:$C$91,0),MATCH($G438,'Non-Labor Expenditures'!$E$5:$AA$5,0)),"NA")</f>
        <v>5382.7310666643916</v>
      </c>
      <c r="W438" s="125">
        <f t="shared" si="820"/>
        <v>57.102722849278535</v>
      </c>
      <c r="X438" s="131">
        <f t="shared" si="829"/>
        <v>6.3850703779138582E-2</v>
      </c>
      <c r="Y438" s="131">
        <f t="shared" si="830"/>
        <v>1.1415465353875602E-4</v>
      </c>
      <c r="Z438" s="131"/>
      <c r="AA438" s="131"/>
      <c r="AB438" s="131"/>
      <c r="AC438" s="125">
        <f t="shared" si="800"/>
        <v>5363.449412252191</v>
      </c>
      <c r="AD438" s="129"/>
      <c r="AE438" s="133">
        <v>391.39641990985939</v>
      </c>
      <c r="AF438" s="134">
        <v>1.7750556225647817E-2</v>
      </c>
      <c r="AG438" s="59">
        <f t="shared" si="821"/>
        <v>3.1735101982087699E-5</v>
      </c>
      <c r="AH438" s="134"/>
      <c r="AI438" s="134"/>
      <c r="AJ438" s="129">
        <f t="shared" si="796"/>
        <v>14463.056756496448</v>
      </c>
      <c r="AK438" s="134">
        <f t="shared" si="831"/>
        <v>9.8163999025063772E-2</v>
      </c>
      <c r="AL438" s="129"/>
      <c r="AM438" s="129"/>
      <c r="AN438" s="129"/>
      <c r="AO438" s="129"/>
      <c r="AP438" s="133">
        <f t="shared" si="832"/>
        <v>397.85043205502842</v>
      </c>
      <c r="AQ438" s="134">
        <f>+BB438/Outputs!$B$16</f>
        <v>1.0347432413288628E-3</v>
      </c>
      <c r="AR438" s="93">
        <f t="shared" si="822"/>
        <v>0.25699105936995903</v>
      </c>
      <c r="AS438" s="93">
        <f t="shared" si="823"/>
        <v>0.3721710532765905</v>
      </c>
      <c r="AT438" s="93">
        <f t="shared" si="824"/>
        <v>0.37083788735345052</v>
      </c>
      <c r="AU438" s="93">
        <f t="shared" ca="1" si="827"/>
        <v>4.3647926599295277E-2</v>
      </c>
      <c r="AV438" s="132">
        <f t="shared" ref="AV438:AV451" ca="1" si="835">+AV437*EXP(AU438)</f>
        <v>106.85308849607219</v>
      </c>
      <c r="AW438" s="134">
        <f t="shared" ref="AW438:AW451" ca="1" si="836">LN(AV438/AV437)</f>
        <v>4.3647926599295249E-2</v>
      </c>
      <c r="AX438" s="56">
        <f>+AJ438/$AL$13</f>
        <v>1.787837044578557E-3</v>
      </c>
      <c r="AY438" s="135">
        <f t="shared" ca="1" si="834"/>
        <v>7.8035380093265802E-5</v>
      </c>
      <c r="AZ438" s="93"/>
      <c r="BA438" s="93"/>
      <c r="BB438" s="234">
        <f>IFERROR(INDEX('Total Customers'!$E$7:$AA$91,MATCH($C438,'Total Customers'!$C$7:$C$91,0),MATCH($G438,'Total Customers'!$E$5:$AA$5,0)),"NA")</f>
        <v>36353</v>
      </c>
      <c r="BC438" s="411">
        <f t="shared" si="754"/>
        <v>-1.9072588600844178E-2</v>
      </c>
      <c r="BD438" s="92"/>
      <c r="BE438" s="281" t="str">
        <f t="shared" si="748"/>
        <v>DELTA NATURAL GAS COMPANY, INC.</v>
      </c>
      <c r="BF438" s="290">
        <f t="shared" si="749"/>
        <v>4057118</v>
      </c>
      <c r="BG438" s="46" t="str">
        <f t="shared" si="750"/>
        <v>KY</v>
      </c>
      <c r="BH438" s="46"/>
      <c r="BI438" s="46" t="str">
        <f t="shared" si="751"/>
        <v>2008 Y</v>
      </c>
      <c r="BJ438" s="129"/>
      <c r="BK438" s="129"/>
      <c r="BL438" s="129">
        <f>INDEX('Dist. Plant Gas Additions'!$E$7:$AD$91,MATCH($C438,'Dist. Plant Gas Additions'!$C$7:$C$91,0),MATCH(Calculation!$G438,'Dist. Plant Gas Additions'!$E$5:$AD$5,0))</f>
        <v>3723</v>
      </c>
      <c r="BM438" s="129">
        <f>INDEX('Gen. Plant Additions'!$E$7:$AD$91,MATCH($C438,'Gen. Plant Additions'!$C$7:$C$91,0),MATCH(Calculation!$G438,'Gen. Plant Additions'!$E$5:$AD$5,0))</f>
        <v>1662</v>
      </c>
      <c r="BN438" s="393">
        <f t="shared" si="801"/>
        <v>0.82544006705783735</v>
      </c>
      <c r="BO438" s="46">
        <f t="shared" si="708"/>
        <v>1371.8813914501256</v>
      </c>
      <c r="BP438" s="46">
        <f t="shared" si="709"/>
        <v>-290.11860854987435</v>
      </c>
      <c r="BQ438" s="129">
        <f>INDEX('Dist Plant Depreciation'!$D$7:$AC$94,MATCH($C438,'Dist Plant Depreciation'!$C$7:$C$94,0),MATCH(Calculation!$G438,'Dist Plant Depreciation'!$D$5:$AC$5,0))</f>
        <v>32965</v>
      </c>
      <c r="BR438" s="129">
        <f>INDEX('Gen. Plant Depreciation'!$D$7:$AC$94,MATCH($C438,'Gen. Plant Depreciation'!$C$7:$C$94,0),MATCH(Calculation!$G438,'Gen. Plant Depreciation'!$D$5:$AC$5,0))</f>
        <v>10536</v>
      </c>
      <c r="BS438" s="129"/>
      <c r="BT438" s="129"/>
      <c r="BU438" s="129"/>
      <c r="BV438" s="129"/>
      <c r="BW438" s="129"/>
      <c r="BX438" s="129"/>
      <c r="BY438" s="129">
        <f>INDEX('Gross Dx Plant'!$D$7:$AC$91,MATCH($C438,'Gross Dx Plant'!$C$7:$C$91,0),MATCH(Calculation!$G438,'Gross Dx Plant'!$D$5:$AC$5,0))</f>
        <v>98475</v>
      </c>
      <c r="BZ438" s="129">
        <f>INDEX('Gross Gen Plant'!$D$7:$AC$91,MATCH($C438,'Gross Gen Plant'!$C$7:$C$91,0),MATCH(Calculation!$G438,'Gross Gen Plant'!$D$5:$AC$5,0))</f>
        <v>20825</v>
      </c>
      <c r="CA438" s="129">
        <f t="shared" si="755"/>
        <v>75799</v>
      </c>
      <c r="CB438" s="129"/>
      <c r="CC438" s="133">
        <v>2008</v>
      </c>
      <c r="CD438" s="129"/>
      <c r="CE438" s="129"/>
      <c r="CF438" s="129"/>
      <c r="CG438" s="137"/>
      <c r="CH438" s="129">
        <f t="shared" si="802"/>
        <v>5385</v>
      </c>
      <c r="CI438" s="46">
        <f t="shared" si="811"/>
        <v>5094.8813914501261</v>
      </c>
      <c r="CJ438" s="46">
        <f t="shared" si="803"/>
        <v>8.94025169041028</v>
      </c>
      <c r="CK438" s="443">
        <v>0.89130434782608692</v>
      </c>
      <c r="CL438" s="46">
        <f>+CL428*CK438+CJ429*CK437+CJ430*CK436+CJ431*CK435+CJ432*CK434+CJ433*CK433+CJ434*CK432+CJ435*CK431+CJ436*CK430+CJ437*CK429+CJ438</f>
        <v>366.9785592972749</v>
      </c>
      <c r="CM438" s="134">
        <f t="shared" si="804"/>
        <v>1.1883525936267372E-2</v>
      </c>
      <c r="CN438" s="135">
        <f t="shared" si="805"/>
        <v>1.2698597390347927E-2</v>
      </c>
      <c r="CO438" s="135">
        <f t="shared" si="813"/>
        <v>1.234251088057183E-2</v>
      </c>
      <c r="CP438" s="134">
        <f>VLOOKUP($H438,RoR!$E:$F,2,FALSE)</f>
        <v>5.6316666666666668E-2</v>
      </c>
      <c r="CQ438" s="135">
        <v>1.9092304698479889E-2</v>
      </c>
      <c r="CR438" s="135">
        <f t="shared" si="812"/>
        <v>3.7224361968186778E-2</v>
      </c>
      <c r="CS438" s="135">
        <f t="shared" si="815"/>
        <v>1.8559430727961797E-2</v>
      </c>
      <c r="CT438" s="135">
        <f t="shared" si="816"/>
        <v>6.9030581091053131E-2</v>
      </c>
      <c r="CU438" s="139">
        <f t="shared" si="806"/>
        <v>0.85466708209999998</v>
      </c>
      <c r="CV438" s="335">
        <f t="shared" si="807"/>
        <v>0.91060168006009956</v>
      </c>
      <c r="CW438" s="335">
        <f t="shared" si="808"/>
        <v>0.53108168097070152</v>
      </c>
      <c r="CX438" s="335">
        <f t="shared" si="809"/>
        <v>0.88825329850328805</v>
      </c>
      <c r="CY438" s="335">
        <f t="shared" si="810"/>
        <v>0.4295627335323573</v>
      </c>
      <c r="CZ438" s="336">
        <f>INDEX('State Tax Lookup'!$D$7:$Z$91,MATCH(Calculation!$C438,'State Tax Lookup'!$B$7:$B$91,0),MATCH($H438,'State Tax Lookup'!$D$6:$Z$6,0))</f>
        <v>0.39279166999999998</v>
      </c>
      <c r="DA438" s="303">
        <v>0.37</v>
      </c>
      <c r="DB438" s="57">
        <f t="shared" si="814"/>
        <v>14.78987308072332</v>
      </c>
      <c r="DC438" s="56">
        <f t="shared" si="817"/>
        <v>0.11652130327829931</v>
      </c>
      <c r="DD438" s="303">
        <f>VLOOKUP($H438,RoR!$E:$F,2,FALSE)</f>
        <v>5.6316666666666668E-2</v>
      </c>
      <c r="DE438" s="304">
        <f>HLOOKUP($H438,'GDP-PI'!$D$8:$CQ$11,3,FALSE)</f>
        <v>1.9092304698479889E-2</v>
      </c>
      <c r="DF438" s="303">
        <f>VLOOKUP(H438,'HW Dx Data'!$E:$F,2,FALSE)</f>
        <v>569.88120333515076</v>
      </c>
      <c r="DG438" s="89">
        <f ca="1">VLOOKUP(CC438,'ECI - Input Price'!M$13:N$33,2,FALSE)</f>
        <v>107.9</v>
      </c>
      <c r="DH438" s="89"/>
      <c r="DI438" s="89"/>
      <c r="DJ438" s="56">
        <f t="shared" ca="1" si="825"/>
        <v>3.1778595021460486E-2</v>
      </c>
      <c r="DK438" s="53">
        <f>HLOOKUP(H438,'GDP-PI'!$8:$9,2,FALSE)</f>
        <v>94.263999999999996</v>
      </c>
      <c r="DL438" s="355">
        <f t="shared" si="818"/>
        <v>1.8912333748032254E-2</v>
      </c>
      <c r="EC438"/>
    </row>
    <row r="439" spans="1:133" s="126" customFormat="1" ht="21" customHeight="1" x14ac:dyDescent="0.4">
      <c r="A439" s="233" t="s">
        <v>208</v>
      </c>
      <c r="B439" s="127" t="s">
        <v>208</v>
      </c>
      <c r="C439" s="127">
        <v>4057118</v>
      </c>
      <c r="D439" s="127" t="s">
        <v>209</v>
      </c>
      <c r="E439" s="127"/>
      <c r="F439" s="127"/>
      <c r="G439" s="127" t="s">
        <v>165</v>
      </c>
      <c r="H439" s="128">
        <v>2009</v>
      </c>
      <c r="I439" s="129"/>
      <c r="J439" s="125">
        <f>IFERROR(INDEX('Labor Expenditures'!$E$7:$W$91,MATCH($C439,'Labor Expenditures'!$C$7:$C$91,0),MATCH($G439,'Labor Expenditures'!$E$5:$W$5,0)),"NA")</f>
        <v>3948.8017119965525</v>
      </c>
      <c r="K439" s="125">
        <f t="shared" ca="1" si="819"/>
        <v>35.598843470782533</v>
      </c>
      <c r="L439" s="47"/>
      <c r="M439" s="131">
        <f t="shared" ca="1" si="826"/>
        <v>3.2879138633601854E-2</v>
      </c>
      <c r="N439" s="131"/>
      <c r="O439" s="131"/>
      <c r="P439" s="59">
        <f t="shared" ca="1" si="828"/>
        <v>5.7598336335122472E-5</v>
      </c>
      <c r="Q439" s="61"/>
      <c r="R439" s="387"/>
      <c r="S439" s="49">
        <f t="shared" ca="1" si="833"/>
        <v>116.71217931022503</v>
      </c>
      <c r="T439" s="61">
        <f ca="1">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</f>
        <v>7.0213741634196275E-2</v>
      </c>
      <c r="U439" s="61"/>
      <c r="V439" s="125">
        <f>IFERROR(INDEX('Non-Labor Expenditures'!$E$7:$AA$91,MATCH($C439,'Non-Labor Expenditures'!$C$7:$C$91,0),MATCH($G439,'Non-Labor Expenditures'!$E$5:$AA$5,0)),"NA")</f>
        <v>5718.6024133956826</v>
      </c>
      <c r="W439" s="125">
        <f t="shared" si="820"/>
        <v>60.196448524675866</v>
      </c>
      <c r="X439" s="131">
        <f t="shared" si="829"/>
        <v>5.2761554816176379E-2</v>
      </c>
      <c r="Y439" s="131">
        <f t="shared" si="830"/>
        <v>9.2428752885890706E-5</v>
      </c>
      <c r="Z439" s="131"/>
      <c r="AA439" s="131"/>
      <c r="AB439" s="131"/>
      <c r="AC439" s="125">
        <f t="shared" si="800"/>
        <v>5147.4303260404185</v>
      </c>
      <c r="AD439" s="129"/>
      <c r="AE439" s="133">
        <v>395.79848162498354</v>
      </c>
      <c r="AF439" s="134">
        <v>1.1184288906479285E-2</v>
      </c>
      <c r="AG439" s="59">
        <f t="shared" si="821"/>
        <v>1.9592862248715253E-5</v>
      </c>
      <c r="AH439" s="134"/>
      <c r="AI439" s="134"/>
      <c r="AJ439" s="129">
        <f t="shared" si="796"/>
        <v>14814.834451432653</v>
      </c>
      <c r="AK439" s="134">
        <f t="shared" si="831"/>
        <v>2.4031418235833588E-2</v>
      </c>
      <c r="AL439" s="129"/>
      <c r="AM439" s="129"/>
      <c r="AN439" s="129"/>
      <c r="AO439" s="129"/>
      <c r="AP439" s="133">
        <f t="shared" si="832"/>
        <v>412.29049763261219</v>
      </c>
      <c r="AQ439" s="134">
        <f>+BB439/Outputs!$B$17</f>
        <v>1.0214846365106064E-3</v>
      </c>
      <c r="AR439" s="93">
        <f t="shared" si="822"/>
        <v>0.26654376226355253</v>
      </c>
      <c r="AS439" s="93">
        <f t="shared" si="823"/>
        <v>0.38600515126530294</v>
      </c>
      <c r="AT439" s="93">
        <f t="shared" si="824"/>
        <v>0.34745108647114459</v>
      </c>
      <c r="AU439" s="93">
        <f t="shared" ca="1" si="827"/>
        <v>3.262474037892836E-2</v>
      </c>
      <c r="AV439" s="132">
        <f t="shared" ca="1" si="835"/>
        <v>110.39663206241174</v>
      </c>
      <c r="AW439" s="134">
        <f t="shared" ca="1" si="836"/>
        <v>3.2624740378928437E-2</v>
      </c>
      <c r="AX439" s="56">
        <f>+AJ439/$AL$14</f>
        <v>1.7518201123510599E-3</v>
      </c>
      <c r="AY439" s="135">
        <f t="shared" ca="1" si="834"/>
        <v>5.7152676356038577E-5</v>
      </c>
      <c r="AZ439" s="93"/>
      <c r="BA439" s="93"/>
      <c r="BB439" s="234">
        <f>IFERROR(INDEX('Total Customers'!$E$7:$AA$91,MATCH($C439,'Total Customers'!$C$7:$C$91,0),MATCH($G439,'Total Customers'!$E$5:$AA$5,0)),"NA")</f>
        <v>35933</v>
      </c>
      <c r="BC439" s="411">
        <f t="shared" si="754"/>
        <v>-1.1620638197230047E-2</v>
      </c>
      <c r="BD439" s="92"/>
      <c r="BE439" s="281" t="str">
        <f t="shared" si="748"/>
        <v>DELTA NATURAL GAS COMPANY, INC.</v>
      </c>
      <c r="BF439" s="290">
        <f t="shared" si="749"/>
        <v>4057118</v>
      </c>
      <c r="BG439" s="46" t="str">
        <f t="shared" si="750"/>
        <v>KY</v>
      </c>
      <c r="BH439" s="46"/>
      <c r="BI439" s="46" t="str">
        <f t="shared" si="751"/>
        <v>2009 Y</v>
      </c>
      <c r="BJ439" s="129"/>
      <c r="BK439" s="129"/>
      <c r="BL439" s="129">
        <f>INDEX('Dist. Plant Gas Additions'!$E$7:$AD$91,MATCH($C439,'Dist. Plant Gas Additions'!$C$7:$C$91,0),MATCH(Calculation!$G439,'Dist. Plant Gas Additions'!$E$5:$AD$5,0))</f>
        <v>2541</v>
      </c>
      <c r="BM439" s="129">
        <f>INDEX('Gen. Plant Additions'!$E$7:$AD$91,MATCH($C439,'Gen. Plant Additions'!$C$7:$C$91,0),MATCH(Calculation!$G439,'Gen. Plant Additions'!$E$5:$AD$5,0))</f>
        <v>1371</v>
      </c>
      <c r="BN439" s="393">
        <f t="shared" si="801"/>
        <v>0.82566661468891311</v>
      </c>
      <c r="BO439" s="46">
        <f t="shared" ref="BO439:BO502" si="837">+BN439*BM439</f>
        <v>1131.9889287384999</v>
      </c>
      <c r="BP439" s="46">
        <f t="shared" ref="BP439:BP502" si="838">+BO439-BM439</f>
        <v>-239.01107126150009</v>
      </c>
      <c r="BQ439" s="129">
        <f>INDEX('Dist Plant Depreciation'!$D$7:$AC$94,MATCH($C439,'Dist Plant Depreciation'!$C$7:$C$94,0),MATCH(Calculation!$G439,'Dist Plant Depreciation'!$D$5:$AC$5,0))</f>
        <v>33818</v>
      </c>
      <c r="BR439" s="129">
        <f>INDEX('Gen. Plant Depreciation'!$D$7:$AC$94,MATCH($C439,'Gen. Plant Depreciation'!$C$7:$C$94,0),MATCH(Calculation!$G439,'Gen. Plant Depreciation'!$D$5:$AC$5,0))</f>
        <v>10824</v>
      </c>
      <c r="BS439" s="129"/>
      <c r="BT439" s="129"/>
      <c r="BU439" s="129"/>
      <c r="BV439" s="129"/>
      <c r="BW439" s="129"/>
      <c r="BX439" s="129"/>
      <c r="BY439" s="129">
        <f>INDEX('Gross Dx Plant'!$D$7:$AC$91,MATCH($C439,'Gross Dx Plant'!$C$7:$C$91,0),MATCH(Calculation!$G439,'Gross Dx Plant'!$D$5:$AC$5,0))</f>
        <v>100605</v>
      </c>
      <c r="BZ439" s="129">
        <f>INDEX('Gross Gen Plant'!$D$7:$AC$91,MATCH($C439,'Gross Gen Plant'!$C$7:$C$91,0),MATCH(Calculation!$G439,'Gross Gen Plant'!$D$5:$AC$5,0))</f>
        <v>21242</v>
      </c>
      <c r="CA439" s="129">
        <f t="shared" si="755"/>
        <v>77205</v>
      </c>
      <c r="CB439" s="129"/>
      <c r="CC439" s="133">
        <v>2009</v>
      </c>
      <c r="CD439" s="129"/>
      <c r="CE439" s="129"/>
      <c r="CF439" s="129"/>
      <c r="CG439" s="137"/>
      <c r="CH439" s="129">
        <f t="shared" si="802"/>
        <v>3912</v>
      </c>
      <c r="CI439" s="46">
        <f t="shared" si="811"/>
        <v>3672.9889287384999</v>
      </c>
      <c r="CJ439" s="46">
        <f t="shared" si="803"/>
        <v>6.6667598710681633</v>
      </c>
      <c r="CK439" s="443">
        <v>0.87912087912087911</v>
      </c>
      <c r="CL439" s="46">
        <f>+CL428*CK439+CJ429*CK438+CJ430*CK437+CJ431*CK436+CJ432*CK435+CJ433*CK434+CJ434*CK433+CJ435*CK432+CJ436*CK431+CJ437*CK430+CJ438*CK429+CJ439</f>
        <v>368.85167085715074</v>
      </c>
      <c r="CM439" s="134">
        <f t="shared" si="804"/>
        <v>5.091162414981875E-3</v>
      </c>
      <c r="CN439" s="135">
        <f t="shared" si="805"/>
        <v>1.3062475149424681E-2</v>
      </c>
      <c r="CO439" s="135">
        <f t="shared" si="813"/>
        <v>1.2698485609769767E-2</v>
      </c>
      <c r="CP439" s="134">
        <f>VLOOKUP($H439,RoR!$E:$F,2,FALSE)</f>
        <v>5.3133333333333324E-2</v>
      </c>
      <c r="CQ439" s="135">
        <v>7.7972502758210105E-3</v>
      </c>
      <c r="CR439" s="135">
        <f t="shared" si="812"/>
        <v>4.5336083057512314E-2</v>
      </c>
      <c r="CS439" s="135">
        <f t="shared" si="815"/>
        <v>1.8203455998763857E-2</v>
      </c>
      <c r="CT439" s="135">
        <f t="shared" si="816"/>
        <v>6.3720160300892073E-2</v>
      </c>
      <c r="CU439" s="139">
        <f t="shared" si="806"/>
        <v>0.85466708209999998</v>
      </c>
      <c r="CV439" s="335">
        <f t="shared" si="807"/>
        <v>0.96515780330083989</v>
      </c>
      <c r="CW439" s="335">
        <f t="shared" si="808"/>
        <v>0.50448557089084056</v>
      </c>
      <c r="CX439" s="335">
        <f t="shared" si="809"/>
        <v>0.87391435735465484</v>
      </c>
      <c r="CY439" s="335">
        <f t="shared" si="810"/>
        <v>0.42551605393279146</v>
      </c>
      <c r="CZ439" s="336">
        <f>INDEX('State Tax Lookup'!$D$7:$Z$91,MATCH(Calculation!$C439,'State Tax Lookup'!$B$7:$B$91,0),MATCH($H439,'State Tax Lookup'!$D$6:$Z$6,0))</f>
        <v>0.39279166999999998</v>
      </c>
      <c r="DA439" s="303">
        <v>0.37</v>
      </c>
      <c r="DB439" s="57">
        <f t="shared" si="814"/>
        <v>14.026515161804555</v>
      </c>
      <c r="DC439" s="56">
        <f t="shared" si="817"/>
        <v>-5.2993216759960292E-2</v>
      </c>
      <c r="DD439" s="303">
        <f>VLOOKUP($H439,RoR!$E:$F,2,FALSE)</f>
        <v>5.3133333333333324E-2</v>
      </c>
      <c r="DE439" s="304">
        <f>HLOOKUP($H439,'GDP-PI'!$D$8:$CQ$11,3,FALSE)</f>
        <v>7.7972502758210105E-3</v>
      </c>
      <c r="DF439" s="303">
        <f>VLOOKUP(H439,'HW Dx Data'!$E:$F,2,FALSE)</f>
        <v>550.94063679692806</v>
      </c>
      <c r="DG439" s="89">
        <f ca="1">VLOOKUP(CC439,'ECI - Input Price'!M$13:N$33,2,FALSE)</f>
        <v>110.925</v>
      </c>
      <c r="DH439" s="89"/>
      <c r="DI439" s="89"/>
      <c r="DJ439" s="56">
        <f t="shared" ca="1" si="825"/>
        <v>2.7649425000884052E-2</v>
      </c>
      <c r="DK439" s="53">
        <f>HLOOKUP(H439,'GDP-PI'!$8:$9,2,FALSE)</f>
        <v>94.998999999999995</v>
      </c>
      <c r="DL439" s="355">
        <f t="shared" si="818"/>
        <v>7.7670088183096342E-3</v>
      </c>
      <c r="EC439"/>
    </row>
    <row r="440" spans="1:133" s="126" customFormat="1" ht="21" customHeight="1" x14ac:dyDescent="0.4">
      <c r="A440" s="233" t="s">
        <v>208</v>
      </c>
      <c r="B440" s="127" t="s">
        <v>208</v>
      </c>
      <c r="C440" s="127">
        <v>4057118</v>
      </c>
      <c r="D440" s="127" t="s">
        <v>209</v>
      </c>
      <c r="E440" s="127"/>
      <c r="F440" s="127"/>
      <c r="G440" s="127" t="s">
        <v>166</v>
      </c>
      <c r="H440" s="128">
        <v>2010</v>
      </c>
      <c r="I440" s="129"/>
      <c r="J440" s="125">
        <f>IFERROR(INDEX('Labor Expenditures'!$E$7:$W$91,MATCH($C440,'Labor Expenditures'!$C$7:$C$91,0),MATCH($G440,'Labor Expenditures'!$E$5:$W$5,0)),"NA")</f>
        <v>3706.0702635766138</v>
      </c>
      <c r="K440" s="125">
        <f t="shared" ca="1" si="819"/>
        <v>31.696132252098472</v>
      </c>
      <c r="L440" s="47"/>
      <c r="M440" s="131">
        <f t="shared" ca="1" si="826"/>
        <v>-0.11611848809002766</v>
      </c>
      <c r="N440" s="131"/>
      <c r="O440" s="131"/>
      <c r="P440" s="59">
        <f t="shared" ca="1" si="828"/>
        <v>-1.9067402022519337E-4</v>
      </c>
      <c r="Q440" s="61"/>
      <c r="R440" s="387"/>
      <c r="S440" s="49">
        <f t="shared" ca="1" si="833"/>
        <v>96.602679774116666</v>
      </c>
      <c r="T440" s="61">
        <f ca="1">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</f>
        <v>-0.18910441634963482</v>
      </c>
      <c r="U440" s="61"/>
      <c r="V440" s="125">
        <f>IFERROR(INDEX('Non-Labor Expenditures'!$E$7:$AA$91,MATCH($C440,'Non-Labor Expenditures'!$C$7:$C$91,0),MATCH($G440,'Non-Labor Expenditures'!$E$5:$AA$5,0)),"NA")</f>
        <v>5367.0819401026693</v>
      </c>
      <c r="W440" s="125">
        <f t="shared" si="820"/>
        <v>55.843697677664629</v>
      </c>
      <c r="X440" s="131">
        <f t="shared" si="829"/>
        <v>-7.5056680550201205E-2</v>
      </c>
      <c r="Y440" s="131">
        <f t="shared" si="830"/>
        <v>-1.2324789325683628E-4</v>
      </c>
      <c r="Z440" s="131"/>
      <c r="AA440" s="131"/>
      <c r="AB440" s="131"/>
      <c r="AC440" s="125">
        <f t="shared" si="800"/>
        <v>5241.6217749433654</v>
      </c>
      <c r="AD440" s="129"/>
      <c r="AE440" s="133">
        <v>400.28137991093752</v>
      </c>
      <c r="AF440" s="134">
        <v>1.1262552637223438E-2</v>
      </c>
      <c r="AG440" s="59">
        <f t="shared" si="821"/>
        <v>1.8493835259655553E-5</v>
      </c>
      <c r="AH440" s="134"/>
      <c r="AI440" s="134"/>
      <c r="AJ440" s="129">
        <f t="shared" si="796"/>
        <v>14314.773978622648</v>
      </c>
      <c r="AK440" s="134">
        <f t="shared" si="831"/>
        <v>-3.4336857277750502E-2</v>
      </c>
      <c r="AL440" s="129"/>
      <c r="AM440" s="129"/>
      <c r="AN440" s="129"/>
      <c r="AO440" s="129"/>
      <c r="AP440" s="133">
        <f t="shared" si="832"/>
        <v>399.39661222127307</v>
      </c>
      <c r="AQ440" s="134">
        <f>+BB440/Outputs!$B$18</f>
        <v>1.0132946543017257E-3</v>
      </c>
      <c r="AR440" s="93">
        <f t="shared" si="822"/>
        <v>0.25889827314850888</v>
      </c>
      <c r="AS440" s="93">
        <f t="shared" si="823"/>
        <v>0.37493305504632801</v>
      </c>
      <c r="AT440" s="93">
        <f t="shared" si="824"/>
        <v>0.3661686718051631</v>
      </c>
      <c r="AU440" s="93">
        <f t="shared" ca="1" si="827"/>
        <v>-5.5044925255010473E-2</v>
      </c>
      <c r="AV440" s="132">
        <f t="shared" ca="1" si="835"/>
        <v>104.48407855184405</v>
      </c>
      <c r="AW440" s="134">
        <f t="shared" ca="1" si="836"/>
        <v>-5.5044925255010521E-2</v>
      </c>
      <c r="AX440" s="56">
        <f>+AJ440/$AL$15</f>
        <v>1.6420642686749605E-3</v>
      </c>
      <c r="AY440" s="135">
        <f t="shared" ca="1" si="834"/>
        <v>-9.0387304933136711E-5</v>
      </c>
      <c r="AZ440" s="93"/>
      <c r="BA440" s="93"/>
      <c r="BB440" s="234">
        <f>IFERROR(INDEX('Total Customers'!$E$7:$AA$91,MATCH($C440,'Total Customers'!$C$7:$C$91,0),MATCH($G440,'Total Customers'!$E$5:$AA$5,0)),"NA")</f>
        <v>35841</v>
      </c>
      <c r="BC440" s="411">
        <f t="shared" si="754"/>
        <v>-2.5636038227163632E-3</v>
      </c>
      <c r="BD440" s="92"/>
      <c r="BE440" s="281" t="str">
        <f t="shared" si="748"/>
        <v>DELTA NATURAL GAS COMPANY, INC.</v>
      </c>
      <c r="BF440" s="290">
        <f t="shared" si="749"/>
        <v>4057118</v>
      </c>
      <c r="BG440" s="46" t="str">
        <f t="shared" si="750"/>
        <v>KY</v>
      </c>
      <c r="BH440" s="46"/>
      <c r="BI440" s="46" t="str">
        <f t="shared" si="751"/>
        <v>2010 Y</v>
      </c>
      <c r="BJ440" s="129"/>
      <c r="BK440" s="129"/>
      <c r="BL440" s="129">
        <f>INDEX('Dist. Plant Gas Additions'!$E$7:$AD$91,MATCH($C440,'Dist. Plant Gas Additions'!$C$7:$C$91,0),MATCH(Calculation!$G440,'Dist. Plant Gas Additions'!$E$5:$AD$5,0))</f>
        <v>2936</v>
      </c>
      <c r="BM440" s="129">
        <f>INDEX('Gen. Plant Additions'!$E$7:$AD$91,MATCH($C440,'Gen. Plant Additions'!$C$7:$C$91,0),MATCH(Calculation!$G440,'Gen. Plant Additions'!$E$5:$AD$5,0))</f>
        <v>1224</v>
      </c>
      <c r="BN440" s="393">
        <f t="shared" si="801"/>
        <v>0.82451206749167139</v>
      </c>
      <c r="BO440" s="46">
        <f t="shared" si="837"/>
        <v>1009.2027706098057</v>
      </c>
      <c r="BP440" s="46">
        <f t="shared" si="838"/>
        <v>-214.79722939019427</v>
      </c>
      <c r="BQ440" s="129">
        <f>INDEX('Dist Plant Depreciation'!$D$7:$AC$94,MATCH($C440,'Dist Plant Depreciation'!$C$7:$C$94,0),MATCH(Calculation!$G440,'Dist Plant Depreciation'!$D$5:$AC$5,0))</f>
        <v>34617</v>
      </c>
      <c r="BR440" s="129">
        <f>INDEX('Gen. Plant Depreciation'!$D$7:$AC$94,MATCH($C440,'Gen. Plant Depreciation'!$C$7:$C$94,0),MATCH(Calculation!$G440,'Gen. Plant Depreciation'!$D$5:$AC$5,0))</f>
        <v>11570</v>
      </c>
      <c r="BS440" s="129"/>
      <c r="BT440" s="129"/>
      <c r="BU440" s="129"/>
      <c r="BV440" s="129"/>
      <c r="BW440" s="129"/>
      <c r="BX440" s="129"/>
      <c r="BY440" s="129">
        <f>INDEX('Gross Dx Plant'!$D$7:$AC$91,MATCH($C440,'Gross Dx Plant'!$C$7:$C$91,0),MATCH(Calculation!$G440,'Gross Dx Plant'!$D$5:$AC$5,0))</f>
        <v>103205</v>
      </c>
      <c r="BZ440" s="129">
        <f>INDEX('Gross Gen Plant'!$D$7:$AC$91,MATCH($C440,'Gross Gen Plant'!$C$7:$C$91,0),MATCH(Calculation!$G440,'Gross Gen Plant'!$D$5:$AC$5,0))</f>
        <v>21966</v>
      </c>
      <c r="CA440" s="129">
        <f t="shared" si="755"/>
        <v>78984</v>
      </c>
      <c r="CB440" s="129"/>
      <c r="CC440" s="133">
        <v>2010</v>
      </c>
      <c r="CD440" s="129"/>
      <c r="CE440" s="129"/>
      <c r="CF440" s="129"/>
      <c r="CG440" s="137"/>
      <c r="CH440" s="129">
        <f t="shared" si="802"/>
        <v>4160</v>
      </c>
      <c r="CI440" s="46">
        <f t="shared" si="811"/>
        <v>3945.2027706098056</v>
      </c>
      <c r="CJ440" s="46">
        <f t="shared" si="803"/>
        <v>6.9337004503178576</v>
      </c>
      <c r="CK440" s="443">
        <v>0.8666666666666667</v>
      </c>
      <c r="CL440" s="46">
        <f>+CL428*CK440+CJ429*CK439+CJ430*CK438+CJ431*CK437+CJ432*CK436+CJ433*CK435+CJ434*CK434+CJ435*CK433+CJ436*CK432+CJ437*CK431+CJ438*CK430+CJ439*CK429+CJ440</f>
        <v>370.82057690643614</v>
      </c>
      <c r="CM440" s="134">
        <f t="shared" si="804"/>
        <v>5.3237381975465414E-3</v>
      </c>
      <c r="CN440" s="135">
        <f t="shared" si="805"/>
        <v>1.3460138026473032E-2</v>
      </c>
      <c r="CO440" s="135">
        <f t="shared" si="813"/>
        <v>1.3073736855415213E-2</v>
      </c>
      <c r="CP440" s="134">
        <f>VLOOKUP($H440,RoR!$E:$F,2,FALSE)</f>
        <v>4.9433333333333322E-2</v>
      </c>
      <c r="CQ440" s="135">
        <v>1.1684333519300205E-2</v>
      </c>
      <c r="CR440" s="135">
        <f t="shared" si="812"/>
        <v>3.7748999814033117E-2</v>
      </c>
      <c r="CS440" s="135">
        <f t="shared" si="815"/>
        <v>1.7828204753118412E-2</v>
      </c>
      <c r="CT440" s="135">
        <f t="shared" si="816"/>
        <v>4.7937530248493419E-2</v>
      </c>
      <c r="CU440" s="139">
        <f t="shared" si="806"/>
        <v>0.85466708209999998</v>
      </c>
      <c r="CV440" s="335">
        <f t="shared" si="807"/>
        <v>1.037398205301105</v>
      </c>
      <c r="CW440" s="335">
        <f t="shared" si="808"/>
        <v>0.46926837491571133</v>
      </c>
      <c r="CX440" s="335">
        <f t="shared" si="809"/>
        <v>0.8548537519972772</v>
      </c>
      <c r="CY440" s="335">
        <f t="shared" si="810"/>
        <v>0.41615833911547367</v>
      </c>
      <c r="CZ440" s="336">
        <f>INDEX('State Tax Lookup'!$D$7:$Z$91,MATCH(Calculation!$C440,'State Tax Lookup'!$B$7:$B$91,0),MATCH($H440,'State Tax Lookup'!$D$6:$Z$6,0))</f>
        <v>0.39279166999999998</v>
      </c>
      <c r="DA440" s="303">
        <v>0.37</v>
      </c>
      <c r="DB440" s="57">
        <f t="shared" si="814"/>
        <v>14.210649399425781</v>
      </c>
      <c r="DC440" s="56">
        <f t="shared" si="817"/>
        <v>1.3042162734633036E-2</v>
      </c>
      <c r="DD440" s="303">
        <f>VLOOKUP($H440,RoR!$E:$F,2,FALSE)</f>
        <v>4.9433333333333322E-2</v>
      </c>
      <c r="DE440" s="304">
        <f>HLOOKUP($H440,'GDP-PI'!$D$8:$CQ$11,3,FALSE)</f>
        <v>1.1684333519300205E-2</v>
      </c>
      <c r="DF440" s="303">
        <f>VLOOKUP(H440,'HW Dx Data'!$E:$F,2,FALSE)</f>
        <v>568.98950262971744</v>
      </c>
      <c r="DG440" s="89">
        <f ca="1">VLOOKUP(CC440,'ECI - Input Price'!M$13:N$33,2,FALSE)</f>
        <v>116.925</v>
      </c>
      <c r="DH440" s="89"/>
      <c r="DI440" s="89"/>
      <c r="DJ440" s="56">
        <f t="shared" ca="1" si="825"/>
        <v>5.2678406346976722E-2</v>
      </c>
      <c r="DK440" s="53">
        <f>HLOOKUP(H440,'GDP-PI'!$8:$9,2,FALSE)</f>
        <v>96.108999999999995</v>
      </c>
      <c r="DL440" s="355">
        <f t="shared" si="818"/>
        <v>1.1616598807150427E-2</v>
      </c>
      <c r="EC440"/>
    </row>
    <row r="441" spans="1:133" s="126" customFormat="1" ht="21" customHeight="1" x14ac:dyDescent="0.4">
      <c r="A441" s="233" t="s">
        <v>208</v>
      </c>
      <c r="B441" s="127" t="s">
        <v>208</v>
      </c>
      <c r="C441" s="127">
        <v>4057118</v>
      </c>
      <c r="D441" s="127" t="s">
        <v>209</v>
      </c>
      <c r="E441" s="127"/>
      <c r="F441" s="127"/>
      <c r="G441" s="127" t="s">
        <v>167</v>
      </c>
      <c r="H441" s="128">
        <v>2011</v>
      </c>
      <c r="I441" s="129"/>
      <c r="J441" s="125">
        <f>IFERROR(INDEX('Labor Expenditures'!$E$7:$W$91,MATCH($C441,'Labor Expenditures'!$C$7:$C$91,0),MATCH($G441,'Labor Expenditures'!$E$5:$W$5,0)),"NA")</f>
        <v>3452.4116378390017</v>
      </c>
      <c r="K441" s="125">
        <f t="shared" ca="1" si="819"/>
        <v>28.561833611904873</v>
      </c>
      <c r="L441" s="47"/>
      <c r="M441" s="131">
        <f t="shared" ca="1" si="826"/>
        <v>-0.1041233249564521</v>
      </c>
      <c r="N441" s="131"/>
      <c r="O441" s="131"/>
      <c r="P441" s="59">
        <f t="shared" ca="1" si="828"/>
        <v>-1.6073800491167909E-4</v>
      </c>
      <c r="Q441" s="61"/>
      <c r="R441" s="387"/>
      <c r="S441" s="49">
        <f t="shared" ca="1" si="833"/>
        <v>115.97458103856164</v>
      </c>
      <c r="T441" s="61">
        <f ca="1">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</f>
        <v>0.18276455634960084</v>
      </c>
      <c r="U441" s="61"/>
      <c r="V441" s="125">
        <f>IFERROR(INDEX('Non-Labor Expenditures'!$E$7:$AA$91,MATCH($C441,'Non-Labor Expenditures'!$C$7:$C$91,0),MATCH($G441,'Non-Labor Expenditures'!$E$5:$AA$5,0)),"NA")</f>
        <v>4999.736873138464</v>
      </c>
      <c r="W441" s="125">
        <f t="shared" si="820"/>
        <v>50.959483785250164</v>
      </c>
      <c r="X441" s="131">
        <f t="shared" si="829"/>
        <v>-9.152579400779294E-2</v>
      </c>
      <c r="Y441" s="131">
        <f t="shared" si="830"/>
        <v>-1.4129085421468119E-4</v>
      </c>
      <c r="Z441" s="131"/>
      <c r="AA441" s="131"/>
      <c r="AB441" s="131"/>
      <c r="AC441" s="125">
        <f t="shared" si="800"/>
        <v>5553.5967305746217</v>
      </c>
      <c r="AD441" s="129"/>
      <c r="AE441" s="133">
        <v>404.82578359851698</v>
      </c>
      <c r="AF441" s="134">
        <v>1.1289061024703118E-2</v>
      </c>
      <c r="AG441" s="59">
        <f t="shared" si="821"/>
        <v>1.7427230134995148E-5</v>
      </c>
      <c r="AH441" s="134"/>
      <c r="AI441" s="134"/>
      <c r="AJ441" s="129">
        <f t="shared" si="796"/>
        <v>14005.745241552087</v>
      </c>
      <c r="AK441" s="134">
        <f t="shared" si="831"/>
        <v>-2.1824529465434832E-2</v>
      </c>
      <c r="AL441" s="129"/>
      <c r="AM441" s="129"/>
      <c r="AN441" s="129"/>
      <c r="AO441" s="129"/>
      <c r="AP441" s="133">
        <f t="shared" si="832"/>
        <v>394.67256295409828</v>
      </c>
      <c r="AQ441" s="134">
        <f>+BB441/Outputs!$B$19</f>
        <v>9.9844554012324879E-4</v>
      </c>
      <c r="AR441" s="93">
        <f t="shared" si="822"/>
        <v>0.24649967411919116</v>
      </c>
      <c r="AS441" s="93">
        <f t="shared" si="823"/>
        <v>0.35697756791300905</v>
      </c>
      <c r="AT441" s="93">
        <f t="shared" si="824"/>
        <v>0.39652275796779979</v>
      </c>
      <c r="AU441" s="93">
        <f t="shared" ca="1" si="827"/>
        <v>-5.5501172755522604E-2</v>
      </c>
      <c r="AV441" s="132">
        <f t="shared" ca="1" si="835"/>
        <v>98.843078673336279</v>
      </c>
      <c r="AW441" s="134">
        <f t="shared" ca="1" si="836"/>
        <v>-5.550117275552275E-2</v>
      </c>
      <c r="AX441" s="56">
        <f>+AJ441/$AL$16</f>
        <v>1.5437271617949691E-3</v>
      </c>
      <c r="AY441" s="135">
        <f t="shared" ca="1" si="834"/>
        <v>-8.5678667894175392E-5</v>
      </c>
      <c r="AZ441" s="93"/>
      <c r="BA441" s="93"/>
      <c r="BB441" s="234">
        <f>IFERROR(INDEX('Total Customers'!$E$7:$AA$91,MATCH($C441,'Total Customers'!$C$7:$C$91,0),MATCH($G441,'Total Customers'!$E$5:$AA$5,0)),"NA")</f>
        <v>35487</v>
      </c>
      <c r="BC441" s="411">
        <f t="shared" si="754"/>
        <v>-9.926057271486868E-3</v>
      </c>
      <c r="BD441" s="92"/>
      <c r="BE441" s="281" t="str">
        <f t="shared" si="748"/>
        <v>DELTA NATURAL GAS COMPANY, INC.</v>
      </c>
      <c r="BF441" s="290">
        <f t="shared" si="749"/>
        <v>4057118</v>
      </c>
      <c r="BG441" s="46" t="str">
        <f t="shared" si="750"/>
        <v>KY</v>
      </c>
      <c r="BH441" s="46"/>
      <c r="BI441" s="46" t="str">
        <f t="shared" si="751"/>
        <v>2011 Y</v>
      </c>
      <c r="BJ441" s="129"/>
      <c r="BK441" s="129"/>
      <c r="BL441" s="129">
        <f>INDEX('Dist. Plant Gas Additions'!$E$7:$AD$91,MATCH($C441,'Dist. Plant Gas Additions'!$C$7:$C$91,0),MATCH(Calculation!$G441,'Dist. Plant Gas Additions'!$E$5:$AD$5,0))</f>
        <v>3005</v>
      </c>
      <c r="BM441" s="129">
        <f>INDEX('Gen. Plant Additions'!$E$7:$AD$91,MATCH($C441,'Gen. Plant Additions'!$C$7:$C$91,0),MATCH(Calculation!$G441,'Gen. Plant Additions'!$E$5:$AD$5,0))</f>
        <v>1588</v>
      </c>
      <c r="BN441" s="393">
        <f t="shared" si="801"/>
        <v>0.82385889364756182</v>
      </c>
      <c r="BO441" s="46">
        <f t="shared" si="837"/>
        <v>1308.2879231123281</v>
      </c>
      <c r="BP441" s="46">
        <f t="shared" si="838"/>
        <v>-279.71207688767186</v>
      </c>
      <c r="BQ441" s="129">
        <f>INDEX('Dist Plant Depreciation'!$D$7:$AC$94,MATCH($C441,'Dist Plant Depreciation'!$C$7:$C$94,0),MATCH(Calculation!$G441,'Dist Plant Depreciation'!$D$5:$AC$5,0))</f>
        <v>36923</v>
      </c>
      <c r="BR441" s="129">
        <f>INDEX('Gen. Plant Depreciation'!$D$7:$AC$94,MATCH($C441,'Gen. Plant Depreciation'!$C$7:$C$94,0),MATCH(Calculation!$G441,'Gen. Plant Depreciation'!$D$5:$AC$5,0))</f>
        <v>11912</v>
      </c>
      <c r="BS441" s="129"/>
      <c r="BT441" s="129"/>
      <c r="BU441" s="129"/>
      <c r="BV441" s="129"/>
      <c r="BW441" s="129"/>
      <c r="BX441" s="129"/>
      <c r="BY441" s="129">
        <f>INDEX('Gross Dx Plant'!$D$7:$AC$91,MATCH($C441,'Gross Dx Plant'!$C$7:$C$91,0),MATCH(Calculation!$G441,'Gross Dx Plant'!$D$5:$AC$5,0))</f>
        <v>105608</v>
      </c>
      <c r="BZ441" s="129">
        <f>INDEX('Gross Gen Plant'!$D$7:$AC$91,MATCH($C441,'Gross Gen Plant'!$C$7:$C$91,0),MATCH(Calculation!$G441,'Gross Gen Plant'!$D$5:$AC$5,0))</f>
        <v>22579</v>
      </c>
      <c r="CA441" s="129">
        <f t="shared" si="755"/>
        <v>79352</v>
      </c>
      <c r="CB441" s="129"/>
      <c r="CC441" s="133">
        <v>2011</v>
      </c>
      <c r="CD441" s="129"/>
      <c r="CE441" s="129"/>
      <c r="CF441" s="129"/>
      <c r="CG441" s="137"/>
      <c r="CH441" s="129">
        <f t="shared" si="802"/>
        <v>4593</v>
      </c>
      <c r="CI441" s="46">
        <f t="shared" si="811"/>
        <v>4313.2879231123279</v>
      </c>
      <c r="CJ441" s="46">
        <f t="shared" si="803"/>
        <v>7.0523375891239146</v>
      </c>
      <c r="CK441" s="443">
        <v>0.8539325842696629</v>
      </c>
      <c r="CL441" s="46">
        <f>+CL428*CK441+CJ429*CK440+CJ430*CK439+CJ431*CK438+CJ432*CK437+CJ433*CK436+CJ434*CK435+CJ435*CK434+CJ436*CK433+CJ437*CK432+CJ438*CK431+CJ439*CK430+CJ440*CK429+CJ441</f>
        <v>372.72951109353784</v>
      </c>
      <c r="CM441" s="134">
        <f t="shared" si="804"/>
        <v>5.1346598217191846E-3</v>
      </c>
      <c r="CN441" s="135">
        <f t="shared" si="805"/>
        <v>1.3870329000971226E-2</v>
      </c>
      <c r="CO441" s="135">
        <f t="shared" si="813"/>
        <v>1.3464314058956312E-2</v>
      </c>
      <c r="CP441" s="134">
        <f>VLOOKUP($H441,RoR!$E:$F,2,FALSE)</f>
        <v>4.6391666666666664E-2</v>
      </c>
      <c r="CQ441" s="135">
        <v>2.0840920205183799E-2</v>
      </c>
      <c r="CR441" s="135">
        <f t="shared" si="812"/>
        <v>2.5550746461482865E-2</v>
      </c>
      <c r="CS441" s="135">
        <f t="shared" si="815"/>
        <v>1.7437627549577311E-2</v>
      </c>
      <c r="CT441" s="135">
        <f t="shared" si="816"/>
        <v>2.4810540821321614E-2</v>
      </c>
      <c r="CU441" s="139">
        <f t="shared" si="806"/>
        <v>0.85466708209999998</v>
      </c>
      <c r="CV441" s="335">
        <f t="shared" si="807"/>
        <v>1.1054151524782025</v>
      </c>
      <c r="CW441" s="335">
        <f t="shared" si="808"/>
        <v>0.43611011316687626</v>
      </c>
      <c r="CX441" s="335">
        <f t="shared" si="809"/>
        <v>0.83698442246886229</v>
      </c>
      <c r="CY441" s="335">
        <f t="shared" si="810"/>
        <v>0.40349573304423936</v>
      </c>
      <c r="CZ441" s="336">
        <f>INDEX('State Tax Lookup'!$D$7:$Z$91,MATCH(Calculation!$C441,'State Tax Lookup'!$B$7:$B$91,0),MATCH($H441,'State Tax Lookup'!$D$6:$Z$6,0))</f>
        <v>0.39279166999999998</v>
      </c>
      <c r="DA441" s="303">
        <v>0.37</v>
      </c>
      <c r="DB441" s="57">
        <f t="shared" si="814"/>
        <v>14.976506365707642</v>
      </c>
      <c r="DC441" s="56">
        <f t="shared" si="817"/>
        <v>5.2491089740875234E-2</v>
      </c>
      <c r="DD441" s="303">
        <f>VLOOKUP($H441,RoR!$E:$F,2,FALSE)</f>
        <v>4.6391666666666664E-2</v>
      </c>
      <c r="DE441" s="304">
        <f>HLOOKUP($H441,'GDP-PI'!$D$8:$CQ$11,3,FALSE)</f>
        <v>2.0840920205183799E-2</v>
      </c>
      <c r="DF441" s="303">
        <f>VLOOKUP(H441,'HW Dx Data'!$E:$F,2,FALSE)</f>
        <v>611.61109612283201</v>
      </c>
      <c r="DG441" s="89">
        <f ca="1">VLOOKUP(CC441,'ECI - Input Price'!M$13:N$33,2,FALSE)</f>
        <v>120.875</v>
      </c>
      <c r="DH441" s="89"/>
      <c r="DI441" s="89"/>
      <c r="DJ441" s="56">
        <f t="shared" ca="1" si="825"/>
        <v>3.3224250161508609E-2</v>
      </c>
      <c r="DK441" s="53">
        <f>HLOOKUP(H441,'GDP-PI'!$8:$9,2,FALSE)</f>
        <v>98.111999999999995</v>
      </c>
      <c r="DL441" s="355">
        <f t="shared" si="818"/>
        <v>2.0626719212849295E-2</v>
      </c>
      <c r="EC441"/>
    </row>
    <row r="442" spans="1:133" s="126" customFormat="1" ht="21" customHeight="1" x14ac:dyDescent="0.4">
      <c r="A442" s="233" t="s">
        <v>208</v>
      </c>
      <c r="B442" s="127" t="s">
        <v>208</v>
      </c>
      <c r="C442" s="127">
        <v>4057118</v>
      </c>
      <c r="D442" s="127" t="s">
        <v>209</v>
      </c>
      <c r="E442" s="127"/>
      <c r="F442" s="127"/>
      <c r="G442" s="127" t="s">
        <v>168</v>
      </c>
      <c r="H442" s="128">
        <v>2012</v>
      </c>
      <c r="I442" s="129"/>
      <c r="J442" s="125">
        <f>IFERROR(INDEX('Labor Expenditures'!$E$7:$W$91,MATCH($C442,'Labor Expenditures'!$C$7:$C$91,0),MATCH($G442,'Labor Expenditures'!$E$5:$W$5,0)),"NA")</f>
        <v>3593.3008416124089</v>
      </c>
      <c r="K442" s="125">
        <f t="shared" ca="1" si="819"/>
        <v>28.792474692407119</v>
      </c>
      <c r="L442" s="47"/>
      <c r="M442" s="131">
        <f t="shared" ca="1" si="826"/>
        <v>8.0427200877512608E-3</v>
      </c>
      <c r="N442" s="131"/>
      <c r="O442" s="131"/>
      <c r="P442" s="59">
        <f t="shared" ca="1" si="828"/>
        <v>1.2624843145563301E-5</v>
      </c>
      <c r="Q442" s="61"/>
      <c r="R442" s="387"/>
      <c r="S442" s="49">
        <f t="shared" ca="1" si="833"/>
        <v>114.64626944275918</v>
      </c>
      <c r="T442" s="61">
        <f ca="1">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</f>
        <v>-1.1519568000547448E-2</v>
      </c>
      <c r="U442" s="61"/>
      <c r="V442" s="125">
        <f>IFERROR(INDEX('Non-Labor Expenditures'!$E$7:$AA$91,MATCH($C442,'Non-Labor Expenditures'!$C$7:$C$91,0),MATCH($G442,'Non-Labor Expenditures'!$E$5:$AA$5,0)),"NA")</f>
        <v>5203.7707546758174</v>
      </c>
      <c r="W442" s="125">
        <f t="shared" si="820"/>
        <v>52.037707546758178</v>
      </c>
      <c r="X442" s="131">
        <f t="shared" si="829"/>
        <v>2.0937719510877872E-2</v>
      </c>
      <c r="Y442" s="131">
        <f t="shared" si="830"/>
        <v>3.286642103250686E-5</v>
      </c>
      <c r="Z442" s="131"/>
      <c r="AA442" s="131"/>
      <c r="AB442" s="131"/>
      <c r="AC442" s="125">
        <f t="shared" si="800"/>
        <v>5940.0540126740725</v>
      </c>
      <c r="AD442" s="129"/>
      <c r="AE442" s="133">
        <v>410.92487118645147</v>
      </c>
      <c r="AF442" s="134">
        <v>1.4953592015172101E-2</v>
      </c>
      <c r="AG442" s="59">
        <f t="shared" si="821"/>
        <v>2.3472998139250206E-5</v>
      </c>
      <c r="AH442" s="134"/>
      <c r="AI442" s="134"/>
      <c r="AJ442" s="129">
        <f t="shared" si="796"/>
        <v>14737.125608962298</v>
      </c>
      <c r="AK442" s="134">
        <f t="shared" si="831"/>
        <v>5.09022417374859E-2</v>
      </c>
      <c r="AL442" s="129"/>
      <c r="AM442" s="129"/>
      <c r="AN442" s="129"/>
      <c r="AO442" s="129"/>
      <c r="AP442" s="133">
        <f t="shared" si="832"/>
        <v>420.82026296294401</v>
      </c>
      <c r="AQ442" s="134">
        <f>+BB442/Outputs!$B$20</f>
        <v>9.8058434594814128E-4</v>
      </c>
      <c r="AR442" s="93">
        <f t="shared" si="822"/>
        <v>0.24382643786568281</v>
      </c>
      <c r="AS442" s="93">
        <f t="shared" si="823"/>
        <v>0.35310622252626889</v>
      </c>
      <c r="AT442" s="93">
        <f t="shared" si="824"/>
        <v>0.4030673396080483</v>
      </c>
      <c r="AU442" s="93">
        <f t="shared" ca="1" si="827"/>
        <v>1.5383917501184594E-2</v>
      </c>
      <c r="AV442" s="132">
        <f t="shared" ca="1" si="835"/>
        <v>100.37542899566979</v>
      </c>
      <c r="AW442" s="134">
        <f t="shared" ca="1" si="836"/>
        <v>1.5383917501184575E-2</v>
      </c>
      <c r="AX442" s="56">
        <f>+AJ442/$AL$17</f>
        <v>1.5697230548642901E-3</v>
      </c>
      <c r="AY442" s="135">
        <f t="shared" ca="1" si="834"/>
        <v>2.4148489975739665E-5</v>
      </c>
      <c r="AZ442" s="93"/>
      <c r="BA442" s="93"/>
      <c r="BB442" s="234">
        <f>IFERROR(INDEX('Total Customers'!$E$7:$AA$91,MATCH($C442,'Total Customers'!$C$7:$C$91,0),MATCH($G442,'Total Customers'!$E$5:$AA$5,0)),"NA")</f>
        <v>35020</v>
      </c>
      <c r="BC442" s="411">
        <f t="shared" si="754"/>
        <v>-1.3247105374003738E-2</v>
      </c>
      <c r="BD442" s="92"/>
      <c r="BE442" s="281" t="str">
        <f t="shared" si="748"/>
        <v>DELTA NATURAL GAS COMPANY, INC.</v>
      </c>
      <c r="BF442" s="290">
        <f t="shared" si="749"/>
        <v>4057118</v>
      </c>
      <c r="BG442" s="46" t="str">
        <f t="shared" si="750"/>
        <v>KY</v>
      </c>
      <c r="BH442" s="46"/>
      <c r="BI442" s="46" t="str">
        <f t="shared" si="751"/>
        <v>2012 Y</v>
      </c>
      <c r="BJ442" s="129"/>
      <c r="BK442" s="129"/>
      <c r="BL442" s="129">
        <f>INDEX('Dist. Plant Gas Additions'!$E$7:$AD$91,MATCH($C442,'Dist. Plant Gas Additions'!$C$7:$C$91,0),MATCH(Calculation!$G442,'Dist. Plant Gas Additions'!$E$5:$AD$5,0))</f>
        <v>5470</v>
      </c>
      <c r="BM442" s="129">
        <f>INDEX('Gen. Plant Additions'!$E$7:$AD$91,MATCH($C442,'Gen. Plant Additions'!$C$7:$C$91,0),MATCH(Calculation!$G442,'Gen. Plant Additions'!$E$5:$AD$5,0))</f>
        <v>690</v>
      </c>
      <c r="BN442" s="393">
        <f t="shared" si="801"/>
        <v>0.83025713834989745</v>
      </c>
      <c r="BO442" s="46">
        <f t="shared" si="837"/>
        <v>572.8774254614292</v>
      </c>
      <c r="BP442" s="46">
        <f t="shared" si="838"/>
        <v>-117.1225745385708</v>
      </c>
      <c r="BQ442" s="129">
        <f>INDEX('Dist Plant Depreciation'!$D$7:$AC$94,MATCH($C442,'Dist Plant Depreciation'!$C$7:$C$94,0),MATCH(Calculation!$G442,'Dist Plant Depreciation'!$D$5:$AC$5,0))</f>
        <v>39126</v>
      </c>
      <c r="BR442" s="129">
        <f>INDEX('Gen. Plant Depreciation'!$D$7:$AC$94,MATCH($C442,'Gen. Plant Depreciation'!$C$7:$C$94,0),MATCH(Calculation!$G442,'Gen. Plant Depreciation'!$D$5:$AC$5,0))</f>
        <v>12517</v>
      </c>
      <c r="BS442" s="129"/>
      <c r="BT442" s="129"/>
      <c r="BU442" s="129"/>
      <c r="BV442" s="129"/>
      <c r="BW442" s="129"/>
      <c r="BX442" s="129"/>
      <c r="BY442" s="129">
        <f>INDEX('Gross Dx Plant'!$D$7:$AC$91,MATCH($C442,'Gross Dx Plant'!$C$7:$C$91,0),MATCH(Calculation!$G442,'Gross Dx Plant'!$D$5:$AC$5,0))</f>
        <v>110523</v>
      </c>
      <c r="BZ442" s="129">
        <f>INDEX('Gross Gen Plant'!$D$7:$AC$91,MATCH($C442,'Gross Gen Plant'!$C$7:$C$91,0),MATCH(Calculation!$G442,'Gross Gen Plant'!$D$5:$AC$5,0))</f>
        <v>22596</v>
      </c>
      <c r="CA442" s="129">
        <f t="shared" si="755"/>
        <v>81476</v>
      </c>
      <c r="CB442" s="129"/>
      <c r="CC442" s="133">
        <v>2012</v>
      </c>
      <c r="CD442" s="129"/>
      <c r="CE442" s="129"/>
      <c r="CF442" s="129"/>
      <c r="CG442" s="137"/>
      <c r="CH442" s="129">
        <f t="shared" si="802"/>
        <v>6160</v>
      </c>
      <c r="CI442" s="46">
        <f t="shared" si="811"/>
        <v>6042.8774254614291</v>
      </c>
      <c r="CJ442" s="46">
        <f t="shared" si="803"/>
        <v>9.0337911100795321</v>
      </c>
      <c r="CK442" s="443">
        <v>0.84090909090909094</v>
      </c>
      <c r="CL442" s="46">
        <f>+CL428*CK442+CJ429*CK441+CJ430*CK440+CJ431*CK439+CJ432*CK438+CJ433*CK437+CJ434*CK436+CJ435*CK435+CJ436*CK434+CJ437*CK433+CJ438*CK432+CJ439*CK431+CJ440*CK430+CJ441*CK429+CJ442</f>
        <v>376.43504519596416</v>
      </c>
      <c r="CM442" s="134">
        <f t="shared" si="804"/>
        <v>9.8925243874064227E-3</v>
      </c>
      <c r="CN442" s="135">
        <f t="shared" si="805"/>
        <v>1.4295237830835614E-2</v>
      </c>
      <c r="CO442" s="135">
        <f t="shared" si="813"/>
        <v>1.387523495275996E-2</v>
      </c>
      <c r="CP442" s="134">
        <f>VLOOKUP($H442,RoR!$E:$F,2,FALSE)</f>
        <v>3.6733333333333333E-2</v>
      </c>
      <c r="CQ442" s="135">
        <v>1.924331376386168E-2</v>
      </c>
      <c r="CR442" s="135">
        <f t="shared" si="812"/>
        <v>1.7490019569471653E-2</v>
      </c>
      <c r="CS442" s="135">
        <f t="shared" si="815"/>
        <v>1.7026706655773667E-2</v>
      </c>
      <c r="CT442" s="135">
        <f t="shared" si="816"/>
        <v>6.7122682943869583E-2</v>
      </c>
      <c r="CU442" s="139">
        <f t="shared" si="806"/>
        <v>0.85466708209999998</v>
      </c>
      <c r="CV442" s="335">
        <f t="shared" si="807"/>
        <v>1.3960631020522127</v>
      </c>
      <c r="CW442" s="335">
        <f t="shared" si="808"/>
        <v>0.29441923774954631</v>
      </c>
      <c r="CX442" s="335">
        <f t="shared" si="809"/>
        <v>0.76377954189366437</v>
      </c>
      <c r="CY442" s="335">
        <f t="shared" si="810"/>
        <v>0.31393465103033691</v>
      </c>
      <c r="CZ442" s="336">
        <f>INDEX('State Tax Lookup'!$D$7:$Z$91,MATCH(Calculation!$C442,'State Tax Lookup'!$B$7:$B$91,0),MATCH($H442,'State Tax Lookup'!$D$6:$Z$6,0))</f>
        <v>0.39279166999999998</v>
      </c>
      <c r="DA442" s="303">
        <v>0.37</v>
      </c>
      <c r="DB442" s="57">
        <f t="shared" si="814"/>
        <v>15.936634572472567</v>
      </c>
      <c r="DC442" s="56">
        <f t="shared" si="817"/>
        <v>6.213778913284649E-2</v>
      </c>
      <c r="DD442" s="303">
        <f>VLOOKUP($H442,RoR!$E:$F,2,FALSE)</f>
        <v>3.6733333333333333E-2</v>
      </c>
      <c r="DE442" s="304">
        <f>HLOOKUP($H442,'GDP-PI'!$D$8:$CQ$11,3,FALSE)</f>
        <v>1.924331376386168E-2</v>
      </c>
      <c r="DF442" s="303">
        <f>VLOOKUP(H442,'HW Dx Data'!$E:$F,2,FALSE)</f>
        <v>668.91932211262167</v>
      </c>
      <c r="DG442" s="89">
        <f ca="1">VLOOKUP(CC442,'ECI - Input Price'!M$13:N$33,2,FALSE)</f>
        <v>124.80000000000001</v>
      </c>
      <c r="DH442" s="89"/>
      <c r="DI442" s="89"/>
      <c r="DJ442" s="56">
        <f t="shared" ca="1" si="825"/>
        <v>3.1955502161869064E-2</v>
      </c>
      <c r="DK442" s="53">
        <f>HLOOKUP(H442,'GDP-PI'!$8:$9,2,FALSE)</f>
        <v>100</v>
      </c>
      <c r="DL442" s="355">
        <f t="shared" si="818"/>
        <v>1.9060502738742411E-2</v>
      </c>
      <c r="EC442"/>
    </row>
    <row r="443" spans="1:133" s="126" customFormat="1" ht="21" customHeight="1" x14ac:dyDescent="0.4">
      <c r="A443" s="233" t="s">
        <v>208</v>
      </c>
      <c r="B443" s="127" t="s">
        <v>208</v>
      </c>
      <c r="C443" s="127">
        <v>4057118</v>
      </c>
      <c r="D443" s="127" t="s">
        <v>209</v>
      </c>
      <c r="E443" s="127"/>
      <c r="F443" s="127"/>
      <c r="G443" s="127" t="s">
        <v>169</v>
      </c>
      <c r="H443" s="128">
        <v>2013</v>
      </c>
      <c r="I443" s="129"/>
      <c r="J443" s="125">
        <f>IFERROR(INDEX('Labor Expenditures'!$E$7:$W$91,MATCH($C443,'Labor Expenditures'!$C$7:$C$91,0),MATCH($G443,'Labor Expenditures'!$E$5:$W$5,0)),"NA")</f>
        <v>3639.1716092944903</v>
      </c>
      <c r="K443" s="125">
        <f t="shared" ca="1" si="819"/>
        <v>28.700091555950241</v>
      </c>
      <c r="L443" s="47"/>
      <c r="M443" s="131">
        <f t="shared" ca="1" si="826"/>
        <v>-3.2137447324951884E-3</v>
      </c>
      <c r="N443" s="131"/>
      <c r="O443" s="131"/>
      <c r="P443" s="59">
        <f t="shared" ca="1" si="828"/>
        <v>-4.8609489755214036E-6</v>
      </c>
      <c r="Q443" s="61"/>
      <c r="R443" s="387"/>
      <c r="S443" s="49">
        <f t="shared" ca="1" si="833"/>
        <v>107.66651190972355</v>
      </c>
      <c r="T443" s="61">
        <f ca="1">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</f>
        <v>-6.2812872933112718E-2</v>
      </c>
      <c r="U443" s="61"/>
      <c r="V443" s="125">
        <f>IFERROR(INDEX('Non-Labor Expenditures'!$E$7:$AA$91,MATCH($C443,'Non-Labor Expenditures'!$C$7:$C$91,0),MATCH($G443,'Non-Labor Expenditures'!$E$5:$AA$5,0)),"NA")</f>
        <v>5270.2001937570803</v>
      </c>
      <c r="W443" s="125">
        <f t="shared" si="820"/>
        <v>51.783873854136957</v>
      </c>
      <c r="X443" s="131">
        <f t="shared" si="829"/>
        <v>-4.8898156812077704E-3</v>
      </c>
      <c r="Y443" s="131">
        <f t="shared" si="830"/>
        <v>-7.3960897658479455E-6</v>
      </c>
      <c r="Z443" s="131"/>
      <c r="AA443" s="131"/>
      <c r="AB443" s="131"/>
      <c r="AC443" s="125">
        <f t="shared" si="800"/>
        <v>5808.612956387381</v>
      </c>
      <c r="AD443" s="129"/>
      <c r="AE443" s="133">
        <v>415.13036297008205</v>
      </c>
      <c r="AF443" s="134">
        <v>1.0182195921316251E-2</v>
      </c>
      <c r="AG443" s="59">
        <f t="shared" si="821"/>
        <v>1.5401078477646186E-5</v>
      </c>
      <c r="AH443" s="134"/>
      <c r="AI443" s="134"/>
      <c r="AJ443" s="129">
        <f t="shared" si="796"/>
        <v>14717.98475943895</v>
      </c>
      <c r="AK443" s="134">
        <f t="shared" si="831"/>
        <v>-1.2996625698033649E-3</v>
      </c>
      <c r="AL443" s="129"/>
      <c r="AM443" s="129"/>
      <c r="AN443" s="129"/>
      <c r="AO443" s="129"/>
      <c r="AP443" s="133">
        <f t="shared" si="832"/>
        <v>421.64627168506706</v>
      </c>
      <c r="AQ443" s="134">
        <f>+BB443/Outputs!$B$21</f>
        <v>9.7116302963246384E-4</v>
      </c>
      <c r="AR443" s="93">
        <f t="shared" si="822"/>
        <v>0.24726018329109994</v>
      </c>
      <c r="AS443" s="93">
        <f t="shared" si="823"/>
        <v>0.35807892723745288</v>
      </c>
      <c r="AT443" s="93">
        <f t="shared" si="824"/>
        <v>0.39466088947144728</v>
      </c>
      <c r="AU443" s="93">
        <f t="shared" ca="1" si="827"/>
        <v>1.5334168904769302E-3</v>
      </c>
      <c r="AV443" s="132">
        <f t="shared" ca="1" si="835"/>
        <v>100.52946444397686</v>
      </c>
      <c r="AW443" s="134">
        <f t="shared" ca="1" si="836"/>
        <v>1.5334168904768252E-3</v>
      </c>
      <c r="AX443" s="56">
        <f>+AJ443/$AL$18</f>
        <v>1.5125498071986902E-3</v>
      </c>
      <c r="AY443" s="135">
        <f t="shared" ca="1" si="834"/>
        <v>2.3193694220459372E-6</v>
      </c>
      <c r="AZ443" s="93"/>
      <c r="BA443" s="93"/>
      <c r="BB443" s="234">
        <f>IFERROR(INDEX('Total Customers'!$E$7:$AA$91,MATCH($C443,'Total Customers'!$C$7:$C$91,0),MATCH($G443,'Total Customers'!$E$5:$AA$5,0)),"NA")</f>
        <v>34906</v>
      </c>
      <c r="BC443" s="411">
        <f t="shared" si="754"/>
        <v>-3.2605926550608845E-3</v>
      </c>
      <c r="BD443" s="92"/>
      <c r="BE443" s="281" t="str">
        <f t="shared" si="748"/>
        <v>DELTA NATURAL GAS COMPANY, INC.</v>
      </c>
      <c r="BF443" s="290">
        <f t="shared" si="749"/>
        <v>4057118</v>
      </c>
      <c r="BG443" s="46" t="str">
        <f t="shared" si="750"/>
        <v>KY</v>
      </c>
      <c r="BH443" s="46"/>
      <c r="BI443" s="46" t="str">
        <f t="shared" si="751"/>
        <v>2013 Y</v>
      </c>
      <c r="BJ443" s="129"/>
      <c r="BK443" s="129"/>
      <c r="BL443" s="129">
        <f>INDEX('Dist. Plant Gas Additions'!$E$7:$AD$91,MATCH($C443,'Dist. Plant Gas Additions'!$C$7:$C$91,0),MATCH(Calculation!$G443,'Dist. Plant Gas Additions'!$E$5:$AD$5,0))</f>
        <v>3694</v>
      </c>
      <c r="BM443" s="129">
        <f>INDEX('Gen. Plant Additions'!$E$7:$AD$91,MATCH($C443,'Gen. Plant Additions'!$C$7:$C$91,0),MATCH(Calculation!$G443,'Gen. Plant Additions'!$E$5:$AD$5,0))</f>
        <v>1264</v>
      </c>
      <c r="BN443" s="393">
        <f t="shared" si="801"/>
        <v>0.83287606919115598</v>
      </c>
      <c r="BO443" s="46">
        <f t="shared" si="837"/>
        <v>1052.7553514576211</v>
      </c>
      <c r="BP443" s="46">
        <f t="shared" si="838"/>
        <v>-211.24464854237885</v>
      </c>
      <c r="BQ443" s="129">
        <f>INDEX('Dist Plant Depreciation'!$D$7:$AC$94,MATCH($C443,'Dist Plant Depreciation'!$C$7:$C$94,0),MATCH(Calculation!$G443,'Dist Plant Depreciation'!$D$5:$AC$5,0))</f>
        <v>41612</v>
      </c>
      <c r="BR443" s="129">
        <f>INDEX('Gen. Plant Depreciation'!$D$7:$AC$94,MATCH($C443,'Gen. Plant Depreciation'!$C$7:$C$94,0),MATCH(Calculation!$G443,'Gen. Plant Depreciation'!$D$5:$AC$5,0))</f>
        <v>12810</v>
      </c>
      <c r="BS443" s="129"/>
      <c r="BT443" s="129"/>
      <c r="BU443" s="129"/>
      <c r="BV443" s="129"/>
      <c r="BW443" s="129"/>
      <c r="BX443" s="129"/>
      <c r="BY443" s="129">
        <f>INDEX('Gross Dx Plant'!$D$7:$AC$91,MATCH($C443,'Gross Dx Plant'!$C$7:$C$91,0),MATCH(Calculation!$G443,'Gross Dx Plant'!$D$5:$AC$5,0))</f>
        <v>113536</v>
      </c>
      <c r="BZ443" s="129">
        <f>INDEX('Gross Gen Plant'!$D$7:$AC$91,MATCH($C443,'Gross Gen Plant'!$C$7:$C$91,0),MATCH(Calculation!$G443,'Gross Gen Plant'!$D$5:$AC$5,0))</f>
        <v>22782</v>
      </c>
      <c r="CA443" s="129">
        <f t="shared" si="755"/>
        <v>81896</v>
      </c>
      <c r="CB443" s="129"/>
      <c r="CC443" s="133">
        <v>2013</v>
      </c>
      <c r="CD443" s="129"/>
      <c r="CE443" s="129"/>
      <c r="CF443" s="129"/>
      <c r="CG443" s="137"/>
      <c r="CH443" s="129">
        <f t="shared" si="802"/>
        <v>4958</v>
      </c>
      <c r="CI443" s="46">
        <f t="shared" si="811"/>
        <v>4746.7553514576211</v>
      </c>
      <c r="CJ443" s="46">
        <f t="shared" si="803"/>
        <v>7.1568288927337225</v>
      </c>
      <c r="CK443" s="443">
        <v>0.82758620689655171</v>
      </c>
      <c r="CL443" s="46">
        <f>+CL428*CK443+CJ429*CK442+CJ430*CK441+CJ431*CK440+CJ432*CK439+CJ433*CK438+CJ434*CK437+CJ435*CK436+CJ436*CK435+CJ437*CK434+CJ438*CK433+CJ439*CK432+CJ440*CK431+CJ441*CK430+CJ442*CK429+CJ443</f>
        <v>378.05384230219988</v>
      </c>
      <c r="CM443" s="134">
        <f t="shared" si="804"/>
        <v>4.2911157925813893E-3</v>
      </c>
      <c r="CN443" s="135">
        <f t="shared" si="805"/>
        <v>1.4711785890219179E-2</v>
      </c>
      <c r="CO443" s="135">
        <f t="shared" si="813"/>
        <v>1.4292450907342005E-2</v>
      </c>
      <c r="CP443" s="134">
        <f>VLOOKUP($H443,RoR!$E:$F,2,FALSE)</f>
        <v>4.2350000000000006E-2</v>
      </c>
      <c r="CQ443" s="135">
        <v>1.7730000000000024E-2</v>
      </c>
      <c r="CR443" s="135">
        <f t="shared" si="812"/>
        <v>2.4619999999999982E-2</v>
      </c>
      <c r="CS443" s="135">
        <f t="shared" si="815"/>
        <v>1.660949070119162E-2</v>
      </c>
      <c r="CT443" s="135">
        <f t="shared" si="816"/>
        <v>5.3376742735721204E-2</v>
      </c>
      <c r="CU443" s="139">
        <f t="shared" si="806"/>
        <v>0.85466708209999998</v>
      </c>
      <c r="CV443" s="335">
        <f t="shared" si="807"/>
        <v>1.2109103018193925</v>
      </c>
      <c r="CW443" s="335">
        <f t="shared" si="808"/>
        <v>0.38468122786304604</v>
      </c>
      <c r="CX443" s="335">
        <f t="shared" si="809"/>
        <v>0.80969194503422559</v>
      </c>
      <c r="CY443" s="335">
        <f t="shared" si="810"/>
        <v>0.37716621754800816</v>
      </c>
      <c r="CZ443" s="336">
        <f>INDEX('State Tax Lookup'!$D$7:$Z$91,MATCH(Calculation!$C443,'State Tax Lookup'!$B$7:$B$91,0),MATCH($H443,'State Tax Lookup'!$D$6:$Z$6,0))</f>
        <v>0.39279166999999998</v>
      </c>
      <c r="DA443" s="303">
        <v>0.37</v>
      </c>
      <c r="DB443" s="57">
        <f t="shared" si="814"/>
        <v>15.430584985421692</v>
      </c>
      <c r="DC443" s="56">
        <f t="shared" si="817"/>
        <v>-3.2268942241413259E-2</v>
      </c>
      <c r="DD443" s="303">
        <f>VLOOKUP($H443,RoR!$E:$F,2,FALSE)</f>
        <v>4.2350000000000006E-2</v>
      </c>
      <c r="DE443" s="304">
        <f>HLOOKUP($H443,'GDP-PI'!$D$8:$CQ$11,3,FALSE)</f>
        <v>1.7730000000000024E-2</v>
      </c>
      <c r="DF443" s="303">
        <f>VLOOKUP(H443,'HW Dx Data'!$E:$F,2,FALSE)</f>
        <v>663.24840548821396</v>
      </c>
      <c r="DG443" s="89">
        <f ca="1">VLOOKUP(CC443,'ECI - Input Price'!M$13:N$33,2,FALSE)</f>
        <v>126.8</v>
      </c>
      <c r="DH443" s="89"/>
      <c r="DI443" s="89"/>
      <c r="DJ443" s="56">
        <f t="shared" ca="1" si="825"/>
        <v>1.5898586067798204E-2</v>
      </c>
      <c r="DK443" s="53">
        <f>HLOOKUP(H443,'GDP-PI'!$8:$9,2,FALSE)</f>
        <v>101.773</v>
      </c>
      <c r="DL443" s="355">
        <f t="shared" si="818"/>
        <v>1.7574657016510519E-2</v>
      </c>
      <c r="EC443"/>
    </row>
    <row r="444" spans="1:133" s="126" customFormat="1" ht="21" customHeight="1" x14ac:dyDescent="0.4">
      <c r="A444" s="233" t="s">
        <v>208</v>
      </c>
      <c r="B444" s="127" t="s">
        <v>208</v>
      </c>
      <c r="C444" s="127">
        <v>4057118</v>
      </c>
      <c r="D444" s="127" t="s">
        <v>209</v>
      </c>
      <c r="E444" s="127"/>
      <c r="F444" s="127"/>
      <c r="G444" s="127" t="s">
        <v>170</v>
      </c>
      <c r="H444" s="128">
        <v>2014</v>
      </c>
      <c r="I444" s="129"/>
      <c r="J444" s="125">
        <f>IFERROR(INDEX('Labor Expenditures'!$E$7:$W$91,MATCH($C444,'Labor Expenditures'!$C$7:$C$91,0),MATCH($G444,'Labor Expenditures'!$E$5:$W$5,0)),"NA")</f>
        <v>3699.6541205845365</v>
      </c>
      <c r="K444" s="125">
        <f t="shared" ca="1" si="819"/>
        <v>28.590835553203526</v>
      </c>
      <c r="L444" s="47"/>
      <c r="M444" s="131">
        <f t="shared" ca="1" si="826"/>
        <v>-3.814081590479385E-3</v>
      </c>
      <c r="N444" s="131"/>
      <c r="O444" s="131"/>
      <c r="P444" s="59">
        <f t="shared" ca="1" si="828"/>
        <v>-5.7459746982089055E-6</v>
      </c>
      <c r="Q444" s="61"/>
      <c r="R444" s="387"/>
      <c r="S444" s="49">
        <f t="shared" ca="1" si="833"/>
        <v>119.66526200365151</v>
      </c>
      <c r="T444" s="61">
        <f ca="1">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</f>
        <v>0.10565976443770562</v>
      </c>
      <c r="U444" s="61"/>
      <c r="V444" s="125">
        <f>IFERROR(INDEX('Non-Labor Expenditures'!$E$7:$AA$91,MATCH($C444,'Non-Labor Expenditures'!$C$7:$C$91,0),MATCH($G444,'Non-Labor Expenditures'!$E$5:$AA$5,0)),"NA")</f>
        <v>5357.7901666799316</v>
      </c>
      <c r="W444" s="125">
        <f t="shared" si="820"/>
        <v>51.692669992184349</v>
      </c>
      <c r="X444" s="131">
        <f t="shared" si="829"/>
        <v>-1.7627934250608061E-3</v>
      </c>
      <c r="Y444" s="131">
        <f t="shared" si="830"/>
        <v>-2.6556763871680355E-6</v>
      </c>
      <c r="Z444" s="131"/>
      <c r="AA444" s="131"/>
      <c r="AB444" s="131"/>
      <c r="AC444" s="125">
        <f t="shared" si="800"/>
        <v>5870.9490578717869</v>
      </c>
      <c r="AD444" s="129"/>
      <c r="AE444" s="133">
        <v>419.8448289163556</v>
      </c>
      <c r="AF444" s="134">
        <v>1.1292589509363829E-2</v>
      </c>
      <c r="AG444" s="59">
        <f t="shared" si="821"/>
        <v>1.7012466057368312E-5</v>
      </c>
      <c r="AH444" s="134"/>
      <c r="AI444" s="134"/>
      <c r="AJ444" s="129">
        <f t="shared" si="796"/>
        <v>14928.393345136255</v>
      </c>
      <c r="AK444" s="134">
        <f t="shared" si="831"/>
        <v>1.4194794245490141E-2</v>
      </c>
      <c r="AL444" s="129"/>
      <c r="AM444" s="129"/>
      <c r="AN444" s="129"/>
      <c r="AO444" s="129"/>
      <c r="AP444" s="133">
        <f t="shared" si="832"/>
        <v>430.58532867425021</v>
      </c>
      <c r="AQ444" s="134">
        <f>+BB444/Outputs!$B$22</f>
        <v>9.5944245517643693E-4</v>
      </c>
      <c r="AR444" s="93">
        <f t="shared" si="822"/>
        <v>0.24782667732893721</v>
      </c>
      <c r="AS444" s="93">
        <f t="shared" si="823"/>
        <v>0.35889931641073258</v>
      </c>
      <c r="AT444" s="93">
        <f t="shared" si="824"/>
        <v>0.39327400626033016</v>
      </c>
      <c r="AU444" s="93">
        <f t="shared" ca="1" si="827"/>
        <v>2.8728195615042845E-3</v>
      </c>
      <c r="AV444" s="132">
        <f t="shared" ca="1" si="835"/>
        <v>100.81868269294863</v>
      </c>
      <c r="AW444" s="134">
        <f t="shared" ca="1" si="836"/>
        <v>2.8728195615043621E-3</v>
      </c>
      <c r="AX444" s="56">
        <f>+AJ444/$AL$19</f>
        <v>1.5065159362484179E-3</v>
      </c>
      <c r="AY444" s="135">
        <f t="shared" ca="1" si="834"/>
        <v>4.3279484513725134E-6</v>
      </c>
      <c r="AZ444" s="93"/>
      <c r="BA444" s="93"/>
      <c r="BB444" s="234">
        <f>IFERROR(INDEX('Total Customers'!$E$7:$AA$91,MATCH($C444,'Total Customers'!$C$7:$C$91,0),MATCH($G444,'Total Customers'!$E$5:$AA$5,0)),"NA")</f>
        <v>34670</v>
      </c>
      <c r="BC444" s="411">
        <f t="shared" si="754"/>
        <v>-6.7839745057127676E-3</v>
      </c>
      <c r="BD444" s="92"/>
      <c r="BE444" s="281" t="str">
        <f t="shared" si="748"/>
        <v>DELTA NATURAL GAS COMPANY, INC.</v>
      </c>
      <c r="BF444" s="290">
        <f t="shared" si="749"/>
        <v>4057118</v>
      </c>
      <c r="BG444" s="46" t="str">
        <f t="shared" si="750"/>
        <v>KY</v>
      </c>
      <c r="BH444" s="46"/>
      <c r="BI444" s="46" t="str">
        <f t="shared" si="751"/>
        <v>2014 Y</v>
      </c>
      <c r="BJ444" s="129"/>
      <c r="BK444" s="129"/>
      <c r="BL444" s="129">
        <f>INDEX('Dist. Plant Gas Additions'!$E$7:$AD$91,MATCH($C444,'Dist. Plant Gas Additions'!$C$7:$C$91,0),MATCH(Calculation!$G444,'Dist. Plant Gas Additions'!$E$5:$AD$5,0))</f>
        <v>4318</v>
      </c>
      <c r="BM444" s="129">
        <f>INDEX('Gen. Plant Additions'!$E$7:$AD$91,MATCH($C444,'Gen. Plant Additions'!$C$7:$C$91,0),MATCH(Calculation!$G444,'Gen. Plant Additions'!$E$5:$AD$5,0))</f>
        <v>1256</v>
      </c>
      <c r="BN444" s="393">
        <f t="shared" si="801"/>
        <v>0.83578237403660371</v>
      </c>
      <c r="BO444" s="46">
        <f t="shared" si="837"/>
        <v>1049.7426617899744</v>
      </c>
      <c r="BP444" s="46">
        <f t="shared" si="838"/>
        <v>-206.25733821002564</v>
      </c>
      <c r="BQ444" s="129">
        <f>INDEX('Dist Plant Depreciation'!$D$7:$AC$94,MATCH($C444,'Dist Plant Depreciation'!$C$7:$C$94,0),MATCH(Calculation!$G444,'Dist Plant Depreciation'!$D$5:$AC$5,0))</f>
        <v>44842</v>
      </c>
      <c r="BR444" s="129">
        <f>INDEX('Gen. Plant Depreciation'!$D$7:$AC$94,MATCH($C444,'Gen. Plant Depreciation'!$C$7:$C$94,0),MATCH(Calculation!$G444,'Gen. Plant Depreciation'!$D$5:$AC$5,0))</f>
        <v>12909</v>
      </c>
      <c r="BS444" s="129"/>
      <c r="BT444" s="129"/>
      <c r="BU444" s="129"/>
      <c r="BV444" s="129"/>
      <c r="BW444" s="129"/>
      <c r="BX444" s="129"/>
      <c r="BY444" s="129">
        <f>INDEX('Gross Dx Plant'!$D$7:$AC$91,MATCH($C444,'Gross Dx Plant'!$C$7:$C$91,0),MATCH(Calculation!$G444,'Gross Dx Plant'!$D$5:$AC$5,0))</f>
        <v>117226</v>
      </c>
      <c r="BZ444" s="129">
        <f>INDEX('Gross Gen Plant'!$D$7:$AC$91,MATCH($C444,'Gross Gen Plant'!$C$7:$C$91,0),MATCH(Calculation!$G444,'Gross Gen Plant'!$D$5:$AC$5,0))</f>
        <v>23033</v>
      </c>
      <c r="CA444" s="129">
        <f t="shared" si="755"/>
        <v>82508</v>
      </c>
      <c r="CB444" s="129"/>
      <c r="CC444" s="133">
        <v>2014</v>
      </c>
      <c r="CD444" s="129"/>
      <c r="CE444" s="129"/>
      <c r="CF444" s="129"/>
      <c r="CG444" s="137"/>
      <c r="CH444" s="129">
        <f t="shared" si="802"/>
        <v>5574</v>
      </c>
      <c r="CI444" s="46">
        <f t="shared" si="811"/>
        <v>5367.7426617899746</v>
      </c>
      <c r="CJ444" s="46">
        <f t="shared" si="803"/>
        <v>7.8421981733703099</v>
      </c>
      <c r="CK444" s="443">
        <v>0.81395348837209303</v>
      </c>
      <c r="CL444" s="46">
        <f>+CL428*CK444+CJ429*CK443+CJ430*CK442+CJ431*CK441+CJ432*CK440+CJ433*CK439+CJ434*CK438+CJ435*CK437+CJ436*CK436+CJ437*CK435+CJ438*CK434+CJ439*CK433+CJ440*CK432+CJ441*CK431+CJ442*CK430+CJ443*CK429+CJ444</f>
        <v>380.16090111600295</v>
      </c>
      <c r="CM444" s="134">
        <f t="shared" si="804"/>
        <v>5.557961662381772E-3</v>
      </c>
      <c r="CN444" s="135">
        <f t="shared" si="805"/>
        <v>1.5170165510400561E-2</v>
      </c>
      <c r="CO444" s="135">
        <f t="shared" si="813"/>
        <v>1.4725729743818453E-2</v>
      </c>
      <c r="CP444" s="134">
        <f>VLOOKUP($H444,RoR!$E:$F,2,FALSE)</f>
        <v>4.1625000000000002E-2</v>
      </c>
      <c r="CQ444" s="135">
        <v>1.841352814597208E-2</v>
      </c>
      <c r="CR444" s="135">
        <f t="shared" si="812"/>
        <v>2.3211471854027922E-2</v>
      </c>
      <c r="CS444" s="135">
        <f t="shared" si="815"/>
        <v>1.617621186471517E-2</v>
      </c>
      <c r="CT444" s="135">
        <f t="shared" si="816"/>
        <v>3.9072621432650924E-2</v>
      </c>
      <c r="CU444" s="139">
        <f t="shared" si="806"/>
        <v>0.85466708209999998</v>
      </c>
      <c r="CV444" s="335">
        <f t="shared" si="807"/>
        <v>1.2320012320012319</v>
      </c>
      <c r="CW444" s="335">
        <f t="shared" si="808"/>
        <v>0.37439939939939942</v>
      </c>
      <c r="CX444" s="335">
        <f t="shared" si="809"/>
        <v>0.80432100613819935</v>
      </c>
      <c r="CY444" s="335">
        <f t="shared" si="810"/>
        <v>0.37100152660040037</v>
      </c>
      <c r="CZ444" s="336">
        <f>INDEX('State Tax Lookup'!$D$7:$Z$91,MATCH(Calculation!$C444,'State Tax Lookup'!$B$7:$B$91,0),MATCH($H444,'State Tax Lookup'!$D$6:$Z$6,0))</f>
        <v>0.39279166999999998</v>
      </c>
      <c r="DA444" s="303">
        <v>0.37</v>
      </c>
      <c r="DB444" s="57">
        <f t="shared" si="814"/>
        <v>15.529399257312148</v>
      </c>
      <c r="DC444" s="56">
        <f t="shared" si="817"/>
        <v>6.3833758216155344E-3</v>
      </c>
      <c r="DD444" s="303">
        <f>VLOOKUP($H444,RoR!$E:$F,2,FALSE)</f>
        <v>4.1625000000000002E-2</v>
      </c>
      <c r="DE444" s="304">
        <f>HLOOKUP($H444,'GDP-PI'!$D$8:$CQ$11,3,FALSE)</f>
        <v>1.841352814597208E-2</v>
      </c>
      <c r="DF444" s="303">
        <f>VLOOKUP(H444,'HW Dx Data'!$E:$F,2,FALSE)</f>
        <v>684.46914285042885</v>
      </c>
      <c r="DG444" s="89">
        <f ca="1">VLOOKUP(CC444,'ECI - Input Price'!M$13:N$33,2,FALSE)</f>
        <v>129.4</v>
      </c>
      <c r="DH444" s="89"/>
      <c r="DI444" s="89"/>
      <c r="DJ444" s="56">
        <f t="shared" ca="1" si="825"/>
        <v>2.0297340063674733E-2</v>
      </c>
      <c r="DK444" s="53">
        <f>HLOOKUP(H444,'GDP-PI'!$8:$9,2,FALSE)</f>
        <v>103.64700000000001</v>
      </c>
      <c r="DL444" s="355">
        <f t="shared" si="818"/>
        <v>1.8246051898256087E-2</v>
      </c>
      <c r="EC444"/>
    </row>
    <row r="445" spans="1:133" s="126" customFormat="1" ht="21" customHeight="1" x14ac:dyDescent="0.4">
      <c r="A445" s="233" t="s">
        <v>208</v>
      </c>
      <c r="B445" s="127" t="s">
        <v>208</v>
      </c>
      <c r="C445" s="127">
        <v>4057118</v>
      </c>
      <c r="D445" s="127" t="s">
        <v>209</v>
      </c>
      <c r="E445" s="127"/>
      <c r="F445" s="127"/>
      <c r="G445" s="127" t="s">
        <v>171</v>
      </c>
      <c r="H445" s="128">
        <v>2015</v>
      </c>
      <c r="I445" s="129"/>
      <c r="J445" s="125">
        <f>IFERROR(INDEX('Labor Expenditures'!$E$7:$W$91,MATCH($C445,'Labor Expenditures'!$C$7:$C$91,0),MATCH($G445,'Labor Expenditures'!$E$5:$W$5,0)),"NA")</f>
        <v>3850.7580208572981</v>
      </c>
      <c r="K445" s="125">
        <f t="shared" ca="1" si="819"/>
        <v>28.844629369717588</v>
      </c>
      <c r="L445" s="47"/>
      <c r="M445" s="131">
        <f t="shared" ca="1" si="826"/>
        <v>8.8375873230816474E-3</v>
      </c>
      <c r="N445" s="131"/>
      <c r="O445" s="131"/>
      <c r="P445" s="59">
        <f t="shared" ca="1" si="828"/>
        <v>1.3407930798383498E-5</v>
      </c>
      <c r="Q445" s="61"/>
      <c r="R445" s="387"/>
      <c r="S445" s="49">
        <f t="shared" ca="1" si="833"/>
        <v>117.82230663208153</v>
      </c>
      <c r="T445" s="61">
        <f ca="1">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</f>
        <v>-1.5520748124697769E-2</v>
      </c>
      <c r="U445" s="61"/>
      <c r="V445" s="125">
        <f>IFERROR(INDEX('Non-Labor Expenditures'!$E$7:$AA$91,MATCH($C445,'Non-Labor Expenditures'!$C$7:$C$91,0),MATCH($G445,'Non-Labor Expenditures'!$E$5:$AA$5,0)),"NA")</f>
        <v>5576.6168365904905</v>
      </c>
      <c r="W445" s="125">
        <f t="shared" si="820"/>
        <v>53.293865925615599</v>
      </c>
      <c r="X445" s="131">
        <f t="shared" si="829"/>
        <v>3.0505246911143067E-2</v>
      </c>
      <c r="Y445" s="131">
        <f t="shared" si="830"/>
        <v>4.6280984234686635E-5</v>
      </c>
      <c r="Z445" s="131"/>
      <c r="AA445" s="131"/>
      <c r="AB445" s="131"/>
      <c r="AC445" s="125">
        <f t="shared" si="800"/>
        <v>5684.2811296433374</v>
      </c>
      <c r="AD445" s="129"/>
      <c r="AE445" s="133">
        <v>424.26593042046261</v>
      </c>
      <c r="AF445" s="134">
        <v>1.0475264964585668E-2</v>
      </c>
      <c r="AG445" s="59">
        <f t="shared" si="821"/>
        <v>1.5892530687993319E-5</v>
      </c>
      <c r="AH445" s="134"/>
      <c r="AI445" s="134"/>
      <c r="AJ445" s="129">
        <f t="shared" si="796"/>
        <v>15111.655987091126</v>
      </c>
      <c r="AK445" s="134">
        <f t="shared" si="831"/>
        <v>1.2201372474559597E-2</v>
      </c>
      <c r="AL445" s="129"/>
      <c r="AM445" s="129"/>
      <c r="AN445" s="129"/>
      <c r="AO445" s="129"/>
      <c r="AP445" s="133">
        <f t="shared" si="832"/>
        <v>434.44273191959309</v>
      </c>
      <c r="AQ445" s="134">
        <f>+BB445/Outputs!$B$23</f>
        <v>9.5477007344790571E-4</v>
      </c>
      <c r="AR445" s="93">
        <f t="shared" si="822"/>
        <v>0.25482038660400569</v>
      </c>
      <c r="AS445" s="93">
        <f t="shared" si="823"/>
        <v>0.36902751368574166</v>
      </c>
      <c r="AT445" s="93">
        <f t="shared" si="824"/>
        <v>0.37615209971025265</v>
      </c>
      <c r="AU445" s="93">
        <f t="shared" ca="1" si="827"/>
        <v>1.7353858668123924E-2</v>
      </c>
      <c r="AV445" s="132">
        <f t="shared" ca="1" si="835"/>
        <v>102.5835451589959</v>
      </c>
      <c r="AW445" s="134">
        <f t="shared" ca="1" si="836"/>
        <v>1.7353858668123931E-2</v>
      </c>
      <c r="AX445" s="56">
        <f>+AJ445/$AL$20</f>
        <v>1.5171483243356719E-3</v>
      </c>
      <c r="AY445" s="135">
        <f t="shared" ca="1" si="834"/>
        <v>2.6328377599102298E-5</v>
      </c>
      <c r="AZ445" s="93"/>
      <c r="BA445" s="93"/>
      <c r="BB445" s="234">
        <f>IFERROR(INDEX('Total Customers'!$E$7:$AA$91,MATCH($C445,'Total Customers'!$C$7:$C$91,0),MATCH($G445,'Total Customers'!$E$5:$AA$5,0)),"NA")</f>
        <v>34784</v>
      </c>
      <c r="BC445" s="411">
        <f t="shared" si="754"/>
        <v>3.2827512418669197E-3</v>
      </c>
      <c r="BD445" s="92"/>
      <c r="BE445" s="281" t="str">
        <f t="shared" si="748"/>
        <v>DELTA NATURAL GAS COMPANY, INC.</v>
      </c>
      <c r="BF445" s="290">
        <f t="shared" si="749"/>
        <v>4057118</v>
      </c>
      <c r="BG445" s="46" t="str">
        <f t="shared" si="750"/>
        <v>KY</v>
      </c>
      <c r="BH445" s="46"/>
      <c r="BI445" s="46" t="str">
        <f t="shared" si="751"/>
        <v>2015 Y</v>
      </c>
      <c r="BJ445" s="129"/>
      <c r="BK445" s="129"/>
      <c r="BL445" s="129">
        <f>INDEX('Dist. Plant Gas Additions'!$E$7:$AD$91,MATCH($C445,'Dist. Plant Gas Additions'!$C$7:$C$91,0),MATCH(Calculation!$G445,'Dist. Plant Gas Additions'!$E$5:$AD$5,0))</f>
        <v>3777</v>
      </c>
      <c r="BM445" s="129">
        <f>INDEX('Gen. Plant Additions'!$E$7:$AD$91,MATCH($C445,'Gen. Plant Additions'!$C$7:$C$91,0),MATCH(Calculation!$G445,'Gen. Plant Additions'!$E$5:$AD$5,0))</f>
        <v>1642</v>
      </c>
      <c r="BN445" s="393">
        <f t="shared" si="801"/>
        <v>0.83486635796649</v>
      </c>
      <c r="BO445" s="46">
        <f t="shared" si="837"/>
        <v>1370.8505597809765</v>
      </c>
      <c r="BP445" s="46">
        <f t="shared" si="838"/>
        <v>-271.14944021902352</v>
      </c>
      <c r="BQ445" s="129">
        <f>INDEX('Dist Plant Depreciation'!$D$7:$AC$94,MATCH($C445,'Dist Plant Depreciation'!$C$7:$C$94,0),MATCH(Calculation!$G445,'Dist Plant Depreciation'!$D$5:$AC$5,0))</f>
        <v>47346</v>
      </c>
      <c r="BR445" s="129">
        <f>INDEX('Gen. Plant Depreciation'!$D$7:$AC$94,MATCH($C445,'Gen. Plant Depreciation'!$C$7:$C$94,0),MATCH(Calculation!$G445,'Gen. Plant Depreciation'!$D$5:$AC$5,0))</f>
        <v>13240</v>
      </c>
      <c r="BS445" s="129"/>
      <c r="BT445" s="129"/>
      <c r="BU445" s="129"/>
      <c r="BV445" s="129"/>
      <c r="BW445" s="129"/>
      <c r="BX445" s="129"/>
      <c r="BY445" s="129">
        <f>INDEX('Gross Dx Plant'!$D$7:$AC$91,MATCH($C445,'Gross Dx Plant'!$C$7:$C$91,0),MATCH(Calculation!$G445,'Gross Dx Plant'!$D$5:$AC$5,0))</f>
        <v>119537</v>
      </c>
      <c r="BZ445" s="129">
        <f>INDEX('Gross Gen Plant'!$D$7:$AC$91,MATCH($C445,'Gross Gen Plant'!$C$7:$C$91,0),MATCH(Calculation!$G445,'Gross Gen Plant'!$D$5:$AC$5,0))</f>
        <v>23644</v>
      </c>
      <c r="CA445" s="129">
        <f t="shared" si="755"/>
        <v>82595</v>
      </c>
      <c r="CB445" s="129"/>
      <c r="CC445" s="133">
        <v>2015</v>
      </c>
      <c r="CD445" s="129"/>
      <c r="CE445" s="129"/>
      <c r="CF445" s="129"/>
      <c r="CG445" s="137"/>
      <c r="CH445" s="129">
        <f t="shared" si="802"/>
        <v>5419</v>
      </c>
      <c r="CI445" s="46">
        <f t="shared" si="811"/>
        <v>5147.8505597809763</v>
      </c>
      <c r="CJ445" s="46">
        <f t="shared" si="803"/>
        <v>7.619507197856513</v>
      </c>
      <c r="CK445" s="443">
        <v>0.8</v>
      </c>
      <c r="CL445" s="46">
        <f>+CL428*CK445+CJ429*CK444+CJ430*CK443+CJ431*CK442+CJ432*CK441+CJ433*CK440+CJ434*CK439+CJ435*CK438+CJ436*CK437+CJ437*CK436+CJ438*CK435+CJ439*CK434+CJ440*CK433+CJ441*CK432+CJ442*CK431+CJ443*CK430+CJ444*CK429+CJ445</f>
        <v>381.83558524712174</v>
      </c>
      <c r="CM445" s="134">
        <f t="shared" si="804"/>
        <v>4.3955237521898036E-3</v>
      </c>
      <c r="CN445" s="135">
        <f t="shared" si="805"/>
        <v>1.5637649872162169E-2</v>
      </c>
      <c r="CO445" s="135">
        <f t="shared" si="813"/>
        <v>1.5173200424260637E-2</v>
      </c>
      <c r="CP445" s="134">
        <f>VLOOKUP($H445,RoR!$E:$F,2,FALSE)</f>
        <v>3.8866666666666674E-2</v>
      </c>
      <c r="CQ445" s="135">
        <v>9.5709475431029478E-3</v>
      </c>
      <c r="CR445" s="135">
        <f t="shared" si="812"/>
        <v>2.9295719123563727E-2</v>
      </c>
      <c r="CS445" s="135">
        <f t="shared" si="815"/>
        <v>1.572874118427299E-2</v>
      </c>
      <c r="CT445" s="135">
        <f t="shared" si="816"/>
        <v>3.5270373279175926E-3</v>
      </c>
      <c r="CU445" s="139">
        <f t="shared" si="806"/>
        <v>0.85466708209999998</v>
      </c>
      <c r="CV445" s="335">
        <f t="shared" si="807"/>
        <v>1.3194352816994324</v>
      </c>
      <c r="CW445" s="335">
        <f t="shared" si="808"/>
        <v>0.33177530017152673</v>
      </c>
      <c r="CX445" s="335">
        <f t="shared" si="809"/>
        <v>0.78242572977668579</v>
      </c>
      <c r="CY445" s="335">
        <f t="shared" si="810"/>
        <v>0.34251158643433932</v>
      </c>
      <c r="CZ445" s="336">
        <f>INDEX('State Tax Lookup'!$D$7:$Z$91,MATCH(Calculation!$C445,'State Tax Lookup'!$B$7:$B$91,0),MATCH($H445,'State Tax Lookup'!$D$6:$Z$6,0))</f>
        <v>0.39279166999999998</v>
      </c>
      <c r="DA445" s="303">
        <v>0.37</v>
      </c>
      <c r="DB445" s="57">
        <f t="shared" si="814"/>
        <v>14.952303387740619</v>
      </c>
      <c r="DC445" s="56">
        <f t="shared" si="817"/>
        <v>-3.7869592962144809E-2</v>
      </c>
      <c r="DD445" s="303">
        <f>VLOOKUP($H445,RoR!$E:$F,2,FALSE)</f>
        <v>3.8866666666666674E-2</v>
      </c>
      <c r="DE445" s="304">
        <f>HLOOKUP($H445,'GDP-PI'!$D$8:$CQ$11,3,FALSE)</f>
        <v>9.5709475431029478E-3</v>
      </c>
      <c r="DF445" s="303">
        <f>VLOOKUP(H445,'HW Dx Data'!$E:$F,2,FALSE)</f>
        <v>675.61463308665782</v>
      </c>
      <c r="DG445" s="89">
        <f ca="1">VLOOKUP(CC445,'ECI - Input Price'!M$13:N$33,2,FALSE)</f>
        <v>133.5</v>
      </c>
      <c r="DH445" s="89"/>
      <c r="DI445" s="89"/>
      <c r="DJ445" s="56">
        <f t="shared" ca="1" si="825"/>
        <v>3.1193095773504077E-2</v>
      </c>
      <c r="DK445" s="53">
        <f>HLOOKUP(H445,'GDP-PI'!$8:$9,2,FALSE)</f>
        <v>104.639</v>
      </c>
      <c r="DL445" s="355">
        <f t="shared" si="818"/>
        <v>9.5254361854427965E-3</v>
      </c>
      <c r="EC445"/>
    </row>
    <row r="446" spans="1:133" s="126" customFormat="1" ht="21" customHeight="1" x14ac:dyDescent="0.4">
      <c r="A446" s="233" t="s">
        <v>208</v>
      </c>
      <c r="B446" s="127" t="s">
        <v>208</v>
      </c>
      <c r="C446" s="127">
        <v>4057118</v>
      </c>
      <c r="D446" s="127" t="s">
        <v>209</v>
      </c>
      <c r="E446" s="127"/>
      <c r="F446" s="127"/>
      <c r="G446" s="127" t="s">
        <v>172</v>
      </c>
      <c r="H446" s="128">
        <v>2016</v>
      </c>
      <c r="I446" s="129"/>
      <c r="J446" s="125">
        <f>IFERROR(INDEX('Labor Expenditures'!$E$7:$W$91,MATCH($C446,'Labor Expenditures'!$C$7:$C$91,0),MATCH($G446,'Labor Expenditures'!$E$5:$W$5,0)),"NA")</f>
        <v>3835.420392129357</v>
      </c>
      <c r="K446" s="125">
        <f t="shared" ca="1" si="819"/>
        <v>28.005990450013563</v>
      </c>
      <c r="L446" s="47"/>
      <c r="M446" s="131">
        <f t="shared" ca="1" si="826"/>
        <v>-2.9505386660231135E-2</v>
      </c>
      <c r="N446" s="131"/>
      <c r="O446" s="131"/>
      <c r="P446" s="59">
        <f t="shared" ca="1" si="828"/>
        <v>-4.2735336208106335E-5</v>
      </c>
      <c r="Q446" s="61"/>
      <c r="R446" s="387"/>
      <c r="S446" s="49">
        <f t="shared" ca="1" si="833"/>
        <v>295.41684913110208</v>
      </c>
      <c r="T446" s="61">
        <f ca="1">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</f>
        <v>0.91920979333362507</v>
      </c>
      <c r="U446" s="61"/>
      <c r="V446" s="125">
        <f>IFERROR(INDEX('Non-Labor Expenditures'!$E$7:$AA$91,MATCH($C446,'Non-Labor Expenditures'!$C$7:$C$91,0),MATCH($G446,'Non-Labor Expenditures'!$E$5:$AA$5,0)),"NA")</f>
        <v>5554.405085518536</v>
      </c>
      <c r="W446" s="125">
        <f t="shared" si="820"/>
        <v>52.53087960125724</v>
      </c>
      <c r="X446" s="131">
        <f t="shared" si="829"/>
        <v>-1.4420059158653466E-2</v>
      </c>
      <c r="Y446" s="131">
        <f t="shared" si="830"/>
        <v>-2.0885883766995225E-5</v>
      </c>
      <c r="Z446" s="131"/>
      <c r="AA446" s="131"/>
      <c r="AB446" s="131"/>
      <c r="AC446" s="125">
        <f t="shared" si="800"/>
        <v>5503.3239653346382</v>
      </c>
      <c r="AD446" s="129"/>
      <c r="AE446" s="133">
        <v>428.59655323018495</v>
      </c>
      <c r="AF446" s="134">
        <v>1.0155588064724034E-2</v>
      </c>
      <c r="AG446" s="59">
        <f t="shared" si="821"/>
        <v>1.4709262255559057E-5</v>
      </c>
      <c r="AH446" s="134"/>
      <c r="AI446" s="134"/>
      <c r="AJ446" s="129">
        <f t="shared" si="796"/>
        <v>14893.149442982532</v>
      </c>
      <c r="AK446" s="134">
        <f t="shared" si="831"/>
        <v>-1.4565027421099603E-2</v>
      </c>
      <c r="AL446" s="129"/>
      <c r="AM446" s="129"/>
      <c r="AN446" s="129"/>
      <c r="AO446" s="129"/>
      <c r="AP446" s="133">
        <f t="shared" si="832"/>
        <v>438.18846189780311</v>
      </c>
      <c r="AQ446" s="134">
        <f>+BB446/Outputs!$B$24</f>
        <v>9.2485929148072019E-4</v>
      </c>
      <c r="AR446" s="93">
        <f t="shared" si="822"/>
        <v>0.25752916848199353</v>
      </c>
      <c r="AS446" s="93">
        <f t="shared" si="823"/>
        <v>0.372950335775735</v>
      </c>
      <c r="AT446" s="93">
        <f t="shared" si="824"/>
        <v>0.36952049574227136</v>
      </c>
      <c r="AU446" s="93">
        <f t="shared" ca="1" si="827"/>
        <v>-9.1218462505426607E-3</v>
      </c>
      <c r="AV446" s="132">
        <f t="shared" ca="1" si="835"/>
        <v>101.65204877461368</v>
      </c>
      <c r="AW446" s="134">
        <f t="shared" ca="1" si="836"/>
        <v>-9.1218462505427023E-3</v>
      </c>
      <c r="AX446" s="56">
        <f>+AJ446/$AL$21</f>
        <v>1.4483909904392882E-3</v>
      </c>
      <c r="AY446" s="135">
        <f t="shared" ca="1" si="834"/>
        <v>-1.3211999925458453E-5</v>
      </c>
      <c r="AZ446" s="93"/>
      <c r="BA446" s="93"/>
      <c r="BB446" s="234">
        <f>IFERROR(INDEX('Total Customers'!$E$7:$AA$91,MATCH($C446,'Total Customers'!$C$7:$C$91,0),MATCH($G446,'Total Customers'!$E$5:$AA$5,0)),"NA")</f>
        <v>33988</v>
      </c>
      <c r="BC446" s="411">
        <f t="shared" si="754"/>
        <v>-2.3149989797504014E-2</v>
      </c>
      <c r="BD446" s="92"/>
      <c r="BE446" s="281" t="str">
        <f t="shared" si="748"/>
        <v>DELTA NATURAL GAS COMPANY, INC.</v>
      </c>
      <c r="BF446" s="290">
        <f t="shared" si="749"/>
        <v>4057118</v>
      </c>
      <c r="BG446" s="46" t="str">
        <f t="shared" si="750"/>
        <v>KY</v>
      </c>
      <c r="BH446" s="46"/>
      <c r="BI446" s="46" t="str">
        <f t="shared" si="751"/>
        <v>2016 Y</v>
      </c>
      <c r="BJ446" s="129"/>
      <c r="BK446" s="129"/>
      <c r="BL446" s="129">
        <f>INDEX('Dist. Plant Gas Additions'!$E$7:$AD$91,MATCH($C446,'Dist. Plant Gas Additions'!$C$7:$C$91,0),MATCH(Calculation!$G446,'Dist. Plant Gas Additions'!$E$5:$AD$5,0))</f>
        <v>4339</v>
      </c>
      <c r="BM446" s="129">
        <f>INDEX('Gen. Plant Additions'!$E$7:$AD$91,MATCH($C446,'Gen. Plant Additions'!$C$7:$C$91,0),MATCH(Calculation!$G446,'Gen. Plant Additions'!$E$5:$AD$5,0))</f>
        <v>1106</v>
      </c>
      <c r="BN446" s="393">
        <f t="shared" si="801"/>
        <v>0.83775817219856419</v>
      </c>
      <c r="BO446" s="46">
        <f t="shared" si="837"/>
        <v>926.56053845161205</v>
      </c>
      <c r="BP446" s="46">
        <f t="shared" si="838"/>
        <v>-179.43946154838795</v>
      </c>
      <c r="BQ446" s="129">
        <f>INDEX('Dist Plant Depreciation'!$D$7:$AC$94,MATCH($C446,'Dist Plant Depreciation'!$C$7:$C$94,0),MATCH(Calculation!$G446,'Dist Plant Depreciation'!$D$5:$AC$5,0))</f>
        <v>50268</v>
      </c>
      <c r="BR446" s="129">
        <f>INDEX('Gen. Plant Depreciation'!$D$7:$AC$94,MATCH($C446,'Gen. Plant Depreciation'!$C$7:$C$94,0),MATCH(Calculation!$G446,'Gen. Plant Depreciation'!$D$5:$AC$5,0))</f>
        <v>13451</v>
      </c>
      <c r="BS446" s="129"/>
      <c r="BT446" s="129"/>
      <c r="BU446" s="129"/>
      <c r="BV446" s="129"/>
      <c r="BW446" s="129"/>
      <c r="BX446" s="129"/>
      <c r="BY446" s="129">
        <f>INDEX('Gross Dx Plant'!$D$7:$AC$91,MATCH($C446,'Gross Dx Plant'!$C$7:$C$91,0),MATCH(Calculation!$G446,'Gross Dx Plant'!$D$5:$AC$5,0))</f>
        <v>123349</v>
      </c>
      <c r="BZ446" s="129">
        <f>INDEX('Gross Gen Plant'!$D$7:$AC$91,MATCH($C446,'Gross Gen Plant'!$C$7:$C$91,0),MATCH(Calculation!$G446,'Gross Gen Plant'!$D$5:$AC$5,0))</f>
        <v>23888</v>
      </c>
      <c r="CA446" s="129">
        <f t="shared" si="755"/>
        <v>83518</v>
      </c>
      <c r="CB446" s="129"/>
      <c r="CC446" s="133">
        <v>2016</v>
      </c>
      <c r="CD446" s="129"/>
      <c r="CE446" s="129"/>
      <c r="CF446" s="129"/>
      <c r="CG446" s="137"/>
      <c r="CH446" s="129">
        <f t="shared" si="802"/>
        <v>5445</v>
      </c>
      <c r="CI446" s="46">
        <f t="shared" si="811"/>
        <v>5265.560538451612</v>
      </c>
      <c r="CJ446" s="46">
        <f t="shared" si="803"/>
        <v>7.8419992520791286</v>
      </c>
      <c r="CK446" s="443">
        <v>0.7857142857142857</v>
      </c>
      <c r="CL446" s="46">
        <f>+CL428*CK446+CJ429*CK445+CJ430*CK444+CJ431*CK443+CJ432*CK442+CJ433*CK441+CJ434*CK440+CJ435*CK439+CJ436*CK438+CJ437*CK437+CJ438*CK436+CJ439*CK435+CJ440*CK434+CJ441*CK433+CJ442*CK432+CJ443*CK431+CJ444*CK430+CJ445*CK429+CJ446</f>
        <v>383.51910901255445</v>
      </c>
      <c r="CM446" s="134">
        <f t="shared" si="804"/>
        <v>4.3993366561275856E-3</v>
      </c>
      <c r="CN446" s="135">
        <f t="shared" si="805"/>
        <v>1.6128605411831087E-2</v>
      </c>
      <c r="CO446" s="135">
        <f t="shared" si="813"/>
        <v>1.564547359813127E-2</v>
      </c>
      <c r="CP446" s="134">
        <f>VLOOKUP($H446,RoR!$E:$F,2,FALSE)</f>
        <v>3.6658333333333334E-2</v>
      </c>
      <c r="CQ446" s="135">
        <v>1.0483662879041455E-2</v>
      </c>
      <c r="CR446" s="135">
        <f t="shared" si="812"/>
        <v>2.6174670454291879E-2</v>
      </c>
      <c r="CS446" s="135">
        <f t="shared" si="815"/>
        <v>1.5256468010402355E-2</v>
      </c>
      <c r="CT446" s="135">
        <f t="shared" si="816"/>
        <v>4.301363574220729E-3</v>
      </c>
      <c r="CU446" s="139">
        <f t="shared" si="806"/>
        <v>0.85466708209999998</v>
      </c>
      <c r="CV446" s="335">
        <f t="shared" si="807"/>
        <v>1.3989193348138562</v>
      </c>
      <c r="CW446" s="335">
        <f t="shared" si="808"/>
        <v>0.29302682427824522</v>
      </c>
      <c r="CX446" s="335">
        <f t="shared" si="809"/>
        <v>0.76309497491941802</v>
      </c>
      <c r="CY446" s="335">
        <f t="shared" si="810"/>
        <v>0.31280857135128509</v>
      </c>
      <c r="CZ446" s="336">
        <f>INDEX('State Tax Lookup'!$D$7:$Z$91,MATCH(Calculation!$C446,'State Tax Lookup'!$B$7:$B$91,0),MATCH($H446,'State Tax Lookup'!$D$6:$Z$6,0))</f>
        <v>0.39279166999999998</v>
      </c>
      <c r="DA446" s="303">
        <v>0.37</v>
      </c>
      <c r="DB446" s="57">
        <f t="shared" si="814"/>
        <v>14.412810586454166</v>
      </c>
      <c r="DC446" s="56">
        <f t="shared" si="817"/>
        <v>-3.674792556695277E-2</v>
      </c>
      <c r="DD446" s="303">
        <f>VLOOKUP($H446,RoR!$E:$F,2,FALSE)</f>
        <v>3.6658333333333334E-2</v>
      </c>
      <c r="DE446" s="304">
        <f>HLOOKUP($H446,'GDP-PI'!$D$8:$CQ$11,3,FALSE)</f>
        <v>1.0483662879041455E-2</v>
      </c>
      <c r="DF446" s="303">
        <f>VLOOKUP(H446,'HW Dx Data'!$E:$F,2,FALSE)</f>
        <v>671.45639385971219</v>
      </c>
      <c r="DG446" s="89">
        <f ca="1">VLOOKUP(CC446,'ECI - Input Price'!M$13:N$33,2,FALSE)</f>
        <v>136.94999999999999</v>
      </c>
      <c r="DH446" s="89"/>
      <c r="DI446" s="89"/>
      <c r="DJ446" s="56">
        <f t="shared" ca="1" si="825"/>
        <v>2.5514417868782811E-2</v>
      </c>
      <c r="DK446" s="53">
        <f>HLOOKUP(H446,'GDP-PI'!$8:$9,2,FALSE)</f>
        <v>105.736</v>
      </c>
      <c r="DL446" s="355">
        <f t="shared" si="818"/>
        <v>1.0429090367205095E-2</v>
      </c>
      <c r="EC446"/>
    </row>
    <row r="447" spans="1:133" s="126" customFormat="1" ht="21" customHeight="1" x14ac:dyDescent="0.4">
      <c r="A447" s="233" t="s">
        <v>208</v>
      </c>
      <c r="B447" s="127" t="s">
        <v>208</v>
      </c>
      <c r="C447" s="127">
        <v>4057118</v>
      </c>
      <c r="D447" s="127" t="s">
        <v>209</v>
      </c>
      <c r="E447" s="127"/>
      <c r="F447" s="127"/>
      <c r="G447" s="127" t="s">
        <v>173</v>
      </c>
      <c r="H447" s="128">
        <v>2017</v>
      </c>
      <c r="I447" s="129"/>
      <c r="J447" s="125">
        <f>IFERROR(INDEX('Labor Expenditures'!$E$7:$W$91,MATCH($C447,'Labor Expenditures'!$C$7:$C$91,0),MATCH($G447,'Labor Expenditures'!$E$5:$W$5,0)),"NA")</f>
        <v>3761.7955584156584</v>
      </c>
      <c r="K447" s="125">
        <f t="shared" ca="1" si="819"/>
        <v>26.783877240410529</v>
      </c>
      <c r="L447" s="47"/>
      <c r="M447" s="131">
        <f t="shared" ca="1" si="826"/>
        <v>-4.4618320957098521E-2</v>
      </c>
      <c r="N447" s="131"/>
      <c r="O447" s="131"/>
      <c r="P447" s="59">
        <f t="shared" ca="1" si="828"/>
        <v>-6.119466404335711E-5</v>
      </c>
      <c r="Q447" s="61"/>
      <c r="R447" s="387"/>
      <c r="S447" s="49">
        <f t="shared" ca="1" si="833"/>
        <v>164.5429688078045</v>
      </c>
      <c r="T447" s="61">
        <f ca="1">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</f>
        <v>-0.58521566217466536</v>
      </c>
      <c r="U447" s="61"/>
      <c r="V447" s="125">
        <f>IFERROR(INDEX('Non-Labor Expenditures'!$E$7:$AA$91,MATCH($C447,'Non-Labor Expenditures'!$C$7:$C$91,0),MATCH($G447,'Non-Labor Expenditures'!$E$5:$AA$5,0)),"NA")</f>
        <v>5447.7825750789998</v>
      </c>
      <c r="W447" s="125">
        <f t="shared" si="820"/>
        <v>50.558997829059585</v>
      </c>
      <c r="X447" s="131">
        <f t="shared" si="829"/>
        <v>-3.8260251343678095E-2</v>
      </c>
      <c r="Y447" s="131">
        <f t="shared" si="830"/>
        <v>-5.2474480817913709E-5</v>
      </c>
      <c r="Z447" s="131"/>
      <c r="AA447" s="131"/>
      <c r="AB447" s="131"/>
      <c r="AC447" s="125">
        <f t="shared" si="800"/>
        <v>4888.3915937524744</v>
      </c>
      <c r="AD447" s="129"/>
      <c r="AE447" s="133">
        <v>432.52750861678521</v>
      </c>
      <c r="AF447" s="134">
        <v>9.129887007166838E-3</v>
      </c>
      <c r="AG447" s="59">
        <f t="shared" si="821"/>
        <v>1.2521770343948806E-5</v>
      </c>
      <c r="AH447" s="134"/>
      <c r="AI447" s="134"/>
      <c r="AJ447" s="129">
        <f t="shared" si="796"/>
        <v>14097.969727247133</v>
      </c>
      <c r="AK447" s="134">
        <f t="shared" si="831"/>
        <v>-5.4870542256879554E-2</v>
      </c>
      <c r="AL447" s="129"/>
      <c r="AM447" s="129"/>
      <c r="AN447" s="129"/>
      <c r="AO447" s="129"/>
      <c r="AP447" s="133">
        <f t="shared" si="832"/>
        <v>404.04590528622992</v>
      </c>
      <c r="AQ447" s="134">
        <f>+BB447/Outputs!$B$25</f>
        <v>9.4232491855797819E-4</v>
      </c>
      <c r="AR447" s="93">
        <f t="shared" si="822"/>
        <v>0.26683243269740037</v>
      </c>
      <c r="AS447" s="93">
        <f t="shared" si="823"/>
        <v>0.38642319996971447</v>
      </c>
      <c r="AT447" s="93">
        <f t="shared" si="824"/>
        <v>0.34674436733288516</v>
      </c>
      <c r="AU447" s="93">
        <f t="shared" ca="1" si="827"/>
        <v>-2.2955269646639354E-2</v>
      </c>
      <c r="AV447" s="132">
        <f t="shared" ca="1" si="835"/>
        <v>99.345177311623431</v>
      </c>
      <c r="AW447" s="134">
        <f t="shared" ca="1" si="836"/>
        <v>-2.2955269646639433E-2</v>
      </c>
      <c r="AX447" s="56">
        <f>+AJ447/$AL$22</f>
        <v>1.3715142733003579E-3</v>
      </c>
      <c r="AY447" s="135">
        <f t="shared" ca="1" si="834"/>
        <v>-3.1483479967824447E-5</v>
      </c>
      <c r="AZ447" s="93"/>
      <c r="BA447" s="93"/>
      <c r="BB447" s="234">
        <f>IFERROR(INDEX('Total Customers'!$E$7:$AA$91,MATCH($C447,'Total Customers'!$C$7:$C$91,0),MATCH($G447,'Total Customers'!$E$5:$AA$5,0)),"NA")</f>
        <v>34892</v>
      </c>
      <c r="BC447" s="411">
        <f t="shared" si="754"/>
        <v>2.6250055429677149E-2</v>
      </c>
      <c r="BD447" s="92"/>
      <c r="BE447" s="281" t="str">
        <f t="shared" si="748"/>
        <v>DELTA NATURAL GAS COMPANY, INC.</v>
      </c>
      <c r="BF447" s="290">
        <f t="shared" si="749"/>
        <v>4057118</v>
      </c>
      <c r="BG447" s="46" t="str">
        <f t="shared" si="750"/>
        <v>KY</v>
      </c>
      <c r="BH447" s="46"/>
      <c r="BI447" s="46" t="str">
        <f t="shared" si="751"/>
        <v>2017 Y</v>
      </c>
      <c r="BJ447" s="129"/>
      <c r="BK447" s="129"/>
      <c r="BL447" s="129">
        <f>INDEX('Dist. Plant Gas Additions'!$E$7:$AD$91,MATCH($C447,'Dist. Plant Gas Additions'!$C$7:$C$91,0),MATCH(Calculation!$G447,'Dist. Plant Gas Additions'!$E$5:$AD$5,0))</f>
        <v>4393</v>
      </c>
      <c r="BM447" s="129">
        <f>INDEX('Gen. Plant Additions'!$E$7:$AD$91,MATCH($C447,'Gen. Plant Additions'!$C$7:$C$91,0),MATCH(Calculation!$G447,'Gen. Plant Additions'!$E$5:$AD$5,0))</f>
        <v>1234</v>
      </c>
      <c r="BN447" s="393">
        <f t="shared" si="801"/>
        <v>0.83874140279762099</v>
      </c>
      <c r="BO447" s="46">
        <f t="shared" si="837"/>
        <v>1035.0068910522643</v>
      </c>
      <c r="BP447" s="46">
        <f t="shared" si="838"/>
        <v>-198.99310894773566</v>
      </c>
      <c r="BQ447" s="129">
        <f>INDEX('Dist Plant Depreciation'!$D$7:$AC$94,MATCH($C447,'Dist Plant Depreciation'!$C$7:$C$94,0),MATCH(Calculation!$G447,'Dist Plant Depreciation'!$D$5:$AC$5,0))</f>
        <v>52414</v>
      </c>
      <c r="BR447" s="129">
        <f>INDEX('Gen. Plant Depreciation'!$D$7:$AC$94,MATCH($C447,'Gen. Plant Depreciation'!$C$7:$C$94,0),MATCH(Calculation!$G447,'Gen. Plant Depreciation'!$D$5:$AC$5,0))</f>
        <v>13647</v>
      </c>
      <c r="BS447" s="129"/>
      <c r="BT447" s="129"/>
      <c r="BU447" s="129"/>
      <c r="BV447" s="129"/>
      <c r="BW447" s="129"/>
      <c r="BX447" s="129"/>
      <c r="BY447" s="129">
        <f>INDEX('Gross Dx Plant'!$D$7:$AC$91,MATCH($C447,'Gross Dx Plant'!$C$7:$C$91,0),MATCH(Calculation!$G447,'Gross Dx Plant'!$D$5:$AC$5,0))</f>
        <v>126218</v>
      </c>
      <c r="BZ447" s="129">
        <f>INDEX('Gross Gen Plant'!$D$7:$AC$91,MATCH($C447,'Gross Gen Plant'!$C$7:$C$91,0),MATCH(Calculation!$G447,'Gross Gen Plant'!$D$5:$AC$5,0))</f>
        <v>24267</v>
      </c>
      <c r="CA447" s="129">
        <f t="shared" si="755"/>
        <v>84424</v>
      </c>
      <c r="CB447" s="129"/>
      <c r="CC447" s="133">
        <v>2017</v>
      </c>
      <c r="CD447" s="129"/>
      <c r="CE447" s="129"/>
      <c r="CF447" s="129"/>
      <c r="CG447" s="137"/>
      <c r="CH447" s="129">
        <f t="shared" si="802"/>
        <v>5627</v>
      </c>
      <c r="CI447" s="46">
        <f t="shared" si="811"/>
        <v>5428.0068910522641</v>
      </c>
      <c r="CJ447" s="46">
        <f t="shared" si="803"/>
        <v>7.6190189658651697</v>
      </c>
      <c r="CK447" s="443">
        <v>0.77108433734939763</v>
      </c>
      <c r="CL447" s="46">
        <f>+CL428*CK447+CJ429*CK446+CJ430*CK445+CJ431*CK444+CJ432*CK443+CJ433*CK442+CJ434*CK441+CJ435*CK440+CJ436*CK439+CJ437*CK438+CJ438*CK437+CJ439*CK436+CJ440*CK435+CJ441*CK434+CJ442*CK433+CJ443*CK432+CJ444*CK431+CJ445*CK430+CJ446*CK429+CJ447</f>
        <v>384.75740215631407</v>
      </c>
      <c r="CM447" s="134">
        <f t="shared" si="804"/>
        <v>3.2235639071451073E-3</v>
      </c>
      <c r="CN447" s="135">
        <f t="shared" si="805"/>
        <v>1.6637308734195763E-2</v>
      </c>
      <c r="CO447" s="135">
        <f t="shared" si="813"/>
        <v>1.613452133939634E-2</v>
      </c>
      <c r="CP447" s="134">
        <f>VLOOKUP($H447,RoR!$E:$F,2,FALSE)</f>
        <v>3.7433333333333339E-2</v>
      </c>
      <c r="CQ447" s="135">
        <v>1.9056896421275615E-2</v>
      </c>
      <c r="CR447" s="135">
        <f t="shared" si="812"/>
        <v>1.8376436912057724E-2</v>
      </c>
      <c r="CS447" s="135">
        <f t="shared" si="815"/>
        <v>1.4767420269137285E-2</v>
      </c>
      <c r="CT447" s="135">
        <f t="shared" si="816"/>
        <v>1.3976271617800498E-2</v>
      </c>
      <c r="CU447" s="139">
        <f t="shared" si="806"/>
        <v>0.90646708210000004</v>
      </c>
      <c r="CV447" s="335">
        <f t="shared" si="807"/>
        <v>1.3699568463593395</v>
      </c>
      <c r="CW447" s="335">
        <f t="shared" si="808"/>
        <v>0.30714603739982199</v>
      </c>
      <c r="CX447" s="335">
        <f t="shared" si="809"/>
        <v>0.77007188472689425</v>
      </c>
      <c r="CY447" s="335">
        <f t="shared" si="810"/>
        <v>0.32402839633793828</v>
      </c>
      <c r="CZ447" s="336">
        <f>INDEX('State Tax Lookup'!$D$7:$Z$91,MATCH(Calculation!$C447,'State Tax Lookup'!$B$7:$B$91,0),MATCH($H447,'State Tax Lookup'!$D$6:$Z$6,0))</f>
        <v>0.25279166999999997</v>
      </c>
      <c r="DA447" s="303">
        <v>0.37</v>
      </c>
      <c r="DB447" s="57">
        <f t="shared" si="814"/>
        <v>12.746148702573391</v>
      </c>
      <c r="DC447" s="56">
        <f t="shared" si="817"/>
        <v>-0.12288827172923138</v>
      </c>
      <c r="DD447" s="303">
        <f>VLOOKUP($H447,RoR!$E:$F,2,FALSE)</f>
        <v>3.7433333333333339E-2</v>
      </c>
      <c r="DE447" s="304">
        <f>HLOOKUP($H447,'GDP-PI'!$D$8:$CQ$11,3,FALSE)</f>
        <v>1.9056896421275615E-2</v>
      </c>
      <c r="DF447" s="303">
        <f>VLOOKUP(H447,'HW Dx Data'!$E:$F,2,FALSE)</f>
        <v>712.42858370229726</v>
      </c>
      <c r="DG447" s="89">
        <f ca="1">VLOOKUP(CC447,'ECI - Input Price'!M$13:N$33,2,FALSE)</f>
        <v>140.44999999999999</v>
      </c>
      <c r="DH447" s="89"/>
      <c r="DI447" s="89"/>
      <c r="DJ447" s="56">
        <f t="shared" ca="1" si="825"/>
        <v>2.5235657841165486E-2</v>
      </c>
      <c r="DK447" s="53">
        <f>HLOOKUP(H447,'GDP-PI'!$8:$9,2,FALSE)</f>
        <v>107.751</v>
      </c>
      <c r="DL447" s="355">
        <f t="shared" si="818"/>
        <v>1.8877588227745139E-2</v>
      </c>
      <c r="EC447"/>
    </row>
    <row r="448" spans="1:133" s="126" customFormat="1" ht="21" customHeight="1" x14ac:dyDescent="0.4">
      <c r="A448" s="233" t="s">
        <v>208</v>
      </c>
      <c r="B448" s="127" t="s">
        <v>208</v>
      </c>
      <c r="C448" s="127">
        <v>4057118</v>
      </c>
      <c r="D448" s="127" t="s">
        <v>209</v>
      </c>
      <c r="E448" s="127"/>
      <c r="F448" s="127"/>
      <c r="G448" s="127" t="s">
        <v>174</v>
      </c>
      <c r="H448" s="128">
        <v>2018</v>
      </c>
      <c r="I448" s="129"/>
      <c r="J448" s="125">
        <f>IFERROR(INDEX('Labor Expenditures'!$E$7:$W$91,MATCH($C448,'Labor Expenditures'!$C$7:$C$91,0),MATCH($G448,'Labor Expenditures'!$E$5:$W$5,0)),"NA")</f>
        <v>3803.3084572968282</v>
      </c>
      <c r="K448" s="125">
        <f t="shared" ca="1" si="819"/>
        <v>26.32958433573436</v>
      </c>
      <c r="L448" s="47"/>
      <c r="M448" s="131">
        <f t="shared" ca="1" si="826"/>
        <v>-1.7106924312215947E-2</v>
      </c>
      <c r="N448" s="131"/>
      <c r="O448" s="131"/>
      <c r="P448" s="59">
        <f t="shared" ca="1" si="828"/>
        <v>-2.2011009798274994E-5</v>
      </c>
      <c r="Q448" s="61"/>
      <c r="R448" s="387"/>
      <c r="S448" s="49">
        <f t="shared" ca="1" si="833"/>
        <v>113.59716517561891</v>
      </c>
      <c r="T448" s="61">
        <f ca="1">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</f>
        <v>-0.37051319311878339</v>
      </c>
      <c r="U448" s="61"/>
      <c r="V448" s="125">
        <f>IFERROR(INDEX('Non-Labor Expenditures'!$E$7:$AA$91,MATCH($C448,'Non-Labor Expenditures'!$C$7:$C$91,0),MATCH($G448,'Non-Labor Expenditures'!$E$5:$AA$5,0)),"NA")</f>
        <v>5507.9010061989256</v>
      </c>
      <c r="W448" s="125">
        <f t="shared" si="820"/>
        <v>49.92568124398511</v>
      </c>
      <c r="X448" s="131">
        <f t="shared" si="829"/>
        <v>-1.2605403666732868E-2</v>
      </c>
      <c r="Y448" s="131">
        <f t="shared" si="830"/>
        <v>-1.6219026784466333E-5</v>
      </c>
      <c r="Z448" s="131"/>
      <c r="AA448" s="131"/>
      <c r="AB448" s="131"/>
      <c r="AC448" s="125">
        <f t="shared" si="800"/>
        <v>5006.8148991947683</v>
      </c>
      <c r="AD448" s="129"/>
      <c r="AE448" s="133">
        <v>439.65686756840228</v>
      </c>
      <c r="AF448" s="134">
        <v>1.6348648150909188E-2</v>
      </c>
      <c r="AG448" s="59">
        <f t="shared" si="821"/>
        <v>2.103535668192825E-5</v>
      </c>
      <c r="AH448" s="134"/>
      <c r="AI448" s="134"/>
      <c r="AJ448" s="129">
        <f t="shared" si="796"/>
        <v>14318.024362690521</v>
      </c>
      <c r="AK448" s="134">
        <f t="shared" si="831"/>
        <v>1.5488392474349083E-2</v>
      </c>
      <c r="AL448" s="129"/>
      <c r="AM448" s="129"/>
      <c r="AN448" s="129"/>
      <c r="AO448" s="129"/>
      <c r="AP448" s="133">
        <f t="shared" si="832"/>
        <v>408.23494889774247</v>
      </c>
      <c r="AQ448" s="134">
        <f>+BB448/Outputs!$B$26</f>
        <v>9.3891759209198649E-4</v>
      </c>
      <c r="AR448" s="93">
        <f t="shared" si="822"/>
        <v>0.2656308133688734</v>
      </c>
      <c r="AS448" s="93">
        <f t="shared" si="823"/>
        <v>0.38468303075047483</v>
      </c>
      <c r="AT448" s="93">
        <f t="shared" si="824"/>
        <v>0.34968615588065183</v>
      </c>
      <c r="AU448" s="93">
        <f t="shared" ca="1" si="827"/>
        <v>-3.7216080860408415E-3</v>
      </c>
      <c r="AV448" s="132">
        <f t="shared" ca="1" si="835"/>
        <v>98.976140627326515</v>
      </c>
      <c r="AW448" s="134">
        <f t="shared" ca="1" si="836"/>
        <v>-3.7216080860408476E-3</v>
      </c>
      <c r="AX448" s="56">
        <f>+AJ448/$AL$23</f>
        <v>1.2866725424486196E-3</v>
      </c>
      <c r="AY448" s="135">
        <f t="shared" ca="1" si="834"/>
        <v>-4.7884909380635189E-6</v>
      </c>
      <c r="AZ448" s="93"/>
      <c r="BA448" s="93"/>
      <c r="BB448" s="234">
        <f>IFERROR(INDEX('Total Customers'!$E$7:$AA$91,MATCH($C448,'Total Customers'!$C$7:$C$91,0),MATCH($G448,'Total Customers'!$E$5:$AA$5,0)),"NA")</f>
        <v>35073</v>
      </c>
      <c r="BC448" s="411">
        <f t="shared" si="754"/>
        <v>5.1740271218194142E-3</v>
      </c>
      <c r="BD448" s="92"/>
      <c r="BE448" s="281" t="str">
        <f t="shared" si="748"/>
        <v>DELTA NATURAL GAS COMPANY, INC.</v>
      </c>
      <c r="BF448" s="290">
        <f t="shared" si="749"/>
        <v>4057118</v>
      </c>
      <c r="BG448" s="46" t="str">
        <f t="shared" si="750"/>
        <v>KY</v>
      </c>
      <c r="BH448" s="46"/>
      <c r="BI448" s="46" t="str">
        <f t="shared" si="751"/>
        <v>2018 Y</v>
      </c>
      <c r="BJ448" s="129"/>
      <c r="BK448" s="129"/>
      <c r="BL448" s="129">
        <f>INDEX('Dist. Plant Gas Additions'!$E$7:$AD$91,MATCH($C448,'Dist. Plant Gas Additions'!$C$7:$C$91,0),MATCH(Calculation!$G448,'Dist. Plant Gas Additions'!$E$5:$AD$5,0))</f>
        <v>4739</v>
      </c>
      <c r="BM448" s="129">
        <f>INDEX('Gen. Plant Additions'!$E$7:$AD$91,MATCH($C448,'Gen. Plant Additions'!$C$7:$C$91,0),MATCH(Calculation!$G448,'Gen. Plant Additions'!$E$5:$AD$5,0))</f>
        <v>3790</v>
      </c>
      <c r="BN448" s="393">
        <f t="shared" si="801"/>
        <v>0.84884979525833959</v>
      </c>
      <c r="BO448" s="46">
        <f t="shared" si="837"/>
        <v>3217.1407240291069</v>
      </c>
      <c r="BP448" s="46">
        <f t="shared" si="838"/>
        <v>-572.85927597089312</v>
      </c>
      <c r="BQ448" s="129">
        <f>INDEX('Dist Plant Depreciation'!$D$7:$AC$94,MATCH($C448,'Dist Plant Depreciation'!$C$7:$C$94,0),MATCH(Calculation!$G448,'Dist Plant Depreciation'!$D$5:$AC$5,0))</f>
        <v>58542</v>
      </c>
      <c r="BR448" s="129">
        <f>INDEX('Gen. Plant Depreciation'!$D$7:$AC$94,MATCH($C448,'Gen. Plant Depreciation'!$C$7:$C$94,0),MATCH(Calculation!$G448,'Gen. Plant Depreciation'!$D$5:$AC$5,0))</f>
        <v>9902</v>
      </c>
      <c r="BS448" s="129"/>
      <c r="BT448" s="129"/>
      <c r="BU448" s="129"/>
      <c r="BV448" s="129"/>
      <c r="BW448" s="129"/>
      <c r="BX448" s="129"/>
      <c r="BY448" s="129">
        <f>INDEX('Gross Dx Plant'!$D$7:$AC$91,MATCH($C448,'Gross Dx Plant'!$C$7:$C$91,0),MATCH(Calculation!$G448,'Gross Dx Plant'!$D$5:$AC$5,0))</f>
        <v>130183</v>
      </c>
      <c r="BZ448" s="129">
        <f>INDEX('Gross Gen Plant'!$D$7:$AC$91,MATCH($C448,'Gross Gen Plant'!$C$7:$C$91,0),MATCH(Calculation!$G448,'Gross Gen Plant'!$D$5:$AC$5,0))</f>
        <v>23181</v>
      </c>
      <c r="CA448" s="129">
        <f t="shared" si="755"/>
        <v>84920</v>
      </c>
      <c r="CB448" s="129"/>
      <c r="CC448" s="133">
        <v>2018</v>
      </c>
      <c r="CD448" s="129"/>
      <c r="CE448" s="129"/>
      <c r="CF448" s="129"/>
      <c r="CG448" s="137"/>
      <c r="CH448" s="129">
        <f t="shared" si="802"/>
        <v>8529</v>
      </c>
      <c r="CI448" s="46">
        <f t="shared" si="811"/>
        <v>7956.1407240291064</v>
      </c>
      <c r="CJ448" s="46">
        <f t="shared" si="803"/>
        <v>10.536026884832983</v>
      </c>
      <c r="CK448" s="443">
        <v>0.75609756097560976</v>
      </c>
      <c r="CL448" s="46">
        <f>+CL428*CK448++CJ429*CK447+CJ430*CK446+CJ431*CK445+CJ432*CK444+CJ433*CK443+CJ434*CK442+CJ435*CK441+CJ436*CK440+CJ437*CK439+CJ438*CK438+CJ439*CK437+CJ440*CK436+CJ441*CK435+CJ442*CK434+CJ443*CK433+CJ444*CK432+CJ445*CK431+CJ446*CK430+CJ447*CK429+CJ448</f>
        <v>388.68594230764512</v>
      </c>
      <c r="CM448" s="134">
        <f t="shared" si="804"/>
        <v>1.0158659879367128E-2</v>
      </c>
      <c r="CN448" s="135">
        <f t="shared" si="805"/>
        <v>1.7173124406369533E-2</v>
      </c>
      <c r="CO448" s="135">
        <f t="shared" si="813"/>
        <v>1.6646346184132129E-2</v>
      </c>
      <c r="CP448" s="134">
        <f>VLOOKUP($H448,RoR!$E:$F,2,FALSE)</f>
        <v>3.9299999999999995E-2</v>
      </c>
      <c r="CQ448" s="135">
        <v>2.386056741932796E-2</v>
      </c>
      <c r="CR448" s="135">
        <f t="shared" si="812"/>
        <v>1.5439432580672034E-2</v>
      </c>
      <c r="CS448" s="135">
        <f t="shared" si="815"/>
        <v>1.4255595424401496E-2</v>
      </c>
      <c r="CT448" s="135">
        <f t="shared" si="816"/>
        <v>3.8270792163076606E-2</v>
      </c>
      <c r="CU448" s="139">
        <f t="shared" si="806"/>
        <v>0.90646708210000004</v>
      </c>
      <c r="CV448" s="335">
        <f t="shared" si="807"/>
        <v>1.3048868010700074</v>
      </c>
      <c r="CW448" s="335">
        <f t="shared" si="808"/>
        <v>0.33886768447837151</v>
      </c>
      <c r="CX448" s="335">
        <f t="shared" si="809"/>
        <v>0.78602506232557801</v>
      </c>
      <c r="CY448" s="335">
        <f t="shared" si="810"/>
        <v>0.34756768162358759</v>
      </c>
      <c r="CZ448" s="336">
        <f>INDEX('State Tax Lookup'!$D$7:$Z$91,MATCH(Calculation!$C448,'State Tax Lookup'!$B$7:$B$91,0),MATCH($H448,'State Tax Lookup'!$D$6:$Z$6,0))</f>
        <v>0.25279166999999997</v>
      </c>
      <c r="DA448" s="303">
        <v>0.37</v>
      </c>
      <c r="DB448" s="57">
        <f t="shared" si="814"/>
        <v>13.012913776667686</v>
      </c>
      <c r="DC448" s="56">
        <f t="shared" si="817"/>
        <v>2.0713068403489829E-2</v>
      </c>
      <c r="DD448" s="303">
        <f>VLOOKUP($H448,RoR!$E:$F,2,FALSE)</f>
        <v>3.9299999999999995E-2</v>
      </c>
      <c r="DE448" s="304">
        <f>HLOOKUP($H448,'GDP-PI'!$D$8:$CQ$11,3,FALSE)</f>
        <v>2.386056741932796E-2</v>
      </c>
      <c r="DF448" s="303">
        <f>VLOOKUP(H448,'HW Dx Data'!$E:$F,2,FALSE)</f>
        <v>755.13671434174842</v>
      </c>
      <c r="DG448" s="89">
        <f ca="1">VLOOKUP(CC448,'ECI - Input Price'!M$13:N$33,2,FALSE)</f>
        <v>144.44999999999999</v>
      </c>
      <c r="DH448" s="89"/>
      <c r="DI448" s="89"/>
      <c r="DJ448" s="56">
        <f t="shared" ca="1" si="825"/>
        <v>2.80818733619915E-2</v>
      </c>
      <c r="DK448" s="53">
        <f>HLOOKUP(H448,'GDP-PI'!$8:$9,2,FALSE)</f>
        <v>110.322</v>
      </c>
      <c r="DL448" s="355">
        <f t="shared" si="818"/>
        <v>2.3580352716508712E-2</v>
      </c>
      <c r="EC448"/>
    </row>
    <row r="449" spans="1:133" s="126" customFormat="1" ht="21" customHeight="1" x14ac:dyDescent="0.4">
      <c r="A449" s="233" t="s">
        <v>208</v>
      </c>
      <c r="B449" s="127" t="s">
        <v>208</v>
      </c>
      <c r="C449" s="127">
        <v>4057118</v>
      </c>
      <c r="D449" s="127" t="s">
        <v>209</v>
      </c>
      <c r="E449" s="127"/>
      <c r="F449" s="127"/>
      <c r="G449" s="127" t="s">
        <v>175</v>
      </c>
      <c r="H449" s="128">
        <v>2019</v>
      </c>
      <c r="I449" s="129"/>
      <c r="J449" s="125">
        <f>IFERROR(INDEX('Labor Expenditures'!$E$7:$W$91,MATCH($C449,'Labor Expenditures'!$C$7:$C$91,0),MATCH($G449,'Labor Expenditures'!$E$5:$W$5,0)),"NA")</f>
        <v>2530.9203422545406</v>
      </c>
      <c r="K449" s="125">
        <f t="shared" ca="1" si="819"/>
        <v>16.909439400397797</v>
      </c>
      <c r="L449" s="47"/>
      <c r="M449" s="131">
        <f t="shared" ca="1" si="826"/>
        <v>-0.44282117626294082</v>
      </c>
      <c r="N449" s="131"/>
      <c r="O449" s="131"/>
      <c r="P449" s="59">
        <f t="shared" ca="1" si="828"/>
        <v>-4.3473111343270875E-4</v>
      </c>
      <c r="Q449" s="61"/>
      <c r="R449" s="387"/>
      <c r="S449" s="49">
        <f t="shared" ca="1" si="833"/>
        <v>115.13633195109618</v>
      </c>
      <c r="T449" s="61">
        <f ca="1">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</f>
        <v>1.345836990986868E-2</v>
      </c>
      <c r="U449" s="61"/>
      <c r="V449" s="125">
        <f>IFERROR(INDEX('Non-Labor Expenditures'!$E$7:$AA$91,MATCH($C449,'Non-Labor Expenditures'!$C$7:$C$91,0),MATCH($G449,'Non-Labor Expenditures'!$E$5:$AA$5,0)),"NA")</f>
        <v>3665.2453662990301</v>
      </c>
      <c r="W449" s="125">
        <f t="shared" si="820"/>
        <v>32.63275135151116</v>
      </c>
      <c r="X449" s="131">
        <f t="shared" si="829"/>
        <v>-0.42521909781517087</v>
      </c>
      <c r="Y449" s="131">
        <f t="shared" si="830"/>
        <v>-4.1745061382583097E-4</v>
      </c>
      <c r="Z449" s="131"/>
      <c r="AA449" s="131"/>
      <c r="AB449" s="131"/>
      <c r="AC449" s="125">
        <f t="shared" si="800"/>
        <v>4988.8021014220321</v>
      </c>
      <c r="AD449" s="129"/>
      <c r="AE449" s="133">
        <v>448.82945609586699</v>
      </c>
      <c r="AF449" s="134">
        <v>2.0648408828473033E-2</v>
      </c>
      <c r="AG449" s="59">
        <f t="shared" si="821"/>
        <v>2.0271175458162227E-5</v>
      </c>
      <c r="AH449" s="134"/>
      <c r="AI449" s="134"/>
      <c r="AJ449" s="129">
        <f t="shared" si="796"/>
        <v>11184.967809975602</v>
      </c>
      <c r="AK449" s="134">
        <f t="shared" si="831"/>
        <v>-0.24694847154118071</v>
      </c>
      <c r="AL449" s="129"/>
      <c r="AM449" s="129"/>
      <c r="AN449" s="129"/>
      <c r="AO449" s="129"/>
      <c r="AP449" s="133">
        <f t="shared" si="832"/>
        <v>316.32590882026079</v>
      </c>
      <c r="AQ449" s="134">
        <f>+BB449/Outputs!$B$27</f>
        <v>9.3876735351635797E-4</v>
      </c>
      <c r="AR449" s="93">
        <f t="shared" si="822"/>
        <v>0.22627873278251853</v>
      </c>
      <c r="AS449" s="93">
        <f t="shared" si="823"/>
        <v>0.32769386810662848</v>
      </c>
      <c r="AT449" s="93">
        <f t="shared" si="824"/>
        <v>0.4460273991108531</v>
      </c>
      <c r="AU449" s="93">
        <f t="shared" ca="1" si="827"/>
        <v>-0.2521570036421466</v>
      </c>
      <c r="AV449" s="132">
        <f t="shared" ca="1" si="835"/>
        <v>76.916607361411948</v>
      </c>
      <c r="AW449" s="134">
        <f t="shared" ca="1" si="836"/>
        <v>-0.2521570036421466</v>
      </c>
      <c r="AX449" s="56">
        <f>+AJ449/$AL$24</f>
        <v>9.8173063244511981E-4</v>
      </c>
      <c r="AY449" s="135">
        <f t="shared" ca="1" si="834"/>
        <v>-2.4755025466107096E-4</v>
      </c>
      <c r="AZ449" s="93"/>
      <c r="BA449" s="93"/>
      <c r="BB449" s="234">
        <f>IFERROR(INDEX('Total Customers'!$E$7:$AA$91,MATCH($C449,'Total Customers'!$C$7:$C$91,0),MATCH($G449,'Total Customers'!$E$5:$AA$5,0)),"NA")</f>
        <v>35359</v>
      </c>
      <c r="BC449" s="411">
        <f t="shared" si="754"/>
        <v>8.1213531337625995E-3</v>
      </c>
      <c r="BD449" s="92"/>
      <c r="BE449" s="281" t="str">
        <f t="shared" si="748"/>
        <v>DELTA NATURAL GAS COMPANY, INC.</v>
      </c>
      <c r="BF449" s="290">
        <f t="shared" si="749"/>
        <v>4057118</v>
      </c>
      <c r="BG449" s="46" t="str">
        <f t="shared" si="750"/>
        <v>KY</v>
      </c>
      <c r="BH449" s="46"/>
      <c r="BI449" s="46" t="str">
        <f t="shared" si="751"/>
        <v>2019 Y</v>
      </c>
      <c r="BJ449" s="129"/>
      <c r="BK449" s="129"/>
      <c r="BL449" s="129">
        <f>INDEX('Dist. Plant Gas Additions'!$E$7:$AD$91,MATCH($C449,'Dist. Plant Gas Additions'!$C$7:$C$91,0),MATCH(Calculation!$G449,'Dist. Plant Gas Additions'!$E$5:$AD$5,0))</f>
        <v>9438</v>
      </c>
      <c r="BM449" s="129">
        <f>INDEX('Gen. Plant Additions'!$E$7:$AD$91,MATCH($C449,'Gen. Plant Additions'!$C$7:$C$91,0),MATCH(Calculation!$G449,'Gen. Plant Additions'!$E$5:$AD$5,0))</f>
        <v>1054</v>
      </c>
      <c r="BN449" s="393">
        <f t="shared" si="801"/>
        <v>0.87422238157240895</v>
      </c>
      <c r="BO449" s="46">
        <f t="shared" si="837"/>
        <v>921.43039017731905</v>
      </c>
      <c r="BP449" s="46">
        <f t="shared" si="838"/>
        <v>-132.56960982268095</v>
      </c>
      <c r="BQ449" s="129">
        <f>INDEX('Dist Plant Depreciation'!$D$7:$AC$94,MATCH($C449,'Dist Plant Depreciation'!$C$7:$C$94,0),MATCH(Calculation!$G449,'Dist Plant Depreciation'!$D$5:$AC$5,0))</f>
        <v>58547</v>
      </c>
      <c r="BR449" s="129">
        <f>INDEX('Gen. Plant Depreciation'!$D$7:$AC$94,MATCH($C449,'Gen. Plant Depreciation'!$C$7:$C$94,0),MATCH(Calculation!$G449,'Gen. Plant Depreciation'!$D$5:$AC$5,0))</f>
        <v>10595</v>
      </c>
      <c r="BS449" s="129"/>
      <c r="BT449" s="129"/>
      <c r="BU449" s="129"/>
      <c r="BV449" s="129"/>
      <c r="BW449" s="129"/>
      <c r="BX449" s="129"/>
      <c r="BY449" s="129">
        <f>INDEX('Gross Dx Plant'!$D$7:$AC$91,MATCH($C449,'Gross Dx Plant'!$C$7:$C$91,0),MATCH(Calculation!$G449,'Gross Dx Plant'!$D$5:$AC$5,0))</f>
        <v>138983</v>
      </c>
      <c r="BZ449" s="129">
        <f>INDEX('Gross Gen Plant'!$D$7:$AC$91,MATCH($C449,'Gross Gen Plant'!$C$7:$C$91,0),MATCH(Calculation!$G449,'Gross Gen Plant'!$D$5:$AC$5,0))</f>
        <v>19996</v>
      </c>
      <c r="CA449" s="129">
        <f t="shared" si="755"/>
        <v>89837</v>
      </c>
      <c r="CB449" s="129"/>
      <c r="CC449" s="133">
        <v>2019</v>
      </c>
      <c r="CD449" s="129"/>
      <c r="CE449" s="129"/>
      <c r="CF449" s="129"/>
      <c r="CG449" s="137"/>
      <c r="CH449" s="129">
        <f t="shared" si="802"/>
        <v>10492</v>
      </c>
      <c r="CI449" s="46">
        <f t="shared" si="811"/>
        <v>10359.430390177318</v>
      </c>
      <c r="CJ449" s="46">
        <f t="shared" si="803"/>
        <v>13.392248354768215</v>
      </c>
      <c r="CK449" s="443">
        <v>0.7407407407407407</v>
      </c>
      <c r="CL449" s="46">
        <f>CL428*CK449+CJ429*CK448+CJ430*CK447+CJ431*CK446+CJ432*CK445+CJ433*CK444+CJ434*CK443+CJ435*CK442+CJ436*CK441+CJ437*CK440+CJ438*CK439+CJ439*CK438+CJ440*CK437+CJ441*CK436+CJ442*CK435+CJ443*CK434+CJ444*CK433+CJ445*CK432+CJ446*CK431+CJ447*CK430+CJ448*CK429+CJ449</f>
        <v>395.20809104227629</v>
      </c>
      <c r="CM449" s="134">
        <f t="shared" si="804"/>
        <v>1.6640767663147912E-2</v>
      </c>
      <c r="CN449" s="135">
        <f t="shared" si="805"/>
        <v>1.7675194475387932E-2</v>
      </c>
      <c r="CO449" s="135">
        <f t="shared" si="813"/>
        <v>1.7161875871984408E-2</v>
      </c>
      <c r="CP449" s="134">
        <f>VLOOKUP($H449,RoR!$E:$F,2,FALSE)</f>
        <v>3.3875000000000009E-2</v>
      </c>
      <c r="CQ449" s="135">
        <v>1.8092492884465461E-2</v>
      </c>
      <c r="CR449" s="135">
        <f t="shared" si="812"/>
        <v>1.5782507115534548E-2</v>
      </c>
      <c r="CS449" s="135">
        <f t="shared" si="815"/>
        <v>1.3740065736549217E-2</v>
      </c>
      <c r="CT449" s="135">
        <f t="shared" si="816"/>
        <v>4.8445665544254078E-2</v>
      </c>
      <c r="CU449" s="139">
        <f t="shared" si="806"/>
        <v>0.90646708210000004</v>
      </c>
      <c r="CV449" s="335">
        <f t="shared" si="807"/>
        <v>1.513861292459078</v>
      </c>
      <c r="CW449" s="335">
        <f t="shared" si="808"/>
        <v>0.23699261992619944</v>
      </c>
      <c r="CX449" s="335">
        <f t="shared" si="809"/>
        <v>0.73619765810468829</v>
      </c>
      <c r="CY449" s="335">
        <f t="shared" si="810"/>
        <v>0.26412854465362851</v>
      </c>
      <c r="CZ449" s="336">
        <f>INDEX('State Tax Lookup'!$D$7:$Z$91,MATCH(Calculation!$C449,'State Tax Lookup'!$B$7:$B$91,0),MATCH($H449,'State Tax Lookup'!$D$6:$Z$6,0))</f>
        <v>0.25279166999999997</v>
      </c>
      <c r="DA449" s="303">
        <v>0.37</v>
      </c>
      <c r="DB449" s="57">
        <f t="shared" si="814"/>
        <v>12.83504639196185</v>
      </c>
      <c r="DC449" s="56">
        <f t="shared" si="817"/>
        <v>-1.3762803029359009E-2</v>
      </c>
      <c r="DD449" s="303">
        <f>VLOOKUP($H449,RoR!$E:$F,2,FALSE)</f>
        <v>3.3875000000000009E-2</v>
      </c>
      <c r="DE449" s="304">
        <f>HLOOKUP($H449,'GDP-PI'!$D$8:$CQ$11,3,FALSE)</f>
        <v>1.8092492884465461E-2</v>
      </c>
      <c r="DF449" s="303">
        <f>VLOOKUP(H449,'HW Dx Data'!$E:$F,2,FALSE)</f>
        <v>773.53929793938721</v>
      </c>
      <c r="DG449" s="89">
        <f ca="1">VLOOKUP(CC449,'ECI - Input Price'!M$13:N$33,2,FALSE)</f>
        <v>149.67500000000001</v>
      </c>
      <c r="DH449" s="89"/>
      <c r="DI449" s="89"/>
      <c r="DJ449" s="56">
        <f t="shared" ca="1" si="825"/>
        <v>3.5532849899171604E-2</v>
      </c>
      <c r="DK449" s="53">
        <f>HLOOKUP(H449,'GDP-PI'!$8:$9,2,FALSE)</f>
        <v>112.318</v>
      </c>
      <c r="DL449" s="355">
        <f t="shared" si="818"/>
        <v>1.7930771451401852E-2</v>
      </c>
      <c r="EC449"/>
    </row>
    <row r="450" spans="1:133" s="126" customFormat="1" ht="21" customHeight="1" x14ac:dyDescent="0.4">
      <c r="A450" s="233" t="s">
        <v>208</v>
      </c>
      <c r="B450" s="126" t="s">
        <v>208</v>
      </c>
      <c r="C450" s="126">
        <v>4057118</v>
      </c>
      <c r="D450" s="126" t="s">
        <v>209</v>
      </c>
      <c r="G450" s="127" t="s">
        <v>176</v>
      </c>
      <c r="H450" s="128">
        <v>2020</v>
      </c>
      <c r="I450" s="129"/>
      <c r="J450" s="125">
        <f>IFERROR(INDEX('Labor Expenditures'!$E$7:$W$91,MATCH($C450,'Labor Expenditures'!$C$7:$C$91,0),MATCH($G450,'Labor Expenditures'!$E$5:$W$5,0)),"NA")</f>
        <v>2504.2658081777927</v>
      </c>
      <c r="K450" s="125">
        <f t="shared" ca="1" si="819"/>
        <v>16.351719282910825</v>
      </c>
      <c r="L450" s="47"/>
      <c r="M450" s="131">
        <f t="shared" ca="1" si="826"/>
        <v>-3.3538963670433922E-2</v>
      </c>
      <c r="N450" s="131"/>
      <c r="O450" s="131"/>
      <c r="P450" s="59">
        <f t="shared" ca="1" si="828"/>
        <v>-3.2579808444064156E-5</v>
      </c>
      <c r="Q450" s="61"/>
      <c r="R450" s="387"/>
      <c r="S450" s="49">
        <f t="shared" ca="1" si="833"/>
        <v>115.0213293417054</v>
      </c>
      <c r="T450" s="61">
        <f ca="1">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</f>
        <v>-9.9933774366389293E-4</v>
      </c>
      <c r="U450" s="61"/>
      <c r="V450" s="125">
        <f>IFERROR(INDEX('Non-Labor Expenditures'!$E$7:$AA$91,MATCH($C450,'Non-Labor Expenditures'!$C$7:$C$91,0),MATCH($G450,'Non-Labor Expenditures'!$E$5:$AA$5,0)),"NA")</f>
        <v>3626.644622575649</v>
      </c>
      <c r="W450" s="125">
        <f t="shared" si="820"/>
        <v>31.918226262074128</v>
      </c>
      <c r="X450" s="131">
        <f t="shared" si="829"/>
        <v>-2.2139223934458534E-2</v>
      </c>
      <c r="Y450" s="131">
        <f t="shared" si="830"/>
        <v>-2.15060811649571E-5</v>
      </c>
      <c r="Z450" s="131"/>
      <c r="AA450" s="131"/>
      <c r="AB450" s="131"/>
      <c r="AC450" s="125">
        <f t="shared" si="800"/>
        <v>5139.3857676586504</v>
      </c>
      <c r="AD450" s="129"/>
      <c r="AE450" s="133">
        <v>455.7930494522505</v>
      </c>
      <c r="AF450" s="134">
        <v>1.5395882510914302E-2</v>
      </c>
      <c r="AG450" s="59">
        <f t="shared" si="821"/>
        <v>1.4955587416527228E-5</v>
      </c>
      <c r="AH450" s="134"/>
      <c r="AI450" s="134"/>
      <c r="AJ450" s="129">
        <f t="shared" si="796"/>
        <v>11270.296198412092</v>
      </c>
      <c r="AK450" s="134">
        <f t="shared" si="831"/>
        <v>7.5998927562469128E-3</v>
      </c>
      <c r="AL450" s="129"/>
      <c r="AM450" s="129"/>
      <c r="AN450" s="129"/>
      <c r="AO450" s="129"/>
      <c r="AP450" s="133">
        <f t="shared" si="832"/>
        <v>318.73911022404741</v>
      </c>
      <c r="AQ450" s="134">
        <f>+BB450/Outputs!$B$28</f>
        <v>9.3213818379812082E-4</v>
      </c>
      <c r="AR450" s="93">
        <f t="shared" si="822"/>
        <v>0.22220053174206963</v>
      </c>
      <c r="AS450" s="93">
        <f t="shared" si="823"/>
        <v>0.32178787129717307</v>
      </c>
      <c r="AT450" s="93">
        <f t="shared" si="824"/>
        <v>0.45601159696075733</v>
      </c>
      <c r="AU450" s="93">
        <f t="shared" ca="1" si="827"/>
        <v>-7.766432513026944E-3</v>
      </c>
      <c r="AV450" s="132">
        <f t="shared" ca="1" si="835"/>
        <v>76.321553435297403</v>
      </c>
      <c r="AW450" s="134">
        <f t="shared" ca="1" si="836"/>
        <v>-7.7664325130270724E-3</v>
      </c>
      <c r="AX450" s="56">
        <f>+AJ450/$AL$25</f>
        <v>9.7140176316135539E-4</v>
      </c>
      <c r="AY450" s="135">
        <f t="shared" ca="1" si="834"/>
        <v>-7.5443262366281747E-6</v>
      </c>
      <c r="AZ450" s="93"/>
      <c r="BA450" s="93"/>
      <c r="BB450" s="234">
        <v>35359</v>
      </c>
      <c r="BC450" s="411">
        <f t="shared" si="754"/>
        <v>0</v>
      </c>
      <c r="BD450" s="92"/>
      <c r="BE450" s="281" t="str">
        <f t="shared" si="748"/>
        <v>DELTA NATURAL GAS COMPANY, INC.</v>
      </c>
      <c r="BF450" s="290">
        <f t="shared" si="749"/>
        <v>4057118</v>
      </c>
      <c r="BG450" s="46" t="str">
        <f t="shared" si="750"/>
        <v>KY</v>
      </c>
      <c r="BH450" s="46"/>
      <c r="BI450" s="46" t="str">
        <f t="shared" si="751"/>
        <v>2020 Y</v>
      </c>
      <c r="BJ450" s="129"/>
      <c r="BK450" s="129"/>
      <c r="BL450" s="129">
        <f>INDEX('Dist. Plant Gas Additions'!$E$7:$AD$91,MATCH($C450,'Dist. Plant Gas Additions'!$C$7:$C$91,0),MATCH(Calculation!$G450,'Dist. Plant Gas Additions'!$E$5:$AD$5,0))</f>
        <v>8636</v>
      </c>
      <c r="BM450" s="129">
        <f>INDEX('Gen. Plant Additions'!$E$7:$AD$91,MATCH($C450,'Gen. Plant Additions'!$C$7:$C$91,0),MATCH(Calculation!$G450,'Gen. Plant Additions'!$E$5:$AD$5,0))</f>
        <v>799</v>
      </c>
      <c r="BN450" s="393">
        <f t="shared" si="801"/>
        <v>0.87894623985296372</v>
      </c>
      <c r="BO450" s="46">
        <f t="shared" si="837"/>
        <v>702.27804564251801</v>
      </c>
      <c r="BP450" s="46">
        <f t="shared" si="838"/>
        <v>-96.721954357481991</v>
      </c>
      <c r="BQ450" s="129">
        <f>INDEX('Dist Plant Depreciation'!$D$7:$AC$94,MATCH($C450,'Dist Plant Depreciation'!$C$7:$C$94,0),MATCH(Calculation!$G450,'Dist Plant Depreciation'!$D$5:$AC$5,0))</f>
        <v>58500</v>
      </c>
      <c r="BR450" s="129">
        <f>INDEX('Gen. Plant Depreciation'!$D$7:$AC$94,MATCH($C450,'Gen. Plant Depreciation'!$C$7:$C$94,0),MATCH(Calculation!$G450,'Gen. Plant Depreciation'!$D$5:$AC$5,0))</f>
        <v>10855</v>
      </c>
      <c r="BS450" s="129"/>
      <c r="BT450" s="129"/>
      <c r="BU450" s="129"/>
      <c r="BV450" s="129"/>
      <c r="BW450" s="129"/>
      <c r="BX450" s="129"/>
      <c r="BY450" s="129">
        <f>INDEX('Gross Dx Plant'!$D$7:$AC$91,MATCH($C450,'Gross Dx Plant'!$C$7:$C$91,0),MATCH(Calculation!$G450,'Gross Dx Plant'!$D$5:$AC$5,0))</f>
        <v>143466</v>
      </c>
      <c r="BZ450" s="129">
        <f>INDEX('Gross Gen Plant'!$D$7:$AC$91,MATCH($C450,'Gross Gen Plant'!$C$7:$C$91,0),MATCH(Calculation!$G450,'Gross Gen Plant'!$D$5:$AC$5,0))</f>
        <v>19759</v>
      </c>
      <c r="CA450" s="129">
        <f t="shared" si="755"/>
        <v>93870</v>
      </c>
      <c r="CB450" s="129"/>
      <c r="CC450" s="133">
        <v>2020</v>
      </c>
      <c r="CD450" s="129"/>
      <c r="CE450" s="129"/>
      <c r="CF450" s="129"/>
      <c r="CG450" s="137"/>
      <c r="CH450" s="129">
        <f t="shared" si="802"/>
        <v>9435</v>
      </c>
      <c r="CI450" s="46">
        <f t="shared" si="811"/>
        <v>9338.2780456425171</v>
      </c>
      <c r="CJ450" s="46">
        <f t="shared" si="803"/>
        <v>11.48506442144974</v>
      </c>
      <c r="CK450" s="443">
        <v>0.72499999999999998</v>
      </c>
      <c r="CL450" s="46">
        <f>CL428*CK450+CJ429*CK449+CJ430*CK448+CJ431*CK447+CJ432*CK446+CJ433*CK445+CJ434*CK444+CJ435*CK443+CJ436*CK442+CJ437*CK441+CJ438*CK440+CJ439*CK439+CJ440*CK438+CJ441*CK437+CJ442*CK436+CJ443*CK435+CJ444*CK434+CJ445*CK433+CJ446*CK432+CJ447*CK431+CJ448*CK430+CJ449*CK429+CJ450</f>
        <v>399.52430277936458</v>
      </c>
      <c r="CM450" s="134">
        <f t="shared" si="804"/>
        <v>1.0862157396476484E-2</v>
      </c>
      <c r="CN450" s="135">
        <f t="shared" si="805"/>
        <v>1.8139438050104574E-2</v>
      </c>
      <c r="CO450" s="135">
        <f t="shared" si="813"/>
        <v>1.7662585643954013E-2</v>
      </c>
      <c r="CP450" s="134">
        <f>VLOOKUP($H450,RoR!$E:$F,2,FALSE)</f>
        <v>2.4766666666666666E-2</v>
      </c>
      <c r="CQ450" s="135">
        <v>1.1618796630994188E-2</v>
      </c>
      <c r="CR450" s="135">
        <f t="shared" si="812"/>
        <v>1.3147870035672478E-2</v>
      </c>
      <c r="CS450" s="135">
        <f t="shared" si="815"/>
        <v>1.3239355964579612E-2</v>
      </c>
      <c r="CT450" s="135">
        <f t="shared" si="816"/>
        <v>4.5144642961987357E-2</v>
      </c>
      <c r="CU450" s="139">
        <f t="shared" si="806"/>
        <v>0.90646708210000004</v>
      </c>
      <c r="CV450" s="335">
        <f t="shared" si="807"/>
        <v>2.0706077233668081</v>
      </c>
      <c r="CW450" s="335">
        <f t="shared" si="808"/>
        <v>-3.4421265141318998E-2</v>
      </c>
      <c r="CX450" s="335">
        <f t="shared" si="809"/>
        <v>0.62416226176410472</v>
      </c>
      <c r="CY450" s="335">
        <f t="shared" si="810"/>
        <v>-4.4485877841158712E-2</v>
      </c>
      <c r="CZ450" s="336">
        <f>INDEX('State Tax Lookup'!$D$7:$Z$91,MATCH(Calculation!$C450,'State Tax Lookup'!$B$7:$B$91,0),MATCH($H450,'State Tax Lookup'!$D$6:$Z$6,0))</f>
        <v>0.25279166999999997</v>
      </c>
      <c r="DA450" s="303">
        <v>0.37</v>
      </c>
      <c r="DB450" s="57">
        <f t="shared" si="814"/>
        <v>13.004252403093838</v>
      </c>
      <c r="DC450" s="56">
        <f t="shared" si="817"/>
        <v>1.3096983098473328E-2</v>
      </c>
      <c r="DD450" s="303">
        <f>VLOOKUP($H450,RoR!$E:$F,2,FALSE)</f>
        <v>2.4766666666666666E-2</v>
      </c>
      <c r="DE450" s="304">
        <f>HLOOKUP($H450,'GDP-PI'!$D$8:$CQ$11,3,FALSE)</f>
        <v>1.1618796630994188E-2</v>
      </c>
      <c r="DF450" s="303">
        <f>VLOOKUP(H450,'HW Dx Data'!$E:$F,2,FALSE)</f>
        <v>813.080162458833</v>
      </c>
      <c r="DG450" s="89">
        <f ca="1">VLOOKUP(CC450,'ECI - Input Price'!M$13:N$33,2,FALSE)</f>
        <v>153.15</v>
      </c>
      <c r="DH450" s="89"/>
      <c r="DI450" s="89"/>
      <c r="DJ450" s="56">
        <f t="shared" ca="1" si="825"/>
        <v>2.2951556467368479E-2</v>
      </c>
      <c r="DK450" s="53">
        <f>HLOOKUP(H450,'GDP-PI'!$8:$9,2,FALSE)</f>
        <v>113.623</v>
      </c>
      <c r="DL450" s="355">
        <f t="shared" si="818"/>
        <v>1.1551816731392881E-2</v>
      </c>
      <c r="EC450"/>
    </row>
    <row r="451" spans="1:133" s="126" customFormat="1" ht="21" customHeight="1" x14ac:dyDescent="0.4">
      <c r="A451" s="233" t="s">
        <v>208</v>
      </c>
      <c r="B451" s="126" t="s">
        <v>208</v>
      </c>
      <c r="C451" s="126">
        <v>4057118</v>
      </c>
      <c r="D451" s="126" t="s">
        <v>209</v>
      </c>
      <c r="G451" s="127" t="s">
        <v>177</v>
      </c>
      <c r="H451" s="128">
        <v>2021</v>
      </c>
      <c r="I451" s="129"/>
      <c r="J451" s="125">
        <v>3421.5415484297696</v>
      </c>
      <c r="K451" s="125">
        <f t="shared" ca="1" si="819"/>
        <v>21.758610800825245</v>
      </c>
      <c r="L451" s="47"/>
      <c r="M451" s="130">
        <f t="shared" ca="1" si="826"/>
        <v>0.28567653134295806</v>
      </c>
      <c r="N451" s="130"/>
      <c r="O451" s="130"/>
      <c r="P451" s="59">
        <f t="shared" ca="1" si="828"/>
        <v>3.8229823808728062E-4</v>
      </c>
      <c r="Q451" s="61"/>
      <c r="R451" s="387"/>
      <c r="S451" s="132">
        <f ca="1">+S450*EXP(T451)</f>
        <v>120.07467464971619</v>
      </c>
      <c r="T451" s="134">
        <f ca="1">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</f>
        <v>4.2996254286412065E-2</v>
      </c>
      <c r="U451" s="134"/>
      <c r="V451" s="125">
        <v>4823.1368815214828</v>
      </c>
      <c r="W451" s="125">
        <f t="shared" si="820"/>
        <v>40.705012081369595</v>
      </c>
      <c r="X451" s="131">
        <f t="shared" si="829"/>
        <v>0.24317402902210628</v>
      </c>
      <c r="Y451" s="131">
        <f t="shared" si="830"/>
        <v>3.2542051111692785E-4</v>
      </c>
      <c r="Z451" s="131"/>
      <c r="AA451" s="131"/>
      <c r="AB451" s="131"/>
      <c r="AC451" s="125">
        <f t="shared" si="800"/>
        <v>8945.0003561557678</v>
      </c>
      <c r="AD451" s="129"/>
      <c r="AE451" s="133">
        <v>469.40859740555044</v>
      </c>
      <c r="AF451" s="134"/>
      <c r="AG451" s="59">
        <f t="shared" si="821"/>
        <v>0</v>
      </c>
      <c r="AH451" s="134"/>
      <c r="AI451" s="134"/>
      <c r="AJ451" s="129">
        <f t="shared" si="796"/>
        <v>17189.678786107019</v>
      </c>
      <c r="AK451" s="134">
        <f t="shared" si="831"/>
        <v>0.42213852339936692</v>
      </c>
      <c r="AL451" s="129"/>
      <c r="AM451" s="134"/>
      <c r="AN451" s="134"/>
      <c r="AO451" s="134"/>
      <c r="AP451" s="133">
        <f t="shared" si="832"/>
        <v>434.65355482216592</v>
      </c>
      <c r="AQ451" s="134">
        <f>+BB451/Outputs!$B$29</f>
        <v>1.0243930396071071E-3</v>
      </c>
      <c r="AR451" s="93">
        <f t="shared" si="822"/>
        <v>0.19904627602437316</v>
      </c>
      <c r="AS451" s="93">
        <f t="shared" si="823"/>
        <v>0.28058330475724896</v>
      </c>
      <c r="AT451" s="93">
        <f t="shared" si="824"/>
        <v>0.52037041921837801</v>
      </c>
      <c r="AU451" s="93">
        <f t="shared" ca="1" si="827"/>
        <v>0.13341067636497478</v>
      </c>
      <c r="AV451" s="132">
        <f t="shared" ca="1" si="835"/>
        <v>87.214103701618441</v>
      </c>
      <c r="AW451" s="134">
        <f t="shared" ca="1" si="836"/>
        <v>0.13341067636497486</v>
      </c>
      <c r="AX451" s="56">
        <f>+AJ451/$AL$26</f>
        <v>1.3382206661853055E-3</v>
      </c>
      <c r="AY451" s="135">
        <f t="shared" ca="1" si="834"/>
        <v>1.7853292420136885E-4</v>
      </c>
      <c r="AZ451" s="93"/>
      <c r="BA451" s="93"/>
      <c r="BB451" s="234">
        <f>INDEX('Total Customers'!$D$7:$D$91,MATCH(Calculation!$C451,'Total Customers'!$C$7:$C$91,0))</f>
        <v>39548</v>
      </c>
      <c r="BC451" s="411">
        <f t="shared" si="754"/>
        <v>0.11196216720833242</v>
      </c>
      <c r="BD451" s="91"/>
      <c r="BE451" s="281" t="str">
        <f t="shared" ref="BE451:BE514" si="839">A451</f>
        <v>DELTA NATURAL GAS COMPANY, INC.</v>
      </c>
      <c r="BF451" s="290">
        <f t="shared" ref="BF451:BF514" si="840">C451</f>
        <v>4057118</v>
      </c>
      <c r="BG451" s="46" t="str">
        <f t="shared" ref="BG451:BG514" si="841">D451</f>
        <v>KY</v>
      </c>
      <c r="BH451" s="46"/>
      <c r="BI451" s="46" t="str">
        <f t="shared" ref="BI451:BI514" si="842">G451</f>
        <v>2021 Y</v>
      </c>
      <c r="BJ451" s="129"/>
      <c r="BK451" s="129"/>
      <c r="BL451" s="129">
        <f>INDEX('Dist. Plant Gas Additions'!$D$7:$AD$91,MATCH($C451,'Dist. Plant Gas Additions'!$C$7:$C$91,0),MATCH(Calculation!$G451,'Dist. Plant Gas Additions'!$D$5:$AD$5,0))</f>
        <v>4193</v>
      </c>
      <c r="BM451" s="129">
        <f>INDEX('Gen. Plant Additions'!$D$7:$AD$91,MATCH($C451,'Gen. Plant Additions'!$C$7:$C$91,0),MATCH(Calculation!$G451,'Gen. Plant Additions'!$D$5:$AD$5,0))</f>
        <v>4167</v>
      </c>
      <c r="BN451" s="343">
        <v>0.87894623985296372</v>
      </c>
      <c r="BO451" s="46">
        <f t="shared" si="837"/>
        <v>3662.5689814672996</v>
      </c>
      <c r="BP451" s="46">
        <f t="shared" si="838"/>
        <v>-504.43101853270036</v>
      </c>
      <c r="BQ451" s="129"/>
      <c r="BR451" s="129"/>
      <c r="BS451" s="137"/>
      <c r="BT451" s="137"/>
      <c r="BU451" s="333"/>
      <c r="BV451" s="93"/>
      <c r="BW451" s="334"/>
      <c r="BX451" s="334"/>
      <c r="BY451" s="129"/>
      <c r="BZ451" s="129"/>
      <c r="CA451" s="129"/>
      <c r="CB451" s="129"/>
      <c r="CC451" s="133">
        <v>2021</v>
      </c>
      <c r="CD451" s="129"/>
      <c r="CE451" s="129"/>
      <c r="CF451" s="129"/>
      <c r="CG451" s="137"/>
      <c r="CH451" s="129">
        <f t="shared" si="802"/>
        <v>8360</v>
      </c>
      <c r="CI451" s="46">
        <f t="shared" si="811"/>
        <v>7855.5689814672996</v>
      </c>
      <c r="CJ451" s="46">
        <f t="shared" si="803"/>
        <v>8.4194850478556607</v>
      </c>
      <c r="CK451" s="443">
        <v>0.70886075949367089</v>
      </c>
      <c r="CL451" s="129">
        <f>CL428*CK451+CJ429*CK450+CJ430*CK449+CJ431*CK448+CJ432*CK447+CJ433*CK446+CJ434*CK445+CJ435*CK444+CJ436*CK443+CJ437*CK442+CJ438*CK441+CJ439*CK440+CJ440*CK439+CJ441*CK438+CJ442*CK437+CJ433*CK436+CJ444*CK435+CJ445*CK434+CJ446*CK433+CJ447*CK432+CJ448*CK431+CJ449*CK430+CJ451+CJ450*CK429</f>
        <v>409.01809656872382</v>
      </c>
      <c r="CM451" s="134"/>
      <c r="CN451" s="135">
        <f t="shared" si="805"/>
        <v>-2.6889696922814382E-3</v>
      </c>
      <c r="CO451" s="135">
        <f t="shared" ref="CO451:CO452" si="843">+(CN451+CN450+CN449)/3</f>
        <v>1.1041887611070356E-2</v>
      </c>
      <c r="CP451" s="134">
        <f>VLOOKUP($H451,RoR!$E:$F,2,FALSE)</f>
        <v>2.7033333333333336E-2</v>
      </c>
      <c r="CQ451" s="135"/>
      <c r="CR451" s="135"/>
      <c r="CS451" s="135">
        <f t="shared" si="815"/>
        <v>1.9860053997463267E-2</v>
      </c>
      <c r="CT451" s="135">
        <f t="shared" si="816"/>
        <v>7.433422950153494E-2</v>
      </c>
      <c r="CU451" s="139">
        <f t="shared" si="806"/>
        <v>0.90646708210000004</v>
      </c>
      <c r="CV451" s="335">
        <f t="shared" si="807"/>
        <v>1.8969932656739068</v>
      </c>
      <c r="CW451" s="335">
        <f t="shared" si="808"/>
        <v>5.0215782983970621E-2</v>
      </c>
      <c r="CX451" s="335">
        <f t="shared" si="809"/>
        <v>0.655952481704143</v>
      </c>
      <c r="CY451" s="335">
        <f t="shared" si="810"/>
        <v>6.2485378865697057E-2</v>
      </c>
      <c r="CZ451" s="336">
        <f>CZ450</f>
        <v>0.25279166999999997</v>
      </c>
      <c r="DA451" s="303">
        <v>0.37</v>
      </c>
      <c r="DB451" s="141">
        <f t="shared" si="814"/>
        <v>22.38912700411019</v>
      </c>
      <c r="DC451" s="135">
        <f t="shared" si="817"/>
        <v>0.54329902750957937</v>
      </c>
      <c r="DD451" s="336">
        <f>VLOOKUP($H451,RoR!$E:$F,2,FALSE)</f>
        <v>2.7033333333333336E-2</v>
      </c>
      <c r="DE451" s="342">
        <f>HLOOKUP($H451,'GDP-PI'!$D$8:$CR$11,3,FALSE)</f>
        <v>4.2834637353352578E-2</v>
      </c>
      <c r="DF451" s="336">
        <f>VLOOKUP(H451,'HW Dx Data'!$E:$F,2,FALSE)</f>
        <v>933.02249921662576</v>
      </c>
      <c r="DG451" s="89">
        <f ca="1">VLOOKUP(CC451,'ECI - Input Price'!M$13:N$33,2,FALSE)</f>
        <v>157.25</v>
      </c>
      <c r="DH451" s="89"/>
      <c r="DI451" s="89"/>
      <c r="DJ451" s="135">
        <f t="shared" ca="1" si="825"/>
        <v>2.6419062301765574E-2</v>
      </c>
      <c r="DK451" s="137">
        <f>HLOOKUP(H451,'GDP-PI'!$8:$9,2,FALSE)</f>
        <v>118.49</v>
      </c>
      <c r="DL451" s="356">
        <f t="shared" si="818"/>
        <v>4.194261824609434E-2</v>
      </c>
      <c r="EC451"/>
    </row>
    <row r="452" spans="1:133" s="126" customFormat="1" ht="21" customHeight="1" thickBot="1" x14ac:dyDescent="0.45">
      <c r="A452" s="235"/>
      <c r="B452" s="236"/>
      <c r="C452" s="236"/>
      <c r="D452" s="236"/>
      <c r="E452" s="236"/>
      <c r="F452" s="236"/>
      <c r="G452" s="237" t="s">
        <v>178</v>
      </c>
      <c r="H452" s="238"/>
      <c r="I452" s="239"/>
      <c r="J452" s="240">
        <v>3439.1258220018417</v>
      </c>
      <c r="K452" s="240">
        <f t="shared" ca="1" si="819"/>
        <v>21.157341261161744</v>
      </c>
      <c r="L452" s="47"/>
      <c r="M452" s="241">
        <f t="shared" ref="M452" ca="1" si="844">LN(K452/K451)</f>
        <v>-2.8022628263828286E-2</v>
      </c>
      <c r="N452" s="241"/>
      <c r="O452" s="241"/>
      <c r="P452" s="242">
        <f t="shared" ca="1" si="828"/>
        <v>-3.098647869775888E-5</v>
      </c>
      <c r="Q452" s="61"/>
      <c r="R452" s="387"/>
      <c r="S452" s="206">
        <f ca="1">+S451*EXP(T452)</f>
        <v>120.01536592763077</v>
      </c>
      <c r="T452" s="243">
        <f ca="1">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</f>
        <v>-4.9405400698159939E-4</v>
      </c>
      <c r="U452" s="243"/>
      <c r="V452" s="239">
        <v>4847.9243514965719</v>
      </c>
      <c r="W452" s="240">
        <f t="shared" si="820"/>
        <v>38.097637339855183</v>
      </c>
      <c r="X452" s="244">
        <f t="shared" ref="X452" si="845">LN(W452/W451)</f>
        <v>-6.6198963696447385E-2</v>
      </c>
      <c r="Y452" s="244">
        <f t="shared" si="830"/>
        <v>-7.3200584865962441E-5</v>
      </c>
      <c r="Z452" s="206"/>
      <c r="AA452" s="243"/>
      <c r="AB452" s="243"/>
      <c r="AC452" s="240">
        <f t="shared" si="800"/>
        <v>6345.137664085054</v>
      </c>
      <c r="AD452" s="243"/>
      <c r="AE452" s="245">
        <v>462.82114685206915</v>
      </c>
      <c r="AF452" s="243">
        <v>-1.4132911423094497E-2</v>
      </c>
      <c r="AG452" s="242">
        <f t="shared" si="821"/>
        <v>-1.5627697538789084E-5</v>
      </c>
      <c r="AH452" s="206"/>
      <c r="AI452" s="243"/>
      <c r="AJ452" s="239">
        <f t="shared" si="796"/>
        <v>14632.187837583468</v>
      </c>
      <c r="AK452" s="243">
        <f t="shared" si="831"/>
        <v>-0.16108538467263361</v>
      </c>
      <c r="AL452" s="239"/>
      <c r="AM452" s="243"/>
      <c r="AN452" s="243"/>
      <c r="AO452" s="243"/>
      <c r="AP452" s="245">
        <f t="shared" si="832"/>
        <v>371.61111968465951</v>
      </c>
      <c r="AQ452" s="243"/>
      <c r="AR452" s="207">
        <f t="shared" si="822"/>
        <v>0.2350383866155876</v>
      </c>
      <c r="AS452" s="207">
        <f t="shared" si="823"/>
        <v>0.33131917149426204</v>
      </c>
      <c r="AT452" s="207">
        <f t="shared" si="824"/>
        <v>0.43364244189015039</v>
      </c>
      <c r="AU452" s="207"/>
      <c r="AV452" s="206"/>
      <c r="AW452" s="243"/>
      <c r="AX452" s="248">
        <f>+AJ452/$AL$27</f>
        <v>1.1057663259144161E-3</v>
      </c>
      <c r="AY452" s="249"/>
      <c r="AZ452" s="206"/>
      <c r="BA452" s="243"/>
      <c r="BB452" s="250">
        <v>39375</v>
      </c>
      <c r="BC452" s="412">
        <f t="shared" ref="BC452:BC515" si="846">LN(BB452/BB451)</f>
        <v>-4.3840268890893864E-3</v>
      </c>
      <c r="BD452" s="91"/>
      <c r="BE452" s="401">
        <f t="shared" si="839"/>
        <v>0</v>
      </c>
      <c r="BF452" s="402">
        <f t="shared" si="840"/>
        <v>0</v>
      </c>
      <c r="BG452" s="313">
        <f t="shared" si="841"/>
        <v>0</v>
      </c>
      <c r="BH452" s="313"/>
      <c r="BI452" s="313" t="str">
        <f t="shared" si="842"/>
        <v>2022Y</v>
      </c>
      <c r="BJ452" s="239"/>
      <c r="BK452" s="239"/>
      <c r="BL452" s="239"/>
      <c r="BM452" s="239"/>
      <c r="BN452" s="337">
        <v>0.87894623985296372</v>
      </c>
      <c r="BO452" s="313">
        <f t="shared" si="837"/>
        <v>0</v>
      </c>
      <c r="BP452" s="313">
        <f t="shared" si="838"/>
        <v>0</v>
      </c>
      <c r="BQ452" s="239"/>
      <c r="BR452" s="239"/>
      <c r="BS452" s="310"/>
      <c r="BT452" s="310"/>
      <c r="BU452" s="311"/>
      <c r="BV452" s="207"/>
      <c r="BW452" s="312"/>
      <c r="BX452" s="312"/>
      <c r="BY452" s="239"/>
      <c r="BZ452" s="239"/>
      <c r="CA452" s="239"/>
      <c r="CB452" s="239"/>
      <c r="CC452" s="245">
        <v>2022</v>
      </c>
      <c r="CD452" s="239"/>
      <c r="CE452" s="239"/>
      <c r="CF452" s="239"/>
      <c r="CG452" s="310"/>
      <c r="CH452" s="239">
        <v>17135</v>
      </c>
      <c r="CI452" s="313">
        <f t="shared" si="811"/>
        <v>17135</v>
      </c>
      <c r="CJ452" s="313">
        <f t="shared" si="803"/>
        <v>16.622849991754059</v>
      </c>
      <c r="CK452" s="443">
        <v>0.69230769230769229</v>
      </c>
      <c r="CL452" s="239">
        <f>+CL428*CK452+CJ429*CK451+CJ430*CK450+CJ431*CK449+CJ432*CK448+CJ433*CK447+CJ434*CK446+CJ435*CK445+CJ436*CK444+CJ437*CK443+CJ438*CK442+CJ439*CK441+CJ440*CK440+CJ441*CK439+CJ442*CK438+CJ443*CK437+CJ444*CK436+CJ445*CK435+CJ446*CK434+CJ447*CK433+CJ448*CK432+CJ449*CK431+CJ450*CK430+CJ451*CK429+CJ452*CK428</f>
        <v>409.38456771036158</v>
      </c>
      <c r="CM452" s="243">
        <f t="shared" ref="CM452" si="847">LN(CL452/CL451)</f>
        <v>8.9557666935214948E-4</v>
      </c>
      <c r="CN452" s="249">
        <f t="shared" si="805"/>
        <v>3.9744889007337303E-2</v>
      </c>
      <c r="CO452" s="249">
        <f t="shared" si="843"/>
        <v>1.839845245505348E-2</v>
      </c>
      <c r="CP452" s="243"/>
      <c r="CQ452" s="249"/>
      <c r="CR452" s="249"/>
      <c r="CS452" s="248">
        <f t="shared" si="815"/>
        <v>1.2503489153480145E-2</v>
      </c>
      <c r="CT452" s="249">
        <f t="shared" si="816"/>
        <v>0.10114668178709289</v>
      </c>
      <c r="CU452" s="314">
        <f t="shared" si="806"/>
        <v>0.90646708210000004</v>
      </c>
      <c r="CV452" s="315"/>
      <c r="CW452" s="315"/>
      <c r="CX452" s="315"/>
      <c r="CY452" s="315"/>
      <c r="CZ452" s="316">
        <f>CZ451</f>
        <v>0.25279166999999997</v>
      </c>
      <c r="DA452" s="360">
        <v>0.37</v>
      </c>
      <c r="DB452" s="318">
        <f t="shared" si="814"/>
        <v>15.513097628967461</v>
      </c>
      <c r="DC452" s="249">
        <f t="shared" si="817"/>
        <v>-0.3668907639861293</v>
      </c>
      <c r="DD452" s="316">
        <v>0.04</v>
      </c>
      <c r="DE452" s="319">
        <v>7.0000000000000001E-3</v>
      </c>
      <c r="DF452" s="316">
        <v>1030.81</v>
      </c>
      <c r="DG452" s="89">
        <f ca="1">VLOOKUP(CC452,'ECI - Input Price'!M$13:N$33,2,FALSE)</f>
        <v>162.55000000000001</v>
      </c>
      <c r="DH452" s="89"/>
      <c r="DI452" s="89"/>
      <c r="DJ452" s="249">
        <f t="shared" ca="1" si="825"/>
        <v>3.3148751169364422E-2</v>
      </c>
      <c r="DK452" s="310">
        <v>127.25</v>
      </c>
      <c r="DL452" s="357">
        <f t="shared" si="818"/>
        <v>7.1325086601983473E-2</v>
      </c>
      <c r="EC452"/>
    </row>
    <row r="453" spans="1:133" s="126" customFormat="1" ht="21" customHeight="1" x14ac:dyDescent="0.4">
      <c r="A453" s="251" t="s">
        <v>210</v>
      </c>
      <c r="B453" s="252" t="s">
        <v>210</v>
      </c>
      <c r="C453" s="252">
        <v>4057126</v>
      </c>
      <c r="D453" s="252" t="s">
        <v>206</v>
      </c>
      <c r="E453" s="252"/>
      <c r="F453" s="252"/>
      <c r="G453" s="252" t="s">
        <v>150</v>
      </c>
      <c r="H453" s="253">
        <v>1998</v>
      </c>
      <c r="I453" s="254"/>
      <c r="J453" s="255"/>
      <c r="K453" s="255"/>
      <c r="L453" s="47"/>
      <c r="M453" s="255"/>
      <c r="N453" s="255"/>
      <c r="O453" s="255"/>
      <c r="P453" s="219"/>
      <c r="Q453" s="218"/>
      <c r="R453" s="385"/>
      <c r="S453" s="257"/>
      <c r="T453" s="258"/>
      <c r="U453" s="258"/>
      <c r="V453" s="259"/>
      <c r="W453" s="259"/>
      <c r="X453" s="259"/>
      <c r="Y453" s="255"/>
      <c r="Z453" s="259"/>
      <c r="AA453" s="259"/>
      <c r="AB453" s="259"/>
      <c r="AC453" s="255"/>
      <c r="AD453" s="254"/>
      <c r="AE453" s="260">
        <v>5128.4695551823752</v>
      </c>
      <c r="AF453" s="256"/>
      <c r="AG453" s="225"/>
      <c r="AH453" s="256"/>
      <c r="AI453" s="256"/>
      <c r="AJ453" s="254">
        <f t="shared" si="796"/>
        <v>0</v>
      </c>
      <c r="AK453" s="254"/>
      <c r="AL453" s="254"/>
      <c r="AM453" s="256"/>
      <c r="AN453" s="256"/>
      <c r="AO453" s="256"/>
      <c r="AP453" s="226">
        <f>+(AP450+AP451+AP452)/3</f>
        <v>375.00126157695763</v>
      </c>
      <c r="AQ453" s="256"/>
      <c r="AR453" s="261"/>
      <c r="AS453" s="261"/>
      <c r="AT453" s="261"/>
      <c r="AU453" s="261"/>
      <c r="AV453" s="261"/>
      <c r="AW453" s="256">
        <f ca="1">AVERAGE(AW462:AW476)</f>
        <v>1.1971715923511709E-2</v>
      </c>
      <c r="AX453" s="223"/>
      <c r="AY453" s="261"/>
      <c r="AZ453" s="261"/>
      <c r="BA453" s="261"/>
      <c r="BB453" s="262">
        <f>IFERROR(INDEX('Total Customers'!$E$7:$AA$91,MATCH($C453,'Total Customers'!$C$7:$C$91,0),MATCH($G453,'Total Customers'!$E$5:$AA$5,0)),"NA")</f>
        <v>1177240</v>
      </c>
      <c r="BC453" s="413"/>
      <c r="BD453" s="92"/>
      <c r="BE453" s="407" t="str">
        <f t="shared" si="839"/>
        <v>DTE GAS COMPANY</v>
      </c>
      <c r="BF453" s="408">
        <f t="shared" si="840"/>
        <v>4057126</v>
      </c>
      <c r="BG453" s="218" t="str">
        <f t="shared" si="841"/>
        <v>MI</v>
      </c>
      <c r="BH453" s="218"/>
      <c r="BI453" s="218" t="str">
        <f t="shared" si="842"/>
        <v>1998 Y</v>
      </c>
      <c r="BJ453" s="254">
        <f>INDEX('Gross Dx Plant'!$D$7:$AC$91,MATCH($C453,'Gross Dx Plant'!$C$7:$C$91,0),MATCH(Calculation!$G453,'Gross Dx Plant'!$D$5:$AC$5,0))</f>
        <v>1661191</v>
      </c>
      <c r="BK453" s="254">
        <f>INDEX('Gross Gen Plant'!$D$7:$AC$91,MATCH($C453,'Gross Gen Plant'!$C$7:$C$91,0),MATCH(Calculation!$G453,'Gross Gen Plant'!$D$5:$AC$5,0))</f>
        <v>292000</v>
      </c>
      <c r="BL453" s="254">
        <f>INDEX('Dist. Plant Gas Additions'!$E$7:$AD$91,MATCH($C453,'Dist. Plant Gas Additions'!$C$7:$C$91,0),MATCH(Calculation!$G453,'Dist. Plant Gas Additions'!$E$5:$AD$5,0))</f>
        <v>59234</v>
      </c>
      <c r="BM453" s="254">
        <f>INDEX('Gen. Plant Additions'!$E$7:$AD$91,MATCH($C453,'Gen. Plant Additions'!$C$7:$C$91,0),MATCH(Calculation!$G453,'Gen. Plant Additions'!$E$5:$AD$5,0))</f>
        <v>54246</v>
      </c>
      <c r="BN453" s="409">
        <f>+(BY453/(BY453+BZ453))</f>
        <v>0.85050105186845526</v>
      </c>
      <c r="BO453" s="218">
        <f t="shared" si="837"/>
        <v>46136.280059656223</v>
      </c>
      <c r="BP453" s="218">
        <f t="shared" si="838"/>
        <v>-8109.7199403437771</v>
      </c>
      <c r="BQ453" s="254">
        <f>INDEX('Dist Plant Depreciation'!$D$7:$AC$94,MATCH($C453,'Dist Plant Depreciation'!$C$7:$C$94,0),MATCH(Calculation!$G453,'Dist Plant Depreciation'!$D$5:$AC$5,0))</f>
        <v>918679</v>
      </c>
      <c r="BR453" s="254">
        <f>INDEX('Gen. Plant Depreciation'!$D$7:$AC$94,MATCH($C453,'Gen. Plant Depreciation'!$C$7:$C$94,0),MATCH(Calculation!$G453,'Gen. Plant Depreciation'!$D$5:$AC$5,0))</f>
        <v>97435</v>
      </c>
      <c r="BS453" s="254"/>
      <c r="BT453" s="254"/>
      <c r="BU453" s="254"/>
      <c r="BV453" s="254"/>
      <c r="BW453" s="254"/>
      <c r="BX453" s="254"/>
      <c r="BY453" s="254">
        <f>INDEX('Gross Dx Plant'!$D$7:$AC$91,MATCH($C453,'Gross Dx Plant'!$C$7:$C$91,0),MATCH(Calculation!$G453,'Gross Dx Plant'!$D$5:$AC$5,0))</f>
        <v>1661191</v>
      </c>
      <c r="BZ453" s="254">
        <f>INDEX('Gross Gen Plant'!$D$7:$AC$91,MATCH($C453,'Gross Gen Plant'!$C$7:$C$91,0),MATCH(Calculation!$G453,'Gross Gen Plant'!$D$5:$AC$5,0))</f>
        <v>292000</v>
      </c>
      <c r="CA453" s="254">
        <f t="shared" si="755"/>
        <v>937077</v>
      </c>
      <c r="CB453" s="254"/>
      <c r="CC453" s="260">
        <v>1998</v>
      </c>
      <c r="CD453" s="254">
        <f>BJ453+BK453</f>
        <v>1953191</v>
      </c>
      <c r="CE453" s="254">
        <v>918679</v>
      </c>
      <c r="CF453" s="254">
        <f>+CD453-CE453</f>
        <v>1034512</v>
      </c>
      <c r="CG453" s="254">
        <f>CF453/$BX$3</f>
        <v>5128.4695551823752</v>
      </c>
      <c r="CH453" s="323"/>
      <c r="CI453" s="344"/>
      <c r="CJ453" s="344"/>
      <c r="CK453" s="443">
        <v>1</v>
      </c>
      <c r="CL453" s="254">
        <f>+CG453</f>
        <v>5128.4695551823752</v>
      </c>
      <c r="CM453" s="256"/>
      <c r="CN453" s="325"/>
      <c r="CO453" s="325"/>
      <c r="CP453" s="256" t="e">
        <f>VLOOKUP($H453,RoR!$E:$F,2,FALSE)</f>
        <v>#N/A</v>
      </c>
      <c r="CQ453" s="325">
        <v>1.1028127770464469E-2</v>
      </c>
      <c r="CR453" s="325"/>
      <c r="CS453" s="325"/>
      <c r="CT453" s="325"/>
      <c r="CU453" s="327"/>
      <c r="CV453" s="331" t="e">
        <f>2/(DD453*39)</f>
        <v>#N/A</v>
      </c>
      <c r="CW453" s="328" t="e">
        <f>+(DD453*40-(1+DD453))/(DD453*40)</f>
        <v>#N/A</v>
      </c>
      <c r="CX453" s="328" t="e">
        <f>+(1-(1/(1+DD453)^40))</f>
        <v>#N/A</v>
      </c>
      <c r="CY453" s="328" t="e">
        <f>+CX453*CW453*CV453</f>
        <v>#N/A</v>
      </c>
      <c r="CZ453" s="329">
        <f>INDEX('State Tax Lookup'!$D$7:$Z$91,MATCH(Calculation!$C453,'State Tax Lookup'!$B$7:$B$91,0),MATCH($H453,'State Tax Lookup'!$D$6:$Z$6,0))</f>
        <v>0.35</v>
      </c>
      <c r="DA453" s="351">
        <v>0.37</v>
      </c>
      <c r="DB453" s="344"/>
      <c r="DC453" s="326"/>
      <c r="DD453" s="351" t="e">
        <f>VLOOKUP($H453,RoR!$E:$F,2,FALSE)</f>
        <v>#N/A</v>
      </c>
      <c r="DE453" s="354">
        <f>HLOOKUP($H453,'GDP-PI'!$D$8:$CQ$11,3,FALSE)</f>
        <v>1.1028127770464469E-2</v>
      </c>
      <c r="DF453" s="351">
        <f>VLOOKUP(H453,'HW Dx Data'!$E:$F,2,FALSE)</f>
        <v>329.24564746449528</v>
      </c>
      <c r="DG453" s="351"/>
      <c r="DH453" s="351"/>
      <c r="DI453" s="351"/>
      <c r="DJ453" s="326"/>
      <c r="DK453" s="344">
        <f>HLOOKUP(H453,'GDP-PI'!$8:$9,2,FALSE)</f>
        <v>75.266999999999996</v>
      </c>
      <c r="DL453" s="292"/>
      <c r="EC453"/>
    </row>
    <row r="454" spans="1:133" s="126" customFormat="1" ht="21" customHeight="1" x14ac:dyDescent="0.4">
      <c r="A454" s="233" t="s">
        <v>210</v>
      </c>
      <c r="B454" s="127" t="s">
        <v>210</v>
      </c>
      <c r="C454" s="127">
        <v>4057126</v>
      </c>
      <c r="D454" s="127" t="s">
        <v>206</v>
      </c>
      <c r="E454" s="127"/>
      <c r="F454" s="127"/>
      <c r="G454" s="127" t="s">
        <v>155</v>
      </c>
      <c r="H454" s="128">
        <v>1999</v>
      </c>
      <c r="I454" s="129"/>
      <c r="J454" s="125"/>
      <c r="K454" s="129"/>
      <c r="L454" s="47"/>
      <c r="M454" s="129"/>
      <c r="N454" s="129"/>
      <c r="O454" s="129"/>
      <c r="P454" s="47"/>
      <c r="Q454" s="47"/>
      <c r="R454" s="386"/>
      <c r="S454" s="119"/>
      <c r="T454" s="47"/>
      <c r="U454" s="46"/>
      <c r="V454" s="135"/>
      <c r="W454" s="135"/>
      <c r="X454" s="135"/>
      <c r="Y454" s="143"/>
      <c r="Z454" s="135"/>
      <c r="AA454" s="135"/>
      <c r="AB454" s="135"/>
      <c r="AC454" s="125">
        <f t="shared" ref="AC454:AC477" si="848">+CL453*DB454</f>
        <v>0</v>
      </c>
      <c r="AD454" s="129"/>
      <c r="AE454" s="133">
        <v>5386.7719807745707</v>
      </c>
      <c r="AF454" s="134">
        <v>4.9139032770477646E-2</v>
      </c>
      <c r="AG454" s="61"/>
      <c r="AH454" s="134"/>
      <c r="AI454" s="134"/>
      <c r="AJ454" s="129">
        <f t="shared" si="796"/>
        <v>0</v>
      </c>
      <c r="AK454" s="134"/>
      <c r="AL454" s="129"/>
      <c r="AM454" s="134"/>
      <c r="AN454" s="134"/>
      <c r="AO454" s="134"/>
      <c r="AP454" s="133"/>
      <c r="AQ454" s="134"/>
      <c r="AR454" s="93"/>
      <c r="AS454" s="93"/>
      <c r="AT454" s="93"/>
      <c r="AU454" s="93"/>
      <c r="AV454" s="93"/>
      <c r="AW454" s="134"/>
      <c r="AX454" s="62"/>
      <c r="AY454" s="93"/>
      <c r="AZ454" s="93"/>
      <c r="BA454" s="93"/>
      <c r="BB454" s="234">
        <f>IFERROR(INDEX('Total Customers'!$E$7:$AA$91,MATCH($C454,'Total Customers'!$C$7:$C$91,0),MATCH($G454,'Total Customers'!$E$5:$AA$5,0)),"NA")</f>
        <v>1195781</v>
      </c>
      <c r="BC454" s="411">
        <f t="shared" si="846"/>
        <v>1.5626812660825499E-2</v>
      </c>
      <c r="BD454" s="92"/>
      <c r="BE454" s="281" t="str">
        <f t="shared" si="839"/>
        <v>DTE GAS COMPANY</v>
      </c>
      <c r="BF454" s="290">
        <f t="shared" si="840"/>
        <v>4057126</v>
      </c>
      <c r="BG454" s="46" t="str">
        <f t="shared" si="841"/>
        <v>MI</v>
      </c>
      <c r="BH454" s="46"/>
      <c r="BI454" s="46" t="str">
        <f t="shared" si="842"/>
        <v>1999 Y</v>
      </c>
      <c r="BJ454" s="129"/>
      <c r="BK454" s="129"/>
      <c r="BL454" s="129">
        <f>INDEX('Dist. Plant Gas Additions'!$E$7:$AD$91,MATCH($C454,'Dist. Plant Gas Additions'!$C$7:$C$91,0),MATCH(Calculation!$G454,'Dist. Plant Gas Additions'!$E$5:$AD$5,0))</f>
        <v>67599</v>
      </c>
      <c r="BM454" s="129">
        <f>INDEX('Gen. Plant Additions'!$E$7:$AD$91,MATCH($C454,'Gen. Plant Additions'!$C$7:$C$91,0),MATCH(Calculation!$G454,'Gen. Plant Additions'!$E$5:$AD$5,0))</f>
        <v>27572</v>
      </c>
      <c r="BN454" s="393">
        <f t="shared" ref="BN454:BN475" si="849">+(BY454/(BY454+BZ454))</f>
        <v>0.84637713180292773</v>
      </c>
      <c r="BO454" s="46">
        <f t="shared" si="837"/>
        <v>23336.310278070323</v>
      </c>
      <c r="BP454" s="46">
        <f t="shared" si="838"/>
        <v>-4235.689721929677</v>
      </c>
      <c r="BQ454" s="129">
        <f>INDEX('Dist Plant Depreciation'!$D$7:$AC$94,MATCH($C454,'Dist Plant Depreciation'!$C$7:$C$94,0),MATCH(Calculation!$G454,'Dist Plant Depreciation'!$D$5:$AC$5,0))</f>
        <v>966931</v>
      </c>
      <c r="BR454" s="129">
        <f>INDEX('Gen. Plant Depreciation'!$D$7:$AC$94,MATCH($C454,'Gen. Plant Depreciation'!$C$7:$C$94,0),MATCH(Calculation!$G454,'Gen. Plant Depreciation'!$D$5:$AC$5,0))</f>
        <v>113171</v>
      </c>
      <c r="BS454" s="129"/>
      <c r="BT454" s="129"/>
      <c r="BU454" s="129"/>
      <c r="BV454" s="129"/>
      <c r="BW454" s="129"/>
      <c r="BX454" s="129"/>
      <c r="BY454" s="129">
        <f>INDEX('Gross Dx Plant'!$D$7:$AC$91,MATCH($C454,'Gross Dx Plant'!$C$7:$C$91,0),MATCH(Calculation!$G454,'Gross Dx Plant'!$D$5:$AC$5,0))</f>
        <v>1723829</v>
      </c>
      <c r="BZ454" s="129">
        <f>INDEX('Gross Gen Plant'!$D$7:$AC$91,MATCH($C454,'Gross Gen Plant'!$C$7:$C$91,0),MATCH(Calculation!$G454,'Gross Gen Plant'!$D$5:$AC$5,0))</f>
        <v>312886</v>
      </c>
      <c r="CA454" s="129">
        <f t="shared" si="755"/>
        <v>956613</v>
      </c>
      <c r="CB454" s="129"/>
      <c r="CC454" s="133">
        <v>1999</v>
      </c>
      <c r="CD454" s="129"/>
      <c r="CE454" s="129"/>
      <c r="CF454" s="129"/>
      <c r="CG454" s="137"/>
      <c r="CH454" s="129">
        <f t="shared" ref="CH454:CH476" si="850">+BM454+BL454</f>
        <v>95171</v>
      </c>
      <c r="CI454" s="46">
        <f>+CH454+BP454</f>
        <v>90935.310278070319</v>
      </c>
      <c r="CJ454" s="46">
        <f t="shared" ref="CJ454:CJ477" si="851">+CI454/$DF454</f>
        <v>271.18560379375987</v>
      </c>
      <c r="CK454" s="443">
        <v>0.99009900990099009</v>
      </c>
      <c r="CL454" s="46">
        <f>+CL453*CK454+CJ454</f>
        <v>5348.8782326872006</v>
      </c>
      <c r="CM454" s="134">
        <f t="shared" ref="CM454:CM475" si="852">LN(CL454/CL453)</f>
        <v>4.2079580439953863E-2</v>
      </c>
      <c r="CN454" s="135">
        <f t="shared" ref="CN454:CN477" si="853">+(CL453-CL454+CJ454)/CL453</f>
        <v>9.900990099009915E-3</v>
      </c>
      <c r="CO454" s="135"/>
      <c r="CP454" s="134">
        <f>VLOOKUP($H454,RoR!$E:$F,2,FALSE)</f>
        <v>7.0416666666666669E-2</v>
      </c>
      <c r="CQ454" s="135">
        <v>1.4335631817396832E-2</v>
      </c>
      <c r="CR454" s="135">
        <f>+CP454-CQ454</f>
        <v>5.6081034849269837E-2</v>
      </c>
      <c r="CS454" s="135"/>
      <c r="CT454" s="135"/>
      <c r="CU454" s="139">
        <f t="shared" ref="CU454:CU477" si="854">1-CZ454*DA454</f>
        <v>0.87050000000000005</v>
      </c>
      <c r="CV454" s="335">
        <f t="shared" ref="CV454:CV476" si="855">2/(DD454*39)</f>
        <v>0.72826581702321336</v>
      </c>
      <c r="CW454" s="335">
        <f t="shared" ref="CW454:CW476" si="856">+(DD454*40-(1+DD454))/(DD454*40)</f>
        <v>0.61997041420118348</v>
      </c>
      <c r="CX454" s="335">
        <f t="shared" ref="CX454:CX476" si="857">+(1-(1/(1+DD454)^40))</f>
        <v>0.93425155319585029</v>
      </c>
      <c r="CY454" s="335">
        <f t="shared" ref="CY454:CY476" si="858">+CX454*CW454*CV454</f>
        <v>0.42181762214141483</v>
      </c>
      <c r="CZ454" s="336">
        <f>INDEX('State Tax Lookup'!$D$7:$Z$91,MATCH(Calculation!$C454,'State Tax Lookup'!$B$7:$B$91,0),MATCH($H454,'State Tax Lookup'!$D$6:$Z$6,0))</f>
        <v>0.35</v>
      </c>
      <c r="DA454" s="303">
        <v>0.37</v>
      </c>
      <c r="DB454" s="57"/>
      <c r="DC454" s="56"/>
      <c r="DD454" s="303">
        <f>VLOOKUP($H454,RoR!$E:$F,2,FALSE)</f>
        <v>7.0416666666666669E-2</v>
      </c>
      <c r="DE454" s="304">
        <f>HLOOKUP($H454,'GDP-PI'!$D$8:$CQ$11,3,FALSE)</f>
        <v>1.4335631817396832E-2</v>
      </c>
      <c r="DF454" s="303">
        <f>VLOOKUP(H454,'HW Dx Data'!$E:$F,2,FALSE)</f>
        <v>335.32499146683239</v>
      </c>
      <c r="DG454" s="89"/>
      <c r="DH454" s="89"/>
      <c r="DI454" s="89"/>
      <c r="DJ454" s="56"/>
      <c r="DK454" s="53">
        <f>HLOOKUP(H454,'GDP-PI'!$8:$9,2,FALSE)</f>
        <v>76.346000000000004</v>
      </c>
      <c r="DL454" s="298"/>
      <c r="EC454"/>
    </row>
    <row r="455" spans="1:133" s="126" customFormat="1" ht="21" customHeight="1" x14ac:dyDescent="0.4">
      <c r="A455" s="233" t="s">
        <v>210</v>
      </c>
      <c r="B455" s="127" t="s">
        <v>210</v>
      </c>
      <c r="C455" s="127">
        <v>4057126</v>
      </c>
      <c r="D455" s="127" t="s">
        <v>206</v>
      </c>
      <c r="E455" s="127"/>
      <c r="F455" s="127"/>
      <c r="G455" s="127" t="s">
        <v>156</v>
      </c>
      <c r="H455" s="128">
        <v>2000</v>
      </c>
      <c r="I455" s="129"/>
      <c r="J455" s="125"/>
      <c r="K455" s="125"/>
      <c r="L455" s="47"/>
      <c r="M455" s="125"/>
      <c r="N455" s="125"/>
      <c r="O455" s="125"/>
      <c r="P455" s="47"/>
      <c r="Q455" s="47"/>
      <c r="R455" s="386"/>
      <c r="S455" s="119"/>
      <c r="T455" s="47"/>
      <c r="U455" s="47"/>
      <c r="V455" s="125"/>
      <c r="W455" s="125"/>
      <c r="X455" s="125"/>
      <c r="Y455" s="125"/>
      <c r="Z455" s="125"/>
      <c r="AA455" s="125"/>
      <c r="AB455" s="125"/>
      <c r="AC455" s="125">
        <f t="shared" si="848"/>
        <v>0</v>
      </c>
      <c r="AD455" s="129"/>
      <c r="AE455" s="133">
        <v>5654.1313169792693</v>
      </c>
      <c r="AF455" s="134">
        <v>4.844016938200027E-2</v>
      </c>
      <c r="AG455" s="61"/>
      <c r="AH455" s="134"/>
      <c r="AI455" s="134"/>
      <c r="AJ455" s="129">
        <f t="shared" si="796"/>
        <v>0</v>
      </c>
      <c r="AK455" s="134"/>
      <c r="AL455" s="129"/>
      <c r="AM455" s="129"/>
      <c r="AN455" s="129"/>
      <c r="AO455" s="129"/>
      <c r="AP455" s="133"/>
      <c r="AQ455" s="134"/>
      <c r="AR455" s="93"/>
      <c r="AS455" s="93"/>
      <c r="AT455" s="93"/>
      <c r="AU455" s="93"/>
      <c r="AV455" s="93"/>
      <c r="AW455" s="134"/>
      <c r="AX455" s="62"/>
      <c r="AY455" s="93"/>
      <c r="AZ455" s="93"/>
      <c r="BA455" s="93"/>
      <c r="BB455" s="234">
        <f>IFERROR(INDEX('Total Customers'!$E$7:$AA$91,MATCH($C455,'Total Customers'!$C$7:$C$91,0),MATCH($G455,'Total Customers'!$E$5:$AA$5,0)),"NA")</f>
        <v>1206421</v>
      </c>
      <c r="BC455" s="411">
        <f t="shared" si="846"/>
        <v>8.8585968880585276E-3</v>
      </c>
      <c r="BD455" s="92"/>
      <c r="BE455" s="281" t="str">
        <f t="shared" si="839"/>
        <v>DTE GAS COMPANY</v>
      </c>
      <c r="BF455" s="290">
        <f t="shared" si="840"/>
        <v>4057126</v>
      </c>
      <c r="BG455" s="46" t="str">
        <f t="shared" si="841"/>
        <v>MI</v>
      </c>
      <c r="BH455" s="46"/>
      <c r="BI455" s="46" t="str">
        <f t="shared" si="842"/>
        <v>2000 Y</v>
      </c>
      <c r="BJ455" s="129"/>
      <c r="BK455" s="129"/>
      <c r="BL455" s="129">
        <f>INDEX('Dist. Plant Gas Additions'!$E$7:$AD$91,MATCH($C455,'Dist. Plant Gas Additions'!$C$7:$C$91,0),MATCH(Calculation!$G455,'Dist. Plant Gas Additions'!$E$5:$AD$5,0))</f>
        <v>75957</v>
      </c>
      <c r="BM455" s="129">
        <f>INDEX('Gen. Plant Additions'!$E$7:$AD$91,MATCH($C455,'Gen. Plant Additions'!$C$7:$C$91,0),MATCH(Calculation!$G455,'Gen. Plant Additions'!$E$5:$AD$5,0))</f>
        <v>26291</v>
      </c>
      <c r="BN455" s="393">
        <f t="shared" si="849"/>
        <v>0.84729427561864146</v>
      </c>
      <c r="BO455" s="46">
        <f t="shared" si="837"/>
        <v>22276.213800289701</v>
      </c>
      <c r="BP455" s="46">
        <f t="shared" si="838"/>
        <v>-4014.7861997102991</v>
      </c>
      <c r="BQ455" s="129">
        <f>INDEX('Dist Plant Depreciation'!$D$7:$AC$94,MATCH($C455,'Dist Plant Depreciation'!$C$7:$C$94,0),MATCH(Calculation!$G455,'Dist Plant Depreciation'!$D$5:$AC$5,0))</f>
        <v>1019549</v>
      </c>
      <c r="BR455" s="129">
        <f>INDEX('Gen. Plant Depreciation'!$D$7:$AC$94,MATCH($C455,'Gen. Plant Depreciation'!$C$7:$C$94,0),MATCH(Calculation!$G455,'Gen. Plant Depreciation'!$D$5:$AC$5,0))</f>
        <v>118070</v>
      </c>
      <c r="BS455" s="129"/>
      <c r="BT455" s="129"/>
      <c r="BU455" s="129"/>
      <c r="BV455" s="129"/>
      <c r="BW455" s="129"/>
      <c r="BX455" s="129"/>
      <c r="BY455" s="129">
        <f>INDEX('Gross Dx Plant'!$D$7:$AC$91,MATCH($C455,'Gross Dx Plant'!$C$7:$C$91,0),MATCH(Calculation!$G455,'Gross Dx Plant'!$D$5:$AC$5,0))</f>
        <v>1794593</v>
      </c>
      <c r="BZ455" s="129">
        <f>INDEX('Gross Gen Plant'!$D$7:$AC$91,MATCH($C455,'Gross Gen Plant'!$C$7:$C$91,0),MATCH(Calculation!$G455,'Gross Gen Plant'!$D$5:$AC$5,0))</f>
        <v>323435</v>
      </c>
      <c r="CA455" s="129">
        <f t="shared" si="755"/>
        <v>980409</v>
      </c>
      <c r="CB455" s="129"/>
      <c r="CC455" s="133">
        <v>2000</v>
      </c>
      <c r="CD455" s="129"/>
      <c r="CE455" s="129"/>
      <c r="CF455" s="129"/>
      <c r="CG455" s="137"/>
      <c r="CH455" s="129">
        <f t="shared" si="850"/>
        <v>102248</v>
      </c>
      <c r="CI455" s="46">
        <f t="shared" ref="CI455:CI477" si="859">+CH455+BP455</f>
        <v>98233.213800289697</v>
      </c>
      <c r="CJ455" s="46">
        <f t="shared" si="851"/>
        <v>283.47375377448492</v>
      </c>
      <c r="CK455" s="443">
        <v>0.98</v>
      </c>
      <c r="CL455" s="46">
        <f>+CL453*CK455+CJ454*CK454+CJ455</f>
        <v>5577.8745156688165</v>
      </c>
      <c r="CM455" s="134">
        <f t="shared" si="852"/>
        <v>4.1920929868100906E-2</v>
      </c>
      <c r="CN455" s="135">
        <f t="shared" si="853"/>
        <v>1.0184840339036907E-2</v>
      </c>
      <c r="CO455" s="135"/>
      <c r="CP455" s="134">
        <f>VLOOKUP($H455,RoR!$E:$F,2,FALSE)</f>
        <v>7.6225000000000001E-2</v>
      </c>
      <c r="CQ455" s="135">
        <v>2.2568307442433211E-2</v>
      </c>
      <c r="CR455" s="135">
        <f t="shared" ref="CR455:CR475" si="860">+CP455-CQ455</f>
        <v>5.365669255756679E-2</v>
      </c>
      <c r="CS455" s="135"/>
      <c r="CT455" s="135"/>
      <c r="CU455" s="139">
        <f t="shared" si="854"/>
        <v>0.87050000000000005</v>
      </c>
      <c r="CV455" s="335">
        <f t="shared" si="855"/>
        <v>0.67277207323124022</v>
      </c>
      <c r="CW455" s="335">
        <f t="shared" si="856"/>
        <v>0.6470236142997704</v>
      </c>
      <c r="CX455" s="335">
        <f t="shared" si="857"/>
        <v>0.94704866037543145</v>
      </c>
      <c r="CY455" s="335">
        <f t="shared" si="858"/>
        <v>0.41224973107878493</v>
      </c>
      <c r="CZ455" s="336">
        <f>INDEX('State Tax Lookup'!$D$7:$Z$91,MATCH(Calculation!$C455,'State Tax Lookup'!$B$7:$B$91,0),MATCH($H455,'State Tax Lookup'!$D$6:$Z$6,0))</f>
        <v>0.35</v>
      </c>
      <c r="DA455" s="303">
        <v>0.37</v>
      </c>
      <c r="DB455" s="57"/>
      <c r="DC455" s="56"/>
      <c r="DD455" s="303">
        <f>VLOOKUP($H455,RoR!$E:$F,2,FALSE)</f>
        <v>7.6225000000000001E-2</v>
      </c>
      <c r="DE455" s="304">
        <f>HLOOKUP($H455,'GDP-PI'!$D$8:$CQ$11,3,FALSE)</f>
        <v>2.2568307442433211E-2</v>
      </c>
      <c r="DF455" s="303">
        <f>VLOOKUP(H455,'HW Dx Data'!$E:$F,2,FALSE)</f>
        <v>346.53371782150339</v>
      </c>
      <c r="DG455" s="89"/>
      <c r="DH455" s="89"/>
      <c r="DI455" s="89"/>
      <c r="DJ455" s="56"/>
      <c r="DK455" s="53">
        <f>HLOOKUP(H455,'GDP-PI'!$8:$9,2,FALSE)</f>
        <v>78.069000000000003</v>
      </c>
      <c r="DL455" s="298"/>
      <c r="EC455"/>
    </row>
    <row r="456" spans="1:133" s="126" customFormat="1" ht="21" customHeight="1" x14ac:dyDescent="0.4">
      <c r="A456" s="233" t="s">
        <v>210</v>
      </c>
      <c r="B456" s="127" t="s">
        <v>210</v>
      </c>
      <c r="C456" s="127">
        <v>4057126</v>
      </c>
      <c r="D456" s="127" t="s">
        <v>206</v>
      </c>
      <c r="E456" s="127"/>
      <c r="F456" s="127"/>
      <c r="G456" s="127" t="s">
        <v>157</v>
      </c>
      <c r="H456" s="128">
        <v>2001</v>
      </c>
      <c r="I456" s="129"/>
      <c r="J456" s="125"/>
      <c r="K456" s="125"/>
      <c r="L456" s="47"/>
      <c r="M456" s="125"/>
      <c r="N456" s="125"/>
      <c r="O456" s="125"/>
      <c r="P456" s="47"/>
      <c r="Q456" s="47"/>
      <c r="R456" s="386"/>
      <c r="S456" s="119"/>
      <c r="T456" s="47"/>
      <c r="U456" s="47"/>
      <c r="V456" s="125"/>
      <c r="W456" s="125"/>
      <c r="X456" s="125"/>
      <c r="Y456" s="125"/>
      <c r="Z456" s="125"/>
      <c r="AA456" s="125"/>
      <c r="AB456" s="125"/>
      <c r="AC456" s="125">
        <f t="shared" si="848"/>
        <v>54964.173012769948</v>
      </c>
      <c r="AD456" s="129"/>
      <c r="AE456" s="133">
        <v>5865.39474035905</v>
      </c>
      <c r="AF456" s="134">
        <v>3.6683299747551565E-2</v>
      </c>
      <c r="AG456" s="61"/>
      <c r="AH456" s="134"/>
      <c r="AI456" s="134"/>
      <c r="AJ456" s="129">
        <f t="shared" si="796"/>
        <v>54964.173012769948</v>
      </c>
      <c r="AK456" s="134"/>
      <c r="AL456" s="129"/>
      <c r="AM456" s="129"/>
      <c r="AN456" s="129"/>
      <c r="AO456" s="129"/>
      <c r="AP456" s="133"/>
      <c r="AQ456" s="134"/>
      <c r="AR456" s="93"/>
      <c r="AS456" s="93"/>
      <c r="AT456" s="93"/>
      <c r="AU456" s="93"/>
      <c r="AV456" s="93"/>
      <c r="AW456" s="134"/>
      <c r="AX456" s="62"/>
      <c r="AY456" s="93"/>
      <c r="AZ456" s="93"/>
      <c r="BA456" s="93"/>
      <c r="BB456" s="234">
        <f>IFERROR(INDEX('Total Customers'!$E$7:$AA$91,MATCH($C456,'Total Customers'!$C$7:$C$91,0),MATCH($G456,'Total Customers'!$E$5:$AA$5,0)),"NA")</f>
        <v>1209335</v>
      </c>
      <c r="BC456" s="411">
        <f t="shared" si="846"/>
        <v>2.4124964717658522E-3</v>
      </c>
      <c r="BD456" s="92"/>
      <c r="BE456" s="281" t="str">
        <f t="shared" si="839"/>
        <v>DTE GAS COMPANY</v>
      </c>
      <c r="BF456" s="290">
        <f t="shared" si="840"/>
        <v>4057126</v>
      </c>
      <c r="BG456" s="46" t="str">
        <f t="shared" si="841"/>
        <v>MI</v>
      </c>
      <c r="BH456" s="46"/>
      <c r="BI456" s="46" t="str">
        <f t="shared" si="842"/>
        <v>2001 Y</v>
      </c>
      <c r="BJ456" s="129"/>
      <c r="BK456" s="129"/>
      <c r="BL456" s="129">
        <f>INDEX('Dist. Plant Gas Additions'!$E$7:$AD$91,MATCH($C456,'Dist. Plant Gas Additions'!$C$7:$C$91,0),MATCH(Calculation!$G456,'Dist. Plant Gas Additions'!$E$5:$AD$5,0))</f>
        <v>64405</v>
      </c>
      <c r="BM456" s="129">
        <f>INDEX('Gen. Plant Additions'!$E$7:$AD$91,MATCH($C456,'Gen. Plant Additions'!$C$7:$C$91,0),MATCH(Calculation!$G456,'Gen. Plant Additions'!$E$5:$AD$5,0))</f>
        <v>20357</v>
      </c>
      <c r="BN456" s="393">
        <f t="shared" si="849"/>
        <v>0.84986399951546387</v>
      </c>
      <c r="BO456" s="46">
        <f t="shared" si="837"/>
        <v>17300.681438136296</v>
      </c>
      <c r="BP456" s="46">
        <f t="shared" si="838"/>
        <v>-3056.3185618637035</v>
      </c>
      <c r="BQ456" s="129">
        <f>INDEX('Dist Plant Depreciation'!$D$7:$AC$94,MATCH($C456,'Dist Plant Depreciation'!$C$7:$C$94,0),MATCH(Calculation!$G456,'Dist Plant Depreciation'!$D$5:$AC$5,0))</f>
        <v>1070361</v>
      </c>
      <c r="BR456" s="129">
        <f>INDEX('Gen. Plant Depreciation'!$D$7:$AC$94,MATCH($C456,'Gen. Plant Depreciation'!$C$7:$C$94,0),MATCH(Calculation!$G456,'Gen. Plant Depreciation'!$D$5:$AC$5,0))</f>
        <v>127549</v>
      </c>
      <c r="BS456" s="129"/>
      <c r="BT456" s="129"/>
      <c r="BU456" s="129"/>
      <c r="BV456" s="129"/>
      <c r="BW456" s="129"/>
      <c r="BX456" s="129"/>
      <c r="BY456" s="129">
        <f>INDEX('Gross Dx Plant'!$D$7:$AC$91,MATCH($C456,'Gross Dx Plant'!$C$7:$C$91,0),MATCH(Calculation!$G456,'Gross Dx Plant'!$D$5:$AC$5,0))</f>
        <v>1852197</v>
      </c>
      <c r="BZ456" s="129">
        <f>INDEX('Gross Gen Plant'!$D$7:$AC$91,MATCH($C456,'Gross Gen Plant'!$C$7:$C$91,0),MATCH(Calculation!$G456,'Gross Gen Plant'!$D$5:$AC$5,0))</f>
        <v>327207</v>
      </c>
      <c r="CA456" s="129">
        <f t="shared" si="755"/>
        <v>981494</v>
      </c>
      <c r="CB456" s="129"/>
      <c r="CC456" s="133">
        <v>2001</v>
      </c>
      <c r="CD456" s="129"/>
      <c r="CE456" s="129"/>
      <c r="CF456" s="129"/>
      <c r="CG456" s="137"/>
      <c r="CH456" s="129">
        <f t="shared" si="850"/>
        <v>84762</v>
      </c>
      <c r="CI456" s="46">
        <f t="shared" si="859"/>
        <v>81705.681438136293</v>
      </c>
      <c r="CJ456" s="46">
        <f t="shared" si="851"/>
        <v>231.16787963662622</v>
      </c>
      <c r="CK456" s="443">
        <v>0.96969696969696972</v>
      </c>
      <c r="CL456" s="46">
        <f>+CL453*CK456+CJ454*CK455+CJ455*CK453+CJ456</f>
        <v>5753.4649119725109</v>
      </c>
      <c r="CM456" s="134">
        <f t="shared" si="852"/>
        <v>3.099447405162381E-2</v>
      </c>
      <c r="CN456" s="135">
        <f t="shared" si="853"/>
        <v>9.9639178287014157E-3</v>
      </c>
      <c r="CO456" s="135">
        <f>+(CN456+CN455+CN454)/3</f>
        <v>1.0016582755582745E-2</v>
      </c>
      <c r="CP456" s="134">
        <f>VLOOKUP($H456,RoR!$E:$F,2,FALSE)</f>
        <v>7.0824999999999999E-2</v>
      </c>
      <c r="CQ456" s="135">
        <v>2.2454495382290052E-2</v>
      </c>
      <c r="CR456" s="135">
        <f t="shared" si="860"/>
        <v>4.8370504617709947E-2</v>
      </c>
      <c r="CS456" s="135">
        <f>+$CR$2-CO456</f>
        <v>2.088535885295088E-2</v>
      </c>
      <c r="CT456" s="135">
        <f>+((DF454/DF453-1)+(DF455/DF454-1)+(DF456/DF455-1))/3</f>
        <v>2.3947275901631187E-2</v>
      </c>
      <c r="CU456" s="139">
        <f t="shared" si="854"/>
        <v>0.87050000000000005</v>
      </c>
      <c r="CV456" s="335">
        <f t="shared" si="855"/>
        <v>0.72406708481540816</v>
      </c>
      <c r="CW456" s="335">
        <f t="shared" si="856"/>
        <v>0.62201729615248857</v>
      </c>
      <c r="CX456" s="335">
        <f t="shared" si="857"/>
        <v>0.9352469954311422</v>
      </c>
      <c r="CY456" s="335">
        <f t="shared" si="858"/>
        <v>0.42121864641655071</v>
      </c>
      <c r="CZ456" s="336">
        <f>INDEX('State Tax Lookup'!$D$7:$Z$91,MATCH(Calculation!$C456,'State Tax Lookup'!$B$7:$B$91,0),MATCH($H456,'State Tax Lookup'!$D$6:$Z$6,0))</f>
        <v>0.35</v>
      </c>
      <c r="DA456" s="303">
        <v>0.37</v>
      </c>
      <c r="DB456" s="57">
        <f t="shared" ref="DB456:DB477" si="861">+(DF456*CS456-CT456)*CU456/(1-CZ456)</f>
        <v>9.8539637021897857</v>
      </c>
      <c r="DC456" s="56"/>
      <c r="DD456" s="303">
        <f>VLOOKUP($H456,RoR!$E:$F,2,FALSE)</f>
        <v>7.0824999999999999E-2</v>
      </c>
      <c r="DE456" s="304">
        <f>HLOOKUP($H456,'GDP-PI'!$D$8:$CQ$11,3,FALSE)</f>
        <v>2.2454495382290052E-2</v>
      </c>
      <c r="DF456" s="303">
        <f>VLOOKUP(H456,'HW Dx Data'!$E:$F,2,FALSE)</f>
        <v>353.44738017483138</v>
      </c>
      <c r="DG456" s="89"/>
      <c r="DH456" s="89"/>
      <c r="DI456" s="89"/>
      <c r="DJ456" s="56"/>
      <c r="DK456" s="53">
        <f>HLOOKUP(H456,'GDP-PI'!$8:$9,2,FALSE)</f>
        <v>79.822000000000003</v>
      </c>
      <c r="DL456" s="298"/>
      <c r="EC456"/>
    </row>
    <row r="457" spans="1:133" s="126" customFormat="1" ht="21" customHeight="1" x14ac:dyDescent="0.4">
      <c r="A457" s="233" t="s">
        <v>210</v>
      </c>
      <c r="B457" s="127" t="s">
        <v>210</v>
      </c>
      <c r="C457" s="127">
        <v>4057126</v>
      </c>
      <c r="D457" s="127" t="s">
        <v>206</v>
      </c>
      <c r="E457" s="127"/>
      <c r="F457" s="127"/>
      <c r="G457" s="127" t="s">
        <v>158</v>
      </c>
      <c r="H457" s="128">
        <v>2002</v>
      </c>
      <c r="I457" s="129"/>
      <c r="J457" s="125"/>
      <c r="K457" s="125"/>
      <c r="L457" s="47"/>
      <c r="M457" s="125"/>
      <c r="N457" s="125"/>
      <c r="O457" s="125"/>
      <c r="P457" s="47"/>
      <c r="Q457" s="47"/>
      <c r="R457" s="386"/>
      <c r="S457" s="119"/>
      <c r="T457" s="47"/>
      <c r="U457" s="47"/>
      <c r="V457" s="125"/>
      <c r="W457" s="125"/>
      <c r="X457" s="125"/>
      <c r="Y457" s="125"/>
      <c r="Z457" s="125"/>
      <c r="AA457" s="125"/>
      <c r="AB457" s="125"/>
      <c r="AC457" s="125">
        <f t="shared" si="848"/>
        <v>56713.093051917996</v>
      </c>
      <c r="AD457" s="129"/>
      <c r="AE457" s="133">
        <v>6022.9870121406893</v>
      </c>
      <c r="AF457" s="134">
        <v>2.6513533432509073E-2</v>
      </c>
      <c r="AG457" s="61"/>
      <c r="AH457" s="134"/>
      <c r="AI457" s="134"/>
      <c r="AJ457" s="129">
        <f t="shared" si="796"/>
        <v>56713.093051917996</v>
      </c>
      <c r="AK457" s="134"/>
      <c r="AL457" s="129"/>
      <c r="AM457" s="129"/>
      <c r="AN457" s="129"/>
      <c r="AO457" s="129"/>
      <c r="AP457" s="133"/>
      <c r="AQ457" s="134"/>
      <c r="AR457" s="93"/>
      <c r="AS457" s="93"/>
      <c r="AT457" s="93"/>
      <c r="AU457" s="93"/>
      <c r="AV457" s="93"/>
      <c r="AW457" s="134"/>
      <c r="AX457" s="62"/>
      <c r="AY457" s="93"/>
      <c r="AZ457" s="93"/>
      <c r="BA457" s="93"/>
      <c r="BB457" s="234">
        <f>IFERROR(INDEX('Total Customers'!$E$7:$AA$91,MATCH($C457,'Total Customers'!$C$7:$C$91,0),MATCH($G457,'Total Customers'!$E$5:$AA$5,0)),"NA")</f>
        <v>1252052</v>
      </c>
      <c r="BC457" s="411">
        <f t="shared" si="846"/>
        <v>3.4713183608117468E-2</v>
      </c>
      <c r="BD457" s="92"/>
      <c r="BE457" s="281" t="str">
        <f t="shared" si="839"/>
        <v>DTE GAS COMPANY</v>
      </c>
      <c r="BF457" s="290">
        <f t="shared" si="840"/>
        <v>4057126</v>
      </c>
      <c r="BG457" s="46" t="str">
        <f t="shared" si="841"/>
        <v>MI</v>
      </c>
      <c r="BH457" s="46"/>
      <c r="BI457" s="46" t="str">
        <f t="shared" si="842"/>
        <v>2002 Y</v>
      </c>
      <c r="BJ457" s="129"/>
      <c r="BK457" s="129"/>
      <c r="BL457" s="129">
        <f>INDEX('Dist. Plant Gas Additions'!$E$7:$AD$91,MATCH($C457,'Dist. Plant Gas Additions'!$C$7:$C$91,0),MATCH(Calculation!$G457,'Dist. Plant Gas Additions'!$E$5:$AD$5,0))</f>
        <v>56512</v>
      </c>
      <c r="BM457" s="129">
        <f>INDEX('Gen. Plant Additions'!$E$7:$AD$91,MATCH($C457,'Gen. Plant Additions'!$C$7:$C$91,0),MATCH(Calculation!$G457,'Gen. Plant Additions'!$E$5:$AD$5,0))</f>
        <v>12581</v>
      </c>
      <c r="BN457" s="393">
        <f t="shared" si="849"/>
        <v>0.85160268084470414</v>
      </c>
      <c r="BO457" s="46">
        <f t="shared" si="837"/>
        <v>10714.013327707224</v>
      </c>
      <c r="BP457" s="46">
        <f t="shared" si="838"/>
        <v>-1866.9866722927763</v>
      </c>
      <c r="BQ457" s="129">
        <f>INDEX('Dist Plant Depreciation'!$D$7:$AC$94,MATCH($C457,'Dist Plant Depreciation'!$C$7:$C$94,0),MATCH(Calculation!$G457,'Dist Plant Depreciation'!$D$5:$AC$5,0))</f>
        <v>1126677</v>
      </c>
      <c r="BR457" s="129">
        <f>INDEX('Gen. Plant Depreciation'!$D$7:$AC$94,MATCH($C457,'Gen. Plant Depreciation'!$C$7:$C$94,0),MATCH(Calculation!$G457,'Gen. Plant Depreciation'!$D$5:$AC$5,0))</f>
        <v>145195</v>
      </c>
      <c r="BS457" s="129"/>
      <c r="BT457" s="129"/>
      <c r="BU457" s="129"/>
      <c r="BV457" s="129"/>
      <c r="BW457" s="129"/>
      <c r="BX457" s="129"/>
      <c r="BY457" s="129">
        <f>INDEX('Gross Dx Plant'!$D$7:$AC$91,MATCH($C457,'Gross Dx Plant'!$C$7:$C$91,0),MATCH(Calculation!$G457,'Gross Dx Plant'!$D$5:$AC$5,0))</f>
        <v>1903177</v>
      </c>
      <c r="BZ457" s="129">
        <f>INDEX('Gross Gen Plant'!$D$7:$AC$91,MATCH($C457,'Gross Gen Plant'!$C$7:$C$91,0),MATCH(Calculation!$G457,'Gross Gen Plant'!$D$5:$AC$5,0))</f>
        <v>331641</v>
      </c>
      <c r="CA457" s="129">
        <f t="shared" si="755"/>
        <v>962946</v>
      </c>
      <c r="CB457" s="129"/>
      <c r="CC457" s="133">
        <v>2002</v>
      </c>
      <c r="CD457" s="129"/>
      <c r="CE457" s="129"/>
      <c r="CF457" s="129"/>
      <c r="CG457" s="137"/>
      <c r="CH457" s="129">
        <f t="shared" si="850"/>
        <v>69093</v>
      </c>
      <c r="CI457" s="46">
        <f t="shared" si="859"/>
        <v>67226.013327707216</v>
      </c>
      <c r="CJ457" s="46">
        <f t="shared" si="851"/>
        <v>186.04221552121879</v>
      </c>
      <c r="CK457" s="443">
        <v>0.95918367346938771</v>
      </c>
      <c r="CL457" s="46">
        <f>+CL453*CK457+CJ454*CK456+CJ455*CK455+CJ456*CK454+CJ457</f>
        <v>5874.837708409349</v>
      </c>
      <c r="CM457" s="134">
        <f t="shared" si="852"/>
        <v>2.0876168838841112E-2</v>
      </c>
      <c r="CN457" s="135">
        <f t="shared" si="853"/>
        <v>1.124008229368161E-2</v>
      </c>
      <c r="CO457" s="135">
        <f t="shared" ref="CO457:CO477" si="862">+(CN457+CN456+CN455)/3</f>
        <v>1.046294682047331E-2</v>
      </c>
      <c r="CP457" s="134">
        <f>VLOOKUP($H457,RoR!$E:$F,2,FALSE)</f>
        <v>6.4916666666666664E-2</v>
      </c>
      <c r="CQ457" s="135">
        <v>1.5246423291824351E-2</v>
      </c>
      <c r="CR457" s="135">
        <f t="shared" si="860"/>
        <v>4.9670243374842313E-2</v>
      </c>
      <c r="CS457" s="135">
        <f t="shared" ref="CS457:CS477" si="863">+$CR$2-CO457</f>
        <v>2.0438994788060313E-2</v>
      </c>
      <c r="CT457" s="135">
        <f t="shared" ref="CT457:CT477" si="864">+((DF455/DF454-1)+(DF456/DF455-1)+(DF457/DF456-1))/3</f>
        <v>2.5243621214759093E-2</v>
      </c>
      <c r="CU457" s="139">
        <f t="shared" si="854"/>
        <v>0.87050000000000005</v>
      </c>
      <c r="CV457" s="335">
        <f t="shared" si="855"/>
        <v>0.78996741384417901</v>
      </c>
      <c r="CW457" s="335">
        <f t="shared" si="856"/>
        <v>0.58989088575096271</v>
      </c>
      <c r="CX457" s="335">
        <f t="shared" si="857"/>
        <v>0.91920675783645744</v>
      </c>
      <c r="CY457" s="335">
        <f t="shared" si="858"/>
        <v>0.42834536472275586</v>
      </c>
      <c r="CZ457" s="336">
        <f>INDEX('State Tax Lookup'!$D$7:$Z$91,MATCH(Calculation!$C457,'State Tax Lookup'!$B$7:$B$91,0),MATCH($H457,'State Tax Lookup'!$D$6:$Z$6,0))</f>
        <v>0.35</v>
      </c>
      <c r="DA457" s="303">
        <v>0.37</v>
      </c>
      <c r="DB457" s="57">
        <f t="shared" si="861"/>
        <v>9.8572067301396906</v>
      </c>
      <c r="DC457" s="56">
        <f t="shared" ref="DC457:DC477" si="865">LN(DB457/DB456)</f>
        <v>3.290548362209722E-4</v>
      </c>
      <c r="DD457" s="303">
        <f>VLOOKUP($H457,RoR!$E:$F,2,FALSE)</f>
        <v>6.4916666666666664E-2</v>
      </c>
      <c r="DE457" s="304">
        <f>HLOOKUP($H457,'GDP-PI'!$D$8:$CQ$11,3,FALSE)</f>
        <v>1.5246423291824351E-2</v>
      </c>
      <c r="DF457" s="303">
        <f>VLOOKUP(H457,'HW Dx Data'!$E:$F,2,FALSE)</f>
        <v>361.34816573413599</v>
      </c>
      <c r="DG457" s="89"/>
      <c r="DH457" s="89"/>
      <c r="DI457" s="89"/>
      <c r="DJ457" s="56"/>
      <c r="DK457" s="53">
        <f>HLOOKUP(H457,'GDP-PI'!$8:$9,2,FALSE)</f>
        <v>81.039000000000001</v>
      </c>
      <c r="DL457" s="355">
        <f>LN(DK457/DK456)</f>
        <v>1.513136459537477E-2</v>
      </c>
      <c r="EC457"/>
    </row>
    <row r="458" spans="1:133" s="126" customFormat="1" ht="21" customHeight="1" x14ac:dyDescent="0.4">
      <c r="A458" s="233" t="s">
        <v>210</v>
      </c>
      <c r="B458" s="127" t="s">
        <v>210</v>
      </c>
      <c r="C458" s="127">
        <v>4057126</v>
      </c>
      <c r="D458" s="127" t="s">
        <v>206</v>
      </c>
      <c r="E458" s="127"/>
      <c r="F458" s="127"/>
      <c r="G458" s="127" t="s">
        <v>159</v>
      </c>
      <c r="H458" s="128">
        <v>2003</v>
      </c>
      <c r="I458" s="129"/>
      <c r="J458" s="125"/>
      <c r="K458" s="125"/>
      <c r="L458" s="47"/>
      <c r="M458" s="125"/>
      <c r="N458" s="125"/>
      <c r="O458" s="125"/>
      <c r="P458" s="59"/>
      <c r="Q458" s="59"/>
      <c r="R458" s="386"/>
      <c r="S458" s="119"/>
      <c r="T458" s="59"/>
      <c r="U458" s="59"/>
      <c r="V458" s="125"/>
      <c r="W458" s="125"/>
      <c r="X458" s="125"/>
      <c r="Y458" s="125"/>
      <c r="Z458" s="125"/>
      <c r="AA458" s="125"/>
      <c r="AB458" s="125"/>
      <c r="AC458" s="125">
        <f t="shared" si="848"/>
        <v>58360.199409243811</v>
      </c>
      <c r="AD458" s="129"/>
      <c r="AE458" s="133">
        <v>6175.9798495226451</v>
      </c>
      <c r="AF458" s="134">
        <v>2.5084232328173889E-2</v>
      </c>
      <c r="AG458" s="61"/>
      <c r="AH458" s="134"/>
      <c r="AI458" s="134"/>
      <c r="AJ458" s="129">
        <f t="shared" si="796"/>
        <v>58360.199409243811</v>
      </c>
      <c r="AK458" s="134"/>
      <c r="AL458" s="129"/>
      <c r="AM458" s="129"/>
      <c r="AN458" s="129"/>
      <c r="AO458" s="129"/>
      <c r="AP458" s="133"/>
      <c r="AQ458" s="134"/>
      <c r="AR458" s="93"/>
      <c r="AS458" s="93"/>
      <c r="AT458" s="93"/>
      <c r="AU458" s="93"/>
      <c r="AV458" s="93"/>
      <c r="AW458" s="134"/>
      <c r="AX458" s="62"/>
      <c r="AY458" s="93"/>
      <c r="AZ458" s="93"/>
      <c r="BA458" s="93"/>
      <c r="BB458" s="234">
        <f>IFERROR(INDEX('Total Customers'!$E$7:$AA$91,MATCH($C458,'Total Customers'!$C$7:$C$91,0),MATCH($G458,'Total Customers'!$E$5:$AA$5,0)),"NA")</f>
        <v>1254062</v>
      </c>
      <c r="BC458" s="411">
        <f t="shared" si="846"/>
        <v>1.604077413069185E-3</v>
      </c>
      <c r="BD458" s="92"/>
      <c r="BE458" s="281" t="str">
        <f t="shared" si="839"/>
        <v>DTE GAS COMPANY</v>
      </c>
      <c r="BF458" s="290">
        <f t="shared" si="840"/>
        <v>4057126</v>
      </c>
      <c r="BG458" s="46" t="str">
        <f t="shared" si="841"/>
        <v>MI</v>
      </c>
      <c r="BH458" s="46"/>
      <c r="BI458" s="46" t="str">
        <f t="shared" si="842"/>
        <v>2003 Y</v>
      </c>
      <c r="BJ458" s="129"/>
      <c r="BK458" s="129"/>
      <c r="BL458" s="129">
        <f>INDEX('Dist. Plant Gas Additions'!$E$7:$AD$91,MATCH($C458,'Dist. Plant Gas Additions'!$C$7:$C$91,0),MATCH(Calculation!$G458,'Dist. Plant Gas Additions'!$E$5:$AD$5,0))</f>
        <v>62464</v>
      </c>
      <c r="BM458" s="129">
        <f>INDEX('Gen. Plant Additions'!$E$7:$AD$91,MATCH($C458,'Gen. Plant Additions'!$C$7:$C$91,0),MATCH(Calculation!$G458,'Gen. Plant Additions'!$E$5:$AD$5,0))</f>
        <v>6623</v>
      </c>
      <c r="BN458" s="393">
        <f t="shared" si="849"/>
        <v>0.88813823402857983</v>
      </c>
      <c r="BO458" s="46">
        <f t="shared" si="837"/>
        <v>5882.1395239712838</v>
      </c>
      <c r="BP458" s="46">
        <f t="shared" si="838"/>
        <v>-740.86047602871622</v>
      </c>
      <c r="BQ458" s="129">
        <f>INDEX('Dist Plant Depreciation'!$D$7:$AC$94,MATCH($C458,'Dist Plant Depreciation'!$C$7:$C$94,0),MATCH(Calculation!$G458,'Dist Plant Depreciation'!$D$5:$AC$5,0))</f>
        <v>1184337</v>
      </c>
      <c r="BR458" s="129">
        <f>INDEX('Gen. Plant Depreciation'!$D$7:$AC$94,MATCH($C458,'Gen. Plant Depreciation'!$C$7:$C$94,0),MATCH(Calculation!$G458,'Gen. Plant Depreciation'!$D$5:$AC$5,0))</f>
        <v>137328</v>
      </c>
      <c r="BS458" s="129"/>
      <c r="BT458" s="129"/>
      <c r="BU458" s="129"/>
      <c r="BV458" s="129"/>
      <c r="BW458" s="129"/>
      <c r="BX458" s="129"/>
      <c r="BY458" s="129">
        <f>INDEX('Gross Dx Plant'!$D$7:$AC$91,MATCH($C458,'Gross Dx Plant'!$C$7:$C$91,0),MATCH(Calculation!$G458,'Gross Dx Plant'!$D$5:$AC$5,0))</f>
        <v>1960876</v>
      </c>
      <c r="BZ458" s="129">
        <f>INDEX('Gross Gen Plant'!$D$7:$AC$91,MATCH($C458,'Gross Gen Plant'!$C$7:$C$91,0),MATCH(Calculation!$G458,'Gross Gen Plant'!$D$5:$AC$5,0))</f>
        <v>246974</v>
      </c>
      <c r="CA458" s="129">
        <f t="shared" si="755"/>
        <v>886185</v>
      </c>
      <c r="CB458" s="129"/>
      <c r="CC458" s="133">
        <v>2003</v>
      </c>
      <c r="CD458" s="129"/>
      <c r="CE458" s="129"/>
      <c r="CF458" s="129"/>
      <c r="CG458" s="137"/>
      <c r="CH458" s="129">
        <f t="shared" si="850"/>
        <v>69087</v>
      </c>
      <c r="CI458" s="46">
        <f t="shared" si="859"/>
        <v>68346.139523971287</v>
      </c>
      <c r="CJ458" s="46">
        <f t="shared" si="851"/>
        <v>185.10300405450343</v>
      </c>
      <c r="CK458" s="443">
        <v>0.94845360824742264</v>
      </c>
      <c r="CL458" s="46">
        <f>+CL453*CK458+CJ454*CK457+CJ455*CK456+CJ456*CK455+CJ457*CK454+CJ458</f>
        <v>5994.9636375481768</v>
      </c>
      <c r="CM458" s="134">
        <f t="shared" si="852"/>
        <v>2.0241287449758866E-2</v>
      </c>
      <c r="CN458" s="135">
        <f t="shared" si="853"/>
        <v>1.1060233174214541E-2</v>
      </c>
      <c r="CO458" s="135">
        <f t="shared" si="862"/>
        <v>1.075474443219919E-2</v>
      </c>
      <c r="CP458" s="134">
        <f>VLOOKUP($H458,RoR!$E:$F,2,FALSE)</f>
        <v>5.6666666666666671E-2</v>
      </c>
      <c r="CQ458" s="135">
        <v>1.8855119140166909E-2</v>
      </c>
      <c r="CR458" s="135">
        <f t="shared" si="860"/>
        <v>3.7811547526499761E-2</v>
      </c>
      <c r="CS458" s="135">
        <f t="shared" si="863"/>
        <v>2.0147197176334435E-2</v>
      </c>
      <c r="CT458" s="135">
        <f t="shared" si="864"/>
        <v>2.1375012817671957E-2</v>
      </c>
      <c r="CU458" s="139">
        <f t="shared" si="854"/>
        <v>0.87050000000000005</v>
      </c>
      <c r="CV458" s="335">
        <f t="shared" si="855"/>
        <v>0.90497737556561086</v>
      </c>
      <c r="CW458" s="335">
        <f t="shared" si="856"/>
        <v>0.5338235294117647</v>
      </c>
      <c r="CX458" s="335">
        <f t="shared" si="857"/>
        <v>0.88972433127405692</v>
      </c>
      <c r="CY458" s="335">
        <f t="shared" si="858"/>
        <v>0.42982423775949252</v>
      </c>
      <c r="CZ458" s="336">
        <f>INDEX('State Tax Lookup'!$D$7:$Z$91,MATCH(Calculation!$C458,'State Tax Lookup'!$B$7:$B$91,0),MATCH($H458,'State Tax Lookup'!$D$6:$Z$6,0))</f>
        <v>0.35</v>
      </c>
      <c r="DA458" s="303">
        <v>0.37</v>
      </c>
      <c r="DB458" s="57">
        <f t="shared" si="861"/>
        <v>9.933925379028933</v>
      </c>
      <c r="DC458" s="56">
        <f t="shared" si="865"/>
        <v>7.7528695925940588E-3</v>
      </c>
      <c r="DD458" s="303">
        <f>VLOOKUP($H458,RoR!$E:$F,2,FALSE)</f>
        <v>5.6666666666666671E-2</v>
      </c>
      <c r="DE458" s="304">
        <f>HLOOKUP($H458,'GDP-PI'!$D$8:$CQ$11,3,FALSE)</f>
        <v>1.8855119140166909E-2</v>
      </c>
      <c r="DF458" s="303">
        <f>VLOOKUP(H458,'HW Dx Data'!$E:$F,2,FALSE)</f>
        <v>369.23301095560191</v>
      </c>
      <c r="DG458" s="89">
        <f ca="1">VLOOKUP(CC458,'ECI - Input Price'!M$13:N$33,2,FALSE)</f>
        <v>89.25</v>
      </c>
      <c r="DH458" s="89"/>
      <c r="DI458" s="89"/>
      <c r="DJ458" s="56"/>
      <c r="DK458" s="53">
        <f>HLOOKUP(H458,'GDP-PI'!$8:$9,2,FALSE)</f>
        <v>82.566999999999993</v>
      </c>
      <c r="DL458" s="355">
        <f t="shared" ref="DL458:DL477" si="866">LN(DK458/DK457)</f>
        <v>1.8679564681853753E-2</v>
      </c>
      <c r="EC458"/>
    </row>
    <row r="459" spans="1:133" s="126" customFormat="1" ht="21" customHeight="1" x14ac:dyDescent="0.4">
      <c r="A459" s="233" t="s">
        <v>210</v>
      </c>
      <c r="B459" s="127" t="s">
        <v>210</v>
      </c>
      <c r="C459" s="127">
        <v>4057126</v>
      </c>
      <c r="D459" s="127" t="s">
        <v>206</v>
      </c>
      <c r="E459" s="127"/>
      <c r="F459" s="127"/>
      <c r="G459" s="127" t="s">
        <v>160</v>
      </c>
      <c r="H459" s="128">
        <v>2004</v>
      </c>
      <c r="I459" s="129"/>
      <c r="J459" s="125">
        <f>IFERROR(INDEX('Labor Expenditures'!$E$7:$W$91,MATCH($C459,'Labor Expenditures'!$C$7:$C$91,0),MATCH($G459,'Labor Expenditures'!$E$5:$W$5,0)),"NA")</f>
        <v>98067.10555946338</v>
      </c>
      <c r="K459" s="125">
        <f t="shared" ref="K459:K477" ca="1" si="867">+J459/DG459</f>
        <v>1039.396985261933</v>
      </c>
      <c r="L459" s="47"/>
      <c r="M459" s="131"/>
      <c r="N459" s="131"/>
      <c r="O459" s="131"/>
      <c r="P459" s="59"/>
      <c r="Q459" s="59"/>
      <c r="R459" s="386"/>
      <c r="S459" s="119"/>
      <c r="T459" s="59"/>
      <c r="U459" s="59"/>
      <c r="V459" s="125">
        <f>IFERROR(INDEX('Non-Labor Expenditures'!$E$7:$AA$91,MATCH($C459,'Non-Labor Expenditures'!$C$7:$C$91,0),MATCH($G459,'Non-Labor Expenditures'!$E$5:$AA$5,0)),"NA")</f>
        <v>142019.48525886529</v>
      </c>
      <c r="W459" s="125">
        <f t="shared" ref="W459:W477" si="868">+V459/DK459</f>
        <v>1675.1926827580892</v>
      </c>
      <c r="X459" s="125"/>
      <c r="Y459" s="125"/>
      <c r="Z459" s="125"/>
      <c r="AA459" s="125"/>
      <c r="AB459" s="125"/>
      <c r="AC459" s="125">
        <f t="shared" si="848"/>
        <v>65100.339383219238</v>
      </c>
      <c r="AD459" s="129"/>
      <c r="AE459" s="133">
        <v>6305.5623877903745</v>
      </c>
      <c r="AF459" s="134">
        <v>2.0764612540605694E-2</v>
      </c>
      <c r="AG459" s="59">
        <f t="shared" ref="AG459:AG477" si="869">+AF459*$AX459</f>
        <v>0</v>
      </c>
      <c r="AH459" s="134"/>
      <c r="AI459" s="134"/>
      <c r="AJ459" s="129">
        <f t="shared" si="796"/>
        <v>305186.93020154792</v>
      </c>
      <c r="AK459" s="134"/>
      <c r="AL459" s="129"/>
      <c r="AM459" s="129"/>
      <c r="AN459" s="129"/>
      <c r="AO459" s="129"/>
      <c r="AP459" s="133"/>
      <c r="AQ459" s="134"/>
      <c r="AR459" s="93">
        <f t="shared" ref="AR459:AR477" si="870">+J459/AJ459</f>
        <v>0.32133455221918927</v>
      </c>
      <c r="AS459" s="93">
        <f t="shared" ref="AS459:AS477" si="871">+V459/AJ459</f>
        <v>0.46535244862902375</v>
      </c>
      <c r="AT459" s="93">
        <f t="shared" ref="AT459:AT477" si="872">+AC459/AJ459</f>
        <v>0.21331299915178689</v>
      </c>
      <c r="AU459" s="93"/>
      <c r="AV459" s="93"/>
      <c r="AW459" s="134"/>
      <c r="AX459" s="62"/>
      <c r="AY459" s="93"/>
      <c r="AZ459" s="93"/>
      <c r="BA459" s="93"/>
      <c r="BB459" s="234">
        <f>IFERROR(INDEX('Total Customers'!$E$7:$AA$91,MATCH($C459,'Total Customers'!$C$7:$C$91,0),MATCH($G459,'Total Customers'!$E$5:$AA$5,0)),"NA")</f>
        <v>1250238</v>
      </c>
      <c r="BC459" s="411">
        <f t="shared" si="846"/>
        <v>-3.0539495843777457E-3</v>
      </c>
      <c r="BD459" s="92"/>
      <c r="BE459" s="281" t="str">
        <f t="shared" si="839"/>
        <v>DTE GAS COMPANY</v>
      </c>
      <c r="BF459" s="290">
        <f t="shared" si="840"/>
        <v>4057126</v>
      </c>
      <c r="BG459" s="46" t="str">
        <f t="shared" si="841"/>
        <v>MI</v>
      </c>
      <c r="BH459" s="46"/>
      <c r="BI459" s="46" t="str">
        <f t="shared" si="842"/>
        <v>2004 Y</v>
      </c>
      <c r="BJ459" s="129"/>
      <c r="BK459" s="129"/>
      <c r="BL459" s="129">
        <f>INDEX('Dist. Plant Gas Additions'!$E$7:$AD$91,MATCH($C459,'Dist. Plant Gas Additions'!$C$7:$C$91,0),MATCH(Calculation!$G459,'Dist. Plant Gas Additions'!$E$5:$AD$5,0))</f>
        <v>63639</v>
      </c>
      <c r="BM459" s="129">
        <f>INDEX('Gen. Plant Additions'!$E$7:$AD$91,MATCH($C459,'Gen. Plant Additions'!$C$7:$C$91,0),MATCH(Calculation!$G459,'Gen. Plant Additions'!$E$5:$AD$5,0))</f>
        <v>5118</v>
      </c>
      <c r="BN459" s="393">
        <f t="shared" si="849"/>
        <v>0.8950288239670765</v>
      </c>
      <c r="BO459" s="46">
        <f t="shared" si="837"/>
        <v>4580.7575210634977</v>
      </c>
      <c r="BP459" s="46">
        <f t="shared" si="838"/>
        <v>-537.24247893650227</v>
      </c>
      <c r="BQ459" s="129">
        <f>INDEX('Dist Plant Depreciation'!$D$7:$AC$94,MATCH($C459,'Dist Plant Depreciation'!$C$7:$C$94,0),MATCH(Calculation!$G459,'Dist Plant Depreciation'!$D$5:$AC$5,0))</f>
        <v>1247606</v>
      </c>
      <c r="BR459" s="129">
        <f>INDEX('Gen. Plant Depreciation'!$D$7:$AC$94,MATCH($C459,'Gen. Plant Depreciation'!$C$7:$C$94,0),MATCH(Calculation!$G459,'Gen. Plant Depreciation'!$D$5:$AC$5,0))</f>
        <v>141319</v>
      </c>
      <c r="BS459" s="129"/>
      <c r="BT459" s="129"/>
      <c r="BU459" s="129"/>
      <c r="BV459" s="129"/>
      <c r="BW459" s="129"/>
      <c r="BX459" s="129"/>
      <c r="BY459" s="129">
        <f>INDEX('Gross Dx Plant'!$D$7:$AC$91,MATCH($C459,'Gross Dx Plant'!$C$7:$C$91,0),MATCH(Calculation!$G459,'Gross Dx Plant'!$D$5:$AC$5,0))</f>
        <v>2019748</v>
      </c>
      <c r="BZ459" s="129">
        <f>INDEX('Gross Gen Plant'!$D$7:$AC$91,MATCH($C459,'Gross Gen Plant'!$C$7:$C$91,0),MATCH(Calculation!$G459,'Gross Gen Plant'!$D$5:$AC$5,0))</f>
        <v>236881</v>
      </c>
      <c r="CA459" s="129">
        <f t="shared" si="755"/>
        <v>867704</v>
      </c>
      <c r="CB459" s="129"/>
      <c r="CC459" s="133">
        <v>2004</v>
      </c>
      <c r="CD459" s="129"/>
      <c r="CE459" s="129"/>
      <c r="CF459" s="129"/>
      <c r="CG459" s="137"/>
      <c r="CH459" s="129">
        <f t="shared" si="850"/>
        <v>68757</v>
      </c>
      <c r="CI459" s="46">
        <f t="shared" si="859"/>
        <v>68219.757521063497</v>
      </c>
      <c r="CJ459" s="46">
        <f t="shared" si="851"/>
        <v>164.42965447717961</v>
      </c>
      <c r="CK459" s="443">
        <v>0.9375</v>
      </c>
      <c r="CL459" s="46">
        <f>+CL453*CK459+CJ454*CK458+CJ455*CK457+CJ456*CK456+CJ457*CK455+CJ458*CK454+CJ459</f>
        <v>6091.2346879909383</v>
      </c>
      <c r="CM459" s="134">
        <f t="shared" si="852"/>
        <v>1.5931078403287263E-2</v>
      </c>
      <c r="CN459" s="135">
        <f t="shared" si="853"/>
        <v>1.1369310667294347E-2</v>
      </c>
      <c r="CO459" s="135">
        <f t="shared" si="862"/>
        <v>1.1223208711730166E-2</v>
      </c>
      <c r="CP459" s="134">
        <f>VLOOKUP($H459,RoR!$E:$F,2,FALSE)</f>
        <v>5.6283333333333331E-2</v>
      </c>
      <c r="CQ459" s="135">
        <v>2.6778252812867276E-2</v>
      </c>
      <c r="CR459" s="135">
        <f t="shared" si="860"/>
        <v>2.9505080520466055E-2</v>
      </c>
      <c r="CS459" s="135">
        <f t="shared" si="863"/>
        <v>1.9678732896803459E-2</v>
      </c>
      <c r="CT459" s="135">
        <f t="shared" si="864"/>
        <v>5.5940039414565046E-2</v>
      </c>
      <c r="CU459" s="139">
        <f t="shared" si="854"/>
        <v>0.87050000000000005</v>
      </c>
      <c r="CV459" s="335">
        <f t="shared" si="855"/>
        <v>0.91114097628755619</v>
      </c>
      <c r="CW459" s="335">
        <f t="shared" si="856"/>
        <v>0.53081877405981637</v>
      </c>
      <c r="CX459" s="335">
        <f t="shared" si="857"/>
        <v>0.88811215519385678</v>
      </c>
      <c r="CY459" s="335">
        <f t="shared" si="858"/>
        <v>0.42953609753547711</v>
      </c>
      <c r="CZ459" s="336">
        <f>INDEX('State Tax Lookup'!$D$7:$Z$91,MATCH(Calculation!$C459,'State Tax Lookup'!$B$7:$B$91,0),MATCH($H459,'State Tax Lookup'!$D$6:$Z$6,0))</f>
        <v>0.35</v>
      </c>
      <c r="DA459" s="303">
        <v>0.37</v>
      </c>
      <c r="DB459" s="57">
        <f t="shared" si="861"/>
        <v>10.859171684624931</v>
      </c>
      <c r="DC459" s="56">
        <f t="shared" si="865"/>
        <v>8.9054334480148198E-2</v>
      </c>
      <c r="DD459" s="303">
        <f>VLOOKUP($H459,RoR!$E:$F,2,FALSE)</f>
        <v>5.6283333333333331E-2</v>
      </c>
      <c r="DE459" s="304">
        <f>HLOOKUP($H459,'GDP-PI'!$D$8:$CQ$11,3,FALSE)</f>
        <v>2.6778252812867276E-2</v>
      </c>
      <c r="DF459" s="303">
        <f>VLOOKUP(H459,'HW Dx Data'!$E:$F,2,FALSE)</f>
        <v>414.88719135228365</v>
      </c>
      <c r="DG459" s="89">
        <f ca="1">VLOOKUP(CC459,'ECI - Input Price'!M$13:N$33,2,FALSE)</f>
        <v>94.35</v>
      </c>
      <c r="DH459" s="89"/>
      <c r="DI459" s="89"/>
      <c r="DJ459" s="56">
        <f t="shared" ref="DJ459:DJ477" ca="1" si="873">LN(DG459/DG458)</f>
        <v>5.5569851154810786E-2</v>
      </c>
      <c r="DK459" s="53">
        <f>HLOOKUP(H459,'GDP-PI'!$8:$9,2,FALSE)</f>
        <v>84.778000000000006</v>
      </c>
      <c r="DL459" s="355">
        <f t="shared" si="866"/>
        <v>2.6425990216022755E-2</v>
      </c>
      <c r="EC459"/>
    </row>
    <row r="460" spans="1:133" s="126" customFormat="1" ht="21" customHeight="1" x14ac:dyDescent="0.4">
      <c r="A460" s="233" t="s">
        <v>210</v>
      </c>
      <c r="B460" s="127" t="s">
        <v>210</v>
      </c>
      <c r="C460" s="127">
        <v>4057126</v>
      </c>
      <c r="D460" s="127" t="s">
        <v>206</v>
      </c>
      <c r="E460" s="127"/>
      <c r="F460" s="127"/>
      <c r="G460" s="127" t="s">
        <v>161</v>
      </c>
      <c r="H460" s="128">
        <v>2005</v>
      </c>
      <c r="I460" s="129"/>
      <c r="J460" s="125">
        <f>IFERROR(INDEX('Labor Expenditures'!$E$7:$W$91,MATCH($C460,'Labor Expenditures'!$C$7:$C$91,0),MATCH($G460,'Labor Expenditures'!$E$5:$W$5,0)),"NA")</f>
        <v>108802.75649349975</v>
      </c>
      <c r="K460" s="125">
        <f t="shared" ca="1" si="867"/>
        <v>1096.5256386344142</v>
      </c>
      <c r="L460" s="47"/>
      <c r="M460" s="131">
        <f t="shared" ref="M460:M476" ca="1" si="874">LN(K460/K459)</f>
        <v>5.3505947721920168E-2</v>
      </c>
      <c r="N460" s="131"/>
      <c r="O460" s="131"/>
      <c r="P460" s="59"/>
      <c r="Q460" s="61"/>
      <c r="R460" s="387"/>
      <c r="S460" s="49">
        <v>100</v>
      </c>
      <c r="T460" s="46"/>
      <c r="U460" s="46"/>
      <c r="V460" s="125">
        <f>IFERROR(INDEX('Non-Labor Expenditures'!$E$7:$AA$91,MATCH($C460,'Non-Labor Expenditures'!$C$7:$C$91,0),MATCH($G460,'Non-Labor Expenditures'!$E$5:$AA$5,0)),"NA")</f>
        <v>157566.71295435604</v>
      </c>
      <c r="W460" s="125">
        <f t="shared" si="868"/>
        <v>1802.678423402657</v>
      </c>
      <c r="X460" s="131">
        <f>LN(W460/W459)</f>
        <v>7.3345378765756489E-2</v>
      </c>
      <c r="Y460" s="131"/>
      <c r="Z460" s="131"/>
      <c r="AA460" s="131"/>
      <c r="AB460" s="131"/>
      <c r="AC460" s="125">
        <f t="shared" si="848"/>
        <v>73994.529414669581</v>
      </c>
      <c r="AD460" s="129"/>
      <c r="AE460" s="133">
        <v>6438.9245699463636</v>
      </c>
      <c r="AF460" s="134">
        <v>2.0929371376219013E-2</v>
      </c>
      <c r="AG460" s="59">
        <f t="shared" si="869"/>
        <v>0</v>
      </c>
      <c r="AH460" s="134"/>
      <c r="AI460" s="134"/>
      <c r="AJ460" s="129">
        <f t="shared" si="796"/>
        <v>340363.99886252533</v>
      </c>
      <c r="AK460" s="134">
        <f>LN(AJ460/AJ459)</f>
        <v>0.109091155056411</v>
      </c>
      <c r="AL460" s="129"/>
      <c r="AM460" s="129"/>
      <c r="AN460" s="129"/>
      <c r="AO460" s="129"/>
      <c r="AP460" s="133"/>
      <c r="AQ460" s="134"/>
      <c r="AR460" s="93">
        <f t="shared" si="870"/>
        <v>0.31966587787519124</v>
      </c>
      <c r="AS460" s="93">
        <f t="shared" si="871"/>
        <v>0.46293589651353817</v>
      </c>
      <c r="AT460" s="93">
        <f t="shared" si="872"/>
        <v>0.21739822561127076</v>
      </c>
      <c r="AU460" s="93">
        <f t="shared" ref="AU460:AU476" ca="1" si="875">+(((AR460+AR459)/2)*M460+((AS459+AS460)/2)*X460+((AT459+AT460)/2)*AF460)</f>
        <v>5.5698755479824461E-2</v>
      </c>
      <c r="AV460" s="132">
        <v>100</v>
      </c>
      <c r="AW460" s="134"/>
      <c r="AX460" s="15"/>
      <c r="AY460" s="93"/>
      <c r="AZ460" s="93"/>
      <c r="BA460" s="93"/>
      <c r="BB460" s="234">
        <f>IFERROR(INDEX('Total Customers'!$E$7:$AA$91,MATCH($C460,'Total Customers'!$C$7:$C$91,0),MATCH($G460,'Total Customers'!$E$5:$AA$5,0)),"NA")</f>
        <v>1260591</v>
      </c>
      <c r="BC460" s="411">
        <f t="shared" si="846"/>
        <v>8.2467254235551301E-3</v>
      </c>
      <c r="BD460" s="92"/>
      <c r="BE460" s="281" t="str">
        <f t="shared" si="839"/>
        <v>DTE GAS COMPANY</v>
      </c>
      <c r="BF460" s="290">
        <f t="shared" si="840"/>
        <v>4057126</v>
      </c>
      <c r="BG460" s="46" t="str">
        <f t="shared" si="841"/>
        <v>MI</v>
      </c>
      <c r="BH460" s="46"/>
      <c r="BI460" s="46" t="str">
        <f t="shared" si="842"/>
        <v>2005 Y</v>
      </c>
      <c r="BJ460" s="129"/>
      <c r="BK460" s="129"/>
      <c r="BL460" s="129">
        <f>INDEX('Dist. Plant Gas Additions'!$E$7:$AD$91,MATCH($C460,'Dist. Plant Gas Additions'!$C$7:$C$91,0),MATCH(Calculation!$G460,'Dist. Plant Gas Additions'!$E$5:$AD$5,0))</f>
        <v>76034</v>
      </c>
      <c r="BM460" s="129">
        <f>INDEX('Gen. Plant Additions'!$E$7:$AD$91,MATCH($C460,'Gen. Plant Additions'!$C$7:$C$91,0),MATCH(Calculation!$G460,'Gen. Plant Additions'!$E$5:$AD$5,0))</f>
        <v>4437</v>
      </c>
      <c r="BN460" s="393">
        <f t="shared" si="849"/>
        <v>0.899152034948006</v>
      </c>
      <c r="BO460" s="46">
        <f t="shared" si="837"/>
        <v>3989.5375790643025</v>
      </c>
      <c r="BP460" s="46">
        <f t="shared" si="838"/>
        <v>-447.46242093569754</v>
      </c>
      <c r="BQ460" s="129">
        <f>INDEX('Dist Plant Depreciation'!$D$7:$AC$94,MATCH($C460,'Dist Plant Depreciation'!$C$7:$C$94,0),MATCH(Calculation!$G460,'Dist Plant Depreciation'!$D$5:$AC$5,0))</f>
        <v>1294393</v>
      </c>
      <c r="BR460" s="129">
        <f>INDEX('Gen. Plant Depreciation'!$D$7:$AC$94,MATCH($C460,'Gen. Plant Depreciation'!$C$7:$C$94,0),MATCH(Calculation!$G460,'Gen. Plant Depreciation'!$D$5:$AC$5,0))</f>
        <v>166820</v>
      </c>
      <c r="BS460" s="129"/>
      <c r="BT460" s="129"/>
      <c r="BU460" s="129"/>
      <c r="BV460" s="129"/>
      <c r="BW460" s="129"/>
      <c r="BX460" s="129"/>
      <c r="BY460" s="129">
        <f>INDEX('Gross Dx Plant'!$D$7:$AC$91,MATCH($C460,'Gross Dx Plant'!$C$7:$C$91,0),MATCH(Calculation!$G460,'Gross Dx Plant'!$D$5:$AC$5,0))</f>
        <v>2085843</v>
      </c>
      <c r="BZ460" s="129">
        <f>INDEX('Gross Gen Plant'!$D$7:$AC$91,MATCH($C460,'Gross Gen Plant'!$C$7:$C$91,0),MATCH(Calculation!$G460,'Gross Gen Plant'!$D$5:$AC$5,0))</f>
        <v>233946</v>
      </c>
      <c r="CA460" s="129">
        <f t="shared" si="755"/>
        <v>858576</v>
      </c>
      <c r="CB460" s="129"/>
      <c r="CC460" s="133">
        <v>2005</v>
      </c>
      <c r="CD460" s="129"/>
      <c r="CE460" s="129"/>
      <c r="CF460" s="129"/>
      <c r="CG460" s="137"/>
      <c r="CH460" s="129">
        <f t="shared" si="850"/>
        <v>80471</v>
      </c>
      <c r="CI460" s="46">
        <f t="shared" si="859"/>
        <v>80023.537579064301</v>
      </c>
      <c r="CJ460" s="46">
        <f t="shared" si="851"/>
        <v>170.55128066048053</v>
      </c>
      <c r="CK460" s="443">
        <v>0.9263157894736842</v>
      </c>
      <c r="CL460" s="46">
        <f>+CL453*CK460+CJ454*CK459+CJ455*CK458+CJ456*CK457+CJ457*CK456+CJ458*CK455+CJ459*CK454+CJ460</f>
        <v>6190.5714243027542</v>
      </c>
      <c r="CM460" s="134">
        <f t="shared" si="852"/>
        <v>1.6176595138477662E-2</v>
      </c>
      <c r="CN460" s="135">
        <f t="shared" si="853"/>
        <v>1.1691315143228079E-2</v>
      </c>
      <c r="CO460" s="135">
        <f t="shared" si="862"/>
        <v>1.1373619661578989E-2</v>
      </c>
      <c r="CP460" s="134">
        <f>VLOOKUP($H460,RoR!$E:$F,2,FALSE)</f>
        <v>5.2350000000000001E-2</v>
      </c>
      <c r="CQ460" s="135">
        <v>3.1010403642454332E-2</v>
      </c>
      <c r="CR460" s="135">
        <f t="shared" si="860"/>
        <v>2.1339596357545669E-2</v>
      </c>
      <c r="CS460" s="135">
        <f t="shared" si="863"/>
        <v>1.9528321946954634E-2</v>
      </c>
      <c r="CT460" s="135">
        <f t="shared" si="864"/>
        <v>9.2129610649277341E-2</v>
      </c>
      <c r="CU460" s="139">
        <f t="shared" si="854"/>
        <v>0.87050000000000005</v>
      </c>
      <c r="CV460" s="335">
        <f t="shared" si="855"/>
        <v>0.97959983346802826</v>
      </c>
      <c r="CW460" s="335">
        <f t="shared" si="856"/>
        <v>0.49744508118433622</v>
      </c>
      <c r="CX460" s="335">
        <f t="shared" si="857"/>
        <v>0.87010519444335932</v>
      </c>
      <c r="CY460" s="335">
        <f t="shared" si="858"/>
        <v>0.42399975420741998</v>
      </c>
      <c r="CZ460" s="336">
        <f>INDEX('State Tax Lookup'!$D$7:$Z$91,MATCH(Calculation!$C460,'State Tax Lookup'!$B$7:$B$91,0),MATCH($H460,'State Tax Lookup'!$D$6:$Z$6,0))</f>
        <v>0.35</v>
      </c>
      <c r="DA460" s="303">
        <v>0.37</v>
      </c>
      <c r="DB460" s="57">
        <f t="shared" si="861"/>
        <v>12.147706204877007</v>
      </c>
      <c r="DC460" s="56">
        <f t="shared" si="865"/>
        <v>0.1121303227785396</v>
      </c>
      <c r="DD460" s="303">
        <f>VLOOKUP($H460,RoR!$E:$F,2,FALSE)</f>
        <v>5.2350000000000001E-2</v>
      </c>
      <c r="DE460" s="304">
        <f>HLOOKUP($H460,'GDP-PI'!$D$8:$CQ$11,3,FALSE)</f>
        <v>3.1010403642454332E-2</v>
      </c>
      <c r="DF460" s="303">
        <f>VLOOKUP(H460,'HW Dx Data'!$E:$F,2,FALSE)</f>
        <v>469.20514034936258</v>
      </c>
      <c r="DG460" s="89">
        <f ca="1">VLOOKUP(CC460,'ECI - Input Price'!M$13:N$33,2,FALSE)</f>
        <v>99.224999999999994</v>
      </c>
      <c r="DH460" s="89"/>
      <c r="DI460" s="89"/>
      <c r="DJ460" s="56">
        <f t="shared" ca="1" si="873"/>
        <v>5.0378726854569796E-2</v>
      </c>
      <c r="DK460" s="53">
        <f>HLOOKUP(H460,'GDP-PI'!$8:$9,2,FALSE)</f>
        <v>87.406999999999996</v>
      </c>
      <c r="DL460" s="355">
        <f t="shared" si="866"/>
        <v>3.0539295810733648E-2</v>
      </c>
      <c r="EC460"/>
    </row>
    <row r="461" spans="1:133" s="126" customFormat="1" ht="21" customHeight="1" x14ac:dyDescent="0.4">
      <c r="A461" s="233" t="s">
        <v>210</v>
      </c>
      <c r="B461" s="127" t="s">
        <v>210</v>
      </c>
      <c r="C461" s="127">
        <v>4057126</v>
      </c>
      <c r="D461" s="127" t="s">
        <v>206</v>
      </c>
      <c r="E461" s="127"/>
      <c r="F461" s="127"/>
      <c r="G461" s="127" t="s">
        <v>162</v>
      </c>
      <c r="H461" s="128">
        <v>2006</v>
      </c>
      <c r="I461" s="129"/>
      <c r="J461" s="125">
        <f>IFERROR(INDEX('Labor Expenditures'!$E$7:$W$91,MATCH($C461,'Labor Expenditures'!$C$7:$C$91,0),MATCH($G461,'Labor Expenditures'!$E$5:$W$5,0)),"NA")</f>
        <v>100515.0921945108</v>
      </c>
      <c r="K461" s="125">
        <f t="shared" ca="1" si="867"/>
        <v>918.7851206079597</v>
      </c>
      <c r="L461" s="47"/>
      <c r="M461" s="131">
        <f t="shared" ca="1" si="874"/>
        <v>-0.17684967352361328</v>
      </c>
      <c r="N461" s="131"/>
      <c r="O461" s="131"/>
      <c r="P461" s="59">
        <f t="shared" ref="P461:P477" ca="1" si="876">+M461*$AX461</f>
        <v>-7.710406667694473E-3</v>
      </c>
      <c r="Q461" s="61"/>
      <c r="R461" s="387"/>
      <c r="S461" s="49">
        <f ca="1">+S460*EXP(T461)</f>
        <v>106.89424981089127</v>
      </c>
      <c r="T461" s="61">
        <f ca="1">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</f>
        <v>6.6669840239665407E-2</v>
      </c>
      <c r="U461" s="61"/>
      <c r="V461" s="125">
        <f>IFERROR(INDEX('Non-Labor Expenditures'!$E$7:$AA$91,MATCH($C461,'Non-Labor Expenditures'!$C$7:$C$91,0),MATCH($G461,'Non-Labor Expenditures'!$E$5:$AA$5,0)),"NA")</f>
        <v>145564.62712724859</v>
      </c>
      <c r="W461" s="125">
        <f t="shared" si="868"/>
        <v>1616.0559887120432</v>
      </c>
      <c r="X461" s="131">
        <f t="shared" ref="X461:X476" si="877">LN(W461/W460)</f>
        <v>-0.10928496593031591</v>
      </c>
      <c r="Y461" s="131">
        <f t="shared" ref="Y461:Y477" si="878">+X461*AX461</f>
        <v>-4.7646767630326525E-3</v>
      </c>
      <c r="Z461" s="131"/>
      <c r="AA461" s="131"/>
      <c r="AB461" s="131"/>
      <c r="AC461" s="125">
        <f t="shared" si="848"/>
        <v>72772.194016034511</v>
      </c>
      <c r="AD461" s="129"/>
      <c r="AE461" s="133">
        <v>6614.3338571023314</v>
      </c>
      <c r="AF461" s="134">
        <v>2.6877556694818141E-2</v>
      </c>
      <c r="AG461" s="59">
        <f t="shared" si="869"/>
        <v>1.1718251338665401E-3</v>
      </c>
      <c r="AH461" s="134"/>
      <c r="AI461" s="134"/>
      <c r="AJ461" s="129">
        <f t="shared" si="796"/>
        <v>318851.9133377939</v>
      </c>
      <c r="AK461" s="134">
        <f t="shared" ref="AK461:AK477" si="879">LN(AJ461/AJ460)</f>
        <v>-6.5288856343611507E-2</v>
      </c>
      <c r="AL461" s="129"/>
      <c r="AM461" s="129"/>
      <c r="AN461" s="129"/>
      <c r="AO461" s="129"/>
      <c r="AP461" s="133">
        <f t="shared" ref="AP461:AP477" si="880">+(AJ461*1000)/BB461</f>
        <v>253.02494392600454</v>
      </c>
      <c r="AQ461" s="134">
        <f>+BB461/Outputs!$B$14</f>
        <v>3.6335275380218399E-2</v>
      </c>
      <c r="AR461" s="93">
        <f t="shared" si="870"/>
        <v>0.31524067440054665</v>
      </c>
      <c r="AS461" s="93">
        <f t="shared" si="871"/>
        <v>0.45652737536825261</v>
      </c>
      <c r="AT461" s="93">
        <f t="shared" si="872"/>
        <v>0.22823195023120074</v>
      </c>
      <c r="AU461" s="93">
        <f t="shared" ca="1" si="875"/>
        <v>-0.10039453925680883</v>
      </c>
      <c r="AV461" s="132">
        <f ca="1">+AV460*EXP(AU461)</f>
        <v>90.448049456830461</v>
      </c>
      <c r="AW461" s="134">
        <f ca="1">LN(AV461/AV460)</f>
        <v>-0.10039453925680884</v>
      </c>
      <c r="AX461" s="56">
        <f>+AJ461/$AL$11</f>
        <v>4.3598648015965753E-2</v>
      </c>
      <c r="AY461" s="135">
        <f ca="1">+AX461*AW461</f>
        <v>-4.3770661797826651E-3</v>
      </c>
      <c r="AZ461" s="93"/>
      <c r="BA461" s="93"/>
      <c r="BB461" s="234">
        <f>IFERROR(INDEX('Total Customers'!$E$7:$AA$91,MATCH($C461,'Total Customers'!$C$7:$C$91,0),MATCH($G461,'Total Customers'!$E$5:$AA$5,0)),"NA")</f>
        <v>1260160</v>
      </c>
      <c r="BC461" s="411">
        <f t="shared" si="846"/>
        <v>-3.4196158541639781E-4</v>
      </c>
      <c r="BD461" s="92"/>
      <c r="BE461" s="281" t="str">
        <f t="shared" si="839"/>
        <v>DTE GAS COMPANY</v>
      </c>
      <c r="BF461" s="290">
        <f t="shared" si="840"/>
        <v>4057126</v>
      </c>
      <c r="BG461" s="46" t="str">
        <f t="shared" si="841"/>
        <v>MI</v>
      </c>
      <c r="BH461" s="46"/>
      <c r="BI461" s="46" t="str">
        <f t="shared" si="842"/>
        <v>2006 Y</v>
      </c>
      <c r="BJ461" s="129"/>
      <c r="BK461" s="129"/>
      <c r="BL461" s="129">
        <f>INDEX('Dist. Plant Gas Additions'!$E$7:$AD$91,MATCH($C461,'Dist. Plant Gas Additions'!$C$7:$C$91,0),MATCH(Calculation!$G461,'Dist. Plant Gas Additions'!$E$5:$AD$5,0))</f>
        <v>95326</v>
      </c>
      <c r="BM461" s="129">
        <f>INDEX('Gen. Plant Additions'!$E$7:$AD$91,MATCH($C461,'Gen. Plant Additions'!$C$7:$C$91,0),MATCH(Calculation!$G461,'Gen. Plant Additions'!$E$5:$AD$5,0))</f>
        <v>4114</v>
      </c>
      <c r="BN461" s="393">
        <f t="shared" si="849"/>
        <v>0.90397215856716695</v>
      </c>
      <c r="BO461" s="46">
        <f t="shared" si="837"/>
        <v>3718.9414603453247</v>
      </c>
      <c r="BP461" s="46">
        <f t="shared" si="838"/>
        <v>-395.05853965467531</v>
      </c>
      <c r="BQ461" s="129">
        <f>INDEX('Dist Plant Depreciation'!$D$7:$AC$94,MATCH($C461,'Dist Plant Depreciation'!$C$7:$C$94,0),MATCH(Calculation!$G461,'Dist Plant Depreciation'!$D$5:$AC$5,0))</f>
        <v>1253416</v>
      </c>
      <c r="BR461" s="129">
        <f>INDEX('Gen. Plant Depreciation'!$D$7:$AC$94,MATCH($C461,'Gen. Plant Depreciation'!$C$7:$C$94,0),MATCH(Calculation!$G461,'Gen. Plant Depreciation'!$D$5:$AC$5,0))</f>
        <v>182394</v>
      </c>
      <c r="BS461" s="129"/>
      <c r="BT461" s="129"/>
      <c r="BU461" s="129"/>
      <c r="BV461" s="129"/>
      <c r="BW461" s="129"/>
      <c r="BX461" s="129"/>
      <c r="BY461" s="129">
        <f>INDEX('Gross Dx Plant'!$D$7:$AC$91,MATCH($C461,'Gross Dx Plant'!$C$7:$C$91,0),MATCH(Calculation!$G461,'Gross Dx Plant'!$D$5:$AC$5,0))</f>
        <v>2175136</v>
      </c>
      <c r="BZ461" s="129">
        <f>INDEX('Gross Gen Plant'!$D$7:$AC$91,MATCH($C461,'Gross Gen Plant'!$C$7:$C$91,0),MATCH(Calculation!$G461,'Gross Gen Plant'!$D$5:$AC$5,0))</f>
        <v>231062</v>
      </c>
      <c r="CA461" s="129">
        <f t="shared" si="755"/>
        <v>970388</v>
      </c>
      <c r="CB461" s="134"/>
      <c r="CC461" s="133">
        <v>2006</v>
      </c>
      <c r="CD461" s="129"/>
      <c r="CE461" s="129"/>
      <c r="CF461" s="129"/>
      <c r="CG461" s="137"/>
      <c r="CH461" s="129">
        <f t="shared" si="850"/>
        <v>99440</v>
      </c>
      <c r="CI461" s="46">
        <f t="shared" si="859"/>
        <v>99044.941460345319</v>
      </c>
      <c r="CJ461" s="46">
        <f t="shared" si="851"/>
        <v>214.80810903097404</v>
      </c>
      <c r="CK461" s="443">
        <v>0.91489361702127658</v>
      </c>
      <c r="CL461" s="46">
        <f>+CL453*CK461+CJ454*CK460+CJ455*CK459+CJ456*CK458+CJ457*CK457+CJ458*CK456+CJ459*CK455+CJ460*CK454+CJ461</f>
        <v>6330.9705238676415</v>
      </c>
      <c r="CM461" s="134">
        <f t="shared" si="852"/>
        <v>2.2426149170021514E-2</v>
      </c>
      <c r="CN461" s="135">
        <f t="shared" si="853"/>
        <v>1.2019732003086836E-2</v>
      </c>
      <c r="CO461" s="135">
        <f t="shared" si="862"/>
        <v>1.1693452604536421E-2</v>
      </c>
      <c r="CP461" s="134">
        <f>VLOOKUP($H461,RoR!$E:$F,2,FALSE)</f>
        <v>5.5874999999999994E-2</v>
      </c>
      <c r="CQ461" s="135">
        <v>3.0512430354548314E-2</v>
      </c>
      <c r="CR461" s="135">
        <f t="shared" si="860"/>
        <v>2.536256964545168E-2</v>
      </c>
      <c r="CS461" s="135">
        <f t="shared" si="863"/>
        <v>1.9208489003997204E-2</v>
      </c>
      <c r="CT461" s="135">
        <f t="shared" si="864"/>
        <v>7.9087823893859641E-2</v>
      </c>
      <c r="CU461" s="139">
        <f t="shared" si="854"/>
        <v>0.87050000000000005</v>
      </c>
      <c r="CV461" s="335">
        <f t="shared" si="855"/>
        <v>0.91779957551769631</v>
      </c>
      <c r="CW461" s="335">
        <f t="shared" si="856"/>
        <v>0.52757270693512304</v>
      </c>
      <c r="CX461" s="335">
        <f t="shared" si="857"/>
        <v>0.88636824549024895</v>
      </c>
      <c r="CY461" s="335">
        <f t="shared" si="858"/>
        <v>0.42918482841932087</v>
      </c>
      <c r="CZ461" s="336">
        <f>INDEX('State Tax Lookup'!$D$7:$Z$91,MATCH(Calculation!$C461,'State Tax Lookup'!$B$7:$B$91,0),MATCH($H461,'State Tax Lookup'!$D$6:$Z$6,0))</f>
        <v>0.35</v>
      </c>
      <c r="DA461" s="303">
        <v>0.37</v>
      </c>
      <c r="DB461" s="57">
        <f t="shared" si="861"/>
        <v>11.755327421043505</v>
      </c>
      <c r="DC461" s="56">
        <f t="shared" si="865"/>
        <v>-3.28338268692972E-2</v>
      </c>
      <c r="DD461" s="303">
        <f>VLOOKUP($H461,RoR!$E:$F,2,FALSE)</f>
        <v>5.5874999999999994E-2</v>
      </c>
      <c r="DE461" s="304">
        <f>HLOOKUP($H461,'GDP-PI'!$D$8:$CQ$11,3,FALSE)</f>
        <v>3.0512430354548314E-2</v>
      </c>
      <c r="DF461" s="303">
        <f>VLOOKUP(H461,'HW Dx Data'!$E:$F,2,FALSE)</f>
        <v>461.08567272971823</v>
      </c>
      <c r="DG461" s="89">
        <f ca="1">VLOOKUP(CC461,'ECI - Input Price'!M$13:N$33,2,FALSE)</f>
        <v>109.4</v>
      </c>
      <c r="DH461" s="89"/>
      <c r="DI461" s="89"/>
      <c r="DJ461" s="56">
        <f t="shared" ca="1" si="873"/>
        <v>9.7620891318751846E-2</v>
      </c>
      <c r="DK461" s="53">
        <f>HLOOKUP(H461,'GDP-PI'!$8:$9,2,FALSE)</f>
        <v>90.073999999999998</v>
      </c>
      <c r="DL461" s="355">
        <f t="shared" si="866"/>
        <v>3.005618372545445E-2</v>
      </c>
      <c r="EC461"/>
    </row>
    <row r="462" spans="1:133" s="126" customFormat="1" ht="21" customHeight="1" x14ac:dyDescent="0.4">
      <c r="A462" s="233" t="s">
        <v>210</v>
      </c>
      <c r="B462" s="127" t="s">
        <v>210</v>
      </c>
      <c r="C462" s="127">
        <v>4057126</v>
      </c>
      <c r="D462" s="127" t="s">
        <v>206</v>
      </c>
      <c r="E462" s="127"/>
      <c r="F462" s="127"/>
      <c r="G462" s="127" t="s">
        <v>163</v>
      </c>
      <c r="H462" s="128">
        <v>2007</v>
      </c>
      <c r="I462" s="129"/>
      <c r="J462" s="125">
        <f>IFERROR(INDEX('Labor Expenditures'!$E$7:$W$91,MATCH($C462,'Labor Expenditures'!$C$7:$C$91,0),MATCH($G462,'Labor Expenditures'!$E$5:$W$5,0)),"NA")</f>
        <v>105347.80068459222</v>
      </c>
      <c r="K462" s="125">
        <f t="shared" ca="1" si="867"/>
        <v>1007.8718075540993</v>
      </c>
      <c r="L462" s="47"/>
      <c r="M462" s="131">
        <f t="shared" ca="1" si="874"/>
        <v>9.2543989189848699E-2</v>
      </c>
      <c r="N462" s="131"/>
      <c r="O462" s="131"/>
      <c r="P462" s="59">
        <f t="shared" ca="1" si="876"/>
        <v>4.0698842616074529E-3</v>
      </c>
      <c r="Q462" s="61"/>
      <c r="R462" s="387"/>
      <c r="S462" s="49">
        <f t="shared" ref="S462:S475" ca="1" si="881">+S461*EXP(T462)</f>
        <v>117.62988267499091</v>
      </c>
      <c r="T462" s="61">
        <f ca="1">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</f>
        <v>9.5703081336894202E-2</v>
      </c>
      <c r="U462" s="61"/>
      <c r="V462" s="125">
        <f>IFERROR(INDEX('Non-Labor Expenditures'!$E$7:$AA$91,MATCH($C462,'Non-Labor Expenditures'!$C$7:$C$91,0),MATCH($G462,'Non-Labor Expenditures'!$E$5:$AA$5,0)),"NA")</f>
        <v>152563.29164632474</v>
      </c>
      <c r="W462" s="125">
        <f t="shared" si="868"/>
        <v>1649.3685446855579</v>
      </c>
      <c r="X462" s="131">
        <f t="shared" si="877"/>
        <v>2.0403908494558681E-2</v>
      </c>
      <c r="Y462" s="131">
        <f t="shared" si="878"/>
        <v>8.9731971556713435E-4</v>
      </c>
      <c r="Z462" s="131"/>
      <c r="AA462" s="131"/>
      <c r="AB462" s="131"/>
      <c r="AC462" s="125">
        <f t="shared" si="848"/>
        <v>79195.084483700746</v>
      </c>
      <c r="AD462" s="129"/>
      <c r="AE462" s="133">
        <v>6609.608453627764</v>
      </c>
      <c r="AF462" s="134">
        <v>-7.1467397008554139E-4</v>
      </c>
      <c r="AG462" s="59">
        <f t="shared" si="869"/>
        <v>-3.1429813740412157E-5</v>
      </c>
      <c r="AH462" s="134"/>
      <c r="AI462" s="134"/>
      <c r="AJ462" s="129">
        <f t="shared" si="796"/>
        <v>337106.17681461771</v>
      </c>
      <c r="AK462" s="134">
        <f t="shared" si="879"/>
        <v>5.5671171972632633E-2</v>
      </c>
      <c r="AL462" s="129"/>
      <c r="AM462" s="129"/>
      <c r="AN462" s="129"/>
      <c r="AO462" s="129"/>
      <c r="AP462" s="133">
        <f t="shared" si="880"/>
        <v>269.22338488065475</v>
      </c>
      <c r="AQ462" s="134">
        <f>+BB462/Outputs!$B$15</f>
        <v>3.5832283884963005E-2</v>
      </c>
      <c r="AR462" s="93">
        <f t="shared" si="870"/>
        <v>0.3125062900954359</v>
      </c>
      <c r="AS462" s="93">
        <f t="shared" si="871"/>
        <v>0.45256747618191145</v>
      </c>
      <c r="AT462" s="93">
        <f t="shared" si="872"/>
        <v>0.23492623372265264</v>
      </c>
      <c r="AU462" s="93">
        <f t="shared" ca="1" si="875"/>
        <v>3.8156144681038298E-2</v>
      </c>
      <c r="AV462" s="132">
        <f ca="1">+AV461*EXP(AU462)</f>
        <v>93.965885051459594</v>
      </c>
      <c r="AW462" s="134">
        <f ca="1">LN(AV462/AV461)</f>
        <v>3.8156144681038277E-2</v>
      </c>
      <c r="AX462" s="56">
        <f>+AJ462/$AL$12</f>
        <v>4.3977834727421554E-2</v>
      </c>
      <c r="AY462" s="135">
        <f t="shared" ref="AY462:AY476" ca="1" si="882">+AX462*AW462</f>
        <v>1.6780246246182863E-3</v>
      </c>
      <c r="AZ462" s="93"/>
      <c r="BA462" s="93"/>
      <c r="BB462" s="234">
        <f>IFERROR(INDEX('Total Customers'!$E$7:$AA$91,MATCH($C462,'Total Customers'!$C$7:$C$91,0),MATCH($G462,'Total Customers'!$E$5:$AA$5,0)),"NA")</f>
        <v>1252143</v>
      </c>
      <c r="BC462" s="411">
        <f t="shared" si="846"/>
        <v>-6.3822136205597636E-3</v>
      </c>
      <c r="BD462" s="92"/>
      <c r="BE462" s="281" t="str">
        <f t="shared" si="839"/>
        <v>DTE GAS COMPANY</v>
      </c>
      <c r="BF462" s="290">
        <f t="shared" si="840"/>
        <v>4057126</v>
      </c>
      <c r="BG462" s="46" t="str">
        <f t="shared" si="841"/>
        <v>MI</v>
      </c>
      <c r="BH462" s="46"/>
      <c r="BI462" s="46" t="str">
        <f t="shared" si="842"/>
        <v>2007 Y</v>
      </c>
      <c r="BJ462" s="129"/>
      <c r="BK462" s="129"/>
      <c r="BL462" s="129">
        <f>INDEX('Dist. Plant Gas Additions'!$E$7:$AD$91,MATCH($C462,'Dist. Plant Gas Additions'!$C$7:$C$91,0),MATCH(Calculation!$G462,'Dist. Plant Gas Additions'!$E$5:$AD$5,0))</f>
        <v>17300</v>
      </c>
      <c r="BM462" s="129">
        <f>INDEX('Gen. Plant Additions'!$E$7:$AD$91,MATCH($C462,'Gen. Plant Additions'!$C$7:$C$91,0),MATCH(Calculation!$G462,'Gen. Plant Additions'!$E$5:$AD$5,0))</f>
        <v>1601</v>
      </c>
      <c r="BN462" s="393">
        <f t="shared" si="849"/>
        <v>0.90793999277300952</v>
      </c>
      <c r="BO462" s="46">
        <f t="shared" si="837"/>
        <v>1453.6119284295883</v>
      </c>
      <c r="BP462" s="46">
        <f t="shared" si="838"/>
        <v>-147.38807157041174</v>
      </c>
      <c r="BQ462" s="129">
        <f>INDEX('Dist Plant Depreciation'!$D$7:$AC$94,MATCH($C462,'Dist Plant Depreciation'!$C$7:$C$94,0),MATCH(Calculation!$G462,'Dist Plant Depreciation'!$D$5:$AC$5,0))</f>
        <v>1303573</v>
      </c>
      <c r="BR462" s="129">
        <f>INDEX('Gen. Plant Depreciation'!$D$7:$AC$94,MATCH($C462,'Gen. Plant Depreciation'!$C$7:$C$94,0),MATCH(Calculation!$G462,'Gen. Plant Depreciation'!$D$5:$AC$5,0))</f>
        <v>194922</v>
      </c>
      <c r="BS462" s="129"/>
      <c r="BT462" s="129"/>
      <c r="BU462" s="129"/>
      <c r="BV462" s="129"/>
      <c r="BW462" s="129"/>
      <c r="BX462" s="129"/>
      <c r="BY462" s="129">
        <f>INDEX('Gross Dx Plant'!$D$7:$AC$91,MATCH($C462,'Gross Dx Plant'!$C$7:$C$91,0),MATCH(Calculation!$G462,'Gross Dx Plant'!$D$5:$AC$5,0))</f>
        <v>2191019</v>
      </c>
      <c r="BZ462" s="129">
        <f>INDEX('Gross Gen Plant'!$D$7:$AC$91,MATCH($C462,'Gross Gen Plant'!$C$7:$C$91,0),MATCH(Calculation!$G462,'Gross Gen Plant'!$D$5:$AC$5,0))</f>
        <v>222157</v>
      </c>
      <c r="CA462" s="129">
        <f t="shared" si="755"/>
        <v>914681</v>
      </c>
      <c r="CB462" s="129"/>
      <c r="CC462" s="133">
        <v>2007</v>
      </c>
      <c r="CD462" s="129"/>
      <c r="CE462" s="129"/>
      <c r="CF462" s="129"/>
      <c r="CG462" s="137"/>
      <c r="CH462" s="129">
        <f t="shared" si="850"/>
        <v>18901</v>
      </c>
      <c r="CI462" s="46">
        <f t="shared" si="859"/>
        <v>18753.611928429589</v>
      </c>
      <c r="CJ462" s="46">
        <f t="shared" si="851"/>
        <v>37.656167897732992</v>
      </c>
      <c r="CK462" s="443">
        <v>0.90322580645161288</v>
      </c>
      <c r="CL462" s="46">
        <f>+CL453*CK462+CJ454*CK461+CJ455*CK460+CJ456*CK459+CJ457*CK458+CJ458*CK457+CJ459*CK456+CJ460*CK455+CJ461*CK454+CJ462</f>
        <v>6290.5029756499134</v>
      </c>
      <c r="CM462" s="134">
        <f t="shared" si="852"/>
        <v>-6.4125138620471272E-3</v>
      </c>
      <c r="CN462" s="135">
        <f t="shared" si="853"/>
        <v>1.2339927317768442E-2</v>
      </c>
      <c r="CO462" s="135">
        <f t="shared" si="862"/>
        <v>1.2016991488027784E-2</v>
      </c>
      <c r="CP462" s="134">
        <f>VLOOKUP($H462,RoR!$E:$F,2,FALSE)</f>
        <v>5.5558333333333321E-2</v>
      </c>
      <c r="CQ462" s="135">
        <v>2.691120634145272E-2</v>
      </c>
      <c r="CR462" s="135">
        <f t="shared" si="860"/>
        <v>2.86471269918806E-2</v>
      </c>
      <c r="CS462" s="135">
        <f t="shared" si="863"/>
        <v>1.8884950120505839E-2</v>
      </c>
      <c r="CT462" s="135">
        <f t="shared" si="864"/>
        <v>6.4575155250632399E-2</v>
      </c>
      <c r="CU462" s="139">
        <f t="shared" si="854"/>
        <v>0.87050000000000005</v>
      </c>
      <c r="CV462" s="335">
        <f t="shared" si="855"/>
        <v>0.92303077153834634</v>
      </c>
      <c r="CW462" s="335">
        <f t="shared" si="856"/>
        <v>0.52502249887505614</v>
      </c>
      <c r="CX462" s="335">
        <f t="shared" si="857"/>
        <v>0.88499666072084604</v>
      </c>
      <c r="CY462" s="335">
        <f t="shared" si="858"/>
        <v>0.42887993290280618</v>
      </c>
      <c r="CZ462" s="336">
        <f>INDEX('State Tax Lookup'!$D$7:$Z$91,MATCH(Calculation!$C462,'State Tax Lookup'!$B$7:$B$91,0),MATCH($H462,'State Tax Lookup'!$D$6:$Z$6,0))</f>
        <v>0.35</v>
      </c>
      <c r="DA462" s="303">
        <v>0.37</v>
      </c>
      <c r="DB462" s="57">
        <f t="shared" si="861"/>
        <v>12.509153878562023</v>
      </c>
      <c r="DC462" s="56">
        <f t="shared" si="865"/>
        <v>6.2154151212695651E-2</v>
      </c>
      <c r="DD462" s="303">
        <f>VLOOKUP($H462,RoR!$E:$F,2,FALSE)</f>
        <v>5.5558333333333321E-2</v>
      </c>
      <c r="DE462" s="304">
        <f>HLOOKUP($H462,'GDP-PI'!$D$8:$CQ$11,3,FALSE)</f>
        <v>2.691120634145272E-2</v>
      </c>
      <c r="DF462" s="303">
        <f>VLOOKUP(H462,'HW Dx Data'!$E:$F,2,FALSE)</f>
        <v>498.0223154772637</v>
      </c>
      <c r="DG462" s="89">
        <f ca="1">VLOOKUP(CC462,'ECI - Input Price'!M$13:N$33,2,FALSE)</f>
        <v>104.52499999999999</v>
      </c>
      <c r="DH462" s="89"/>
      <c r="DI462" s="89"/>
      <c r="DJ462" s="56">
        <f t="shared" ca="1" si="873"/>
        <v>-4.5584612745252218E-2</v>
      </c>
      <c r="DK462" s="53">
        <f>HLOOKUP(H462,'GDP-PI'!$8:$9,2,FALSE)</f>
        <v>92.498000000000005</v>
      </c>
      <c r="DL462" s="355">
        <f t="shared" si="866"/>
        <v>2.6555467950038037E-2</v>
      </c>
      <c r="EC462"/>
    </row>
    <row r="463" spans="1:133" s="126" customFormat="1" ht="21" customHeight="1" x14ac:dyDescent="0.4">
      <c r="A463" s="233" t="s">
        <v>210</v>
      </c>
      <c r="B463" s="127" t="s">
        <v>210</v>
      </c>
      <c r="C463" s="127">
        <v>4057126</v>
      </c>
      <c r="D463" s="127" t="s">
        <v>206</v>
      </c>
      <c r="E463" s="127"/>
      <c r="F463" s="127"/>
      <c r="G463" s="127" t="s">
        <v>164</v>
      </c>
      <c r="H463" s="128">
        <v>2008</v>
      </c>
      <c r="I463" s="129"/>
      <c r="J463" s="125">
        <f>IFERROR(INDEX('Labor Expenditures'!$E$7:$W$91,MATCH($C463,'Labor Expenditures'!$C$7:$C$91,0),MATCH($G463,'Labor Expenditures'!$E$5:$W$5,0)),"NA")</f>
        <v>101662.61973125041</v>
      </c>
      <c r="K463" s="125">
        <f t="shared" ca="1" si="867"/>
        <v>942.19295395042082</v>
      </c>
      <c r="L463" s="47"/>
      <c r="M463" s="131">
        <f t="shared" ca="1" si="874"/>
        <v>-6.7386177555399634E-2</v>
      </c>
      <c r="N463" s="131"/>
      <c r="O463" s="131"/>
      <c r="P463" s="59">
        <f t="shared" ca="1" si="876"/>
        <v>-2.8095437408452652E-3</v>
      </c>
      <c r="Q463" s="61"/>
      <c r="R463" s="387"/>
      <c r="S463" s="49">
        <f t="shared" ca="1" si="881"/>
        <v>108.78490113762612</v>
      </c>
      <c r="T463" s="61">
        <f ca="1">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</f>
        <v>-7.817055908171533E-2</v>
      </c>
      <c r="U463" s="61"/>
      <c r="V463" s="125">
        <f>IFERROR(INDEX('Non-Labor Expenditures'!$E$7:$AA$91,MATCH($C463,'Non-Labor Expenditures'!$C$7:$C$91,0),MATCH($G463,'Non-Labor Expenditures'!$E$5:$AA$5,0)),"NA")</f>
        <v>147226.46132902702</v>
      </c>
      <c r="W463" s="125">
        <f t="shared" si="868"/>
        <v>1561.852471028463</v>
      </c>
      <c r="X463" s="131">
        <f t="shared" si="877"/>
        <v>-5.4519916281971538E-2</v>
      </c>
      <c r="Y463" s="131">
        <f t="shared" si="878"/>
        <v>-2.2731084489173116E-3</v>
      </c>
      <c r="Z463" s="131"/>
      <c r="AA463" s="131"/>
      <c r="AB463" s="131"/>
      <c r="AC463" s="125">
        <f t="shared" si="848"/>
        <v>88396.002273024773</v>
      </c>
      <c r="AD463" s="129"/>
      <c r="AE463" s="133">
        <v>6893.8794428609435</v>
      </c>
      <c r="AF463" s="134">
        <v>4.2109564034437864E-2</v>
      </c>
      <c r="AG463" s="59">
        <f t="shared" si="869"/>
        <v>1.7556814521110609E-3</v>
      </c>
      <c r="AH463" s="134"/>
      <c r="AI463" s="134"/>
      <c r="AJ463" s="129">
        <f t="shared" si="796"/>
        <v>337285.08333330217</v>
      </c>
      <c r="AK463" s="134">
        <f t="shared" si="879"/>
        <v>5.3057189039543715E-4</v>
      </c>
      <c r="AL463" s="129"/>
      <c r="AM463" s="129"/>
      <c r="AN463" s="129"/>
      <c r="AO463" s="129"/>
      <c r="AP463" s="133">
        <f t="shared" si="880"/>
        <v>271.59954755561853</v>
      </c>
      <c r="AQ463" s="134">
        <f>+BB463/Outputs!$B$16</f>
        <v>3.5347640910365699E-2</v>
      </c>
      <c r="AR463" s="93">
        <f t="shared" si="870"/>
        <v>0.30141451476758102</v>
      </c>
      <c r="AS463" s="93">
        <f t="shared" si="871"/>
        <v>0.43650451384930983</v>
      </c>
      <c r="AT463" s="93">
        <f t="shared" si="872"/>
        <v>0.26208097138310921</v>
      </c>
      <c r="AU463" s="93">
        <f t="shared" ca="1" si="875"/>
        <v>-3.4456575048811527E-2</v>
      </c>
      <c r="AV463" s="132">
        <f t="shared" ref="AV463:AV476" ca="1" si="883">+AV462*EXP(AU463)</f>
        <v>90.783288050793672</v>
      </c>
      <c r="AW463" s="134">
        <f t="shared" ref="AW463:AW476" ca="1" si="884">LN(AV463/AV462)</f>
        <v>-3.4456575048811555E-2</v>
      </c>
      <c r="AX463" s="56">
        <f>+AJ463/$AL$13</f>
        <v>4.1693175704104579E-2</v>
      </c>
      <c r="AY463" s="135">
        <f t="shared" ca="1" si="882"/>
        <v>-1.4366040376717661E-3</v>
      </c>
      <c r="AZ463" s="93"/>
      <c r="BA463" s="93"/>
      <c r="BB463" s="234">
        <f>IFERROR(INDEX('Total Customers'!$E$7:$AA$91,MATCH($C463,'Total Customers'!$C$7:$C$91,0),MATCH($G463,'Total Customers'!$E$5:$AA$5,0)),"NA")</f>
        <v>1241847</v>
      </c>
      <c r="BC463" s="411">
        <f t="shared" si="846"/>
        <v>-8.2566958908341145E-3</v>
      </c>
      <c r="BD463" s="92"/>
      <c r="BE463" s="281" t="str">
        <f t="shared" si="839"/>
        <v>DTE GAS COMPANY</v>
      </c>
      <c r="BF463" s="290">
        <f t="shared" si="840"/>
        <v>4057126</v>
      </c>
      <c r="BG463" s="46" t="str">
        <f t="shared" si="841"/>
        <v>MI</v>
      </c>
      <c r="BH463" s="46"/>
      <c r="BI463" s="46" t="str">
        <f t="shared" si="842"/>
        <v>2008 Y</v>
      </c>
      <c r="BJ463" s="129"/>
      <c r="BK463" s="129"/>
      <c r="BL463" s="129">
        <f>INDEX('Dist. Plant Gas Additions'!$E$7:$AD$91,MATCH($C463,'Dist. Plant Gas Additions'!$C$7:$C$91,0),MATCH(Calculation!$G463,'Dist. Plant Gas Additions'!$E$5:$AD$5,0))</f>
        <v>155119</v>
      </c>
      <c r="BM463" s="129">
        <f>INDEX('Gen. Plant Additions'!$E$7:$AD$91,MATCH($C463,'Gen. Plant Additions'!$C$7:$C$91,0),MATCH(Calculation!$G463,'Gen. Plant Additions'!$E$5:$AD$5,0))</f>
        <v>32137</v>
      </c>
      <c r="BN463" s="393">
        <f t="shared" si="849"/>
        <v>0.9013170244617299</v>
      </c>
      <c r="BO463" s="46">
        <f t="shared" si="837"/>
        <v>28965.625215126613</v>
      </c>
      <c r="BP463" s="46">
        <f t="shared" si="838"/>
        <v>-3171.3747848733874</v>
      </c>
      <c r="BQ463" s="129">
        <f>INDEX('Dist Plant Depreciation'!$D$7:$AC$94,MATCH($C463,'Dist Plant Depreciation'!$C$7:$C$94,0),MATCH(Calculation!$G463,'Dist Plant Depreciation'!$D$5:$AC$5,0))</f>
        <v>1298639</v>
      </c>
      <c r="BR463" s="129">
        <f>INDEX('Gen. Plant Depreciation'!$D$7:$AC$94,MATCH($C463,'Gen. Plant Depreciation'!$C$7:$C$94,0),MATCH(Calculation!$G463,'Gen. Plant Depreciation'!$D$5:$AC$5,0))</f>
        <v>207680</v>
      </c>
      <c r="BS463" s="129"/>
      <c r="BT463" s="129"/>
      <c r="BU463" s="129"/>
      <c r="BV463" s="129"/>
      <c r="BW463" s="129"/>
      <c r="BX463" s="129"/>
      <c r="BY463" s="129">
        <f>INDEX('Gross Dx Plant'!$D$7:$AC$91,MATCH($C463,'Gross Dx Plant'!$C$7:$C$91,0),MATCH(Calculation!$G463,'Gross Dx Plant'!$D$5:$AC$5,0))</f>
        <v>2285484</v>
      </c>
      <c r="BZ463" s="129">
        <f>INDEX('Gross Gen Plant'!$D$7:$AC$91,MATCH($C463,'Gross Gen Plant'!$C$7:$C$91,0),MATCH(Calculation!$G463,'Gross Gen Plant'!$D$5:$AC$5,0))</f>
        <v>250232</v>
      </c>
      <c r="CA463" s="129">
        <f t="shared" si="755"/>
        <v>1029397</v>
      </c>
      <c r="CB463" s="129"/>
      <c r="CC463" s="133">
        <v>2008</v>
      </c>
      <c r="CD463" s="129"/>
      <c r="CE463" s="129"/>
      <c r="CF463" s="129"/>
      <c r="CG463" s="137"/>
      <c r="CH463" s="129">
        <f t="shared" si="850"/>
        <v>187256</v>
      </c>
      <c r="CI463" s="46">
        <f t="shared" si="859"/>
        <v>184084.62521512661</v>
      </c>
      <c r="CJ463" s="46">
        <f t="shared" si="851"/>
        <v>323.02280569669057</v>
      </c>
      <c r="CK463" s="443">
        <v>0.89130434782608692</v>
      </c>
      <c r="CL463" s="46">
        <f>+CL453*CK463+CJ454*CK462+CJ455*CK461+CJ456*CK460+CJ457*CK459+CJ458*CK458+CJ459*CK457+CJ460*CK456+CJ461*CK455+CJ462*CK454+CJ463</f>
        <v>6533.3474090468098</v>
      </c>
      <c r="CM463" s="134">
        <f t="shared" si="852"/>
        <v>3.7878400164349173E-2</v>
      </c>
      <c r="CN463" s="135">
        <f t="shared" si="853"/>
        <v>1.2745939809608054E-2</v>
      </c>
      <c r="CO463" s="135">
        <f t="shared" si="862"/>
        <v>1.2368533043487777E-2</v>
      </c>
      <c r="CP463" s="134">
        <f>VLOOKUP($H463,RoR!$E:$F,2,FALSE)</f>
        <v>5.6316666666666668E-2</v>
      </c>
      <c r="CQ463" s="135">
        <v>1.9092304698479889E-2</v>
      </c>
      <c r="CR463" s="135">
        <f t="shared" si="860"/>
        <v>3.7224361968186778E-2</v>
      </c>
      <c r="CS463" s="135">
        <f t="shared" si="863"/>
        <v>1.8533408565045848E-2</v>
      </c>
      <c r="CT463" s="135">
        <f t="shared" si="864"/>
        <v>6.9030581091053131E-2</v>
      </c>
      <c r="CU463" s="139">
        <f t="shared" si="854"/>
        <v>0.87050000000000005</v>
      </c>
      <c r="CV463" s="335">
        <f t="shared" si="855"/>
        <v>0.91060168006009956</v>
      </c>
      <c r="CW463" s="335">
        <f t="shared" si="856"/>
        <v>0.53108168097070152</v>
      </c>
      <c r="CX463" s="335">
        <f t="shared" si="857"/>
        <v>0.88825329850328805</v>
      </c>
      <c r="CY463" s="335">
        <f t="shared" si="858"/>
        <v>0.4295627335323573</v>
      </c>
      <c r="CZ463" s="336">
        <f>INDEX('State Tax Lookup'!$D$7:$Z$91,MATCH(Calculation!$C463,'State Tax Lookup'!$B$7:$B$91,0),MATCH($H463,'State Tax Lookup'!$D$6:$Z$6,0))</f>
        <v>0.35</v>
      </c>
      <c r="DA463" s="303">
        <v>0.37</v>
      </c>
      <c r="DB463" s="57">
        <f t="shared" si="861"/>
        <v>14.052294803006909</v>
      </c>
      <c r="DC463" s="56">
        <f t="shared" si="865"/>
        <v>0.11632502703266363</v>
      </c>
      <c r="DD463" s="303">
        <f>VLOOKUP($H463,RoR!$E:$F,2,FALSE)</f>
        <v>5.6316666666666668E-2</v>
      </c>
      <c r="DE463" s="304">
        <f>HLOOKUP($H463,'GDP-PI'!$D$8:$CQ$11,3,FALSE)</f>
        <v>1.9092304698479889E-2</v>
      </c>
      <c r="DF463" s="303">
        <f>VLOOKUP(H463,'HW Dx Data'!$E:$F,2,FALSE)</f>
        <v>569.88120333515076</v>
      </c>
      <c r="DG463" s="89">
        <f ca="1">VLOOKUP(CC463,'ECI - Input Price'!M$13:N$33,2,FALSE)</f>
        <v>107.9</v>
      </c>
      <c r="DH463" s="89"/>
      <c r="DI463" s="89"/>
      <c r="DJ463" s="56">
        <f t="shared" ca="1" si="873"/>
        <v>3.1778595021460486E-2</v>
      </c>
      <c r="DK463" s="53">
        <f>HLOOKUP(H463,'GDP-PI'!$8:$9,2,FALSE)</f>
        <v>94.263999999999996</v>
      </c>
      <c r="DL463" s="355">
        <f t="shared" si="866"/>
        <v>1.8912333748032254E-2</v>
      </c>
      <c r="EC463"/>
    </row>
    <row r="464" spans="1:133" s="126" customFormat="1" ht="21" customHeight="1" x14ac:dyDescent="0.4">
      <c r="A464" s="233" t="s">
        <v>210</v>
      </c>
      <c r="B464" s="127" t="s">
        <v>210</v>
      </c>
      <c r="C464" s="127">
        <v>4057126</v>
      </c>
      <c r="D464" s="127" t="s">
        <v>206</v>
      </c>
      <c r="E464" s="127"/>
      <c r="F464" s="127"/>
      <c r="G464" s="127" t="s">
        <v>165</v>
      </c>
      <c r="H464" s="128">
        <v>2009</v>
      </c>
      <c r="I464" s="129"/>
      <c r="J464" s="125">
        <f>IFERROR(INDEX('Labor Expenditures'!$E$7:$W$91,MATCH($C464,'Labor Expenditures'!$C$7:$C$91,0),MATCH($G464,'Labor Expenditures'!$E$5:$W$5,0)),"NA")</f>
        <v>97983.402139575235</v>
      </c>
      <c r="K464" s="125">
        <f t="shared" ca="1" si="867"/>
        <v>883.33019733671608</v>
      </c>
      <c r="L464" s="47"/>
      <c r="M464" s="131">
        <f t="shared" ca="1" si="874"/>
        <v>-6.4511007821939581E-2</v>
      </c>
      <c r="N464" s="131"/>
      <c r="O464" s="131"/>
      <c r="P464" s="59">
        <f t="shared" ca="1" si="876"/>
        <v>-2.4947828753614635E-3</v>
      </c>
      <c r="Q464" s="61"/>
      <c r="R464" s="387"/>
      <c r="S464" s="49">
        <f t="shared" ca="1" si="881"/>
        <v>116.6909155489886</v>
      </c>
      <c r="T464" s="61">
        <f ca="1">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</f>
        <v>7.0156143297861129E-2</v>
      </c>
      <c r="U464" s="61"/>
      <c r="V464" s="125">
        <f>IFERROR(INDEX('Non-Labor Expenditures'!$E$7:$AA$91,MATCH($C464,'Non-Labor Expenditures'!$C$7:$C$91,0),MATCH($G464,'Non-Labor Expenditures'!$E$5:$AA$5,0)),"NA")</f>
        <v>141898.26707322494</v>
      </c>
      <c r="W464" s="125">
        <f t="shared" si="868"/>
        <v>1493.6816921570221</v>
      </c>
      <c r="X464" s="131">
        <f t="shared" si="877"/>
        <v>-4.4628591639365063E-2</v>
      </c>
      <c r="Y464" s="131">
        <f t="shared" si="878"/>
        <v>-1.7258860143791232E-3</v>
      </c>
      <c r="Z464" s="131"/>
      <c r="AA464" s="131"/>
      <c r="AB464" s="131"/>
      <c r="AC464" s="125">
        <f t="shared" si="848"/>
        <v>87162.358212945765</v>
      </c>
      <c r="AD464" s="129"/>
      <c r="AE464" s="133">
        <v>7028.5285523427792</v>
      </c>
      <c r="AF464" s="134">
        <v>1.9343393461586356E-2</v>
      </c>
      <c r="AG464" s="59">
        <f t="shared" si="869"/>
        <v>7.4805166418331177E-4</v>
      </c>
      <c r="AH464" s="134"/>
      <c r="AI464" s="134"/>
      <c r="AJ464" s="129">
        <f t="shared" si="796"/>
        <v>327044.02742574591</v>
      </c>
      <c r="AK464" s="134">
        <f t="shared" si="879"/>
        <v>-3.0833715072342109E-2</v>
      </c>
      <c r="AL464" s="129"/>
      <c r="AM464" s="129"/>
      <c r="AN464" s="129"/>
      <c r="AO464" s="129"/>
      <c r="AP464" s="133">
        <f t="shared" si="880"/>
        <v>266.45225233928727</v>
      </c>
      <c r="AQ464" s="134">
        <f>+BB464/Outputs!$B$17</f>
        <v>3.4891945727392404E-2</v>
      </c>
      <c r="AR464" s="93">
        <f t="shared" si="870"/>
        <v>0.29960309292552972</v>
      </c>
      <c r="AS464" s="93">
        <f t="shared" si="871"/>
        <v>0.4338812366950881</v>
      </c>
      <c r="AT464" s="93">
        <f t="shared" si="872"/>
        <v>0.26651567037938229</v>
      </c>
      <c r="AU464" s="93">
        <f t="shared" ca="1" si="875"/>
        <v>-3.3695744498348404E-2</v>
      </c>
      <c r="AV464" s="132">
        <f t="shared" ca="1" si="883"/>
        <v>87.775241364962966</v>
      </c>
      <c r="AW464" s="134">
        <f t="shared" ca="1" si="884"/>
        <v>-3.3695744498348432E-2</v>
      </c>
      <c r="AX464" s="56">
        <f>+AJ464/$AL$14</f>
        <v>3.8672204319725595E-2</v>
      </c>
      <c r="AY464" s="135">
        <f t="shared" ca="1" si="882"/>
        <v>-1.3030887159454002E-3</v>
      </c>
      <c r="AZ464" s="93"/>
      <c r="BA464" s="93"/>
      <c r="BB464" s="234">
        <f>IFERROR(INDEX('Total Customers'!$E$7:$AA$91,MATCH($C464,'Total Customers'!$C$7:$C$91,0),MATCH($G464,'Total Customers'!$E$5:$AA$5,0)),"NA")</f>
        <v>1227402</v>
      </c>
      <c r="BC464" s="411">
        <f t="shared" si="846"/>
        <v>-1.1700047084994574E-2</v>
      </c>
      <c r="BD464" s="92"/>
      <c r="BE464" s="281" t="str">
        <f t="shared" si="839"/>
        <v>DTE GAS COMPANY</v>
      </c>
      <c r="BF464" s="290">
        <f t="shared" si="840"/>
        <v>4057126</v>
      </c>
      <c r="BG464" s="46" t="str">
        <f t="shared" si="841"/>
        <v>MI</v>
      </c>
      <c r="BH464" s="46"/>
      <c r="BI464" s="46" t="str">
        <f t="shared" si="842"/>
        <v>2009 Y</v>
      </c>
      <c r="BJ464" s="129"/>
      <c r="BK464" s="129"/>
      <c r="BL464" s="129">
        <f>INDEX('Dist. Plant Gas Additions'!$E$7:$AD$91,MATCH($C464,'Dist. Plant Gas Additions'!$C$7:$C$91,0),MATCH(Calculation!$G464,'Dist. Plant Gas Additions'!$E$5:$AD$5,0))</f>
        <v>84063</v>
      </c>
      <c r="BM464" s="129">
        <f>INDEX('Gen. Plant Additions'!$E$7:$AD$91,MATCH($C464,'Gen. Plant Additions'!$C$7:$C$91,0),MATCH(Calculation!$G464,'Gen. Plant Additions'!$E$5:$AD$5,0))</f>
        <v>16281</v>
      </c>
      <c r="BN464" s="393">
        <f t="shared" si="849"/>
        <v>0.92078850651520217</v>
      </c>
      <c r="BO464" s="46">
        <f t="shared" si="837"/>
        <v>14991.357674574007</v>
      </c>
      <c r="BP464" s="46">
        <f t="shared" si="838"/>
        <v>-1289.6423254259935</v>
      </c>
      <c r="BQ464" s="129">
        <f>INDEX('Dist Plant Depreciation'!$D$7:$AC$94,MATCH($C464,'Dist Plant Depreciation'!$C$7:$C$94,0),MATCH(Calculation!$G464,'Dist Plant Depreciation'!$D$5:$AC$5,0))</f>
        <v>1324505</v>
      </c>
      <c r="BR464" s="129">
        <f>INDEX('Gen. Plant Depreciation'!$D$7:$AC$94,MATCH($C464,'Gen. Plant Depreciation'!$C$7:$C$94,0),MATCH(Calculation!$G464,'Gen. Plant Depreciation'!$D$5:$AC$5,0))</f>
        <v>160857</v>
      </c>
      <c r="BS464" s="129"/>
      <c r="BT464" s="129"/>
      <c r="BU464" s="129"/>
      <c r="BV464" s="129"/>
      <c r="BW464" s="129"/>
      <c r="BX464" s="129"/>
      <c r="BY464" s="129">
        <f>INDEX('Gross Dx Plant'!$D$7:$AC$91,MATCH($C464,'Gross Dx Plant'!$C$7:$C$91,0),MATCH(Calculation!$G464,'Gross Dx Plant'!$D$5:$AC$5,0))</f>
        <v>2342532</v>
      </c>
      <c r="BZ464" s="129">
        <f>INDEX('Gross Gen Plant'!$D$7:$AC$91,MATCH($C464,'Gross Gen Plant'!$C$7:$C$91,0),MATCH(Calculation!$G464,'Gross Gen Plant'!$D$5:$AC$5,0))</f>
        <v>201518</v>
      </c>
      <c r="CA464" s="129">
        <f t="shared" si="755"/>
        <v>1058688</v>
      </c>
      <c r="CB464" s="129"/>
      <c r="CC464" s="133">
        <v>2009</v>
      </c>
      <c r="CD464" s="129"/>
      <c r="CE464" s="129"/>
      <c r="CF464" s="129"/>
      <c r="CG464" s="137"/>
      <c r="CH464" s="129">
        <f t="shared" si="850"/>
        <v>100344</v>
      </c>
      <c r="CI464" s="46">
        <f t="shared" si="859"/>
        <v>99054.357674574014</v>
      </c>
      <c r="CJ464" s="46">
        <f t="shared" si="851"/>
        <v>179.79134421896816</v>
      </c>
      <c r="CK464" s="443">
        <v>0.87912087912087911</v>
      </c>
      <c r="CL464" s="46">
        <f>+CL453*CK464+CJ454*CK463+CJ455*CK462+CJ456*CK461+CJ457*CK460+CJ458*CK459+CJ459*CK458+CJ460*CK457+CJ461*CK456+CJ462*CK455+CJ463*CK454+CJ464</f>
        <v>6628.0179313123372</v>
      </c>
      <c r="CM464" s="134">
        <f t="shared" si="852"/>
        <v>1.438637293677706E-2</v>
      </c>
      <c r="CN464" s="135">
        <f t="shared" si="853"/>
        <v>1.3028669168208161E-2</v>
      </c>
      <c r="CO464" s="135">
        <f t="shared" si="862"/>
        <v>1.2704845431861553E-2</v>
      </c>
      <c r="CP464" s="134">
        <f>VLOOKUP($H464,RoR!$E:$F,2,FALSE)</f>
        <v>5.3133333333333324E-2</v>
      </c>
      <c r="CQ464" s="135">
        <v>7.7972502758210105E-3</v>
      </c>
      <c r="CR464" s="135">
        <f t="shared" si="860"/>
        <v>4.5336083057512314E-2</v>
      </c>
      <c r="CS464" s="135">
        <f t="shared" si="863"/>
        <v>1.8197096176672072E-2</v>
      </c>
      <c r="CT464" s="135">
        <f t="shared" si="864"/>
        <v>6.3720160300892073E-2</v>
      </c>
      <c r="CU464" s="139">
        <f t="shared" si="854"/>
        <v>0.87050000000000005</v>
      </c>
      <c r="CV464" s="335">
        <f t="shared" si="855"/>
        <v>0.96515780330083989</v>
      </c>
      <c r="CW464" s="335">
        <f t="shared" si="856"/>
        <v>0.50448557089084056</v>
      </c>
      <c r="CX464" s="335">
        <f t="shared" si="857"/>
        <v>0.87391435735465484</v>
      </c>
      <c r="CY464" s="335">
        <f t="shared" si="858"/>
        <v>0.42551605393279146</v>
      </c>
      <c r="CZ464" s="336">
        <f>INDEX('State Tax Lookup'!$D$7:$Z$91,MATCH(Calculation!$C464,'State Tax Lookup'!$B$7:$B$91,0),MATCH($H464,'State Tax Lookup'!$D$6:$Z$6,0))</f>
        <v>0.35</v>
      </c>
      <c r="DA464" s="303">
        <v>0.37</v>
      </c>
      <c r="DB464" s="57">
        <f t="shared" si="861"/>
        <v>13.341148534708399</v>
      </c>
      <c r="DC464" s="56">
        <f t="shared" si="865"/>
        <v>-5.1932579781598043E-2</v>
      </c>
      <c r="DD464" s="303">
        <f>VLOOKUP($H464,RoR!$E:$F,2,FALSE)</f>
        <v>5.3133333333333324E-2</v>
      </c>
      <c r="DE464" s="304">
        <f>HLOOKUP($H464,'GDP-PI'!$D$8:$CQ$11,3,FALSE)</f>
        <v>7.7972502758210105E-3</v>
      </c>
      <c r="DF464" s="303">
        <f>VLOOKUP(H464,'HW Dx Data'!$E:$F,2,FALSE)</f>
        <v>550.94063679692806</v>
      </c>
      <c r="DG464" s="89">
        <f ca="1">VLOOKUP(CC464,'ECI - Input Price'!M$13:N$33,2,FALSE)</f>
        <v>110.925</v>
      </c>
      <c r="DH464" s="89"/>
      <c r="DI464" s="89"/>
      <c r="DJ464" s="56">
        <f t="shared" ca="1" si="873"/>
        <v>2.7649425000884052E-2</v>
      </c>
      <c r="DK464" s="53">
        <f>HLOOKUP(H464,'GDP-PI'!$8:$9,2,FALSE)</f>
        <v>94.998999999999995</v>
      </c>
      <c r="DL464" s="355">
        <f t="shared" si="866"/>
        <v>7.7670088183096342E-3</v>
      </c>
      <c r="EC464"/>
    </row>
    <row r="465" spans="1:133" s="126" customFormat="1" ht="21" customHeight="1" x14ac:dyDescent="0.4">
      <c r="A465" s="233" t="s">
        <v>210</v>
      </c>
      <c r="B465" s="127" t="s">
        <v>210</v>
      </c>
      <c r="C465" s="127">
        <v>4057126</v>
      </c>
      <c r="D465" s="127" t="s">
        <v>206</v>
      </c>
      <c r="E465" s="127"/>
      <c r="F465" s="127"/>
      <c r="G465" s="127" t="s">
        <v>166</v>
      </c>
      <c r="H465" s="128">
        <v>2010</v>
      </c>
      <c r="I465" s="129"/>
      <c r="J465" s="125">
        <f>IFERROR(INDEX('Labor Expenditures'!$E$7:$W$91,MATCH($C465,'Labor Expenditures'!$C$7:$C$91,0),MATCH($G465,'Labor Expenditures'!$E$5:$W$5,0)),"NA")</f>
        <v>104694.38790479938</v>
      </c>
      <c r="K465" s="125">
        <f t="shared" ca="1" si="867"/>
        <v>895.39780119563295</v>
      </c>
      <c r="L465" s="47"/>
      <c r="M465" s="131">
        <f t="shared" ca="1" si="874"/>
        <v>1.3569010015692445E-2</v>
      </c>
      <c r="N465" s="131"/>
      <c r="O465" s="131"/>
      <c r="P465" s="59">
        <f t="shared" ca="1" si="876"/>
        <v>5.3858587576092814E-4</v>
      </c>
      <c r="Q465" s="61"/>
      <c r="R465" s="387"/>
      <c r="S465" s="49">
        <f t="shared" ca="1" si="881"/>
        <v>96.603497778623407</v>
      </c>
      <c r="T465" s="61">
        <f ca="1">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</f>
        <v>-0.18891374232940963</v>
      </c>
      <c r="U465" s="61"/>
      <c r="V465" s="125">
        <f>IFERROR(INDEX('Non-Labor Expenditures'!$E$7:$AA$91,MATCH($C465,'Non-Labor Expenditures'!$C$7:$C$91,0),MATCH($G465,'Non-Labor Expenditures'!$E$5:$AA$5,0)),"NA")</f>
        <v>151617.02790051163</v>
      </c>
      <c r="W465" s="125">
        <f t="shared" si="868"/>
        <v>1577.5528608196073</v>
      </c>
      <c r="X465" s="131">
        <f t="shared" si="877"/>
        <v>5.4630817555518393E-2</v>
      </c>
      <c r="Y465" s="131">
        <f t="shared" si="878"/>
        <v>2.168425454962924E-3</v>
      </c>
      <c r="Z465" s="131"/>
      <c r="AA465" s="131"/>
      <c r="AB465" s="131"/>
      <c r="AC465" s="125">
        <f t="shared" si="848"/>
        <v>89708.535906276578</v>
      </c>
      <c r="AD465" s="129"/>
      <c r="AE465" s="133">
        <v>7141.3961432488741</v>
      </c>
      <c r="AF465" s="134">
        <v>1.593092135861909E-2</v>
      </c>
      <c r="AG465" s="59">
        <f t="shared" si="869"/>
        <v>6.3233568415731471E-4</v>
      </c>
      <c r="AH465" s="134"/>
      <c r="AI465" s="134"/>
      <c r="AJ465" s="129">
        <f t="shared" si="796"/>
        <v>346019.95171158761</v>
      </c>
      <c r="AK465" s="134">
        <f t="shared" si="879"/>
        <v>5.6401635021799519E-2</v>
      </c>
      <c r="AL465" s="129"/>
      <c r="AM465" s="129"/>
      <c r="AN465" s="129"/>
      <c r="AO465" s="129"/>
      <c r="AP465" s="133">
        <f t="shared" si="880"/>
        <v>284.22350812749204</v>
      </c>
      <c r="AQ465" s="134">
        <f>+BB465/Outputs!$B$18</f>
        <v>3.4418883530853366E-2</v>
      </c>
      <c r="AR465" s="93">
        <f t="shared" si="870"/>
        <v>0.30256748891770147</v>
      </c>
      <c r="AS465" s="93">
        <f t="shared" si="871"/>
        <v>0.43817423576455067</v>
      </c>
      <c r="AT465" s="93">
        <f t="shared" si="872"/>
        <v>0.25925827531774781</v>
      </c>
      <c r="AU465" s="93">
        <f t="shared" ca="1" si="875"/>
        <v>3.2094012725865956E-2</v>
      </c>
      <c r="AV465" s="132">
        <f t="shared" ca="1" si="883"/>
        <v>90.63799396605144</v>
      </c>
      <c r="AW465" s="134">
        <f t="shared" ca="1" si="884"/>
        <v>3.209401272586597E-2</v>
      </c>
      <c r="AX465" s="56">
        <f>+AJ465/$AL$15</f>
        <v>3.9692348604508224E-2</v>
      </c>
      <c r="AY465" s="135">
        <f t="shared" ca="1" si="882"/>
        <v>1.2738867412325954E-3</v>
      </c>
      <c r="AZ465" s="93"/>
      <c r="BA465" s="93"/>
      <c r="BB465" s="234">
        <f>IFERROR(INDEX('Total Customers'!$E$7:$AA$91,MATCH($C465,'Total Customers'!$C$7:$C$91,0),MATCH($G465,'Total Customers'!$E$5:$AA$5,0)),"NA")</f>
        <v>1217422</v>
      </c>
      <c r="BC465" s="411">
        <f t="shared" si="846"/>
        <v>-8.1642322182868075E-3</v>
      </c>
      <c r="BD465" s="92"/>
      <c r="BE465" s="281" t="str">
        <f t="shared" si="839"/>
        <v>DTE GAS COMPANY</v>
      </c>
      <c r="BF465" s="290">
        <f t="shared" si="840"/>
        <v>4057126</v>
      </c>
      <c r="BG465" s="46" t="str">
        <f t="shared" si="841"/>
        <v>MI</v>
      </c>
      <c r="BH465" s="46"/>
      <c r="BI465" s="46" t="str">
        <f t="shared" si="842"/>
        <v>2010 Y</v>
      </c>
      <c r="BJ465" s="129"/>
      <c r="BK465" s="129"/>
      <c r="BL465" s="129">
        <f>INDEX('Dist. Plant Gas Additions'!$E$7:$AD$91,MATCH($C465,'Dist. Plant Gas Additions'!$C$7:$C$91,0),MATCH(Calculation!$G465,'Dist. Plant Gas Additions'!$E$5:$AD$5,0))</f>
        <v>88996</v>
      </c>
      <c r="BM465" s="129">
        <f>INDEX('Gen. Plant Additions'!$E$7:$AD$91,MATCH($C465,'Gen. Plant Additions'!$C$7:$C$91,0),MATCH(Calculation!$G465,'Gen. Plant Additions'!$E$5:$AD$5,0))</f>
        <v>3703</v>
      </c>
      <c r="BN465" s="393">
        <f t="shared" si="849"/>
        <v>0.93112008144692449</v>
      </c>
      <c r="BO465" s="46">
        <f t="shared" si="837"/>
        <v>3447.9376615979613</v>
      </c>
      <c r="BP465" s="46">
        <f t="shared" si="838"/>
        <v>-255.06233840203868</v>
      </c>
      <c r="BQ465" s="129">
        <f>INDEX('Dist Plant Depreciation'!$D$7:$AC$94,MATCH($C465,'Dist Plant Depreciation'!$C$7:$C$94,0),MATCH(Calculation!$G465,'Dist Plant Depreciation'!$D$5:$AC$5,0))</f>
        <v>1337175</v>
      </c>
      <c r="BR465" s="129">
        <f>INDEX('Gen. Plant Depreciation'!$D$7:$AC$94,MATCH($C465,'Gen. Plant Depreciation'!$C$7:$C$94,0),MATCH(Calculation!$G465,'Gen. Plant Depreciation'!$D$5:$AC$5,0))</f>
        <v>147062</v>
      </c>
      <c r="BS465" s="129"/>
      <c r="BT465" s="129"/>
      <c r="BU465" s="129"/>
      <c r="BV465" s="129"/>
      <c r="BW465" s="129"/>
      <c r="BX465" s="129"/>
      <c r="BY465" s="129">
        <f>INDEX('Gross Dx Plant'!$D$7:$AC$91,MATCH($C465,'Gross Dx Plant'!$C$7:$C$91,0),MATCH(Calculation!$G465,'Gross Dx Plant'!$D$5:$AC$5,0))</f>
        <v>2399854</v>
      </c>
      <c r="BZ465" s="129">
        <f>INDEX('Gross Gen Plant'!$D$7:$AC$91,MATCH($C465,'Gross Gen Plant'!$C$7:$C$91,0),MATCH(Calculation!$G465,'Gross Gen Plant'!$D$5:$AC$5,0))</f>
        <v>177530</v>
      </c>
      <c r="CA465" s="129">
        <f t="shared" ref="CA465:CA509" si="885">IF(OR(BQ465="NA",BR465="NA"),"NA",(SUM(BY465:BZ465)-SUM(BQ465:BR465)))</f>
        <v>1093147</v>
      </c>
      <c r="CB465" s="129"/>
      <c r="CC465" s="133">
        <v>2010</v>
      </c>
      <c r="CD465" s="129"/>
      <c r="CE465" s="129"/>
      <c r="CF465" s="129"/>
      <c r="CG465" s="137"/>
      <c r="CH465" s="129">
        <f t="shared" si="850"/>
        <v>92699</v>
      </c>
      <c r="CI465" s="46">
        <f t="shared" si="859"/>
        <v>92443.937661597956</v>
      </c>
      <c r="CJ465" s="46">
        <f t="shared" si="851"/>
        <v>162.47037464548427</v>
      </c>
      <c r="CK465" s="443">
        <v>0.8666666666666667</v>
      </c>
      <c r="CL465" s="46">
        <f>+CL453*CK465+CJ454*CK464+CJ455*CK463+CJ456*CK462+CJ457*CK461+CJ458*CK460+CJ459*CK459+CJ460*CK458+CJ461*CK457+CJ462*CK456+CJ463*CK455+CJ464*CK454+CJ465</f>
        <v>6701.7216332057178</v>
      </c>
      <c r="CM465" s="134">
        <f t="shared" si="852"/>
        <v>1.1058648619507224E-2</v>
      </c>
      <c r="CN465" s="135">
        <f t="shared" si="853"/>
        <v>1.3392642215517961E-2</v>
      </c>
      <c r="CO465" s="135">
        <f t="shared" si="862"/>
        <v>1.3055750397778058E-2</v>
      </c>
      <c r="CP465" s="134">
        <f>VLOOKUP($H465,RoR!$E:$F,2,FALSE)</f>
        <v>4.9433333333333322E-2</v>
      </c>
      <c r="CQ465" s="135">
        <v>1.1684333519300205E-2</v>
      </c>
      <c r="CR465" s="135">
        <f t="shared" si="860"/>
        <v>3.7748999814033117E-2</v>
      </c>
      <c r="CS465" s="135">
        <f t="shared" si="863"/>
        <v>1.7846191210755567E-2</v>
      </c>
      <c r="CT465" s="135">
        <f t="shared" si="864"/>
        <v>4.7937530248493419E-2</v>
      </c>
      <c r="CU465" s="139">
        <f t="shared" si="854"/>
        <v>0.87050000000000005</v>
      </c>
      <c r="CV465" s="335">
        <f t="shared" si="855"/>
        <v>1.037398205301105</v>
      </c>
      <c r="CW465" s="335">
        <f t="shared" si="856"/>
        <v>0.46926837491571133</v>
      </c>
      <c r="CX465" s="335">
        <f t="shared" si="857"/>
        <v>0.8548537519972772</v>
      </c>
      <c r="CY465" s="335">
        <f t="shared" si="858"/>
        <v>0.41615833911547367</v>
      </c>
      <c r="CZ465" s="336">
        <f>INDEX('State Tax Lookup'!$D$7:$Z$91,MATCH(Calculation!$C465,'State Tax Lookup'!$B$7:$B$91,0),MATCH($H465,'State Tax Lookup'!$D$6:$Z$6,0))</f>
        <v>0.35</v>
      </c>
      <c r="DA465" s="303">
        <v>0.37</v>
      </c>
      <c r="DB465" s="57">
        <f t="shared" si="861"/>
        <v>13.534745505511092</v>
      </c>
      <c r="DC465" s="56">
        <f t="shared" si="865"/>
        <v>1.4406986357657296E-2</v>
      </c>
      <c r="DD465" s="303">
        <f>VLOOKUP($H465,RoR!$E:$F,2,FALSE)</f>
        <v>4.9433333333333322E-2</v>
      </c>
      <c r="DE465" s="304">
        <f>HLOOKUP($H465,'GDP-PI'!$D$8:$CQ$11,3,FALSE)</f>
        <v>1.1684333519300205E-2</v>
      </c>
      <c r="DF465" s="303">
        <f>VLOOKUP(H465,'HW Dx Data'!$E:$F,2,FALSE)</f>
        <v>568.98950262971744</v>
      </c>
      <c r="DG465" s="89">
        <f ca="1">VLOOKUP(CC465,'ECI - Input Price'!M$13:N$33,2,FALSE)</f>
        <v>116.925</v>
      </c>
      <c r="DH465" s="89"/>
      <c r="DI465" s="89"/>
      <c r="DJ465" s="56">
        <f t="shared" ca="1" si="873"/>
        <v>5.2678406346976722E-2</v>
      </c>
      <c r="DK465" s="53">
        <f>HLOOKUP(H465,'GDP-PI'!$8:$9,2,FALSE)</f>
        <v>96.108999999999995</v>
      </c>
      <c r="DL465" s="355">
        <f t="shared" si="866"/>
        <v>1.1616598807150427E-2</v>
      </c>
      <c r="EC465"/>
    </row>
    <row r="466" spans="1:133" s="126" customFormat="1" ht="21" customHeight="1" x14ac:dyDescent="0.4">
      <c r="A466" s="233" t="s">
        <v>210</v>
      </c>
      <c r="B466" s="127" t="s">
        <v>210</v>
      </c>
      <c r="C466" s="127">
        <v>4057126</v>
      </c>
      <c r="D466" s="127" t="s">
        <v>206</v>
      </c>
      <c r="E466" s="127"/>
      <c r="F466" s="127"/>
      <c r="G466" s="127" t="s">
        <v>167</v>
      </c>
      <c r="H466" s="128">
        <v>2011</v>
      </c>
      <c r="I466" s="129"/>
      <c r="J466" s="125">
        <f>IFERROR(INDEX('Labor Expenditures'!$E$7:$W$91,MATCH($C466,'Labor Expenditures'!$C$7:$C$91,0),MATCH($G466,'Labor Expenditures'!$E$5:$W$5,0)),"NA")</f>
        <v>106893.42240257739</v>
      </c>
      <c r="K466" s="125">
        <f t="shared" ca="1" si="867"/>
        <v>884.33027840808597</v>
      </c>
      <c r="L466" s="47"/>
      <c r="M466" s="131">
        <f t="shared" ca="1" si="874"/>
        <v>-1.2437479168226925E-2</v>
      </c>
      <c r="N466" s="131"/>
      <c r="O466" s="131"/>
      <c r="P466" s="59">
        <f t="shared" ca="1" si="876"/>
        <v>-4.9015016611441157E-4</v>
      </c>
      <c r="Q466" s="61"/>
      <c r="R466" s="387"/>
      <c r="S466" s="49">
        <f t="shared" ca="1" si="881"/>
        <v>115.99420625783819</v>
      </c>
      <c r="T466" s="61">
        <f ca="1">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</f>
        <v>0.18292529435451255</v>
      </c>
      <c r="U466" s="61"/>
      <c r="V466" s="125">
        <f>IFERROR(INDEX('Non-Labor Expenditures'!$E$7:$AA$91,MATCH($C466,'Non-Labor Expenditures'!$C$7:$C$91,0),MATCH($G466,'Non-Labor Expenditures'!$E$5:$AA$5,0)),"NA")</f>
        <v>154801.64057628348</v>
      </c>
      <c r="W466" s="125">
        <f t="shared" si="868"/>
        <v>1577.8053711705345</v>
      </c>
      <c r="X466" s="131">
        <f t="shared" si="877"/>
        <v>1.6005178043264218E-4</v>
      </c>
      <c r="Y466" s="131">
        <f t="shared" si="878"/>
        <v>6.3075005557698206E-6</v>
      </c>
      <c r="Z466" s="131"/>
      <c r="AA466" s="131"/>
      <c r="AB466" s="131"/>
      <c r="AC466" s="125">
        <f t="shared" si="848"/>
        <v>95851.382304309358</v>
      </c>
      <c r="AD466" s="129"/>
      <c r="AE466" s="133">
        <v>7342.8131039362015</v>
      </c>
      <c r="AF466" s="134">
        <v>2.7813730362877195E-2</v>
      </c>
      <c r="AG466" s="59">
        <f t="shared" si="869"/>
        <v>1.0961147651569658E-3</v>
      </c>
      <c r="AH466" s="134"/>
      <c r="AI466" s="134"/>
      <c r="AJ466" s="129">
        <f t="shared" si="796"/>
        <v>357546.44528317021</v>
      </c>
      <c r="AK466" s="134">
        <f t="shared" si="879"/>
        <v>3.2768833270048738E-2</v>
      </c>
      <c r="AL466" s="129"/>
      <c r="AM466" s="129"/>
      <c r="AN466" s="129"/>
      <c r="AO466" s="129"/>
      <c r="AP466" s="133">
        <f t="shared" si="880"/>
        <v>293.9546483058657</v>
      </c>
      <c r="AQ466" s="134">
        <f>+BB466/Outputs!$B$19</f>
        <v>3.4222145030833588E-2</v>
      </c>
      <c r="AR466" s="93">
        <f t="shared" si="870"/>
        <v>0.29896373971196877</v>
      </c>
      <c r="AS466" s="93">
        <f t="shared" si="871"/>
        <v>0.43295533382714357</v>
      </c>
      <c r="AT466" s="93">
        <f t="shared" si="872"/>
        <v>0.26808092646088771</v>
      </c>
      <c r="AU466" s="93">
        <f t="shared" ca="1" si="875"/>
        <v>3.6625820407635307E-3</v>
      </c>
      <c r="AV466" s="132">
        <f t="shared" ca="1" si="883"/>
        <v>90.970571729854271</v>
      </c>
      <c r="AW466" s="134">
        <f t="shared" ca="1" si="884"/>
        <v>3.66258204076349E-3</v>
      </c>
      <c r="AX466" s="56">
        <f>+AJ466/$AL$16</f>
        <v>3.9409124589053435E-2</v>
      </c>
      <c r="AY466" s="135">
        <f t="shared" ca="1" si="882"/>
        <v>1.4433915196207796E-4</v>
      </c>
      <c r="AZ466" s="93"/>
      <c r="BA466" s="93"/>
      <c r="BB466" s="234">
        <f>IFERROR(INDEX('Total Customers'!$E$7:$AA$91,MATCH($C466,'Total Customers'!$C$7:$C$91,0),MATCH($G466,'Total Customers'!$E$5:$AA$5,0)),"NA")</f>
        <v>1216332</v>
      </c>
      <c r="BC466" s="411">
        <f t="shared" si="846"/>
        <v>-8.9573561903089766E-4</v>
      </c>
      <c r="BD466" s="92"/>
      <c r="BE466" s="281" t="str">
        <f t="shared" si="839"/>
        <v>DTE GAS COMPANY</v>
      </c>
      <c r="BF466" s="290">
        <f t="shared" si="840"/>
        <v>4057126</v>
      </c>
      <c r="BG466" s="46" t="str">
        <f t="shared" si="841"/>
        <v>MI</v>
      </c>
      <c r="BH466" s="46"/>
      <c r="BI466" s="46" t="str">
        <f t="shared" si="842"/>
        <v>2011 Y</v>
      </c>
      <c r="BJ466" s="129"/>
      <c r="BK466" s="129"/>
      <c r="BL466" s="129">
        <f>INDEX('Dist. Plant Gas Additions'!$E$7:$AD$91,MATCH($C466,'Dist. Plant Gas Additions'!$C$7:$C$91,0),MATCH(Calculation!$G466,'Dist. Plant Gas Additions'!$E$5:$AD$5,0))</f>
        <v>140740</v>
      </c>
      <c r="BM466" s="129">
        <f>INDEX('Gen. Plant Additions'!$E$7:$AD$91,MATCH($C466,'Gen. Plant Additions'!$C$7:$C$91,0),MATCH(Calculation!$G466,'Gen. Plant Additions'!$E$5:$AD$5,0))</f>
        <v>14644</v>
      </c>
      <c r="BN466" s="393">
        <f t="shared" si="849"/>
        <v>0.93226449089495933</v>
      </c>
      <c r="BO466" s="46">
        <f t="shared" si="837"/>
        <v>13652.081204665785</v>
      </c>
      <c r="BP466" s="46">
        <f t="shared" si="838"/>
        <v>-991.91879533421525</v>
      </c>
      <c r="BQ466" s="129">
        <f>INDEX('Dist Plant Depreciation'!$D$7:$AC$94,MATCH($C466,'Dist Plant Depreciation'!$C$7:$C$94,0),MATCH(Calculation!$G466,'Dist Plant Depreciation'!$D$5:$AC$5,0))</f>
        <v>1363076</v>
      </c>
      <c r="BR466" s="129">
        <f>INDEX('Gen. Plant Depreciation'!$D$7:$AC$94,MATCH($C466,'Gen. Plant Depreciation'!$C$7:$C$94,0),MATCH(Calculation!$G466,'Gen. Plant Depreciation'!$D$5:$AC$5,0))</f>
        <v>147981</v>
      </c>
      <c r="BS466" s="129"/>
      <c r="BT466" s="129"/>
      <c r="BU466" s="129"/>
      <c r="BV466" s="129"/>
      <c r="BW466" s="129"/>
      <c r="BX466" s="129"/>
      <c r="BY466" s="129">
        <f>INDEX('Gross Dx Plant'!$D$7:$AC$91,MATCH($C466,'Gross Dx Plant'!$C$7:$C$91,0),MATCH(Calculation!$G466,'Gross Dx Plant'!$D$5:$AC$5,0))</f>
        <v>2526062</v>
      </c>
      <c r="BZ466" s="129">
        <f>INDEX('Gross Gen Plant'!$D$7:$AC$91,MATCH($C466,'Gross Gen Plant'!$C$7:$C$91,0),MATCH(Calculation!$G466,'Gross Gen Plant'!$D$5:$AC$5,0))</f>
        <v>183536</v>
      </c>
      <c r="CA466" s="129">
        <f t="shared" si="885"/>
        <v>1198541</v>
      </c>
      <c r="CB466" s="129"/>
      <c r="CC466" s="133">
        <v>2011</v>
      </c>
      <c r="CD466" s="129"/>
      <c r="CE466" s="129"/>
      <c r="CF466" s="129"/>
      <c r="CG466" s="137"/>
      <c r="CH466" s="129">
        <f t="shared" si="850"/>
        <v>155384</v>
      </c>
      <c r="CI466" s="46">
        <f t="shared" si="859"/>
        <v>154392.0812046658</v>
      </c>
      <c r="CJ466" s="46">
        <f t="shared" si="851"/>
        <v>252.43505584414493</v>
      </c>
      <c r="CK466" s="443">
        <v>0.8539325842696629</v>
      </c>
      <c r="CL466" s="46">
        <f>+CL453*CK466+CJ454*CK465+CJ455*CK464+CJ456*CK463+CJ457*CK462+CJ458*CK461+CJ459*CK460+CJ460*CK459+CJ461*CK458+CJ462*CK457+CJ463*CK456+CJ464*CK455+CJ465*CK454+CJ466</f>
        <v>6861.8179872098453</v>
      </c>
      <c r="CM466" s="134">
        <f t="shared" si="852"/>
        <v>2.3607965772667543E-2</v>
      </c>
      <c r="CN466" s="135">
        <f t="shared" si="853"/>
        <v>1.3778355308357962E-2</v>
      </c>
      <c r="CO466" s="135">
        <f t="shared" si="862"/>
        <v>1.3399888897361363E-2</v>
      </c>
      <c r="CP466" s="134">
        <f>VLOOKUP($H466,RoR!$E:$F,2,FALSE)</f>
        <v>4.6391666666666664E-2</v>
      </c>
      <c r="CQ466" s="135">
        <v>2.0840920205183799E-2</v>
      </c>
      <c r="CR466" s="135">
        <f t="shared" si="860"/>
        <v>2.5550746461482865E-2</v>
      </c>
      <c r="CS466" s="135">
        <f t="shared" si="863"/>
        <v>1.7502052711172264E-2</v>
      </c>
      <c r="CT466" s="135">
        <f t="shared" si="864"/>
        <v>2.4810540821321614E-2</v>
      </c>
      <c r="CU466" s="139">
        <f t="shared" si="854"/>
        <v>0.87050000000000005</v>
      </c>
      <c r="CV466" s="335">
        <f t="shared" si="855"/>
        <v>1.1054151524782025</v>
      </c>
      <c r="CW466" s="335">
        <f t="shared" si="856"/>
        <v>0.43611011316687626</v>
      </c>
      <c r="CX466" s="335">
        <f t="shared" si="857"/>
        <v>0.83698442246886229</v>
      </c>
      <c r="CY466" s="335">
        <f t="shared" si="858"/>
        <v>0.40349573304423936</v>
      </c>
      <c r="CZ466" s="336">
        <f>INDEX('State Tax Lookup'!$D$7:$Z$91,MATCH(Calculation!$C466,'State Tax Lookup'!$B$7:$B$91,0),MATCH($H466,'State Tax Lookup'!$D$6:$Z$6,0))</f>
        <v>0.35</v>
      </c>
      <c r="DA466" s="303">
        <v>0.37</v>
      </c>
      <c r="DB466" s="57">
        <f t="shared" si="861"/>
        <v>14.302501290024423</v>
      </c>
      <c r="DC466" s="56">
        <f t="shared" si="865"/>
        <v>5.5174317162673431E-2</v>
      </c>
      <c r="DD466" s="303">
        <f>VLOOKUP($H466,RoR!$E:$F,2,FALSE)</f>
        <v>4.6391666666666664E-2</v>
      </c>
      <c r="DE466" s="304">
        <f>HLOOKUP($H466,'GDP-PI'!$D$8:$CQ$11,3,FALSE)</f>
        <v>2.0840920205183799E-2</v>
      </c>
      <c r="DF466" s="303">
        <f>VLOOKUP(H466,'HW Dx Data'!$E:$F,2,FALSE)</f>
        <v>611.61109612283201</v>
      </c>
      <c r="DG466" s="89">
        <f ca="1">VLOOKUP(CC466,'ECI - Input Price'!M$13:N$33,2,FALSE)</f>
        <v>120.875</v>
      </c>
      <c r="DH466" s="89"/>
      <c r="DI466" s="89"/>
      <c r="DJ466" s="56">
        <f t="shared" ca="1" si="873"/>
        <v>3.3224250161508609E-2</v>
      </c>
      <c r="DK466" s="53">
        <f>HLOOKUP(H466,'GDP-PI'!$8:$9,2,FALSE)</f>
        <v>98.111999999999995</v>
      </c>
      <c r="DL466" s="355">
        <f t="shared" si="866"/>
        <v>2.0626719212849295E-2</v>
      </c>
      <c r="EC466"/>
    </row>
    <row r="467" spans="1:133" s="126" customFormat="1" ht="21" customHeight="1" x14ac:dyDescent="0.4">
      <c r="A467" s="233" t="s">
        <v>210</v>
      </c>
      <c r="B467" s="127" t="s">
        <v>210</v>
      </c>
      <c r="C467" s="127">
        <v>4057126</v>
      </c>
      <c r="D467" s="127" t="s">
        <v>206</v>
      </c>
      <c r="E467" s="127"/>
      <c r="F467" s="127"/>
      <c r="G467" s="127" t="s">
        <v>168</v>
      </c>
      <c r="H467" s="128">
        <v>2012</v>
      </c>
      <c r="I467" s="129"/>
      <c r="J467" s="125">
        <f>IFERROR(INDEX('Labor Expenditures'!$E$7:$W$91,MATCH($C467,'Labor Expenditures'!$C$7:$C$91,0),MATCH($G467,'Labor Expenditures'!$E$5:$W$5,0)),"NA")</f>
        <v>108349.33947576159</v>
      </c>
      <c r="K467" s="125">
        <f t="shared" ca="1" si="867"/>
        <v>868.18380990193577</v>
      </c>
      <c r="L467" s="47"/>
      <c r="M467" s="131">
        <f t="shared" ca="1" si="874"/>
        <v>-1.8427156166814049E-2</v>
      </c>
      <c r="N467" s="131"/>
      <c r="O467" s="131"/>
      <c r="P467" s="59">
        <f t="shared" ca="1" si="876"/>
        <v>-7.2620312142132777E-4</v>
      </c>
      <c r="Q467" s="61"/>
      <c r="R467" s="387"/>
      <c r="S467" s="49">
        <f t="shared" ca="1" si="881"/>
        <v>114.66422225818135</v>
      </c>
      <c r="T467" s="61">
        <f ca="1">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</f>
        <v>-1.1532192843693011E-2</v>
      </c>
      <c r="U467" s="61"/>
      <c r="V467" s="125">
        <f>IFERROR(INDEX('Non-Labor Expenditures'!$E$7:$AA$91,MATCH($C467,'Non-Labor Expenditures'!$C$7:$C$91,0),MATCH($G467,'Non-Labor Expenditures'!$E$5:$AA$5,0)),"NA")</f>
        <v>156910.0804260539</v>
      </c>
      <c r="W467" s="125">
        <f t="shared" si="868"/>
        <v>1569.100804260539</v>
      </c>
      <c r="X467" s="131">
        <f t="shared" si="877"/>
        <v>-5.5321567436873911E-3</v>
      </c>
      <c r="Y467" s="131">
        <f t="shared" si="878"/>
        <v>-2.1801896391875154E-4</v>
      </c>
      <c r="Z467" s="131"/>
      <c r="AA467" s="131"/>
      <c r="AB467" s="131"/>
      <c r="AC467" s="125">
        <f t="shared" si="848"/>
        <v>104730.20261821874</v>
      </c>
      <c r="AD467" s="129"/>
      <c r="AE467" s="133">
        <v>7465.9131406781898</v>
      </c>
      <c r="AF467" s="134">
        <v>1.6625720571678129E-2</v>
      </c>
      <c r="AG467" s="59">
        <f t="shared" si="869"/>
        <v>6.5520963005540674E-4</v>
      </c>
      <c r="AH467" s="134"/>
      <c r="AI467" s="134"/>
      <c r="AJ467" s="129">
        <f t="shared" si="796"/>
        <v>369989.6225200342</v>
      </c>
      <c r="AK467" s="134">
        <f t="shared" si="879"/>
        <v>3.4209687430191558E-2</v>
      </c>
      <c r="AL467" s="129"/>
      <c r="AM467" s="129"/>
      <c r="AN467" s="129"/>
      <c r="AO467" s="129"/>
      <c r="AP467" s="133">
        <f t="shared" si="880"/>
        <v>303.43632621799003</v>
      </c>
      <c r="AQ467" s="134">
        <f>+BB467/Outputs!$B$20</f>
        <v>3.4142143681143315E-2</v>
      </c>
      <c r="AR467" s="93">
        <f t="shared" si="870"/>
        <v>0.29284426611153042</v>
      </c>
      <c r="AS467" s="93">
        <f t="shared" si="871"/>
        <v>0.42409319309369964</v>
      </c>
      <c r="AT467" s="93">
        <f t="shared" si="872"/>
        <v>0.28306254079477</v>
      </c>
      <c r="AU467" s="93">
        <f t="shared" ca="1" si="875"/>
        <v>-3.241754025227252E-3</v>
      </c>
      <c r="AV467" s="132">
        <f t="shared" ca="1" si="883"/>
        <v>90.676145000133303</v>
      </c>
      <c r="AW467" s="134">
        <f t="shared" ca="1" si="884"/>
        <v>-3.2417540252272703E-3</v>
      </c>
      <c r="AX467" s="56">
        <f>+AJ467/$AL$17</f>
        <v>3.940939745923281E-2</v>
      </c>
      <c r="AY467" s="135">
        <f t="shared" ca="1" si="882"/>
        <v>-1.2775557284524933E-4</v>
      </c>
      <c r="AZ467" s="93"/>
      <c r="BA467" s="93"/>
      <c r="BB467" s="234">
        <f>IFERROR(INDEX('Total Customers'!$E$7:$AA$91,MATCH($C467,'Total Customers'!$C$7:$C$91,0),MATCH($G467,'Total Customers'!$E$5:$AA$5,0)),"NA")</f>
        <v>1219332</v>
      </c>
      <c r="BC467" s="411">
        <f t="shared" si="846"/>
        <v>2.4633952113910142E-3</v>
      </c>
      <c r="BD467" s="92"/>
      <c r="BE467" s="281" t="str">
        <f t="shared" si="839"/>
        <v>DTE GAS COMPANY</v>
      </c>
      <c r="BF467" s="290">
        <f t="shared" si="840"/>
        <v>4057126</v>
      </c>
      <c r="BG467" s="46" t="str">
        <f t="shared" si="841"/>
        <v>MI</v>
      </c>
      <c r="BH467" s="46"/>
      <c r="BI467" s="46" t="str">
        <f t="shared" si="842"/>
        <v>2012 Y</v>
      </c>
      <c r="BJ467" s="129"/>
      <c r="BK467" s="129"/>
      <c r="BL467" s="129">
        <f>INDEX('Dist. Plant Gas Additions'!$E$7:$AD$91,MATCH($C467,'Dist. Plant Gas Additions'!$C$7:$C$91,0),MATCH(Calculation!$G467,'Dist. Plant Gas Additions'!$E$5:$AD$5,0))</f>
        <v>104107</v>
      </c>
      <c r="BM467" s="129">
        <f>INDEX('Gen. Plant Additions'!$E$7:$AD$91,MATCH($C467,'Gen. Plant Additions'!$C$7:$C$91,0),MATCH(Calculation!$G467,'Gen. Plant Additions'!$E$5:$AD$5,0))</f>
        <v>15565</v>
      </c>
      <c r="BN467" s="393">
        <f t="shared" si="849"/>
        <v>0.93431481955317797</v>
      </c>
      <c r="BO467" s="46">
        <f t="shared" si="837"/>
        <v>14542.610166345215</v>
      </c>
      <c r="BP467" s="46">
        <f t="shared" si="838"/>
        <v>-1022.3898336547845</v>
      </c>
      <c r="BQ467" s="129">
        <f>INDEX('Dist Plant Depreciation'!$D$7:$AC$94,MATCH($C467,'Dist Plant Depreciation'!$C$7:$C$94,0),MATCH(Calculation!$G467,'Dist Plant Depreciation'!$D$5:$AC$5,0))</f>
        <v>1379765</v>
      </c>
      <c r="BR467" s="129">
        <f>INDEX('Gen. Plant Depreciation'!$D$7:$AC$94,MATCH($C467,'Gen. Plant Depreciation'!$C$7:$C$94,0),MATCH(Calculation!$G467,'Gen. Plant Depreciation'!$D$5:$AC$5,0))</f>
        <v>131682</v>
      </c>
      <c r="BS467" s="129"/>
      <c r="BT467" s="129"/>
      <c r="BU467" s="129"/>
      <c r="BV467" s="129"/>
      <c r="BW467" s="129"/>
      <c r="BX467" s="129"/>
      <c r="BY467" s="129">
        <f>INDEX('Gross Dx Plant'!$D$7:$AC$91,MATCH($C467,'Gross Dx Plant'!$C$7:$C$91,0),MATCH(Calculation!$G467,'Gross Dx Plant'!$D$5:$AC$5,0))</f>
        <v>2607170</v>
      </c>
      <c r="BZ467" s="129">
        <f>INDEX('Gross Gen Plant'!$D$7:$AC$91,MATCH($C467,'Gross Gen Plant'!$C$7:$C$91,0),MATCH(Calculation!$G467,'Gross Gen Plant'!$D$5:$AC$5,0))</f>
        <v>183292</v>
      </c>
      <c r="CA467" s="129">
        <f t="shared" si="885"/>
        <v>1279015</v>
      </c>
      <c r="CB467" s="129"/>
      <c r="CC467" s="133">
        <v>2012</v>
      </c>
      <c r="CD467" s="129"/>
      <c r="CE467" s="129"/>
      <c r="CF467" s="129"/>
      <c r="CG467" s="137"/>
      <c r="CH467" s="129">
        <f t="shared" si="850"/>
        <v>119672</v>
      </c>
      <c r="CI467" s="46">
        <f t="shared" si="859"/>
        <v>118649.61016634521</v>
      </c>
      <c r="CJ467" s="46">
        <f t="shared" si="851"/>
        <v>177.37506788056115</v>
      </c>
      <c r="CK467" s="443">
        <v>0.84090909090909094</v>
      </c>
      <c r="CL467" s="46">
        <f>+CL453*CK467+CJ454*CK466+CJ455*CK465+CJ456*CK464+CJ457*CK463+CJ458*CK462+CJ459*CK461+CJ460*CK460+CJ461*CK459+CJ462*CK458+CJ463*CK457+CJ464*CK456+CJ465*CK455+CJ466*CK454+CJ467</f>
        <v>6942.2934763875828</v>
      </c>
      <c r="CM467" s="134">
        <f t="shared" si="852"/>
        <v>1.1659772685859455E-2</v>
      </c>
      <c r="CN467" s="135">
        <f t="shared" si="853"/>
        <v>1.4121560624814098E-2</v>
      </c>
      <c r="CO467" s="135">
        <f t="shared" si="862"/>
        <v>1.3764186049563339E-2</v>
      </c>
      <c r="CP467" s="134">
        <f>VLOOKUP($H467,RoR!$E:$F,2,FALSE)</f>
        <v>3.6733333333333333E-2</v>
      </c>
      <c r="CQ467" s="135">
        <v>1.924331376386168E-2</v>
      </c>
      <c r="CR467" s="135">
        <f t="shared" si="860"/>
        <v>1.7490019569471653E-2</v>
      </c>
      <c r="CS467" s="135">
        <f t="shared" si="863"/>
        <v>1.7137755558970284E-2</v>
      </c>
      <c r="CT467" s="135">
        <f t="shared" si="864"/>
        <v>6.7122682943869583E-2</v>
      </c>
      <c r="CU467" s="139">
        <f t="shared" si="854"/>
        <v>0.87050000000000005</v>
      </c>
      <c r="CV467" s="335">
        <f t="shared" si="855"/>
        <v>1.3960631020522127</v>
      </c>
      <c r="CW467" s="335">
        <f t="shared" si="856"/>
        <v>0.29441923774954631</v>
      </c>
      <c r="CX467" s="335">
        <f t="shared" si="857"/>
        <v>0.76377954189366437</v>
      </c>
      <c r="CY467" s="335">
        <f t="shared" si="858"/>
        <v>0.31393465103033691</v>
      </c>
      <c r="CZ467" s="336">
        <f>INDEX('State Tax Lookup'!$D$7:$Z$91,MATCH(Calculation!$C467,'State Tax Lookup'!$B$7:$B$91,0),MATCH($H467,'State Tax Lookup'!$D$6:$Z$6,0))</f>
        <v>0.35</v>
      </c>
      <c r="DA467" s="303">
        <v>0.37</v>
      </c>
      <c r="DB467" s="57">
        <f t="shared" si="861"/>
        <v>15.262748562178661</v>
      </c>
      <c r="DC467" s="56">
        <f t="shared" si="865"/>
        <v>6.4980687758170091E-2</v>
      </c>
      <c r="DD467" s="303">
        <f>VLOOKUP($H467,RoR!$E:$F,2,FALSE)</f>
        <v>3.6733333333333333E-2</v>
      </c>
      <c r="DE467" s="304">
        <f>HLOOKUP($H467,'GDP-PI'!$D$8:$CQ$11,3,FALSE)</f>
        <v>1.924331376386168E-2</v>
      </c>
      <c r="DF467" s="303">
        <f>VLOOKUP(H467,'HW Dx Data'!$E:$F,2,FALSE)</f>
        <v>668.91932211262167</v>
      </c>
      <c r="DG467" s="89">
        <f ca="1">VLOOKUP(CC467,'ECI - Input Price'!M$13:N$33,2,FALSE)</f>
        <v>124.80000000000001</v>
      </c>
      <c r="DH467" s="89"/>
      <c r="DI467" s="89"/>
      <c r="DJ467" s="56">
        <f t="shared" ca="1" si="873"/>
        <v>3.1955502161869064E-2</v>
      </c>
      <c r="DK467" s="53">
        <f>HLOOKUP(H467,'GDP-PI'!$8:$9,2,FALSE)</f>
        <v>100</v>
      </c>
      <c r="DL467" s="355">
        <f t="shared" si="866"/>
        <v>1.9060502738742411E-2</v>
      </c>
      <c r="EC467"/>
    </row>
    <row r="468" spans="1:133" s="126" customFormat="1" ht="21" customHeight="1" x14ac:dyDescent="0.4">
      <c r="A468" s="233" t="s">
        <v>210</v>
      </c>
      <c r="B468" s="127" t="s">
        <v>210</v>
      </c>
      <c r="C468" s="127">
        <v>4057126</v>
      </c>
      <c r="D468" s="127" t="s">
        <v>206</v>
      </c>
      <c r="E468" s="127"/>
      <c r="F468" s="127"/>
      <c r="G468" s="127" t="s">
        <v>169</v>
      </c>
      <c r="H468" s="128">
        <v>2013</v>
      </c>
      <c r="I468" s="129"/>
      <c r="J468" s="125">
        <f>IFERROR(INDEX('Labor Expenditures'!$E$7:$W$91,MATCH($C468,'Labor Expenditures'!$C$7:$C$91,0),MATCH($G468,'Labor Expenditures'!$E$5:$W$5,0)),"NA")</f>
        <v>118720.24703085063</v>
      </c>
      <c r="K468" s="125">
        <f t="shared" ca="1" si="867"/>
        <v>936.27955071648762</v>
      </c>
      <c r="L468" s="47"/>
      <c r="M468" s="131">
        <f t="shared" ca="1" si="874"/>
        <v>7.5510642379725976E-2</v>
      </c>
      <c r="N468" s="131"/>
      <c r="O468" s="131"/>
      <c r="P468" s="59">
        <f t="shared" ca="1" si="876"/>
        <v>3.053648802080517E-3</v>
      </c>
      <c r="Q468" s="61"/>
      <c r="R468" s="387"/>
      <c r="S468" s="49">
        <f t="shared" ca="1" si="881"/>
        <v>107.68389518788234</v>
      </c>
      <c r="T468" s="61">
        <f ca="1">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</f>
        <v>-6.2808011984137213E-2</v>
      </c>
      <c r="U468" s="61"/>
      <c r="V468" s="125">
        <f>IFERROR(INDEX('Non-Labor Expenditures'!$E$7:$AA$91,MATCH($C468,'Non-Labor Expenditures'!$C$7:$C$91,0),MATCH($G468,'Non-Labor Expenditures'!$E$5:$AA$5,0)),"NA")</f>
        <v>171929.09158416279</v>
      </c>
      <c r="W468" s="125">
        <f t="shared" si="868"/>
        <v>1689.3389364975267</v>
      </c>
      <c r="X468" s="131">
        <f t="shared" si="877"/>
        <v>7.3834571431013574E-2</v>
      </c>
      <c r="Y468" s="131">
        <f t="shared" si="878"/>
        <v>2.9858685278908253E-3</v>
      </c>
      <c r="Z468" s="131"/>
      <c r="AA468" s="131"/>
      <c r="AB468" s="131"/>
      <c r="AC468" s="125">
        <f t="shared" si="848"/>
        <v>102855.05621825633</v>
      </c>
      <c r="AD468" s="129"/>
      <c r="AE468" s="133">
        <v>7702.4597777907711</v>
      </c>
      <c r="AF468" s="134">
        <v>3.1191983065876405E-2</v>
      </c>
      <c r="AG468" s="59">
        <f t="shared" si="869"/>
        <v>1.261403144269939E-3</v>
      </c>
      <c r="AH468" s="134"/>
      <c r="AI468" s="134"/>
      <c r="AJ468" s="129">
        <f t="shared" si="796"/>
        <v>393504.39483326976</v>
      </c>
      <c r="AK468" s="134">
        <f t="shared" si="879"/>
        <v>6.1617278365778946E-2</v>
      </c>
      <c r="AL468" s="129"/>
      <c r="AM468" s="129"/>
      <c r="AN468" s="129"/>
      <c r="AO468" s="129"/>
      <c r="AP468" s="133">
        <f t="shared" si="880"/>
        <v>321.27921982133466</v>
      </c>
      <c r="AQ468" s="134">
        <f>+BB468/Outputs!$B$21</f>
        <v>3.407681586285996E-2</v>
      </c>
      <c r="AR468" s="93">
        <f t="shared" si="870"/>
        <v>0.30169992658189532</v>
      </c>
      <c r="AS468" s="93">
        <f t="shared" si="871"/>
        <v>0.43691784346401064</v>
      </c>
      <c r="AT468" s="93">
        <f t="shared" si="872"/>
        <v>0.26138222995409405</v>
      </c>
      <c r="AU468" s="93">
        <f t="shared" ca="1" si="875"/>
        <v>6.272455343226549E-2</v>
      </c>
      <c r="AV468" s="132">
        <f t="shared" ca="1" si="883"/>
        <v>96.545931194949745</v>
      </c>
      <c r="AW468" s="134">
        <f t="shared" ca="1" si="884"/>
        <v>6.2724553432265434E-2</v>
      </c>
      <c r="AX468" s="56">
        <f>+AJ468/$AL$18</f>
        <v>4.0439979132006407E-2</v>
      </c>
      <c r="AY468" s="135">
        <f t="shared" ca="1" si="882"/>
        <v>2.5365796318652348E-3</v>
      </c>
      <c r="AZ468" s="93"/>
      <c r="BA468" s="93"/>
      <c r="BB468" s="234">
        <f>IFERROR(INDEX('Total Customers'!$E$7:$AA$91,MATCH($C468,'Total Customers'!$C$7:$C$91,0),MATCH($G468,'Total Customers'!$E$5:$AA$5,0)),"NA")</f>
        <v>1224805</v>
      </c>
      <c r="BC468" s="411">
        <f t="shared" si="846"/>
        <v>4.4784798459012506E-3</v>
      </c>
      <c r="BD468" s="92"/>
      <c r="BE468" s="281" t="str">
        <f t="shared" si="839"/>
        <v>DTE GAS COMPANY</v>
      </c>
      <c r="BF468" s="290">
        <f t="shared" si="840"/>
        <v>4057126</v>
      </c>
      <c r="BG468" s="46" t="str">
        <f t="shared" si="841"/>
        <v>MI</v>
      </c>
      <c r="BH468" s="46"/>
      <c r="BI468" s="46" t="str">
        <f t="shared" si="842"/>
        <v>2013 Y</v>
      </c>
      <c r="BJ468" s="129"/>
      <c r="BK468" s="129"/>
      <c r="BL468" s="129">
        <f>INDEX('Dist. Plant Gas Additions'!$E$7:$AD$91,MATCH($C468,'Dist. Plant Gas Additions'!$C$7:$C$91,0),MATCH(Calculation!$G468,'Dist. Plant Gas Additions'!$E$5:$AD$5,0))</f>
        <v>174586</v>
      </c>
      <c r="BM468" s="129">
        <f>INDEX('Gen. Plant Additions'!$E$7:$AD$91,MATCH($C468,'Gen. Plant Additions'!$C$7:$C$91,0),MATCH(Calculation!$G468,'Gen. Plant Additions'!$E$5:$AD$5,0))</f>
        <v>21260</v>
      </c>
      <c r="BN468" s="393">
        <f t="shared" si="849"/>
        <v>0.93647980266150177</v>
      </c>
      <c r="BO468" s="46">
        <f t="shared" si="837"/>
        <v>19909.560604583527</v>
      </c>
      <c r="BP468" s="46">
        <f t="shared" si="838"/>
        <v>-1350.4393954164734</v>
      </c>
      <c r="BQ468" s="129">
        <f>INDEX('Dist Plant Depreciation'!$D$7:$AC$94,MATCH($C468,'Dist Plant Depreciation'!$C$7:$C$94,0),MATCH(Calculation!$G468,'Dist Plant Depreciation'!$D$5:$AC$5,0))</f>
        <v>1404631</v>
      </c>
      <c r="BR468" s="129">
        <f>INDEX('Gen. Plant Depreciation'!$D$7:$AC$94,MATCH($C468,'Gen. Plant Depreciation'!$C$7:$C$94,0),MATCH(Calculation!$G468,'Gen. Plant Depreciation'!$D$5:$AC$5,0))</f>
        <v>123573</v>
      </c>
      <c r="BS468" s="129"/>
      <c r="BT468" s="129"/>
      <c r="BU468" s="129"/>
      <c r="BV468" s="129"/>
      <c r="BW468" s="129"/>
      <c r="BX468" s="129"/>
      <c r="BY468" s="129">
        <f>INDEX('Gross Dx Plant'!$D$7:$AC$91,MATCH($C468,'Gross Dx Plant'!$C$7:$C$91,0),MATCH(Calculation!$G468,'Gross Dx Plant'!$D$5:$AC$5,0))</f>
        <v>2756975</v>
      </c>
      <c r="BZ468" s="129">
        <f>INDEX('Gross Gen Plant'!$D$7:$AC$91,MATCH($C468,'Gross Gen Plant'!$C$7:$C$91,0),MATCH(Calculation!$G468,'Gross Gen Plant'!$D$5:$AC$5,0))</f>
        <v>187002</v>
      </c>
      <c r="CA468" s="129">
        <f t="shared" si="885"/>
        <v>1415773</v>
      </c>
      <c r="CB468" s="129"/>
      <c r="CC468" s="133">
        <v>2013</v>
      </c>
      <c r="CD468" s="129"/>
      <c r="CE468" s="129"/>
      <c r="CF468" s="129"/>
      <c r="CG468" s="137"/>
      <c r="CH468" s="129">
        <f t="shared" si="850"/>
        <v>195846</v>
      </c>
      <c r="CI468" s="46">
        <f t="shared" si="859"/>
        <v>194495.56060458353</v>
      </c>
      <c r="CJ468" s="46">
        <f t="shared" si="851"/>
        <v>293.24693281609365</v>
      </c>
      <c r="CK468" s="443">
        <v>0.82758620689655171</v>
      </c>
      <c r="CL468" s="46">
        <f>+CL453*CK468+CJ454*CK467+CJ455*CK466+CJ456*CK465+CJ457*CK464+CJ458*CK463+CJ459*CK462+CJ460*CK461+CJ461*CK460+CJ462*CK459+CJ463*CK458+CJ464*CK457+CJ465*CK456+CJ466*CK455+CJ467*CK454+CJ468</f>
        <v>7134.7032351368243</v>
      </c>
      <c r="CM468" s="134">
        <f t="shared" si="852"/>
        <v>2.7338465204040246E-2</v>
      </c>
      <c r="CN468" s="135">
        <f t="shared" si="853"/>
        <v>1.4525052046535302E-2</v>
      </c>
      <c r="CO468" s="135">
        <f t="shared" si="862"/>
        <v>1.4141655993235788E-2</v>
      </c>
      <c r="CP468" s="134">
        <f>VLOOKUP($H468,RoR!$E:$F,2,FALSE)</f>
        <v>4.2350000000000006E-2</v>
      </c>
      <c r="CQ468" s="135">
        <v>1.7730000000000024E-2</v>
      </c>
      <c r="CR468" s="135">
        <f t="shared" si="860"/>
        <v>2.4619999999999982E-2</v>
      </c>
      <c r="CS468" s="135">
        <f t="shared" si="863"/>
        <v>1.6760285615297837E-2</v>
      </c>
      <c r="CT468" s="135">
        <f t="shared" si="864"/>
        <v>5.3376742735721204E-2</v>
      </c>
      <c r="CU468" s="139">
        <f t="shared" si="854"/>
        <v>0.87050000000000005</v>
      </c>
      <c r="CV468" s="335">
        <f t="shared" si="855"/>
        <v>1.2109103018193925</v>
      </c>
      <c r="CW468" s="335">
        <f t="shared" si="856"/>
        <v>0.38468122786304604</v>
      </c>
      <c r="CX468" s="335">
        <f t="shared" si="857"/>
        <v>0.80969194503422559</v>
      </c>
      <c r="CY468" s="335">
        <f t="shared" si="858"/>
        <v>0.37716621754800816</v>
      </c>
      <c r="CZ468" s="336">
        <f>INDEX('State Tax Lookup'!$D$7:$Z$91,MATCH(Calculation!$C468,'State Tax Lookup'!$B$7:$B$91,0),MATCH($H468,'State Tax Lookup'!$D$6:$Z$6,0))</f>
        <v>0.35</v>
      </c>
      <c r="DA468" s="303">
        <v>0.37</v>
      </c>
      <c r="DB468" s="57">
        <f t="shared" si="861"/>
        <v>14.815717106758916</v>
      </c>
      <c r="DC468" s="56">
        <f t="shared" si="865"/>
        <v>-2.9726541159178992E-2</v>
      </c>
      <c r="DD468" s="303">
        <f>VLOOKUP($H468,RoR!$E:$F,2,FALSE)</f>
        <v>4.2350000000000006E-2</v>
      </c>
      <c r="DE468" s="304">
        <f>HLOOKUP($H468,'GDP-PI'!$D$8:$CQ$11,3,FALSE)</f>
        <v>1.7730000000000024E-2</v>
      </c>
      <c r="DF468" s="303">
        <f>VLOOKUP(H468,'HW Dx Data'!$E:$F,2,FALSE)</f>
        <v>663.24840548821396</v>
      </c>
      <c r="DG468" s="89">
        <f ca="1">VLOOKUP(CC468,'ECI - Input Price'!M$13:N$33,2,FALSE)</f>
        <v>126.8</v>
      </c>
      <c r="DH468" s="89"/>
      <c r="DI468" s="89"/>
      <c r="DJ468" s="56">
        <f t="shared" ca="1" si="873"/>
        <v>1.5898586067798204E-2</v>
      </c>
      <c r="DK468" s="53">
        <f>HLOOKUP(H468,'GDP-PI'!$8:$9,2,FALSE)</f>
        <v>101.773</v>
      </c>
      <c r="DL468" s="355">
        <f t="shared" si="866"/>
        <v>1.7574657016510519E-2</v>
      </c>
      <c r="EC468"/>
    </row>
    <row r="469" spans="1:133" s="126" customFormat="1" ht="21" customHeight="1" x14ac:dyDescent="0.4">
      <c r="A469" s="233" t="s">
        <v>210</v>
      </c>
      <c r="B469" s="127" t="s">
        <v>210</v>
      </c>
      <c r="C469" s="127">
        <v>4057126</v>
      </c>
      <c r="D469" s="127" t="s">
        <v>206</v>
      </c>
      <c r="E469" s="127"/>
      <c r="F469" s="127"/>
      <c r="G469" s="127" t="s">
        <v>170</v>
      </c>
      <c r="H469" s="128">
        <v>2014</v>
      </c>
      <c r="I469" s="129"/>
      <c r="J469" s="125">
        <f>IFERROR(INDEX('Labor Expenditures'!$E$7:$W$91,MATCH($C469,'Labor Expenditures'!$C$7:$C$91,0),MATCH($G469,'Labor Expenditures'!$E$5:$W$5,0)),"NA")</f>
        <v>125970.19649661025</v>
      </c>
      <c r="K469" s="125">
        <f t="shared" ca="1" si="867"/>
        <v>973.49456334320132</v>
      </c>
      <c r="L469" s="47"/>
      <c r="M469" s="131">
        <f t="shared" ca="1" si="874"/>
        <v>3.8978142965251879E-2</v>
      </c>
      <c r="N469" s="131"/>
      <c r="O469" s="131"/>
      <c r="P469" s="59">
        <f t="shared" ca="1" si="876"/>
        <v>1.6335070782137781E-3</v>
      </c>
      <c r="Q469" s="61"/>
      <c r="R469" s="387"/>
      <c r="S469" s="49">
        <f t="shared" ca="1" si="881"/>
        <v>119.68527024450137</v>
      </c>
      <c r="T469" s="61">
        <f ca="1">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</f>
        <v>0.10566551041240382</v>
      </c>
      <c r="U469" s="61"/>
      <c r="V469" s="125">
        <f>IFERROR(INDEX('Non-Labor Expenditures'!$E$7:$AA$91,MATCH($C469,'Non-Labor Expenditures'!$C$7:$C$91,0),MATCH($G469,'Non-Labor Expenditures'!$E$5:$AA$5,0)),"NA")</f>
        <v>182428.37251435855</v>
      </c>
      <c r="W469" s="125">
        <f t="shared" si="868"/>
        <v>1760.0931287384926</v>
      </c>
      <c r="X469" s="131">
        <f t="shared" si="877"/>
        <v>4.1029431130670861E-2</v>
      </c>
      <c r="Y469" s="131">
        <f t="shared" si="878"/>
        <v>1.7194730448493673E-3</v>
      </c>
      <c r="Z469" s="131"/>
      <c r="AA469" s="131"/>
      <c r="AB469" s="131"/>
      <c r="AC469" s="125">
        <f t="shared" si="848"/>
        <v>106879.70999712797</v>
      </c>
      <c r="AD469" s="129"/>
      <c r="AE469" s="133">
        <v>7921.7318756399154</v>
      </c>
      <c r="AF469" s="134">
        <v>2.807012358097636E-2</v>
      </c>
      <c r="AG469" s="59">
        <f t="shared" si="869"/>
        <v>1.1763707059296549E-3</v>
      </c>
      <c r="AH469" s="134"/>
      <c r="AI469" s="134"/>
      <c r="AJ469" s="129">
        <f t="shared" si="796"/>
        <v>415278.27900809678</v>
      </c>
      <c r="AK469" s="134">
        <f t="shared" si="879"/>
        <v>5.3856610970445966E-2</v>
      </c>
      <c r="AL469" s="129"/>
      <c r="AM469" s="129"/>
      <c r="AN469" s="129"/>
      <c r="AO469" s="129"/>
      <c r="AP469" s="133">
        <f t="shared" si="880"/>
        <v>337.3744662559929</v>
      </c>
      <c r="AQ469" s="134">
        <f>+BB469/Outputs!$B$22</f>
        <v>3.4063721701359628E-2</v>
      </c>
      <c r="AR469" s="93">
        <f t="shared" si="870"/>
        <v>0.30333923748069225</v>
      </c>
      <c r="AS469" s="93">
        <f t="shared" si="871"/>
        <v>0.43929187182651008</v>
      </c>
      <c r="AT469" s="93">
        <f t="shared" si="872"/>
        <v>0.25736889069279761</v>
      </c>
      <c r="AU469" s="93">
        <f t="shared" ca="1" si="875"/>
        <v>3.7047548635136693E-2</v>
      </c>
      <c r="AV469" s="132">
        <f t="shared" ca="1" si="883"/>
        <v>100.18980276644002</v>
      </c>
      <c r="AW469" s="134">
        <f t="shared" ca="1" si="884"/>
        <v>3.7047548635136714E-2</v>
      </c>
      <c r="AX469" s="56">
        <f>+AJ469/$AL$19</f>
        <v>4.1908283821269071E-2</v>
      </c>
      <c r="AY469" s="135">
        <f t="shared" ca="1" si="882"/>
        <v>1.5525991830835789E-3</v>
      </c>
      <c r="AZ469" s="93"/>
      <c r="BA469" s="93"/>
      <c r="BB469" s="234">
        <f>IFERROR(INDEX('Total Customers'!$E$7:$AA$91,MATCH($C469,'Total Customers'!$C$7:$C$91,0),MATCH($G469,'Total Customers'!$E$5:$AA$5,0)),"NA")</f>
        <v>1230912</v>
      </c>
      <c r="BC469" s="411">
        <f t="shared" si="846"/>
        <v>4.9737103986094945E-3</v>
      </c>
      <c r="BD469" s="92"/>
      <c r="BE469" s="281" t="str">
        <f t="shared" si="839"/>
        <v>DTE GAS COMPANY</v>
      </c>
      <c r="BF469" s="290">
        <f t="shared" si="840"/>
        <v>4057126</v>
      </c>
      <c r="BG469" s="46" t="str">
        <f t="shared" si="841"/>
        <v>MI</v>
      </c>
      <c r="BH469" s="46"/>
      <c r="BI469" s="46" t="str">
        <f t="shared" si="842"/>
        <v>2014 Y</v>
      </c>
      <c r="BJ469" s="129"/>
      <c r="BK469" s="129"/>
      <c r="BL469" s="129">
        <f>INDEX('Dist. Plant Gas Additions'!$E$7:$AD$91,MATCH($C469,'Dist. Plant Gas Additions'!$C$7:$C$91,0),MATCH(Calculation!$G469,'Dist. Plant Gas Additions'!$E$5:$AD$5,0))</f>
        <v>172353</v>
      </c>
      <c r="BM469" s="129">
        <f>INDEX('Gen. Plant Additions'!$E$7:$AD$91,MATCH($C469,'Gen. Plant Additions'!$C$7:$C$91,0),MATCH(Calculation!$G469,'Gen. Plant Additions'!$E$5:$AD$5,0))</f>
        <v>20436</v>
      </c>
      <c r="BN469" s="393">
        <f t="shared" si="849"/>
        <v>0.9348613228851016</v>
      </c>
      <c r="BO469" s="46">
        <f t="shared" si="837"/>
        <v>19104.825994479936</v>
      </c>
      <c r="BP469" s="46">
        <f t="shared" si="838"/>
        <v>-1331.1740055200644</v>
      </c>
      <c r="BQ469" s="129">
        <f>INDEX('Dist Plant Depreciation'!$D$7:$AC$94,MATCH($C469,'Dist Plant Depreciation'!$C$7:$C$94,0),MATCH(Calculation!$G469,'Dist Plant Depreciation'!$D$5:$AC$5,0))</f>
        <v>1411153</v>
      </c>
      <c r="BR469" s="129">
        <f>INDEX('Gen. Plant Depreciation'!$D$7:$AC$94,MATCH($C469,'Gen. Plant Depreciation'!$C$7:$C$94,0),MATCH(Calculation!$G469,'Gen. Plant Depreciation'!$D$5:$AC$5,0))</f>
        <v>117870</v>
      </c>
      <c r="BS469" s="129"/>
      <c r="BT469" s="129"/>
      <c r="BU469" s="129"/>
      <c r="BV469" s="129"/>
      <c r="BW469" s="129"/>
      <c r="BX469" s="129"/>
      <c r="BY469" s="129">
        <f>INDEX('Gross Dx Plant'!$D$7:$AC$91,MATCH($C469,'Gross Dx Plant'!$C$7:$C$91,0),MATCH(Calculation!$G469,'Gross Dx Plant'!$D$5:$AC$5,0))</f>
        <v>2906166</v>
      </c>
      <c r="BZ469" s="129">
        <f>INDEX('Gross Gen Plant'!$D$7:$AC$91,MATCH($C469,'Gross Gen Plant'!$C$7:$C$91,0),MATCH(Calculation!$G469,'Gross Gen Plant'!$D$5:$AC$5,0))</f>
        <v>202494</v>
      </c>
      <c r="CA469" s="129">
        <f t="shared" si="885"/>
        <v>1579637</v>
      </c>
      <c r="CB469" s="129"/>
      <c r="CC469" s="133">
        <v>2014</v>
      </c>
      <c r="CD469" s="129"/>
      <c r="CE469" s="129"/>
      <c r="CF469" s="129"/>
      <c r="CG469" s="137"/>
      <c r="CH469" s="129">
        <f t="shared" si="850"/>
        <v>192789</v>
      </c>
      <c r="CI469" s="46">
        <f t="shared" si="859"/>
        <v>191457.82599447994</v>
      </c>
      <c r="CJ469" s="46">
        <f t="shared" si="851"/>
        <v>279.71724948354256</v>
      </c>
      <c r="CK469" s="443">
        <v>0.81395348837209303</v>
      </c>
      <c r="CL469" s="46">
        <f>+CL453*CK469+CJ454*CK468+CJ455*CK467+CJ456*CK466+CJ457*CK465+CJ458*CK464+CJ459*CK463+CJ460*CK462+CJ461*CK461+CJ462*CK460+CJ463*CK459+CJ464*CK458+CJ465*CK457+CJ466*CK456+CJ467*CK455+CJ468*CK454+CJ469</f>
        <v>7308.3887310534064</v>
      </c>
      <c r="CM469" s="134">
        <f t="shared" si="852"/>
        <v>2.4052172406298096E-2</v>
      </c>
      <c r="CN469" s="135">
        <f t="shared" si="853"/>
        <v>1.4861410499146997E-2</v>
      </c>
      <c r="CO469" s="135">
        <f t="shared" si="862"/>
        <v>1.4502674390165468E-2</v>
      </c>
      <c r="CP469" s="134">
        <f>VLOOKUP($H469,RoR!$E:$F,2,FALSE)</f>
        <v>4.1625000000000002E-2</v>
      </c>
      <c r="CQ469" s="135">
        <v>1.841352814597208E-2</v>
      </c>
      <c r="CR469" s="135">
        <f t="shared" si="860"/>
        <v>2.3211471854027922E-2</v>
      </c>
      <c r="CS469" s="135">
        <f t="shared" si="863"/>
        <v>1.6399267218368159E-2</v>
      </c>
      <c r="CT469" s="135">
        <f t="shared" si="864"/>
        <v>3.9072621432650924E-2</v>
      </c>
      <c r="CU469" s="139">
        <f t="shared" si="854"/>
        <v>0.87050000000000005</v>
      </c>
      <c r="CV469" s="335">
        <f t="shared" si="855"/>
        <v>1.2320012320012319</v>
      </c>
      <c r="CW469" s="335">
        <f t="shared" si="856"/>
        <v>0.37439939939939942</v>
      </c>
      <c r="CX469" s="335">
        <f t="shared" si="857"/>
        <v>0.80432100613819935</v>
      </c>
      <c r="CY469" s="335">
        <f t="shared" si="858"/>
        <v>0.37100152660040037</v>
      </c>
      <c r="CZ469" s="336">
        <f>INDEX('State Tax Lookup'!$D$7:$Z$91,MATCH(Calculation!$C469,'State Tax Lookup'!$B$7:$B$91,0),MATCH($H469,'State Tax Lookup'!$D$6:$Z$6,0))</f>
        <v>0.35</v>
      </c>
      <c r="DA469" s="303">
        <v>0.37</v>
      </c>
      <c r="DB469" s="57">
        <f t="shared" si="861"/>
        <v>14.980260071753118</v>
      </c>
      <c r="DC469" s="56">
        <f t="shared" si="865"/>
        <v>1.1044755248333234E-2</v>
      </c>
      <c r="DD469" s="303">
        <f>VLOOKUP($H469,RoR!$E:$F,2,FALSE)</f>
        <v>4.1625000000000002E-2</v>
      </c>
      <c r="DE469" s="304">
        <f>HLOOKUP($H469,'GDP-PI'!$D$8:$CQ$11,3,FALSE)</f>
        <v>1.841352814597208E-2</v>
      </c>
      <c r="DF469" s="303">
        <f>VLOOKUP(H469,'HW Dx Data'!$E:$F,2,FALSE)</f>
        <v>684.46914285042885</v>
      </c>
      <c r="DG469" s="89">
        <f ca="1">VLOOKUP(CC469,'ECI - Input Price'!M$13:N$33,2,FALSE)</f>
        <v>129.4</v>
      </c>
      <c r="DH469" s="89"/>
      <c r="DI469" s="89"/>
      <c r="DJ469" s="56">
        <f t="shared" ca="1" si="873"/>
        <v>2.0297340063674733E-2</v>
      </c>
      <c r="DK469" s="53">
        <f>HLOOKUP(H469,'GDP-PI'!$8:$9,2,FALSE)</f>
        <v>103.64700000000001</v>
      </c>
      <c r="DL469" s="355">
        <f t="shared" si="866"/>
        <v>1.8246051898256087E-2</v>
      </c>
      <c r="EC469"/>
    </row>
    <row r="470" spans="1:133" s="126" customFormat="1" ht="21" customHeight="1" x14ac:dyDescent="0.4">
      <c r="A470" s="233" t="s">
        <v>210</v>
      </c>
      <c r="B470" s="127" t="s">
        <v>210</v>
      </c>
      <c r="C470" s="127">
        <v>4057126</v>
      </c>
      <c r="D470" s="127" t="s">
        <v>206</v>
      </c>
      <c r="E470" s="127"/>
      <c r="F470" s="127"/>
      <c r="G470" s="127" t="s">
        <v>171</v>
      </c>
      <c r="H470" s="128">
        <v>2015</v>
      </c>
      <c r="I470" s="129"/>
      <c r="J470" s="125">
        <f>IFERROR(INDEX('Labor Expenditures'!$E$7:$W$91,MATCH($C470,'Labor Expenditures'!$C$7:$C$91,0),MATCH($G470,'Labor Expenditures'!$E$5:$W$5,0)),"NA")</f>
        <v>119838.09021499062</v>
      </c>
      <c r="K470" s="125">
        <f t="shared" ca="1" si="867"/>
        <v>897.66359711603457</v>
      </c>
      <c r="L470" s="47"/>
      <c r="M470" s="131">
        <f t="shared" ca="1" si="874"/>
        <v>-8.1096855486117558E-2</v>
      </c>
      <c r="N470" s="131"/>
      <c r="O470" s="131"/>
      <c r="P470" s="59">
        <f t="shared" ca="1" si="876"/>
        <v>-3.251622439825512E-3</v>
      </c>
      <c r="Q470" s="61"/>
      <c r="R470" s="387"/>
      <c r="S470" s="49">
        <f t="shared" ca="1" si="881"/>
        <v>117.84042672069481</v>
      </c>
      <c r="T470" s="61">
        <f ca="1">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</f>
        <v>-1.5534156055496151E-2</v>
      </c>
      <c r="U470" s="61"/>
      <c r="V470" s="125">
        <f>IFERROR(INDEX('Non-Labor Expenditures'!$E$7:$AA$91,MATCH($C470,'Non-Labor Expenditures'!$C$7:$C$91,0),MATCH($G470,'Non-Labor Expenditures'!$E$5:$AA$5,0)),"NA")</f>
        <v>173547.9372991047</v>
      </c>
      <c r="W470" s="125">
        <f t="shared" si="868"/>
        <v>1658.5397155850562</v>
      </c>
      <c r="X470" s="131">
        <f t="shared" si="877"/>
        <v>-5.9429195898056328E-2</v>
      </c>
      <c r="Y470" s="131">
        <f t="shared" si="878"/>
        <v>-2.3828458675069827E-3</v>
      </c>
      <c r="Z470" s="131"/>
      <c r="AA470" s="131"/>
      <c r="AB470" s="131"/>
      <c r="AC470" s="125">
        <f t="shared" si="848"/>
        <v>105988.27204590167</v>
      </c>
      <c r="AD470" s="129"/>
      <c r="AE470" s="133">
        <v>8111.0076334747755</v>
      </c>
      <c r="AF470" s="134">
        <v>2.3612253126049709E-2</v>
      </c>
      <c r="AG470" s="59">
        <f t="shared" si="869"/>
        <v>9.467461057432303E-4</v>
      </c>
      <c r="AH470" s="134"/>
      <c r="AI470" s="134"/>
      <c r="AJ470" s="129">
        <f t="shared" si="796"/>
        <v>399374.29955999699</v>
      </c>
      <c r="AK470" s="134">
        <f t="shared" si="879"/>
        <v>-3.9049776048134914E-2</v>
      </c>
      <c r="AL470" s="129"/>
      <c r="AM470" s="129"/>
      <c r="AN470" s="129"/>
      <c r="AO470" s="129"/>
      <c r="AP470" s="133">
        <f t="shared" si="880"/>
        <v>322.69280767272687</v>
      </c>
      <c r="AQ470" s="134">
        <f>+BB470/Outputs!$B$23</f>
        <v>3.3971138626993205E-2</v>
      </c>
      <c r="AR470" s="93">
        <f t="shared" si="870"/>
        <v>0.30006460192110496</v>
      </c>
      <c r="AS470" s="93">
        <f t="shared" si="871"/>
        <v>0.43454958791867132</v>
      </c>
      <c r="AT470" s="93">
        <f t="shared" si="872"/>
        <v>0.26538581016022372</v>
      </c>
      <c r="AU470" s="93">
        <f t="shared" ca="1" si="875"/>
        <v>-4.4261216469700992E-2</v>
      </c>
      <c r="AV470" s="132">
        <f t="shared" ca="1" si="883"/>
        <v>95.851986867696269</v>
      </c>
      <c r="AW470" s="134">
        <f t="shared" ca="1" si="884"/>
        <v>-4.426121646970102E-2</v>
      </c>
      <c r="AX470" s="56">
        <f>+AJ470/$AL$20</f>
        <v>4.0095542796750434E-2</v>
      </c>
      <c r="AY470" s="135">
        <f t="shared" ca="1" si="882"/>
        <v>-1.7746774991971325E-3</v>
      </c>
      <c r="AZ470" s="93"/>
      <c r="BA470" s="93"/>
      <c r="BB470" s="234">
        <f>IFERROR(INDEX('Total Customers'!$E$7:$AA$91,MATCH($C470,'Total Customers'!$C$7:$C$91,0),MATCH($G470,'Total Customers'!$E$5:$AA$5,0)),"NA")</f>
        <v>1237630</v>
      </c>
      <c r="BC470" s="411">
        <f t="shared" si="846"/>
        <v>5.4429023975762682E-3</v>
      </c>
      <c r="BD470" s="92"/>
      <c r="BE470" s="281" t="str">
        <f t="shared" si="839"/>
        <v>DTE GAS COMPANY</v>
      </c>
      <c r="BF470" s="290">
        <f t="shared" si="840"/>
        <v>4057126</v>
      </c>
      <c r="BG470" s="46" t="str">
        <f t="shared" si="841"/>
        <v>MI</v>
      </c>
      <c r="BH470" s="46"/>
      <c r="BI470" s="46" t="str">
        <f t="shared" si="842"/>
        <v>2015 Y</v>
      </c>
      <c r="BJ470" s="129"/>
      <c r="BK470" s="129"/>
      <c r="BL470" s="129">
        <f>INDEX('Dist. Plant Gas Additions'!$E$7:$AD$91,MATCH($C470,'Dist. Plant Gas Additions'!$C$7:$C$91,0),MATCH(Calculation!$G470,'Dist. Plant Gas Additions'!$E$5:$AD$5,0))</f>
        <v>158781</v>
      </c>
      <c r="BM470" s="129">
        <f>INDEX('Gen. Plant Additions'!$E$7:$AD$91,MATCH($C470,'Gen. Plant Additions'!$C$7:$C$91,0),MATCH(Calculation!$G470,'Gen. Plant Additions'!$E$5:$AD$5,0))</f>
        <v>13785</v>
      </c>
      <c r="BN470" s="393">
        <f t="shared" si="849"/>
        <v>0.93640521244871011</v>
      </c>
      <c r="BO470" s="46">
        <f t="shared" si="837"/>
        <v>12908.34585360547</v>
      </c>
      <c r="BP470" s="46">
        <f t="shared" si="838"/>
        <v>-876.65414639453047</v>
      </c>
      <c r="BQ470" s="129">
        <f>INDEX('Dist Plant Depreciation'!$D$7:$AC$94,MATCH($C470,'Dist Plant Depreciation'!$C$7:$C$94,0),MATCH(Calculation!$G470,'Dist Plant Depreciation'!$D$5:$AC$5,0))</f>
        <v>1431410</v>
      </c>
      <c r="BR470" s="129">
        <f>INDEX('Gen. Plant Depreciation'!$D$7:$AC$94,MATCH($C470,'Gen. Plant Depreciation'!$C$7:$C$94,0),MATCH(Calculation!$G470,'Gen. Plant Depreciation'!$D$5:$AC$5,0))</f>
        <v>114292</v>
      </c>
      <c r="BS470" s="129"/>
      <c r="BT470" s="129"/>
      <c r="BU470" s="129"/>
      <c r="BV470" s="129"/>
      <c r="BW470" s="129"/>
      <c r="BX470" s="129"/>
      <c r="BY470" s="129">
        <f>INDEX('Gross Dx Plant'!$D$7:$AC$91,MATCH($C470,'Gross Dx Plant'!$C$7:$C$91,0),MATCH(Calculation!$G470,'Gross Dx Plant'!$D$5:$AC$5,0))</f>
        <v>3047115</v>
      </c>
      <c r="BZ470" s="129">
        <f>INDEX('Gross Gen Plant'!$D$7:$AC$91,MATCH($C470,'Gross Gen Plant'!$C$7:$C$91,0),MATCH(Calculation!$G470,'Gross Gen Plant'!$D$5:$AC$5,0))</f>
        <v>206941</v>
      </c>
      <c r="CA470" s="129">
        <f t="shared" si="885"/>
        <v>1708354</v>
      </c>
      <c r="CB470" s="129"/>
      <c r="CC470" s="133">
        <v>2015</v>
      </c>
      <c r="CD470" s="129"/>
      <c r="CE470" s="129"/>
      <c r="CF470" s="129"/>
      <c r="CG470" s="137"/>
      <c r="CH470" s="129">
        <f t="shared" si="850"/>
        <v>172566</v>
      </c>
      <c r="CI470" s="46">
        <f t="shared" si="859"/>
        <v>171689.34585360548</v>
      </c>
      <c r="CJ470" s="46">
        <f t="shared" si="851"/>
        <v>254.12319012276888</v>
      </c>
      <c r="CK470" s="443">
        <v>0.8</v>
      </c>
      <c r="CL470" s="46">
        <f>+CL453*CK470+CJ454*CK469+CJ455*CK468+CJ456*CK467+CJ457*CK466+CJ458*CK465+CJ459*CK464+CJ460*CK463+CJ461*CK462+CJ462*CK461+CJ463*CK460+CJ464*CK459+CJ465*CK458+CJ466*CK457+CJ467*CK456+CJ468*CK455+CJ469*CK454+CJ470</f>
        <v>7451.2823510384378</v>
      </c>
      <c r="CM470" s="134">
        <f t="shared" si="852"/>
        <v>1.9363315598237976E-2</v>
      </c>
      <c r="CN470" s="135">
        <f t="shared" si="853"/>
        <v>1.5219438132118249E-2</v>
      </c>
      <c r="CO470" s="135">
        <f t="shared" si="862"/>
        <v>1.4868633559266849E-2</v>
      </c>
      <c r="CP470" s="134">
        <f>VLOOKUP($H470,RoR!$E:$F,2,FALSE)</f>
        <v>3.8866666666666674E-2</v>
      </c>
      <c r="CQ470" s="135">
        <v>9.5709475431029478E-3</v>
      </c>
      <c r="CR470" s="135">
        <f t="shared" si="860"/>
        <v>2.9295719123563727E-2</v>
      </c>
      <c r="CS470" s="135">
        <f t="shared" si="863"/>
        <v>1.6033308049266774E-2</v>
      </c>
      <c r="CT470" s="135">
        <f t="shared" si="864"/>
        <v>3.5270373279175926E-3</v>
      </c>
      <c r="CU470" s="139">
        <f t="shared" si="854"/>
        <v>0.87050000000000005</v>
      </c>
      <c r="CV470" s="335">
        <f t="shared" si="855"/>
        <v>1.3194352816994324</v>
      </c>
      <c r="CW470" s="335">
        <f t="shared" si="856"/>
        <v>0.33177530017152673</v>
      </c>
      <c r="CX470" s="335">
        <f t="shared" si="857"/>
        <v>0.78242572977668579</v>
      </c>
      <c r="CY470" s="335">
        <f t="shared" si="858"/>
        <v>0.34251158643433932</v>
      </c>
      <c r="CZ470" s="336">
        <f>INDEX('State Tax Lookup'!$D$7:$Z$91,MATCH(Calculation!$C470,'State Tax Lookup'!$B$7:$B$91,0),MATCH($H470,'State Tax Lookup'!$D$6:$Z$6,0))</f>
        <v>0.35</v>
      </c>
      <c r="DA470" s="303">
        <v>0.37</v>
      </c>
      <c r="DB470" s="57">
        <f t="shared" si="861"/>
        <v>14.50227621247849</v>
      </c>
      <c r="DC470" s="56">
        <f t="shared" si="865"/>
        <v>-3.2427721926235213E-2</v>
      </c>
      <c r="DD470" s="303">
        <f>VLOOKUP($H470,RoR!$E:$F,2,FALSE)</f>
        <v>3.8866666666666674E-2</v>
      </c>
      <c r="DE470" s="304">
        <f>HLOOKUP($H470,'GDP-PI'!$D$8:$CQ$11,3,FALSE)</f>
        <v>9.5709475431029478E-3</v>
      </c>
      <c r="DF470" s="303">
        <f>VLOOKUP(H470,'HW Dx Data'!$E:$F,2,FALSE)</f>
        <v>675.61463308665782</v>
      </c>
      <c r="DG470" s="89">
        <f ca="1">VLOOKUP(CC470,'ECI - Input Price'!M$13:N$33,2,FALSE)</f>
        <v>133.5</v>
      </c>
      <c r="DH470" s="89"/>
      <c r="DI470" s="89"/>
      <c r="DJ470" s="56">
        <f t="shared" ca="1" si="873"/>
        <v>3.1193095773504077E-2</v>
      </c>
      <c r="DK470" s="53">
        <f>HLOOKUP(H470,'GDP-PI'!$8:$9,2,FALSE)</f>
        <v>104.639</v>
      </c>
      <c r="DL470" s="355">
        <f t="shared" si="866"/>
        <v>9.5254361854427965E-3</v>
      </c>
      <c r="EC470"/>
    </row>
    <row r="471" spans="1:133" s="126" customFormat="1" ht="21" customHeight="1" x14ac:dyDescent="0.4">
      <c r="A471" s="233" t="s">
        <v>210</v>
      </c>
      <c r="B471" s="127" t="s">
        <v>210</v>
      </c>
      <c r="C471" s="127">
        <v>4057126</v>
      </c>
      <c r="D471" s="127" t="s">
        <v>206</v>
      </c>
      <c r="E471" s="127"/>
      <c r="F471" s="127"/>
      <c r="G471" s="127" t="s">
        <v>172</v>
      </c>
      <c r="H471" s="128">
        <v>2016</v>
      </c>
      <c r="I471" s="129"/>
      <c r="J471" s="125">
        <f>IFERROR(INDEX('Labor Expenditures'!$E$7:$W$91,MATCH($C471,'Labor Expenditures'!$C$7:$C$91,0),MATCH($G471,'Labor Expenditures'!$E$5:$W$5,0)),"NA")</f>
        <v>119612.89137064264</v>
      </c>
      <c r="K471" s="125">
        <f t="shared" ca="1" si="867"/>
        <v>873.40555947895325</v>
      </c>
      <c r="L471" s="47"/>
      <c r="M471" s="131">
        <f t="shared" ca="1" si="874"/>
        <v>-2.7395378299624067E-2</v>
      </c>
      <c r="N471" s="131"/>
      <c r="O471" s="131"/>
      <c r="P471" s="59">
        <f t="shared" ca="1" si="876"/>
        <v>-1.0598403580309459E-3</v>
      </c>
      <c r="Q471" s="61"/>
      <c r="R471" s="387"/>
      <c r="S471" s="49">
        <f t="shared" ca="1" si="881"/>
        <v>295.474908729709</v>
      </c>
      <c r="T471" s="61">
        <f ca="1">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</f>
        <v>0.9192525286698332</v>
      </c>
      <c r="U471" s="61"/>
      <c r="V471" s="125">
        <f>IFERROR(INDEX('Non-Labor Expenditures'!$E$7:$AA$91,MATCH($C471,'Non-Labor Expenditures'!$C$7:$C$91,0),MATCH($G471,'Non-Labor Expenditures'!$E$5:$AA$5,0)),"NA")</f>
        <v>173221.80731114658</v>
      </c>
      <c r="W471" s="125">
        <f t="shared" si="868"/>
        <v>1638.2481587268912</v>
      </c>
      <c r="X471" s="131">
        <f t="shared" si="877"/>
        <v>-1.231005079804641E-2</v>
      </c>
      <c r="Y471" s="131">
        <f t="shared" si="878"/>
        <v>-4.7623684924108793E-4</v>
      </c>
      <c r="Z471" s="131"/>
      <c r="AA471" s="131"/>
      <c r="AB471" s="131"/>
      <c r="AC471" s="125">
        <f t="shared" si="848"/>
        <v>104964.48165384088</v>
      </c>
      <c r="AD471" s="129"/>
      <c r="AE471" s="133">
        <v>8401.2777372929813</v>
      </c>
      <c r="AF471" s="134">
        <v>3.5161699649986507E-2</v>
      </c>
      <c r="AG471" s="59">
        <f t="shared" si="869"/>
        <v>1.3602947160809846E-3</v>
      </c>
      <c r="AH471" s="134"/>
      <c r="AI471" s="134"/>
      <c r="AJ471" s="129">
        <f t="shared" si="796"/>
        <v>397799.18033563008</v>
      </c>
      <c r="AK471" s="134">
        <f t="shared" si="879"/>
        <v>-3.9517653657689198E-3</v>
      </c>
      <c r="AL471" s="129"/>
      <c r="AM471" s="129"/>
      <c r="AN471" s="129"/>
      <c r="AO471" s="129"/>
      <c r="AP471" s="133">
        <f t="shared" si="880"/>
        <v>318.63572711303266</v>
      </c>
      <c r="AQ471" s="134">
        <f>+BB471/Outputs!$B$24</f>
        <v>3.3971871194322927E-2</v>
      </c>
      <c r="AR471" s="93">
        <f t="shared" si="870"/>
        <v>0.30068662099736648</v>
      </c>
      <c r="AS471" s="93">
        <f t="shared" si="871"/>
        <v>0.43545038771823597</v>
      </c>
      <c r="AT471" s="93">
        <f t="shared" si="872"/>
        <v>0.26386299128439761</v>
      </c>
      <c r="AU471" s="93">
        <f t="shared" ca="1" si="875"/>
        <v>-4.2791317568458311E-3</v>
      </c>
      <c r="AV471" s="132">
        <f t="shared" ca="1" si="883"/>
        <v>95.442699907684599</v>
      </c>
      <c r="AW471" s="134">
        <f t="shared" ca="1" si="884"/>
        <v>-4.2791317568457894E-3</v>
      </c>
      <c r="AX471" s="56">
        <f>+AJ471/$AL$21</f>
        <v>3.8686830546358603E-2</v>
      </c>
      <c r="AY471" s="135">
        <f t="shared" ca="1" si="882"/>
        <v>-1.6554604516263484E-4</v>
      </c>
      <c r="AZ471" s="93"/>
      <c r="BA471" s="93"/>
      <c r="BB471" s="234">
        <f>IFERROR(INDEX('Total Customers'!$E$7:$AA$91,MATCH($C471,'Total Customers'!$C$7:$C$91,0),MATCH($G471,'Total Customers'!$E$5:$AA$5,0)),"NA")</f>
        <v>1248445</v>
      </c>
      <c r="BC471" s="411">
        <f t="shared" si="846"/>
        <v>8.7005164555578433E-3</v>
      </c>
      <c r="BD471" s="92"/>
      <c r="BE471" s="281" t="str">
        <f t="shared" si="839"/>
        <v>DTE GAS COMPANY</v>
      </c>
      <c r="BF471" s="290">
        <f t="shared" si="840"/>
        <v>4057126</v>
      </c>
      <c r="BG471" s="46" t="str">
        <f t="shared" si="841"/>
        <v>MI</v>
      </c>
      <c r="BH471" s="46"/>
      <c r="BI471" s="46" t="str">
        <f t="shared" si="842"/>
        <v>2016 Y</v>
      </c>
      <c r="BJ471" s="129"/>
      <c r="BK471" s="129"/>
      <c r="BL471" s="129">
        <f>INDEX('Dist. Plant Gas Additions'!$E$7:$AD$91,MATCH($C471,'Dist. Plant Gas Additions'!$C$7:$C$91,0),MATCH(Calculation!$G471,'Dist. Plant Gas Additions'!$E$5:$AD$5,0))</f>
        <v>221966</v>
      </c>
      <c r="BM471" s="129">
        <f>INDEX('Gen. Plant Additions'!$E$7:$AD$91,MATCH($C471,'Gen. Plant Additions'!$C$7:$C$91,0),MATCH(Calculation!$G471,'Gen. Plant Additions'!$E$5:$AD$5,0))</f>
        <v>19905</v>
      </c>
      <c r="BN471" s="393">
        <f t="shared" si="849"/>
        <v>0.93822700544556914</v>
      </c>
      <c r="BO471" s="46">
        <f t="shared" si="837"/>
        <v>18675.408543394053</v>
      </c>
      <c r="BP471" s="46">
        <f t="shared" si="838"/>
        <v>-1229.5914566059473</v>
      </c>
      <c r="BQ471" s="129">
        <f>INDEX('Dist Plant Depreciation'!$D$7:$AC$94,MATCH($C471,'Dist Plant Depreciation'!$C$7:$C$94,0),MATCH(Calculation!$G471,'Dist Plant Depreciation'!$D$5:$AC$5,0))</f>
        <v>1445931</v>
      </c>
      <c r="BR471" s="129">
        <f>INDEX('Gen. Plant Depreciation'!$D$7:$AC$94,MATCH($C471,'Gen. Plant Depreciation'!$C$7:$C$94,0),MATCH(Calculation!$G471,'Gen. Plant Depreciation'!$D$5:$AC$5,0))</f>
        <v>108012</v>
      </c>
      <c r="BS471" s="129"/>
      <c r="BT471" s="129"/>
      <c r="BU471" s="129"/>
      <c r="BV471" s="129"/>
      <c r="BW471" s="129"/>
      <c r="BX471" s="129"/>
      <c r="BY471" s="129">
        <f>INDEX('Gross Dx Plant'!$D$7:$AC$91,MATCH($C471,'Gross Dx Plant'!$C$7:$C$91,0),MATCH(Calculation!$G471,'Gross Dx Plant'!$D$5:$AC$5,0))</f>
        <v>3246667</v>
      </c>
      <c r="BZ471" s="129">
        <f>INDEX('Gross Gen Plant'!$D$7:$AC$91,MATCH($C471,'Gross Gen Plant'!$C$7:$C$91,0),MATCH(Calculation!$G471,'Gross Gen Plant'!$D$5:$AC$5,0))</f>
        <v>213761</v>
      </c>
      <c r="CA471" s="129">
        <f t="shared" si="885"/>
        <v>1906485</v>
      </c>
      <c r="CB471" s="129"/>
      <c r="CC471" s="133">
        <v>2016</v>
      </c>
      <c r="CD471" s="129"/>
      <c r="CE471" s="129"/>
      <c r="CF471" s="129"/>
      <c r="CG471" s="137"/>
      <c r="CH471" s="129">
        <f t="shared" si="850"/>
        <v>241871</v>
      </c>
      <c r="CI471" s="46">
        <f t="shared" si="859"/>
        <v>240641.40854339406</v>
      </c>
      <c r="CJ471" s="46">
        <f t="shared" si="851"/>
        <v>358.38724710047427</v>
      </c>
      <c r="CK471" s="443">
        <v>0.7857142857142857</v>
      </c>
      <c r="CL471" s="46">
        <f>+CL453*CK471+CJ454*CK470+CJ455*CK469+CJ456*CK468+CJ457*CK467+CJ458*CK466+CJ459*CK465+CJ460*CK464+CJ461*CK463+CJ462*CK462+CJ463*CK461+CJ464*CK460+CJ465*CK459+CJ466*CK458+CJ467*CK457+CJ468*CK456+CJ469*CK455+CJ470*CK454+CJ471</f>
        <v>7693.3556509009268</v>
      </c>
      <c r="CM471" s="134">
        <f t="shared" si="852"/>
        <v>3.1970908629213306E-2</v>
      </c>
      <c r="CN471" s="135">
        <f t="shared" si="853"/>
        <v>1.560992346797533E-2</v>
      </c>
      <c r="CO471" s="135">
        <f t="shared" si="862"/>
        <v>1.5230257366413527E-2</v>
      </c>
      <c r="CP471" s="134">
        <f>VLOOKUP($H471,RoR!$E:$F,2,FALSE)</f>
        <v>3.6658333333333334E-2</v>
      </c>
      <c r="CQ471" s="135">
        <v>1.0483662879041455E-2</v>
      </c>
      <c r="CR471" s="135">
        <f t="shared" si="860"/>
        <v>2.6174670454291879E-2</v>
      </c>
      <c r="CS471" s="135">
        <f t="shared" si="863"/>
        <v>1.56716842421201E-2</v>
      </c>
      <c r="CT471" s="135">
        <f t="shared" si="864"/>
        <v>4.301363574220729E-3</v>
      </c>
      <c r="CU471" s="139">
        <f t="shared" si="854"/>
        <v>0.87050000000000005</v>
      </c>
      <c r="CV471" s="335">
        <f t="shared" si="855"/>
        <v>1.3989193348138562</v>
      </c>
      <c r="CW471" s="335">
        <f t="shared" si="856"/>
        <v>0.29302682427824522</v>
      </c>
      <c r="CX471" s="335">
        <f t="shared" si="857"/>
        <v>0.76309497491941802</v>
      </c>
      <c r="CY471" s="335">
        <f t="shared" si="858"/>
        <v>0.31280857135128509</v>
      </c>
      <c r="CZ471" s="336">
        <f>INDEX('State Tax Lookup'!$D$7:$Z$91,MATCH(Calculation!$C471,'State Tax Lookup'!$B$7:$B$91,0),MATCH($H471,'State Tax Lookup'!$D$6:$Z$6,0))</f>
        <v>0.35</v>
      </c>
      <c r="DA471" s="303">
        <v>0.37</v>
      </c>
      <c r="DB471" s="57">
        <f t="shared" si="861"/>
        <v>14.086767446037346</v>
      </c>
      <c r="DC471" s="56">
        <f t="shared" si="865"/>
        <v>-2.90697395448168E-2</v>
      </c>
      <c r="DD471" s="303">
        <f>VLOOKUP($H471,RoR!$E:$F,2,FALSE)</f>
        <v>3.6658333333333334E-2</v>
      </c>
      <c r="DE471" s="304">
        <f>HLOOKUP($H471,'GDP-PI'!$D$8:$CQ$11,3,FALSE)</f>
        <v>1.0483662879041455E-2</v>
      </c>
      <c r="DF471" s="303">
        <f>VLOOKUP(H471,'HW Dx Data'!$E:$F,2,FALSE)</f>
        <v>671.45639385971219</v>
      </c>
      <c r="DG471" s="89">
        <f ca="1">VLOOKUP(CC471,'ECI - Input Price'!M$13:N$33,2,FALSE)</f>
        <v>136.94999999999999</v>
      </c>
      <c r="DH471" s="89"/>
      <c r="DI471" s="89"/>
      <c r="DJ471" s="56">
        <f t="shared" ca="1" si="873"/>
        <v>2.5514417868782811E-2</v>
      </c>
      <c r="DK471" s="53">
        <f>HLOOKUP(H471,'GDP-PI'!$8:$9,2,FALSE)</f>
        <v>105.736</v>
      </c>
      <c r="DL471" s="355">
        <f t="shared" si="866"/>
        <v>1.0429090367205095E-2</v>
      </c>
      <c r="EC471"/>
    </row>
    <row r="472" spans="1:133" s="126" customFormat="1" ht="21" customHeight="1" x14ac:dyDescent="0.4">
      <c r="A472" s="233" t="s">
        <v>210</v>
      </c>
      <c r="B472" s="127" t="s">
        <v>210</v>
      </c>
      <c r="C472" s="127">
        <v>4057126</v>
      </c>
      <c r="D472" s="127" t="s">
        <v>206</v>
      </c>
      <c r="E472" s="127"/>
      <c r="F472" s="127"/>
      <c r="G472" s="127" t="s">
        <v>173</v>
      </c>
      <c r="H472" s="128">
        <v>2017</v>
      </c>
      <c r="I472" s="129"/>
      <c r="J472" s="125">
        <f>IFERROR(INDEX('Labor Expenditures'!$E$7:$W$91,MATCH($C472,'Labor Expenditures'!$C$7:$C$91,0),MATCH($G472,'Labor Expenditures'!$E$5:$W$5,0)),"NA")</f>
        <v>134306.38591823226</v>
      </c>
      <c r="K472" s="125">
        <f t="shared" ca="1" si="867"/>
        <v>956.25764270724301</v>
      </c>
      <c r="L472" s="47"/>
      <c r="M472" s="131">
        <f t="shared" ca="1" si="874"/>
        <v>9.062737112150003E-2</v>
      </c>
      <c r="N472" s="131"/>
      <c r="O472" s="131"/>
      <c r="P472" s="59">
        <f t="shared" ca="1" si="876"/>
        <v>3.7618729628135917E-3</v>
      </c>
      <c r="Q472" s="61"/>
      <c r="R472" s="387"/>
      <c r="S472" s="49">
        <f t="shared" ca="1" si="881"/>
        <v>164.58537861439652</v>
      </c>
      <c r="T472" s="61">
        <f ca="1">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</f>
        <v>-0.58515446751062195</v>
      </c>
      <c r="U472" s="61"/>
      <c r="V472" s="125">
        <f>IFERROR(INDEX('Non-Labor Expenditures'!$E$7:$AA$91,MATCH($C472,'Non-Labor Expenditures'!$C$7:$C$91,0),MATCH($G472,'Non-Labor Expenditures'!$E$5:$AA$5,0)),"NA")</f>
        <v>194500.73178228136</v>
      </c>
      <c r="W472" s="125">
        <f t="shared" si="868"/>
        <v>1805.0944472188783</v>
      </c>
      <c r="X472" s="131">
        <f t="shared" si="877"/>
        <v>9.6985440734920256E-2</v>
      </c>
      <c r="Y472" s="131">
        <f t="shared" si="878"/>
        <v>4.0257915767866938E-3</v>
      </c>
      <c r="Z472" s="131"/>
      <c r="AA472" s="131"/>
      <c r="AB472" s="131"/>
      <c r="AC472" s="125">
        <f t="shared" si="848"/>
        <v>97871.603842145181</v>
      </c>
      <c r="AD472" s="129"/>
      <c r="AE472" s="133">
        <v>8670.2688562694166</v>
      </c>
      <c r="AF472" s="134">
        <v>3.1515994398016264E-2</v>
      </c>
      <c r="AG472" s="59">
        <f t="shared" si="869"/>
        <v>1.3082048585866524E-3</v>
      </c>
      <c r="AH472" s="134"/>
      <c r="AI472" s="134"/>
      <c r="AJ472" s="129">
        <f t="shared" si="796"/>
        <v>426678.72154265881</v>
      </c>
      <c r="AK472" s="134">
        <f t="shared" si="879"/>
        <v>7.0084015537924677E-2</v>
      </c>
      <c r="AL472" s="129"/>
      <c r="AM472" s="129"/>
      <c r="AN472" s="129"/>
      <c r="AO472" s="129"/>
      <c r="AP472" s="133">
        <f t="shared" si="880"/>
        <v>338.94783624409177</v>
      </c>
      <c r="AQ472" s="134">
        <f>+BB472/Outputs!$B$25</f>
        <v>3.3997182855757632E-2</v>
      </c>
      <c r="AR472" s="93">
        <f t="shared" si="870"/>
        <v>0.31477169855728199</v>
      </c>
      <c r="AS472" s="93">
        <f t="shared" si="871"/>
        <v>0.45584821075460036</v>
      </c>
      <c r="AT472" s="93">
        <f t="shared" si="872"/>
        <v>0.22938009068811765</v>
      </c>
      <c r="AU472" s="93">
        <f t="shared" ca="1" si="875"/>
        <v>7.8882701571852357E-2</v>
      </c>
      <c r="AV472" s="132">
        <f t="shared" ca="1" si="883"/>
        <v>103.2763874817263</v>
      </c>
      <c r="AW472" s="134">
        <f t="shared" ca="1" si="884"/>
        <v>7.8882701571852343E-2</v>
      </c>
      <c r="AX472" s="56">
        <f>+AJ472/$AL$22</f>
        <v>4.1509236296507136E-2</v>
      </c>
      <c r="AY472" s="135">
        <f t="shared" ca="1" si="882"/>
        <v>3.274360699252874E-3</v>
      </c>
      <c r="AZ472" s="93"/>
      <c r="BA472" s="93"/>
      <c r="BB472" s="234">
        <f>IFERROR(INDEX('Total Customers'!$E$7:$AA$91,MATCH($C472,'Total Customers'!$C$7:$C$91,0),MATCH($G472,'Total Customers'!$E$5:$AA$5,0)),"NA")</f>
        <v>1258833</v>
      </c>
      <c r="BC472" s="411">
        <f t="shared" si="846"/>
        <v>8.2863244038765185E-3</v>
      </c>
      <c r="BD472" s="92"/>
      <c r="BE472" s="281" t="str">
        <f t="shared" si="839"/>
        <v>DTE GAS COMPANY</v>
      </c>
      <c r="BF472" s="290">
        <f t="shared" si="840"/>
        <v>4057126</v>
      </c>
      <c r="BG472" s="46" t="str">
        <f t="shared" si="841"/>
        <v>MI</v>
      </c>
      <c r="BH472" s="46"/>
      <c r="BI472" s="46" t="str">
        <f t="shared" si="842"/>
        <v>2017 Y</v>
      </c>
      <c r="BJ472" s="129"/>
      <c r="BK472" s="129"/>
      <c r="BL472" s="129">
        <f>INDEX('Dist. Plant Gas Additions'!$E$7:$AD$91,MATCH($C472,'Dist. Plant Gas Additions'!$C$7:$C$91,0),MATCH(Calculation!$G472,'Dist. Plant Gas Additions'!$E$5:$AD$5,0))</f>
        <v>225243</v>
      </c>
      <c r="BM472" s="129">
        <f>INDEX('Gen. Plant Additions'!$E$7:$AD$91,MATCH($C472,'Gen. Plant Additions'!$C$7:$C$91,0),MATCH(Calculation!$G472,'Gen. Plant Additions'!$E$5:$AD$5,0))</f>
        <v>19442</v>
      </c>
      <c r="BN472" s="393">
        <f t="shared" si="849"/>
        <v>0.93960253562936313</v>
      </c>
      <c r="BO472" s="46">
        <f t="shared" si="837"/>
        <v>18267.752497706078</v>
      </c>
      <c r="BP472" s="46">
        <f t="shared" si="838"/>
        <v>-1174.2475022939216</v>
      </c>
      <c r="BQ472" s="129">
        <f>INDEX('Dist Plant Depreciation'!$D$7:$AC$94,MATCH($C472,'Dist Plant Depreciation'!$C$7:$C$94,0),MATCH(Calculation!$G472,'Dist Plant Depreciation'!$D$5:$AC$5,0))</f>
        <v>1488262</v>
      </c>
      <c r="BR472" s="129">
        <f>INDEX('Gen. Plant Depreciation'!$D$7:$AC$94,MATCH($C472,'Gen. Plant Depreciation'!$C$7:$C$94,0),MATCH(Calculation!$G472,'Gen. Plant Depreciation'!$D$5:$AC$5,0))</f>
        <v>113687</v>
      </c>
      <c r="BS472" s="129"/>
      <c r="BT472" s="129"/>
      <c r="BU472" s="129"/>
      <c r="BV472" s="129"/>
      <c r="BW472" s="129"/>
      <c r="BX472" s="129"/>
      <c r="BY472" s="129">
        <f>INDEX('Gross Dx Plant'!$D$7:$AC$91,MATCH($C472,'Gross Dx Plant'!$C$7:$C$91,0),MATCH(Calculation!$G472,'Gross Dx Plant'!$D$5:$AC$5,0))</f>
        <v>3448875</v>
      </c>
      <c r="BZ472" s="129">
        <f>INDEX('Gross Gen Plant'!$D$7:$AC$91,MATCH($C472,'Gross Gen Plant'!$C$7:$C$91,0),MATCH(Calculation!$G472,'Gross Gen Plant'!$D$5:$AC$5,0))</f>
        <v>221693</v>
      </c>
      <c r="CA472" s="129">
        <f t="shared" si="885"/>
        <v>2068619</v>
      </c>
      <c r="CB472" s="129"/>
      <c r="CC472" s="133">
        <v>2017</v>
      </c>
      <c r="CD472" s="129"/>
      <c r="CE472" s="129"/>
      <c r="CF472" s="129"/>
      <c r="CG472" s="137"/>
      <c r="CH472" s="129">
        <f t="shared" si="850"/>
        <v>244685</v>
      </c>
      <c r="CI472" s="46">
        <f t="shared" si="859"/>
        <v>243510.75249770607</v>
      </c>
      <c r="CJ472" s="46">
        <f t="shared" si="851"/>
        <v>341.80373734058651</v>
      </c>
      <c r="CK472" s="443">
        <v>0.77108433734939763</v>
      </c>
      <c r="CL472" s="46">
        <f>+CL453*CK472+CJ454*CK471+CJ455*CK470+CJ456*CK469+CJ457*CK468+CJ458*CK467+CJ459*CK466+CJ460*CK465+CJ461*CK464+CJ462*CK463+CJ463*CK462+CJ464*CK461+CJ465*CK460+CJ466*CK459+CJ467*CK458+CJ468*CK457+CJ469*CK456+CJ470*CK455+CJ471*CK454+CJ472</f>
        <v>7912.5881868197339</v>
      </c>
      <c r="CM472" s="134">
        <f t="shared" si="852"/>
        <v>2.8097878797283034E-2</v>
      </c>
      <c r="CN472" s="135">
        <f t="shared" si="853"/>
        <v>1.5932085683238336E-2</v>
      </c>
      <c r="CO472" s="135">
        <f t="shared" si="862"/>
        <v>1.558714909444397E-2</v>
      </c>
      <c r="CP472" s="134">
        <f>VLOOKUP($H472,RoR!$E:$F,2,FALSE)</f>
        <v>3.7433333333333339E-2</v>
      </c>
      <c r="CQ472" s="135">
        <v>1.9056896421275615E-2</v>
      </c>
      <c r="CR472" s="135">
        <f t="shared" si="860"/>
        <v>1.8376436912057724E-2</v>
      </c>
      <c r="CS472" s="135">
        <f t="shared" si="863"/>
        <v>1.5314792514089655E-2</v>
      </c>
      <c r="CT472" s="135">
        <f t="shared" si="864"/>
        <v>1.3976271617800498E-2</v>
      </c>
      <c r="CU472" s="139">
        <f t="shared" si="854"/>
        <v>0.92230000000000001</v>
      </c>
      <c r="CV472" s="335">
        <f t="shared" si="855"/>
        <v>1.3699568463593395</v>
      </c>
      <c r="CW472" s="335">
        <f t="shared" si="856"/>
        <v>0.30714603739982199</v>
      </c>
      <c r="CX472" s="335">
        <f t="shared" si="857"/>
        <v>0.77007188472689425</v>
      </c>
      <c r="CY472" s="335">
        <f t="shared" si="858"/>
        <v>0.32402839633793828</v>
      </c>
      <c r="CZ472" s="336">
        <f>INDEX('State Tax Lookup'!$D$7:$Z$91,MATCH(Calculation!$C472,'State Tax Lookup'!$B$7:$B$91,0),MATCH($H472,'State Tax Lookup'!$D$6:$Z$6,0))</f>
        <v>0.20999999999999996</v>
      </c>
      <c r="DA472" s="303">
        <v>0.37</v>
      </c>
      <c r="DB472" s="57">
        <f t="shared" si="861"/>
        <v>12.721575380527739</v>
      </c>
      <c r="DC472" s="56">
        <f t="shared" si="865"/>
        <v>-0.10193647681900987</v>
      </c>
      <c r="DD472" s="303">
        <f>VLOOKUP($H472,RoR!$E:$F,2,FALSE)</f>
        <v>3.7433333333333339E-2</v>
      </c>
      <c r="DE472" s="304">
        <f>HLOOKUP($H472,'GDP-PI'!$D$8:$CQ$11,3,FALSE)</f>
        <v>1.9056896421275615E-2</v>
      </c>
      <c r="DF472" s="303">
        <f>VLOOKUP(H472,'HW Dx Data'!$E:$F,2,FALSE)</f>
        <v>712.42858370229726</v>
      </c>
      <c r="DG472" s="89">
        <f ca="1">VLOOKUP(CC472,'ECI - Input Price'!M$13:N$33,2,FALSE)</f>
        <v>140.44999999999999</v>
      </c>
      <c r="DH472" s="89"/>
      <c r="DI472" s="89"/>
      <c r="DJ472" s="56">
        <f t="shared" ca="1" si="873"/>
        <v>2.5235657841165486E-2</v>
      </c>
      <c r="DK472" s="53">
        <f>HLOOKUP(H472,'GDP-PI'!$8:$9,2,FALSE)</f>
        <v>107.751</v>
      </c>
      <c r="DL472" s="355">
        <f t="shared" si="866"/>
        <v>1.8877588227745139E-2</v>
      </c>
      <c r="EC472"/>
    </row>
    <row r="473" spans="1:133" s="126" customFormat="1" ht="21" customHeight="1" x14ac:dyDescent="0.4">
      <c r="A473" s="233" t="s">
        <v>210</v>
      </c>
      <c r="B473" s="127" t="s">
        <v>210</v>
      </c>
      <c r="C473" s="127">
        <v>4057126</v>
      </c>
      <c r="D473" s="127" t="s">
        <v>206</v>
      </c>
      <c r="E473" s="127"/>
      <c r="F473" s="127"/>
      <c r="G473" s="127" t="s">
        <v>174</v>
      </c>
      <c r="H473" s="128">
        <v>2018</v>
      </c>
      <c r="I473" s="129"/>
      <c r="J473" s="125">
        <f>IFERROR(INDEX('Labor Expenditures'!$E$7:$W$91,MATCH($C473,'Labor Expenditures'!$C$7:$C$91,0),MATCH($G473,'Labor Expenditures'!$E$5:$W$5,0)),"NA")</f>
        <v>135833.4358846673</v>
      </c>
      <c r="K473" s="125">
        <f t="shared" ca="1" si="867"/>
        <v>940.34915808007827</v>
      </c>
      <c r="L473" s="47"/>
      <c r="M473" s="131">
        <f t="shared" ca="1" si="874"/>
        <v>-1.677612642083293E-2</v>
      </c>
      <c r="N473" s="131"/>
      <c r="O473" s="131"/>
      <c r="P473" s="59">
        <f t="shared" ca="1" si="876"/>
        <v>-6.5813376112405374E-4</v>
      </c>
      <c r="Q473" s="61"/>
      <c r="R473" s="387"/>
      <c r="S473" s="49">
        <f t="shared" ca="1" si="881"/>
        <v>113.62894511571065</v>
      </c>
      <c r="T473" s="61">
        <f ca="1">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</f>
        <v>-0.37049118210898513</v>
      </c>
      <c r="U473" s="61"/>
      <c r="V473" s="125">
        <f>IFERROR(INDEX('Non-Labor Expenditures'!$E$7:$AA$91,MATCH($C473,'Non-Labor Expenditures'!$C$7:$C$91,0),MATCH($G473,'Non-Labor Expenditures'!$E$5:$AA$5,0)),"NA")</f>
        <v>196712.18534727077</v>
      </c>
      <c r="W473" s="125">
        <f t="shared" si="868"/>
        <v>1783.0730529474699</v>
      </c>
      <c r="X473" s="131">
        <f t="shared" si="877"/>
        <v>-1.2274605775349936E-2</v>
      </c>
      <c r="Y473" s="131">
        <f t="shared" si="878"/>
        <v>-4.8153740992403643E-4</v>
      </c>
      <c r="Z473" s="131"/>
      <c r="AA473" s="131"/>
      <c r="AB473" s="131"/>
      <c r="AC473" s="125">
        <f t="shared" si="848"/>
        <v>104007.94821326308</v>
      </c>
      <c r="AD473" s="129"/>
      <c r="AE473" s="133">
        <v>9062.1465413392343</v>
      </c>
      <c r="AF473" s="134">
        <v>4.420621682321297E-2</v>
      </c>
      <c r="AG473" s="59">
        <f t="shared" si="869"/>
        <v>1.7342265439057223E-3</v>
      </c>
      <c r="AH473" s="134"/>
      <c r="AI473" s="134"/>
      <c r="AJ473" s="129">
        <f t="shared" si="796"/>
        <v>436553.56944520114</v>
      </c>
      <c r="AK473" s="134">
        <f t="shared" si="879"/>
        <v>2.2879771247900301E-2</v>
      </c>
      <c r="AL473" s="129"/>
      <c r="AM473" s="129"/>
      <c r="AN473" s="129"/>
      <c r="AO473" s="129"/>
      <c r="AP473" s="133">
        <f t="shared" si="880"/>
        <v>343.81145964133106</v>
      </c>
      <c r="AQ473" s="134">
        <f>+BB473/Outputs!$B$26</f>
        <v>3.3991611661563698E-2</v>
      </c>
      <c r="AR473" s="93">
        <f t="shared" si="870"/>
        <v>0.31114952526282791</v>
      </c>
      <c r="AS473" s="93">
        <f t="shared" si="871"/>
        <v>0.45060262729557932</v>
      </c>
      <c r="AT473" s="93">
        <f t="shared" si="872"/>
        <v>0.23824784744159283</v>
      </c>
      <c r="AU473" s="93">
        <f t="shared" ca="1" si="875"/>
        <v>-4.7739912326807618E-4</v>
      </c>
      <c r="AV473" s="132">
        <f t="shared" ca="1" si="883"/>
        <v>103.22709519187241</v>
      </c>
      <c r="AW473" s="134">
        <f t="shared" ca="1" si="884"/>
        <v>-4.7739912326791621E-4</v>
      </c>
      <c r="AX473" s="56">
        <f>+AJ473/$AL$23</f>
        <v>3.9230376823267736E-2</v>
      </c>
      <c r="AY473" s="135">
        <f t="shared" ca="1" si="882"/>
        <v>-1.8728547500897996E-5</v>
      </c>
      <c r="AZ473" s="93"/>
      <c r="BA473" s="93"/>
      <c r="BB473" s="234">
        <f>IFERROR(INDEX('Total Customers'!$E$7:$AA$91,MATCH($C473,'Total Customers'!$C$7:$C$91,0),MATCH($G473,'Total Customers'!$E$5:$AA$5,0)),"NA")</f>
        <v>1269747</v>
      </c>
      <c r="BC473" s="411">
        <f t="shared" si="846"/>
        <v>8.6325667188340283E-3</v>
      </c>
      <c r="BD473" s="92"/>
      <c r="BE473" s="281" t="str">
        <f t="shared" si="839"/>
        <v>DTE GAS COMPANY</v>
      </c>
      <c r="BF473" s="290">
        <f t="shared" si="840"/>
        <v>4057126</v>
      </c>
      <c r="BG473" s="46" t="str">
        <f t="shared" si="841"/>
        <v>MI</v>
      </c>
      <c r="BH473" s="46"/>
      <c r="BI473" s="46" t="str">
        <f t="shared" si="842"/>
        <v>2018 Y</v>
      </c>
      <c r="BJ473" s="129"/>
      <c r="BK473" s="129"/>
      <c r="BL473" s="129">
        <f>INDEX('Dist. Plant Gas Additions'!$E$7:$AD$91,MATCH($C473,'Dist. Plant Gas Additions'!$C$7:$C$91,0),MATCH(Calculation!$G473,'Dist. Plant Gas Additions'!$E$5:$AD$5,0))</f>
        <v>312736</v>
      </c>
      <c r="BM473" s="129">
        <f>INDEX('Gen. Plant Additions'!$E$7:$AD$91,MATCH($C473,'Gen. Plant Additions'!$C$7:$C$91,0),MATCH(Calculation!$G473,'Gen. Plant Additions'!$E$5:$AD$5,0))</f>
        <v>42922</v>
      </c>
      <c r="BN473" s="393">
        <f t="shared" si="849"/>
        <v>0.93489807037389294</v>
      </c>
      <c r="BO473" s="46">
        <f t="shared" si="837"/>
        <v>40127.694976588231</v>
      </c>
      <c r="BP473" s="46">
        <f t="shared" si="838"/>
        <v>-2794.3050234117691</v>
      </c>
      <c r="BQ473" s="129">
        <f>INDEX('Dist Plant Depreciation'!$D$7:$AC$94,MATCH($C473,'Dist Plant Depreciation'!$C$7:$C$94,0),MATCH(Calculation!$G473,'Dist Plant Depreciation'!$D$5:$AC$5,0))</f>
        <v>1520250</v>
      </c>
      <c r="BR473" s="129">
        <f>INDEX('Gen. Plant Depreciation'!$D$7:$AC$94,MATCH($C473,'Gen. Plant Depreciation'!$C$7:$C$94,0),MATCH(Calculation!$G473,'Gen. Plant Depreciation'!$D$5:$AC$5,0))</f>
        <v>120680</v>
      </c>
      <c r="BS473" s="129"/>
      <c r="BT473" s="129"/>
      <c r="BU473" s="129"/>
      <c r="BV473" s="129"/>
      <c r="BW473" s="129"/>
      <c r="BX473" s="129"/>
      <c r="BY473" s="129">
        <f>INDEX('Gross Dx Plant'!$D$7:$AC$91,MATCH($C473,'Gross Dx Plant'!$C$7:$C$91,0),MATCH(Calculation!$G473,'Gross Dx Plant'!$D$5:$AC$5,0))</f>
        <v>3737313</v>
      </c>
      <c r="BZ473" s="129">
        <f>INDEX('Gross Gen Plant'!$D$7:$AC$91,MATCH($C473,'Gross Gen Plant'!$C$7:$C$91,0),MATCH(Calculation!$G473,'Gross Gen Plant'!$D$5:$AC$5,0))</f>
        <v>260249</v>
      </c>
      <c r="CA473" s="129">
        <f t="shared" si="885"/>
        <v>2356632</v>
      </c>
      <c r="CB473" s="129"/>
      <c r="CC473" s="133">
        <v>2018</v>
      </c>
      <c r="CD473" s="129"/>
      <c r="CE473" s="129"/>
      <c r="CF473" s="129"/>
      <c r="CG473" s="137"/>
      <c r="CH473" s="129">
        <f t="shared" si="850"/>
        <v>355658</v>
      </c>
      <c r="CI473" s="46">
        <f t="shared" si="859"/>
        <v>352863.69497658825</v>
      </c>
      <c r="CJ473" s="46">
        <f t="shared" si="851"/>
        <v>467.28451719392166</v>
      </c>
      <c r="CK473" s="443">
        <v>0.75609756097560976</v>
      </c>
      <c r="CL473" s="46">
        <f>+CL453*CK473++CJ454*CK472+CJ455*CK471+CJ456*CK470+CJ457*CK469+CJ458*CK468+CJ459*CK467+CJ460*CK466+CJ461*CK465+CJ462*CK464+CJ463*CK463+CJ464*CK462+CJ465*CK461+CJ466*CK460+CJ467*CK459+CJ468*CK458+CJ469*CK457+CJ470*CK456+CJ471*CK455+CJ472*CK454+CJ473</f>
        <v>8251.0414222036634</v>
      </c>
      <c r="CM473" s="134">
        <f t="shared" si="852"/>
        <v>4.1884492712393556E-2</v>
      </c>
      <c r="CN473" s="135">
        <f t="shared" si="853"/>
        <v>1.6281813076610103E-2</v>
      </c>
      <c r="CO473" s="135">
        <f t="shared" si="862"/>
        <v>1.5941274075941255E-2</v>
      </c>
      <c r="CP473" s="134">
        <f>VLOOKUP($H473,RoR!$E:$F,2,FALSE)</f>
        <v>3.9299999999999995E-2</v>
      </c>
      <c r="CQ473" s="135">
        <v>2.386056741932796E-2</v>
      </c>
      <c r="CR473" s="135">
        <f t="shared" si="860"/>
        <v>1.5439432580672034E-2</v>
      </c>
      <c r="CS473" s="135">
        <f t="shared" si="863"/>
        <v>1.496066753259237E-2</v>
      </c>
      <c r="CT473" s="135">
        <f t="shared" si="864"/>
        <v>3.8270792163076606E-2</v>
      </c>
      <c r="CU473" s="139">
        <f t="shared" si="854"/>
        <v>0.92230000000000001</v>
      </c>
      <c r="CV473" s="335">
        <f t="shared" si="855"/>
        <v>1.3048868010700074</v>
      </c>
      <c r="CW473" s="335">
        <f t="shared" si="856"/>
        <v>0.33886768447837151</v>
      </c>
      <c r="CX473" s="335">
        <f t="shared" si="857"/>
        <v>0.78602506232557801</v>
      </c>
      <c r="CY473" s="335">
        <f t="shared" si="858"/>
        <v>0.34756768162358759</v>
      </c>
      <c r="CZ473" s="336">
        <f>INDEX('State Tax Lookup'!$D$7:$Z$91,MATCH(Calculation!$C473,'State Tax Lookup'!$B$7:$B$91,0),MATCH($H473,'State Tax Lookup'!$D$6:$Z$6,0))</f>
        <v>0.20999999999999996</v>
      </c>
      <c r="DA473" s="303">
        <v>0.37</v>
      </c>
      <c r="DB473" s="57">
        <f t="shared" si="861"/>
        <v>13.144617887041392</v>
      </c>
      <c r="DC473" s="56">
        <f t="shared" si="865"/>
        <v>3.2712987773250768E-2</v>
      </c>
      <c r="DD473" s="303">
        <f>VLOOKUP($H473,RoR!$E:$F,2,FALSE)</f>
        <v>3.9299999999999995E-2</v>
      </c>
      <c r="DE473" s="304">
        <f>HLOOKUP($H473,'GDP-PI'!$D$8:$CQ$11,3,FALSE)</f>
        <v>2.386056741932796E-2</v>
      </c>
      <c r="DF473" s="303">
        <f>VLOOKUP(H473,'HW Dx Data'!$E:$F,2,FALSE)</f>
        <v>755.13671434174842</v>
      </c>
      <c r="DG473" s="89">
        <f ca="1">VLOOKUP(CC473,'ECI - Input Price'!M$13:N$33,2,FALSE)</f>
        <v>144.44999999999999</v>
      </c>
      <c r="DH473" s="89"/>
      <c r="DI473" s="89"/>
      <c r="DJ473" s="56">
        <f t="shared" ca="1" si="873"/>
        <v>2.80818733619915E-2</v>
      </c>
      <c r="DK473" s="53">
        <f>HLOOKUP(H473,'GDP-PI'!$8:$9,2,FALSE)</f>
        <v>110.322</v>
      </c>
      <c r="DL473" s="355">
        <f t="shared" si="866"/>
        <v>2.3580352716508712E-2</v>
      </c>
      <c r="EC473"/>
    </row>
    <row r="474" spans="1:133" s="126" customFormat="1" ht="21" customHeight="1" x14ac:dyDescent="0.4">
      <c r="A474" s="233" t="s">
        <v>210</v>
      </c>
      <c r="B474" s="127" t="s">
        <v>210</v>
      </c>
      <c r="C474" s="127">
        <v>4057126</v>
      </c>
      <c r="D474" s="127" t="s">
        <v>206</v>
      </c>
      <c r="E474" s="127"/>
      <c r="F474" s="127"/>
      <c r="G474" s="127" t="s">
        <v>175</v>
      </c>
      <c r="H474" s="128">
        <v>2019</v>
      </c>
      <c r="I474" s="129"/>
      <c r="J474" s="125">
        <f>IFERROR(INDEX('Labor Expenditures'!$E$7:$W$91,MATCH($C474,'Labor Expenditures'!$C$7:$C$91,0),MATCH($G474,'Labor Expenditures'!$E$5:$W$5,0)),"NA")</f>
        <v>142058.0451875625</v>
      </c>
      <c r="K474" s="125">
        <f t="shared" ca="1" si="867"/>
        <v>949.110039669701</v>
      </c>
      <c r="L474" s="47"/>
      <c r="M474" s="131">
        <f t="shared" ca="1" si="874"/>
        <v>9.2734941136598196E-3</v>
      </c>
      <c r="N474" s="131"/>
      <c r="O474" s="131"/>
      <c r="P474" s="59">
        <f t="shared" ca="1" si="876"/>
        <v>3.7155120747803022E-4</v>
      </c>
      <c r="Q474" s="61"/>
      <c r="R474" s="387"/>
      <c r="S474" s="49">
        <f t="shared" ca="1" si="881"/>
        <v>115.21862072164934</v>
      </c>
      <c r="T474" s="61">
        <f ca="1">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</f>
        <v>1.3893101023301388E-2</v>
      </c>
      <c r="U474" s="61"/>
      <c r="V474" s="125">
        <f>IFERROR(INDEX('Non-Labor Expenditures'!$E$7:$AA$91,MATCH($C474,'Non-Labor Expenditures'!$C$7:$C$91,0),MATCH($G474,'Non-Labor Expenditures'!$E$5:$AA$5,0)),"NA")</f>
        <v>205726.58221451283</v>
      </c>
      <c r="W474" s="125">
        <f t="shared" si="868"/>
        <v>1831.6439236321235</v>
      </c>
      <c r="X474" s="131">
        <f t="shared" si="877"/>
        <v>2.6875572561429702E-2</v>
      </c>
      <c r="Y474" s="131">
        <f t="shared" si="878"/>
        <v>1.0767949291253444E-3</v>
      </c>
      <c r="Z474" s="131"/>
      <c r="AA474" s="131"/>
      <c r="AB474" s="131"/>
      <c r="AC474" s="125">
        <f t="shared" si="848"/>
        <v>108691.08245952391</v>
      </c>
      <c r="AD474" s="129"/>
      <c r="AE474" s="133">
        <v>9421.2014173704956</v>
      </c>
      <c r="AF474" s="134">
        <v>3.8856602369654832E-2</v>
      </c>
      <c r="AG474" s="59">
        <f t="shared" si="869"/>
        <v>1.5568260843205777E-3</v>
      </c>
      <c r="AH474" s="134"/>
      <c r="AI474" s="134"/>
      <c r="AJ474" s="129">
        <f t="shared" si="796"/>
        <v>456475.70986159926</v>
      </c>
      <c r="AK474" s="134">
        <f t="shared" si="879"/>
        <v>4.4624396405797039E-2</v>
      </c>
      <c r="AL474" s="129"/>
      <c r="AM474" s="129"/>
      <c r="AN474" s="129"/>
      <c r="AO474" s="129"/>
      <c r="AP474" s="133">
        <f t="shared" si="880"/>
        <v>355.8942893754633</v>
      </c>
      <c r="AQ474" s="134">
        <f>+BB474/Outputs!$B$27</f>
        <v>3.4052943462703614E-2</v>
      </c>
      <c r="AR474" s="93">
        <f t="shared" si="870"/>
        <v>0.31120614332498364</v>
      </c>
      <c r="AS474" s="93">
        <f t="shared" si="871"/>
        <v>0.45068462082437621</v>
      </c>
      <c r="AT474" s="93">
        <f t="shared" si="872"/>
        <v>0.23810923585064012</v>
      </c>
      <c r="AU474" s="93">
        <f t="shared" ca="1" si="875"/>
        <v>2.4251820118122946E-2</v>
      </c>
      <c r="AV474" s="132">
        <f t="shared" ca="1" si="883"/>
        <v>105.76114357962356</v>
      </c>
      <c r="AW474" s="134">
        <f t="shared" ca="1" si="884"/>
        <v>2.4251820118122869E-2</v>
      </c>
      <c r="AX474" s="56">
        <f>+AJ474/$AL$24</f>
        <v>4.0065934471316136E-2</v>
      </c>
      <c r="AY474" s="135">
        <f t="shared" ca="1" si="882"/>
        <v>9.7167183566285729E-4</v>
      </c>
      <c r="AZ474" s="93"/>
      <c r="BA474" s="93"/>
      <c r="BB474" s="234">
        <f>IFERROR(INDEX('Total Customers'!$E$7:$AA$91,MATCH($C474,'Total Customers'!$C$7:$C$91,0),MATCH($G474,'Total Customers'!$E$5:$AA$5,0)),"NA")</f>
        <v>1282616</v>
      </c>
      <c r="BC474" s="411">
        <f t="shared" si="846"/>
        <v>1.0084074289053339E-2</v>
      </c>
      <c r="BD474" s="92"/>
      <c r="BE474" s="281" t="str">
        <f t="shared" si="839"/>
        <v>DTE GAS COMPANY</v>
      </c>
      <c r="BF474" s="290">
        <f t="shared" si="840"/>
        <v>4057126</v>
      </c>
      <c r="BG474" s="46" t="str">
        <f t="shared" si="841"/>
        <v>MI</v>
      </c>
      <c r="BH474" s="46"/>
      <c r="BI474" s="46" t="str">
        <f t="shared" si="842"/>
        <v>2019 Y</v>
      </c>
      <c r="BJ474" s="129"/>
      <c r="BK474" s="129"/>
      <c r="BL474" s="129">
        <f>INDEX('Dist. Plant Gas Additions'!$E$7:$AD$91,MATCH($C474,'Dist. Plant Gas Additions'!$C$7:$C$91,0),MATCH(Calculation!$G474,'Dist. Plant Gas Additions'!$E$5:$AD$5,0))</f>
        <v>289984</v>
      </c>
      <c r="BM474" s="129">
        <f>INDEX('Gen. Plant Additions'!$E$7:$AD$91,MATCH($C474,'Gen. Plant Additions'!$C$7:$C$91,0),MATCH(Calculation!$G474,'Gen. Plant Additions'!$E$5:$AD$5,0))</f>
        <v>53215</v>
      </c>
      <c r="BN474" s="393">
        <f t="shared" si="849"/>
        <v>0.92859277948285079</v>
      </c>
      <c r="BO474" s="46">
        <f t="shared" si="837"/>
        <v>49415.064760179906</v>
      </c>
      <c r="BP474" s="46">
        <f t="shared" si="838"/>
        <v>-3799.9352398200936</v>
      </c>
      <c r="BQ474" s="129">
        <f>INDEX('Dist Plant Depreciation'!$D$7:$AC$94,MATCH($C474,'Dist Plant Depreciation'!$C$7:$C$94,0),MATCH(Calculation!$G474,'Dist Plant Depreciation'!$D$5:$AC$5,0))</f>
        <v>1537280</v>
      </c>
      <c r="BR474" s="129">
        <f>INDEX('Gen. Plant Depreciation'!$D$7:$AC$94,MATCH($C474,'Gen. Plant Depreciation'!$C$7:$C$94,0),MATCH(Calculation!$G474,'Gen. Plant Depreciation'!$D$5:$AC$5,0))</f>
        <v>112061</v>
      </c>
      <c r="BS474" s="129"/>
      <c r="BT474" s="129"/>
      <c r="BU474" s="129"/>
      <c r="BV474" s="129"/>
      <c r="BW474" s="129"/>
      <c r="BX474" s="129"/>
      <c r="BY474" s="129">
        <f>INDEX('Gross Dx Plant'!$D$7:$AC$91,MATCH($C474,'Gross Dx Plant'!$C$7:$C$91,0),MATCH(Calculation!$G474,'Gross Dx Plant'!$D$5:$AC$5,0))</f>
        <v>4004366</v>
      </c>
      <c r="BZ474" s="129">
        <f>INDEX('Gross Gen Plant'!$D$7:$AC$91,MATCH($C474,'Gross Gen Plant'!$C$7:$C$91,0),MATCH(Calculation!$G474,'Gross Gen Plant'!$D$5:$AC$5,0))</f>
        <v>307929</v>
      </c>
      <c r="CA474" s="129">
        <f t="shared" si="885"/>
        <v>2662954</v>
      </c>
      <c r="CB474" s="129"/>
      <c r="CC474" s="133">
        <v>2019</v>
      </c>
      <c r="CD474" s="129"/>
      <c r="CE474" s="129"/>
      <c r="CF474" s="129"/>
      <c r="CG474" s="137"/>
      <c r="CH474" s="129">
        <f t="shared" si="850"/>
        <v>343199</v>
      </c>
      <c r="CI474" s="46">
        <f t="shared" si="859"/>
        <v>339399.0647601799</v>
      </c>
      <c r="CJ474" s="46">
        <f t="shared" si="851"/>
        <v>438.76124414660887</v>
      </c>
      <c r="CK474" s="443">
        <v>0.7407407407407407</v>
      </c>
      <c r="CL474" s="46">
        <f>CL453*CK474+CJ454*CK473+CJ455*CK472+CJ456*CK471+CJ457*CK470+CJ458*CK469+CJ459*CK468+CJ460*CK467+CJ461*CK466+CJ462*CK465+CJ463*CK464+CJ464*CK463+CJ465*CK462+CJ466*CK461+CJ467*CK460+CJ468*CK459+CJ469*CK458+CJ470*CK457+CJ471*CK456+CJ472*CK455+CJ473*CK454+CJ474</f>
        <v>8553.2984250321115</v>
      </c>
      <c r="CM474" s="134">
        <f t="shared" si="852"/>
        <v>3.5977563885676175E-2</v>
      </c>
      <c r="CN474" s="135">
        <f t="shared" si="853"/>
        <v>1.6543880261081473E-2</v>
      </c>
      <c r="CO474" s="135">
        <f t="shared" si="862"/>
        <v>1.6252593006976637E-2</v>
      </c>
      <c r="CP474" s="134">
        <f>VLOOKUP($H474,RoR!$E:$F,2,FALSE)</f>
        <v>3.3875000000000009E-2</v>
      </c>
      <c r="CQ474" s="135">
        <v>1.8092492884465461E-2</v>
      </c>
      <c r="CR474" s="135">
        <f t="shared" si="860"/>
        <v>1.5782507115534548E-2</v>
      </c>
      <c r="CS474" s="135">
        <f t="shared" si="863"/>
        <v>1.4649348601556988E-2</v>
      </c>
      <c r="CT474" s="135">
        <f t="shared" si="864"/>
        <v>4.8445665544254078E-2</v>
      </c>
      <c r="CU474" s="139">
        <f t="shared" si="854"/>
        <v>0.92230000000000001</v>
      </c>
      <c r="CV474" s="335">
        <f t="shared" si="855"/>
        <v>1.513861292459078</v>
      </c>
      <c r="CW474" s="335">
        <f t="shared" si="856"/>
        <v>0.23699261992619944</v>
      </c>
      <c r="CX474" s="335">
        <f t="shared" si="857"/>
        <v>0.73619765810468829</v>
      </c>
      <c r="CY474" s="335">
        <f t="shared" si="858"/>
        <v>0.26412854465362851</v>
      </c>
      <c r="CZ474" s="336">
        <f>INDEX('State Tax Lookup'!$D$7:$Z$91,MATCH(Calculation!$C474,'State Tax Lookup'!$B$7:$B$91,0),MATCH($H474,'State Tax Lookup'!$D$6:$Z$6,0))</f>
        <v>0.20999999999999996</v>
      </c>
      <c r="DA474" s="303">
        <v>0.37</v>
      </c>
      <c r="DB474" s="57">
        <f t="shared" si="861"/>
        <v>13.173013792784356</v>
      </c>
      <c r="DC474" s="56">
        <f t="shared" si="865"/>
        <v>2.1579386099546062E-3</v>
      </c>
      <c r="DD474" s="303">
        <f>VLOOKUP($H474,RoR!$E:$F,2,FALSE)</f>
        <v>3.3875000000000009E-2</v>
      </c>
      <c r="DE474" s="304">
        <f>HLOOKUP($H474,'GDP-PI'!$D$8:$CQ$11,3,FALSE)</f>
        <v>1.8092492884465461E-2</v>
      </c>
      <c r="DF474" s="303">
        <f>VLOOKUP(H474,'HW Dx Data'!$E:$F,2,FALSE)</f>
        <v>773.53929793938721</v>
      </c>
      <c r="DG474" s="89">
        <f ca="1">VLOOKUP(CC474,'ECI - Input Price'!M$13:N$33,2,FALSE)</f>
        <v>149.67500000000001</v>
      </c>
      <c r="DH474" s="89"/>
      <c r="DI474" s="89"/>
      <c r="DJ474" s="56">
        <f t="shared" ca="1" si="873"/>
        <v>3.5532849899171604E-2</v>
      </c>
      <c r="DK474" s="53">
        <f>HLOOKUP(H474,'GDP-PI'!$8:$9,2,FALSE)</f>
        <v>112.318</v>
      </c>
      <c r="DL474" s="355">
        <f t="shared" si="866"/>
        <v>1.7930771451401852E-2</v>
      </c>
      <c r="EC474"/>
    </row>
    <row r="475" spans="1:133" s="126" customFormat="1" ht="21" customHeight="1" x14ac:dyDescent="0.4">
      <c r="A475" s="233" t="s">
        <v>210</v>
      </c>
      <c r="B475" s="126" t="s">
        <v>210</v>
      </c>
      <c r="C475" s="126">
        <v>4057126</v>
      </c>
      <c r="D475" s="126" t="s">
        <v>206</v>
      </c>
      <c r="G475" s="127" t="s">
        <v>176</v>
      </c>
      <c r="H475" s="128">
        <v>2020</v>
      </c>
      <c r="I475" s="129"/>
      <c r="J475" s="125">
        <f>IFERROR(INDEX('Labor Expenditures'!$E$7:$W$91,MATCH($C475,'Labor Expenditures'!$C$7:$C$91,0),MATCH($G475,'Labor Expenditures'!$E$5:$W$5,0)),"NA")</f>
        <v>138859.76142642426</v>
      </c>
      <c r="K475" s="125">
        <f t="shared" ca="1" si="867"/>
        <v>906.69122707426868</v>
      </c>
      <c r="L475" s="47"/>
      <c r="M475" s="131">
        <f t="shared" ca="1" si="874"/>
        <v>-4.5722786235324601E-2</v>
      </c>
      <c r="N475" s="131"/>
      <c r="O475" s="131"/>
      <c r="P475" s="59">
        <f t="shared" ca="1" si="876"/>
        <v>-1.7969295949916211E-3</v>
      </c>
      <c r="Q475" s="61"/>
      <c r="R475" s="387"/>
      <c r="S475" s="49">
        <f t="shared" ca="1" si="881"/>
        <v>115.10728603130059</v>
      </c>
      <c r="T475" s="61">
        <f ca="1">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</f>
        <v>-9.6675793521982644E-4</v>
      </c>
      <c r="U475" s="61"/>
      <c r="V475" s="125">
        <f>IFERROR(INDEX('Non-Labor Expenditures'!$E$7:$AA$91,MATCH($C475,'Non-Labor Expenditures'!$C$7:$C$91,0),MATCH($G475,'Non-Labor Expenditures'!$E$5:$AA$5,0)),"NA")</f>
        <v>201094.86997137719</v>
      </c>
      <c r="W475" s="125">
        <f t="shared" si="868"/>
        <v>1769.8429892836589</v>
      </c>
      <c r="X475" s="131">
        <f t="shared" si="877"/>
        <v>-3.4323046499348975E-2</v>
      </c>
      <c r="Y475" s="131">
        <f t="shared" si="878"/>
        <v>-1.3489138156962072E-3</v>
      </c>
      <c r="Z475" s="131"/>
      <c r="AA475" s="131"/>
      <c r="AB475" s="131"/>
      <c r="AC475" s="125">
        <f t="shared" si="848"/>
        <v>116013.84307855231</v>
      </c>
      <c r="AD475" s="129"/>
      <c r="AE475" s="133">
        <v>9845.3060146669741</v>
      </c>
      <c r="AF475" s="134">
        <v>4.4032175410342184E-2</v>
      </c>
      <c r="AG475" s="59">
        <f t="shared" si="869"/>
        <v>1.7304876986166124E-3</v>
      </c>
      <c r="AH475" s="134"/>
      <c r="AI475" s="134"/>
      <c r="AJ475" s="129">
        <f t="shared" si="796"/>
        <v>455968.47447635373</v>
      </c>
      <c r="AK475" s="134">
        <f t="shared" si="879"/>
        <v>-1.1118169115508425E-3</v>
      </c>
      <c r="AL475" s="129"/>
      <c r="AM475" s="129"/>
      <c r="AN475" s="129"/>
      <c r="AO475" s="129"/>
      <c r="AP475" s="133">
        <f t="shared" si="880"/>
        <v>351.31816947215702</v>
      </c>
      <c r="AQ475" s="134">
        <f>+BB475/Outputs!$B$28</f>
        <v>3.4214841309135477E-2</v>
      </c>
      <c r="AR475" s="93">
        <f t="shared" si="870"/>
        <v>0.30453807488751167</v>
      </c>
      <c r="AS475" s="93">
        <f t="shared" si="871"/>
        <v>0.44102801230352573</v>
      </c>
      <c r="AT475" s="93">
        <f t="shared" si="872"/>
        <v>0.25443391280896266</v>
      </c>
      <c r="AU475" s="93">
        <f t="shared" ca="1" si="875"/>
        <v>-1.8536044558465498E-2</v>
      </c>
      <c r="AV475" s="132">
        <f t="shared" ca="1" si="883"/>
        <v>103.81880753620214</v>
      </c>
      <c r="AW475" s="134">
        <f t="shared" ca="1" si="884"/>
        <v>-1.8536044558465449E-2</v>
      </c>
      <c r="AX475" s="56">
        <f>+AJ475/$AL$25</f>
        <v>3.9300527000765882E-2</v>
      </c>
      <c r="AY475" s="135">
        <f t="shared" ca="1" si="882"/>
        <v>-7.2847631965737092E-4</v>
      </c>
      <c r="AZ475" s="93"/>
      <c r="BA475" s="93"/>
      <c r="BB475" s="234">
        <f>IFERROR(INDEX('Total Customers'!$E$7:$AA$91,MATCH($C475,'Total Customers'!$C$7:$C$91,0),MATCH($G475,'Total Customers'!$E$5:$AA$5,0)),"NA")</f>
        <v>1297879</v>
      </c>
      <c r="BC475" s="411">
        <f t="shared" si="846"/>
        <v>1.1829651281966525E-2</v>
      </c>
      <c r="BD475" s="92"/>
      <c r="BE475" s="281" t="str">
        <f t="shared" si="839"/>
        <v>DTE GAS COMPANY</v>
      </c>
      <c r="BF475" s="290">
        <f t="shared" si="840"/>
        <v>4057126</v>
      </c>
      <c r="BG475" s="46" t="str">
        <f t="shared" si="841"/>
        <v>MI</v>
      </c>
      <c r="BH475" s="46"/>
      <c r="BI475" s="46" t="str">
        <f t="shared" si="842"/>
        <v>2020 Y</v>
      </c>
      <c r="BJ475" s="129"/>
      <c r="BK475" s="129"/>
      <c r="BL475" s="129">
        <f>INDEX('Dist. Plant Gas Additions'!$E$7:$AD$91,MATCH($C475,'Dist. Plant Gas Additions'!$C$7:$C$91,0),MATCH(Calculation!$G475,'Dist. Plant Gas Additions'!$E$5:$AD$5,0))</f>
        <v>399983</v>
      </c>
      <c r="BM475" s="129">
        <f>INDEX('Gen. Plant Additions'!$E$7:$AD$91,MATCH($C475,'Gen. Plant Additions'!$C$7:$C$91,0),MATCH(Calculation!$G475,'Gen. Plant Additions'!$E$5:$AD$5,0))</f>
        <v>18238</v>
      </c>
      <c r="BN475" s="393">
        <f t="shared" si="849"/>
        <v>0.93119599414697141</v>
      </c>
      <c r="BO475" s="46">
        <f t="shared" si="837"/>
        <v>16983.152541252464</v>
      </c>
      <c r="BP475" s="46">
        <f t="shared" si="838"/>
        <v>-1254.8474587475357</v>
      </c>
      <c r="BQ475" s="129">
        <f>INDEX('Dist Plant Depreciation'!$D$7:$AC$94,MATCH($C475,'Dist Plant Depreciation'!$C$7:$C$94,0),MATCH(Calculation!$G475,'Dist Plant Depreciation'!$D$5:$AC$5,0))</f>
        <v>1551375</v>
      </c>
      <c r="BR475" s="129">
        <f>INDEX('Gen. Plant Depreciation'!$D$7:$AC$94,MATCH($C475,'Gen. Plant Depreciation'!$C$7:$C$94,0),MATCH(Calculation!$G475,'Gen. Plant Depreciation'!$D$5:$AC$5,0))</f>
        <v>97732</v>
      </c>
      <c r="BS475" s="129"/>
      <c r="BT475" s="129"/>
      <c r="BU475" s="129"/>
      <c r="BV475" s="129"/>
      <c r="BW475" s="129"/>
      <c r="BX475" s="129"/>
      <c r="BY475" s="129">
        <f>INDEX('Gross Dx Plant'!$D$7:$AC$91,MATCH($C475,'Gross Dx Plant'!$C$7:$C$91,0),MATCH(Calculation!$G475,'Gross Dx Plant'!$D$5:$AC$5,0))</f>
        <v>4366879</v>
      </c>
      <c r="BZ475" s="129">
        <f>INDEX('Gross Gen Plant'!$D$7:$AC$91,MATCH($C475,'Gross Gen Plant'!$C$7:$C$91,0),MATCH(Calculation!$G475,'Gross Gen Plant'!$D$5:$AC$5,0))</f>
        <v>322659</v>
      </c>
      <c r="CA475" s="129">
        <f t="shared" si="885"/>
        <v>3040431</v>
      </c>
      <c r="CB475" s="129"/>
      <c r="CC475" s="133">
        <v>2020</v>
      </c>
      <c r="CD475" s="129"/>
      <c r="CE475" s="129"/>
      <c r="CF475" s="129"/>
      <c r="CG475" s="137"/>
      <c r="CH475" s="129">
        <f t="shared" si="850"/>
        <v>418221</v>
      </c>
      <c r="CI475" s="46">
        <f t="shared" si="859"/>
        <v>416966.15254125244</v>
      </c>
      <c r="CJ475" s="46">
        <f t="shared" si="851"/>
        <v>512.82293160407028</v>
      </c>
      <c r="CK475" s="443">
        <v>0.72499999999999998</v>
      </c>
      <c r="CL475" s="46">
        <f>CL453*CK475+CJ454*CK474+CJ455*CK473+CJ456*CK472+CJ457*CK471+CJ458*CK470+CJ459*CK469+CJ460*CK468+CJ461*CK467+CJ462*CK466+CJ463*CK465+CJ464*CK464+CJ465*CK463+CJ466*CK462+CJ467*CK461+CJ468*CK460+CJ469*CK459+CJ470*CK458+CJ471*CK457+CJ472*CK456+CJ473*CK455+CJ474*CK454+CJ475</f>
        <v>8922.0241930949833</v>
      </c>
      <c r="CM475" s="134">
        <f t="shared" si="852"/>
        <v>4.2205859064853649E-2</v>
      </c>
      <c r="CN475" s="135">
        <f t="shared" si="853"/>
        <v>1.6846970183979931E-2</v>
      </c>
      <c r="CO475" s="135">
        <f t="shared" si="862"/>
        <v>1.6557554507223834E-2</v>
      </c>
      <c r="CP475" s="134">
        <f>VLOOKUP($H475,RoR!$E:$F,2,FALSE)</f>
        <v>2.4766666666666666E-2</v>
      </c>
      <c r="CQ475" s="135">
        <v>1.1618796630994188E-2</v>
      </c>
      <c r="CR475" s="135">
        <f t="shared" si="860"/>
        <v>1.3147870035672478E-2</v>
      </c>
      <c r="CS475" s="135">
        <f t="shared" si="863"/>
        <v>1.4344387101309791E-2</v>
      </c>
      <c r="CT475" s="135">
        <f t="shared" si="864"/>
        <v>4.5144642961987357E-2</v>
      </c>
      <c r="CU475" s="139">
        <f t="shared" si="854"/>
        <v>0.92230000000000001</v>
      </c>
      <c r="CV475" s="335">
        <f t="shared" si="855"/>
        <v>2.0706077233668081</v>
      </c>
      <c r="CW475" s="335">
        <f t="shared" si="856"/>
        <v>-3.4421265141318998E-2</v>
      </c>
      <c r="CX475" s="335">
        <f t="shared" si="857"/>
        <v>0.62416226176410472</v>
      </c>
      <c r="CY475" s="335">
        <f t="shared" si="858"/>
        <v>-4.4485877841158712E-2</v>
      </c>
      <c r="CZ475" s="336">
        <f>INDEX('State Tax Lookup'!$D$7:$Z$91,MATCH(Calculation!$C475,'State Tax Lookup'!$B$7:$B$91,0),MATCH($H475,'State Tax Lookup'!$D$6:$Z$6,0))</f>
        <v>0.20999999999999996</v>
      </c>
      <c r="DA475" s="303">
        <v>0.37</v>
      </c>
      <c r="DB475" s="57">
        <f t="shared" si="861"/>
        <v>13.563637945687223</v>
      </c>
      <c r="DC475" s="56">
        <f t="shared" si="865"/>
        <v>2.9222204313681419E-2</v>
      </c>
      <c r="DD475" s="303">
        <f>VLOOKUP($H475,RoR!$E:$F,2,FALSE)</f>
        <v>2.4766666666666666E-2</v>
      </c>
      <c r="DE475" s="304">
        <f>HLOOKUP($H475,'GDP-PI'!$D$8:$CQ$11,3,FALSE)</f>
        <v>1.1618796630994188E-2</v>
      </c>
      <c r="DF475" s="303">
        <f>VLOOKUP(H475,'HW Dx Data'!$E:$F,2,FALSE)</f>
        <v>813.080162458833</v>
      </c>
      <c r="DG475" s="89">
        <f ca="1">VLOOKUP(CC475,'ECI - Input Price'!M$13:N$33,2,FALSE)</f>
        <v>153.15</v>
      </c>
      <c r="DH475" s="89"/>
      <c r="DI475" s="89"/>
      <c r="DJ475" s="56">
        <f t="shared" ca="1" si="873"/>
        <v>2.2951556467368479E-2</v>
      </c>
      <c r="DK475" s="53">
        <f>HLOOKUP(H475,'GDP-PI'!$8:$9,2,FALSE)</f>
        <v>113.623</v>
      </c>
      <c r="DL475" s="355">
        <f t="shared" si="866"/>
        <v>1.1551816731392881E-2</v>
      </c>
      <c r="EC475"/>
    </row>
    <row r="476" spans="1:133" s="126" customFormat="1" ht="21" customHeight="1" x14ac:dyDescent="0.4">
      <c r="A476" s="233" t="s">
        <v>210</v>
      </c>
      <c r="B476" s="126" t="s">
        <v>210</v>
      </c>
      <c r="C476" s="126">
        <v>4057126</v>
      </c>
      <c r="D476" s="126" t="s">
        <v>206</v>
      </c>
      <c r="G476" s="127" t="s">
        <v>177</v>
      </c>
      <c r="H476" s="128">
        <v>2021</v>
      </c>
      <c r="I476" s="129"/>
      <c r="J476" s="125">
        <v>154357.18007658049</v>
      </c>
      <c r="K476" s="125">
        <f t="shared" ca="1" si="867"/>
        <v>981.60368888127505</v>
      </c>
      <c r="L476" s="47"/>
      <c r="M476" s="130">
        <f t="shared" ca="1" si="874"/>
        <v>7.9385692478752379E-2</v>
      </c>
      <c r="N476" s="130"/>
      <c r="O476" s="130"/>
      <c r="P476" s="59">
        <f t="shared" ca="1" si="876"/>
        <v>2.9169277914129978E-3</v>
      </c>
      <c r="Q476" s="61"/>
      <c r="R476" s="387"/>
      <c r="S476" s="132">
        <f ca="1">+S475*EXP(T476)</f>
        <v>120.11847789783015</v>
      </c>
      <c r="T476" s="134">
        <f ca="1">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</f>
        <v>4.261395604832479E-2</v>
      </c>
      <c r="U476" s="134"/>
      <c r="V476" s="125">
        <v>217587.83215614362</v>
      </c>
      <c r="W476" s="125">
        <f t="shared" si="868"/>
        <v>1836.3392029381689</v>
      </c>
      <c r="X476" s="131">
        <f t="shared" si="877"/>
        <v>3.6883190157900488E-2</v>
      </c>
      <c r="Y476" s="131">
        <f t="shared" si="878"/>
        <v>1.3552266037906721E-3</v>
      </c>
      <c r="Z476" s="131"/>
      <c r="AA476" s="131"/>
      <c r="AB476" s="131"/>
      <c r="AC476" s="125">
        <f t="shared" si="848"/>
        <v>100034.85062470788</v>
      </c>
      <c r="AD476" s="129"/>
      <c r="AE476" s="133">
        <v>10128.546755795946</v>
      </c>
      <c r="AF476" s="134"/>
      <c r="AG476" s="59">
        <f t="shared" si="869"/>
        <v>0</v>
      </c>
      <c r="AH476" s="134"/>
      <c r="AI476" s="134"/>
      <c r="AJ476" s="129">
        <f t="shared" si="796"/>
        <v>471979.86285743199</v>
      </c>
      <c r="AK476" s="134">
        <f t="shared" si="879"/>
        <v>3.4512649033620613E-2</v>
      </c>
      <c r="AL476" s="129"/>
      <c r="AM476" s="134"/>
      <c r="AN476" s="134"/>
      <c r="AO476" s="134"/>
      <c r="AP476" s="133">
        <f t="shared" si="880"/>
        <v>359.82083120437778</v>
      </c>
      <c r="AQ476" s="134">
        <f>+BB476/Outputs!$B$29</f>
        <v>3.3976548629436609E-2</v>
      </c>
      <c r="AR476" s="93">
        <f t="shared" si="870"/>
        <v>0.32704187662177064</v>
      </c>
      <c r="AS476" s="93">
        <f t="shared" si="871"/>
        <v>0.46101083812948396</v>
      </c>
      <c r="AT476" s="93">
        <f t="shared" si="872"/>
        <v>0.2119472852487454</v>
      </c>
      <c r="AU476" s="93">
        <f t="shared" ca="1" si="875"/>
        <v>4.1704241128297945E-2</v>
      </c>
      <c r="AV476" s="132">
        <f t="shared" ca="1" si="883"/>
        <v>108.24004348233584</v>
      </c>
      <c r="AW476" s="134">
        <f t="shared" ca="1" si="884"/>
        <v>4.1704241128297966E-2</v>
      </c>
      <c r="AX476" s="56">
        <f>+AJ476/$AL$26</f>
        <v>3.6743746893606995E-2</v>
      </c>
      <c r="AY476" s="135">
        <f t="shared" ca="1" si="882"/>
        <v>1.5323700804081354E-3</v>
      </c>
      <c r="AZ476" s="93"/>
      <c r="BA476" s="93"/>
      <c r="BB476" s="234">
        <f>INDEX('Total Customers'!$D$7:$D$91,MATCH(Calculation!$C476,'Total Customers'!$C$7:$C$91,0))</f>
        <v>1311708</v>
      </c>
      <c r="BC476" s="411">
        <f t="shared" si="846"/>
        <v>1.0598711178288867E-2</v>
      </c>
      <c r="BD476" s="91"/>
      <c r="BE476" s="281" t="str">
        <f t="shared" si="839"/>
        <v>DTE GAS COMPANY</v>
      </c>
      <c r="BF476" s="290">
        <f t="shared" si="840"/>
        <v>4057126</v>
      </c>
      <c r="BG476" s="46" t="str">
        <f t="shared" si="841"/>
        <v>MI</v>
      </c>
      <c r="BH476" s="46"/>
      <c r="BI476" s="46" t="str">
        <f t="shared" si="842"/>
        <v>2021 Y</v>
      </c>
      <c r="BJ476" s="129"/>
      <c r="BK476" s="129"/>
      <c r="BL476" s="129">
        <f>INDEX('Dist. Plant Gas Additions'!$D$7:$AD$91,MATCH($C476,'Dist. Plant Gas Additions'!$C$7:$C$91,0),MATCH(Calculation!$G476,'Dist. Plant Gas Additions'!$D$5:$AD$5,0))</f>
        <v>409680</v>
      </c>
      <c r="BM476" s="129">
        <f>INDEX('Gen. Plant Additions'!$D$7:$AD$91,MATCH($C476,'Gen. Plant Additions'!$C$7:$C$91,0),MATCH(Calculation!$G476,'Gen. Plant Additions'!$D$5:$AD$5,0))</f>
        <v>41106</v>
      </c>
      <c r="BN476" s="343">
        <v>0.93119599414697141</v>
      </c>
      <c r="BO476" s="46">
        <f t="shared" si="837"/>
        <v>38277.742535405407</v>
      </c>
      <c r="BP476" s="46">
        <f t="shared" si="838"/>
        <v>-2828.2574645945933</v>
      </c>
      <c r="BQ476" s="129"/>
      <c r="BR476" s="129"/>
      <c r="BS476" s="137"/>
      <c r="BT476" s="137"/>
      <c r="BU476" s="333"/>
      <c r="BV476" s="93"/>
      <c r="BW476" s="334"/>
      <c r="BX476" s="334"/>
      <c r="BY476" s="129"/>
      <c r="BZ476" s="129"/>
      <c r="CA476" s="129"/>
      <c r="CB476" s="129"/>
      <c r="CC476" s="133">
        <v>2021</v>
      </c>
      <c r="CD476" s="129"/>
      <c r="CE476" s="129"/>
      <c r="CF476" s="129"/>
      <c r="CG476" s="137"/>
      <c r="CH476" s="129">
        <f t="shared" si="850"/>
        <v>450786</v>
      </c>
      <c r="CI476" s="46">
        <f t="shared" si="859"/>
        <v>447957.74253540538</v>
      </c>
      <c r="CJ476" s="46">
        <f t="shared" si="851"/>
        <v>480.11461986341681</v>
      </c>
      <c r="CK476" s="443">
        <v>0.70886075949367089</v>
      </c>
      <c r="CL476" s="129">
        <f>CL453*CK476+CJ454*CK475+CJ455*CK474+CJ456*CK473+CJ457*CK472+CJ458*CK471+CJ459*CK470+CJ460*CK469+CJ461*CK468+CJ462*CK467+CJ463*CK466+CJ464*CK465+CJ465*CK464+CJ466*CK463+CJ467*CK462+CJ458*CK461+CJ469*CK460+CJ470*CK459+CJ471*CK458+CJ472*CK457+CJ473*CK456+CJ474*CK455+CJ476+CJ475*CK454</f>
        <v>9150.5703587078478</v>
      </c>
      <c r="CM476" s="134"/>
      <c r="CN476" s="135">
        <f t="shared" si="853"/>
        <v>2.8196342982935246E-2</v>
      </c>
      <c r="CO476" s="135">
        <f t="shared" si="862"/>
        <v>2.0529064475998882E-2</v>
      </c>
      <c r="CP476" s="134">
        <f>VLOOKUP($H476,RoR!$E:$F,2,FALSE)</f>
        <v>2.7033333333333336E-2</v>
      </c>
      <c r="CQ476" s="135"/>
      <c r="CR476" s="135"/>
      <c r="CS476" s="135">
        <f t="shared" si="863"/>
        <v>1.0372877132534743E-2</v>
      </c>
      <c r="CT476" s="135">
        <f t="shared" si="864"/>
        <v>7.433422950153494E-2</v>
      </c>
      <c r="CU476" s="139">
        <f t="shared" si="854"/>
        <v>0.92230000000000001</v>
      </c>
      <c r="CV476" s="335">
        <f t="shared" si="855"/>
        <v>1.8969932656739068</v>
      </c>
      <c r="CW476" s="335">
        <f t="shared" si="856"/>
        <v>5.0215782983970621E-2</v>
      </c>
      <c r="CX476" s="335">
        <f t="shared" si="857"/>
        <v>0.655952481704143</v>
      </c>
      <c r="CY476" s="335">
        <f t="shared" si="858"/>
        <v>6.2485378865697057E-2</v>
      </c>
      <c r="CZ476" s="336">
        <f>CZ475</f>
        <v>0.20999999999999996</v>
      </c>
      <c r="DA476" s="303">
        <v>0.37</v>
      </c>
      <c r="DB476" s="141">
        <f t="shared" si="861"/>
        <v>11.212125013304469</v>
      </c>
      <c r="DC476" s="135">
        <f t="shared" si="865"/>
        <v>-0.19039674841423643</v>
      </c>
      <c r="DD476" s="336">
        <f>VLOOKUP($H476,RoR!$E:$F,2,FALSE)</f>
        <v>2.7033333333333336E-2</v>
      </c>
      <c r="DE476" s="342">
        <f>HLOOKUP($H476,'GDP-PI'!$D$8:$CR$11,3,FALSE)</f>
        <v>4.2834637353352578E-2</v>
      </c>
      <c r="DF476" s="336">
        <f>VLOOKUP(H476,'HW Dx Data'!$E:$F,2,FALSE)</f>
        <v>933.02249921662576</v>
      </c>
      <c r="DG476" s="89">
        <f ca="1">VLOOKUP(CC476,'ECI - Input Price'!M$13:N$33,2,FALSE)</f>
        <v>157.25</v>
      </c>
      <c r="DH476" s="89"/>
      <c r="DI476" s="89"/>
      <c r="DJ476" s="135">
        <f t="shared" ca="1" si="873"/>
        <v>2.6419062301765574E-2</v>
      </c>
      <c r="DK476" s="137">
        <f>HLOOKUP(H476,'GDP-PI'!$8:$9,2,FALSE)</f>
        <v>118.49</v>
      </c>
      <c r="DL476" s="356">
        <f t="shared" si="866"/>
        <v>4.194261824609434E-2</v>
      </c>
      <c r="EC476"/>
    </row>
    <row r="477" spans="1:133" s="126" customFormat="1" ht="21" customHeight="1" thickBot="1" x14ac:dyDescent="0.45">
      <c r="A477" s="235"/>
      <c r="B477" s="236"/>
      <c r="C477" s="236"/>
      <c r="D477" s="236"/>
      <c r="E477" s="236"/>
      <c r="F477" s="236"/>
      <c r="G477" s="237" t="s">
        <v>178</v>
      </c>
      <c r="H477" s="238"/>
      <c r="I477" s="239"/>
      <c r="J477" s="240">
        <v>161995.56460019326</v>
      </c>
      <c r="K477" s="240">
        <f t="shared" ca="1" si="867"/>
        <v>996.58913934292991</v>
      </c>
      <c r="L477" s="47"/>
      <c r="M477" s="241">
        <f t="shared" ref="M477" ca="1" si="886">LN(K477/K476)</f>
        <v>1.5150936659992901E-2</v>
      </c>
      <c r="N477" s="241"/>
      <c r="O477" s="241"/>
      <c r="P477" s="242">
        <f t="shared" ca="1" si="876"/>
        <v>6.1748748154038743E-4</v>
      </c>
      <c r="Q477" s="61"/>
      <c r="R477" s="387"/>
      <c r="S477" s="206">
        <f ca="1">+S476*EXP(T477)</f>
        <v>120.06286780777596</v>
      </c>
      <c r="T477" s="243">
        <f ca="1">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</f>
        <v>-4.6306752828384072E-4</v>
      </c>
      <c r="U477" s="243"/>
      <c r="V477" s="239">
        <v>228355.19347256163</v>
      </c>
      <c r="W477" s="240">
        <f t="shared" si="868"/>
        <v>1794.5398308256317</v>
      </c>
      <c r="X477" s="244">
        <f t="shared" ref="X477" si="887">LN(W477/W476)</f>
        <v>-2.3025398772626E-2</v>
      </c>
      <c r="Y477" s="244">
        <f t="shared" si="878"/>
        <v>-9.3841693214356142E-4</v>
      </c>
      <c r="Z477" s="206"/>
      <c r="AA477" s="243"/>
      <c r="AB477" s="243"/>
      <c r="AC477" s="240">
        <f t="shared" si="848"/>
        <v>148954.41038529042</v>
      </c>
      <c r="AD477" s="243"/>
      <c r="AE477" s="245">
        <v>10566.247758092943</v>
      </c>
      <c r="AF477" s="243">
        <v>4.230689856303653E-2</v>
      </c>
      <c r="AG477" s="242">
        <f t="shared" si="869"/>
        <v>1.7242485287695937E-3</v>
      </c>
      <c r="AH477" s="206"/>
      <c r="AI477" s="243"/>
      <c r="AJ477" s="239">
        <f t="shared" si="796"/>
        <v>539305.16845804534</v>
      </c>
      <c r="AK477" s="243">
        <f t="shared" si="879"/>
        <v>0.13334526470129943</v>
      </c>
      <c r="AL477" s="239"/>
      <c r="AM477" s="243"/>
      <c r="AN477" s="243"/>
      <c r="AO477" s="243"/>
      <c r="AP477" s="245">
        <f t="shared" si="880"/>
        <v>407.63067673605724</v>
      </c>
      <c r="AQ477" s="243"/>
      <c r="AR477" s="207">
        <f t="shared" si="870"/>
        <v>0.30037829057593302</v>
      </c>
      <c r="AS477" s="207">
        <f t="shared" si="871"/>
        <v>0.42342481924559244</v>
      </c>
      <c r="AT477" s="207">
        <f t="shared" si="872"/>
        <v>0.27619689017847449</v>
      </c>
      <c r="AU477" s="207"/>
      <c r="AV477" s="206"/>
      <c r="AW477" s="243"/>
      <c r="AX477" s="248">
        <f>+AJ477/$AL$27</f>
        <v>4.0755729853382987E-2</v>
      </c>
      <c r="AY477" s="249"/>
      <c r="AZ477" s="206"/>
      <c r="BA477" s="243"/>
      <c r="BB477" s="250">
        <v>1323024</v>
      </c>
      <c r="BC477" s="412">
        <f t="shared" si="846"/>
        <v>8.5899207819309879E-3</v>
      </c>
      <c r="BD477" s="91"/>
      <c r="BE477" s="401">
        <f t="shared" si="839"/>
        <v>0</v>
      </c>
      <c r="BF477" s="402">
        <f t="shared" si="840"/>
        <v>0</v>
      </c>
      <c r="BG477" s="313">
        <f t="shared" si="841"/>
        <v>0</v>
      </c>
      <c r="BH477" s="313"/>
      <c r="BI477" s="313" t="str">
        <f t="shared" si="842"/>
        <v>2022Y</v>
      </c>
      <c r="BJ477" s="239"/>
      <c r="BK477" s="239"/>
      <c r="BL477" s="239"/>
      <c r="BM477" s="239"/>
      <c r="BN477" s="337">
        <v>0.93119599414697141</v>
      </c>
      <c r="BO477" s="313">
        <f t="shared" si="837"/>
        <v>0</v>
      </c>
      <c r="BP477" s="313">
        <f t="shared" si="838"/>
        <v>0</v>
      </c>
      <c r="BQ477" s="239"/>
      <c r="BR477" s="239"/>
      <c r="BS477" s="310"/>
      <c r="BT477" s="310"/>
      <c r="BU477" s="311"/>
      <c r="BV477" s="207"/>
      <c r="BW477" s="312"/>
      <c r="BX477" s="312"/>
      <c r="BY477" s="239"/>
      <c r="BZ477" s="239"/>
      <c r="CA477" s="239"/>
      <c r="CB477" s="239"/>
      <c r="CC477" s="245">
        <v>2022</v>
      </c>
      <c r="CD477" s="239"/>
      <c r="CE477" s="239"/>
      <c r="CF477" s="239"/>
      <c r="CG477" s="310"/>
      <c r="CH477" s="239">
        <v>547551</v>
      </c>
      <c r="CI477" s="313">
        <f t="shared" si="859"/>
        <v>547551</v>
      </c>
      <c r="CJ477" s="313">
        <f t="shared" si="851"/>
        <v>531.18518446658459</v>
      </c>
      <c r="CK477" s="443">
        <v>0.69230769230769229</v>
      </c>
      <c r="CL477" s="239">
        <f>+CL453*CK477+CJ454*CK476+CJ455*CK475+CJ456*CK474+CJ457*CK473+CJ458*CK472+CJ459*CK471+CJ460*CK470+CJ461*CK469+CJ462*CK468+CJ463*CK467+CJ464*CK466+CJ465*CK465+CJ466*CK464+CJ467*CK463+CJ468*CK462+CJ469*CK461+CJ470*CK460+CJ471*CK459+CJ472*CK458+CJ473*CK457+CJ474*CK456+CJ475*CK455+CJ476*CK454+CJ477*CK453</f>
        <v>9619.6322057545294</v>
      </c>
      <c r="CM477" s="243">
        <f t="shared" ref="CM477" si="888">LN(CL477/CL476)</f>
        <v>4.9989820066955196E-2</v>
      </c>
      <c r="CN477" s="249">
        <f t="shared" si="853"/>
        <v>6.7890125953498975E-3</v>
      </c>
      <c r="CO477" s="249">
        <f t="shared" si="862"/>
        <v>1.7277441920755025E-2</v>
      </c>
      <c r="CP477" s="243"/>
      <c r="CQ477" s="249"/>
      <c r="CR477" s="249"/>
      <c r="CS477" s="248">
        <f t="shared" si="863"/>
        <v>1.36244996877786E-2</v>
      </c>
      <c r="CT477" s="249">
        <f t="shared" si="864"/>
        <v>0.10114668178709289</v>
      </c>
      <c r="CU477" s="314">
        <f t="shared" si="854"/>
        <v>0.92230000000000001</v>
      </c>
      <c r="CV477" s="315"/>
      <c r="CW477" s="315"/>
      <c r="CX477" s="315"/>
      <c r="CY477" s="315"/>
      <c r="CZ477" s="316">
        <f>CZ476</f>
        <v>0.20999999999999996</v>
      </c>
      <c r="DA477" s="360">
        <v>0.37</v>
      </c>
      <c r="DB477" s="318">
        <f t="shared" si="861"/>
        <v>16.278155846705523</v>
      </c>
      <c r="DC477" s="249">
        <f t="shared" si="865"/>
        <v>0.37282829373246884</v>
      </c>
      <c r="DD477" s="316">
        <v>0.04</v>
      </c>
      <c r="DE477" s="319">
        <v>7.0000000000000001E-3</v>
      </c>
      <c r="DF477" s="316">
        <v>1030.81</v>
      </c>
      <c r="DG477" s="89">
        <f ca="1">VLOOKUP(CC477,'ECI - Input Price'!M$13:N$33,2,FALSE)</f>
        <v>162.55000000000001</v>
      </c>
      <c r="DH477" s="89"/>
      <c r="DI477" s="89"/>
      <c r="DJ477" s="249">
        <f t="shared" ca="1" si="873"/>
        <v>3.3148751169364422E-2</v>
      </c>
      <c r="DK477" s="310">
        <v>127.25</v>
      </c>
      <c r="DL477" s="357">
        <f t="shared" si="866"/>
        <v>7.1325086601983473E-2</v>
      </c>
      <c r="EC477"/>
    </row>
    <row r="478" spans="1:133" s="126" customFormat="1" ht="21" customHeight="1" x14ac:dyDescent="0.4">
      <c r="A478" s="251" t="s">
        <v>211</v>
      </c>
      <c r="B478" s="252" t="s">
        <v>211</v>
      </c>
      <c r="C478" s="252">
        <v>4057079</v>
      </c>
      <c r="D478" s="252" t="s">
        <v>199</v>
      </c>
      <c r="E478" s="252"/>
      <c r="F478" s="252"/>
      <c r="G478" s="252" t="s">
        <v>150</v>
      </c>
      <c r="H478" s="253">
        <v>1998</v>
      </c>
      <c r="I478" s="254"/>
      <c r="J478" s="255"/>
      <c r="K478" s="255"/>
      <c r="L478" s="47"/>
      <c r="M478" s="255"/>
      <c r="N478" s="255"/>
      <c r="O478" s="255"/>
      <c r="P478" s="219"/>
      <c r="Q478" s="218"/>
      <c r="R478" s="385"/>
      <c r="S478" s="257"/>
      <c r="T478" s="258"/>
      <c r="U478" s="258"/>
      <c r="V478" s="259"/>
      <c r="W478" s="259"/>
      <c r="X478" s="259"/>
      <c r="Y478" s="255"/>
      <c r="Z478" s="259"/>
      <c r="AA478" s="259"/>
      <c r="AB478" s="259"/>
      <c r="AC478" s="255"/>
      <c r="AD478" s="254"/>
      <c r="AE478" s="260">
        <v>2007.9720756433521</v>
      </c>
      <c r="AF478" s="256"/>
      <c r="AG478" s="225"/>
      <c r="AH478" s="256"/>
      <c r="AI478" s="256"/>
      <c r="AJ478" s="254">
        <f t="shared" ref="AJ478:AJ541" si="889">+J478+V478+AC478</f>
        <v>0</v>
      </c>
      <c r="AK478" s="254"/>
      <c r="AL478" s="254"/>
      <c r="AM478" s="256"/>
      <c r="AN478" s="256"/>
      <c r="AO478" s="256"/>
      <c r="AP478" s="226">
        <f>+(AP475+AP476+AP477)/3</f>
        <v>372.92322580419733</v>
      </c>
      <c r="AQ478" s="256"/>
      <c r="AR478" s="261"/>
      <c r="AS478" s="261"/>
      <c r="AT478" s="261"/>
      <c r="AU478" s="261"/>
      <c r="AV478" s="261"/>
      <c r="AW478" s="256">
        <f ca="1">AVERAGE(AW487:AW501)</f>
        <v>8.5723274289340823E-4</v>
      </c>
      <c r="AX478" s="223"/>
      <c r="AY478" s="261"/>
      <c r="AZ478" s="261"/>
      <c r="BA478" s="261"/>
      <c r="BB478" s="262">
        <f>IFERROR(INDEX('Total Customers'!$E$7:$AA$91,MATCH($C478,'Total Customers'!$C$7:$C$91,0),MATCH($G478,'Total Customers'!$E$5:$AA$5,0)),"NA")</f>
        <v>377204</v>
      </c>
      <c r="BC478" s="413"/>
      <c r="BD478" s="92"/>
      <c r="BE478" s="407" t="str">
        <f t="shared" si="839"/>
        <v>DUKE ENERGY OHIO, INC.</v>
      </c>
      <c r="BF478" s="408">
        <f t="shared" si="840"/>
        <v>4057079</v>
      </c>
      <c r="BG478" s="218" t="str">
        <f t="shared" si="841"/>
        <v>OH</v>
      </c>
      <c r="BH478" s="218"/>
      <c r="BI478" s="218" t="str">
        <f t="shared" si="842"/>
        <v>1998 Y</v>
      </c>
      <c r="BJ478" s="254">
        <f>INDEX('Gross Dx Plant'!$D$7:$AC$91,MATCH($C478,'Gross Dx Plant'!$C$7:$C$91,0),MATCH(Calculation!$G478,'Gross Dx Plant'!$D$5:$AC$5,0))</f>
        <v>571940</v>
      </c>
      <c r="BK478" s="254">
        <f>INDEX('Gross Gen Plant'!$D$7:$AC$91,MATCH($C478,'Gross Gen Plant'!$C$7:$C$91,0),MATCH(Calculation!$G478,'Gross Gen Plant'!$D$5:$AC$5,0))</f>
        <v>12794</v>
      </c>
      <c r="BL478" s="254">
        <f>INDEX('Dist. Plant Gas Additions'!$E$7:$AD$91,MATCH($C478,'Dist. Plant Gas Additions'!$C$7:$C$91,0),MATCH(Calculation!$G478,'Dist. Plant Gas Additions'!$E$5:$AD$5,0))</f>
        <v>29962</v>
      </c>
      <c r="BM478" s="254">
        <f>INDEX('Gen. Plant Additions'!$E$7:$AD$91,MATCH($C478,'Gen. Plant Additions'!$C$7:$C$91,0),MATCH(Calculation!$G478,'Gen. Plant Additions'!$E$5:$AD$5,0))</f>
        <v>489</v>
      </c>
      <c r="BN478" s="409">
        <f>+(BY478/(BY478+BZ478))</f>
        <v>0.97811996565959902</v>
      </c>
      <c r="BO478" s="218">
        <f t="shared" si="837"/>
        <v>478.30066320754395</v>
      </c>
      <c r="BP478" s="218">
        <f t="shared" si="838"/>
        <v>-10.699336792456052</v>
      </c>
      <c r="BQ478" s="254">
        <f>INDEX('Dist Plant Depreciation'!$D$7:$AC$94,MATCH($C478,'Dist Plant Depreciation'!$C$7:$C$94,0),MATCH(Calculation!$G478,'Dist Plant Depreciation'!$D$5:$AC$5,0))</f>
        <v>175009</v>
      </c>
      <c r="BR478" s="254">
        <f>INDEX('Gen. Plant Depreciation'!$D$7:$AC$94,MATCH($C478,'Gen. Plant Depreciation'!$C$7:$C$94,0),MATCH(Calculation!$G478,'Gen. Plant Depreciation'!$D$5:$AC$5,0))</f>
        <v>4678</v>
      </c>
      <c r="BS478" s="254"/>
      <c r="BT478" s="254"/>
      <c r="BU478" s="254"/>
      <c r="BV478" s="254"/>
      <c r="BW478" s="254"/>
      <c r="BX478" s="254"/>
      <c r="BY478" s="254">
        <f>INDEX('Gross Dx Plant'!$D$7:$AC$91,MATCH($C478,'Gross Dx Plant'!$C$7:$C$91,0),MATCH(Calculation!$G478,'Gross Dx Plant'!$D$5:$AC$5,0))</f>
        <v>571940</v>
      </c>
      <c r="BZ478" s="254">
        <f>INDEX('Gross Gen Plant'!$D$7:$AC$91,MATCH($C478,'Gross Gen Plant'!$C$7:$C$91,0),MATCH(Calculation!$G478,'Gross Gen Plant'!$D$5:$AC$5,0))</f>
        <v>12794</v>
      </c>
      <c r="CA478" s="254">
        <f t="shared" si="885"/>
        <v>405047</v>
      </c>
      <c r="CB478" s="254"/>
      <c r="CC478" s="260">
        <v>1998</v>
      </c>
      <c r="CD478" s="254">
        <f>BJ478+BK478</f>
        <v>584734</v>
      </c>
      <c r="CE478" s="254">
        <f>175009+4678</f>
        <v>179687</v>
      </c>
      <c r="CF478" s="254">
        <f>+CD478-CE478</f>
        <v>405047</v>
      </c>
      <c r="CG478" s="254">
        <f>CF478/$BX$3</f>
        <v>2007.9720756433521</v>
      </c>
      <c r="CH478" s="323"/>
      <c r="CI478" s="344"/>
      <c r="CJ478" s="344"/>
      <c r="CK478" s="443">
        <v>1</v>
      </c>
      <c r="CL478" s="254">
        <f>+CG478</f>
        <v>2007.9720756433521</v>
      </c>
      <c r="CM478" s="256"/>
      <c r="CN478" s="325"/>
      <c r="CO478" s="325"/>
      <c r="CP478" s="256" t="e">
        <f>VLOOKUP($H478,RoR!$E:$F,2,FALSE)</f>
        <v>#N/A</v>
      </c>
      <c r="CQ478" s="325">
        <v>1.1028127770464469E-2</v>
      </c>
      <c r="CR478" s="325"/>
      <c r="CS478" s="325"/>
      <c r="CT478" s="325"/>
      <c r="CU478" s="327"/>
      <c r="CV478" s="331" t="e">
        <f>2/(DD478*39)</f>
        <v>#N/A</v>
      </c>
      <c r="CW478" s="328" t="e">
        <f>+(DD478*40-(1+DD478))/(DD478*40)</f>
        <v>#N/A</v>
      </c>
      <c r="CX478" s="328" t="e">
        <f>+(1-(1/(1+DD478)^40))</f>
        <v>#N/A</v>
      </c>
      <c r="CY478" s="328" t="e">
        <f>+CX478*CW478*CV478</f>
        <v>#N/A</v>
      </c>
      <c r="CZ478" s="329">
        <f>INDEX('State Tax Lookup'!$D$7:$Z$91,MATCH(Calculation!$C478,'State Tax Lookup'!$B$7:$B$91,0),MATCH($H478,'State Tax Lookup'!$D$6:$Z$6,0))</f>
        <v>0.35</v>
      </c>
      <c r="DA478" s="351">
        <v>0.37</v>
      </c>
      <c r="DB478" s="344"/>
      <c r="DC478" s="326"/>
      <c r="DD478" s="351" t="e">
        <f>VLOOKUP($H478,RoR!$E:$F,2,FALSE)</f>
        <v>#N/A</v>
      </c>
      <c r="DE478" s="354">
        <f>HLOOKUP($H478,'GDP-PI'!$D$8:$CQ$11,3,FALSE)</f>
        <v>1.1028127770464469E-2</v>
      </c>
      <c r="DF478" s="351">
        <f>VLOOKUP(H478,'HW Dx Data'!$E:$F,2,FALSE)</f>
        <v>329.24564746449528</v>
      </c>
      <c r="DG478" s="351"/>
      <c r="DH478" s="351"/>
      <c r="DI478" s="351"/>
      <c r="DJ478" s="326"/>
      <c r="DK478" s="344">
        <f>HLOOKUP(H478,'GDP-PI'!$8:$9,2,FALSE)</f>
        <v>75.266999999999996</v>
      </c>
      <c r="DL478" s="292"/>
      <c r="EC478"/>
    </row>
    <row r="479" spans="1:133" s="126" customFormat="1" ht="21" customHeight="1" x14ac:dyDescent="0.4">
      <c r="A479" s="233" t="s">
        <v>211</v>
      </c>
      <c r="B479" s="127" t="s">
        <v>211</v>
      </c>
      <c r="C479" s="127">
        <v>4057079</v>
      </c>
      <c r="D479" s="127" t="s">
        <v>199</v>
      </c>
      <c r="E479" s="127"/>
      <c r="F479" s="127"/>
      <c r="G479" s="127" t="s">
        <v>155</v>
      </c>
      <c r="H479" s="128">
        <v>1999</v>
      </c>
      <c r="I479" s="129"/>
      <c r="J479" s="125"/>
      <c r="K479" s="129"/>
      <c r="L479" s="47"/>
      <c r="M479" s="129"/>
      <c r="N479" s="129"/>
      <c r="O479" s="129"/>
      <c r="P479" s="47"/>
      <c r="Q479" s="47"/>
      <c r="R479" s="386"/>
      <c r="S479" s="119"/>
      <c r="T479" s="47"/>
      <c r="U479" s="46"/>
      <c r="V479" s="135"/>
      <c r="W479" s="135"/>
      <c r="X479" s="135"/>
      <c r="Y479" s="143"/>
      <c r="Z479" s="135"/>
      <c r="AA479" s="135"/>
      <c r="AB479" s="135"/>
      <c r="AC479" s="125">
        <f t="shared" ref="AC479:AC502" si="890">+CL478*DB479</f>
        <v>0</v>
      </c>
      <c r="AD479" s="129"/>
      <c r="AE479" s="133">
        <v>2087.5818092375625</v>
      </c>
      <c r="AF479" s="134">
        <v>3.8881071848215355E-2</v>
      </c>
      <c r="AG479" s="61"/>
      <c r="AH479" s="134"/>
      <c r="AI479" s="134"/>
      <c r="AJ479" s="129">
        <f t="shared" si="889"/>
        <v>0</v>
      </c>
      <c r="AK479" s="134"/>
      <c r="AL479" s="129"/>
      <c r="AM479" s="134"/>
      <c r="AN479" s="134"/>
      <c r="AO479" s="134"/>
      <c r="AP479" s="133"/>
      <c r="AQ479" s="134"/>
      <c r="AR479" s="93"/>
      <c r="AS479" s="93"/>
      <c r="AT479" s="93"/>
      <c r="AU479" s="93"/>
      <c r="AV479" s="93"/>
      <c r="AW479" s="134"/>
      <c r="AX479" s="62"/>
      <c r="AY479" s="93"/>
      <c r="AZ479" s="93"/>
      <c r="BA479" s="93"/>
      <c r="BB479" s="234">
        <f>IFERROR(INDEX('Total Customers'!$E$7:$AA$91,MATCH($C479,'Total Customers'!$C$7:$C$91,0),MATCH($G479,'Total Customers'!$E$5:$AA$5,0)),"NA")</f>
        <v>384716</v>
      </c>
      <c r="BC479" s="411">
        <f t="shared" si="846"/>
        <v>1.9719244586440702E-2</v>
      </c>
      <c r="BD479" s="92"/>
      <c r="BE479" s="281" t="str">
        <f t="shared" si="839"/>
        <v>DUKE ENERGY OHIO, INC.</v>
      </c>
      <c r="BF479" s="290">
        <f t="shared" si="840"/>
        <v>4057079</v>
      </c>
      <c r="BG479" s="46" t="str">
        <f t="shared" si="841"/>
        <v>OH</v>
      </c>
      <c r="BH479" s="46"/>
      <c r="BI479" s="46" t="str">
        <f t="shared" si="842"/>
        <v>1999 Y</v>
      </c>
      <c r="BJ479" s="129"/>
      <c r="BK479" s="129"/>
      <c r="BL479" s="129">
        <f>INDEX('Dist. Plant Gas Additions'!$E$7:$AD$91,MATCH($C479,'Dist. Plant Gas Additions'!$C$7:$C$91,0),MATCH(Calculation!$G479,'Dist. Plant Gas Additions'!$E$5:$AD$5,0))</f>
        <v>29583</v>
      </c>
      <c r="BM479" s="129">
        <f>INDEX('Gen. Plant Additions'!$E$7:$AD$91,MATCH($C479,'Gen. Plant Additions'!$C$7:$C$91,0),MATCH(Calculation!$G479,'Gen. Plant Additions'!$E$5:$AD$5,0))</f>
        <v>462</v>
      </c>
      <c r="BN479" s="393">
        <f t="shared" ref="BN479:BN500" si="891">+(BY479/(BY479+BZ479))</f>
        <v>0.97983811000871057</v>
      </c>
      <c r="BO479" s="46">
        <f t="shared" si="837"/>
        <v>452.68520682402431</v>
      </c>
      <c r="BP479" s="46">
        <f t="shared" si="838"/>
        <v>-9.3147931759756943</v>
      </c>
      <c r="BQ479" s="129">
        <f>INDEX('Dist Plant Depreciation'!$D$7:$AC$94,MATCH($C479,'Dist Plant Depreciation'!$C$7:$C$94,0),MATCH(Calculation!$G479,'Dist Plant Depreciation'!$D$5:$AC$5,0))</f>
        <v>188930</v>
      </c>
      <c r="BR479" s="129">
        <f>INDEX('Gen. Plant Depreciation'!$D$7:$AC$94,MATCH($C479,'Gen. Plant Depreciation'!$C$7:$C$94,0),MATCH(Calculation!$G479,'Gen. Plant Depreciation'!$D$5:$AC$5,0))</f>
        <v>4720</v>
      </c>
      <c r="BS479" s="129"/>
      <c r="BT479" s="129"/>
      <c r="BU479" s="129"/>
      <c r="BV479" s="129"/>
      <c r="BW479" s="129"/>
      <c r="BX479" s="129"/>
      <c r="BY479" s="129">
        <f>INDEX('Gross Dx Plant'!$D$7:$AC$91,MATCH($C479,'Gross Dx Plant'!$C$7:$C$91,0),MATCH(Calculation!$G479,'Gross Dx Plant'!$D$5:$AC$5,0))</f>
        <v>599560</v>
      </c>
      <c r="BZ479" s="129">
        <f>INDEX('Gross Gen Plant'!$D$7:$AC$91,MATCH($C479,'Gross Gen Plant'!$C$7:$C$91,0),MATCH(Calculation!$G479,'Gross Gen Plant'!$D$5:$AC$5,0))</f>
        <v>12337</v>
      </c>
      <c r="CA479" s="129">
        <f t="shared" si="885"/>
        <v>418247</v>
      </c>
      <c r="CB479" s="129"/>
      <c r="CC479" s="133">
        <v>1999</v>
      </c>
      <c r="CD479" s="129"/>
      <c r="CE479" s="129"/>
      <c r="CF479" s="129"/>
      <c r="CG479" s="137"/>
      <c r="CH479" s="129">
        <f t="shared" ref="CH479:CH501" si="892">+BM479+BL479</f>
        <v>30045</v>
      </c>
      <c r="CI479" s="46">
        <f>+CH479+BP479</f>
        <v>30035.685206824026</v>
      </c>
      <c r="CJ479" s="46">
        <f t="shared" ref="CJ479:CJ502" si="893">+CI479/$DF479</f>
        <v>89.571866014033461</v>
      </c>
      <c r="CK479" s="443">
        <v>0.99009900990099009</v>
      </c>
      <c r="CL479" s="46">
        <f>+CL478*CK479+CJ479</f>
        <v>2077.6630300173524</v>
      </c>
      <c r="CM479" s="134">
        <f t="shared" ref="CM479:CM500" si="894">LN(CL479/CL478)</f>
        <v>3.4118423623771758E-2</v>
      </c>
      <c r="CN479" s="135">
        <f t="shared" ref="CN479:CN502" si="895">+(CL478-CL479+CJ479)/CL478</f>
        <v>9.9009900990098942E-3</v>
      </c>
      <c r="CO479" s="135"/>
      <c r="CP479" s="134">
        <f>VLOOKUP($H479,RoR!$E:$F,2,FALSE)</f>
        <v>7.0416666666666669E-2</v>
      </c>
      <c r="CQ479" s="135">
        <v>1.4335631817396832E-2</v>
      </c>
      <c r="CR479" s="135">
        <f>+CP479-CQ479</f>
        <v>5.6081034849269837E-2</v>
      </c>
      <c r="CS479" s="135"/>
      <c r="CT479" s="135"/>
      <c r="CU479" s="139">
        <f t="shared" ref="CU479:CU502" si="896">1-CZ479*DA479</f>
        <v>0.87050000000000005</v>
      </c>
      <c r="CV479" s="335">
        <f t="shared" ref="CV479:CV501" si="897">2/(DD479*39)</f>
        <v>0.72826581702321336</v>
      </c>
      <c r="CW479" s="335">
        <f t="shared" ref="CW479:CW501" si="898">+(DD479*40-(1+DD479))/(DD479*40)</f>
        <v>0.61997041420118348</v>
      </c>
      <c r="CX479" s="335">
        <f t="shared" ref="CX479:CX501" si="899">+(1-(1/(1+DD479)^40))</f>
        <v>0.93425155319585029</v>
      </c>
      <c r="CY479" s="335">
        <f t="shared" ref="CY479:CY501" si="900">+CX479*CW479*CV479</f>
        <v>0.42181762214141483</v>
      </c>
      <c r="CZ479" s="336">
        <f>INDEX('State Tax Lookup'!$D$7:$Z$91,MATCH(Calculation!$C479,'State Tax Lookup'!$B$7:$B$91,0),MATCH($H479,'State Tax Lookup'!$D$6:$Z$6,0))</f>
        <v>0.35</v>
      </c>
      <c r="DA479" s="303">
        <v>0.37</v>
      </c>
      <c r="DB479" s="57"/>
      <c r="DC479" s="56"/>
      <c r="DD479" s="303">
        <f>VLOOKUP($H479,RoR!$E:$F,2,FALSE)</f>
        <v>7.0416666666666669E-2</v>
      </c>
      <c r="DE479" s="304">
        <f>HLOOKUP($H479,'GDP-PI'!$D$8:$CQ$11,3,FALSE)</f>
        <v>1.4335631817396832E-2</v>
      </c>
      <c r="DF479" s="303">
        <f>VLOOKUP(H479,'HW Dx Data'!$E:$F,2,FALSE)</f>
        <v>335.32499146683239</v>
      </c>
      <c r="DG479" s="89"/>
      <c r="DH479" s="89"/>
      <c r="DI479" s="89"/>
      <c r="DJ479" s="56"/>
      <c r="DK479" s="53">
        <f>HLOOKUP(H479,'GDP-PI'!$8:$9,2,FALSE)</f>
        <v>76.346000000000004</v>
      </c>
      <c r="DL479" s="298"/>
      <c r="EC479"/>
    </row>
    <row r="480" spans="1:133" s="126" customFormat="1" ht="21" customHeight="1" x14ac:dyDescent="0.4">
      <c r="A480" s="233" t="s">
        <v>211</v>
      </c>
      <c r="B480" s="127" t="s">
        <v>211</v>
      </c>
      <c r="C480" s="127">
        <v>4057079</v>
      </c>
      <c r="D480" s="127" t="s">
        <v>199</v>
      </c>
      <c r="E480" s="127"/>
      <c r="F480" s="127"/>
      <c r="G480" s="127" t="s">
        <v>156</v>
      </c>
      <c r="H480" s="128">
        <v>2000</v>
      </c>
      <c r="I480" s="129"/>
      <c r="J480" s="125"/>
      <c r="K480" s="125"/>
      <c r="L480" s="47"/>
      <c r="M480" s="125"/>
      <c r="N480" s="125"/>
      <c r="O480" s="125"/>
      <c r="P480" s="47"/>
      <c r="Q480" s="47"/>
      <c r="R480" s="386"/>
      <c r="S480" s="119"/>
      <c r="T480" s="47"/>
      <c r="U480" s="47"/>
      <c r="V480" s="125"/>
      <c r="W480" s="125"/>
      <c r="X480" s="125"/>
      <c r="Y480" s="125"/>
      <c r="Z480" s="125"/>
      <c r="AA480" s="125"/>
      <c r="AB480" s="125"/>
      <c r="AC480" s="125">
        <f t="shared" si="890"/>
        <v>0</v>
      </c>
      <c r="AD480" s="129"/>
      <c r="AE480" s="133">
        <v>2156.8991063325689</v>
      </c>
      <c r="AF480" s="134">
        <v>3.2665224287658383E-2</v>
      </c>
      <c r="AG480" s="61"/>
      <c r="AH480" s="134"/>
      <c r="AI480" s="134"/>
      <c r="AJ480" s="129">
        <f t="shared" si="889"/>
        <v>0</v>
      </c>
      <c r="AK480" s="134"/>
      <c r="AL480" s="129"/>
      <c r="AM480" s="129"/>
      <c r="AN480" s="129"/>
      <c r="AO480" s="129"/>
      <c r="AP480" s="133"/>
      <c r="AQ480" s="134"/>
      <c r="AR480" s="93"/>
      <c r="AS480" s="93"/>
      <c r="AT480" s="93"/>
      <c r="AU480" s="93"/>
      <c r="AV480" s="93"/>
      <c r="AW480" s="134"/>
      <c r="AX480" s="62"/>
      <c r="AY480" s="93"/>
      <c r="AZ480" s="93"/>
      <c r="BA480" s="93"/>
      <c r="BB480" s="234">
        <f>IFERROR(INDEX('Total Customers'!$E$7:$AA$91,MATCH($C480,'Total Customers'!$C$7:$C$91,0),MATCH($G480,'Total Customers'!$E$5:$AA$5,0)),"NA")</f>
        <v>393674</v>
      </c>
      <c r="BC480" s="411">
        <f t="shared" si="846"/>
        <v>2.3017755893479059E-2</v>
      </c>
      <c r="BD480" s="92"/>
      <c r="BE480" s="281" t="str">
        <f t="shared" si="839"/>
        <v>DUKE ENERGY OHIO, INC.</v>
      </c>
      <c r="BF480" s="290">
        <f t="shared" si="840"/>
        <v>4057079</v>
      </c>
      <c r="BG480" s="46" t="str">
        <f t="shared" si="841"/>
        <v>OH</v>
      </c>
      <c r="BH480" s="46"/>
      <c r="BI480" s="46" t="str">
        <f t="shared" si="842"/>
        <v>2000 Y</v>
      </c>
      <c r="BJ480" s="129"/>
      <c r="BK480" s="129"/>
      <c r="BL480" s="129">
        <f>INDEX('Dist. Plant Gas Additions'!$E$7:$AD$91,MATCH($C480,'Dist. Plant Gas Additions'!$C$7:$C$91,0),MATCH(Calculation!$G480,'Dist. Plant Gas Additions'!$E$5:$AD$5,0))</f>
        <v>26924</v>
      </c>
      <c r="BM480" s="129">
        <f>INDEX('Gen. Plant Additions'!$E$7:$AD$91,MATCH($C480,'Gen. Plant Additions'!$C$7:$C$91,0),MATCH(Calculation!$G480,'Gen. Plant Additions'!$E$5:$AD$5,0))</f>
        <v>818</v>
      </c>
      <c r="BN480" s="393">
        <f t="shared" si="891"/>
        <v>0.9783464197746965</v>
      </c>
      <c r="BO480" s="46">
        <f t="shared" si="837"/>
        <v>800.2873713757017</v>
      </c>
      <c r="BP480" s="46">
        <f t="shared" si="838"/>
        <v>-17.712628624298304</v>
      </c>
      <c r="BQ480" s="129">
        <f>INDEX('Dist Plant Depreciation'!$D$7:$AC$94,MATCH($C480,'Dist Plant Depreciation'!$C$7:$C$94,0),MATCH(Calculation!$G480,'Dist Plant Depreciation'!$D$5:$AC$5,0))</f>
        <v>204271</v>
      </c>
      <c r="BR480" s="129">
        <f>INDEX('Gen. Plant Depreciation'!$D$7:$AC$94,MATCH($C480,'Gen. Plant Depreciation'!$C$7:$C$94,0),MATCH(Calculation!$G480,'Gen. Plant Depreciation'!$D$5:$AC$5,0))</f>
        <v>4910</v>
      </c>
      <c r="BS480" s="129"/>
      <c r="BT480" s="129"/>
      <c r="BU480" s="129"/>
      <c r="BV480" s="129"/>
      <c r="BW480" s="129"/>
      <c r="BX480" s="129"/>
      <c r="BY480" s="129">
        <f>INDEX('Gross Dx Plant'!$D$7:$AC$91,MATCH($C480,'Gross Dx Plant'!$C$7:$C$91,0),MATCH(Calculation!$G480,'Gross Dx Plant'!$D$5:$AC$5,0))</f>
        <v>625993</v>
      </c>
      <c r="BZ480" s="129">
        <f>INDEX('Gross Gen Plant'!$D$7:$AC$91,MATCH($C480,'Gross Gen Plant'!$C$7:$C$91,0),MATCH(Calculation!$G480,'Gross Gen Plant'!$D$5:$AC$5,0))</f>
        <v>13855</v>
      </c>
      <c r="CA480" s="129">
        <f t="shared" si="885"/>
        <v>430667</v>
      </c>
      <c r="CB480" s="129"/>
      <c r="CC480" s="133">
        <v>2000</v>
      </c>
      <c r="CD480" s="129"/>
      <c r="CE480" s="129"/>
      <c r="CF480" s="129"/>
      <c r="CG480" s="137"/>
      <c r="CH480" s="129">
        <f t="shared" si="892"/>
        <v>27742</v>
      </c>
      <c r="CI480" s="46">
        <f t="shared" ref="CI480:CI502" si="901">+CH480+BP480</f>
        <v>27724.2873713757</v>
      </c>
      <c r="CJ480" s="46">
        <f t="shared" si="893"/>
        <v>80.00458814127937</v>
      </c>
      <c r="CK480" s="443">
        <v>0.98</v>
      </c>
      <c r="CL480" s="46">
        <f>+CL478*CK480+CJ479*CK479+CJ480</f>
        <v>2136.5022381272429</v>
      </c>
      <c r="CM480" s="134">
        <f t="shared" si="894"/>
        <v>2.7926304864114442E-2</v>
      </c>
      <c r="CN480" s="135">
        <f t="shared" si="895"/>
        <v>1.0187109134445215E-2</v>
      </c>
      <c r="CO480" s="135"/>
      <c r="CP480" s="134">
        <f>VLOOKUP($H480,RoR!$E:$F,2,FALSE)</f>
        <v>7.6225000000000001E-2</v>
      </c>
      <c r="CQ480" s="135">
        <v>2.2568307442433211E-2</v>
      </c>
      <c r="CR480" s="135">
        <f t="shared" ref="CR480:CR500" si="902">+CP480-CQ480</f>
        <v>5.365669255756679E-2</v>
      </c>
      <c r="CS480" s="135"/>
      <c r="CT480" s="135"/>
      <c r="CU480" s="139">
        <f t="shared" si="896"/>
        <v>0.87050000000000005</v>
      </c>
      <c r="CV480" s="335">
        <f t="shared" si="897"/>
        <v>0.67277207323124022</v>
      </c>
      <c r="CW480" s="335">
        <f t="shared" si="898"/>
        <v>0.6470236142997704</v>
      </c>
      <c r="CX480" s="335">
        <f t="shared" si="899"/>
        <v>0.94704866037543145</v>
      </c>
      <c r="CY480" s="335">
        <f t="shared" si="900"/>
        <v>0.41224973107878493</v>
      </c>
      <c r="CZ480" s="336">
        <f>INDEX('State Tax Lookup'!$D$7:$Z$91,MATCH(Calculation!$C480,'State Tax Lookup'!$B$7:$B$91,0),MATCH($H480,'State Tax Lookup'!$D$6:$Z$6,0))</f>
        <v>0.35</v>
      </c>
      <c r="DA480" s="303">
        <v>0.37</v>
      </c>
      <c r="DB480" s="57"/>
      <c r="DC480" s="56"/>
      <c r="DD480" s="303">
        <f>VLOOKUP($H480,RoR!$E:$F,2,FALSE)</f>
        <v>7.6225000000000001E-2</v>
      </c>
      <c r="DE480" s="304">
        <f>HLOOKUP($H480,'GDP-PI'!$D$8:$CQ$11,3,FALSE)</f>
        <v>2.2568307442433211E-2</v>
      </c>
      <c r="DF480" s="303">
        <f>VLOOKUP(H480,'HW Dx Data'!$E:$F,2,FALSE)</f>
        <v>346.53371782150339</v>
      </c>
      <c r="DG480" s="89"/>
      <c r="DH480" s="89"/>
      <c r="DI480" s="89"/>
      <c r="DJ480" s="56"/>
      <c r="DK480" s="53">
        <f>HLOOKUP(H480,'GDP-PI'!$8:$9,2,FALSE)</f>
        <v>78.069000000000003</v>
      </c>
      <c r="DL480" s="298"/>
      <c r="EC480"/>
    </row>
    <row r="481" spans="1:133" s="126" customFormat="1" ht="21" customHeight="1" x14ac:dyDescent="0.4">
      <c r="A481" s="233" t="s">
        <v>211</v>
      </c>
      <c r="B481" s="127" t="s">
        <v>211</v>
      </c>
      <c r="C481" s="127">
        <v>4057079</v>
      </c>
      <c r="D481" s="127" t="s">
        <v>199</v>
      </c>
      <c r="E481" s="127"/>
      <c r="F481" s="127"/>
      <c r="G481" s="127" t="s">
        <v>157</v>
      </c>
      <c r="H481" s="128">
        <v>2001</v>
      </c>
      <c r="I481" s="129"/>
      <c r="J481" s="125"/>
      <c r="K481" s="125"/>
      <c r="L481" s="47"/>
      <c r="M481" s="125"/>
      <c r="N481" s="125"/>
      <c r="O481" s="125"/>
      <c r="P481" s="47"/>
      <c r="Q481" s="47"/>
      <c r="R481" s="386"/>
      <c r="S481" s="119"/>
      <c r="T481" s="47"/>
      <c r="U481" s="47"/>
      <c r="V481" s="125"/>
      <c r="W481" s="125"/>
      <c r="X481" s="125"/>
      <c r="Y481" s="125"/>
      <c r="Z481" s="125"/>
      <c r="AA481" s="125"/>
      <c r="AB481" s="125"/>
      <c r="AC481" s="125">
        <f t="shared" si="890"/>
        <v>21004.150434379579</v>
      </c>
      <c r="AD481" s="129"/>
      <c r="AE481" s="133">
        <v>2294.2118485550677</v>
      </c>
      <c r="AF481" s="134">
        <v>6.171777210452821E-2</v>
      </c>
      <c r="AG481" s="61"/>
      <c r="AH481" s="134"/>
      <c r="AI481" s="134"/>
      <c r="AJ481" s="129">
        <f t="shared" si="889"/>
        <v>21004.150434379579</v>
      </c>
      <c r="AK481" s="134"/>
      <c r="AL481" s="129"/>
      <c r="AM481" s="129"/>
      <c r="AN481" s="129"/>
      <c r="AO481" s="129"/>
      <c r="AP481" s="133"/>
      <c r="AQ481" s="134"/>
      <c r="AR481" s="93"/>
      <c r="AS481" s="93"/>
      <c r="AT481" s="93"/>
      <c r="AU481" s="93"/>
      <c r="AV481" s="93"/>
      <c r="AW481" s="134"/>
      <c r="AX481" s="62"/>
      <c r="AY481" s="93"/>
      <c r="AZ481" s="93"/>
      <c r="BA481" s="93"/>
      <c r="BB481" s="234">
        <f>IFERROR(INDEX('Total Customers'!$E$7:$AA$91,MATCH($C481,'Total Customers'!$C$7:$C$91,0),MATCH($G481,'Total Customers'!$E$5:$AA$5,0)),"NA")</f>
        <v>403688</v>
      </c>
      <c r="BC481" s="411">
        <f t="shared" si="846"/>
        <v>2.5119146736882317E-2</v>
      </c>
      <c r="BD481" s="92"/>
      <c r="BE481" s="281" t="str">
        <f t="shared" si="839"/>
        <v>DUKE ENERGY OHIO, INC.</v>
      </c>
      <c r="BF481" s="290">
        <f t="shared" si="840"/>
        <v>4057079</v>
      </c>
      <c r="BG481" s="46" t="str">
        <f t="shared" si="841"/>
        <v>OH</v>
      </c>
      <c r="BH481" s="46"/>
      <c r="BI481" s="46" t="str">
        <f t="shared" si="842"/>
        <v>2001 Y</v>
      </c>
      <c r="BJ481" s="129"/>
      <c r="BK481" s="129"/>
      <c r="BL481" s="129">
        <f>INDEX('Dist. Plant Gas Additions'!$E$7:$AD$91,MATCH($C481,'Dist. Plant Gas Additions'!$C$7:$C$91,0),MATCH(Calculation!$G481,'Dist. Plant Gas Additions'!$E$5:$AD$5,0))</f>
        <v>51387</v>
      </c>
      <c r="BM481" s="129">
        <f>INDEX('Gen. Plant Additions'!$E$7:$AD$91,MATCH($C481,'Gen. Plant Additions'!$C$7:$C$91,0),MATCH(Calculation!$G481,'Gen. Plant Additions'!$E$5:$AD$5,0))</f>
        <v>1058</v>
      </c>
      <c r="BN481" s="393">
        <f t="shared" si="891"/>
        <v>0.98260197459567455</v>
      </c>
      <c r="BO481" s="46">
        <f t="shared" si="837"/>
        <v>1039.5928891222236</v>
      </c>
      <c r="BP481" s="46">
        <f t="shared" si="838"/>
        <v>-18.407110877776404</v>
      </c>
      <c r="BQ481" s="129">
        <f>INDEX('Dist Plant Depreciation'!$D$7:$AC$94,MATCH($C481,'Dist Plant Depreciation'!$C$7:$C$94,0),MATCH(Calculation!$G481,'Dist Plant Depreciation'!$D$5:$AC$5,0))</f>
        <v>217180</v>
      </c>
      <c r="BR481" s="129">
        <f>INDEX('Gen. Plant Depreciation'!$D$7:$AC$94,MATCH($C481,'Gen. Plant Depreciation'!$C$7:$C$94,0),MATCH(Calculation!$G481,'Gen. Plant Depreciation'!$D$5:$AC$5,0))</f>
        <v>2856</v>
      </c>
      <c r="BS481" s="129"/>
      <c r="BT481" s="129"/>
      <c r="BU481" s="129"/>
      <c r="BV481" s="129"/>
      <c r="BW481" s="129"/>
      <c r="BX481" s="129"/>
      <c r="BY481" s="129">
        <f>INDEX('Gross Dx Plant'!$D$7:$AC$91,MATCH($C481,'Gross Dx Plant'!$C$7:$C$91,0),MATCH(Calculation!$G481,'Gross Dx Plant'!$D$5:$AC$5,0))</f>
        <v>673780</v>
      </c>
      <c r="BZ481" s="129">
        <f>INDEX('Gross Gen Plant'!$D$7:$AC$91,MATCH($C481,'Gross Gen Plant'!$C$7:$C$91,0),MATCH(Calculation!$G481,'Gross Gen Plant'!$D$5:$AC$5,0))</f>
        <v>11930</v>
      </c>
      <c r="CA481" s="129">
        <f t="shared" si="885"/>
        <v>465674</v>
      </c>
      <c r="CB481" s="129"/>
      <c r="CC481" s="133">
        <v>2001</v>
      </c>
      <c r="CD481" s="129"/>
      <c r="CE481" s="129"/>
      <c r="CF481" s="129"/>
      <c r="CG481" s="137"/>
      <c r="CH481" s="129">
        <f t="shared" si="892"/>
        <v>52445</v>
      </c>
      <c r="CI481" s="46">
        <f t="shared" si="901"/>
        <v>52426.592889122221</v>
      </c>
      <c r="CJ481" s="46">
        <f t="shared" si="893"/>
        <v>148.32927284165922</v>
      </c>
      <c r="CK481" s="443">
        <v>0.96969696969696972</v>
      </c>
      <c r="CL481" s="46">
        <f>+CL478*CK481+CJ479*CK480+CJ480*CK478+CJ481</f>
        <v>2263.2387266641845</v>
      </c>
      <c r="CM481" s="134">
        <f t="shared" si="894"/>
        <v>5.7626828653760544E-2</v>
      </c>
      <c r="CN481" s="135">
        <f t="shared" si="895"/>
        <v>1.0106605047905242E-2</v>
      </c>
      <c r="CO481" s="135">
        <f>+(CN481+CN480+CN479)/3</f>
        <v>1.0064901427120118E-2</v>
      </c>
      <c r="CP481" s="134">
        <f>VLOOKUP($H481,RoR!$E:$F,2,FALSE)</f>
        <v>7.0824999999999999E-2</v>
      </c>
      <c r="CQ481" s="135">
        <v>2.2454495382290052E-2</v>
      </c>
      <c r="CR481" s="135">
        <f t="shared" si="902"/>
        <v>4.8370504617709947E-2</v>
      </c>
      <c r="CS481" s="135">
        <f>+$CR$2-CO481</f>
        <v>2.0837040181413507E-2</v>
      </c>
      <c r="CT481" s="135">
        <f>+((DF479/DF478-1)+(DF480/DF479-1)+(DF481/DF480-1))/3</f>
        <v>2.3947275901631187E-2</v>
      </c>
      <c r="CU481" s="139">
        <f t="shared" si="896"/>
        <v>0.87050000000000005</v>
      </c>
      <c r="CV481" s="335">
        <f t="shared" si="897"/>
        <v>0.72406708481540816</v>
      </c>
      <c r="CW481" s="335">
        <f t="shared" si="898"/>
        <v>0.62201729615248857</v>
      </c>
      <c r="CX481" s="335">
        <f t="shared" si="899"/>
        <v>0.9352469954311422</v>
      </c>
      <c r="CY481" s="335">
        <f t="shared" si="900"/>
        <v>0.42121864641655071</v>
      </c>
      <c r="CZ481" s="336">
        <f>INDEX('State Tax Lookup'!$D$7:$Z$91,MATCH(Calculation!$C481,'State Tax Lookup'!$B$7:$B$91,0),MATCH($H481,'State Tax Lookup'!$D$6:$Z$6,0))</f>
        <v>0.35</v>
      </c>
      <c r="DA481" s="303">
        <v>0.37</v>
      </c>
      <c r="DB481" s="57">
        <f t="shared" ref="DB481:DB502" si="903">+(DF481*CS481-CT481)*CU481/(1-CZ481)</f>
        <v>9.8310921746521664</v>
      </c>
      <c r="DC481" s="56"/>
      <c r="DD481" s="303">
        <f>VLOOKUP($H481,RoR!$E:$F,2,FALSE)</f>
        <v>7.0824999999999999E-2</v>
      </c>
      <c r="DE481" s="304">
        <f>HLOOKUP($H481,'GDP-PI'!$D$8:$CQ$11,3,FALSE)</f>
        <v>2.2454495382290052E-2</v>
      </c>
      <c r="DF481" s="303">
        <f>VLOOKUP(H481,'HW Dx Data'!$E:$F,2,FALSE)</f>
        <v>353.44738017483138</v>
      </c>
      <c r="DG481" s="89"/>
      <c r="DH481" s="89"/>
      <c r="DI481" s="89"/>
      <c r="DJ481" s="56"/>
      <c r="DK481" s="53">
        <f>HLOOKUP(H481,'GDP-PI'!$8:$9,2,FALSE)</f>
        <v>79.822000000000003</v>
      </c>
      <c r="DL481" s="298"/>
      <c r="EC481"/>
    </row>
    <row r="482" spans="1:133" s="126" customFormat="1" ht="21" customHeight="1" x14ac:dyDescent="0.4">
      <c r="A482" s="233" t="s">
        <v>211</v>
      </c>
      <c r="B482" s="127" t="s">
        <v>211</v>
      </c>
      <c r="C482" s="127">
        <v>4057079</v>
      </c>
      <c r="D482" s="127" t="s">
        <v>199</v>
      </c>
      <c r="E482" s="127"/>
      <c r="F482" s="127"/>
      <c r="G482" s="127" t="s">
        <v>158</v>
      </c>
      <c r="H482" s="128">
        <v>2002</v>
      </c>
      <c r="I482" s="129"/>
      <c r="J482" s="125"/>
      <c r="K482" s="125"/>
      <c r="L482" s="47"/>
      <c r="M482" s="125"/>
      <c r="N482" s="125"/>
      <c r="O482" s="125"/>
      <c r="P482" s="47"/>
      <c r="Q482" s="47"/>
      <c r="R482" s="386"/>
      <c r="S482" s="119"/>
      <c r="T482" s="47"/>
      <c r="U482" s="47"/>
      <c r="V482" s="125"/>
      <c r="W482" s="125"/>
      <c r="X482" s="125"/>
      <c r="Y482" s="125"/>
      <c r="Z482" s="125"/>
      <c r="AA482" s="125"/>
      <c r="AB482" s="125"/>
      <c r="AC482" s="125">
        <f t="shared" si="890"/>
        <v>22310.656398026927</v>
      </c>
      <c r="AD482" s="129"/>
      <c r="AE482" s="133">
        <v>2459.1290138936838</v>
      </c>
      <c r="AF482" s="134">
        <v>6.9417864436562324E-2</v>
      </c>
      <c r="AG482" s="61"/>
      <c r="AH482" s="134"/>
      <c r="AI482" s="134"/>
      <c r="AJ482" s="129">
        <f t="shared" si="889"/>
        <v>22310.656398026927</v>
      </c>
      <c r="AK482" s="134"/>
      <c r="AL482" s="129"/>
      <c r="AM482" s="129"/>
      <c r="AN482" s="129"/>
      <c r="AO482" s="129"/>
      <c r="AP482" s="133"/>
      <c r="AQ482" s="134"/>
      <c r="AR482" s="93"/>
      <c r="AS482" s="93"/>
      <c r="AT482" s="93"/>
      <c r="AU482" s="93"/>
      <c r="AV482" s="93"/>
      <c r="AW482" s="134"/>
      <c r="AX482" s="62"/>
      <c r="AY482" s="93"/>
      <c r="AZ482" s="93"/>
      <c r="BA482" s="93"/>
      <c r="BB482" s="234">
        <f>IFERROR(INDEX('Total Customers'!$E$7:$AA$91,MATCH($C482,'Total Customers'!$C$7:$C$91,0),MATCH($G482,'Total Customers'!$E$5:$AA$5,0)),"NA")</f>
        <v>405745</v>
      </c>
      <c r="BC482" s="411">
        <f t="shared" si="846"/>
        <v>5.0825810861221104E-3</v>
      </c>
      <c r="BD482" s="92"/>
      <c r="BE482" s="281" t="str">
        <f t="shared" si="839"/>
        <v>DUKE ENERGY OHIO, INC.</v>
      </c>
      <c r="BF482" s="290">
        <f t="shared" si="840"/>
        <v>4057079</v>
      </c>
      <c r="BG482" s="46" t="str">
        <f t="shared" si="841"/>
        <v>OH</v>
      </c>
      <c r="BH482" s="46"/>
      <c r="BI482" s="46" t="str">
        <f t="shared" si="842"/>
        <v>2002 Y</v>
      </c>
      <c r="BJ482" s="129"/>
      <c r="BK482" s="129"/>
      <c r="BL482" s="129">
        <f>INDEX('Dist. Plant Gas Additions'!$E$7:$AD$91,MATCH($C482,'Dist. Plant Gas Additions'!$C$7:$C$91,0),MATCH(Calculation!$G482,'Dist. Plant Gas Additions'!$E$5:$AD$5,0))</f>
        <v>64139</v>
      </c>
      <c r="BM482" s="129">
        <f>INDEX('Gen. Plant Additions'!$E$7:$AD$91,MATCH($C482,'Gen. Plant Additions'!$C$7:$C$91,0),MATCH(Calculation!$G482,'Gen. Plant Additions'!$E$5:$AD$5,0))</f>
        <v>137</v>
      </c>
      <c r="BN482" s="393">
        <f t="shared" si="891"/>
        <v>0.9857691271551724</v>
      </c>
      <c r="BO482" s="46">
        <f t="shared" si="837"/>
        <v>135.05037042025862</v>
      </c>
      <c r="BP482" s="46">
        <f t="shared" si="838"/>
        <v>-1.9496295797413836</v>
      </c>
      <c r="BQ482" s="129">
        <f>INDEX('Dist Plant Depreciation'!$D$7:$AC$94,MATCH($C482,'Dist Plant Depreciation'!$C$7:$C$94,0),MATCH(Calculation!$G482,'Dist Plant Depreciation'!$D$5:$AC$5,0))</f>
        <v>228812</v>
      </c>
      <c r="BR482" s="129">
        <f>INDEX('Gen. Plant Depreciation'!$D$7:$AC$94,MATCH($C482,'Gen. Plant Depreciation'!$C$7:$C$94,0),MATCH(Calculation!$G482,'Gen. Plant Depreciation'!$D$5:$AC$5,0))</f>
        <v>2037</v>
      </c>
      <c r="BS482" s="129"/>
      <c r="BT482" s="129"/>
      <c r="BU482" s="129"/>
      <c r="BV482" s="129"/>
      <c r="BW482" s="129"/>
      <c r="BX482" s="129"/>
      <c r="BY482" s="129">
        <f>INDEX('Gross Dx Plant'!$D$7:$AC$91,MATCH($C482,'Gross Dx Plant'!$C$7:$C$91,0),MATCH(Calculation!$G482,'Gross Dx Plant'!$D$5:$AC$5,0))</f>
        <v>731835</v>
      </c>
      <c r="BZ482" s="129">
        <f>INDEX('Gross Gen Plant'!$D$7:$AC$91,MATCH($C482,'Gross Gen Plant'!$C$7:$C$91,0),MATCH(Calculation!$G482,'Gross Gen Plant'!$D$5:$AC$5,0))</f>
        <v>10565</v>
      </c>
      <c r="CA482" s="129">
        <f t="shared" si="885"/>
        <v>511551</v>
      </c>
      <c r="CB482" s="129"/>
      <c r="CC482" s="133">
        <v>2002</v>
      </c>
      <c r="CD482" s="129"/>
      <c r="CE482" s="129"/>
      <c r="CF482" s="129"/>
      <c r="CG482" s="137"/>
      <c r="CH482" s="129">
        <f t="shared" si="892"/>
        <v>64276</v>
      </c>
      <c r="CI482" s="46">
        <f t="shared" si="901"/>
        <v>64274.050370420257</v>
      </c>
      <c r="CJ482" s="46">
        <f t="shared" si="893"/>
        <v>177.87291168293979</v>
      </c>
      <c r="CK482" s="443">
        <v>0.95918367346938771</v>
      </c>
      <c r="CL482" s="46">
        <f>+CL478*CK482+CJ479*CK481+CJ480*CK480+CJ481*CK479+CJ482</f>
        <v>2416.0096730247074</v>
      </c>
      <c r="CM482" s="134">
        <f t="shared" si="894"/>
        <v>6.532043147762856E-2</v>
      </c>
      <c r="CN482" s="135">
        <f t="shared" si="895"/>
        <v>1.1091169935667812E-2</v>
      </c>
      <c r="CO482" s="135">
        <f t="shared" ref="CO482:CO502" si="904">+(CN482+CN481+CN480)/3</f>
        <v>1.0461628039339421E-2</v>
      </c>
      <c r="CP482" s="134">
        <f>VLOOKUP($H482,RoR!$E:$F,2,FALSE)</f>
        <v>6.4916666666666664E-2</v>
      </c>
      <c r="CQ482" s="135">
        <v>1.5246423291824351E-2</v>
      </c>
      <c r="CR482" s="135">
        <f t="shared" si="902"/>
        <v>4.9670243374842313E-2</v>
      </c>
      <c r="CS482" s="135">
        <f t="shared" ref="CS482:CS502" si="905">+$CR$2-CO482</f>
        <v>2.0440313569194204E-2</v>
      </c>
      <c r="CT482" s="135">
        <f t="shared" ref="CT482:CT502" si="906">+((DF480/DF479-1)+(DF481/DF480-1)+(DF482/DF481-1))/3</f>
        <v>2.5243621214759093E-2</v>
      </c>
      <c r="CU482" s="139">
        <f t="shared" si="896"/>
        <v>0.87050000000000005</v>
      </c>
      <c r="CV482" s="335">
        <f t="shared" si="897"/>
        <v>0.78996741384417901</v>
      </c>
      <c r="CW482" s="335">
        <f t="shared" si="898"/>
        <v>0.58989088575096271</v>
      </c>
      <c r="CX482" s="335">
        <f t="shared" si="899"/>
        <v>0.91920675783645744</v>
      </c>
      <c r="CY482" s="335">
        <f t="shared" si="900"/>
        <v>0.42834536472275586</v>
      </c>
      <c r="CZ482" s="336">
        <f>INDEX('State Tax Lookup'!$D$7:$Z$91,MATCH(Calculation!$C482,'State Tax Lookup'!$B$7:$B$91,0),MATCH($H482,'State Tax Lookup'!$D$6:$Z$6,0))</f>
        <v>0.35</v>
      </c>
      <c r="DA482" s="303">
        <v>0.37</v>
      </c>
      <c r="DB482" s="57">
        <f t="shared" si="903"/>
        <v>9.8578449260237253</v>
      </c>
      <c r="DC482" s="56">
        <f t="shared" ref="DC482:DC502" si="907">LN(DB482/DB481)</f>
        <v>2.7175431257604717E-3</v>
      </c>
      <c r="DD482" s="303">
        <f>VLOOKUP($H482,RoR!$E:$F,2,FALSE)</f>
        <v>6.4916666666666664E-2</v>
      </c>
      <c r="DE482" s="304">
        <f>HLOOKUP($H482,'GDP-PI'!$D$8:$CQ$11,3,FALSE)</f>
        <v>1.5246423291824351E-2</v>
      </c>
      <c r="DF482" s="303">
        <f>VLOOKUP(H482,'HW Dx Data'!$E:$F,2,FALSE)</f>
        <v>361.34816573413599</v>
      </c>
      <c r="DG482" s="89"/>
      <c r="DH482" s="89"/>
      <c r="DI482" s="89"/>
      <c r="DJ482" s="56"/>
      <c r="DK482" s="53">
        <f>HLOOKUP(H482,'GDP-PI'!$8:$9,2,FALSE)</f>
        <v>81.039000000000001</v>
      </c>
      <c r="DL482" s="355">
        <f>LN(DK482/DK481)</f>
        <v>1.513136459537477E-2</v>
      </c>
      <c r="EC482"/>
    </row>
    <row r="483" spans="1:133" s="126" customFormat="1" ht="21" customHeight="1" x14ac:dyDescent="0.4">
      <c r="A483" s="233" t="s">
        <v>211</v>
      </c>
      <c r="B483" s="127" t="s">
        <v>211</v>
      </c>
      <c r="C483" s="127">
        <v>4057079</v>
      </c>
      <c r="D483" s="127" t="s">
        <v>199</v>
      </c>
      <c r="E483" s="127"/>
      <c r="F483" s="127"/>
      <c r="G483" s="127" t="s">
        <v>159</v>
      </c>
      <c r="H483" s="128">
        <v>2003</v>
      </c>
      <c r="I483" s="129"/>
      <c r="J483" s="125"/>
      <c r="K483" s="125"/>
      <c r="L483" s="47"/>
      <c r="M483" s="125"/>
      <c r="N483" s="125"/>
      <c r="O483" s="125"/>
      <c r="P483" s="59"/>
      <c r="Q483" s="59"/>
      <c r="R483" s="386"/>
      <c r="S483" s="119"/>
      <c r="T483" s="59"/>
      <c r="U483" s="59"/>
      <c r="V483" s="125"/>
      <c r="W483" s="125"/>
      <c r="X483" s="125"/>
      <c r="Y483" s="125"/>
      <c r="Z483" s="125"/>
      <c r="AA483" s="125"/>
      <c r="AB483" s="125"/>
      <c r="AC483" s="125">
        <f t="shared" si="890"/>
        <v>24027.807807786681</v>
      </c>
      <c r="AD483" s="129"/>
      <c r="AE483" s="133">
        <v>2673.7414355715778</v>
      </c>
      <c r="AF483" s="134">
        <v>8.3671550399428668E-2</v>
      </c>
      <c r="AG483" s="61"/>
      <c r="AH483" s="134"/>
      <c r="AI483" s="134"/>
      <c r="AJ483" s="129">
        <f t="shared" si="889"/>
        <v>24027.807807786681</v>
      </c>
      <c r="AK483" s="134"/>
      <c r="AL483" s="129"/>
      <c r="AM483" s="129"/>
      <c r="AN483" s="129"/>
      <c r="AO483" s="129"/>
      <c r="AP483" s="133"/>
      <c r="AQ483" s="134"/>
      <c r="AR483" s="93"/>
      <c r="AS483" s="93"/>
      <c r="AT483" s="93"/>
      <c r="AU483" s="93"/>
      <c r="AV483" s="93"/>
      <c r="AW483" s="134"/>
      <c r="AX483" s="62"/>
      <c r="AY483" s="93"/>
      <c r="AZ483" s="93"/>
      <c r="BA483" s="93"/>
      <c r="BB483" s="234">
        <f>IFERROR(INDEX('Total Customers'!$E$7:$AA$91,MATCH($C483,'Total Customers'!$C$7:$C$91,0),MATCH($G483,'Total Customers'!$E$5:$AA$5,0)),"NA")</f>
        <v>409932</v>
      </c>
      <c r="BC483" s="411">
        <f t="shared" si="846"/>
        <v>1.0266408824707564E-2</v>
      </c>
      <c r="BD483" s="92"/>
      <c r="BE483" s="281" t="str">
        <f t="shared" si="839"/>
        <v>DUKE ENERGY OHIO, INC.</v>
      </c>
      <c r="BF483" s="290">
        <f t="shared" si="840"/>
        <v>4057079</v>
      </c>
      <c r="BG483" s="46" t="str">
        <f t="shared" si="841"/>
        <v>OH</v>
      </c>
      <c r="BH483" s="46"/>
      <c r="BI483" s="46" t="str">
        <f t="shared" si="842"/>
        <v>2003 Y</v>
      </c>
      <c r="BJ483" s="129"/>
      <c r="BK483" s="129"/>
      <c r="BL483" s="129">
        <f>INDEX('Dist. Plant Gas Additions'!$E$7:$AD$91,MATCH($C483,'Dist. Plant Gas Additions'!$C$7:$C$91,0),MATCH(Calculation!$G483,'Dist. Plant Gas Additions'!$E$5:$AD$5,0))</f>
        <v>84077</v>
      </c>
      <c r="BM483" s="129">
        <f>INDEX('Gen. Plant Additions'!$E$7:$AD$91,MATCH($C483,'Gen. Plant Additions'!$C$7:$C$91,0),MATCH(Calculation!$G483,'Gen. Plant Additions'!$E$5:$AD$5,0))</f>
        <v>277</v>
      </c>
      <c r="BN483" s="393">
        <f t="shared" si="891"/>
        <v>0.98892259629017587</v>
      </c>
      <c r="BO483" s="46">
        <f t="shared" si="837"/>
        <v>273.93155917237874</v>
      </c>
      <c r="BP483" s="46">
        <f t="shared" si="838"/>
        <v>-3.0684408276212594</v>
      </c>
      <c r="BQ483" s="129">
        <f>INDEX('Dist Plant Depreciation'!$D$7:$AC$94,MATCH($C483,'Dist Plant Depreciation'!$C$7:$C$94,0),MATCH(Calculation!$G483,'Dist Plant Depreciation'!$D$5:$AC$5,0))</f>
        <v>241907</v>
      </c>
      <c r="BR483" s="129">
        <f>INDEX('Gen. Plant Depreciation'!$D$7:$AC$94,MATCH($C483,'Gen. Plant Depreciation'!$C$7:$C$94,0),MATCH(Calculation!$G483,'Gen. Plant Depreciation'!$D$5:$AC$5,0))</f>
        <v>1034</v>
      </c>
      <c r="BS483" s="129"/>
      <c r="BT483" s="129"/>
      <c r="BU483" s="129"/>
      <c r="BV483" s="129"/>
      <c r="BW483" s="129"/>
      <c r="BX483" s="129"/>
      <c r="BY483" s="129">
        <f>INDEX('Gross Dx Plant'!$D$7:$AC$91,MATCH($C483,'Gross Dx Plant'!$C$7:$C$91,0),MATCH(Calculation!$G483,'Gross Dx Plant'!$D$5:$AC$5,0))</f>
        <v>809089</v>
      </c>
      <c r="BZ483" s="129">
        <f>INDEX('Gross Gen Plant'!$D$7:$AC$91,MATCH($C483,'Gross Gen Plant'!$C$7:$C$91,0),MATCH(Calculation!$G483,'Gross Gen Plant'!$D$5:$AC$5,0))</f>
        <v>9063</v>
      </c>
      <c r="CA483" s="129">
        <f t="shared" si="885"/>
        <v>575211</v>
      </c>
      <c r="CB483" s="129"/>
      <c r="CC483" s="133">
        <v>2003</v>
      </c>
      <c r="CD483" s="129"/>
      <c r="CE483" s="129"/>
      <c r="CF483" s="129"/>
      <c r="CG483" s="137"/>
      <c r="CH483" s="129">
        <f t="shared" si="892"/>
        <v>84354</v>
      </c>
      <c r="CI483" s="46">
        <f t="shared" si="901"/>
        <v>84350.931559172372</v>
      </c>
      <c r="CJ483" s="46">
        <f t="shared" si="893"/>
        <v>228.44905264799056</v>
      </c>
      <c r="CK483" s="443">
        <v>0.94845360824742264</v>
      </c>
      <c r="CL483" s="46">
        <f>+CL478*CK483+CJ479*CK482+CJ480*CK481+CJ481*CK480+CJ482*CK479+CJ483</f>
        <v>2617.8879723476066</v>
      </c>
      <c r="CM483" s="134">
        <f t="shared" si="894"/>
        <v>8.0250591461113477E-2</v>
      </c>
      <c r="CN483" s="135">
        <f t="shared" si="895"/>
        <v>1.0997784330816126E-2</v>
      </c>
      <c r="CO483" s="135">
        <f t="shared" si="904"/>
        <v>1.0731853104796393E-2</v>
      </c>
      <c r="CP483" s="134">
        <f>VLOOKUP($H483,RoR!$E:$F,2,FALSE)</f>
        <v>5.6666666666666671E-2</v>
      </c>
      <c r="CQ483" s="135">
        <v>1.8855119140166909E-2</v>
      </c>
      <c r="CR483" s="135">
        <f t="shared" si="902"/>
        <v>3.7811547526499761E-2</v>
      </c>
      <c r="CS483" s="135">
        <f t="shared" si="905"/>
        <v>2.0170088503737232E-2</v>
      </c>
      <c r="CT483" s="135">
        <f t="shared" si="906"/>
        <v>2.1375012817671957E-2</v>
      </c>
      <c r="CU483" s="139">
        <f t="shared" si="896"/>
        <v>0.87050000000000005</v>
      </c>
      <c r="CV483" s="335">
        <f t="shared" si="897"/>
        <v>0.90497737556561086</v>
      </c>
      <c r="CW483" s="335">
        <f t="shared" si="898"/>
        <v>0.5338235294117647</v>
      </c>
      <c r="CX483" s="335">
        <f t="shared" si="899"/>
        <v>0.88972433127405692</v>
      </c>
      <c r="CY483" s="335">
        <f t="shared" si="900"/>
        <v>0.42982423775949252</v>
      </c>
      <c r="CZ483" s="336">
        <f>INDEX('State Tax Lookup'!$D$7:$Z$91,MATCH(Calculation!$C483,'State Tax Lookup'!$B$7:$B$91,0),MATCH($H483,'State Tax Lookup'!$D$6:$Z$6,0))</f>
        <v>0.35</v>
      </c>
      <c r="DA483" s="303">
        <v>0.37</v>
      </c>
      <c r="DB483" s="57">
        <f t="shared" si="903"/>
        <v>9.9452448705245562</v>
      </c>
      <c r="DC483" s="56">
        <f t="shared" si="907"/>
        <v>8.8269570940524549E-3</v>
      </c>
      <c r="DD483" s="303">
        <f>VLOOKUP($H483,RoR!$E:$F,2,FALSE)</f>
        <v>5.6666666666666671E-2</v>
      </c>
      <c r="DE483" s="304">
        <f>HLOOKUP($H483,'GDP-PI'!$D$8:$CQ$11,3,FALSE)</f>
        <v>1.8855119140166909E-2</v>
      </c>
      <c r="DF483" s="303">
        <f>VLOOKUP(H483,'HW Dx Data'!$E:$F,2,FALSE)</f>
        <v>369.23301095560191</v>
      </c>
      <c r="DG483" s="89">
        <f ca="1">VLOOKUP(CC483,'ECI - Input Price'!M$13:N$33,2,FALSE)</f>
        <v>89.25</v>
      </c>
      <c r="DH483" s="89"/>
      <c r="DI483" s="89"/>
      <c r="DJ483" s="56"/>
      <c r="DK483" s="53">
        <f>HLOOKUP(H483,'GDP-PI'!$8:$9,2,FALSE)</f>
        <v>82.566999999999993</v>
      </c>
      <c r="DL483" s="355">
        <f t="shared" ref="DL483:DL502" si="908">LN(DK483/DK482)</f>
        <v>1.8679564681853753E-2</v>
      </c>
      <c r="EC483"/>
    </row>
    <row r="484" spans="1:133" s="126" customFormat="1" ht="21" customHeight="1" x14ac:dyDescent="0.4">
      <c r="A484" s="233" t="s">
        <v>211</v>
      </c>
      <c r="B484" s="127" t="s">
        <v>211</v>
      </c>
      <c r="C484" s="127">
        <v>4057079</v>
      </c>
      <c r="D484" s="127" t="s">
        <v>199</v>
      </c>
      <c r="E484" s="127"/>
      <c r="F484" s="127"/>
      <c r="G484" s="127" t="s">
        <v>160</v>
      </c>
      <c r="H484" s="128">
        <v>2004</v>
      </c>
      <c r="I484" s="129"/>
      <c r="J484" s="125">
        <f>IFERROR(INDEX('Labor Expenditures'!$E$7:$W$91,MATCH($C484,'Labor Expenditures'!$C$7:$C$91,0),MATCH($G484,'Labor Expenditures'!$E$5:$W$5,0)),"NA")</f>
        <v>28828.133765959861</v>
      </c>
      <c r="K484" s="125">
        <f t="shared" ref="K484:K502" ca="1" si="909">+J484/DG484</f>
        <v>305.54460801229317</v>
      </c>
      <c r="L484" s="47"/>
      <c r="M484" s="131"/>
      <c r="N484" s="131"/>
      <c r="O484" s="131"/>
      <c r="P484" s="59"/>
      <c r="Q484" s="59"/>
      <c r="R484" s="386"/>
      <c r="S484" s="119"/>
      <c r="T484" s="59"/>
      <c r="U484" s="59"/>
      <c r="V484" s="125">
        <f>IFERROR(INDEX('Non-Labor Expenditures'!$E$7:$AA$91,MATCH($C484,'Non-Labor Expenditures'!$C$7:$C$91,0),MATCH($G484,'Non-Labor Expenditures'!$E$5:$AA$5,0)),"NA")</f>
        <v>41748.522045782462</v>
      </c>
      <c r="W484" s="125">
        <f t="shared" ref="W484:W502" si="910">+V484/DK484</f>
        <v>492.44523397322962</v>
      </c>
      <c r="X484" s="125"/>
      <c r="Y484" s="125"/>
      <c r="Z484" s="125"/>
      <c r="AA484" s="125"/>
      <c r="AB484" s="125"/>
      <c r="AC484" s="125">
        <f t="shared" si="890"/>
        <v>28601.022666672601</v>
      </c>
      <c r="AD484" s="129"/>
      <c r="AE484" s="133">
        <v>2865.5996697033343</v>
      </c>
      <c r="AF484" s="134">
        <v>6.9298858804584848E-2</v>
      </c>
      <c r="AG484" s="59">
        <f t="shared" ref="AG484:AG502" si="911">+AF484*$AX484</f>
        <v>0</v>
      </c>
      <c r="AH484" s="134"/>
      <c r="AI484" s="134"/>
      <c r="AJ484" s="129">
        <f t="shared" si="889"/>
        <v>99177.67847841492</v>
      </c>
      <c r="AK484" s="134"/>
      <c r="AL484" s="129"/>
      <c r="AM484" s="129"/>
      <c r="AN484" s="129"/>
      <c r="AO484" s="129"/>
      <c r="AP484" s="133"/>
      <c r="AQ484" s="134"/>
      <c r="AR484" s="93">
        <f t="shared" ref="AR484:AR502" si="912">+J484/AJ484</f>
        <v>0.29067159272369975</v>
      </c>
      <c r="AS484" s="93">
        <f t="shared" ref="AS484:AS502" si="913">+V484/AJ484</f>
        <v>0.42094675622870759</v>
      </c>
      <c r="AT484" s="93">
        <f t="shared" ref="AT484:AT502" si="914">+AC484/AJ484</f>
        <v>0.28838165104759272</v>
      </c>
      <c r="AU484" s="93"/>
      <c r="AV484" s="93"/>
      <c r="AW484" s="134"/>
      <c r="AX484" s="62"/>
      <c r="AY484" s="93"/>
      <c r="AZ484" s="93"/>
      <c r="BA484" s="93"/>
      <c r="BB484" s="234">
        <f>IFERROR(INDEX('Total Customers'!$E$7:$AA$91,MATCH($C484,'Total Customers'!$C$7:$C$91,0),MATCH($G484,'Total Customers'!$E$5:$AA$5,0)),"NA")</f>
        <v>414231</v>
      </c>
      <c r="BC484" s="411">
        <f t="shared" si="846"/>
        <v>1.0432496947283187E-2</v>
      </c>
      <c r="BD484" s="92"/>
      <c r="BE484" s="281" t="str">
        <f t="shared" si="839"/>
        <v>DUKE ENERGY OHIO, INC.</v>
      </c>
      <c r="BF484" s="290">
        <f t="shared" si="840"/>
        <v>4057079</v>
      </c>
      <c r="BG484" s="46" t="str">
        <f t="shared" si="841"/>
        <v>OH</v>
      </c>
      <c r="BH484" s="46"/>
      <c r="BI484" s="46" t="str">
        <f t="shared" si="842"/>
        <v>2004 Y</v>
      </c>
      <c r="BJ484" s="129"/>
      <c r="BK484" s="129"/>
      <c r="BL484" s="129">
        <f>INDEX('Dist. Plant Gas Additions'!$E$7:$AD$91,MATCH($C484,'Dist. Plant Gas Additions'!$C$7:$C$91,0),MATCH(Calculation!$G484,'Dist. Plant Gas Additions'!$E$5:$AD$5,0))</f>
        <v>85199</v>
      </c>
      <c r="BM484" s="129">
        <f>INDEX('Gen. Plant Additions'!$E$7:$AD$91,MATCH($C484,'Gen. Plant Additions'!$C$7:$C$91,0),MATCH(Calculation!$G484,'Gen. Plant Additions'!$E$5:$AD$5,0))</f>
        <v>800</v>
      </c>
      <c r="BN484" s="393">
        <f t="shared" si="891"/>
        <v>0.98829774399806969</v>
      </c>
      <c r="BO484" s="46">
        <f t="shared" si="837"/>
        <v>790.63819519845572</v>
      </c>
      <c r="BP484" s="46">
        <f t="shared" si="838"/>
        <v>-9.361804801544281</v>
      </c>
      <c r="BQ484" s="129">
        <f>INDEX('Dist Plant Depreciation'!$D$7:$AC$94,MATCH($C484,'Dist Plant Depreciation'!$C$7:$C$94,0),MATCH(Calculation!$G484,'Dist Plant Depreciation'!$D$5:$AC$5,0))</f>
        <v>254562</v>
      </c>
      <c r="BR484" s="129">
        <f>INDEX('Gen. Plant Depreciation'!$D$7:$AC$94,MATCH($C484,'Gen. Plant Depreciation'!$C$7:$C$94,0),MATCH(Calculation!$G484,'Gen. Plant Depreciation'!$D$5:$AC$5,0))</f>
        <v>46</v>
      </c>
      <c r="BS484" s="129"/>
      <c r="BT484" s="129"/>
      <c r="BU484" s="129"/>
      <c r="BV484" s="129"/>
      <c r="BW484" s="129"/>
      <c r="BX484" s="129"/>
      <c r="BY484" s="129">
        <f>INDEX('Gross Dx Plant'!$D$7:$AC$91,MATCH($C484,'Gross Dx Plant'!$C$7:$C$91,0),MATCH(Calculation!$G484,'Gross Dx Plant'!$D$5:$AC$5,0))</f>
        <v>884736</v>
      </c>
      <c r="BZ484" s="129">
        <f>INDEX('Gross Gen Plant'!$D$7:$AC$91,MATCH($C484,'Gross Gen Plant'!$C$7:$C$91,0),MATCH(Calculation!$G484,'Gross Gen Plant'!$D$5:$AC$5,0))</f>
        <v>10476</v>
      </c>
      <c r="CA484" s="129">
        <f t="shared" si="885"/>
        <v>640604</v>
      </c>
      <c r="CB484" s="129"/>
      <c r="CC484" s="133">
        <v>2004</v>
      </c>
      <c r="CD484" s="129"/>
      <c r="CE484" s="129"/>
      <c r="CF484" s="129"/>
      <c r="CG484" s="137"/>
      <c r="CH484" s="129">
        <f t="shared" si="892"/>
        <v>85999</v>
      </c>
      <c r="CI484" s="46">
        <f t="shared" si="901"/>
        <v>85989.638195198451</v>
      </c>
      <c r="CJ484" s="46">
        <f t="shared" si="893"/>
        <v>207.2602866213434</v>
      </c>
      <c r="CK484" s="443">
        <v>0.9375</v>
      </c>
      <c r="CL484" s="46">
        <f>+CL478*CK484+CJ479*CK483+CJ480*CK482+CJ481*CK481+CJ482*CK480+CJ483*CK479+CJ484</f>
        <v>2795.7650424839958</v>
      </c>
      <c r="CM484" s="134">
        <f t="shared" si="894"/>
        <v>6.57379121331432E-2</v>
      </c>
      <c r="CN484" s="135">
        <f t="shared" si="895"/>
        <v>1.1224015998898773E-2</v>
      </c>
      <c r="CO484" s="135">
        <f t="shared" si="904"/>
        <v>1.1104323421794238E-2</v>
      </c>
      <c r="CP484" s="134">
        <f>VLOOKUP($H484,RoR!$E:$F,2,FALSE)</f>
        <v>5.6283333333333331E-2</v>
      </c>
      <c r="CQ484" s="135">
        <v>2.6778252812867276E-2</v>
      </c>
      <c r="CR484" s="135">
        <f t="shared" si="902"/>
        <v>2.9505080520466055E-2</v>
      </c>
      <c r="CS484" s="135">
        <f t="shared" si="905"/>
        <v>1.9797618186739387E-2</v>
      </c>
      <c r="CT484" s="135">
        <f t="shared" si="906"/>
        <v>5.5940039414565046E-2</v>
      </c>
      <c r="CU484" s="139">
        <f t="shared" si="896"/>
        <v>0.87050000000000005</v>
      </c>
      <c r="CV484" s="335">
        <f t="shared" si="897"/>
        <v>0.91114097628755619</v>
      </c>
      <c r="CW484" s="335">
        <f t="shared" si="898"/>
        <v>0.53081877405981637</v>
      </c>
      <c r="CX484" s="335">
        <f t="shared" si="899"/>
        <v>0.88811215519385678</v>
      </c>
      <c r="CY484" s="335">
        <f t="shared" si="900"/>
        <v>0.42953609753547711</v>
      </c>
      <c r="CZ484" s="336">
        <f>INDEX('State Tax Lookup'!$D$7:$Z$91,MATCH(Calculation!$C484,'State Tax Lookup'!$B$7:$B$91,0),MATCH($H484,'State Tax Lookup'!$D$6:$Z$6,0))</f>
        <v>0.35</v>
      </c>
      <c r="DA484" s="303">
        <v>0.37</v>
      </c>
      <c r="DB484" s="57">
        <f t="shared" si="903"/>
        <v>10.925227881705139</v>
      </c>
      <c r="DC484" s="56">
        <f t="shared" si="907"/>
        <v>9.398006502254444E-2</v>
      </c>
      <c r="DD484" s="303">
        <f>VLOOKUP($H484,RoR!$E:$F,2,FALSE)</f>
        <v>5.6283333333333331E-2</v>
      </c>
      <c r="DE484" s="304">
        <f>HLOOKUP($H484,'GDP-PI'!$D$8:$CQ$11,3,FALSE)</f>
        <v>2.6778252812867276E-2</v>
      </c>
      <c r="DF484" s="303">
        <f>VLOOKUP(H484,'HW Dx Data'!$E:$F,2,FALSE)</f>
        <v>414.88719135228365</v>
      </c>
      <c r="DG484" s="89">
        <f ca="1">VLOOKUP(CC484,'ECI - Input Price'!M$13:N$33,2,FALSE)</f>
        <v>94.35</v>
      </c>
      <c r="DH484" s="89"/>
      <c r="DI484" s="89"/>
      <c r="DJ484" s="56">
        <f t="shared" ref="DJ484:DJ502" ca="1" si="915">LN(DG484/DG483)</f>
        <v>5.5569851154810786E-2</v>
      </c>
      <c r="DK484" s="53">
        <f>HLOOKUP(H484,'GDP-PI'!$8:$9,2,FALSE)</f>
        <v>84.778000000000006</v>
      </c>
      <c r="DL484" s="355">
        <f t="shared" si="908"/>
        <v>2.6425990216022755E-2</v>
      </c>
      <c r="EC484"/>
    </row>
    <row r="485" spans="1:133" s="126" customFormat="1" ht="21" customHeight="1" x14ac:dyDescent="0.4">
      <c r="A485" s="233" t="s">
        <v>211</v>
      </c>
      <c r="B485" s="127" t="s">
        <v>211</v>
      </c>
      <c r="C485" s="127">
        <v>4057079</v>
      </c>
      <c r="D485" s="127" t="s">
        <v>199</v>
      </c>
      <c r="E485" s="127"/>
      <c r="F485" s="127"/>
      <c r="G485" s="127" t="s">
        <v>161</v>
      </c>
      <c r="H485" s="128">
        <v>2005</v>
      </c>
      <c r="I485" s="129"/>
      <c r="J485" s="125">
        <f>IFERROR(INDEX('Labor Expenditures'!$E$7:$W$91,MATCH($C485,'Labor Expenditures'!$C$7:$C$91,0),MATCH($G485,'Labor Expenditures'!$E$5:$W$5,0)),"NA")</f>
        <v>31194.887542907843</v>
      </c>
      <c r="K485" s="125">
        <f t="shared" ca="1" si="909"/>
        <v>314.38536198445803</v>
      </c>
      <c r="L485" s="47"/>
      <c r="M485" s="131">
        <f t="shared" ref="M485:M501" ca="1" si="916">LN(K485/K484)</f>
        <v>2.8523716538416975E-2</v>
      </c>
      <c r="N485" s="131"/>
      <c r="O485" s="131"/>
      <c r="P485" s="59"/>
      <c r="Q485" s="61"/>
      <c r="R485" s="387"/>
      <c r="S485" s="49">
        <v>100</v>
      </c>
      <c r="T485" s="46"/>
      <c r="U485" s="46"/>
      <c r="V485" s="125">
        <f>IFERROR(INDEX('Non-Labor Expenditures'!$E$7:$AA$91,MATCH($C485,'Non-Labor Expenditures'!$C$7:$C$91,0),MATCH($G485,'Non-Labor Expenditures'!$E$5:$AA$5,0)),"NA")</f>
        <v>45176.023563432711</v>
      </c>
      <c r="W485" s="125">
        <f t="shared" si="910"/>
        <v>516.8467464097007</v>
      </c>
      <c r="X485" s="131">
        <f>LN(W485/W484)</f>
        <v>4.8363147582252936E-2</v>
      </c>
      <c r="Y485" s="131"/>
      <c r="Z485" s="131"/>
      <c r="AA485" s="131"/>
      <c r="AB485" s="131"/>
      <c r="AC485" s="125">
        <f t="shared" si="890"/>
        <v>34217.367247471389</v>
      </c>
      <c r="AD485" s="129"/>
      <c r="AE485" s="133">
        <v>3020.4479756462547</v>
      </c>
      <c r="AF485" s="134">
        <v>5.2627519631094959E-2</v>
      </c>
      <c r="AG485" s="59">
        <f t="shared" si="911"/>
        <v>0</v>
      </c>
      <c r="AH485" s="134"/>
      <c r="AI485" s="134"/>
      <c r="AJ485" s="129">
        <f t="shared" si="889"/>
        <v>110588.27835381194</v>
      </c>
      <c r="AK485" s="134">
        <f>LN(AJ485/AJ484)</f>
        <v>0.10890112750476075</v>
      </c>
      <c r="AL485" s="129"/>
      <c r="AM485" s="129"/>
      <c r="AN485" s="129"/>
      <c r="AO485" s="129"/>
      <c r="AP485" s="133"/>
      <c r="AQ485" s="134"/>
      <c r="AR485" s="93">
        <f t="shared" si="912"/>
        <v>0.28208132007538905</v>
      </c>
      <c r="AS485" s="93">
        <f t="shared" si="913"/>
        <v>0.40850643699233891</v>
      </c>
      <c r="AT485" s="93">
        <f t="shared" si="914"/>
        <v>0.3094122429322721</v>
      </c>
      <c r="AU485" s="93">
        <f t="shared" ref="AU485:AU501" ca="1" si="917">+(((AR485+AR484)/2)*M485+((AS484+AS485)/2)*X485+((AT484+AT485)/2)*AF485)</f>
        <v>4.3956209409164164E-2</v>
      </c>
      <c r="AV485" s="132">
        <v>100</v>
      </c>
      <c r="AW485" s="134"/>
      <c r="AX485" s="15"/>
      <c r="AY485" s="93"/>
      <c r="AZ485" s="93"/>
      <c r="BA485" s="93"/>
      <c r="BB485" s="234">
        <f>IFERROR(INDEX('Total Customers'!$E$7:$AA$91,MATCH($C485,'Total Customers'!$C$7:$C$91,0),MATCH($G485,'Total Customers'!$E$5:$AA$5,0)),"NA")</f>
        <v>418167</v>
      </c>
      <c r="BC485" s="411">
        <f t="shared" si="846"/>
        <v>9.4570850365193002E-3</v>
      </c>
      <c r="BD485" s="92"/>
      <c r="BE485" s="281" t="str">
        <f t="shared" si="839"/>
        <v>DUKE ENERGY OHIO, INC.</v>
      </c>
      <c r="BF485" s="290">
        <f t="shared" si="840"/>
        <v>4057079</v>
      </c>
      <c r="BG485" s="46" t="str">
        <f t="shared" si="841"/>
        <v>OH</v>
      </c>
      <c r="BH485" s="46"/>
      <c r="BI485" s="46" t="str">
        <f t="shared" si="842"/>
        <v>2005 Y</v>
      </c>
      <c r="BJ485" s="129"/>
      <c r="BK485" s="129"/>
      <c r="BL485" s="129">
        <f>INDEX('Dist. Plant Gas Additions'!$E$7:$AD$91,MATCH($C485,'Dist. Plant Gas Additions'!$C$7:$C$91,0),MATCH(Calculation!$G485,'Dist. Plant Gas Additions'!$E$5:$AD$5,0))</f>
        <v>80239</v>
      </c>
      <c r="BM485" s="129">
        <f>INDEX('Gen. Plant Additions'!$E$7:$AD$91,MATCH($C485,'Gen. Plant Additions'!$C$7:$C$91,0),MATCH(Calculation!$G485,'Gen. Plant Additions'!$E$5:$AD$5,0))</f>
        <v>372</v>
      </c>
      <c r="BN485" s="393">
        <f t="shared" si="891"/>
        <v>0.98891858492952434</v>
      </c>
      <c r="BO485" s="46">
        <f t="shared" si="837"/>
        <v>367.87771359378303</v>
      </c>
      <c r="BP485" s="46">
        <f t="shared" si="838"/>
        <v>-4.122286406216972</v>
      </c>
      <c r="BQ485" s="129">
        <f>INDEX('Dist Plant Depreciation'!$D$7:$AC$94,MATCH($C485,'Dist Plant Depreciation'!$C$7:$C$94,0),MATCH(Calculation!$G485,'Dist Plant Depreciation'!$D$5:$AC$5,0))</f>
        <v>269895</v>
      </c>
      <c r="BR485" s="129">
        <f>INDEX('Gen. Plant Depreciation'!$D$7:$AC$94,MATCH($C485,'Gen. Plant Depreciation'!$C$7:$C$94,0),MATCH(Calculation!$G485,'Gen. Plant Depreciation'!$D$5:$AC$5,0))</f>
        <v>398</v>
      </c>
      <c r="BS485" s="129"/>
      <c r="BT485" s="129"/>
      <c r="BU485" s="129"/>
      <c r="BV485" s="129"/>
      <c r="BW485" s="129"/>
      <c r="BX485" s="129"/>
      <c r="BY485" s="129">
        <f>INDEX('Gross Dx Plant'!$D$7:$AC$91,MATCH($C485,'Gross Dx Plant'!$C$7:$C$91,0),MATCH(Calculation!$G485,'Gross Dx Plant'!$D$5:$AC$5,0))</f>
        <v>953899</v>
      </c>
      <c r="BZ485" s="129">
        <f>INDEX('Gross Gen Plant'!$D$7:$AC$91,MATCH($C485,'Gross Gen Plant'!$C$7:$C$91,0),MATCH(Calculation!$G485,'Gross Gen Plant'!$D$5:$AC$5,0))</f>
        <v>10689</v>
      </c>
      <c r="CA485" s="129">
        <f t="shared" si="885"/>
        <v>694295</v>
      </c>
      <c r="CB485" s="129"/>
      <c r="CC485" s="133">
        <v>2005</v>
      </c>
      <c r="CD485" s="129"/>
      <c r="CE485" s="129"/>
      <c r="CF485" s="129"/>
      <c r="CG485" s="137"/>
      <c r="CH485" s="129">
        <f t="shared" si="892"/>
        <v>80611</v>
      </c>
      <c r="CI485" s="46">
        <f t="shared" si="901"/>
        <v>80606.877713593785</v>
      </c>
      <c r="CJ485" s="46">
        <f t="shared" si="893"/>
        <v>171.79453245882004</v>
      </c>
      <c r="CK485" s="443">
        <v>0.9263157894736842</v>
      </c>
      <c r="CL485" s="46">
        <f>+CL478*CK485+CJ479*CK484+CJ480*CK483+CJ481*CK482+CJ482*CK481+CJ483*CK480+CJ484*CK479+CJ485</f>
        <v>2935.5111520646528</v>
      </c>
      <c r="CM485" s="134">
        <f t="shared" si="894"/>
        <v>4.8775808154802501E-2</v>
      </c>
      <c r="CN485" s="135">
        <f t="shared" si="895"/>
        <v>1.1463203234592434E-2</v>
      </c>
      <c r="CO485" s="135">
        <f t="shared" si="904"/>
        <v>1.1228334521435778E-2</v>
      </c>
      <c r="CP485" s="134">
        <f>VLOOKUP($H485,RoR!$E:$F,2,FALSE)</f>
        <v>5.2350000000000001E-2</v>
      </c>
      <c r="CQ485" s="135">
        <v>3.1010403642454332E-2</v>
      </c>
      <c r="CR485" s="135">
        <f t="shared" si="902"/>
        <v>2.1339596357545669E-2</v>
      </c>
      <c r="CS485" s="135">
        <f t="shared" si="905"/>
        <v>1.9673607087097846E-2</v>
      </c>
      <c r="CT485" s="135">
        <f t="shared" si="906"/>
        <v>9.2129610649277341E-2</v>
      </c>
      <c r="CU485" s="139">
        <f t="shared" si="896"/>
        <v>0.87050000000000005</v>
      </c>
      <c r="CV485" s="335">
        <f t="shared" si="897"/>
        <v>0.97959983346802826</v>
      </c>
      <c r="CW485" s="335">
        <f t="shared" si="898"/>
        <v>0.49744508118433622</v>
      </c>
      <c r="CX485" s="335">
        <f t="shared" si="899"/>
        <v>0.87010519444335932</v>
      </c>
      <c r="CY485" s="335">
        <f t="shared" si="900"/>
        <v>0.42399975420741998</v>
      </c>
      <c r="CZ485" s="336">
        <f>INDEX('State Tax Lookup'!$D$7:$Z$91,MATCH(Calculation!$C485,'State Tax Lookup'!$B$7:$B$91,0),MATCH($H485,'State Tax Lookup'!$D$6:$Z$6,0))</f>
        <v>0.35</v>
      </c>
      <c r="DA485" s="303">
        <v>0.37</v>
      </c>
      <c r="DB485" s="57">
        <f t="shared" si="903"/>
        <v>12.23899960386863</v>
      </c>
      <c r="DC485" s="56">
        <f t="shared" si="907"/>
        <v>0.11355294253245665</v>
      </c>
      <c r="DD485" s="303">
        <f>VLOOKUP($H485,RoR!$E:$F,2,FALSE)</f>
        <v>5.2350000000000001E-2</v>
      </c>
      <c r="DE485" s="304">
        <f>HLOOKUP($H485,'GDP-PI'!$D$8:$CQ$11,3,FALSE)</f>
        <v>3.1010403642454332E-2</v>
      </c>
      <c r="DF485" s="303">
        <f>VLOOKUP(H485,'HW Dx Data'!$E:$F,2,FALSE)</f>
        <v>469.20514034936258</v>
      </c>
      <c r="DG485" s="89">
        <f ca="1">VLOOKUP(CC485,'ECI - Input Price'!M$13:N$33,2,FALSE)</f>
        <v>99.224999999999994</v>
      </c>
      <c r="DH485" s="89"/>
      <c r="DI485" s="89"/>
      <c r="DJ485" s="56">
        <f t="shared" ca="1" si="915"/>
        <v>5.0378726854569796E-2</v>
      </c>
      <c r="DK485" s="53">
        <f>HLOOKUP(H485,'GDP-PI'!$8:$9,2,FALSE)</f>
        <v>87.406999999999996</v>
      </c>
      <c r="DL485" s="355">
        <f t="shared" si="908"/>
        <v>3.0539295810733648E-2</v>
      </c>
      <c r="EC485"/>
    </row>
    <row r="486" spans="1:133" s="126" customFormat="1" ht="21" customHeight="1" x14ac:dyDescent="0.4">
      <c r="A486" s="233" t="s">
        <v>211</v>
      </c>
      <c r="B486" s="127" t="s">
        <v>211</v>
      </c>
      <c r="C486" s="127">
        <v>4057079</v>
      </c>
      <c r="D486" s="127" t="s">
        <v>199</v>
      </c>
      <c r="E486" s="127"/>
      <c r="F486" s="127"/>
      <c r="G486" s="127" t="s">
        <v>162</v>
      </c>
      <c r="H486" s="128">
        <v>2006</v>
      </c>
      <c r="I486" s="129"/>
      <c r="J486" s="125">
        <f>IFERROR(INDEX('Labor Expenditures'!$E$7:$W$91,MATCH($C486,'Labor Expenditures'!$C$7:$C$91,0),MATCH($G486,'Labor Expenditures'!$E$5:$W$5,0)),"NA")</f>
        <v>33833.204842769846</v>
      </c>
      <c r="K486" s="125">
        <f t="shared" ca="1" si="909"/>
        <v>309.26147022641538</v>
      </c>
      <c r="L486" s="47"/>
      <c r="M486" s="131">
        <f t="shared" ca="1" si="916"/>
        <v>-1.6432399847428652E-2</v>
      </c>
      <c r="N486" s="131"/>
      <c r="O486" s="131"/>
      <c r="P486" s="59">
        <f t="shared" ref="P486:P502" ca="1" si="918">+M486*$AX486</f>
        <v>-2.6455249754402815E-4</v>
      </c>
      <c r="Q486" s="61"/>
      <c r="R486" s="387"/>
      <c r="S486" s="49">
        <f ca="1">+S485*EXP(T486)</f>
        <v>107.72163358102172</v>
      </c>
      <c r="T486" s="61">
        <f ca="1">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</f>
        <v>7.4380246907359865E-2</v>
      </c>
      <c r="U486" s="61"/>
      <c r="V486" s="125">
        <f>IFERROR(INDEX('Non-Labor Expenditures'!$E$7:$AA$91,MATCH($C486,'Non-Labor Expenditures'!$C$7:$C$91,0),MATCH($G486,'Non-Labor Expenditures'!$E$5:$AA$5,0)),"NA")</f>
        <v>48996.799783332099</v>
      </c>
      <c r="W486" s="125">
        <f t="shared" si="910"/>
        <v>543.96162914195111</v>
      </c>
      <c r="X486" s="131">
        <f t="shared" ref="X486:X501" si="919">LN(W486/W485)</f>
        <v>5.113230774586907E-2</v>
      </c>
      <c r="Y486" s="131">
        <f t="shared" ref="Y486:Y502" si="920">+X486*AX486</f>
        <v>8.232017139892234E-4</v>
      </c>
      <c r="Z486" s="131"/>
      <c r="AA486" s="131"/>
      <c r="AB486" s="131"/>
      <c r="AC486" s="125">
        <f t="shared" si="890"/>
        <v>34910.766868165905</v>
      </c>
      <c r="AD486" s="129"/>
      <c r="AE486" s="133">
        <v>3176.7231864790765</v>
      </c>
      <c r="AF486" s="134">
        <v>5.044506432297375E-2</v>
      </c>
      <c r="AG486" s="59">
        <f t="shared" si="911"/>
        <v>8.1213747713789624E-4</v>
      </c>
      <c r="AH486" s="134"/>
      <c r="AI486" s="134"/>
      <c r="AJ486" s="129">
        <f t="shared" si="889"/>
        <v>117740.77149426786</v>
      </c>
      <c r="AK486" s="134">
        <f t="shared" ref="AK486:AK502" si="921">LN(AJ486/AJ485)</f>
        <v>6.2671254966150752E-2</v>
      </c>
      <c r="AL486" s="129"/>
      <c r="AM486" s="129"/>
      <c r="AN486" s="129"/>
      <c r="AO486" s="129"/>
      <c r="AP486" s="133">
        <f t="shared" ref="AP486:AP502" si="922">+(AJ486*1000)/BB486</f>
        <v>279.55839724923334</v>
      </c>
      <c r="AQ486" s="134">
        <f>+BB486/Outputs!$B$14</f>
        <v>1.2143869767379096E-2</v>
      </c>
      <c r="AR486" s="93">
        <f t="shared" si="912"/>
        <v>0.28735334764149217</v>
      </c>
      <c r="AS486" s="93">
        <f t="shared" si="913"/>
        <v>0.41614131758697948</v>
      </c>
      <c r="AT486" s="93">
        <f t="shared" si="914"/>
        <v>0.29650533477152829</v>
      </c>
      <c r="AU486" s="93">
        <f t="shared" ca="1" si="917"/>
        <v>3.1687257901933406E-2</v>
      </c>
      <c r="AV486" s="132">
        <f ca="1">+AV485*EXP(AU486)</f>
        <v>103.21946441029952</v>
      </c>
      <c r="AW486" s="134">
        <f ca="1">LN(AV486/AV485)</f>
        <v>3.168725790193342E-2</v>
      </c>
      <c r="AX486" s="56">
        <f>+AJ486/$AL$11</f>
        <v>1.6099443781817751E-2</v>
      </c>
      <c r="AY486" s="135">
        <f ca="1">+AX486*AW486</f>
        <v>5.1014722719213736E-4</v>
      </c>
      <c r="AZ486" s="93"/>
      <c r="BA486" s="93"/>
      <c r="BB486" s="234">
        <f>IFERROR(INDEX('Total Customers'!$E$7:$AA$91,MATCH($C486,'Total Customers'!$C$7:$C$91,0),MATCH($G486,'Total Customers'!$E$5:$AA$5,0)),"NA")</f>
        <v>421167</v>
      </c>
      <c r="BC486" s="411">
        <f t="shared" si="846"/>
        <v>7.1485553437606502E-3</v>
      </c>
      <c r="BD486" s="92"/>
      <c r="BE486" s="281" t="str">
        <f t="shared" si="839"/>
        <v>DUKE ENERGY OHIO, INC.</v>
      </c>
      <c r="BF486" s="290">
        <f t="shared" si="840"/>
        <v>4057079</v>
      </c>
      <c r="BG486" s="46" t="str">
        <f t="shared" si="841"/>
        <v>OH</v>
      </c>
      <c r="BH486" s="46"/>
      <c r="BI486" s="46" t="str">
        <f t="shared" si="842"/>
        <v>2006 Y</v>
      </c>
      <c r="BJ486" s="129"/>
      <c r="BK486" s="129"/>
      <c r="BL486" s="129">
        <f>INDEX('Dist. Plant Gas Additions'!$E$7:$AD$91,MATCH($C486,'Dist. Plant Gas Additions'!$C$7:$C$91,0),MATCH(Calculation!$G486,'Dist. Plant Gas Additions'!$E$5:$AD$5,0))</f>
        <v>80358</v>
      </c>
      <c r="BM486" s="129">
        <f>INDEX('Gen. Plant Additions'!$E$7:$AD$91,MATCH($C486,'Gen. Plant Additions'!$C$7:$C$91,0),MATCH(Calculation!$G486,'Gen. Plant Additions'!$E$5:$AD$5,0))</f>
        <v>166</v>
      </c>
      <c r="BN486" s="393">
        <f t="shared" si="891"/>
        <v>0.98957439298877692</v>
      </c>
      <c r="BO486" s="46">
        <f t="shared" si="837"/>
        <v>164.26934923613697</v>
      </c>
      <c r="BP486" s="46">
        <f t="shared" si="838"/>
        <v>-1.7306507638630251</v>
      </c>
      <c r="BQ486" s="129">
        <f>INDEX('Dist Plant Depreciation'!$D$7:$AC$94,MATCH($C486,'Dist Plant Depreciation'!$C$7:$C$94,0),MATCH(Calculation!$G486,'Dist Plant Depreciation'!$D$5:$AC$5,0))</f>
        <v>287826</v>
      </c>
      <c r="BR486" s="129">
        <f>INDEX('Gen. Plant Depreciation'!$D$7:$AC$94,MATCH($C486,'Gen. Plant Depreciation'!$C$7:$C$94,0),MATCH(Calculation!$G486,'Gen. Plant Depreciation'!$D$5:$AC$5,0))</f>
        <v>678</v>
      </c>
      <c r="BS486" s="129"/>
      <c r="BT486" s="129"/>
      <c r="BU486" s="129"/>
      <c r="BV486" s="129"/>
      <c r="BW486" s="129"/>
      <c r="BX486" s="129"/>
      <c r="BY486" s="129">
        <f>INDEX('Gross Dx Plant'!$D$7:$AC$91,MATCH($C486,'Gross Dx Plant'!$C$7:$C$91,0),MATCH(Calculation!$G486,'Gross Dx Plant'!$D$5:$AC$5,0))</f>
        <v>1026155</v>
      </c>
      <c r="BZ486" s="129">
        <f>INDEX('Gross Gen Plant'!$D$7:$AC$91,MATCH($C486,'Gross Gen Plant'!$C$7:$C$91,0),MATCH(Calculation!$G486,'Gross Gen Plant'!$D$5:$AC$5,0))</f>
        <v>10811</v>
      </c>
      <c r="CA486" s="129">
        <f t="shared" si="885"/>
        <v>748462</v>
      </c>
      <c r="CB486" s="134"/>
      <c r="CC486" s="133">
        <v>2006</v>
      </c>
      <c r="CD486" s="129"/>
      <c r="CE486" s="129"/>
      <c r="CF486" s="129"/>
      <c r="CG486" s="137"/>
      <c r="CH486" s="129">
        <f t="shared" si="892"/>
        <v>80524</v>
      </c>
      <c r="CI486" s="46">
        <f t="shared" si="901"/>
        <v>80522.269349236143</v>
      </c>
      <c r="CJ486" s="46">
        <f t="shared" si="893"/>
        <v>174.63624248510783</v>
      </c>
      <c r="CK486" s="443">
        <v>0.91489361702127658</v>
      </c>
      <c r="CL486" s="46">
        <f>+CL478*CK486+CJ479*CK485+CJ480*CK484+CJ481*CK483+CJ482*CK482+CJ483*CK481+CJ484*CK480+CJ485*CK479+CJ486</f>
        <v>3075.7244711518688</v>
      </c>
      <c r="CM486" s="134">
        <f t="shared" si="894"/>
        <v>4.6658878334657726E-2</v>
      </c>
      <c r="CN486" s="135">
        <f t="shared" si="895"/>
        <v>1.1726381408457935E-2</v>
      </c>
      <c r="CO486" s="135">
        <f t="shared" si="904"/>
        <v>1.1471200213983047E-2</v>
      </c>
      <c r="CP486" s="134">
        <f>VLOOKUP($H486,RoR!$E:$F,2,FALSE)</f>
        <v>5.5874999999999994E-2</v>
      </c>
      <c r="CQ486" s="135">
        <v>3.0512430354548314E-2</v>
      </c>
      <c r="CR486" s="135">
        <f t="shared" si="902"/>
        <v>2.536256964545168E-2</v>
      </c>
      <c r="CS486" s="135">
        <f t="shared" si="905"/>
        <v>1.9430741394550578E-2</v>
      </c>
      <c r="CT486" s="135">
        <f t="shared" si="906"/>
        <v>7.9087823893859641E-2</v>
      </c>
      <c r="CU486" s="139">
        <f t="shared" si="896"/>
        <v>0.87050000000000005</v>
      </c>
      <c r="CV486" s="335">
        <f t="shared" si="897"/>
        <v>0.91779957551769631</v>
      </c>
      <c r="CW486" s="335">
        <f t="shared" si="898"/>
        <v>0.52757270693512304</v>
      </c>
      <c r="CX486" s="335">
        <f t="shared" si="899"/>
        <v>0.88636824549024895</v>
      </c>
      <c r="CY486" s="335">
        <f t="shared" si="900"/>
        <v>0.42918482841932087</v>
      </c>
      <c r="CZ486" s="336">
        <f>INDEX('State Tax Lookup'!$D$7:$Z$91,MATCH(Calculation!$C486,'State Tax Lookup'!$B$7:$B$91,0),MATCH($H486,'State Tax Lookup'!$D$6:$Z$6,0))</f>
        <v>0.35</v>
      </c>
      <c r="DA486" s="303">
        <v>0.37</v>
      </c>
      <c r="DB486" s="57">
        <f t="shared" si="903"/>
        <v>11.89256829891853</v>
      </c>
      <c r="DC486" s="56">
        <f t="shared" si="907"/>
        <v>-2.8713849701602411E-2</v>
      </c>
      <c r="DD486" s="303">
        <f>VLOOKUP($H486,RoR!$E:$F,2,FALSE)</f>
        <v>5.5874999999999994E-2</v>
      </c>
      <c r="DE486" s="304">
        <f>HLOOKUP($H486,'GDP-PI'!$D$8:$CQ$11,3,FALSE)</f>
        <v>3.0512430354548314E-2</v>
      </c>
      <c r="DF486" s="303">
        <f>VLOOKUP(H486,'HW Dx Data'!$E:$F,2,FALSE)</f>
        <v>461.08567272971823</v>
      </c>
      <c r="DG486" s="89">
        <f ca="1">VLOOKUP(CC486,'ECI - Input Price'!M$13:N$33,2,FALSE)</f>
        <v>109.4</v>
      </c>
      <c r="DH486" s="89"/>
      <c r="DI486" s="89"/>
      <c r="DJ486" s="56">
        <f t="shared" ca="1" si="915"/>
        <v>9.7620891318751846E-2</v>
      </c>
      <c r="DK486" s="53">
        <f>HLOOKUP(H486,'GDP-PI'!$8:$9,2,FALSE)</f>
        <v>90.073999999999998</v>
      </c>
      <c r="DL486" s="355">
        <f t="shared" si="908"/>
        <v>3.005618372545445E-2</v>
      </c>
      <c r="EC486"/>
    </row>
    <row r="487" spans="1:133" s="126" customFormat="1" ht="21" customHeight="1" x14ac:dyDescent="0.4">
      <c r="A487" s="233" t="s">
        <v>211</v>
      </c>
      <c r="B487" s="127" t="s">
        <v>211</v>
      </c>
      <c r="C487" s="127">
        <v>4057079</v>
      </c>
      <c r="D487" s="127" t="s">
        <v>199</v>
      </c>
      <c r="E487" s="127"/>
      <c r="F487" s="127"/>
      <c r="G487" s="127" t="s">
        <v>163</v>
      </c>
      <c r="H487" s="128">
        <v>2007</v>
      </c>
      <c r="I487" s="129"/>
      <c r="J487" s="125">
        <f>IFERROR(INDEX('Labor Expenditures'!$E$7:$W$91,MATCH($C487,'Labor Expenditures'!$C$7:$C$91,0),MATCH($G487,'Labor Expenditures'!$E$5:$W$5,0)),"NA")</f>
        <v>33427.237756925402</v>
      </c>
      <c r="K487" s="125">
        <f t="shared" ca="1" si="909"/>
        <v>319.80136576824111</v>
      </c>
      <c r="L487" s="47"/>
      <c r="M487" s="131">
        <f t="shared" ca="1" si="916"/>
        <v>3.351297003554024E-2</v>
      </c>
      <c r="N487" s="131"/>
      <c r="O487" s="131"/>
      <c r="P487" s="59">
        <f t="shared" ca="1" si="918"/>
        <v>5.2860090058488678E-4</v>
      </c>
      <c r="Q487" s="61"/>
      <c r="R487" s="387"/>
      <c r="S487" s="49">
        <f t="shared" ref="S487:S500" ca="1" si="923">+S486*EXP(T487)</f>
        <v>118.05889734342578</v>
      </c>
      <c r="T487" s="61">
        <f ca="1">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</f>
        <v>9.1633197075286763E-2</v>
      </c>
      <c r="U487" s="61"/>
      <c r="V487" s="125">
        <f>IFERROR(INDEX('Non-Labor Expenditures'!$E$7:$AA$91,MATCH($C487,'Non-Labor Expenditures'!$C$7:$C$91,0),MATCH($G487,'Non-Labor Expenditures'!$E$5:$AA$5,0)),"NA")</f>
        <v>48408.883618836873</v>
      </c>
      <c r="W487" s="125">
        <f t="shared" si="910"/>
        <v>523.35059805441063</v>
      </c>
      <c r="X487" s="131">
        <f t="shared" si="919"/>
        <v>-3.8627110659749685E-2</v>
      </c>
      <c r="Y487" s="131">
        <f t="shared" si="920"/>
        <v>-6.092663664271561E-4</v>
      </c>
      <c r="Z487" s="131"/>
      <c r="AA487" s="131"/>
      <c r="AB487" s="131"/>
      <c r="AC487" s="125">
        <f t="shared" si="890"/>
        <v>39069.877080180042</v>
      </c>
      <c r="AD487" s="129"/>
      <c r="AE487" s="133">
        <v>3329.6663091022547</v>
      </c>
      <c r="AF487" s="134">
        <v>4.7021870478730465E-2</v>
      </c>
      <c r="AG487" s="59">
        <f t="shared" si="911"/>
        <v>7.4167711951174256E-4</v>
      </c>
      <c r="AH487" s="134"/>
      <c r="AI487" s="134"/>
      <c r="AJ487" s="129">
        <f t="shared" si="889"/>
        <v>120905.99845594232</v>
      </c>
      <c r="AK487" s="134">
        <f t="shared" si="921"/>
        <v>2.6528015306733897E-2</v>
      </c>
      <c r="AL487" s="129"/>
      <c r="AM487" s="129"/>
      <c r="AN487" s="129"/>
      <c r="AO487" s="129"/>
      <c r="AP487" s="133">
        <f t="shared" si="922"/>
        <v>285.44514119494374</v>
      </c>
      <c r="AQ487" s="134">
        <f>+BB487/Outputs!$B$15</f>
        <v>1.2121203796334587E-2</v>
      </c>
      <c r="AR487" s="93">
        <f t="shared" si="912"/>
        <v>0.27647294744525153</v>
      </c>
      <c r="AS487" s="93">
        <f t="shared" si="913"/>
        <v>0.40038446592438409</v>
      </c>
      <c r="AT487" s="93">
        <f t="shared" si="914"/>
        <v>0.32314258663036438</v>
      </c>
      <c r="AU487" s="93">
        <f t="shared" ca="1" si="917"/>
        <v>8.2462331194169038E-3</v>
      </c>
      <c r="AV487" s="132">
        <f ca="1">+AV486*EXP(AU487)</f>
        <v>104.07415532327623</v>
      </c>
      <c r="AW487" s="134">
        <f ca="1">LN(AV487/AV486)</f>
        <v>8.2462331194168847E-3</v>
      </c>
      <c r="AX487" s="56">
        <f>+AJ487/$AL$12</f>
        <v>1.5773024593890357E-2</v>
      </c>
      <c r="AY487" s="135">
        <f t="shared" ref="AY487:AY501" ca="1" si="924">+AX487*AW487</f>
        <v>1.3006803779951572E-4</v>
      </c>
      <c r="AZ487" s="93"/>
      <c r="BA487" s="93"/>
      <c r="BB487" s="234">
        <f>IFERROR(INDEX('Total Customers'!$E$7:$AA$91,MATCH($C487,'Total Customers'!$C$7:$C$91,0),MATCH($G487,'Total Customers'!$E$5:$AA$5,0)),"NA")</f>
        <v>423570</v>
      </c>
      <c r="BC487" s="411">
        <f t="shared" si="846"/>
        <v>5.6893600774024474E-3</v>
      </c>
      <c r="BD487" s="92"/>
      <c r="BE487" s="281" t="str">
        <f t="shared" si="839"/>
        <v>DUKE ENERGY OHIO, INC.</v>
      </c>
      <c r="BF487" s="290">
        <f t="shared" si="840"/>
        <v>4057079</v>
      </c>
      <c r="BG487" s="46" t="str">
        <f t="shared" si="841"/>
        <v>OH</v>
      </c>
      <c r="BH487" s="46"/>
      <c r="BI487" s="46" t="str">
        <f t="shared" si="842"/>
        <v>2007 Y</v>
      </c>
      <c r="BJ487" s="129"/>
      <c r="BK487" s="129"/>
      <c r="BL487" s="129">
        <f>INDEX('Dist. Plant Gas Additions'!$E$7:$AD$91,MATCH($C487,'Dist. Plant Gas Additions'!$C$7:$C$91,0),MATCH(Calculation!$G487,'Dist. Plant Gas Additions'!$E$5:$AD$5,0))</f>
        <v>85638</v>
      </c>
      <c r="BM487" s="129">
        <f>INDEX('Gen. Plant Additions'!$E$7:$AD$91,MATCH($C487,'Gen. Plant Additions'!$C$7:$C$91,0),MATCH(Calculation!$G487,'Gen. Plant Additions'!$E$5:$AD$5,0))</f>
        <v>413</v>
      </c>
      <c r="BN487" s="393">
        <f t="shared" si="891"/>
        <v>0.98992885247668838</v>
      </c>
      <c r="BO487" s="46">
        <f t="shared" si="837"/>
        <v>408.84061607287231</v>
      </c>
      <c r="BP487" s="46">
        <f t="shared" si="838"/>
        <v>-4.159383927127692</v>
      </c>
      <c r="BQ487" s="129">
        <f>INDEX('Dist Plant Depreciation'!$D$7:$AC$94,MATCH($C487,'Dist Plant Depreciation'!$C$7:$C$94,0),MATCH(Calculation!$G487,'Dist Plant Depreciation'!$D$5:$AC$5,0))</f>
        <v>307655</v>
      </c>
      <c r="BR487" s="129">
        <f>INDEX('Gen. Plant Depreciation'!$D$7:$AC$94,MATCH($C487,'Gen. Plant Depreciation'!$C$7:$C$94,0),MATCH(Calculation!$G487,'Gen. Plant Depreciation'!$D$5:$AC$5,0))</f>
        <v>791</v>
      </c>
      <c r="BS487" s="129"/>
      <c r="BT487" s="129"/>
      <c r="BU487" s="129"/>
      <c r="BV487" s="129"/>
      <c r="BW487" s="129"/>
      <c r="BX487" s="129"/>
      <c r="BY487" s="129">
        <f>INDEX('Gross Dx Plant'!$D$7:$AC$91,MATCH($C487,'Gross Dx Plant'!$C$7:$C$91,0),MATCH(Calculation!$G487,'Gross Dx Plant'!$D$5:$AC$5,0))</f>
        <v>1101969</v>
      </c>
      <c r="BZ487" s="129">
        <f>INDEX('Gross Gen Plant'!$D$7:$AC$91,MATCH($C487,'Gross Gen Plant'!$C$7:$C$91,0),MATCH(Calculation!$G487,'Gross Gen Plant'!$D$5:$AC$5,0))</f>
        <v>11211</v>
      </c>
      <c r="CA487" s="129">
        <f t="shared" si="885"/>
        <v>804734</v>
      </c>
      <c r="CB487" s="129"/>
      <c r="CC487" s="133">
        <v>2007</v>
      </c>
      <c r="CD487" s="129"/>
      <c r="CE487" s="129"/>
      <c r="CF487" s="129"/>
      <c r="CG487" s="137"/>
      <c r="CH487" s="129">
        <f t="shared" si="892"/>
        <v>86051</v>
      </c>
      <c r="CI487" s="46">
        <f t="shared" si="901"/>
        <v>86046.840616072877</v>
      </c>
      <c r="CJ487" s="46">
        <f t="shared" si="893"/>
        <v>172.77707833957732</v>
      </c>
      <c r="CK487" s="443">
        <v>0.90322580645161288</v>
      </c>
      <c r="CL487" s="46">
        <f>+CL478*CK487+CJ479*CK486+CJ480*CK485+CJ481*CK484+CJ482*CK483+CJ483*CK482+CJ484*CK481+CJ485*CK480+CJ486*CK479+CJ487</f>
        <v>3211.6205015673299</v>
      </c>
      <c r="CM487" s="134">
        <f t="shared" si="894"/>
        <v>4.3235165023597276E-2</v>
      </c>
      <c r="CN487" s="135">
        <f t="shared" si="895"/>
        <v>1.1991011636456527E-2</v>
      </c>
      <c r="CO487" s="135">
        <f t="shared" si="904"/>
        <v>1.17268654265023E-2</v>
      </c>
      <c r="CP487" s="134">
        <f>VLOOKUP($H487,RoR!$E:$F,2,FALSE)</f>
        <v>5.5558333333333321E-2</v>
      </c>
      <c r="CQ487" s="135">
        <v>2.691120634145272E-2</v>
      </c>
      <c r="CR487" s="135">
        <f t="shared" si="902"/>
        <v>2.86471269918806E-2</v>
      </c>
      <c r="CS487" s="135">
        <f t="shared" si="905"/>
        <v>1.9175076182031327E-2</v>
      </c>
      <c r="CT487" s="135">
        <f t="shared" si="906"/>
        <v>6.4575155250632399E-2</v>
      </c>
      <c r="CU487" s="139">
        <f t="shared" si="896"/>
        <v>0.87050000000000005</v>
      </c>
      <c r="CV487" s="335">
        <f t="shared" si="897"/>
        <v>0.92303077153834634</v>
      </c>
      <c r="CW487" s="335">
        <f t="shared" si="898"/>
        <v>0.52502249887505614</v>
      </c>
      <c r="CX487" s="335">
        <f t="shared" si="899"/>
        <v>0.88499666072084604</v>
      </c>
      <c r="CY487" s="335">
        <f t="shared" si="900"/>
        <v>0.42887993290280618</v>
      </c>
      <c r="CZ487" s="336">
        <f>INDEX('State Tax Lookup'!$D$7:$Z$91,MATCH(Calculation!$C487,'State Tax Lookup'!$B$7:$B$91,0),MATCH($H487,'State Tax Lookup'!$D$6:$Z$6,0))</f>
        <v>0.35</v>
      </c>
      <c r="DA487" s="303">
        <v>0.37</v>
      </c>
      <c r="DB487" s="57">
        <f t="shared" si="903"/>
        <v>12.702658331924072</v>
      </c>
      <c r="DC487" s="56">
        <f t="shared" si="907"/>
        <v>6.589759670275587E-2</v>
      </c>
      <c r="DD487" s="303">
        <f>VLOOKUP($H487,RoR!$E:$F,2,FALSE)</f>
        <v>5.5558333333333321E-2</v>
      </c>
      <c r="DE487" s="304">
        <f>HLOOKUP($H487,'GDP-PI'!$D$8:$CQ$11,3,FALSE)</f>
        <v>2.691120634145272E-2</v>
      </c>
      <c r="DF487" s="303">
        <f>VLOOKUP(H487,'HW Dx Data'!$E:$F,2,FALSE)</f>
        <v>498.0223154772637</v>
      </c>
      <c r="DG487" s="89">
        <f ca="1">VLOOKUP(CC487,'ECI - Input Price'!M$13:N$33,2,FALSE)</f>
        <v>104.52499999999999</v>
      </c>
      <c r="DH487" s="89"/>
      <c r="DI487" s="89"/>
      <c r="DJ487" s="56">
        <f t="shared" ca="1" si="915"/>
        <v>-4.5584612745252218E-2</v>
      </c>
      <c r="DK487" s="53">
        <f>HLOOKUP(H487,'GDP-PI'!$8:$9,2,FALSE)</f>
        <v>92.498000000000005</v>
      </c>
      <c r="DL487" s="355">
        <f t="shared" si="908"/>
        <v>2.6555467950038037E-2</v>
      </c>
      <c r="EC487"/>
    </row>
    <row r="488" spans="1:133" s="126" customFormat="1" ht="21" customHeight="1" x14ac:dyDescent="0.4">
      <c r="A488" s="233" t="s">
        <v>211</v>
      </c>
      <c r="B488" s="127" t="s">
        <v>211</v>
      </c>
      <c r="C488" s="127">
        <v>4057079</v>
      </c>
      <c r="D488" s="127" t="s">
        <v>199</v>
      </c>
      <c r="E488" s="127"/>
      <c r="F488" s="127"/>
      <c r="G488" s="127" t="s">
        <v>164</v>
      </c>
      <c r="H488" s="128">
        <v>2008</v>
      </c>
      <c r="I488" s="129"/>
      <c r="J488" s="125">
        <f>IFERROR(INDEX('Labor Expenditures'!$E$7:$W$91,MATCH($C488,'Labor Expenditures'!$C$7:$C$91,0),MATCH($G488,'Labor Expenditures'!$E$5:$W$5,0)),"NA")</f>
        <v>27790.953446091095</v>
      </c>
      <c r="K488" s="125">
        <f t="shared" ca="1" si="909"/>
        <v>257.56212646979697</v>
      </c>
      <c r="L488" s="47"/>
      <c r="M488" s="131">
        <f t="shared" ca="1" si="916"/>
        <v>-0.21643911223841547</v>
      </c>
      <c r="N488" s="131"/>
      <c r="O488" s="131"/>
      <c r="P488" s="59">
        <f t="shared" ca="1" si="918"/>
        <v>-3.052435586569082E-3</v>
      </c>
      <c r="Q488" s="61"/>
      <c r="R488" s="387"/>
      <c r="S488" s="49">
        <f t="shared" ca="1" si="923"/>
        <v>109.48883872724745</v>
      </c>
      <c r="T488" s="61">
        <f ca="1">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</f>
        <v>-7.5361015340870058E-2</v>
      </c>
      <c r="U488" s="61"/>
      <c r="V488" s="125">
        <f>IFERROR(INDEX('Non-Labor Expenditures'!$E$7:$AA$91,MATCH($C488,'Non-Labor Expenditures'!$C$7:$C$91,0),MATCH($G488,'Non-Labor Expenditures'!$E$5:$AA$5,0)),"NA")</f>
        <v>40246.491224050187</v>
      </c>
      <c r="W488" s="125">
        <f t="shared" si="910"/>
        <v>426.95505414633573</v>
      </c>
      <c r="X488" s="131">
        <f t="shared" si="919"/>
        <v>-0.20357285096498731</v>
      </c>
      <c r="Y488" s="131">
        <f t="shared" si="920"/>
        <v>-2.8709830137372055E-3</v>
      </c>
      <c r="Z488" s="131"/>
      <c r="AA488" s="131"/>
      <c r="AB488" s="131"/>
      <c r="AC488" s="125">
        <f t="shared" si="890"/>
        <v>46051.331869305432</v>
      </c>
      <c r="AD488" s="129"/>
      <c r="AE488" s="133">
        <v>3505.8941327367675</v>
      </c>
      <c r="AF488" s="134">
        <v>5.1573498523805272E-2</v>
      </c>
      <c r="AG488" s="59">
        <f t="shared" si="911"/>
        <v>7.2733980743980395E-4</v>
      </c>
      <c r="AH488" s="134"/>
      <c r="AI488" s="134"/>
      <c r="AJ488" s="129">
        <f t="shared" si="889"/>
        <v>114088.77653944671</v>
      </c>
      <c r="AK488" s="134">
        <f t="shared" si="921"/>
        <v>-5.8036484503466178E-2</v>
      </c>
      <c r="AL488" s="129"/>
      <c r="AM488" s="129"/>
      <c r="AN488" s="129"/>
      <c r="AO488" s="129"/>
      <c r="AP488" s="133">
        <f t="shared" si="922"/>
        <v>268.88325062442368</v>
      </c>
      <c r="AQ488" s="134">
        <f>+BB488/Outputs!$B$16</f>
        <v>1.2077346182028565E-2</v>
      </c>
      <c r="AR488" s="93">
        <f t="shared" si="912"/>
        <v>0.24359059926006171</v>
      </c>
      <c r="AS488" s="93">
        <f t="shared" si="913"/>
        <v>0.35276468417675405</v>
      </c>
      <c r="AT488" s="93">
        <f t="shared" si="914"/>
        <v>0.40364471656318424</v>
      </c>
      <c r="AU488" s="93">
        <f t="shared" ca="1" si="917"/>
        <v>-0.11419992406801634</v>
      </c>
      <c r="AV488" s="132">
        <f t="shared" ref="AV488:AV501" ca="1" si="925">+AV487*EXP(AU488)</f>
        <v>92.842429797122577</v>
      </c>
      <c r="AW488" s="134">
        <f t="shared" ref="AW488:AW501" ca="1" si="926">LN(AV488/AV487)</f>
        <v>-0.11419992406801632</v>
      </c>
      <c r="AX488" s="56">
        <f>+AJ488/$AL$13</f>
        <v>1.4102975913182984E-2</v>
      </c>
      <c r="AY488" s="135">
        <f t="shared" ca="1" si="924"/>
        <v>-1.6105587784185601E-3</v>
      </c>
      <c r="AZ488" s="93"/>
      <c r="BA488" s="93"/>
      <c r="BB488" s="234">
        <f>IFERROR(INDEX('Total Customers'!$E$7:$AA$91,MATCH($C488,'Total Customers'!$C$7:$C$91,0),MATCH($G488,'Total Customers'!$E$5:$AA$5,0)),"NA")</f>
        <v>424306</v>
      </c>
      <c r="BC488" s="411">
        <f t="shared" si="846"/>
        <v>1.7361033567691046E-3</v>
      </c>
      <c r="BD488" s="92"/>
      <c r="BE488" s="281" t="str">
        <f t="shared" si="839"/>
        <v>DUKE ENERGY OHIO, INC.</v>
      </c>
      <c r="BF488" s="290">
        <f t="shared" si="840"/>
        <v>4057079</v>
      </c>
      <c r="BG488" s="46" t="str">
        <f t="shared" si="841"/>
        <v>OH</v>
      </c>
      <c r="BH488" s="46"/>
      <c r="BI488" s="46" t="str">
        <f t="shared" si="842"/>
        <v>2008 Y</v>
      </c>
      <c r="BJ488" s="129"/>
      <c r="BK488" s="129"/>
      <c r="BL488" s="129">
        <f>INDEX('Dist. Plant Gas Additions'!$E$7:$AD$91,MATCH($C488,'Dist. Plant Gas Additions'!$C$7:$C$91,0),MATCH(Calculation!$G488,'Dist. Plant Gas Additions'!$E$5:$AD$5,0))</f>
        <v>112409</v>
      </c>
      <c r="BM488" s="129">
        <f>INDEX('Gen. Plant Additions'!$E$7:$AD$91,MATCH($C488,'Gen. Plant Additions'!$C$7:$C$91,0),MATCH(Calculation!$G488,'Gen. Plant Additions'!$E$5:$AD$5,0))</f>
        <v>197</v>
      </c>
      <c r="BN488" s="393">
        <f t="shared" si="891"/>
        <v>0.99065381463645108</v>
      </c>
      <c r="BO488" s="46">
        <f t="shared" si="837"/>
        <v>195.15880148338087</v>
      </c>
      <c r="BP488" s="46">
        <f t="shared" si="838"/>
        <v>-1.84119851661913</v>
      </c>
      <c r="BQ488" s="129">
        <f>INDEX('Dist Plant Depreciation'!$D$7:$AC$94,MATCH($C488,'Dist Plant Depreciation'!$C$7:$C$94,0),MATCH(Calculation!$G488,'Dist Plant Depreciation'!$D$5:$AC$5,0))</f>
        <v>328069</v>
      </c>
      <c r="BR488" s="129">
        <f>INDEX('Gen. Plant Depreciation'!$D$7:$AC$94,MATCH($C488,'Gen. Plant Depreciation'!$C$7:$C$94,0),MATCH(Calculation!$G488,'Gen. Plant Depreciation'!$D$5:$AC$5,0))</f>
        <v>881</v>
      </c>
      <c r="BS488" s="129"/>
      <c r="BT488" s="129"/>
      <c r="BU488" s="129"/>
      <c r="BV488" s="129"/>
      <c r="BW488" s="129"/>
      <c r="BX488" s="129"/>
      <c r="BY488" s="129">
        <f>INDEX('Gross Dx Plant'!$D$7:$AC$91,MATCH($C488,'Gross Dx Plant'!$C$7:$C$91,0),MATCH(Calculation!$G488,'Gross Dx Plant'!$D$5:$AC$5,0))</f>
        <v>1207713</v>
      </c>
      <c r="BZ488" s="129">
        <f>INDEX('Gross Gen Plant'!$D$7:$AC$91,MATCH($C488,'Gross Gen Plant'!$C$7:$C$91,0),MATCH(Calculation!$G488,'Gross Gen Plant'!$D$5:$AC$5,0))</f>
        <v>11394</v>
      </c>
      <c r="CA488" s="129">
        <f t="shared" si="885"/>
        <v>890157</v>
      </c>
      <c r="CB488" s="129"/>
      <c r="CC488" s="133">
        <v>2008</v>
      </c>
      <c r="CD488" s="129"/>
      <c r="CE488" s="129"/>
      <c r="CF488" s="129"/>
      <c r="CG488" s="137"/>
      <c r="CH488" s="129">
        <f t="shared" si="892"/>
        <v>112606</v>
      </c>
      <c r="CI488" s="46">
        <f t="shared" si="901"/>
        <v>112604.15880148338</v>
      </c>
      <c r="CJ488" s="46">
        <f t="shared" si="893"/>
        <v>197.59233703881293</v>
      </c>
      <c r="CK488" s="443">
        <v>0.89130434782608692</v>
      </c>
      <c r="CL488" s="46">
        <f>+CL478*CK488+CJ479*CK487+CJ480*CK486+CJ481*CK485+CJ482*CK484+CJ483*CK483+CJ484*CK482+CJ485*CK481+CJ486*CK480+CJ487*CK479+CJ488</f>
        <v>3369.8340692283168</v>
      </c>
      <c r="CM488" s="134">
        <f t="shared" si="894"/>
        <v>4.8087866627088686E-2</v>
      </c>
      <c r="CN488" s="135">
        <f t="shared" si="895"/>
        <v>1.2261339519600302E-2</v>
      </c>
      <c r="CO488" s="135">
        <f t="shared" si="904"/>
        <v>1.1992910854838256E-2</v>
      </c>
      <c r="CP488" s="134">
        <f>VLOOKUP($H488,RoR!$E:$F,2,FALSE)</f>
        <v>5.6316666666666668E-2</v>
      </c>
      <c r="CQ488" s="135">
        <v>1.9092304698479889E-2</v>
      </c>
      <c r="CR488" s="135">
        <f t="shared" si="902"/>
        <v>3.7224361968186778E-2</v>
      </c>
      <c r="CS488" s="135">
        <f t="shared" si="905"/>
        <v>1.890903075369537E-2</v>
      </c>
      <c r="CT488" s="135">
        <f t="shared" si="906"/>
        <v>6.9030581091053131E-2</v>
      </c>
      <c r="CU488" s="139">
        <f t="shared" si="896"/>
        <v>0.87050000000000005</v>
      </c>
      <c r="CV488" s="335">
        <f t="shared" si="897"/>
        <v>0.91060168006009956</v>
      </c>
      <c r="CW488" s="335">
        <f t="shared" si="898"/>
        <v>0.53108168097070152</v>
      </c>
      <c r="CX488" s="335">
        <f t="shared" si="899"/>
        <v>0.88825329850328805</v>
      </c>
      <c r="CY488" s="335">
        <f t="shared" si="900"/>
        <v>0.4295627335323573</v>
      </c>
      <c r="CZ488" s="336">
        <f>INDEX('State Tax Lookup'!$D$7:$Z$91,MATCH(Calculation!$C488,'State Tax Lookup'!$B$7:$B$91,0),MATCH($H488,'State Tax Lookup'!$D$6:$Z$6,0))</f>
        <v>0.35</v>
      </c>
      <c r="DA488" s="303">
        <v>0.37</v>
      </c>
      <c r="DB488" s="57">
        <f t="shared" si="903"/>
        <v>14.338970574771064</v>
      </c>
      <c r="DC488" s="56">
        <f t="shared" si="907"/>
        <v>0.12116975658411158</v>
      </c>
      <c r="DD488" s="303">
        <f>VLOOKUP($H488,RoR!$E:$F,2,FALSE)</f>
        <v>5.6316666666666668E-2</v>
      </c>
      <c r="DE488" s="304">
        <f>HLOOKUP($H488,'GDP-PI'!$D$8:$CQ$11,3,FALSE)</f>
        <v>1.9092304698479889E-2</v>
      </c>
      <c r="DF488" s="303">
        <f>VLOOKUP(H488,'HW Dx Data'!$E:$F,2,FALSE)</f>
        <v>569.88120333515076</v>
      </c>
      <c r="DG488" s="89">
        <f ca="1">VLOOKUP(CC488,'ECI - Input Price'!M$13:N$33,2,FALSE)</f>
        <v>107.9</v>
      </c>
      <c r="DH488" s="89"/>
      <c r="DI488" s="89"/>
      <c r="DJ488" s="56">
        <f t="shared" ca="1" si="915"/>
        <v>3.1778595021460486E-2</v>
      </c>
      <c r="DK488" s="53">
        <f>HLOOKUP(H488,'GDP-PI'!$8:$9,2,FALSE)</f>
        <v>94.263999999999996</v>
      </c>
      <c r="DL488" s="355">
        <f t="shared" si="908"/>
        <v>1.8912333748032254E-2</v>
      </c>
      <c r="EC488"/>
    </row>
    <row r="489" spans="1:133" s="126" customFormat="1" ht="21" customHeight="1" x14ac:dyDescent="0.4">
      <c r="A489" s="233" t="s">
        <v>211</v>
      </c>
      <c r="B489" s="127" t="s">
        <v>211</v>
      </c>
      <c r="C489" s="127">
        <v>4057079</v>
      </c>
      <c r="D489" s="127" t="s">
        <v>199</v>
      </c>
      <c r="E489" s="127"/>
      <c r="F489" s="127"/>
      <c r="G489" s="127" t="s">
        <v>165</v>
      </c>
      <c r="H489" s="128">
        <v>2009</v>
      </c>
      <c r="I489" s="129"/>
      <c r="J489" s="125">
        <f>IFERROR(INDEX('Labor Expenditures'!$E$7:$W$91,MATCH($C489,'Labor Expenditures'!$C$7:$C$91,0),MATCH($G489,'Labor Expenditures'!$E$5:$W$5,0)),"NA")</f>
        <v>26932.066112140848</v>
      </c>
      <c r="K489" s="125">
        <f t="shared" ca="1" si="909"/>
        <v>242.79527709840747</v>
      </c>
      <c r="L489" s="47"/>
      <c r="M489" s="131">
        <f t="shared" ca="1" si="916"/>
        <v>-5.9042351669852909E-2</v>
      </c>
      <c r="N489" s="131"/>
      <c r="O489" s="131"/>
      <c r="P489" s="59">
        <f t="shared" ca="1" si="918"/>
        <v>-7.8198818000816642E-4</v>
      </c>
      <c r="Q489" s="61"/>
      <c r="R489" s="387"/>
      <c r="S489" s="49">
        <f t="shared" ca="1" si="923"/>
        <v>117.73938035990881</v>
      </c>
      <c r="T489" s="61">
        <f ca="1">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</f>
        <v>7.2650926173222607E-2</v>
      </c>
      <c r="U489" s="61"/>
      <c r="V489" s="125">
        <f>IFERROR(INDEX('Non-Labor Expenditures'!$E$7:$AA$91,MATCH($C489,'Non-Labor Expenditures'!$C$7:$C$91,0),MATCH($G489,'Non-Labor Expenditures'!$E$5:$AA$5,0)),"NA")</f>
        <v>39002.661946464228</v>
      </c>
      <c r="W489" s="125">
        <f t="shared" si="910"/>
        <v>410.55865794865451</v>
      </c>
      <c r="X489" s="131">
        <f t="shared" si="919"/>
        <v>-3.9159935487278516E-2</v>
      </c>
      <c r="Y489" s="131">
        <f t="shared" si="920"/>
        <v>-5.1865492845147077E-4</v>
      </c>
      <c r="Z489" s="131"/>
      <c r="AA489" s="131"/>
      <c r="AB489" s="131"/>
      <c r="AC489" s="125">
        <f t="shared" si="890"/>
        <v>46071.929159621439</v>
      </c>
      <c r="AD489" s="129"/>
      <c r="AE489" s="133">
        <v>3670.4872702083094</v>
      </c>
      <c r="AF489" s="134">
        <v>4.5878834408840156E-2</v>
      </c>
      <c r="AG489" s="59">
        <f t="shared" si="911"/>
        <v>6.076435847419615E-4</v>
      </c>
      <c r="AH489" s="134"/>
      <c r="AI489" s="134"/>
      <c r="AJ489" s="129">
        <f t="shared" si="889"/>
        <v>112006.65721822652</v>
      </c>
      <c r="AK489" s="134">
        <f t="shared" si="921"/>
        <v>-1.8418577929605971E-2</v>
      </c>
      <c r="AL489" s="129"/>
      <c r="AM489" s="129"/>
      <c r="AN489" s="129"/>
      <c r="AO489" s="129"/>
      <c r="AP489" s="133">
        <f t="shared" si="922"/>
        <v>266.40659606889653</v>
      </c>
      <c r="AQ489" s="134">
        <f>+BB489/Outputs!$B$17</f>
        <v>1.195190752654487E-2</v>
      </c>
      <c r="AR489" s="93">
        <f t="shared" si="912"/>
        <v>0.24045058375117967</v>
      </c>
      <c r="AS489" s="93">
        <f t="shared" si="913"/>
        <v>0.3482173552458937</v>
      </c>
      <c r="AT489" s="93">
        <f t="shared" si="914"/>
        <v>0.41133206100292657</v>
      </c>
      <c r="AU489" s="93">
        <f t="shared" ca="1" si="917"/>
        <v>-9.3195782832837006E-3</v>
      </c>
      <c r="AV489" s="132">
        <f t="shared" ca="1" si="925"/>
        <v>91.981196901801908</v>
      </c>
      <c r="AW489" s="134">
        <f t="shared" ca="1" si="926"/>
        <v>-9.3195782832836502E-3</v>
      </c>
      <c r="AX489" s="56">
        <f>+AJ489/$AL$14</f>
        <v>1.3244529695917422E-2</v>
      </c>
      <c r="AY489" s="135">
        <f t="shared" ca="1" si="924"/>
        <v>-1.2343343132637742E-4</v>
      </c>
      <c r="AZ489" s="93"/>
      <c r="BA489" s="93"/>
      <c r="BB489" s="234">
        <f>IFERROR(INDEX('Total Customers'!$E$7:$AA$91,MATCH($C489,'Total Customers'!$C$7:$C$91,0),MATCH($G489,'Total Customers'!$E$5:$AA$5,0)),"NA")</f>
        <v>420435</v>
      </c>
      <c r="BC489" s="411">
        <f t="shared" si="846"/>
        <v>-9.1650034651743154E-3</v>
      </c>
      <c r="BD489" s="92"/>
      <c r="BE489" s="281" t="str">
        <f t="shared" si="839"/>
        <v>DUKE ENERGY OHIO, INC.</v>
      </c>
      <c r="BF489" s="290">
        <f t="shared" si="840"/>
        <v>4057079</v>
      </c>
      <c r="BG489" s="46" t="str">
        <f t="shared" si="841"/>
        <v>OH</v>
      </c>
      <c r="BH489" s="46"/>
      <c r="BI489" s="46" t="str">
        <f t="shared" si="842"/>
        <v>2009 Y</v>
      </c>
      <c r="BJ489" s="129"/>
      <c r="BK489" s="129"/>
      <c r="BL489" s="129">
        <f>INDEX('Dist. Plant Gas Additions'!$E$7:$AD$91,MATCH($C489,'Dist. Plant Gas Additions'!$C$7:$C$91,0),MATCH(Calculation!$G489,'Dist. Plant Gas Additions'!$E$5:$AD$5,0))</f>
        <v>102390</v>
      </c>
      <c r="BM489" s="129">
        <f>INDEX('Gen. Plant Additions'!$E$7:$AD$91,MATCH($C489,'Gen. Plant Additions'!$C$7:$C$91,0),MATCH(Calculation!$G489,'Gen. Plant Additions'!$E$5:$AD$5,0))</f>
        <v>1005</v>
      </c>
      <c r="BN489" s="393">
        <f t="shared" si="891"/>
        <v>0.99059088597549438</v>
      </c>
      <c r="BO489" s="46">
        <f t="shared" si="837"/>
        <v>995.54384040537184</v>
      </c>
      <c r="BP489" s="46">
        <f t="shared" si="838"/>
        <v>-9.4561595946281614</v>
      </c>
      <c r="BQ489" s="129">
        <f>INDEX('Dist Plant Depreciation'!$D$7:$AC$94,MATCH($C489,'Dist Plant Depreciation'!$C$7:$C$94,0),MATCH(Calculation!$G489,'Dist Plant Depreciation'!$D$5:$AC$5,0))</f>
        <v>347596</v>
      </c>
      <c r="BR489" s="129">
        <f>INDEX('Gen. Plant Depreciation'!$D$7:$AC$94,MATCH($C489,'Gen. Plant Depreciation'!$C$7:$C$94,0),MATCH(Calculation!$G489,'Gen. Plant Depreciation'!$D$5:$AC$5,0))</f>
        <v>971</v>
      </c>
      <c r="BS489" s="129"/>
      <c r="BT489" s="129"/>
      <c r="BU489" s="129"/>
      <c r="BV489" s="129"/>
      <c r="BW489" s="129"/>
      <c r="BX489" s="129"/>
      <c r="BY489" s="129">
        <f>INDEX('Gross Dx Plant'!$D$7:$AC$91,MATCH($C489,'Gross Dx Plant'!$C$7:$C$91,0),MATCH(Calculation!$G489,'Gross Dx Plant'!$D$5:$AC$5,0))</f>
        <v>1303155</v>
      </c>
      <c r="BZ489" s="129">
        <f>INDEX('Gross Gen Plant'!$D$7:$AC$91,MATCH($C489,'Gross Gen Plant'!$C$7:$C$91,0),MATCH(Calculation!$G489,'Gross Gen Plant'!$D$5:$AC$5,0))</f>
        <v>12378</v>
      </c>
      <c r="CA489" s="129">
        <f t="shared" si="885"/>
        <v>966966</v>
      </c>
      <c r="CB489" s="129"/>
      <c r="CC489" s="133">
        <v>2009</v>
      </c>
      <c r="CD489" s="129"/>
      <c r="CE489" s="129"/>
      <c r="CF489" s="129"/>
      <c r="CG489" s="137"/>
      <c r="CH489" s="129">
        <f t="shared" si="892"/>
        <v>103395</v>
      </c>
      <c r="CI489" s="46">
        <f t="shared" si="901"/>
        <v>103385.54384040537</v>
      </c>
      <c r="CJ489" s="46">
        <f t="shared" si="893"/>
        <v>187.65278314097637</v>
      </c>
      <c r="CK489" s="443">
        <v>0.87912087912087911</v>
      </c>
      <c r="CL489" s="46">
        <f>+CL478*CK489+CJ479*CK488+CJ480*CK487+CJ481*CK486+CJ482*CK485+CJ483*CK484+CJ484*CK483+CJ485*CK482+CJ486*CK481+CJ487*CK480+CJ488*CK479+CJ489</f>
        <v>3515.3049667992</v>
      </c>
      <c r="CM489" s="134">
        <f t="shared" si="894"/>
        <v>4.2262777500760511E-2</v>
      </c>
      <c r="CN489" s="135">
        <f t="shared" si="895"/>
        <v>1.2517496322824215E-2</v>
      </c>
      <c r="CO489" s="135">
        <f t="shared" si="904"/>
        <v>1.2256615826293683E-2</v>
      </c>
      <c r="CP489" s="134">
        <f>VLOOKUP($H489,RoR!$E:$F,2,FALSE)</f>
        <v>5.3133333333333324E-2</v>
      </c>
      <c r="CQ489" s="135">
        <v>7.7972502758210105E-3</v>
      </c>
      <c r="CR489" s="135">
        <f t="shared" si="902"/>
        <v>4.5336083057512314E-2</v>
      </c>
      <c r="CS489" s="135">
        <f t="shared" si="905"/>
        <v>1.8645325782239944E-2</v>
      </c>
      <c r="CT489" s="135">
        <f t="shared" si="906"/>
        <v>6.3720160300892073E-2</v>
      </c>
      <c r="CU489" s="139">
        <f t="shared" si="896"/>
        <v>0.87050000000000005</v>
      </c>
      <c r="CV489" s="335">
        <f t="shared" si="897"/>
        <v>0.96515780330083989</v>
      </c>
      <c r="CW489" s="335">
        <f t="shared" si="898"/>
        <v>0.50448557089084056</v>
      </c>
      <c r="CX489" s="335">
        <f t="shared" si="899"/>
        <v>0.87391435735465484</v>
      </c>
      <c r="CY489" s="335">
        <f t="shared" si="900"/>
        <v>0.42551605393279146</v>
      </c>
      <c r="CZ489" s="336">
        <f>INDEX('State Tax Lookup'!$D$7:$Z$91,MATCH(Calculation!$C489,'State Tax Lookup'!$B$7:$B$91,0),MATCH($H489,'State Tax Lookup'!$D$6:$Z$6,0))</f>
        <v>0.35</v>
      </c>
      <c r="DA489" s="303">
        <v>0.37</v>
      </c>
      <c r="DB489" s="57">
        <f t="shared" si="903"/>
        <v>13.671868766574548</v>
      </c>
      <c r="DC489" s="56">
        <f t="shared" si="907"/>
        <v>-4.7640698551856236E-2</v>
      </c>
      <c r="DD489" s="303">
        <f>VLOOKUP($H489,RoR!$E:$F,2,FALSE)</f>
        <v>5.3133333333333324E-2</v>
      </c>
      <c r="DE489" s="304">
        <f>HLOOKUP($H489,'GDP-PI'!$D$8:$CQ$11,3,FALSE)</f>
        <v>7.7972502758210105E-3</v>
      </c>
      <c r="DF489" s="303">
        <f>VLOOKUP(H489,'HW Dx Data'!$E:$F,2,FALSE)</f>
        <v>550.94063679692806</v>
      </c>
      <c r="DG489" s="89">
        <f ca="1">VLOOKUP(CC489,'ECI - Input Price'!M$13:N$33,2,FALSE)</f>
        <v>110.925</v>
      </c>
      <c r="DH489" s="89"/>
      <c r="DI489" s="89"/>
      <c r="DJ489" s="56">
        <f t="shared" ca="1" si="915"/>
        <v>2.7649425000884052E-2</v>
      </c>
      <c r="DK489" s="53">
        <f>HLOOKUP(H489,'GDP-PI'!$8:$9,2,FALSE)</f>
        <v>94.998999999999995</v>
      </c>
      <c r="DL489" s="355">
        <f t="shared" si="908"/>
        <v>7.7670088183096342E-3</v>
      </c>
      <c r="EC489"/>
    </row>
    <row r="490" spans="1:133" s="126" customFormat="1" ht="21" customHeight="1" x14ac:dyDescent="0.4">
      <c r="A490" s="233" t="s">
        <v>211</v>
      </c>
      <c r="B490" s="127" t="s">
        <v>211</v>
      </c>
      <c r="C490" s="127">
        <v>4057079</v>
      </c>
      <c r="D490" s="127" t="s">
        <v>199</v>
      </c>
      <c r="E490" s="127"/>
      <c r="F490" s="127"/>
      <c r="G490" s="127" t="s">
        <v>166</v>
      </c>
      <c r="H490" s="128">
        <v>2010</v>
      </c>
      <c r="I490" s="129"/>
      <c r="J490" s="125">
        <f>IFERROR(INDEX('Labor Expenditures'!$E$7:$W$91,MATCH($C490,'Labor Expenditures'!$C$7:$C$91,0),MATCH($G490,'Labor Expenditures'!$E$5:$W$5,0)),"NA")</f>
        <v>35034.066735605171</v>
      </c>
      <c r="K490" s="125">
        <f t="shared" ca="1" si="909"/>
        <v>299.62853740094226</v>
      </c>
      <c r="L490" s="47"/>
      <c r="M490" s="131">
        <f t="shared" ca="1" si="916"/>
        <v>0.21032489160154491</v>
      </c>
      <c r="N490" s="131"/>
      <c r="O490" s="131"/>
      <c r="P490" s="59">
        <f t="shared" ca="1" si="918"/>
        <v>3.251731519325353E-3</v>
      </c>
      <c r="Q490" s="61"/>
      <c r="R490" s="387"/>
      <c r="S490" s="49">
        <f t="shared" ca="1" si="923"/>
        <v>97.418995041849428</v>
      </c>
      <c r="T490" s="61">
        <f ca="1">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</f>
        <v>-0.18945232820517055</v>
      </c>
      <c r="U490" s="61"/>
      <c r="V490" s="125">
        <f>IFERROR(INDEX('Non-Labor Expenditures'!$E$7:$AA$91,MATCH($C490,'Non-Labor Expenditures'!$C$7:$C$91,0),MATCH($G490,'Non-Labor Expenditures'!$E$5:$AA$5,0)),"NA")</f>
        <v>50735.872094220787</v>
      </c>
      <c r="W490" s="125">
        <f t="shared" si="910"/>
        <v>527.89928200502334</v>
      </c>
      <c r="X490" s="131">
        <f t="shared" si="919"/>
        <v>0.25138669914137124</v>
      </c>
      <c r="Y490" s="131">
        <f t="shared" si="920"/>
        <v>3.8865682844890248E-3</v>
      </c>
      <c r="Z490" s="131"/>
      <c r="AA490" s="131"/>
      <c r="AB490" s="131"/>
      <c r="AC490" s="125">
        <f t="shared" si="890"/>
        <v>49007.857482020532</v>
      </c>
      <c r="AD490" s="129"/>
      <c r="AE490" s="133">
        <v>3839.7905315408821</v>
      </c>
      <c r="AF490" s="134">
        <v>4.5093391606792238E-2</v>
      </c>
      <c r="AG490" s="59">
        <f t="shared" si="911"/>
        <v>6.9716713834745453E-4</v>
      </c>
      <c r="AH490" s="134"/>
      <c r="AI490" s="134"/>
      <c r="AJ490" s="129">
        <f t="shared" si="889"/>
        <v>134777.7963118465</v>
      </c>
      <c r="AK490" s="134">
        <f t="shared" si="921"/>
        <v>0.18506916014649094</v>
      </c>
      <c r="AL490" s="129"/>
      <c r="AM490" s="129"/>
      <c r="AN490" s="129"/>
      <c r="AO490" s="129"/>
      <c r="AP490" s="133">
        <f t="shared" si="922"/>
        <v>322.32927560069186</v>
      </c>
      <c r="AQ490" s="134">
        <f>+BB490/Outputs!$B$18</f>
        <v>1.182154479132169E-2</v>
      </c>
      <c r="AR490" s="93">
        <f t="shared" si="912"/>
        <v>0.2599394536362945</v>
      </c>
      <c r="AS490" s="93">
        <f t="shared" si="913"/>
        <v>0.37644087885833227</v>
      </c>
      <c r="AT490" s="93">
        <f t="shared" si="914"/>
        <v>0.36361966750537317</v>
      </c>
      <c r="AU490" s="93">
        <f t="shared" ca="1" si="917"/>
        <v>0.16117956180953763</v>
      </c>
      <c r="AV490" s="132">
        <f t="shared" ca="1" si="925"/>
        <v>108.06833261732497</v>
      </c>
      <c r="AW490" s="134">
        <f t="shared" ca="1" si="926"/>
        <v>0.16117956180953769</v>
      </c>
      <c r="AX490" s="56">
        <f>+AJ490/$AL$15</f>
        <v>1.5460516796488712E-2</v>
      </c>
      <c r="AY490" s="135">
        <f t="shared" ca="1" si="924"/>
        <v>2.4919193226070478E-3</v>
      </c>
      <c r="AZ490" s="93"/>
      <c r="BA490" s="93"/>
      <c r="BB490" s="234">
        <f>IFERROR(INDEX('Total Customers'!$E$7:$AA$91,MATCH($C490,'Total Customers'!$C$7:$C$91,0),MATCH($G490,'Total Customers'!$E$5:$AA$5,0)),"NA")</f>
        <v>418137</v>
      </c>
      <c r="BC490" s="411">
        <f t="shared" si="846"/>
        <v>-5.4807595589002134E-3</v>
      </c>
      <c r="BD490" s="92"/>
      <c r="BE490" s="281" t="str">
        <f t="shared" si="839"/>
        <v>DUKE ENERGY OHIO, INC.</v>
      </c>
      <c r="BF490" s="290">
        <f t="shared" si="840"/>
        <v>4057079</v>
      </c>
      <c r="BG490" s="46" t="str">
        <f t="shared" si="841"/>
        <v>OH</v>
      </c>
      <c r="BH490" s="46"/>
      <c r="BI490" s="46" t="str">
        <f t="shared" si="842"/>
        <v>2010 Y</v>
      </c>
      <c r="BJ490" s="129"/>
      <c r="BK490" s="129"/>
      <c r="BL490" s="129">
        <f>INDEX('Dist. Plant Gas Additions'!$E$7:$AD$91,MATCH($C490,'Dist. Plant Gas Additions'!$C$7:$C$91,0),MATCH(Calculation!$G490,'Dist. Plant Gas Additions'!$E$5:$AD$5,0))</f>
        <v>109756</v>
      </c>
      <c r="BM490" s="129">
        <f>INDEX('Gen. Plant Additions'!$E$7:$AD$91,MATCH($C490,'Gen. Plant Additions'!$C$7:$C$91,0),MATCH(Calculation!$G490,'Gen. Plant Additions'!$E$5:$AD$5,0))</f>
        <v>689</v>
      </c>
      <c r="BN490" s="393">
        <f t="shared" si="891"/>
        <v>0.99080316578864946</v>
      </c>
      <c r="BO490" s="46">
        <f t="shared" si="837"/>
        <v>682.66338122837954</v>
      </c>
      <c r="BP490" s="46">
        <f t="shared" si="838"/>
        <v>-6.3366187716204649</v>
      </c>
      <c r="BQ490" s="129">
        <f>INDEX('Dist Plant Depreciation'!$D$7:$AC$94,MATCH($C490,'Dist Plant Depreciation'!$C$7:$C$94,0),MATCH(Calculation!$G490,'Dist Plant Depreciation'!$D$5:$AC$5,0))</f>
        <v>370906</v>
      </c>
      <c r="BR490" s="129">
        <f>INDEX('Gen. Plant Depreciation'!$D$7:$AC$94,MATCH($C490,'Gen. Plant Depreciation'!$C$7:$C$94,0),MATCH(Calculation!$G490,'Gen. Plant Depreciation'!$D$5:$AC$5,0))</f>
        <v>2047</v>
      </c>
      <c r="BS490" s="129"/>
      <c r="BT490" s="129"/>
      <c r="BU490" s="129"/>
      <c r="BV490" s="129"/>
      <c r="BW490" s="129"/>
      <c r="BX490" s="129"/>
      <c r="BY490" s="129">
        <f>INDEX('Gross Dx Plant'!$D$7:$AC$91,MATCH($C490,'Gross Dx Plant'!$C$7:$C$91,0),MATCH(Calculation!$G490,'Gross Dx Plant'!$D$5:$AC$5,0))</f>
        <v>1407748</v>
      </c>
      <c r="BZ490" s="129">
        <f>INDEX('Gross Gen Plant'!$D$7:$AC$91,MATCH($C490,'Gross Gen Plant'!$C$7:$C$91,0),MATCH(Calculation!$G490,'Gross Gen Plant'!$D$5:$AC$5,0))</f>
        <v>13067</v>
      </c>
      <c r="CA490" s="129">
        <f t="shared" si="885"/>
        <v>1047862</v>
      </c>
      <c r="CB490" s="129"/>
      <c r="CC490" s="133">
        <v>2010</v>
      </c>
      <c r="CD490" s="129"/>
      <c r="CE490" s="129"/>
      <c r="CF490" s="129"/>
      <c r="CG490" s="137"/>
      <c r="CH490" s="129">
        <f t="shared" si="892"/>
        <v>110445</v>
      </c>
      <c r="CI490" s="46">
        <f t="shared" si="901"/>
        <v>110438.66338122838</v>
      </c>
      <c r="CJ490" s="46">
        <f t="shared" si="893"/>
        <v>194.09613511463814</v>
      </c>
      <c r="CK490" s="443">
        <v>0.8666666666666667</v>
      </c>
      <c r="CL490" s="46">
        <f>+CL478*CK490+CJ479*CK489+CJ480*CK488+CJ481*CK487+CJ482*CK486+CJ483*CK485+CJ484*CK484+CJ485*CK483+CJ486*CK482+CJ487*CK481+CJ488*CK480+CJ489*CK479+CJ490</f>
        <v>3664.4477485770403</v>
      </c>
      <c r="CM490" s="134">
        <f t="shared" si="894"/>
        <v>4.1551358433258002E-2</v>
      </c>
      <c r="CN490" s="135">
        <f t="shared" si="895"/>
        <v>1.2787895719252287E-2</v>
      </c>
      <c r="CO490" s="135">
        <f t="shared" si="904"/>
        <v>1.2522243853892267E-2</v>
      </c>
      <c r="CP490" s="134">
        <f>VLOOKUP($H490,RoR!$E:$F,2,FALSE)</f>
        <v>4.9433333333333322E-2</v>
      </c>
      <c r="CQ490" s="135">
        <v>1.1684333519300205E-2</v>
      </c>
      <c r="CR490" s="135">
        <f t="shared" si="902"/>
        <v>3.7748999814033117E-2</v>
      </c>
      <c r="CS490" s="135">
        <f t="shared" si="905"/>
        <v>1.8379697754641357E-2</v>
      </c>
      <c r="CT490" s="135">
        <f t="shared" si="906"/>
        <v>4.7937530248493419E-2</v>
      </c>
      <c r="CU490" s="139">
        <f t="shared" si="896"/>
        <v>0.87050000000000005</v>
      </c>
      <c r="CV490" s="335">
        <f t="shared" si="897"/>
        <v>1.037398205301105</v>
      </c>
      <c r="CW490" s="335">
        <f t="shared" si="898"/>
        <v>0.46926837491571133</v>
      </c>
      <c r="CX490" s="335">
        <f t="shared" si="899"/>
        <v>0.8548537519972772</v>
      </c>
      <c r="CY490" s="335">
        <f t="shared" si="900"/>
        <v>0.41615833911547367</v>
      </c>
      <c r="CZ490" s="336">
        <f>INDEX('State Tax Lookup'!$D$7:$Z$91,MATCH(Calculation!$C490,'State Tax Lookup'!$B$7:$B$91,0),MATCH($H490,'State Tax Lookup'!$D$6:$Z$6,0))</f>
        <v>0.35</v>
      </c>
      <c r="DA490" s="303">
        <v>0.37</v>
      </c>
      <c r="DB490" s="57">
        <f t="shared" si="903"/>
        <v>13.94128189300281</v>
      </c>
      <c r="DC490" s="56">
        <f t="shared" si="907"/>
        <v>1.951401192838172E-2</v>
      </c>
      <c r="DD490" s="303">
        <f>VLOOKUP($H490,RoR!$E:$F,2,FALSE)</f>
        <v>4.9433333333333322E-2</v>
      </c>
      <c r="DE490" s="304">
        <f>HLOOKUP($H490,'GDP-PI'!$D$8:$CQ$11,3,FALSE)</f>
        <v>1.1684333519300205E-2</v>
      </c>
      <c r="DF490" s="303">
        <f>VLOOKUP(H490,'HW Dx Data'!$E:$F,2,FALSE)</f>
        <v>568.98950262971744</v>
      </c>
      <c r="DG490" s="89">
        <f ca="1">VLOOKUP(CC490,'ECI - Input Price'!M$13:N$33,2,FALSE)</f>
        <v>116.925</v>
      </c>
      <c r="DH490" s="89"/>
      <c r="DI490" s="89"/>
      <c r="DJ490" s="56">
        <f t="shared" ca="1" si="915"/>
        <v>5.2678406346976722E-2</v>
      </c>
      <c r="DK490" s="53">
        <f>HLOOKUP(H490,'GDP-PI'!$8:$9,2,FALSE)</f>
        <v>96.108999999999995</v>
      </c>
      <c r="DL490" s="355">
        <f t="shared" si="908"/>
        <v>1.1616598807150427E-2</v>
      </c>
      <c r="EC490"/>
    </row>
    <row r="491" spans="1:133" s="126" customFormat="1" ht="21" customHeight="1" x14ac:dyDescent="0.4">
      <c r="A491" s="233" t="s">
        <v>211</v>
      </c>
      <c r="B491" s="127" t="s">
        <v>211</v>
      </c>
      <c r="C491" s="127">
        <v>4057079</v>
      </c>
      <c r="D491" s="127" t="s">
        <v>199</v>
      </c>
      <c r="E491" s="127"/>
      <c r="F491" s="127"/>
      <c r="G491" s="127" t="s">
        <v>167</v>
      </c>
      <c r="H491" s="128">
        <v>2011</v>
      </c>
      <c r="I491" s="129"/>
      <c r="J491" s="125">
        <f>IFERROR(INDEX('Labor Expenditures'!$E$7:$W$91,MATCH($C491,'Labor Expenditures'!$C$7:$C$91,0),MATCH($G491,'Labor Expenditures'!$E$5:$W$5,0)),"NA")</f>
        <v>35680.335704280871</v>
      </c>
      <c r="K491" s="125">
        <f t="shared" ca="1" si="909"/>
        <v>295.18374936323369</v>
      </c>
      <c r="L491" s="47"/>
      <c r="M491" s="131">
        <f t="shared" ca="1" si="916"/>
        <v>-1.4945457150457088E-2</v>
      </c>
      <c r="N491" s="131"/>
      <c r="O491" s="131"/>
      <c r="P491" s="59">
        <f t="shared" ca="1" si="918"/>
        <v>-2.3325582200351783E-4</v>
      </c>
      <c r="Q491" s="61"/>
      <c r="R491" s="387"/>
      <c r="S491" s="49">
        <f t="shared" ca="1" si="923"/>
        <v>117.03074254973269</v>
      </c>
      <c r="T491" s="61">
        <f ca="1">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</f>
        <v>0.18341544452062694</v>
      </c>
      <c r="U491" s="61"/>
      <c r="V491" s="125">
        <f>IFERROR(INDEX('Non-Labor Expenditures'!$E$7:$AA$91,MATCH($C491,'Non-Labor Expenditures'!$C$7:$C$91,0),MATCH($G491,'Non-Labor Expenditures'!$E$5:$AA$5,0)),"NA")</f>
        <v>51671.790267256358</v>
      </c>
      <c r="W491" s="125">
        <f t="shared" si="910"/>
        <v>526.66126740109632</v>
      </c>
      <c r="X491" s="131">
        <f t="shared" si="919"/>
        <v>-2.3479262017978633E-3</v>
      </c>
      <c r="Y491" s="131">
        <f t="shared" si="920"/>
        <v>-3.6644409782219899E-5</v>
      </c>
      <c r="Z491" s="131"/>
      <c r="AA491" s="131"/>
      <c r="AB491" s="131"/>
      <c r="AC491" s="125">
        <f t="shared" si="890"/>
        <v>54246.476006610646</v>
      </c>
      <c r="AD491" s="129"/>
      <c r="AE491" s="133">
        <v>3992.6389329192502</v>
      </c>
      <c r="AF491" s="134">
        <v>3.9034582944649142E-2</v>
      </c>
      <c r="AG491" s="59">
        <f t="shared" si="911"/>
        <v>6.0921814834149558E-4</v>
      </c>
      <c r="AH491" s="134"/>
      <c r="AI491" s="134"/>
      <c r="AJ491" s="129">
        <f t="shared" si="889"/>
        <v>141598.60197814787</v>
      </c>
      <c r="AK491" s="134">
        <f t="shared" si="921"/>
        <v>4.9368839051619227E-2</v>
      </c>
      <c r="AL491" s="129"/>
      <c r="AM491" s="129"/>
      <c r="AN491" s="129"/>
      <c r="AO491" s="129"/>
      <c r="AP491" s="133">
        <f t="shared" si="922"/>
        <v>339.18595042026863</v>
      </c>
      <c r="AQ491" s="134">
        <f>+BB491/Outputs!$B$19</f>
        <v>1.1745627014204982E-2</v>
      </c>
      <c r="AR491" s="93">
        <f t="shared" si="912"/>
        <v>0.25198225975272848</v>
      </c>
      <c r="AS491" s="93">
        <f t="shared" si="913"/>
        <v>0.36491737591611662</v>
      </c>
      <c r="AT491" s="93">
        <f t="shared" si="914"/>
        <v>0.38310036433115496</v>
      </c>
      <c r="AU491" s="93">
        <f t="shared" ca="1" si="917"/>
        <v>9.8781732580028626E-3</v>
      </c>
      <c r="AV491" s="132">
        <f t="shared" ca="1" si="925"/>
        <v>109.14114029714035</v>
      </c>
      <c r="AW491" s="134">
        <f t="shared" ca="1" si="926"/>
        <v>9.8781732580028973E-3</v>
      </c>
      <c r="AX491" s="56">
        <f>+AJ491/$AL$16</f>
        <v>1.5607138654596724E-2</v>
      </c>
      <c r="AY491" s="135">
        <f t="shared" ca="1" si="924"/>
        <v>1.5417001969178067E-4</v>
      </c>
      <c r="AZ491" s="93"/>
      <c r="BA491" s="93"/>
      <c r="BB491" s="234">
        <f>IFERROR(INDEX('Total Customers'!$E$7:$AA$91,MATCH($C491,'Total Customers'!$C$7:$C$91,0),MATCH($G491,'Total Customers'!$E$5:$AA$5,0)),"NA")</f>
        <v>417466</v>
      </c>
      <c r="BC491" s="411">
        <f t="shared" si="846"/>
        <v>-1.606026173259198E-3</v>
      </c>
      <c r="BD491" s="92"/>
      <c r="BE491" s="281" t="str">
        <f t="shared" si="839"/>
        <v>DUKE ENERGY OHIO, INC.</v>
      </c>
      <c r="BF491" s="290">
        <f t="shared" si="840"/>
        <v>4057079</v>
      </c>
      <c r="BG491" s="46" t="str">
        <f t="shared" si="841"/>
        <v>OH</v>
      </c>
      <c r="BH491" s="46"/>
      <c r="BI491" s="46" t="str">
        <f t="shared" si="842"/>
        <v>2011 Y</v>
      </c>
      <c r="BJ491" s="129"/>
      <c r="BK491" s="129"/>
      <c r="BL491" s="129">
        <f>INDEX('Dist. Plant Gas Additions'!$E$7:$AD$91,MATCH($C491,'Dist. Plant Gas Additions'!$C$7:$C$91,0),MATCH(Calculation!$G491,'Dist. Plant Gas Additions'!$E$5:$AD$5,0))</f>
        <v>108388</v>
      </c>
      <c r="BM491" s="129">
        <f>INDEX('Gen. Plant Additions'!$E$7:$AD$91,MATCH($C491,'Gen. Plant Additions'!$C$7:$C$91,0),MATCH(Calculation!$G491,'Gen. Plant Additions'!$E$5:$AD$5,0))</f>
        <v>1385</v>
      </c>
      <c r="BN491" s="393">
        <f t="shared" si="891"/>
        <v>0.99080866669554335</v>
      </c>
      <c r="BO491" s="46">
        <f t="shared" si="837"/>
        <v>1372.2700033733274</v>
      </c>
      <c r="BP491" s="46">
        <f t="shared" si="838"/>
        <v>-12.729996626672573</v>
      </c>
      <c r="BQ491" s="129">
        <f>INDEX('Dist Plant Depreciation'!$D$7:$AC$94,MATCH($C491,'Dist Plant Depreciation'!$C$7:$C$94,0),MATCH(Calculation!$G491,'Dist Plant Depreciation'!$D$5:$AC$5,0))</f>
        <v>395902</v>
      </c>
      <c r="BR491" s="129">
        <f>INDEX('Gen. Plant Depreciation'!$D$7:$AC$94,MATCH($C491,'Gen. Plant Depreciation'!$C$7:$C$94,0),MATCH(Calculation!$G491,'Gen. Plant Depreciation'!$D$5:$AC$5,0))</f>
        <v>1260</v>
      </c>
      <c r="BS491" s="129"/>
      <c r="BT491" s="129"/>
      <c r="BU491" s="129"/>
      <c r="BV491" s="129"/>
      <c r="BW491" s="129"/>
      <c r="BX491" s="129"/>
      <c r="BY491" s="129">
        <f>INDEX('Gross Dx Plant'!$D$7:$AC$91,MATCH($C491,'Gross Dx Plant'!$C$7:$C$91,0),MATCH(Calculation!$G491,'Gross Dx Plant'!$D$5:$AC$5,0))</f>
        <v>1509713</v>
      </c>
      <c r="BZ491" s="129">
        <f>INDEX('Gross Gen Plant'!$D$7:$AC$91,MATCH($C491,'Gross Gen Plant'!$C$7:$C$91,0),MATCH(Calculation!$G491,'Gross Gen Plant'!$D$5:$AC$5,0))</f>
        <v>14005</v>
      </c>
      <c r="CA491" s="129">
        <f t="shared" si="885"/>
        <v>1126556</v>
      </c>
      <c r="CB491" s="129"/>
      <c r="CC491" s="133">
        <v>2011</v>
      </c>
      <c r="CD491" s="129"/>
      <c r="CE491" s="129"/>
      <c r="CF491" s="129"/>
      <c r="CG491" s="137"/>
      <c r="CH491" s="129">
        <f t="shared" si="892"/>
        <v>109773</v>
      </c>
      <c r="CI491" s="46">
        <f t="shared" si="901"/>
        <v>109760.27000337333</v>
      </c>
      <c r="CJ491" s="46">
        <f t="shared" si="893"/>
        <v>179.46088731740372</v>
      </c>
      <c r="CK491" s="443">
        <v>0.8539325842696629</v>
      </c>
      <c r="CL491" s="46">
        <f>+CL478*CK491+CJ479*CK490+CJ480*CK489+CJ481*CK488+CJ482*CK487+CJ483*CK486+CJ484*CK485+CJ485*CK484+CJ486*CK483+CJ487*CK482+CJ488*CK481+CJ489*CK480+CJ490*CK479+CJ491</f>
        <v>3796.0528217552082</v>
      </c>
      <c r="CM491" s="134">
        <f t="shared" si="894"/>
        <v>3.5284154291880247E-2</v>
      </c>
      <c r="CN491" s="135">
        <f t="shared" si="895"/>
        <v>1.3059488747743484E-2</v>
      </c>
      <c r="CO491" s="135">
        <f t="shared" si="904"/>
        <v>1.2788293596606661E-2</v>
      </c>
      <c r="CP491" s="134">
        <f>VLOOKUP($H491,RoR!$E:$F,2,FALSE)</f>
        <v>4.6391666666666664E-2</v>
      </c>
      <c r="CQ491" s="135">
        <v>2.0840920205183799E-2</v>
      </c>
      <c r="CR491" s="135">
        <f t="shared" si="902"/>
        <v>2.5550746461482865E-2</v>
      </c>
      <c r="CS491" s="135">
        <f t="shared" si="905"/>
        <v>1.8113648011926962E-2</v>
      </c>
      <c r="CT491" s="135">
        <f t="shared" si="906"/>
        <v>2.4810540821321614E-2</v>
      </c>
      <c r="CU491" s="139">
        <f t="shared" si="896"/>
        <v>0.87050000000000005</v>
      </c>
      <c r="CV491" s="335">
        <f t="shared" si="897"/>
        <v>1.1054151524782025</v>
      </c>
      <c r="CW491" s="335">
        <f t="shared" si="898"/>
        <v>0.43611011316687626</v>
      </c>
      <c r="CX491" s="335">
        <f t="shared" si="899"/>
        <v>0.83698442246886229</v>
      </c>
      <c r="CY491" s="335">
        <f t="shared" si="900"/>
        <v>0.40349573304423936</v>
      </c>
      <c r="CZ491" s="336">
        <f>INDEX('State Tax Lookup'!$D$7:$Z$91,MATCH(Calculation!$C491,'State Tax Lookup'!$B$7:$B$91,0),MATCH($H491,'State Tax Lookup'!$D$6:$Z$6,0))</f>
        <v>0.35</v>
      </c>
      <c r="DA491" s="303">
        <v>0.37</v>
      </c>
      <c r="DB491" s="57">
        <f t="shared" si="903"/>
        <v>14.803451905590784</v>
      </c>
      <c r="DC491" s="56">
        <f t="shared" si="907"/>
        <v>6.0006031443149803E-2</v>
      </c>
      <c r="DD491" s="303">
        <f>VLOOKUP($H491,RoR!$E:$F,2,FALSE)</f>
        <v>4.6391666666666664E-2</v>
      </c>
      <c r="DE491" s="304">
        <f>HLOOKUP($H491,'GDP-PI'!$D$8:$CQ$11,3,FALSE)</f>
        <v>2.0840920205183799E-2</v>
      </c>
      <c r="DF491" s="303">
        <f>VLOOKUP(H491,'HW Dx Data'!$E:$F,2,FALSE)</f>
        <v>611.61109612283201</v>
      </c>
      <c r="DG491" s="89">
        <f ca="1">VLOOKUP(CC491,'ECI - Input Price'!M$13:N$33,2,FALSE)</f>
        <v>120.875</v>
      </c>
      <c r="DH491" s="89"/>
      <c r="DI491" s="89"/>
      <c r="DJ491" s="56">
        <f t="shared" ca="1" si="915"/>
        <v>3.3224250161508609E-2</v>
      </c>
      <c r="DK491" s="53">
        <f>HLOOKUP(H491,'GDP-PI'!$8:$9,2,FALSE)</f>
        <v>98.111999999999995</v>
      </c>
      <c r="DL491" s="355">
        <f t="shared" si="908"/>
        <v>2.0626719212849295E-2</v>
      </c>
      <c r="EC491"/>
    </row>
    <row r="492" spans="1:133" s="126" customFormat="1" ht="21" customHeight="1" x14ac:dyDescent="0.4">
      <c r="A492" s="233" t="s">
        <v>211</v>
      </c>
      <c r="B492" s="127" t="s">
        <v>211</v>
      </c>
      <c r="C492" s="127">
        <v>4057079</v>
      </c>
      <c r="D492" s="127" t="s">
        <v>199</v>
      </c>
      <c r="E492" s="127"/>
      <c r="F492" s="127"/>
      <c r="G492" s="127" t="s">
        <v>168</v>
      </c>
      <c r="H492" s="128">
        <v>2012</v>
      </c>
      <c r="I492" s="129"/>
      <c r="J492" s="125">
        <f>IFERROR(INDEX('Labor Expenditures'!$E$7:$W$91,MATCH($C492,'Labor Expenditures'!$C$7:$C$91,0),MATCH($G492,'Labor Expenditures'!$E$5:$W$5,0)),"NA")</f>
        <v>34291.315462757273</v>
      </c>
      <c r="K492" s="125">
        <f t="shared" ca="1" si="909"/>
        <v>274.7701559515807</v>
      </c>
      <c r="L492" s="47"/>
      <c r="M492" s="131">
        <f t="shared" ca="1" si="916"/>
        <v>-7.1663089974293909E-2</v>
      </c>
      <c r="N492" s="131"/>
      <c r="O492" s="131"/>
      <c r="P492" s="59">
        <f t="shared" ca="1" si="918"/>
        <v>-1.1011833731654904E-3</v>
      </c>
      <c r="Q492" s="61"/>
      <c r="R492" s="387"/>
      <c r="S492" s="49">
        <f t="shared" ca="1" si="923"/>
        <v>115.7729178087598</v>
      </c>
      <c r="T492" s="61">
        <f ca="1">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</f>
        <v>-1.0805989722271685E-2</v>
      </c>
      <c r="U492" s="61"/>
      <c r="V492" s="125">
        <f>IFERROR(INDEX('Non-Labor Expenditures'!$E$7:$AA$91,MATCH($C492,'Non-Labor Expenditures'!$C$7:$C$91,0),MATCH($G492,'Non-Labor Expenditures'!$E$5:$AA$5,0)),"NA")</f>
        <v>49660.229524335162</v>
      </c>
      <c r="W492" s="125">
        <f t="shared" si="910"/>
        <v>496.60229524335159</v>
      </c>
      <c r="X492" s="131">
        <f t="shared" si="919"/>
        <v>-5.8768090551167391E-2</v>
      </c>
      <c r="Y492" s="131">
        <f t="shared" si="920"/>
        <v>-9.0303731266462356E-4</v>
      </c>
      <c r="Z492" s="131"/>
      <c r="AA492" s="131"/>
      <c r="AB492" s="131"/>
      <c r="AC492" s="125">
        <f t="shared" si="890"/>
        <v>60311.091000682813</v>
      </c>
      <c r="AD492" s="129"/>
      <c r="AE492" s="133">
        <v>4144.4989613902007</v>
      </c>
      <c r="AF492" s="134">
        <v>3.7329504471336802E-2</v>
      </c>
      <c r="AG492" s="59">
        <f t="shared" si="911"/>
        <v>5.7360950619193471E-4</v>
      </c>
      <c r="AH492" s="134"/>
      <c r="AI492" s="134"/>
      <c r="AJ492" s="129">
        <f t="shared" si="889"/>
        <v>144262.63598777525</v>
      </c>
      <c r="AK492" s="134">
        <f t="shared" si="921"/>
        <v>1.8639191212071256E-2</v>
      </c>
      <c r="AL492" s="129"/>
      <c r="AM492" s="129"/>
      <c r="AN492" s="129"/>
      <c r="AO492" s="129"/>
      <c r="AP492" s="133">
        <f t="shared" si="922"/>
        <v>344.8553192417798</v>
      </c>
      <c r="AQ492" s="134">
        <f>+BB492/Outputs!$B$20</f>
        <v>1.1713474822152884E-2</v>
      </c>
      <c r="AR492" s="93">
        <f t="shared" si="912"/>
        <v>0.23770060229360498</v>
      </c>
      <c r="AS492" s="93">
        <f t="shared" si="913"/>
        <v>0.34423486846963858</v>
      </c>
      <c r="AT492" s="93">
        <f t="shared" si="914"/>
        <v>0.41806452923675641</v>
      </c>
      <c r="AU492" s="93">
        <f t="shared" ca="1" si="917"/>
        <v>-2.3430310918800185E-2</v>
      </c>
      <c r="AV492" s="132">
        <f t="shared" ca="1" si="925"/>
        <v>106.61365495670276</v>
      </c>
      <c r="AW492" s="134">
        <f t="shared" ca="1" si="926"/>
        <v>-2.3430310918800223E-2</v>
      </c>
      <c r="AX492" s="56">
        <f>+AJ492/$AL$17</f>
        <v>1.5366116274926091E-2</v>
      </c>
      <c r="AY492" s="135">
        <f t="shared" ca="1" si="924"/>
        <v>-3.6003288193595459E-4</v>
      </c>
      <c r="AZ492" s="93"/>
      <c r="BA492" s="93"/>
      <c r="BB492" s="234">
        <f>IFERROR(INDEX('Total Customers'!$E$7:$AA$91,MATCH($C492,'Total Customers'!$C$7:$C$91,0),MATCH($G492,'Total Customers'!$E$5:$AA$5,0)),"NA")</f>
        <v>418328</v>
      </c>
      <c r="BC492" s="411">
        <f t="shared" si="846"/>
        <v>2.0627099635423698E-3</v>
      </c>
      <c r="BD492" s="92"/>
      <c r="BE492" s="281" t="str">
        <f t="shared" si="839"/>
        <v>DUKE ENERGY OHIO, INC.</v>
      </c>
      <c r="BF492" s="290">
        <f t="shared" si="840"/>
        <v>4057079</v>
      </c>
      <c r="BG492" s="46" t="str">
        <f t="shared" si="841"/>
        <v>OH</v>
      </c>
      <c r="BH492" s="46"/>
      <c r="BI492" s="46" t="str">
        <f t="shared" si="842"/>
        <v>2012 Y</v>
      </c>
      <c r="BJ492" s="129"/>
      <c r="BK492" s="129"/>
      <c r="BL492" s="129">
        <f>INDEX('Dist. Plant Gas Additions'!$E$7:$AD$91,MATCH($C492,'Dist. Plant Gas Additions'!$C$7:$C$91,0),MATCH(Calculation!$G492,'Dist. Plant Gas Additions'!$E$5:$AD$5,0))</f>
        <v>97772</v>
      </c>
      <c r="BM492" s="129">
        <f>INDEX('Gen. Plant Additions'!$E$7:$AD$91,MATCH($C492,'Gen. Plant Additions'!$C$7:$C$91,0),MATCH(Calculation!$G492,'Gen. Plant Additions'!$E$5:$AD$5,0))</f>
        <v>22851</v>
      </c>
      <c r="BN492" s="393">
        <f t="shared" si="891"/>
        <v>0.97486452780628852</v>
      </c>
      <c r="BO492" s="46">
        <f t="shared" si="837"/>
        <v>22276.6293249015</v>
      </c>
      <c r="BP492" s="46">
        <f t="shared" si="838"/>
        <v>-574.37067509850021</v>
      </c>
      <c r="BQ492" s="129">
        <f>INDEX('Dist Plant Depreciation'!$D$7:$AC$94,MATCH($C492,'Dist Plant Depreciation'!$C$7:$C$94,0),MATCH(Calculation!$G492,'Dist Plant Depreciation'!$D$5:$AC$5,0))</f>
        <v>415020</v>
      </c>
      <c r="BR492" s="129">
        <f>INDEX('Gen. Plant Depreciation'!$D$7:$AC$94,MATCH($C492,'Gen. Plant Depreciation'!$C$7:$C$94,0),MATCH(Calculation!$G492,'Gen. Plant Depreciation'!$D$5:$AC$5,0))</f>
        <v>4131</v>
      </c>
      <c r="BS492" s="129"/>
      <c r="BT492" s="129"/>
      <c r="BU492" s="129"/>
      <c r="BV492" s="129"/>
      <c r="BW492" s="129"/>
      <c r="BX492" s="129"/>
      <c r="BY492" s="129">
        <f>INDEX('Gross Dx Plant'!$D$7:$AC$91,MATCH($C492,'Gross Dx Plant'!$C$7:$C$91,0),MATCH(Calculation!$G492,'Gross Dx Plant'!$D$5:$AC$5,0))</f>
        <v>1589967</v>
      </c>
      <c r="BZ492" s="129">
        <f>INDEX('Gross Gen Plant'!$D$7:$AC$91,MATCH($C492,'Gross Gen Plant'!$C$7:$C$91,0),MATCH(Calculation!$G492,'Gross Gen Plant'!$D$5:$AC$5,0))</f>
        <v>40995</v>
      </c>
      <c r="CA492" s="129">
        <f t="shared" si="885"/>
        <v>1211811</v>
      </c>
      <c r="CB492" s="129"/>
      <c r="CC492" s="133">
        <v>2012</v>
      </c>
      <c r="CD492" s="129"/>
      <c r="CE492" s="129"/>
      <c r="CF492" s="129"/>
      <c r="CG492" s="137"/>
      <c r="CH492" s="129">
        <f t="shared" si="892"/>
        <v>120623</v>
      </c>
      <c r="CI492" s="46">
        <f t="shared" si="901"/>
        <v>120048.6293249015</v>
      </c>
      <c r="CJ492" s="46">
        <f t="shared" si="893"/>
        <v>179.46652960443214</v>
      </c>
      <c r="CK492" s="443">
        <v>0.84090909090909094</v>
      </c>
      <c r="CL492" s="46">
        <f>+CL478*CK492+CJ479*CK491+CJ480*CK490+CJ481*CK489+CJ482*CK488+CJ483*CK487+CJ484*CK486+CJ485*CK485+CJ486*CK484+CJ487*CK483+CJ488*CK482+CJ489*CK481+CJ490*CK480+CJ491*CK479+CJ492</f>
        <v>3924.8350472203706</v>
      </c>
      <c r="CM492" s="134">
        <f t="shared" si="894"/>
        <v>3.3362528405106354E-2</v>
      </c>
      <c r="CN492" s="135">
        <f t="shared" si="895"/>
        <v>1.3351843749064196E-2</v>
      </c>
      <c r="CO492" s="135">
        <f t="shared" si="904"/>
        <v>1.3066409405353321E-2</v>
      </c>
      <c r="CP492" s="134">
        <f>VLOOKUP($H492,RoR!$E:$F,2,FALSE)</f>
        <v>3.6733333333333333E-2</v>
      </c>
      <c r="CQ492" s="135">
        <v>1.924331376386168E-2</v>
      </c>
      <c r="CR492" s="135">
        <f t="shared" si="902"/>
        <v>1.7490019569471653E-2</v>
      </c>
      <c r="CS492" s="135">
        <f t="shared" si="905"/>
        <v>1.7835532203180304E-2</v>
      </c>
      <c r="CT492" s="135">
        <f t="shared" si="906"/>
        <v>6.7122682943869583E-2</v>
      </c>
      <c r="CU492" s="139">
        <f t="shared" si="896"/>
        <v>0.87050000000000005</v>
      </c>
      <c r="CV492" s="335">
        <f t="shared" si="897"/>
        <v>1.3960631020522127</v>
      </c>
      <c r="CW492" s="335">
        <f t="shared" si="898"/>
        <v>0.29441923774954631</v>
      </c>
      <c r="CX492" s="335">
        <f t="shared" si="899"/>
        <v>0.76377954189366437</v>
      </c>
      <c r="CY492" s="335">
        <f t="shared" si="900"/>
        <v>0.31393465103033691</v>
      </c>
      <c r="CZ492" s="336">
        <f>INDEX('State Tax Lookup'!$D$7:$Z$91,MATCH(Calculation!$C492,'State Tax Lookup'!$B$7:$B$91,0),MATCH($H492,'State Tax Lookup'!$D$6:$Z$6,0))</f>
        <v>0.35</v>
      </c>
      <c r="DA492" s="303">
        <v>0.37</v>
      </c>
      <c r="DB492" s="57">
        <f t="shared" si="903"/>
        <v>15.887842933860004</v>
      </c>
      <c r="DC492" s="56">
        <f t="shared" si="907"/>
        <v>7.0693830980537026E-2</v>
      </c>
      <c r="DD492" s="303">
        <f>VLOOKUP($H492,RoR!$E:$F,2,FALSE)</f>
        <v>3.6733333333333333E-2</v>
      </c>
      <c r="DE492" s="304">
        <f>HLOOKUP($H492,'GDP-PI'!$D$8:$CQ$11,3,FALSE)</f>
        <v>1.924331376386168E-2</v>
      </c>
      <c r="DF492" s="303">
        <f>VLOOKUP(H492,'HW Dx Data'!$E:$F,2,FALSE)</f>
        <v>668.91932211262167</v>
      </c>
      <c r="DG492" s="89">
        <f ca="1">VLOOKUP(CC492,'ECI - Input Price'!M$13:N$33,2,FALSE)</f>
        <v>124.80000000000001</v>
      </c>
      <c r="DH492" s="89"/>
      <c r="DI492" s="89"/>
      <c r="DJ492" s="56">
        <f t="shared" ca="1" si="915"/>
        <v>3.1955502161869064E-2</v>
      </c>
      <c r="DK492" s="53">
        <f>HLOOKUP(H492,'GDP-PI'!$8:$9,2,FALSE)</f>
        <v>100</v>
      </c>
      <c r="DL492" s="355">
        <f t="shared" si="908"/>
        <v>1.9060502738742411E-2</v>
      </c>
      <c r="EC492"/>
    </row>
    <row r="493" spans="1:133" s="126" customFormat="1" ht="21" customHeight="1" x14ac:dyDescent="0.4">
      <c r="A493" s="233" t="s">
        <v>211</v>
      </c>
      <c r="B493" s="127" t="s">
        <v>211</v>
      </c>
      <c r="C493" s="127">
        <v>4057079</v>
      </c>
      <c r="D493" s="127" t="s">
        <v>199</v>
      </c>
      <c r="E493" s="127"/>
      <c r="F493" s="127"/>
      <c r="G493" s="127" t="s">
        <v>169</v>
      </c>
      <c r="H493" s="128">
        <v>2013</v>
      </c>
      <c r="I493" s="129"/>
      <c r="J493" s="125">
        <f>IFERROR(INDEX('Labor Expenditures'!$E$7:$W$91,MATCH($C493,'Labor Expenditures'!$C$7:$C$91,0),MATCH($G493,'Labor Expenditures'!$E$5:$W$5,0)),"NA")</f>
        <v>35622.457004582269</v>
      </c>
      <c r="K493" s="125">
        <f t="shared" ca="1" si="909"/>
        <v>280.9342035061693</v>
      </c>
      <c r="L493" s="47"/>
      <c r="M493" s="131">
        <f t="shared" ca="1" si="916"/>
        <v>2.2185539038273236E-2</v>
      </c>
      <c r="N493" s="131"/>
      <c r="O493" s="131"/>
      <c r="P493" s="59">
        <f t="shared" ca="1" si="918"/>
        <v>3.3767338956856272E-4</v>
      </c>
      <c r="Q493" s="61"/>
      <c r="R493" s="387"/>
      <c r="S493" s="49">
        <f t="shared" ca="1" si="923"/>
        <v>108.39359565752287</v>
      </c>
      <c r="T493" s="61">
        <f ca="1">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</f>
        <v>-6.5861660786217718E-2</v>
      </c>
      <c r="U493" s="61"/>
      <c r="V493" s="125">
        <f>IFERROR(INDEX('Non-Labor Expenditures'!$E$7:$AA$91,MATCH($C493,'Non-Labor Expenditures'!$C$7:$C$91,0),MATCH($G493,'Non-Labor Expenditures'!$E$5:$AA$5,0)),"NA")</f>
        <v>51587.971099842842</v>
      </c>
      <c r="W493" s="125">
        <f t="shared" si="910"/>
        <v>506.89250685194349</v>
      </c>
      <c r="X493" s="131">
        <f t="shared" si="919"/>
        <v>2.0509468089561115E-2</v>
      </c>
      <c r="Y493" s="131">
        <f t="shared" si="920"/>
        <v>3.1216287312662959E-4</v>
      </c>
      <c r="Z493" s="131"/>
      <c r="AA493" s="131"/>
      <c r="AB493" s="131"/>
      <c r="AC493" s="125">
        <f t="shared" si="890"/>
        <v>60893.138226314928</v>
      </c>
      <c r="AD493" s="129"/>
      <c r="AE493" s="133">
        <v>4275.2526198194746</v>
      </c>
      <c r="AF493" s="134">
        <v>3.1061289548400567E-2</v>
      </c>
      <c r="AG493" s="59">
        <f t="shared" si="911"/>
        <v>4.7276610715136114E-4</v>
      </c>
      <c r="AH493" s="134"/>
      <c r="AI493" s="134"/>
      <c r="AJ493" s="129">
        <f t="shared" si="889"/>
        <v>148103.56633074005</v>
      </c>
      <c r="AK493" s="134">
        <f t="shared" si="921"/>
        <v>2.6276302155225185E-2</v>
      </c>
      <c r="AL493" s="129"/>
      <c r="AM493" s="129"/>
      <c r="AN493" s="129"/>
      <c r="AO493" s="129"/>
      <c r="AP493" s="133">
        <f t="shared" si="922"/>
        <v>353.39406744328784</v>
      </c>
      <c r="AQ493" s="134">
        <f>+BB493/Outputs!$B$21</f>
        <v>1.1659993781173427E-2</v>
      </c>
      <c r="AR493" s="93">
        <f t="shared" si="912"/>
        <v>0.24052396500048728</v>
      </c>
      <c r="AS493" s="93">
        <f t="shared" si="913"/>
        <v>0.34832362500061792</v>
      </c>
      <c r="AT493" s="93">
        <f t="shared" si="914"/>
        <v>0.41115240999889469</v>
      </c>
      <c r="AU493" s="93">
        <f t="shared" ca="1" si="917"/>
        <v>2.5285111788392094E-2</v>
      </c>
      <c r="AV493" s="132">
        <f t="shared" ca="1" si="925"/>
        <v>109.34376323358102</v>
      </c>
      <c r="AW493" s="134">
        <f t="shared" ca="1" si="926"/>
        <v>2.5285111788392042E-2</v>
      </c>
      <c r="AX493" s="56">
        <f>+AJ493/$AL$18</f>
        <v>1.5220427549045696E-2</v>
      </c>
      <c r="AY493" s="135">
        <f t="shared" ca="1" si="924"/>
        <v>3.8485021204474234E-4</v>
      </c>
      <c r="AZ493" s="93"/>
      <c r="BA493" s="93"/>
      <c r="BB493" s="234">
        <f>IFERROR(INDEX('Total Customers'!$E$7:$AA$91,MATCH($C493,'Total Customers'!$C$7:$C$91,0),MATCH($G493,'Total Customers'!$E$5:$AA$5,0)),"NA")</f>
        <v>419089</v>
      </c>
      <c r="BC493" s="411">
        <f t="shared" si="846"/>
        <v>1.8174940548933416E-3</v>
      </c>
      <c r="BD493" s="92"/>
      <c r="BE493" s="281" t="str">
        <f t="shared" si="839"/>
        <v>DUKE ENERGY OHIO, INC.</v>
      </c>
      <c r="BF493" s="290">
        <f t="shared" si="840"/>
        <v>4057079</v>
      </c>
      <c r="BG493" s="46" t="str">
        <f t="shared" si="841"/>
        <v>OH</v>
      </c>
      <c r="BH493" s="46"/>
      <c r="BI493" s="46" t="str">
        <f t="shared" si="842"/>
        <v>2013 Y</v>
      </c>
      <c r="BJ493" s="129"/>
      <c r="BK493" s="129"/>
      <c r="BL493" s="129">
        <f>INDEX('Dist. Plant Gas Additions'!$E$7:$AD$91,MATCH($C493,'Dist. Plant Gas Additions'!$C$7:$C$91,0),MATCH(Calculation!$G493,'Dist. Plant Gas Additions'!$E$5:$AD$5,0))</f>
        <v>99677</v>
      </c>
      <c r="BM493" s="129">
        <f>INDEX('Gen. Plant Additions'!$E$7:$AD$91,MATCH($C493,'Gen. Plant Additions'!$C$7:$C$91,0),MATCH(Calculation!$G493,'Gen. Plant Additions'!$E$5:$AD$5,0))</f>
        <v>7194</v>
      </c>
      <c r="BN493" s="393">
        <f t="shared" si="891"/>
        <v>0.97224683480286334</v>
      </c>
      <c r="BO493" s="46">
        <f t="shared" si="837"/>
        <v>6994.3437295717986</v>
      </c>
      <c r="BP493" s="46">
        <f t="shared" si="838"/>
        <v>-199.65627042820142</v>
      </c>
      <c r="BQ493" s="129">
        <f>INDEX('Dist Plant Depreciation'!$D$7:$AC$94,MATCH($C493,'Dist Plant Depreciation'!$C$7:$C$94,0),MATCH(Calculation!$G493,'Dist Plant Depreciation'!$D$5:$AC$5,0))</f>
        <v>441865</v>
      </c>
      <c r="BR493" s="129">
        <f>INDEX('Gen. Plant Depreciation'!$D$7:$AC$94,MATCH($C493,'Gen. Plant Depreciation'!$C$7:$C$94,0),MATCH(Calculation!$G493,'Gen. Plant Depreciation'!$D$5:$AC$5,0))</f>
        <v>6208</v>
      </c>
      <c r="BS493" s="129"/>
      <c r="BT493" s="129"/>
      <c r="BU493" s="129"/>
      <c r="BV493" s="129"/>
      <c r="BW493" s="129"/>
      <c r="BX493" s="129"/>
      <c r="BY493" s="129">
        <f>INDEX('Gross Dx Plant'!$D$7:$AC$91,MATCH($C493,'Gross Dx Plant'!$C$7:$C$91,0),MATCH(Calculation!$G493,'Gross Dx Plant'!$D$5:$AC$5,0))</f>
        <v>1682128</v>
      </c>
      <c r="BZ493" s="129">
        <f>INDEX('Gross Gen Plant'!$D$7:$AC$91,MATCH($C493,'Gross Gen Plant'!$C$7:$C$91,0),MATCH(Calculation!$G493,'Gross Gen Plant'!$D$5:$AC$5,0))</f>
        <v>48017</v>
      </c>
      <c r="CA493" s="129">
        <f t="shared" si="885"/>
        <v>1282072</v>
      </c>
      <c r="CB493" s="129"/>
      <c r="CC493" s="133">
        <v>2013</v>
      </c>
      <c r="CD493" s="129"/>
      <c r="CE493" s="129"/>
      <c r="CF493" s="129"/>
      <c r="CG493" s="137"/>
      <c r="CH493" s="129">
        <f t="shared" si="892"/>
        <v>106871</v>
      </c>
      <c r="CI493" s="46">
        <f t="shared" si="901"/>
        <v>106671.3437295718</v>
      </c>
      <c r="CJ493" s="46">
        <f t="shared" si="893"/>
        <v>160.8316625368312</v>
      </c>
      <c r="CK493" s="443">
        <v>0.82758620689655171</v>
      </c>
      <c r="CL493" s="46">
        <f>+CL478*CK493+CJ479*CK492+CJ480*CK491+CJ481*CK490+CJ482*CK489+CJ483*CK488+CJ484*CK487+CJ485*CK486+CJ486*CK485+CJ487*CK484+CJ488*CK483+CJ489*CK482+CJ490*CK481+CJ491*CK480+CJ492*CK479+CJ493</f>
        <v>4032.0832064097817</v>
      </c>
      <c r="CM493" s="134">
        <f t="shared" si="894"/>
        <v>2.6958842901146227E-2</v>
      </c>
      <c r="CN493" s="135">
        <f t="shared" si="895"/>
        <v>1.3652421745818018E-2</v>
      </c>
      <c r="CO493" s="135">
        <f t="shared" si="904"/>
        <v>1.3354584747541899E-2</v>
      </c>
      <c r="CP493" s="134">
        <f>VLOOKUP($H493,RoR!$E:$F,2,FALSE)</f>
        <v>4.2350000000000006E-2</v>
      </c>
      <c r="CQ493" s="135">
        <v>1.7730000000000024E-2</v>
      </c>
      <c r="CR493" s="135">
        <f t="shared" si="902"/>
        <v>2.4619999999999982E-2</v>
      </c>
      <c r="CS493" s="135">
        <f t="shared" si="905"/>
        <v>1.7547356860991726E-2</v>
      </c>
      <c r="CT493" s="135">
        <f t="shared" si="906"/>
        <v>5.3376742735721204E-2</v>
      </c>
      <c r="CU493" s="139">
        <f t="shared" si="896"/>
        <v>0.87050000000000005</v>
      </c>
      <c r="CV493" s="335">
        <f t="shared" si="897"/>
        <v>1.2109103018193925</v>
      </c>
      <c r="CW493" s="335">
        <f t="shared" si="898"/>
        <v>0.38468122786304604</v>
      </c>
      <c r="CX493" s="335">
        <f t="shared" si="899"/>
        <v>0.80969194503422559</v>
      </c>
      <c r="CY493" s="335">
        <f t="shared" si="900"/>
        <v>0.37716621754800816</v>
      </c>
      <c r="CZ493" s="336">
        <f>INDEX('State Tax Lookup'!$D$7:$Z$91,MATCH(Calculation!$C493,'State Tax Lookup'!$B$7:$B$91,0),MATCH($H493,'State Tax Lookup'!$D$6:$Z$6,0))</f>
        <v>0.35</v>
      </c>
      <c r="DA493" s="303">
        <v>0.37</v>
      </c>
      <c r="DB493" s="57">
        <f t="shared" si="903"/>
        <v>15.514827373303344</v>
      </c>
      <c r="DC493" s="56">
        <f t="shared" si="907"/>
        <v>-2.375805001962996E-2</v>
      </c>
      <c r="DD493" s="303">
        <f>VLOOKUP($H493,RoR!$E:$F,2,FALSE)</f>
        <v>4.2350000000000006E-2</v>
      </c>
      <c r="DE493" s="304">
        <f>HLOOKUP($H493,'GDP-PI'!$D$8:$CQ$11,3,FALSE)</f>
        <v>1.7730000000000024E-2</v>
      </c>
      <c r="DF493" s="303">
        <f>VLOOKUP(H493,'HW Dx Data'!$E:$F,2,FALSE)</f>
        <v>663.24840548821396</v>
      </c>
      <c r="DG493" s="89">
        <f ca="1">VLOOKUP(CC493,'ECI - Input Price'!M$13:N$33,2,FALSE)</f>
        <v>126.8</v>
      </c>
      <c r="DH493" s="89"/>
      <c r="DI493" s="89"/>
      <c r="DJ493" s="56">
        <f t="shared" ca="1" si="915"/>
        <v>1.5898586067798204E-2</v>
      </c>
      <c r="DK493" s="53">
        <f>HLOOKUP(H493,'GDP-PI'!$8:$9,2,FALSE)</f>
        <v>101.773</v>
      </c>
      <c r="DL493" s="355">
        <f t="shared" si="908"/>
        <v>1.7574657016510519E-2</v>
      </c>
      <c r="EC493"/>
    </row>
    <row r="494" spans="1:133" s="126" customFormat="1" ht="21" customHeight="1" x14ac:dyDescent="0.4">
      <c r="A494" s="233" t="s">
        <v>211</v>
      </c>
      <c r="B494" s="127" t="s">
        <v>211</v>
      </c>
      <c r="C494" s="127">
        <v>4057079</v>
      </c>
      <c r="D494" s="127" t="s">
        <v>199</v>
      </c>
      <c r="E494" s="127"/>
      <c r="F494" s="127"/>
      <c r="G494" s="127" t="s">
        <v>170</v>
      </c>
      <c r="H494" s="128">
        <v>2014</v>
      </c>
      <c r="I494" s="129"/>
      <c r="J494" s="125">
        <f>IFERROR(INDEX('Labor Expenditures'!$E$7:$W$91,MATCH($C494,'Labor Expenditures'!$C$7:$C$91,0),MATCH($G494,'Labor Expenditures'!$E$5:$W$5,0)),"NA")</f>
        <v>31611.211887846977</v>
      </c>
      <c r="K494" s="125">
        <f t="shared" ca="1" si="909"/>
        <v>244.29066373915745</v>
      </c>
      <c r="L494" s="47"/>
      <c r="M494" s="131">
        <f t="shared" ca="1" si="916"/>
        <v>-0.13976172953580104</v>
      </c>
      <c r="N494" s="131"/>
      <c r="O494" s="131"/>
      <c r="P494" s="59">
        <f t="shared" ca="1" si="918"/>
        <v>-1.9872868919223663E-3</v>
      </c>
      <c r="Q494" s="61"/>
      <c r="R494" s="387"/>
      <c r="S494" s="49">
        <f t="shared" ca="1" si="923"/>
        <v>120.27743226878927</v>
      </c>
      <c r="T494" s="61">
        <f ca="1">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</f>
        <v>0.10403200333419005</v>
      </c>
      <c r="U494" s="61"/>
      <c r="V494" s="125">
        <f>IFERROR(INDEX('Non-Labor Expenditures'!$E$7:$AA$91,MATCH($C494,'Non-Labor Expenditures'!$C$7:$C$91,0),MATCH($G494,'Non-Labor Expenditures'!$E$5:$AA$5,0)),"NA")</f>
        <v>45778.938973566226</v>
      </c>
      <c r="W494" s="125">
        <f t="shared" si="910"/>
        <v>441.68127368439247</v>
      </c>
      <c r="X494" s="131">
        <f t="shared" si="919"/>
        <v>-0.1377104413703823</v>
      </c>
      <c r="Y494" s="131">
        <f t="shared" si="920"/>
        <v>-1.9581194074025938E-3</v>
      </c>
      <c r="Z494" s="131"/>
      <c r="AA494" s="131"/>
      <c r="AB494" s="131"/>
      <c r="AC494" s="125">
        <f t="shared" si="890"/>
        <v>63510.05940102163</v>
      </c>
      <c r="AD494" s="129"/>
      <c r="AE494" s="133">
        <v>4383.0633026206997</v>
      </c>
      <c r="AF494" s="134">
        <v>2.4904671094930636E-2</v>
      </c>
      <c r="AG494" s="59">
        <f t="shared" si="911"/>
        <v>3.5412216619654492E-4</v>
      </c>
      <c r="AH494" s="134"/>
      <c r="AI494" s="134"/>
      <c r="AJ494" s="129">
        <f t="shared" si="889"/>
        <v>140900.21026243485</v>
      </c>
      <c r="AK494" s="134">
        <f t="shared" si="921"/>
        <v>-4.9859890357679182E-2</v>
      </c>
      <c r="AL494" s="129"/>
      <c r="AM494" s="129"/>
      <c r="AN494" s="129"/>
      <c r="AO494" s="129"/>
      <c r="AP494" s="133">
        <f t="shared" si="922"/>
        <v>334.15280949389762</v>
      </c>
      <c r="AQ494" s="134">
        <f>+BB494/Outputs!$B$22</f>
        <v>1.1668945584641394E-2</v>
      </c>
      <c r="AR494" s="93">
        <f t="shared" si="912"/>
        <v>0.22435177228599767</v>
      </c>
      <c r="AS494" s="93">
        <f t="shared" si="913"/>
        <v>0.32490326940109093</v>
      </c>
      <c r="AT494" s="93">
        <f t="shared" si="914"/>
        <v>0.45074495831291128</v>
      </c>
      <c r="AU494" s="93">
        <f t="shared" ca="1" si="917"/>
        <v>-6.8108469678734532E-2</v>
      </c>
      <c r="AV494" s="132">
        <f t="shared" ca="1" si="925"/>
        <v>102.14447584192014</v>
      </c>
      <c r="AW494" s="134">
        <f t="shared" ca="1" si="926"/>
        <v>-6.8108469678734587E-2</v>
      </c>
      <c r="AX494" s="56">
        <f>+AJ494/$AL$19</f>
        <v>1.4219106321328884E-2</v>
      </c>
      <c r="AY494" s="135">
        <f t="shared" ca="1" si="924"/>
        <v>-9.6844157174493157E-4</v>
      </c>
      <c r="AZ494" s="93"/>
      <c r="BA494" s="93"/>
      <c r="BB494" s="234">
        <f>IFERROR(INDEX('Total Customers'!$E$7:$AA$91,MATCH($C494,'Total Customers'!$C$7:$C$91,0),MATCH($G494,'Total Customers'!$E$5:$AA$5,0)),"NA")</f>
        <v>421664</v>
      </c>
      <c r="BC494" s="411">
        <f t="shared" si="846"/>
        <v>6.1254804954271307E-3</v>
      </c>
      <c r="BD494" s="92"/>
      <c r="BE494" s="281" t="str">
        <f t="shared" si="839"/>
        <v>DUKE ENERGY OHIO, INC.</v>
      </c>
      <c r="BF494" s="290">
        <f t="shared" si="840"/>
        <v>4057079</v>
      </c>
      <c r="BG494" s="46" t="str">
        <f t="shared" si="841"/>
        <v>OH</v>
      </c>
      <c r="BH494" s="46"/>
      <c r="BI494" s="46" t="str">
        <f t="shared" si="842"/>
        <v>2014 Y</v>
      </c>
      <c r="BJ494" s="129"/>
      <c r="BK494" s="129"/>
      <c r="BL494" s="129">
        <f>INDEX('Dist. Plant Gas Additions'!$E$7:$AD$91,MATCH($C494,'Dist. Plant Gas Additions'!$C$7:$C$91,0),MATCH(Calculation!$G494,'Dist. Plant Gas Additions'!$E$5:$AD$5,0))</f>
        <v>92946</v>
      </c>
      <c r="BM494" s="129">
        <f>INDEX('Gen. Plant Additions'!$E$7:$AD$91,MATCH($C494,'Gen. Plant Additions'!$C$7:$C$91,0),MATCH(Calculation!$G494,'Gen. Plant Additions'!$E$5:$AD$5,0))</f>
        <v>2942</v>
      </c>
      <c r="BN494" s="393">
        <f t="shared" si="891"/>
        <v>0.97197357016204611</v>
      </c>
      <c r="BO494" s="46">
        <f t="shared" si="837"/>
        <v>2859.5462434167398</v>
      </c>
      <c r="BP494" s="46">
        <f t="shared" si="838"/>
        <v>-82.453756583260201</v>
      </c>
      <c r="BQ494" s="129">
        <f>INDEX('Dist Plant Depreciation'!$D$7:$AC$94,MATCH($C494,'Dist Plant Depreciation'!$C$7:$C$94,0),MATCH(Calculation!$G494,'Dist Plant Depreciation'!$D$5:$AC$5,0))</f>
        <v>472311</v>
      </c>
      <c r="BR494" s="129">
        <f>INDEX('Gen. Plant Depreciation'!$D$7:$AC$94,MATCH($C494,'Gen. Plant Depreciation'!$C$7:$C$94,0),MATCH(Calculation!$G494,'Gen. Plant Depreciation'!$D$5:$AC$5,0))</f>
        <v>8681</v>
      </c>
      <c r="BS494" s="129"/>
      <c r="BT494" s="129"/>
      <c r="BU494" s="129"/>
      <c r="BV494" s="129"/>
      <c r="BW494" s="129"/>
      <c r="BX494" s="129"/>
      <c r="BY494" s="129">
        <f>INDEX('Gross Dx Plant'!$D$7:$AC$91,MATCH($C494,'Gross Dx Plant'!$C$7:$C$91,0),MATCH(Calculation!$G494,'Gross Dx Plant'!$D$5:$AC$5,0))</f>
        <v>1767289</v>
      </c>
      <c r="BZ494" s="129">
        <f>INDEX('Gross Gen Plant'!$D$7:$AC$91,MATCH($C494,'Gross Gen Plant'!$C$7:$C$91,0),MATCH(Calculation!$G494,'Gross Gen Plant'!$D$5:$AC$5,0))</f>
        <v>50959</v>
      </c>
      <c r="CA494" s="129">
        <f t="shared" si="885"/>
        <v>1337256</v>
      </c>
      <c r="CB494" s="129"/>
      <c r="CC494" s="133">
        <v>2014</v>
      </c>
      <c r="CD494" s="129"/>
      <c r="CE494" s="129"/>
      <c r="CF494" s="129"/>
      <c r="CG494" s="137"/>
      <c r="CH494" s="129">
        <f t="shared" si="892"/>
        <v>95888</v>
      </c>
      <c r="CI494" s="46">
        <f t="shared" si="901"/>
        <v>95805.546243416742</v>
      </c>
      <c r="CJ494" s="46">
        <f t="shared" si="893"/>
        <v>139.97058486002823</v>
      </c>
      <c r="CK494" s="443">
        <v>0.81395348837209303</v>
      </c>
      <c r="CL494" s="46">
        <f>+CL478*CK494+CJ479*CK493+CJ480*CK492+CJ481*CK491+CJ482*CK490+CJ483*CK489+CJ484*CK488+CJ485*CK487+CJ486*CK486+CJ487*CK485+CJ488*CK484+CJ489*CK483+CJ490*CK482+CJ491*CK481+CJ492*CK480+CJ493*CK479+CJ494</f>
        <v>4115.6822770279841</v>
      </c>
      <c r="CM494" s="134">
        <f t="shared" si="894"/>
        <v>2.052145575576212E-2</v>
      </c>
      <c r="CN494" s="135">
        <f t="shared" si="895"/>
        <v>1.3980741804190032E-2</v>
      </c>
      <c r="CO494" s="135">
        <f t="shared" si="904"/>
        <v>1.3661669099690748E-2</v>
      </c>
      <c r="CP494" s="134">
        <f>VLOOKUP($H494,RoR!$E:$F,2,FALSE)</f>
        <v>4.1625000000000002E-2</v>
      </c>
      <c r="CQ494" s="135">
        <v>1.841352814597208E-2</v>
      </c>
      <c r="CR494" s="135">
        <f t="shared" si="902"/>
        <v>2.3211471854027922E-2</v>
      </c>
      <c r="CS494" s="135">
        <f t="shared" si="905"/>
        <v>1.7240272508842878E-2</v>
      </c>
      <c r="CT494" s="135">
        <f t="shared" si="906"/>
        <v>3.9072621432650924E-2</v>
      </c>
      <c r="CU494" s="139">
        <f t="shared" si="896"/>
        <v>0.87050000000000005</v>
      </c>
      <c r="CV494" s="335">
        <f t="shared" si="897"/>
        <v>1.2320012320012319</v>
      </c>
      <c r="CW494" s="335">
        <f t="shared" si="898"/>
        <v>0.37439939939939942</v>
      </c>
      <c r="CX494" s="335">
        <f t="shared" si="899"/>
        <v>0.80432100613819935</v>
      </c>
      <c r="CY494" s="335">
        <f t="shared" si="900"/>
        <v>0.37100152660040037</v>
      </c>
      <c r="CZ494" s="336">
        <f>INDEX('State Tax Lookup'!$D$7:$Z$91,MATCH(Calculation!$C494,'State Tax Lookup'!$B$7:$B$91,0),MATCH($H494,'State Tax Lookup'!$D$6:$Z$6,0))</f>
        <v>0.35</v>
      </c>
      <c r="DA494" s="303">
        <v>0.37</v>
      </c>
      <c r="DB494" s="57">
        <f t="shared" si="903"/>
        <v>15.75117777829089</v>
      </c>
      <c r="DC494" s="56">
        <f t="shared" si="907"/>
        <v>1.511897065008411E-2</v>
      </c>
      <c r="DD494" s="303">
        <f>VLOOKUP($H494,RoR!$E:$F,2,FALSE)</f>
        <v>4.1625000000000002E-2</v>
      </c>
      <c r="DE494" s="304">
        <f>HLOOKUP($H494,'GDP-PI'!$D$8:$CQ$11,3,FALSE)</f>
        <v>1.841352814597208E-2</v>
      </c>
      <c r="DF494" s="303">
        <f>VLOOKUP(H494,'HW Dx Data'!$E:$F,2,FALSE)</f>
        <v>684.46914285042885</v>
      </c>
      <c r="DG494" s="89">
        <f ca="1">VLOOKUP(CC494,'ECI - Input Price'!M$13:N$33,2,FALSE)</f>
        <v>129.4</v>
      </c>
      <c r="DH494" s="89"/>
      <c r="DI494" s="89"/>
      <c r="DJ494" s="56">
        <f t="shared" ca="1" si="915"/>
        <v>2.0297340063674733E-2</v>
      </c>
      <c r="DK494" s="53">
        <f>HLOOKUP(H494,'GDP-PI'!$8:$9,2,FALSE)</f>
        <v>103.64700000000001</v>
      </c>
      <c r="DL494" s="355">
        <f t="shared" si="908"/>
        <v>1.8246051898256087E-2</v>
      </c>
      <c r="EC494"/>
    </row>
    <row r="495" spans="1:133" s="126" customFormat="1" ht="21" customHeight="1" x14ac:dyDescent="0.4">
      <c r="A495" s="233" t="s">
        <v>211</v>
      </c>
      <c r="B495" s="127" t="s">
        <v>211</v>
      </c>
      <c r="C495" s="127">
        <v>4057079</v>
      </c>
      <c r="D495" s="127" t="s">
        <v>199</v>
      </c>
      <c r="E495" s="127"/>
      <c r="F495" s="127"/>
      <c r="G495" s="127" t="s">
        <v>171</v>
      </c>
      <c r="H495" s="128">
        <v>2015</v>
      </c>
      <c r="I495" s="129"/>
      <c r="J495" s="125">
        <f>IFERROR(INDEX('Labor Expenditures'!$E$7:$W$91,MATCH($C495,'Labor Expenditures'!$C$7:$C$91,0),MATCH($G495,'Labor Expenditures'!$E$5:$W$5,0)),"NA")</f>
        <v>33254.784623951644</v>
      </c>
      <c r="K495" s="125">
        <f t="shared" ca="1" si="909"/>
        <v>249.09951029177262</v>
      </c>
      <c r="L495" s="47"/>
      <c r="M495" s="131">
        <f t="shared" ca="1" si="916"/>
        <v>1.9493695199345948E-2</v>
      </c>
      <c r="N495" s="131"/>
      <c r="O495" s="131"/>
      <c r="P495" s="59">
        <f t="shared" ca="1" si="918"/>
        <v>2.8253825229719419E-4</v>
      </c>
      <c r="Q495" s="61"/>
      <c r="R495" s="387"/>
      <c r="S495" s="49">
        <f t="shared" ca="1" si="923"/>
        <v>118.80915619755062</v>
      </c>
      <c r="T495" s="61">
        <f ca="1">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</f>
        <v>-1.2282533615670636E-2</v>
      </c>
      <c r="U495" s="61"/>
      <c r="V495" s="125">
        <f>IFERROR(INDEX('Non-Labor Expenditures'!$E$7:$AA$91,MATCH($C495,'Non-Labor Expenditures'!$C$7:$C$91,0),MATCH($G495,'Non-Labor Expenditures'!$E$5:$AA$5,0)),"NA")</f>
        <v>48159.139272488632</v>
      </c>
      <c r="W495" s="125">
        <f t="shared" si="910"/>
        <v>460.24082103698078</v>
      </c>
      <c r="X495" s="131">
        <f t="shared" si="919"/>
        <v>4.1161354787407164E-2</v>
      </c>
      <c r="Y495" s="131">
        <f t="shared" si="920"/>
        <v>5.9658556907204357E-4</v>
      </c>
      <c r="Z495" s="131"/>
      <c r="AA495" s="131"/>
      <c r="AB495" s="131"/>
      <c r="AC495" s="125">
        <f t="shared" si="890"/>
        <v>62952.799564959729</v>
      </c>
      <c r="AD495" s="129"/>
      <c r="AE495" s="133">
        <v>4485.6799671080598</v>
      </c>
      <c r="AF495" s="134">
        <v>2.3142229091725655E-2</v>
      </c>
      <c r="AG495" s="59">
        <f t="shared" si="911"/>
        <v>3.354194725511473E-4</v>
      </c>
      <c r="AH495" s="134"/>
      <c r="AI495" s="134"/>
      <c r="AJ495" s="129">
        <f t="shared" si="889"/>
        <v>144366.72346140002</v>
      </c>
      <c r="AK495" s="134">
        <f t="shared" si="921"/>
        <v>2.4304841773717025E-2</v>
      </c>
      <c r="AL495" s="129"/>
      <c r="AM495" s="129"/>
      <c r="AN495" s="129"/>
      <c r="AO495" s="129"/>
      <c r="AP495" s="133">
        <f t="shared" si="922"/>
        <v>341.39660431053449</v>
      </c>
      <c r="AQ495" s="134">
        <f>+BB495/Outputs!$B$23</f>
        <v>1.1607192264517863E-2</v>
      </c>
      <c r="AR495" s="93">
        <f t="shared" si="912"/>
        <v>0.23034937571914296</v>
      </c>
      <c r="AS495" s="93">
        <f t="shared" si="913"/>
        <v>0.33358891937008711</v>
      </c>
      <c r="AT495" s="93">
        <f t="shared" si="914"/>
        <v>0.43606170491076984</v>
      </c>
      <c r="AU495" s="93">
        <f t="shared" ca="1" si="917"/>
        <v>2.8245459576571444E-2</v>
      </c>
      <c r="AV495" s="132">
        <f t="shared" ca="1" si="925"/>
        <v>105.07072559411571</v>
      </c>
      <c r="AW495" s="134">
        <f t="shared" ca="1" si="926"/>
        <v>2.8245459576571451E-2</v>
      </c>
      <c r="AX495" s="56">
        <f>+AJ495/$AL$20</f>
        <v>1.4493827332781621E-2</v>
      </c>
      <c r="AY495" s="135">
        <f t="shared" ca="1" si="924"/>
        <v>4.0938481403788966E-4</v>
      </c>
      <c r="AZ495" s="93"/>
      <c r="BA495" s="93"/>
      <c r="BB495" s="234">
        <f>IFERROR(INDEX('Total Customers'!$E$7:$AA$91,MATCH($C495,'Total Customers'!$C$7:$C$91,0),MATCH($G495,'Total Customers'!$E$5:$AA$5,0)),"NA")</f>
        <v>422871</v>
      </c>
      <c r="BC495" s="411">
        <f t="shared" si="846"/>
        <v>2.8583796332876813E-3</v>
      </c>
      <c r="BD495" s="92"/>
      <c r="BE495" s="281" t="str">
        <f t="shared" si="839"/>
        <v>DUKE ENERGY OHIO, INC.</v>
      </c>
      <c r="BF495" s="290">
        <f t="shared" si="840"/>
        <v>4057079</v>
      </c>
      <c r="BG495" s="46" t="str">
        <f t="shared" si="841"/>
        <v>OH</v>
      </c>
      <c r="BH495" s="46"/>
      <c r="BI495" s="46" t="str">
        <f t="shared" si="842"/>
        <v>2015 Y</v>
      </c>
      <c r="BJ495" s="129"/>
      <c r="BK495" s="129"/>
      <c r="BL495" s="129">
        <f>INDEX('Dist. Plant Gas Additions'!$E$7:$AD$91,MATCH($C495,'Dist. Plant Gas Additions'!$C$7:$C$91,0),MATCH(Calculation!$G495,'Dist. Plant Gas Additions'!$E$5:$AD$5,0))</f>
        <v>90603</v>
      </c>
      <c r="BM495" s="129">
        <f>INDEX('Gen. Plant Additions'!$E$7:$AD$91,MATCH($C495,'Gen. Plant Additions'!$C$7:$C$91,0),MATCH(Calculation!$G495,'Gen. Plant Additions'!$E$5:$AD$5,0))</f>
        <v>1807</v>
      </c>
      <c r="BN495" s="393">
        <f t="shared" si="891"/>
        <v>0.97221375957703959</v>
      </c>
      <c r="BO495" s="46">
        <f t="shared" si="837"/>
        <v>1756.7902635557105</v>
      </c>
      <c r="BP495" s="46">
        <f t="shared" si="838"/>
        <v>-50.209736444289547</v>
      </c>
      <c r="BQ495" s="129">
        <f>INDEX('Dist Plant Depreciation'!$D$7:$AC$94,MATCH($C495,'Dist Plant Depreciation'!$C$7:$C$94,0),MATCH(Calculation!$G495,'Dist Plant Depreciation'!$D$5:$AC$5,0))</f>
        <v>503566</v>
      </c>
      <c r="BR495" s="129">
        <f>INDEX('Gen. Plant Depreciation'!$D$7:$AC$94,MATCH($C495,'Gen. Plant Depreciation'!$C$7:$C$94,0),MATCH(Calculation!$G495,'Gen. Plant Depreciation'!$D$5:$AC$5,0))</f>
        <v>11170</v>
      </c>
      <c r="BS495" s="129"/>
      <c r="BT495" s="129"/>
      <c r="BU495" s="129"/>
      <c r="BV495" s="129"/>
      <c r="BW495" s="129"/>
      <c r="BX495" s="129"/>
      <c r="BY495" s="129">
        <f>INDEX('Gross Dx Plant'!$D$7:$AC$91,MATCH($C495,'Gross Dx Plant'!$C$7:$C$91,0),MATCH(Calculation!$G495,'Gross Dx Plant'!$D$5:$AC$5,0))</f>
        <v>1847701</v>
      </c>
      <c r="BZ495" s="129">
        <f>INDEX('Gross Gen Plant'!$D$7:$AC$91,MATCH($C495,'Gross Gen Plant'!$C$7:$C$91,0),MATCH(Calculation!$G495,'Gross Gen Plant'!$D$5:$AC$5,0))</f>
        <v>52808</v>
      </c>
      <c r="CA495" s="129">
        <f t="shared" si="885"/>
        <v>1385773</v>
      </c>
      <c r="CB495" s="129"/>
      <c r="CC495" s="133">
        <v>2015</v>
      </c>
      <c r="CD495" s="129"/>
      <c r="CE495" s="129"/>
      <c r="CF495" s="129"/>
      <c r="CG495" s="137"/>
      <c r="CH495" s="129">
        <f t="shared" si="892"/>
        <v>92410</v>
      </c>
      <c r="CI495" s="46">
        <f t="shared" si="901"/>
        <v>92359.790263555711</v>
      </c>
      <c r="CJ495" s="46">
        <f t="shared" si="893"/>
        <v>136.70483991975522</v>
      </c>
      <c r="CK495" s="443">
        <v>0.8</v>
      </c>
      <c r="CL495" s="46">
        <f>+CL478*CK495+CJ479*CK494+CJ480*CK493+CJ481*CK492+CJ482*CK491+CJ483*CK490+CJ484*CK489+CJ485*CK488+CJ486*CK487+CJ487*CK486+CJ488*CK485+CJ489*CK484+CJ490*CK483+CJ491*CK482+CJ492*CK481+CJ493*CK480+CJ494*CK479+CJ495</f>
        <v>4193.3617165482174</v>
      </c>
      <c r="CM495" s="134">
        <f t="shared" si="894"/>
        <v>1.8698108411213214E-2</v>
      </c>
      <c r="CN495" s="135">
        <f t="shared" si="895"/>
        <v>1.4341583345482486E-2</v>
      </c>
      <c r="CO495" s="135">
        <f t="shared" si="904"/>
        <v>1.3991582298496846E-2</v>
      </c>
      <c r="CP495" s="134">
        <f>VLOOKUP($H495,RoR!$E:$F,2,FALSE)</f>
        <v>3.8866666666666674E-2</v>
      </c>
      <c r="CQ495" s="135">
        <v>9.5709475431029478E-3</v>
      </c>
      <c r="CR495" s="135">
        <f t="shared" si="902"/>
        <v>2.9295719123563727E-2</v>
      </c>
      <c r="CS495" s="135">
        <f t="shared" si="905"/>
        <v>1.6910359310036781E-2</v>
      </c>
      <c r="CT495" s="135">
        <f t="shared" si="906"/>
        <v>3.5270373279175926E-3</v>
      </c>
      <c r="CU495" s="139">
        <f t="shared" si="896"/>
        <v>0.87050000000000005</v>
      </c>
      <c r="CV495" s="335">
        <f t="shared" si="897"/>
        <v>1.3194352816994324</v>
      </c>
      <c r="CW495" s="335">
        <f t="shared" si="898"/>
        <v>0.33177530017152673</v>
      </c>
      <c r="CX495" s="335">
        <f t="shared" si="899"/>
        <v>0.78242572977668579</v>
      </c>
      <c r="CY495" s="335">
        <f t="shared" si="900"/>
        <v>0.34251158643433932</v>
      </c>
      <c r="CZ495" s="336">
        <f>INDEX('State Tax Lookup'!$D$7:$Z$91,MATCH(Calculation!$C495,'State Tax Lookup'!$B$7:$B$91,0),MATCH($H495,'State Tax Lookup'!$D$6:$Z$6,0))</f>
        <v>0.35</v>
      </c>
      <c r="DA495" s="303">
        <v>0.37</v>
      </c>
      <c r="DB495" s="57">
        <f t="shared" si="903"/>
        <v>15.29583561790858</v>
      </c>
      <c r="DC495" s="56">
        <f t="shared" si="907"/>
        <v>-2.9334532535663271E-2</v>
      </c>
      <c r="DD495" s="303">
        <f>VLOOKUP($H495,RoR!$E:$F,2,FALSE)</f>
        <v>3.8866666666666674E-2</v>
      </c>
      <c r="DE495" s="304">
        <f>HLOOKUP($H495,'GDP-PI'!$D$8:$CQ$11,3,FALSE)</f>
        <v>9.5709475431029478E-3</v>
      </c>
      <c r="DF495" s="303">
        <f>VLOOKUP(H495,'HW Dx Data'!$E:$F,2,FALSE)</f>
        <v>675.61463308665782</v>
      </c>
      <c r="DG495" s="89">
        <f ca="1">VLOOKUP(CC495,'ECI - Input Price'!M$13:N$33,2,FALSE)</f>
        <v>133.5</v>
      </c>
      <c r="DH495" s="89"/>
      <c r="DI495" s="89"/>
      <c r="DJ495" s="56">
        <f t="shared" ca="1" si="915"/>
        <v>3.1193095773504077E-2</v>
      </c>
      <c r="DK495" s="53">
        <f>HLOOKUP(H495,'GDP-PI'!$8:$9,2,FALSE)</f>
        <v>104.639</v>
      </c>
      <c r="DL495" s="355">
        <f t="shared" si="908"/>
        <v>9.5254361854427965E-3</v>
      </c>
      <c r="EC495"/>
    </row>
    <row r="496" spans="1:133" s="126" customFormat="1" ht="21" customHeight="1" x14ac:dyDescent="0.4">
      <c r="A496" s="233" t="s">
        <v>211</v>
      </c>
      <c r="B496" s="127" t="s">
        <v>211</v>
      </c>
      <c r="C496" s="127">
        <v>4057079</v>
      </c>
      <c r="D496" s="127" t="s">
        <v>199</v>
      </c>
      <c r="E496" s="127"/>
      <c r="F496" s="127"/>
      <c r="G496" s="127" t="s">
        <v>172</v>
      </c>
      <c r="H496" s="128">
        <v>2016</v>
      </c>
      <c r="I496" s="129"/>
      <c r="J496" s="125">
        <f>IFERROR(INDEX('Labor Expenditures'!$E$7:$W$91,MATCH($C496,'Labor Expenditures'!$C$7:$C$91,0),MATCH($G496,'Labor Expenditures'!$E$5:$W$5,0)),"NA")</f>
        <v>30968.328792320583</v>
      </c>
      <c r="K496" s="125">
        <f t="shared" ca="1" si="909"/>
        <v>226.12872429587867</v>
      </c>
      <c r="L496" s="47"/>
      <c r="M496" s="131">
        <f t="shared" ca="1" si="916"/>
        <v>-9.6748042700438477E-2</v>
      </c>
      <c r="N496" s="131"/>
      <c r="O496" s="131"/>
      <c r="P496" s="59">
        <f t="shared" ca="1" si="918"/>
        <v>-1.3004924386735149E-3</v>
      </c>
      <c r="Q496" s="61"/>
      <c r="R496" s="387"/>
      <c r="S496" s="49">
        <f t="shared" ca="1" si="923"/>
        <v>298.21981396853715</v>
      </c>
      <c r="T496" s="61">
        <f ca="1">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</f>
        <v>0.92031236902786417</v>
      </c>
      <c r="U496" s="61"/>
      <c r="V496" s="125">
        <f>IFERROR(INDEX('Non-Labor Expenditures'!$E$7:$AA$91,MATCH($C496,'Non-Labor Expenditures'!$C$7:$C$91,0),MATCH($G496,'Non-Labor Expenditures'!$E$5:$AA$5,0)),"NA")</f>
        <v>44847.924177244713</v>
      </c>
      <c r="W496" s="125">
        <f t="shared" si="910"/>
        <v>424.14999789328812</v>
      </c>
      <c r="X496" s="131">
        <f t="shared" si="919"/>
        <v>-8.1662715198860397E-2</v>
      </c>
      <c r="Y496" s="131">
        <f t="shared" si="920"/>
        <v>-1.097714648000681E-3</v>
      </c>
      <c r="Z496" s="131"/>
      <c r="AA496" s="131"/>
      <c r="AB496" s="131"/>
      <c r="AC496" s="125">
        <f t="shared" si="890"/>
        <v>62402.31101265813</v>
      </c>
      <c r="AD496" s="129"/>
      <c r="AE496" s="133">
        <v>4567.5520487116328</v>
      </c>
      <c r="AF496" s="134">
        <v>1.8087311468802502E-2</v>
      </c>
      <c r="AG496" s="59">
        <f t="shared" si="911"/>
        <v>2.4313062202139821E-4</v>
      </c>
      <c r="AH496" s="134"/>
      <c r="AI496" s="134"/>
      <c r="AJ496" s="129">
        <f t="shared" si="889"/>
        <v>138218.56398222342</v>
      </c>
      <c r="AK496" s="134">
        <f t="shared" si="921"/>
        <v>-4.3520523712421731E-2</v>
      </c>
      <c r="AL496" s="129"/>
      <c r="AM496" s="129"/>
      <c r="AN496" s="129"/>
      <c r="AO496" s="129"/>
      <c r="AP496" s="133">
        <f t="shared" si="922"/>
        <v>325.37862907868873</v>
      </c>
      <c r="AQ496" s="134">
        <f>+BB496/Outputs!$B$24</f>
        <v>1.1559190096680286E-2</v>
      </c>
      <c r="AR496" s="93">
        <f t="shared" si="912"/>
        <v>0.22405332467716482</v>
      </c>
      <c r="AS496" s="93">
        <f t="shared" si="913"/>
        <v>0.32447106152117672</v>
      </c>
      <c r="AT496" s="93">
        <f t="shared" si="914"/>
        <v>0.45147561380165852</v>
      </c>
      <c r="AU496" s="93">
        <f t="shared" ca="1" si="917"/>
        <v>-4.0824186370344906E-2</v>
      </c>
      <c r="AV496" s="132">
        <f t="shared" ca="1" si="925"/>
        <v>100.86767548328523</v>
      </c>
      <c r="AW496" s="134">
        <f t="shared" ca="1" si="926"/>
        <v>-4.0824186370344878E-2</v>
      </c>
      <c r="AX496" s="56">
        <f>+AJ496/$AL$21</f>
        <v>1.3442054251166995E-2</v>
      </c>
      <c r="AY496" s="135">
        <f t="shared" ca="1" si="924"/>
        <v>-5.4876092794992808E-4</v>
      </c>
      <c r="AZ496" s="93"/>
      <c r="BA496" s="93"/>
      <c r="BB496" s="234">
        <f>IFERROR(INDEX('Total Customers'!$E$7:$AA$91,MATCH($C496,'Total Customers'!$C$7:$C$91,0),MATCH($G496,'Total Customers'!$E$5:$AA$5,0)),"NA")</f>
        <v>424793</v>
      </c>
      <c r="BC496" s="411">
        <f t="shared" si="846"/>
        <v>4.5348234530806541E-3</v>
      </c>
      <c r="BD496" s="92"/>
      <c r="BE496" s="281" t="str">
        <f t="shared" si="839"/>
        <v>DUKE ENERGY OHIO, INC.</v>
      </c>
      <c r="BF496" s="290">
        <f t="shared" si="840"/>
        <v>4057079</v>
      </c>
      <c r="BG496" s="46" t="str">
        <f t="shared" si="841"/>
        <v>OH</v>
      </c>
      <c r="BH496" s="46"/>
      <c r="BI496" s="46" t="str">
        <f t="shared" si="842"/>
        <v>2016 Y</v>
      </c>
      <c r="BJ496" s="129"/>
      <c r="BK496" s="129"/>
      <c r="BL496" s="129">
        <f>INDEX('Dist. Plant Gas Additions'!$E$7:$AD$91,MATCH($C496,'Dist. Plant Gas Additions'!$C$7:$C$91,0),MATCH(Calculation!$G496,'Dist. Plant Gas Additions'!$E$5:$AD$5,0))</f>
        <v>76635</v>
      </c>
      <c r="BM496" s="129">
        <f>INDEX('Gen. Plant Additions'!$E$7:$AD$91,MATCH($C496,'Gen. Plant Additions'!$C$7:$C$91,0),MATCH(Calculation!$G496,'Gen. Plant Additions'!$E$5:$AD$5,0))</f>
        <v>2589</v>
      </c>
      <c r="BN496" s="393">
        <f t="shared" si="891"/>
        <v>0.97302206066491592</v>
      </c>
      <c r="BO496" s="46">
        <f t="shared" si="837"/>
        <v>2519.1541150614671</v>
      </c>
      <c r="BP496" s="46">
        <f t="shared" si="838"/>
        <v>-69.84588493853289</v>
      </c>
      <c r="BQ496" s="129">
        <f>INDEX('Dist Plant Depreciation'!$D$7:$AC$94,MATCH($C496,'Dist Plant Depreciation'!$C$7:$C$94,0),MATCH(Calculation!$G496,'Dist Plant Depreciation'!$D$5:$AC$5,0))</f>
        <v>529763</v>
      </c>
      <c r="BR496" s="129">
        <f>INDEX('Gen. Plant Depreciation'!$D$7:$AC$94,MATCH($C496,'Gen. Plant Depreciation'!$C$7:$C$94,0),MATCH(Calculation!$G496,'Gen. Plant Depreciation'!$D$5:$AC$5,0))</f>
        <v>13257</v>
      </c>
      <c r="BS496" s="129"/>
      <c r="BT496" s="129"/>
      <c r="BU496" s="129"/>
      <c r="BV496" s="129"/>
      <c r="BW496" s="129"/>
      <c r="BX496" s="129"/>
      <c r="BY496" s="129">
        <f>INDEX('Gross Dx Plant'!$D$7:$AC$91,MATCH($C496,'Gross Dx Plant'!$C$7:$C$91,0),MATCH(Calculation!$G496,'Gross Dx Plant'!$D$5:$AC$5,0))</f>
        <v>1907745</v>
      </c>
      <c r="BZ496" s="129">
        <f>INDEX('Gross Gen Plant'!$D$7:$AC$91,MATCH($C496,'Gross Gen Plant'!$C$7:$C$91,0),MATCH(Calculation!$G496,'Gross Gen Plant'!$D$5:$AC$5,0))</f>
        <v>52894</v>
      </c>
      <c r="CA496" s="129">
        <f t="shared" si="885"/>
        <v>1417619</v>
      </c>
      <c r="CB496" s="129"/>
      <c r="CC496" s="133">
        <v>2016</v>
      </c>
      <c r="CD496" s="129"/>
      <c r="CE496" s="129"/>
      <c r="CF496" s="129"/>
      <c r="CG496" s="137"/>
      <c r="CH496" s="129">
        <f t="shared" si="892"/>
        <v>79224</v>
      </c>
      <c r="CI496" s="46">
        <f t="shared" si="901"/>
        <v>79154.154115061465</v>
      </c>
      <c r="CJ496" s="46">
        <f t="shared" si="893"/>
        <v>117.88428085413271</v>
      </c>
      <c r="CK496" s="443">
        <v>0.7857142857142857</v>
      </c>
      <c r="CL496" s="46">
        <f>+CL478*CK496+CJ479*CK495+CJ480*CK494+CJ481*CK493+CJ482*CK492+CJ483*CK491+CJ484*CK490+CJ485*CK489+CJ486*CK488+CJ487*CK487+CJ488*CK486+CJ489*CK485+CJ490*CK484+CJ491*CK483+CJ492*CK482+CJ493*CK481+CJ494*CK480+CJ495*CK479+CJ496</f>
        <v>4249.527928755464</v>
      </c>
      <c r="CM496" s="134">
        <f t="shared" si="894"/>
        <v>1.3305169946550205E-2</v>
      </c>
      <c r="CN496" s="135">
        <f t="shared" si="895"/>
        <v>1.4718040755541962E-2</v>
      </c>
      <c r="CO496" s="135">
        <f t="shared" si="904"/>
        <v>1.4346788635071495E-2</v>
      </c>
      <c r="CP496" s="134">
        <f>VLOOKUP($H496,RoR!$E:$F,2,FALSE)</f>
        <v>3.6658333333333334E-2</v>
      </c>
      <c r="CQ496" s="135">
        <v>1.0483662879041455E-2</v>
      </c>
      <c r="CR496" s="135">
        <f t="shared" si="902"/>
        <v>2.6174670454291879E-2</v>
      </c>
      <c r="CS496" s="135">
        <f t="shared" si="905"/>
        <v>1.655515297346213E-2</v>
      </c>
      <c r="CT496" s="135">
        <f t="shared" si="906"/>
        <v>4.301363574220729E-3</v>
      </c>
      <c r="CU496" s="139">
        <f t="shared" si="896"/>
        <v>0.87050000000000005</v>
      </c>
      <c r="CV496" s="335">
        <f t="shared" si="897"/>
        <v>1.3989193348138562</v>
      </c>
      <c r="CW496" s="335">
        <f t="shared" si="898"/>
        <v>0.29302682427824522</v>
      </c>
      <c r="CX496" s="335">
        <f t="shared" si="899"/>
        <v>0.76309497491941802</v>
      </c>
      <c r="CY496" s="335">
        <f t="shared" si="900"/>
        <v>0.31280857135128509</v>
      </c>
      <c r="CZ496" s="336">
        <f>INDEX('State Tax Lookup'!$D$7:$Z$91,MATCH(Calculation!$C496,'State Tax Lookup'!$B$7:$B$91,0),MATCH($H496,'State Tax Lookup'!$D$6:$Z$6,0))</f>
        <v>0.35</v>
      </c>
      <c r="DA496" s="303">
        <v>0.37</v>
      </c>
      <c r="DB496" s="57">
        <f t="shared" si="903"/>
        <v>14.881213506194941</v>
      </c>
      <c r="DC496" s="56">
        <f t="shared" si="907"/>
        <v>-2.7481030598774929E-2</v>
      </c>
      <c r="DD496" s="303">
        <f>VLOOKUP($H496,RoR!$E:$F,2,FALSE)</f>
        <v>3.6658333333333334E-2</v>
      </c>
      <c r="DE496" s="304">
        <f>HLOOKUP($H496,'GDP-PI'!$D$8:$CQ$11,3,FALSE)</f>
        <v>1.0483662879041455E-2</v>
      </c>
      <c r="DF496" s="303">
        <f>VLOOKUP(H496,'HW Dx Data'!$E:$F,2,FALSE)</f>
        <v>671.45639385971219</v>
      </c>
      <c r="DG496" s="89">
        <f ca="1">VLOOKUP(CC496,'ECI - Input Price'!M$13:N$33,2,FALSE)</f>
        <v>136.94999999999999</v>
      </c>
      <c r="DH496" s="89"/>
      <c r="DI496" s="89"/>
      <c r="DJ496" s="56">
        <f t="shared" ca="1" si="915"/>
        <v>2.5514417868782811E-2</v>
      </c>
      <c r="DK496" s="53">
        <f>HLOOKUP(H496,'GDP-PI'!$8:$9,2,FALSE)</f>
        <v>105.736</v>
      </c>
      <c r="DL496" s="355">
        <f t="shared" si="908"/>
        <v>1.0429090367205095E-2</v>
      </c>
      <c r="EC496"/>
    </row>
    <row r="497" spans="1:133" s="126" customFormat="1" ht="21" customHeight="1" x14ac:dyDescent="0.4">
      <c r="A497" s="233" t="s">
        <v>211</v>
      </c>
      <c r="B497" s="127" t="s">
        <v>211</v>
      </c>
      <c r="C497" s="127">
        <v>4057079</v>
      </c>
      <c r="D497" s="127" t="s">
        <v>199</v>
      </c>
      <c r="E497" s="127"/>
      <c r="F497" s="127"/>
      <c r="G497" s="127" t="s">
        <v>173</v>
      </c>
      <c r="H497" s="128">
        <v>2017</v>
      </c>
      <c r="I497" s="129"/>
      <c r="J497" s="125">
        <f>IFERROR(INDEX('Labor Expenditures'!$E$7:$W$91,MATCH($C497,'Labor Expenditures'!$C$7:$C$91,0),MATCH($G497,'Labor Expenditures'!$E$5:$W$5,0)),"NA")</f>
        <v>31218.589340158771</v>
      </c>
      <c r="K497" s="125">
        <f t="shared" ca="1" si="909"/>
        <v>222.27546700006246</v>
      </c>
      <c r="L497" s="47"/>
      <c r="M497" s="131">
        <f t="shared" ca="1" si="916"/>
        <v>-1.7186958649288778E-2</v>
      </c>
      <c r="N497" s="131"/>
      <c r="O497" s="131"/>
      <c r="P497" s="59">
        <f t="shared" ca="1" si="918"/>
        <v>-2.2324712595488954E-4</v>
      </c>
      <c r="Q497" s="61"/>
      <c r="R497" s="387"/>
      <c r="S497" s="49">
        <f t="shared" ca="1" si="923"/>
        <v>165.49061808183711</v>
      </c>
      <c r="T497" s="61">
        <f ca="1">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</f>
        <v>-0.58891634047343555</v>
      </c>
      <c r="U497" s="61"/>
      <c r="V497" s="125">
        <f>IFERROR(INDEX('Non-Labor Expenditures'!$E$7:$AA$91,MATCH($C497,'Non-Labor Expenditures'!$C$7:$C$91,0),MATCH($G497,'Non-Labor Expenditures'!$E$5:$AA$5,0)),"NA")</f>
        <v>45210.348192737147</v>
      </c>
      <c r="W497" s="125">
        <f t="shared" si="910"/>
        <v>419.58170404671091</v>
      </c>
      <c r="X497" s="131">
        <f t="shared" si="919"/>
        <v>-1.0828889035868429E-2</v>
      </c>
      <c r="Y497" s="131">
        <f t="shared" si="920"/>
        <v>-1.4066004369202821E-4</v>
      </c>
      <c r="Z497" s="131"/>
      <c r="AA497" s="131"/>
      <c r="AB497" s="131"/>
      <c r="AC497" s="125">
        <f t="shared" si="890"/>
        <v>57090.067229105414</v>
      </c>
      <c r="AD497" s="129"/>
      <c r="AE497" s="133">
        <v>4650.8933250785103</v>
      </c>
      <c r="AF497" s="134">
        <v>1.8081909414320283E-2</v>
      </c>
      <c r="AG497" s="59">
        <f t="shared" si="911"/>
        <v>2.3487193929396633E-4</v>
      </c>
      <c r="AH497" s="134"/>
      <c r="AI497" s="134"/>
      <c r="AJ497" s="129">
        <f t="shared" si="889"/>
        <v>133519.00476200134</v>
      </c>
      <c r="AK497" s="134">
        <f t="shared" si="921"/>
        <v>-3.4592403769915105E-2</v>
      </c>
      <c r="AL497" s="129"/>
      <c r="AM497" s="129"/>
      <c r="AN497" s="129"/>
      <c r="AO497" s="129"/>
      <c r="AP497" s="133">
        <f t="shared" si="922"/>
        <v>311.93332530132051</v>
      </c>
      <c r="AQ497" s="134">
        <f>+BB497/Outputs!$B$25</f>
        <v>1.1559954464198136E-2</v>
      </c>
      <c r="AR497" s="93">
        <f t="shared" si="912"/>
        <v>0.23381382594789521</v>
      </c>
      <c r="AS497" s="93">
        <f t="shared" si="913"/>
        <v>0.33860609037136657</v>
      </c>
      <c r="AT497" s="93">
        <f t="shared" si="914"/>
        <v>0.42758008368073819</v>
      </c>
      <c r="AU497" s="93">
        <f t="shared" ca="1" si="917"/>
        <v>4.2263640364711107E-4</v>
      </c>
      <c r="AV497" s="132">
        <f t="shared" ca="1" si="925"/>
        <v>100.91031484473423</v>
      </c>
      <c r="AW497" s="134">
        <f t="shared" ca="1" si="926"/>
        <v>4.2263640364714305E-4</v>
      </c>
      <c r="AX497" s="56">
        <f>+AJ497/$AL$22</f>
        <v>1.2989332813931442E-2</v>
      </c>
      <c r="AY497" s="135">
        <f t="shared" ca="1" si="924"/>
        <v>5.4897649062558098E-6</v>
      </c>
      <c r="AZ497" s="93"/>
      <c r="BA497" s="93"/>
      <c r="BB497" s="234">
        <f>IFERROR(INDEX('Total Customers'!$E$7:$AA$91,MATCH($C497,'Total Customers'!$C$7:$C$91,0),MATCH($G497,'Total Customers'!$E$5:$AA$5,0)),"NA")</f>
        <v>428037</v>
      </c>
      <c r="BC497" s="411">
        <f t="shared" si="846"/>
        <v>7.6076489942528509E-3</v>
      </c>
      <c r="BD497" s="92"/>
      <c r="BE497" s="281" t="str">
        <f t="shared" si="839"/>
        <v>DUKE ENERGY OHIO, INC.</v>
      </c>
      <c r="BF497" s="290">
        <f t="shared" si="840"/>
        <v>4057079</v>
      </c>
      <c r="BG497" s="46" t="str">
        <f t="shared" si="841"/>
        <v>OH</v>
      </c>
      <c r="BH497" s="46"/>
      <c r="BI497" s="46" t="str">
        <f t="shared" si="842"/>
        <v>2017 Y</v>
      </c>
      <c r="BJ497" s="129"/>
      <c r="BK497" s="129"/>
      <c r="BL497" s="129">
        <f>INDEX('Dist. Plant Gas Additions'!$E$7:$AD$91,MATCH($C497,'Dist. Plant Gas Additions'!$C$7:$C$91,0),MATCH(Calculation!$G497,'Dist. Plant Gas Additions'!$E$5:$AD$5,0))</f>
        <v>84688</v>
      </c>
      <c r="BM497" s="129">
        <f>INDEX('Gen. Plant Additions'!$E$7:$AD$91,MATCH($C497,'Gen. Plant Additions'!$C$7:$C$91,0),MATCH(Calculation!$G497,'Gen. Plant Additions'!$E$5:$AD$5,0))</f>
        <v>1809</v>
      </c>
      <c r="BN497" s="393">
        <f t="shared" si="891"/>
        <v>0.97338243927011436</v>
      </c>
      <c r="BO497" s="46">
        <f t="shared" si="837"/>
        <v>1760.8488326396368</v>
      </c>
      <c r="BP497" s="46">
        <f t="shared" si="838"/>
        <v>-48.151167360363161</v>
      </c>
      <c r="BQ497" s="129">
        <f>INDEX('Dist Plant Depreciation'!$D$7:$AC$94,MATCH($C497,'Dist Plant Depreciation'!$C$7:$C$94,0),MATCH(Calculation!$G497,'Dist Plant Depreciation'!$D$5:$AC$5,0))</f>
        <v>567172</v>
      </c>
      <c r="BR497" s="129">
        <f>INDEX('Gen. Plant Depreciation'!$D$7:$AC$94,MATCH($C497,'Gen. Plant Depreciation'!$C$7:$C$94,0),MATCH(Calculation!$G497,'Gen. Plant Depreciation'!$D$5:$AC$5,0))</f>
        <v>15532</v>
      </c>
      <c r="BS497" s="129"/>
      <c r="BT497" s="129"/>
      <c r="BU497" s="129"/>
      <c r="BV497" s="129"/>
      <c r="BW497" s="129"/>
      <c r="BX497" s="129"/>
      <c r="BY497" s="129">
        <f>INDEX('Gross Dx Plant'!$D$7:$AC$91,MATCH($C497,'Gross Dx Plant'!$C$7:$C$91,0),MATCH(Calculation!$G497,'Gross Dx Plant'!$D$5:$AC$5,0))</f>
        <v>1986438</v>
      </c>
      <c r="BZ497" s="129">
        <f>INDEX('Gross Gen Plant'!$D$7:$AC$91,MATCH($C497,'Gross Gen Plant'!$C$7:$C$91,0),MATCH(Calculation!$G497,'Gross Gen Plant'!$D$5:$AC$5,0))</f>
        <v>54320</v>
      </c>
      <c r="CA497" s="129">
        <f t="shared" si="885"/>
        <v>1458054</v>
      </c>
      <c r="CB497" s="129"/>
      <c r="CC497" s="133">
        <v>2017</v>
      </c>
      <c r="CD497" s="129"/>
      <c r="CE497" s="129"/>
      <c r="CF497" s="129"/>
      <c r="CG497" s="137"/>
      <c r="CH497" s="129">
        <f t="shared" si="892"/>
        <v>86497</v>
      </c>
      <c r="CI497" s="46">
        <f t="shared" si="901"/>
        <v>86448.848832639633</v>
      </c>
      <c r="CJ497" s="46">
        <f t="shared" si="893"/>
        <v>121.34388036957826</v>
      </c>
      <c r="CK497" s="443">
        <v>0.77108433734939763</v>
      </c>
      <c r="CL497" s="46">
        <f>+CL478*CK497+CJ479*CK496+CJ480*CK495+CJ481*CK494+CJ482*CK493+CJ483*CK492+CJ484*CK491+CJ485*CK490+CJ486*CK489+CJ487*CK488+CJ488*CK487+CJ489*CK486+CJ490*CK485+CJ491*CK484+CJ492*CK483+CJ493*CK482+CJ494*CK481+CJ495*CK480+CJ496*CK479+CJ497</f>
        <v>4306.5740959002424</v>
      </c>
      <c r="CM497" s="134">
        <f t="shared" si="894"/>
        <v>1.3334813515298753E-2</v>
      </c>
      <c r="CN497" s="135">
        <f t="shared" si="895"/>
        <v>1.5130554335156574E-2</v>
      </c>
      <c r="CO497" s="135">
        <f t="shared" si="904"/>
        <v>1.4730059478727008E-2</v>
      </c>
      <c r="CP497" s="134">
        <f>VLOOKUP($H497,RoR!$E:$F,2,FALSE)</f>
        <v>3.7433333333333339E-2</v>
      </c>
      <c r="CQ497" s="135">
        <v>1.9056896421275615E-2</v>
      </c>
      <c r="CR497" s="135">
        <f t="shared" si="902"/>
        <v>1.8376436912057724E-2</v>
      </c>
      <c r="CS497" s="135">
        <f t="shared" si="905"/>
        <v>1.6171882129806615E-2</v>
      </c>
      <c r="CT497" s="135">
        <f t="shared" si="906"/>
        <v>1.3976271617800498E-2</v>
      </c>
      <c r="CU497" s="139">
        <f t="shared" si="896"/>
        <v>0.92230000000000001</v>
      </c>
      <c r="CV497" s="335">
        <f t="shared" si="897"/>
        <v>1.3699568463593395</v>
      </c>
      <c r="CW497" s="335">
        <f t="shared" si="898"/>
        <v>0.30714603739982199</v>
      </c>
      <c r="CX497" s="335">
        <f t="shared" si="899"/>
        <v>0.77007188472689425</v>
      </c>
      <c r="CY497" s="335">
        <f t="shared" si="900"/>
        <v>0.32402839633793828</v>
      </c>
      <c r="CZ497" s="336">
        <f>INDEX('State Tax Lookup'!$D$7:$Z$91,MATCH(Calculation!$C497,'State Tax Lookup'!$B$7:$B$91,0),MATCH($H497,'State Tax Lookup'!$D$6:$Z$6,0))</f>
        <v>0.20999999999999996</v>
      </c>
      <c r="DA497" s="303">
        <v>0.37</v>
      </c>
      <c r="DB497" s="57">
        <f t="shared" si="903"/>
        <v>13.434449234417684</v>
      </c>
      <c r="DC497" s="56">
        <f t="shared" si="907"/>
        <v>-0.10227733252130365</v>
      </c>
      <c r="DD497" s="303">
        <f>VLOOKUP($H497,RoR!$E:$F,2,FALSE)</f>
        <v>3.7433333333333339E-2</v>
      </c>
      <c r="DE497" s="304">
        <f>HLOOKUP($H497,'GDP-PI'!$D$8:$CQ$11,3,FALSE)</f>
        <v>1.9056896421275615E-2</v>
      </c>
      <c r="DF497" s="303">
        <f>VLOOKUP(H497,'HW Dx Data'!$E:$F,2,FALSE)</f>
        <v>712.42858370229726</v>
      </c>
      <c r="DG497" s="89">
        <f ca="1">VLOOKUP(CC497,'ECI - Input Price'!M$13:N$33,2,FALSE)</f>
        <v>140.44999999999999</v>
      </c>
      <c r="DH497" s="89"/>
      <c r="DI497" s="89"/>
      <c r="DJ497" s="56">
        <f t="shared" ca="1" si="915"/>
        <v>2.5235657841165486E-2</v>
      </c>
      <c r="DK497" s="53">
        <f>HLOOKUP(H497,'GDP-PI'!$8:$9,2,FALSE)</f>
        <v>107.751</v>
      </c>
      <c r="DL497" s="355">
        <f t="shared" si="908"/>
        <v>1.8877588227745139E-2</v>
      </c>
      <c r="EC497"/>
    </row>
    <row r="498" spans="1:133" s="126" customFormat="1" ht="21" customHeight="1" x14ac:dyDescent="0.4">
      <c r="A498" s="233" t="s">
        <v>211</v>
      </c>
      <c r="B498" s="127" t="s">
        <v>211</v>
      </c>
      <c r="C498" s="127">
        <v>4057079</v>
      </c>
      <c r="D498" s="127" t="s">
        <v>199</v>
      </c>
      <c r="E498" s="127"/>
      <c r="F498" s="127"/>
      <c r="G498" s="127" t="s">
        <v>174</v>
      </c>
      <c r="H498" s="128">
        <v>2018</v>
      </c>
      <c r="I498" s="129"/>
      <c r="J498" s="125">
        <f>IFERROR(INDEX('Labor Expenditures'!$E$7:$W$91,MATCH($C498,'Labor Expenditures'!$C$7:$C$91,0),MATCH($G498,'Labor Expenditures'!$E$5:$W$5,0)),"NA")</f>
        <v>33767.489722012659</v>
      </c>
      <c r="K498" s="125">
        <f t="shared" ca="1" si="909"/>
        <v>233.76593784709354</v>
      </c>
      <c r="L498" s="47"/>
      <c r="M498" s="131">
        <f t="shared" ca="1" si="916"/>
        <v>5.0402894141205835E-2</v>
      </c>
      <c r="N498" s="131"/>
      <c r="O498" s="131"/>
      <c r="P498" s="59">
        <f t="shared" ca="1" si="918"/>
        <v>6.4472196750314076E-4</v>
      </c>
      <c r="Q498" s="61"/>
      <c r="R498" s="387"/>
      <c r="S498" s="49">
        <f t="shared" ca="1" si="923"/>
        <v>114.32913715260409</v>
      </c>
      <c r="T498" s="61">
        <f ca="1">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</f>
        <v>-0.36983304834786107</v>
      </c>
      <c r="U498" s="61"/>
      <c r="V498" s="125">
        <f>IFERROR(INDEX('Non-Labor Expenditures'!$E$7:$AA$91,MATCH($C498,'Non-Labor Expenditures'!$C$7:$C$91,0),MATCH($G498,'Non-Labor Expenditures'!$E$5:$AA$5,0)),"NA")</f>
        <v>48901.632014584204</v>
      </c>
      <c r="W498" s="125">
        <f t="shared" si="910"/>
        <v>443.26274011152992</v>
      </c>
      <c r="X498" s="131">
        <f t="shared" si="919"/>
        <v>5.4904414786688796E-2</v>
      </c>
      <c r="Y498" s="131">
        <f t="shared" si="920"/>
        <v>7.0230257466393333E-4</v>
      </c>
      <c r="Z498" s="131"/>
      <c r="AA498" s="131"/>
      <c r="AB498" s="131"/>
      <c r="AC498" s="125">
        <f t="shared" si="890"/>
        <v>59672.548496415307</v>
      </c>
      <c r="AD498" s="129"/>
      <c r="AE498" s="133">
        <v>4753.2254253234742</v>
      </c>
      <c r="AF498" s="134">
        <v>2.1764110447454282E-2</v>
      </c>
      <c r="AG498" s="59">
        <f t="shared" si="911"/>
        <v>2.7839274604604463E-4</v>
      </c>
      <c r="AH498" s="134"/>
      <c r="AI498" s="134"/>
      <c r="AJ498" s="129">
        <f t="shared" si="889"/>
        <v>142341.67023301218</v>
      </c>
      <c r="AK498" s="134">
        <f t="shared" si="921"/>
        <v>6.3986470434640119E-2</v>
      </c>
      <c r="AL498" s="129"/>
      <c r="AM498" s="129"/>
      <c r="AN498" s="129"/>
      <c r="AO498" s="129"/>
      <c r="AP498" s="133">
        <f t="shared" si="922"/>
        <v>329.74955227655681</v>
      </c>
      <c r="AQ498" s="134">
        <f>+BB498/Outputs!$B$26</f>
        <v>1.1555863522024904E-2</v>
      </c>
      <c r="AR498" s="93">
        <f t="shared" si="912"/>
        <v>0.23722842135219818</v>
      </c>
      <c r="AS498" s="93">
        <f t="shared" si="913"/>
        <v>0.34355106227524673</v>
      </c>
      <c r="AT498" s="93">
        <f t="shared" si="914"/>
        <v>0.41922051637255503</v>
      </c>
      <c r="AU498" s="93">
        <f t="shared" ca="1" si="917"/>
        <v>3.9812596785924491E-2</v>
      </c>
      <c r="AV498" s="132">
        <f t="shared" ca="1" si="925"/>
        <v>105.00886207521721</v>
      </c>
      <c r="AW498" s="134">
        <f t="shared" ca="1" si="926"/>
        <v>3.9812596785924463E-2</v>
      </c>
      <c r="AX498" s="56">
        <f>+AJ498/$AL$23</f>
        <v>1.2791368005514227E-2</v>
      </c>
      <c r="AY498" s="135">
        <f t="shared" ca="1" si="924"/>
        <v>5.0925757674391277E-4</v>
      </c>
      <c r="AZ498" s="93"/>
      <c r="BA498" s="93"/>
      <c r="BB498" s="234">
        <f>IFERROR(INDEX('Total Customers'!$E$7:$AA$91,MATCH($C498,'Total Customers'!$C$7:$C$91,0),MATCH($G498,'Total Customers'!$E$5:$AA$5,0)),"NA")</f>
        <v>431666</v>
      </c>
      <c r="BC498" s="411">
        <f t="shared" si="846"/>
        <v>8.4425006193286078E-3</v>
      </c>
      <c r="BD498" s="92"/>
      <c r="BE498" s="281" t="str">
        <f t="shared" si="839"/>
        <v>DUKE ENERGY OHIO, INC.</v>
      </c>
      <c r="BF498" s="290">
        <f t="shared" si="840"/>
        <v>4057079</v>
      </c>
      <c r="BG498" s="46" t="str">
        <f t="shared" si="841"/>
        <v>OH</v>
      </c>
      <c r="BH498" s="46"/>
      <c r="BI498" s="46" t="str">
        <f t="shared" si="842"/>
        <v>2018 Y</v>
      </c>
      <c r="BJ498" s="129"/>
      <c r="BK498" s="129"/>
      <c r="BL498" s="129">
        <f>INDEX('Dist. Plant Gas Additions'!$E$7:$AD$91,MATCH($C498,'Dist. Plant Gas Additions'!$C$7:$C$91,0),MATCH(Calculation!$G498,'Dist. Plant Gas Additions'!$E$5:$AD$5,0))</f>
        <v>97092</v>
      </c>
      <c r="BM498" s="129">
        <f>INDEX('Gen. Plant Additions'!$E$7:$AD$91,MATCH($C498,'Gen. Plant Additions'!$C$7:$C$91,0),MATCH(Calculation!$G498,'Gen. Plant Additions'!$E$5:$AD$5,0))</f>
        <v>10493</v>
      </c>
      <c r="BN498" s="393">
        <f t="shared" si="891"/>
        <v>0.96990647139076547</v>
      </c>
      <c r="BO498" s="46">
        <f t="shared" si="837"/>
        <v>10177.228604303302</v>
      </c>
      <c r="BP498" s="46">
        <f t="shared" si="838"/>
        <v>-315.77139569669816</v>
      </c>
      <c r="BQ498" s="129">
        <f>INDEX('Dist Plant Depreciation'!$D$7:$AC$94,MATCH($C498,'Dist Plant Depreciation'!$C$7:$C$94,0),MATCH(Calculation!$G498,'Dist Plant Depreciation'!$D$5:$AC$5,0))</f>
        <v>586276</v>
      </c>
      <c r="BR498" s="129">
        <f>INDEX('Gen. Plant Depreciation'!$D$7:$AC$94,MATCH($C498,'Gen. Plant Depreciation'!$C$7:$C$94,0),MATCH(Calculation!$G498,'Gen. Plant Depreciation'!$D$5:$AC$5,0))</f>
        <v>18069</v>
      </c>
      <c r="BS498" s="129"/>
      <c r="BT498" s="129"/>
      <c r="BU498" s="129"/>
      <c r="BV498" s="129"/>
      <c r="BW498" s="129"/>
      <c r="BX498" s="129"/>
      <c r="BY498" s="129">
        <f>INDEX('Gross Dx Plant'!$D$7:$AC$91,MATCH($C498,'Gross Dx Plant'!$C$7:$C$91,0),MATCH(Calculation!$G498,'Gross Dx Plant'!$D$5:$AC$5,0))</f>
        <v>2065217</v>
      </c>
      <c r="BZ498" s="129">
        <f>INDEX('Gross Gen Plant'!$D$7:$AC$91,MATCH($C498,'Gross Gen Plant'!$C$7:$C$91,0),MATCH(Calculation!$G498,'Gross Gen Plant'!$D$5:$AC$5,0))</f>
        <v>64078</v>
      </c>
      <c r="CA498" s="129">
        <f t="shared" si="885"/>
        <v>1524950</v>
      </c>
      <c r="CB498" s="129"/>
      <c r="CC498" s="133">
        <v>2018</v>
      </c>
      <c r="CD498" s="129"/>
      <c r="CE498" s="129"/>
      <c r="CF498" s="129"/>
      <c r="CG498" s="137"/>
      <c r="CH498" s="129">
        <f t="shared" si="892"/>
        <v>107585</v>
      </c>
      <c r="CI498" s="46">
        <f t="shared" si="901"/>
        <v>107269.22860430329</v>
      </c>
      <c r="CJ498" s="46">
        <f t="shared" si="893"/>
        <v>142.05272577404705</v>
      </c>
      <c r="CK498" s="443">
        <v>0.75609756097560976</v>
      </c>
      <c r="CL498" s="46">
        <f>+CL478*CK498++CJ479*CK497+CJ480*CK496+CJ481*CK495+CJ482*CK494+CJ483*CK493+CJ484*CK492+CJ485*CK491+CJ486*CK490+CJ487*CK489+CJ488*CK488+CJ489*CK487+CJ490*CK486+CJ491*CK485+CJ492*CK484+CJ493*CK483+CJ494*CK482+CJ495*CK481+CJ496*CK480+CJ497*CK479+CJ498</f>
        <v>4381.6426371395792</v>
      </c>
      <c r="CM498" s="134">
        <f t="shared" si="894"/>
        <v>1.7280970696771772E-2</v>
      </c>
      <c r="CN498" s="135">
        <f t="shared" si="895"/>
        <v>1.5553937548288699E-2</v>
      </c>
      <c r="CO498" s="135">
        <f t="shared" si="904"/>
        <v>1.5134177546329078E-2</v>
      </c>
      <c r="CP498" s="134">
        <f>VLOOKUP($H498,RoR!$E:$F,2,FALSE)</f>
        <v>3.9299999999999995E-2</v>
      </c>
      <c r="CQ498" s="135">
        <v>2.386056741932796E-2</v>
      </c>
      <c r="CR498" s="135">
        <f t="shared" si="902"/>
        <v>1.5439432580672034E-2</v>
      </c>
      <c r="CS498" s="135">
        <f t="shared" si="905"/>
        <v>1.5767764062204547E-2</v>
      </c>
      <c r="CT498" s="135">
        <f t="shared" si="906"/>
        <v>3.8270792163076606E-2</v>
      </c>
      <c r="CU498" s="139">
        <f t="shared" si="896"/>
        <v>0.92230000000000001</v>
      </c>
      <c r="CV498" s="335">
        <f t="shared" si="897"/>
        <v>1.3048868010700074</v>
      </c>
      <c r="CW498" s="335">
        <f t="shared" si="898"/>
        <v>0.33886768447837151</v>
      </c>
      <c r="CX498" s="335">
        <f t="shared" si="899"/>
        <v>0.78602506232557801</v>
      </c>
      <c r="CY498" s="335">
        <f t="shared" si="900"/>
        <v>0.34756768162358759</v>
      </c>
      <c r="CZ498" s="336">
        <f>INDEX('State Tax Lookup'!$D$7:$Z$91,MATCH(Calculation!$C498,'State Tax Lookup'!$B$7:$B$91,0),MATCH($H498,'State Tax Lookup'!$D$6:$Z$6,0))</f>
        <v>0.20999999999999996</v>
      </c>
      <c r="DA498" s="303">
        <v>0.37</v>
      </c>
      <c r="DB498" s="57">
        <f t="shared" si="903"/>
        <v>13.856152748706258</v>
      </c>
      <c r="DC498" s="56">
        <f t="shared" si="907"/>
        <v>3.0907129376953672E-2</v>
      </c>
      <c r="DD498" s="303">
        <f>VLOOKUP($H498,RoR!$E:$F,2,FALSE)</f>
        <v>3.9299999999999995E-2</v>
      </c>
      <c r="DE498" s="304">
        <f>HLOOKUP($H498,'GDP-PI'!$D$8:$CQ$11,3,FALSE)</f>
        <v>2.386056741932796E-2</v>
      </c>
      <c r="DF498" s="303">
        <f>VLOOKUP(H498,'HW Dx Data'!$E:$F,2,FALSE)</f>
        <v>755.13671434174842</v>
      </c>
      <c r="DG498" s="89">
        <f ca="1">VLOOKUP(CC498,'ECI - Input Price'!M$13:N$33,2,FALSE)</f>
        <v>144.44999999999999</v>
      </c>
      <c r="DH498" s="89"/>
      <c r="DI498" s="89"/>
      <c r="DJ498" s="56">
        <f t="shared" ca="1" si="915"/>
        <v>2.80818733619915E-2</v>
      </c>
      <c r="DK498" s="53">
        <f>HLOOKUP(H498,'GDP-PI'!$8:$9,2,FALSE)</f>
        <v>110.322</v>
      </c>
      <c r="DL498" s="355">
        <f t="shared" si="908"/>
        <v>2.3580352716508712E-2</v>
      </c>
      <c r="EC498"/>
    </row>
    <row r="499" spans="1:133" s="126" customFormat="1" ht="21" customHeight="1" x14ac:dyDescent="0.4">
      <c r="A499" s="233" t="s">
        <v>211</v>
      </c>
      <c r="B499" s="127" t="s">
        <v>211</v>
      </c>
      <c r="C499" s="127">
        <v>4057079</v>
      </c>
      <c r="D499" s="127" t="s">
        <v>199</v>
      </c>
      <c r="E499" s="127"/>
      <c r="F499" s="127"/>
      <c r="G499" s="127" t="s">
        <v>175</v>
      </c>
      <c r="H499" s="128">
        <v>2019</v>
      </c>
      <c r="I499" s="129"/>
      <c r="J499" s="125">
        <f>IFERROR(INDEX('Labor Expenditures'!$E$7:$W$91,MATCH($C499,'Labor Expenditures'!$C$7:$C$91,0),MATCH($G499,'Labor Expenditures'!$E$5:$W$5,0)),"NA")</f>
        <v>32104.16031100625</v>
      </c>
      <c r="K499" s="125">
        <f t="shared" ca="1" si="909"/>
        <v>214.49246908973609</v>
      </c>
      <c r="L499" s="47"/>
      <c r="M499" s="131">
        <f t="shared" ca="1" si="916"/>
        <v>-8.6045720534522641E-2</v>
      </c>
      <c r="N499" s="131"/>
      <c r="O499" s="131"/>
      <c r="P499" s="59">
        <f t="shared" ca="1" si="918"/>
        <v>-1.050524723702569E-3</v>
      </c>
      <c r="Q499" s="61"/>
      <c r="R499" s="387"/>
      <c r="S499" s="49">
        <f t="shared" ca="1" si="923"/>
        <v>115.88554307273601</v>
      </c>
      <c r="T499" s="61">
        <f ca="1">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</f>
        <v>1.3521549815823363E-2</v>
      </c>
      <c r="U499" s="61"/>
      <c r="V499" s="125">
        <f>IFERROR(INDEX('Non-Labor Expenditures'!$E$7:$AA$91,MATCH($C499,'Non-Labor Expenditures'!$C$7:$C$91,0),MATCH($G499,'Non-Labor Expenditures'!$E$5:$AA$5,0)),"NA")</f>
        <v>46492.820360366204</v>
      </c>
      <c r="W499" s="125">
        <f t="shared" si="910"/>
        <v>413.93917591451242</v>
      </c>
      <c r="X499" s="131">
        <f t="shared" si="919"/>
        <v>-6.8443642086752951E-2</v>
      </c>
      <c r="Y499" s="131">
        <f t="shared" si="920"/>
        <v>-8.3562247774467504E-4</v>
      </c>
      <c r="Z499" s="131"/>
      <c r="AA499" s="131"/>
      <c r="AB499" s="131"/>
      <c r="AC499" s="125">
        <f t="shared" si="890"/>
        <v>60500.543012135771</v>
      </c>
      <c r="AD499" s="129"/>
      <c r="AE499" s="133">
        <v>4898.0472955315327</v>
      </c>
      <c r="AF499" s="134">
        <v>3.0013190058405068E-2</v>
      </c>
      <c r="AG499" s="59">
        <f t="shared" si="911"/>
        <v>3.6642842895235678E-4</v>
      </c>
      <c r="AH499" s="134"/>
      <c r="AI499" s="134"/>
      <c r="AJ499" s="129">
        <f t="shared" si="889"/>
        <v>139097.52368350822</v>
      </c>
      <c r="AK499" s="134">
        <f t="shared" si="921"/>
        <v>-2.3054999558970769E-2</v>
      </c>
      <c r="AL499" s="129"/>
      <c r="AM499" s="129"/>
      <c r="AN499" s="129"/>
      <c r="AO499" s="129"/>
      <c r="AP499" s="133">
        <f t="shared" si="922"/>
        <v>319.92695986583578</v>
      </c>
      <c r="AQ499" s="134">
        <f>+BB499/Outputs!$B$27</f>
        <v>1.1543209117749049E-2</v>
      </c>
      <c r="AR499" s="93">
        <f t="shared" si="912"/>
        <v>0.23080324840328273</v>
      </c>
      <c r="AS499" s="93">
        <f t="shared" si="913"/>
        <v>0.33424621178844549</v>
      </c>
      <c r="AT499" s="93">
        <f t="shared" si="914"/>
        <v>0.43495053980827181</v>
      </c>
      <c r="AU499" s="93">
        <f t="shared" ca="1" si="917"/>
        <v>-3.0513319019467251E-2</v>
      </c>
      <c r="AV499" s="132">
        <f t="shared" ca="1" si="925"/>
        <v>101.8530846371125</v>
      </c>
      <c r="AW499" s="134">
        <f t="shared" ca="1" si="926"/>
        <v>-3.0513319019467286E-2</v>
      </c>
      <c r="AX499" s="56">
        <f>+AJ499/$AL$24</f>
        <v>1.2208913089188266E-2</v>
      </c>
      <c r="AY499" s="135">
        <f t="shared" ca="1" si="924"/>
        <v>-3.7253445997135142E-4</v>
      </c>
      <c r="AZ499" s="93"/>
      <c r="BA499" s="93"/>
      <c r="BB499" s="234">
        <f>IFERROR(INDEX('Total Customers'!$E$7:$AA$91,MATCH($C499,'Total Customers'!$C$7:$C$91,0),MATCH($G499,'Total Customers'!$E$5:$AA$5,0)),"NA")</f>
        <v>434779</v>
      </c>
      <c r="BC499" s="411">
        <f t="shared" si="846"/>
        <v>7.1857149497964153E-3</v>
      </c>
      <c r="BD499" s="92"/>
      <c r="BE499" s="281" t="str">
        <f t="shared" si="839"/>
        <v>DUKE ENERGY OHIO, INC.</v>
      </c>
      <c r="BF499" s="290">
        <f t="shared" si="840"/>
        <v>4057079</v>
      </c>
      <c r="BG499" s="46" t="str">
        <f t="shared" si="841"/>
        <v>OH</v>
      </c>
      <c r="BH499" s="46"/>
      <c r="BI499" s="46" t="str">
        <f t="shared" si="842"/>
        <v>2019 Y</v>
      </c>
      <c r="BJ499" s="129"/>
      <c r="BK499" s="129"/>
      <c r="BL499" s="129">
        <f>INDEX('Dist. Plant Gas Additions'!$E$7:$AD$91,MATCH($C499,'Dist. Plant Gas Additions'!$C$7:$C$91,0),MATCH(Calculation!$G499,'Dist. Plant Gas Additions'!$E$5:$AD$5,0))</f>
        <v>135381</v>
      </c>
      <c r="BM499" s="129">
        <f>INDEX('Gen. Plant Additions'!$E$7:$AD$91,MATCH($C499,'Gen. Plant Additions'!$C$7:$C$91,0),MATCH(Calculation!$G499,'Gen. Plant Additions'!$E$5:$AD$5,0))</f>
        <v>9456</v>
      </c>
      <c r="BN499" s="393">
        <f t="shared" si="891"/>
        <v>0.96774866529051118</v>
      </c>
      <c r="BO499" s="46">
        <f t="shared" si="837"/>
        <v>9151.0313789870743</v>
      </c>
      <c r="BP499" s="46">
        <f t="shared" si="838"/>
        <v>-304.96862101292572</v>
      </c>
      <c r="BQ499" s="129">
        <f>INDEX('Dist Plant Depreciation'!$D$7:$AC$94,MATCH($C499,'Dist Plant Depreciation'!$C$7:$C$94,0),MATCH(Calculation!$G499,'Dist Plant Depreciation'!$D$5:$AC$5,0))</f>
        <v>631110</v>
      </c>
      <c r="BR499" s="129">
        <f>INDEX('Gen. Plant Depreciation'!$D$7:$AC$94,MATCH($C499,'Gen. Plant Depreciation'!$C$7:$C$94,0),MATCH(Calculation!$G499,'Gen. Plant Depreciation'!$D$5:$AC$5,0))</f>
        <v>22111</v>
      </c>
      <c r="BS499" s="129"/>
      <c r="BT499" s="129"/>
      <c r="BU499" s="129"/>
      <c r="BV499" s="129"/>
      <c r="BW499" s="129"/>
      <c r="BX499" s="129"/>
      <c r="BY499" s="129">
        <f>INDEX('Gross Dx Plant'!$D$7:$AC$91,MATCH($C499,'Gross Dx Plant'!$C$7:$C$91,0),MATCH(Calculation!$G499,'Gross Dx Plant'!$D$5:$AC$5,0))</f>
        <v>2198754</v>
      </c>
      <c r="BZ499" s="129">
        <f>INDEX('Gross Gen Plant'!$D$7:$AC$91,MATCH($C499,'Gross Gen Plant'!$C$7:$C$91,0),MATCH(Calculation!$G499,'Gross Gen Plant'!$D$5:$AC$5,0))</f>
        <v>73276</v>
      </c>
      <c r="CA499" s="129">
        <f t="shared" si="885"/>
        <v>1618809</v>
      </c>
      <c r="CB499" s="129"/>
      <c r="CC499" s="133">
        <v>2019</v>
      </c>
      <c r="CD499" s="129"/>
      <c r="CE499" s="129"/>
      <c r="CF499" s="129"/>
      <c r="CG499" s="137"/>
      <c r="CH499" s="129">
        <f t="shared" si="892"/>
        <v>144837</v>
      </c>
      <c r="CI499" s="46">
        <f t="shared" si="901"/>
        <v>144532.03137898707</v>
      </c>
      <c r="CJ499" s="46">
        <f t="shared" si="893"/>
        <v>186.8451050437935</v>
      </c>
      <c r="CK499" s="443">
        <v>0.7407407407407407</v>
      </c>
      <c r="CL499" s="46">
        <f>CL478*CK499+CJ479*CK498+CJ480*CK497+CJ481*CK496+CJ482*CK495+CJ483*CK494+CJ484*CK493+CJ485*CK492+CJ486*CK491+CJ487*CK490+CJ488*CK489+CJ489*CK488+CJ490*CK487+CJ491*CK486+CJ492*CK485+CJ493*CK484+CJ494*CK483+CJ495*CK482+CJ496*CK481+CJ497*CK480+CJ498*CK479+CJ499</f>
        <v>4498.5357596184058</v>
      </c>
      <c r="CM499" s="134">
        <f t="shared" si="894"/>
        <v>2.6328271682956598E-2</v>
      </c>
      <c r="CN499" s="135">
        <f t="shared" si="895"/>
        <v>1.596478498087486E-2</v>
      </c>
      <c r="CO499" s="135">
        <f t="shared" si="904"/>
        <v>1.5549758954773377E-2</v>
      </c>
      <c r="CP499" s="134">
        <f>VLOOKUP($H499,RoR!$E:$F,2,FALSE)</f>
        <v>3.3875000000000009E-2</v>
      </c>
      <c r="CQ499" s="135">
        <v>1.8092492884465461E-2</v>
      </c>
      <c r="CR499" s="135">
        <f t="shared" si="902"/>
        <v>1.5782507115534548E-2</v>
      </c>
      <c r="CS499" s="135">
        <f t="shared" si="905"/>
        <v>1.5352182653760248E-2</v>
      </c>
      <c r="CT499" s="135">
        <f t="shared" si="906"/>
        <v>4.8445665544254078E-2</v>
      </c>
      <c r="CU499" s="139">
        <f t="shared" si="896"/>
        <v>0.92230000000000001</v>
      </c>
      <c r="CV499" s="335">
        <f t="shared" si="897"/>
        <v>1.513861292459078</v>
      </c>
      <c r="CW499" s="335">
        <f t="shared" si="898"/>
        <v>0.23699261992619944</v>
      </c>
      <c r="CX499" s="335">
        <f t="shared" si="899"/>
        <v>0.73619765810468829</v>
      </c>
      <c r="CY499" s="335">
        <f t="shared" si="900"/>
        <v>0.26412854465362851</v>
      </c>
      <c r="CZ499" s="336">
        <f>INDEX('State Tax Lookup'!$D$7:$Z$91,MATCH(Calculation!$C499,'State Tax Lookup'!$B$7:$B$91,0),MATCH($H499,'State Tax Lookup'!$D$6:$Z$6,0))</f>
        <v>0.20999999999999996</v>
      </c>
      <c r="DA499" s="303">
        <v>0.37</v>
      </c>
      <c r="DB499" s="57">
        <f t="shared" si="903"/>
        <v>13.807731032038635</v>
      </c>
      <c r="DC499" s="56">
        <f t="shared" si="907"/>
        <v>-3.5007207594024677E-3</v>
      </c>
      <c r="DD499" s="303">
        <f>VLOOKUP($H499,RoR!$E:$F,2,FALSE)</f>
        <v>3.3875000000000009E-2</v>
      </c>
      <c r="DE499" s="304">
        <f>HLOOKUP($H499,'GDP-PI'!$D$8:$CQ$11,3,FALSE)</f>
        <v>1.8092492884465461E-2</v>
      </c>
      <c r="DF499" s="303">
        <f>VLOOKUP(H499,'HW Dx Data'!$E:$F,2,FALSE)</f>
        <v>773.53929793938721</v>
      </c>
      <c r="DG499" s="89">
        <f ca="1">VLOOKUP(CC499,'ECI - Input Price'!M$13:N$33,2,FALSE)</f>
        <v>149.67500000000001</v>
      </c>
      <c r="DH499" s="89"/>
      <c r="DI499" s="89"/>
      <c r="DJ499" s="56">
        <f t="shared" ca="1" si="915"/>
        <v>3.5532849899171604E-2</v>
      </c>
      <c r="DK499" s="53">
        <f>HLOOKUP(H499,'GDP-PI'!$8:$9,2,FALSE)</f>
        <v>112.318</v>
      </c>
      <c r="DL499" s="355">
        <f t="shared" si="908"/>
        <v>1.7930771451401852E-2</v>
      </c>
      <c r="EC499"/>
    </row>
    <row r="500" spans="1:133" s="126" customFormat="1" ht="21" customHeight="1" x14ac:dyDescent="0.4">
      <c r="A500" s="233" t="s">
        <v>211</v>
      </c>
      <c r="B500" s="126" t="s">
        <v>211</v>
      </c>
      <c r="C500" s="126">
        <v>4057079</v>
      </c>
      <c r="D500" s="126" t="s">
        <v>199</v>
      </c>
      <c r="G500" s="127" t="s">
        <v>176</v>
      </c>
      <c r="H500" s="128">
        <v>2020</v>
      </c>
      <c r="I500" s="129"/>
      <c r="J500" s="125">
        <f>IFERROR(INDEX('Labor Expenditures'!$E$7:$W$91,MATCH($C500,'Labor Expenditures'!$C$7:$C$91,0),MATCH($G500,'Labor Expenditures'!$E$5:$W$5,0)),"NA")</f>
        <v>28927.718020136715</v>
      </c>
      <c r="K500" s="125">
        <f t="shared" ca="1" si="909"/>
        <v>188.88487117294622</v>
      </c>
      <c r="L500" s="47"/>
      <c r="M500" s="131">
        <f t="shared" ca="1" si="916"/>
        <v>-0.12713694639197198</v>
      </c>
      <c r="N500" s="131"/>
      <c r="O500" s="131"/>
      <c r="P500" s="59">
        <f t="shared" ca="1" si="918"/>
        <v>-1.4731816813589255E-3</v>
      </c>
      <c r="Q500" s="61"/>
      <c r="R500" s="387"/>
      <c r="S500" s="49">
        <f t="shared" ca="1" si="923"/>
        <v>115.98178791071317</v>
      </c>
      <c r="T500" s="61">
        <f ca="1">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</f>
        <v>8.3017165977179123E-4</v>
      </c>
      <c r="U500" s="61"/>
      <c r="V500" s="125">
        <f>IFERROR(INDEX('Non-Labor Expenditures'!$E$7:$AA$91,MATCH($C500,'Non-Labor Expenditures'!$C$7:$C$91,0),MATCH($G500,'Non-Labor Expenditures'!$E$5:$AA$5,0)),"NA")</f>
        <v>41892.738645603589</v>
      </c>
      <c r="W500" s="125">
        <f t="shared" si="910"/>
        <v>368.69945913770619</v>
      </c>
      <c r="X500" s="131">
        <f t="shared" si="919"/>
        <v>-0.11573720665599643</v>
      </c>
      <c r="Y500" s="131">
        <f t="shared" si="920"/>
        <v>-1.3410887828908288E-3</v>
      </c>
      <c r="Z500" s="131"/>
      <c r="AA500" s="131"/>
      <c r="AB500" s="131"/>
      <c r="AC500" s="125">
        <f t="shared" si="890"/>
        <v>63617.213137723527</v>
      </c>
      <c r="AD500" s="129"/>
      <c r="AE500" s="133">
        <v>5056.2661952734425</v>
      </c>
      <c r="AF500" s="134">
        <v>3.1791690266330615E-2</v>
      </c>
      <c r="AG500" s="59">
        <f t="shared" si="911"/>
        <v>3.6838178868477605E-4</v>
      </c>
      <c r="AH500" s="134"/>
      <c r="AI500" s="134"/>
      <c r="AJ500" s="129">
        <f t="shared" si="889"/>
        <v>134437.66980346382</v>
      </c>
      <c r="AK500" s="134">
        <f t="shared" si="921"/>
        <v>-3.4074626258505721E-2</v>
      </c>
      <c r="AL500" s="129"/>
      <c r="AM500" s="129"/>
      <c r="AN500" s="129"/>
      <c r="AO500" s="129"/>
      <c r="AP500" s="133">
        <f t="shared" si="922"/>
        <v>306.00124688670388</v>
      </c>
      <c r="AQ500" s="134">
        <f>+BB500/Outputs!$B$28</f>
        <v>1.1581854499711955E-2</v>
      </c>
      <c r="AR500" s="93">
        <f t="shared" si="912"/>
        <v>0.21517568745744048</v>
      </c>
      <c r="AS500" s="93">
        <f t="shared" si="913"/>
        <v>0.31161458471310255</v>
      </c>
      <c r="AT500" s="93">
        <f t="shared" si="914"/>
        <v>0.47320972782945703</v>
      </c>
      <c r="AU500" s="93">
        <f t="shared" ca="1" si="917"/>
        <v>-5.128928729762651E-2</v>
      </c>
      <c r="AV500" s="132">
        <f t="shared" ca="1" si="925"/>
        <v>96.760818133779438</v>
      </c>
      <c r="AW500" s="134">
        <f t="shared" ca="1" si="926"/>
        <v>-5.1289287297626461E-2</v>
      </c>
      <c r="AX500" s="56">
        <f>+AJ500/$AL$25</f>
        <v>1.1587360898357624E-2</v>
      </c>
      <c r="AY500" s="135">
        <f t="shared" ca="1" si="924"/>
        <v>-5.9430748213714724E-4</v>
      </c>
      <c r="AZ500" s="93"/>
      <c r="BA500" s="93"/>
      <c r="BB500" s="234">
        <f>IFERROR(INDEX('Total Customers'!$E$7:$AA$91,MATCH($C500,'Total Customers'!$C$7:$C$91,0),MATCH($G500,'Total Customers'!$E$5:$AA$5,0)),"NA")</f>
        <v>439337</v>
      </c>
      <c r="BC500" s="411">
        <f t="shared" si="846"/>
        <v>1.0428916325683196E-2</v>
      </c>
      <c r="BD500" s="92"/>
      <c r="BE500" s="281" t="str">
        <f t="shared" si="839"/>
        <v>DUKE ENERGY OHIO, INC.</v>
      </c>
      <c r="BF500" s="290">
        <f t="shared" si="840"/>
        <v>4057079</v>
      </c>
      <c r="BG500" s="46" t="str">
        <f t="shared" si="841"/>
        <v>OH</v>
      </c>
      <c r="BH500" s="46"/>
      <c r="BI500" s="46" t="str">
        <f t="shared" si="842"/>
        <v>2020 Y</v>
      </c>
      <c r="BJ500" s="129"/>
      <c r="BK500" s="129"/>
      <c r="BL500" s="129">
        <f>INDEX('Dist. Plant Gas Additions'!$E$7:$AD$91,MATCH($C500,'Dist. Plant Gas Additions'!$C$7:$C$91,0),MATCH(Calculation!$G500,'Dist. Plant Gas Additions'!$E$5:$AD$5,0))</f>
        <v>150021</v>
      </c>
      <c r="BM500" s="129">
        <f>INDEX('Gen. Plant Additions'!$E$7:$AD$91,MATCH($C500,'Gen. Plant Additions'!$C$7:$C$91,0),MATCH(Calculation!$G500,'Gen. Plant Additions'!$E$5:$AD$5,0))</f>
        <v>15241</v>
      </c>
      <c r="BN500" s="393">
        <f t="shared" si="891"/>
        <v>0.96389242840303702</v>
      </c>
      <c r="BO500" s="46">
        <f t="shared" si="837"/>
        <v>14690.684501290687</v>
      </c>
      <c r="BP500" s="46">
        <f t="shared" si="838"/>
        <v>-550.31549870931303</v>
      </c>
      <c r="BQ500" s="129">
        <f>INDEX('Dist Plant Depreciation'!$D$7:$AC$94,MATCH($C500,'Dist Plant Depreciation'!$C$7:$C$94,0),MATCH(Calculation!$G500,'Dist Plant Depreciation'!$D$5:$AC$5,0))</f>
        <v>674286</v>
      </c>
      <c r="BR500" s="129">
        <f>INDEX('Gen. Plant Depreciation'!$D$7:$AC$94,MATCH($C500,'Gen. Plant Depreciation'!$C$7:$C$94,0),MATCH(Calculation!$G500,'Gen. Plant Depreciation'!$D$5:$AC$5,0))</f>
        <v>24961</v>
      </c>
      <c r="BS500" s="129"/>
      <c r="BT500" s="129"/>
      <c r="BU500" s="129"/>
      <c r="BV500" s="129"/>
      <c r="BW500" s="129"/>
      <c r="BX500" s="129"/>
      <c r="BY500" s="129">
        <f>INDEX('Gross Dx Plant'!$D$7:$AC$91,MATCH($C500,'Gross Dx Plant'!$C$7:$C$91,0),MATCH(Calculation!$G500,'Gross Dx Plant'!$D$5:$AC$5,0))</f>
        <v>2341981</v>
      </c>
      <c r="BZ500" s="129">
        <f>INDEX('Gross Gen Plant'!$D$7:$AC$91,MATCH($C500,'Gross Gen Plant'!$C$7:$C$91,0),MATCH(Calculation!$G500,'Gross Gen Plant'!$D$5:$AC$5,0))</f>
        <v>87731</v>
      </c>
      <c r="CA500" s="129">
        <f t="shared" si="885"/>
        <v>1730465</v>
      </c>
      <c r="CB500" s="129"/>
      <c r="CC500" s="133">
        <v>2020</v>
      </c>
      <c r="CD500" s="129"/>
      <c r="CE500" s="129"/>
      <c r="CF500" s="129"/>
      <c r="CG500" s="137"/>
      <c r="CH500" s="129">
        <f t="shared" si="892"/>
        <v>165262</v>
      </c>
      <c r="CI500" s="46">
        <f t="shared" si="901"/>
        <v>164711.6845012907</v>
      </c>
      <c r="CJ500" s="46">
        <f t="shared" si="893"/>
        <v>202.57742361243527</v>
      </c>
      <c r="CK500" s="443">
        <v>0.72499999999999998</v>
      </c>
      <c r="CL500" s="46">
        <f>CL478*CK500+CJ479*CK499+CJ480*CK498+CJ481*CK497+CJ482*CK496+CJ483*CK495+CJ484*CK494+CJ485*CK493+CJ486*CK492+CJ487*CK491+CJ488*CK490+CJ489*CK489+CJ490*CK488+CJ491*CK487+CJ492*CK486+CJ493*CK485+CJ494*CK484+CJ495*CK483+CJ496*CK482+CJ497*CK481+CJ498*CK480+CJ499*CK479+CJ500</f>
        <v>4627.666305261173</v>
      </c>
      <c r="CM500" s="134">
        <f t="shared" si="894"/>
        <v>2.8300746212799648E-2</v>
      </c>
      <c r="CN500" s="135">
        <f t="shared" si="895"/>
        <v>1.6326840975450715E-2</v>
      </c>
      <c r="CO500" s="135">
        <f t="shared" si="904"/>
        <v>1.5948521168204759E-2</v>
      </c>
      <c r="CP500" s="134">
        <f>VLOOKUP($H500,RoR!$E:$F,2,FALSE)</f>
        <v>2.4766666666666666E-2</v>
      </c>
      <c r="CQ500" s="135">
        <v>1.1618796630994188E-2</v>
      </c>
      <c r="CR500" s="135">
        <f t="shared" si="902"/>
        <v>1.3147870035672478E-2</v>
      </c>
      <c r="CS500" s="135">
        <f t="shared" si="905"/>
        <v>1.4953420440328866E-2</v>
      </c>
      <c r="CT500" s="135">
        <f t="shared" si="906"/>
        <v>4.5144642961987357E-2</v>
      </c>
      <c r="CU500" s="139">
        <f t="shared" si="896"/>
        <v>0.92230000000000001</v>
      </c>
      <c r="CV500" s="335">
        <f t="shared" si="897"/>
        <v>2.0706077233668081</v>
      </c>
      <c r="CW500" s="335">
        <f t="shared" si="898"/>
        <v>-3.4421265141318998E-2</v>
      </c>
      <c r="CX500" s="335">
        <f t="shared" si="899"/>
        <v>0.62416226176410472</v>
      </c>
      <c r="CY500" s="335">
        <f t="shared" si="900"/>
        <v>-4.4485877841158712E-2</v>
      </c>
      <c r="CZ500" s="336">
        <f>INDEX('State Tax Lookup'!$D$7:$Z$91,MATCH(Calculation!$C500,'State Tax Lookup'!$B$7:$B$91,0),MATCH($H500,'State Tax Lookup'!$D$6:$Z$6,0))</f>
        <v>0.20999999999999996</v>
      </c>
      <c r="DA500" s="303">
        <v>0.37</v>
      </c>
      <c r="DB500" s="57">
        <f t="shared" si="903"/>
        <v>14.141760016401413</v>
      </c>
      <c r="DC500" s="56">
        <f t="shared" si="907"/>
        <v>2.3903468460708888E-2</v>
      </c>
      <c r="DD500" s="303">
        <f>VLOOKUP($H500,RoR!$E:$F,2,FALSE)</f>
        <v>2.4766666666666666E-2</v>
      </c>
      <c r="DE500" s="304">
        <f>HLOOKUP($H500,'GDP-PI'!$D$8:$CQ$11,3,FALSE)</f>
        <v>1.1618796630994188E-2</v>
      </c>
      <c r="DF500" s="303">
        <f>VLOOKUP(H500,'HW Dx Data'!$E:$F,2,FALSE)</f>
        <v>813.080162458833</v>
      </c>
      <c r="DG500" s="89">
        <f ca="1">VLOOKUP(CC500,'ECI - Input Price'!M$13:N$33,2,FALSE)</f>
        <v>153.15</v>
      </c>
      <c r="DH500" s="89"/>
      <c r="DI500" s="89"/>
      <c r="DJ500" s="56">
        <f t="shared" ca="1" si="915"/>
        <v>2.2951556467368479E-2</v>
      </c>
      <c r="DK500" s="53">
        <f>HLOOKUP(H500,'GDP-PI'!$8:$9,2,FALSE)</f>
        <v>113.623</v>
      </c>
      <c r="DL500" s="355">
        <f t="shared" si="908"/>
        <v>1.1551816731392881E-2</v>
      </c>
      <c r="EC500"/>
    </row>
    <row r="501" spans="1:133" s="126" customFormat="1" ht="21" customHeight="1" x14ac:dyDescent="0.4">
      <c r="A501" s="233" t="s">
        <v>211</v>
      </c>
      <c r="B501" s="126" t="s">
        <v>211</v>
      </c>
      <c r="C501" s="126">
        <v>4057079</v>
      </c>
      <c r="D501" s="126" t="s">
        <v>199</v>
      </c>
      <c r="G501" s="127" t="s">
        <v>177</v>
      </c>
      <c r="H501" s="128">
        <v>2021</v>
      </c>
      <c r="I501" s="129"/>
      <c r="J501" s="125">
        <v>35560.634030984511</v>
      </c>
      <c r="K501" s="125">
        <f t="shared" ca="1" si="909"/>
        <v>226.14075695379657</v>
      </c>
      <c r="L501" s="47"/>
      <c r="M501" s="130">
        <f t="shared" ca="1" si="916"/>
        <v>0.18001994156004317</v>
      </c>
      <c r="N501" s="130"/>
      <c r="O501" s="130"/>
      <c r="P501" s="59">
        <f t="shared" ca="1" si="918"/>
        <v>2.5398947054072253E-3</v>
      </c>
      <c r="Q501" s="61"/>
      <c r="R501" s="387"/>
      <c r="S501" s="132">
        <f ca="1">+S500*EXP(T501)</f>
        <v>120.67852674475192</v>
      </c>
      <c r="T501" s="134">
        <f ca="1">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</f>
        <v>3.9697028256911793E-2</v>
      </c>
      <c r="U501" s="134"/>
      <c r="V501" s="125">
        <v>50127.64074247214</v>
      </c>
      <c r="W501" s="125">
        <f t="shared" si="910"/>
        <v>423.05376607707097</v>
      </c>
      <c r="X501" s="131">
        <f t="shared" si="919"/>
        <v>0.13751743923919105</v>
      </c>
      <c r="Y501" s="131">
        <f t="shared" si="920"/>
        <v>1.9402284702346917E-3</v>
      </c>
      <c r="Z501" s="131"/>
      <c r="AA501" s="131"/>
      <c r="AB501" s="131"/>
      <c r="AC501" s="125">
        <f t="shared" si="890"/>
        <v>95543.826271349739</v>
      </c>
      <c r="AD501" s="129"/>
      <c r="AE501" s="133">
        <v>5306.9016738616492</v>
      </c>
      <c r="AF501" s="134"/>
      <c r="AG501" s="59">
        <f t="shared" si="911"/>
        <v>0</v>
      </c>
      <c r="AH501" s="134"/>
      <c r="AI501" s="134"/>
      <c r="AJ501" s="129">
        <f t="shared" si="889"/>
        <v>181232.10104480639</v>
      </c>
      <c r="AK501" s="134">
        <f t="shared" si="921"/>
        <v>0.29867786590879641</v>
      </c>
      <c r="AL501" s="129"/>
      <c r="AM501" s="134"/>
      <c r="AN501" s="134"/>
      <c r="AO501" s="134"/>
      <c r="AP501" s="133">
        <f t="shared" si="922"/>
        <v>409.00671185888245</v>
      </c>
      <c r="AQ501" s="134">
        <f>+BB501/Outputs!$B$29</f>
        <v>1.1477486321154747E-2</v>
      </c>
      <c r="AR501" s="93">
        <f t="shared" si="912"/>
        <v>0.19621597843857022</v>
      </c>
      <c r="AS501" s="93">
        <f t="shared" si="913"/>
        <v>0.27659360816039419</v>
      </c>
      <c r="AT501" s="93">
        <f t="shared" si="914"/>
        <v>0.52719041340103556</v>
      </c>
      <c r="AU501" s="93">
        <f t="shared" ca="1" si="917"/>
        <v>7.7473794038182053E-2</v>
      </c>
      <c r="AV501" s="132">
        <f t="shared" ca="1" si="925"/>
        <v>104.55528086591573</v>
      </c>
      <c r="AW501" s="134">
        <f t="shared" ca="1" si="926"/>
        <v>7.747379403818197E-2</v>
      </c>
      <c r="AX501" s="56">
        <f>+AJ501/$AL$26</f>
        <v>1.410896305929573E-2</v>
      </c>
      <c r="AY501" s="135">
        <f t="shared" ca="1" si="924"/>
        <v>1.0930748981481952E-3</v>
      </c>
      <c r="AZ501" s="93"/>
      <c r="BA501" s="93"/>
      <c r="BB501" s="234">
        <f>INDEX('Total Customers'!$D$7:$D$91,MATCH(Calculation!$C501,'Total Customers'!$C$7:$C$91,0))</f>
        <v>443103</v>
      </c>
      <c r="BC501" s="411">
        <f t="shared" si="846"/>
        <v>8.5354763249572748E-3</v>
      </c>
      <c r="BD501" s="91"/>
      <c r="BE501" s="281" t="str">
        <f t="shared" si="839"/>
        <v>DUKE ENERGY OHIO, INC.</v>
      </c>
      <c r="BF501" s="290">
        <f t="shared" si="840"/>
        <v>4057079</v>
      </c>
      <c r="BG501" s="46" t="str">
        <f t="shared" si="841"/>
        <v>OH</v>
      </c>
      <c r="BH501" s="46"/>
      <c r="BI501" s="46" t="str">
        <f t="shared" si="842"/>
        <v>2021 Y</v>
      </c>
      <c r="BJ501" s="129"/>
      <c r="BK501" s="129"/>
      <c r="BL501" s="129">
        <f>INDEX('Dist. Plant Gas Additions'!$D$7:$AD$91,MATCH($C501,'Dist. Plant Gas Additions'!$C$7:$C$91,0),MATCH(Calculation!$G501,'Dist. Plant Gas Additions'!$D$5:$AD$5,0))</f>
        <v>217785</v>
      </c>
      <c r="BM501" s="129">
        <f>INDEX('Gen. Plant Additions'!$D$7:$AD$91,MATCH($C501,'Gen. Plant Additions'!$C$7:$C$91,0),MATCH(Calculation!$G501,'Gen. Plant Additions'!$D$5:$AD$5,0))</f>
        <v>699</v>
      </c>
      <c r="BN501" s="343">
        <v>0.96389242840303702</v>
      </c>
      <c r="BO501" s="46">
        <f t="shared" si="837"/>
        <v>673.76080745372292</v>
      </c>
      <c r="BP501" s="46">
        <f t="shared" si="838"/>
        <v>-25.239192546277081</v>
      </c>
      <c r="BQ501" s="129"/>
      <c r="BR501" s="129"/>
      <c r="BS501" s="137"/>
      <c r="BT501" s="137"/>
      <c r="BU501" s="333"/>
      <c r="BV501" s="93"/>
      <c r="BW501" s="334"/>
      <c r="BX501" s="334"/>
      <c r="BY501" s="129"/>
      <c r="BZ501" s="129"/>
      <c r="CA501" s="129"/>
      <c r="CB501" s="129"/>
      <c r="CC501" s="133">
        <v>2021</v>
      </c>
      <c r="CD501" s="129"/>
      <c r="CE501" s="129"/>
      <c r="CF501" s="129"/>
      <c r="CG501" s="137"/>
      <c r="CH501" s="129">
        <f t="shared" si="892"/>
        <v>218484</v>
      </c>
      <c r="CI501" s="46">
        <f t="shared" si="901"/>
        <v>218458.76080745371</v>
      </c>
      <c r="CJ501" s="46">
        <f t="shared" si="893"/>
        <v>234.1409354982047</v>
      </c>
      <c r="CK501" s="443">
        <v>0.70886075949367089</v>
      </c>
      <c r="CL501" s="129">
        <f>CL478*CK501+CJ479*CK500+CJ480*CK499+CJ481*CK498+CJ482*CK497+CJ483*CK496+CJ484*CK495+CJ485*CK494+CJ486*CK493+CJ487*CK492+CJ488*CK491+CJ489*CK490+CJ490*CK489+CJ491*CK488+CJ492*CK487+CJ483*CK486+CJ494*CK485+CJ495*CK484+CJ496*CK483+CJ497*CK482+CJ498*CK481+CJ499*CK480+CJ501+CJ500*CK479</f>
        <v>4846.4764184049254</v>
      </c>
      <c r="CM501" s="134"/>
      <c r="CN501" s="135">
        <f t="shared" si="895"/>
        <v>3.3128625408929539E-3</v>
      </c>
      <c r="CO501" s="135">
        <f t="shared" si="904"/>
        <v>1.1868162832406179E-2</v>
      </c>
      <c r="CP501" s="134">
        <f>VLOOKUP($H501,RoR!$E:$F,2,FALSE)</f>
        <v>2.7033333333333336E-2</v>
      </c>
      <c r="CQ501" s="135"/>
      <c r="CR501" s="135"/>
      <c r="CS501" s="135">
        <f t="shared" si="905"/>
        <v>1.9033778776127448E-2</v>
      </c>
      <c r="CT501" s="135">
        <f t="shared" si="906"/>
        <v>7.433422950153494E-2</v>
      </c>
      <c r="CU501" s="139">
        <f t="shared" si="896"/>
        <v>0.92230000000000001</v>
      </c>
      <c r="CV501" s="335">
        <f t="shared" si="897"/>
        <v>1.8969932656739068</v>
      </c>
      <c r="CW501" s="335">
        <f t="shared" si="898"/>
        <v>5.0215782983970621E-2</v>
      </c>
      <c r="CX501" s="335">
        <f t="shared" si="899"/>
        <v>0.655952481704143</v>
      </c>
      <c r="CY501" s="335">
        <f t="shared" si="900"/>
        <v>6.2485378865697057E-2</v>
      </c>
      <c r="CZ501" s="336">
        <f>CZ500</f>
        <v>0.20999999999999996</v>
      </c>
      <c r="DA501" s="303">
        <v>0.37</v>
      </c>
      <c r="DB501" s="141">
        <f t="shared" si="903"/>
        <v>20.646222084493516</v>
      </c>
      <c r="DC501" s="135">
        <f t="shared" si="907"/>
        <v>0.37840022929387301</v>
      </c>
      <c r="DD501" s="336">
        <f>VLOOKUP($H501,RoR!$E:$F,2,FALSE)</f>
        <v>2.7033333333333336E-2</v>
      </c>
      <c r="DE501" s="342">
        <f>HLOOKUP($H501,'GDP-PI'!$D$8:$CR$11,3,FALSE)</f>
        <v>4.2834637353352578E-2</v>
      </c>
      <c r="DF501" s="336">
        <f>VLOOKUP(H501,'HW Dx Data'!$E:$F,2,FALSE)</f>
        <v>933.02249921662576</v>
      </c>
      <c r="DG501" s="89">
        <f ca="1">VLOOKUP(CC501,'ECI - Input Price'!M$13:N$33,2,FALSE)</f>
        <v>157.25</v>
      </c>
      <c r="DH501" s="89"/>
      <c r="DI501" s="89"/>
      <c r="DJ501" s="135">
        <f t="shared" ca="1" si="915"/>
        <v>2.6419062301765574E-2</v>
      </c>
      <c r="DK501" s="137">
        <f>HLOOKUP(H501,'GDP-PI'!$8:$9,2,FALSE)</f>
        <v>118.49</v>
      </c>
      <c r="DL501" s="356">
        <f t="shared" si="908"/>
        <v>4.194261824609434E-2</v>
      </c>
      <c r="EC501"/>
    </row>
    <row r="502" spans="1:133" s="126" customFormat="1" ht="21" customHeight="1" thickBot="1" x14ac:dyDescent="0.45">
      <c r="A502" s="235"/>
      <c r="B502" s="236"/>
      <c r="C502" s="236"/>
      <c r="D502" s="236"/>
      <c r="E502" s="236"/>
      <c r="F502" s="236"/>
      <c r="G502" s="237" t="s">
        <v>178</v>
      </c>
      <c r="H502" s="238"/>
      <c r="I502" s="239"/>
      <c r="J502" s="240">
        <v>53033.626150710217</v>
      </c>
      <c r="K502" s="240">
        <f t="shared" ca="1" si="909"/>
        <v>326.26038850021661</v>
      </c>
      <c r="L502" s="47"/>
      <c r="M502" s="241">
        <f t="shared" ref="M502" ca="1" si="927">LN(K502/K501)</f>
        <v>0.36653817649516746</v>
      </c>
      <c r="N502" s="241"/>
      <c r="O502" s="241"/>
      <c r="P502" s="242">
        <f t="shared" ca="1" si="918"/>
        <v>5.8673028201241912E-3</v>
      </c>
      <c r="Q502" s="61"/>
      <c r="R502" s="387"/>
      <c r="S502" s="206">
        <f ca="1">+S501*EXP(T502)</f>
        <v>120.54819738480212</v>
      </c>
      <c r="T502" s="243">
        <f ca="1">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</f>
        <v>-1.080555009824228E-3</v>
      </c>
      <c r="U502" s="243"/>
      <c r="V502" s="239">
        <v>74758.244091965011</v>
      </c>
      <c r="W502" s="240">
        <f t="shared" si="910"/>
        <v>587.49111270699416</v>
      </c>
      <c r="X502" s="244">
        <f t="shared" ref="X502" si="928">LN(W502/W501)</f>
        <v>0.32836184106254857</v>
      </c>
      <c r="Y502" s="244">
        <f t="shared" si="920"/>
        <v>5.2562010716307025E-3</v>
      </c>
      <c r="Z502" s="206"/>
      <c r="AA502" s="243"/>
      <c r="AB502" s="243"/>
      <c r="AC502" s="240">
        <f t="shared" si="890"/>
        <v>84027.267564098103</v>
      </c>
      <c r="AD502" s="243"/>
      <c r="AE502" s="245">
        <v>5403.529922209269</v>
      </c>
      <c r="AF502" s="243">
        <v>1.8044253263456132E-2</v>
      </c>
      <c r="AG502" s="242">
        <f t="shared" si="911"/>
        <v>2.888405760950992E-4</v>
      </c>
      <c r="AH502" s="206"/>
      <c r="AI502" s="243"/>
      <c r="AJ502" s="239">
        <f t="shared" si="889"/>
        <v>211819.13780677333</v>
      </c>
      <c r="AK502" s="243">
        <f t="shared" si="921"/>
        <v>0.15595425099989305</v>
      </c>
      <c r="AL502" s="239"/>
      <c r="AM502" s="243"/>
      <c r="AN502" s="243"/>
      <c r="AO502" s="243"/>
      <c r="AP502" s="245">
        <f t="shared" si="922"/>
        <v>468.41189500996961</v>
      </c>
      <c r="AQ502" s="243"/>
      <c r="AR502" s="207">
        <f t="shared" si="912"/>
        <v>0.25037221234980572</v>
      </c>
      <c r="AS502" s="207">
        <f t="shared" si="913"/>
        <v>0.35293432343285874</v>
      </c>
      <c r="AT502" s="207">
        <f t="shared" si="914"/>
        <v>0.39669346421733553</v>
      </c>
      <c r="AU502" s="207"/>
      <c r="AV502" s="206"/>
      <c r="AW502" s="243"/>
      <c r="AX502" s="248">
        <f>+AJ502/$AL$27</f>
        <v>1.600734438149732E-2</v>
      </c>
      <c r="AY502" s="249"/>
      <c r="AZ502" s="206"/>
      <c r="BA502" s="243"/>
      <c r="BB502" s="250">
        <v>452207</v>
      </c>
      <c r="BC502" s="412">
        <f t="shared" si="846"/>
        <v>2.033779093698999E-2</v>
      </c>
      <c r="BD502" s="91"/>
      <c r="BE502" s="401">
        <f t="shared" si="839"/>
        <v>0</v>
      </c>
      <c r="BF502" s="402">
        <f t="shared" si="840"/>
        <v>0</v>
      </c>
      <c r="BG502" s="313">
        <f t="shared" si="841"/>
        <v>0</v>
      </c>
      <c r="BH502" s="313"/>
      <c r="BI502" s="313" t="str">
        <f t="shared" si="842"/>
        <v>2022Y</v>
      </c>
      <c r="BJ502" s="239"/>
      <c r="BK502" s="239"/>
      <c r="BL502" s="239"/>
      <c r="BM502" s="239"/>
      <c r="BN502" s="337">
        <v>0.96389242840303702</v>
      </c>
      <c r="BO502" s="313">
        <f t="shared" si="837"/>
        <v>0</v>
      </c>
      <c r="BP502" s="313">
        <f t="shared" si="838"/>
        <v>0</v>
      </c>
      <c r="BQ502" s="239"/>
      <c r="BR502" s="239"/>
      <c r="BS502" s="310"/>
      <c r="BT502" s="310"/>
      <c r="BU502" s="311"/>
      <c r="BV502" s="207"/>
      <c r="BW502" s="312"/>
      <c r="BX502" s="312"/>
      <c r="BY502" s="239"/>
      <c r="BZ502" s="239"/>
      <c r="CA502" s="239"/>
      <c r="CB502" s="239"/>
      <c r="CC502" s="245">
        <v>2022</v>
      </c>
      <c r="CD502" s="239"/>
      <c r="CE502" s="239"/>
      <c r="CF502" s="239"/>
      <c r="CG502" s="310"/>
      <c r="CH502" s="239">
        <v>392296</v>
      </c>
      <c r="CI502" s="313">
        <f t="shared" si="901"/>
        <v>392296</v>
      </c>
      <c r="CJ502" s="313">
        <f t="shared" si="893"/>
        <v>380.57061922177706</v>
      </c>
      <c r="CK502" s="443">
        <v>0.69230769230769229</v>
      </c>
      <c r="CL502" s="239">
        <f>+CL478*CK502+CJ479*CK501+CJ480*CK500+CJ481*CK499+CJ482*CK498+CJ483*CK497+CJ484*CK496+CJ485*CK495+CJ486*CK494+CJ487*CK493+CJ488*CK492+CJ489*CK491+CJ490*CK490+CJ491*CK489+CJ492*CK488+CJ493*CK487+CJ494*CK486+CJ495*CK485+CJ496*CK484+CJ497*CK483+CJ498*CK482+CJ499*CK481+CJ500*CK480+CJ501*CK479+CJ502*CK478</f>
        <v>5083.8284968508869</v>
      </c>
      <c r="CM502" s="243">
        <f t="shared" ref="CM502" si="929">LN(CL502/CL501)</f>
        <v>4.7812689615099581E-2</v>
      </c>
      <c r="CN502" s="249">
        <f t="shared" si="895"/>
        <v>2.955106522997417E-2</v>
      </c>
      <c r="CO502" s="249">
        <f t="shared" si="904"/>
        <v>1.6396922915439278E-2</v>
      </c>
      <c r="CP502" s="243"/>
      <c r="CQ502" s="249"/>
      <c r="CR502" s="249"/>
      <c r="CS502" s="248">
        <f t="shared" si="905"/>
        <v>1.4505018693094347E-2</v>
      </c>
      <c r="CT502" s="249">
        <f t="shared" si="906"/>
        <v>0.10114668178709289</v>
      </c>
      <c r="CU502" s="314">
        <f t="shared" si="896"/>
        <v>0.92230000000000001</v>
      </c>
      <c r="CV502" s="315"/>
      <c r="CW502" s="315"/>
      <c r="CX502" s="315"/>
      <c r="CY502" s="315"/>
      <c r="CZ502" s="316">
        <f>CZ501</f>
        <v>0.20999999999999996</v>
      </c>
      <c r="DA502" s="360">
        <v>0.37</v>
      </c>
      <c r="DB502" s="318">
        <f t="shared" si="903"/>
        <v>17.337805925351681</v>
      </c>
      <c r="DC502" s="249">
        <f t="shared" si="907"/>
        <v>-0.17464292198306966</v>
      </c>
      <c r="DD502" s="316">
        <v>0.04</v>
      </c>
      <c r="DE502" s="319">
        <v>7.0000000000000001E-3</v>
      </c>
      <c r="DF502" s="316">
        <v>1030.81</v>
      </c>
      <c r="DG502" s="89">
        <f ca="1">VLOOKUP(CC502,'ECI - Input Price'!M$13:N$33,2,FALSE)</f>
        <v>162.55000000000001</v>
      </c>
      <c r="DH502" s="89"/>
      <c r="DI502" s="89"/>
      <c r="DJ502" s="249">
        <f t="shared" ca="1" si="915"/>
        <v>3.3148751169364422E-2</v>
      </c>
      <c r="DK502" s="310">
        <v>127.25</v>
      </c>
      <c r="DL502" s="357">
        <f t="shared" si="908"/>
        <v>7.1325086601983473E-2</v>
      </c>
      <c r="EC502"/>
    </row>
    <row r="503" spans="1:133" s="126" customFormat="1" ht="21" customHeight="1" x14ac:dyDescent="0.4">
      <c r="A503" s="251" t="s">
        <v>212</v>
      </c>
      <c r="B503" s="252" t="s">
        <v>212</v>
      </c>
      <c r="C503" s="252">
        <v>4057090</v>
      </c>
      <c r="D503" s="252" t="s">
        <v>209</v>
      </c>
      <c r="E503" s="252"/>
      <c r="F503" s="252"/>
      <c r="G503" s="252" t="s">
        <v>150</v>
      </c>
      <c r="H503" s="253">
        <v>1998</v>
      </c>
      <c r="I503" s="254"/>
      <c r="J503" s="255"/>
      <c r="K503" s="255"/>
      <c r="L503" s="47"/>
      <c r="M503" s="255"/>
      <c r="N503" s="255"/>
      <c r="O503" s="255"/>
      <c r="P503" s="219"/>
      <c r="Q503" s="218"/>
      <c r="R503" s="385"/>
      <c r="S503" s="257"/>
      <c r="T503" s="258"/>
      <c r="U503" s="258"/>
      <c r="V503" s="255"/>
      <c r="W503" s="255"/>
      <c r="X503" s="255"/>
      <c r="Y503" s="255"/>
      <c r="Z503" s="255"/>
      <c r="AA503" s="255"/>
      <c r="AB503" s="255"/>
      <c r="AC503" s="255"/>
      <c r="AD503" s="254"/>
      <c r="AE503" s="260">
        <v>937.74304167361345</v>
      </c>
      <c r="AF503" s="256"/>
      <c r="AG503" s="225"/>
      <c r="AH503" s="256"/>
      <c r="AI503" s="256"/>
      <c r="AJ503" s="254">
        <f t="shared" si="889"/>
        <v>0</v>
      </c>
      <c r="AK503" s="254"/>
      <c r="AL503" s="254"/>
      <c r="AM503" s="256"/>
      <c r="AN503" s="256"/>
      <c r="AO503" s="256"/>
      <c r="AP503" s="226">
        <f>+(AP500+AP501+AP502)/3</f>
        <v>394.47328458518535</v>
      </c>
      <c r="AQ503" s="256"/>
      <c r="AR503" s="261"/>
      <c r="AS503" s="261"/>
      <c r="AT503" s="261"/>
      <c r="AU503" s="261"/>
      <c r="AV503" s="261"/>
      <c r="AW503" s="256">
        <f ca="1">AVERAGE(AW512:AW526)</f>
        <v>2.576655126135775E-2</v>
      </c>
      <c r="AX503" s="223"/>
      <c r="AY503" s="261"/>
      <c r="AZ503" s="261"/>
      <c r="BA503" s="261"/>
      <c r="BB503" s="262">
        <f>IFERROR(INDEX('Total Customers'!$E$7:$AA$91,MATCH($C503,'Total Customers'!$C$7:$C$91,0),MATCH($G503,'Total Customers'!$E$5:$AA$5,0)),"NA")</f>
        <v>286879</v>
      </c>
      <c r="BC503" s="413"/>
      <c r="BD503" s="92"/>
      <c r="BE503" s="407" t="str">
        <f t="shared" si="839"/>
        <v>LOUISVILLE GAS AND ELECTRIC COMPANY</v>
      </c>
      <c r="BF503" s="408">
        <f t="shared" si="840"/>
        <v>4057090</v>
      </c>
      <c r="BG503" s="218" t="str">
        <f t="shared" si="841"/>
        <v>KY</v>
      </c>
      <c r="BH503" s="218"/>
      <c r="BI503" s="218" t="str">
        <f t="shared" si="842"/>
        <v>1998 Y</v>
      </c>
      <c r="BJ503" s="254">
        <f>INDEX('Gross Dx Plant'!$D$7:$AC$91,MATCH($C503,'Gross Dx Plant'!$C$7:$C$91,0),MATCH(Calculation!$G503,'Gross Dx Plant'!$D$5:$AC$5,0))</f>
        <v>273974</v>
      </c>
      <c r="BK503" s="254">
        <f>INDEX('Gross Gen Plant'!$D$7:$AC$91,MATCH($C503,'Gross Gen Plant'!$C$7:$C$91,0),MATCH(Calculation!$G503,'Gross Gen Plant'!$D$5:$AC$5,0))</f>
        <v>10092</v>
      </c>
      <c r="BL503" s="254">
        <f>INDEX('Dist. Plant Gas Additions'!$E$7:$AD$91,MATCH($C503,'Dist. Plant Gas Additions'!$C$7:$C$91,0),MATCH(Calculation!$G503,'Dist. Plant Gas Additions'!$E$5:$AD$5,0))</f>
        <v>6220</v>
      </c>
      <c r="BM503" s="254">
        <f>INDEX('Gen. Plant Additions'!$E$7:$AD$91,MATCH($C503,'Gen. Plant Additions'!$C$7:$C$91,0),MATCH(Calculation!$G503,'Gen. Plant Additions'!$E$5:$AD$5,0))</f>
        <v>607</v>
      </c>
      <c r="BN503" s="409">
        <f>+(BY503/(BY503+BZ503))</f>
        <v>0.96447304499658526</v>
      </c>
      <c r="BO503" s="218">
        <f t="shared" ref="BO503:BO566" si="930">+BN503*BM503</f>
        <v>585.43513831292728</v>
      </c>
      <c r="BP503" s="218">
        <f t="shared" ref="BP503:BP566" si="931">+BO503-BM503</f>
        <v>-21.564861687072721</v>
      </c>
      <c r="BQ503" s="254">
        <f>INDEX('Dist Plant Depreciation'!$D$7:$AC$94,MATCH($C503,'Dist Plant Depreciation'!$C$7:$C$94,0),MATCH(Calculation!$G503,'Dist Plant Depreciation'!$D$5:$AC$5,0))</f>
        <v>88978</v>
      </c>
      <c r="BR503" s="254">
        <f>INDEX('Gen. Plant Depreciation'!$D$7:$AC$94,MATCH($C503,'Gen. Plant Depreciation'!$C$7:$C$94,0),MATCH(Calculation!$G503,'Gen. Plant Depreciation'!$D$5:$AC$5,0))</f>
        <v>5927</v>
      </c>
      <c r="BS503" s="254"/>
      <c r="BT503" s="254"/>
      <c r="BU503" s="254"/>
      <c r="BV503" s="254"/>
      <c r="BW503" s="254"/>
      <c r="BX503" s="254"/>
      <c r="BY503" s="254">
        <f>INDEX('Gross Dx Plant'!$D$7:$AC$91,MATCH($C503,'Gross Dx Plant'!$C$7:$C$91,0),MATCH(Calculation!$G503,'Gross Dx Plant'!$D$5:$AC$5,0))</f>
        <v>273974</v>
      </c>
      <c r="BZ503" s="254">
        <f>INDEX('Gross Gen Plant'!$D$7:$AC$91,MATCH($C503,'Gross Gen Plant'!$C$7:$C$91,0),MATCH(Calculation!$G503,'Gross Gen Plant'!$D$5:$AC$5,0))</f>
        <v>10092</v>
      </c>
      <c r="CA503" s="254">
        <f t="shared" si="885"/>
        <v>189161</v>
      </c>
      <c r="CB503" s="254"/>
      <c r="CC503" s="260">
        <v>1998</v>
      </c>
      <c r="CD503" s="254">
        <f>BJ503+BK503</f>
        <v>284066</v>
      </c>
      <c r="CE503" s="254">
        <f>88978+5927</f>
        <v>94905</v>
      </c>
      <c r="CF503" s="254">
        <f>+CD503-CE503</f>
        <v>189161</v>
      </c>
      <c r="CG503" s="254">
        <f>CF503/$BX$3</f>
        <v>937.74304167361345</v>
      </c>
      <c r="CH503" s="323"/>
      <c r="CI503" s="344"/>
      <c r="CJ503" s="344"/>
      <c r="CK503" s="443">
        <v>1</v>
      </c>
      <c r="CL503" s="254">
        <f>+CG503</f>
        <v>937.74304167361345</v>
      </c>
      <c r="CM503" s="256"/>
      <c r="CN503" s="325"/>
      <c r="CO503" s="325"/>
      <c r="CP503" s="256" t="e">
        <f>VLOOKUP($H503,RoR!$E:$F,2,FALSE)</f>
        <v>#N/A</v>
      </c>
      <c r="CQ503" s="325">
        <v>1.1028127770464469E-2</v>
      </c>
      <c r="CR503" s="325"/>
      <c r="CS503" s="325"/>
      <c r="CT503" s="325"/>
      <c r="CU503" s="327"/>
      <c r="CV503" s="331" t="e">
        <f>2/(DD503*39)</f>
        <v>#N/A</v>
      </c>
      <c r="CW503" s="328" t="e">
        <f>+(DD503*40-(1+DD503))/(DD503*40)</f>
        <v>#N/A</v>
      </c>
      <c r="CX503" s="328" t="e">
        <f>+(1-(1/(1+DD503)^40))</f>
        <v>#N/A</v>
      </c>
      <c r="CY503" s="328" t="e">
        <f>+CX503*CW503*CV503</f>
        <v>#N/A</v>
      </c>
      <c r="CZ503" s="329">
        <f>INDEX('State Tax Lookup'!$D$7:$Z$91,MATCH(Calculation!$C503,'State Tax Lookup'!$B$7:$B$91,0),MATCH($H503,'State Tax Lookup'!$D$6:$Z$6,0))</f>
        <v>0.39279166999999998</v>
      </c>
      <c r="DA503" s="351">
        <v>0.37</v>
      </c>
      <c r="DB503" s="344"/>
      <c r="DC503" s="326"/>
      <c r="DD503" s="351" t="e">
        <f>VLOOKUP($H503,RoR!$E:$F,2,FALSE)</f>
        <v>#N/A</v>
      </c>
      <c r="DE503" s="354">
        <f>HLOOKUP($H503,'GDP-PI'!$D$8:$CQ$11,3,FALSE)</f>
        <v>1.1028127770464469E-2</v>
      </c>
      <c r="DF503" s="351">
        <f>VLOOKUP(H503,'HW Dx Data'!$E:$F,2,FALSE)</f>
        <v>329.24564746449528</v>
      </c>
      <c r="DG503" s="351"/>
      <c r="DH503" s="351"/>
      <c r="DI503" s="351"/>
      <c r="DJ503" s="326"/>
      <c r="DK503" s="344">
        <f>HLOOKUP(H503,'GDP-PI'!$8:$9,2,FALSE)</f>
        <v>75.266999999999996</v>
      </c>
      <c r="DL503" s="292"/>
      <c r="EC503"/>
    </row>
    <row r="504" spans="1:133" s="126" customFormat="1" ht="21" customHeight="1" x14ac:dyDescent="0.4">
      <c r="A504" s="233" t="s">
        <v>212</v>
      </c>
      <c r="B504" s="127" t="s">
        <v>212</v>
      </c>
      <c r="C504" s="127">
        <v>4057090</v>
      </c>
      <c r="D504" s="127" t="s">
        <v>209</v>
      </c>
      <c r="E504" s="127"/>
      <c r="F504" s="127"/>
      <c r="G504" s="127" t="s">
        <v>155</v>
      </c>
      <c r="H504" s="128">
        <v>1999</v>
      </c>
      <c r="I504" s="129"/>
      <c r="J504" s="125"/>
      <c r="K504" s="125"/>
      <c r="L504" s="47"/>
      <c r="M504" s="125"/>
      <c r="N504" s="125"/>
      <c r="O504" s="125"/>
      <c r="P504" s="47"/>
      <c r="Q504" s="47"/>
      <c r="R504" s="386"/>
      <c r="S504" s="119"/>
      <c r="T504" s="47"/>
      <c r="U504" s="47"/>
      <c r="V504" s="125"/>
      <c r="W504" s="125"/>
      <c r="X504" s="125"/>
      <c r="Y504" s="143"/>
      <c r="Z504" s="125"/>
      <c r="AA504" s="125"/>
      <c r="AB504" s="125"/>
      <c r="AC504" s="125">
        <f t="shared" ref="AC504:AC527" si="932">+CL503*DB504</f>
        <v>0</v>
      </c>
      <c r="AD504" s="129"/>
      <c r="AE504" s="133">
        <v>1017.4405870377833</v>
      </c>
      <c r="AF504" s="134">
        <v>8.1569555795880849E-2</v>
      </c>
      <c r="AG504" s="61"/>
      <c r="AH504" s="134"/>
      <c r="AI504" s="134"/>
      <c r="AJ504" s="129">
        <f t="shared" si="889"/>
        <v>0</v>
      </c>
      <c r="AK504" s="134"/>
      <c r="AL504" s="129"/>
      <c r="AM504" s="134"/>
      <c r="AN504" s="134"/>
      <c r="AO504" s="134"/>
      <c r="AP504" s="133"/>
      <c r="AQ504" s="134"/>
      <c r="AR504" s="93"/>
      <c r="AS504" s="93"/>
      <c r="AT504" s="93"/>
      <c r="AU504" s="93"/>
      <c r="AV504" s="93"/>
      <c r="AW504" s="134"/>
      <c r="AX504" s="62"/>
      <c r="AY504" s="93"/>
      <c r="AZ504" s="93"/>
      <c r="BA504" s="93"/>
      <c r="BB504" s="234">
        <f>IFERROR(INDEX('Total Customers'!$E$7:$AA$91,MATCH($C504,'Total Customers'!$C$7:$C$91,0),MATCH($G504,'Total Customers'!$E$5:$AA$5,0)),"NA")</f>
        <v>293218</v>
      </c>
      <c r="BC504" s="411">
        <f t="shared" si="846"/>
        <v>2.1855835597000887E-2</v>
      </c>
      <c r="BD504" s="92"/>
      <c r="BE504" s="281" t="str">
        <f t="shared" si="839"/>
        <v>LOUISVILLE GAS AND ELECTRIC COMPANY</v>
      </c>
      <c r="BF504" s="290">
        <f t="shared" si="840"/>
        <v>4057090</v>
      </c>
      <c r="BG504" s="46" t="str">
        <f t="shared" si="841"/>
        <v>KY</v>
      </c>
      <c r="BH504" s="46"/>
      <c r="BI504" s="46" t="str">
        <f t="shared" si="842"/>
        <v>1999 Y</v>
      </c>
      <c r="BJ504" s="129"/>
      <c r="BK504" s="129"/>
      <c r="BL504" s="129">
        <f>INDEX('Dist. Plant Gas Additions'!$E$7:$AD$91,MATCH($C504,'Dist. Plant Gas Additions'!$C$7:$C$91,0),MATCH(Calculation!$G504,'Dist. Plant Gas Additions'!$E$5:$AD$5,0))</f>
        <v>26841</v>
      </c>
      <c r="BM504" s="129">
        <f>INDEX('Gen. Plant Additions'!$E$7:$AD$91,MATCH($C504,'Gen. Plant Additions'!$C$7:$C$91,0),MATCH(Calculation!$G504,'Gen. Plant Additions'!$E$5:$AD$5,0))</f>
        <v>1448</v>
      </c>
      <c r="BN504" s="393">
        <f t="shared" ref="BN504:BN525" si="933">+(BY504/(BY504+BZ504))</f>
        <v>0.96552746271962686</v>
      </c>
      <c r="BO504" s="46">
        <f t="shared" si="930"/>
        <v>1398.0837660180198</v>
      </c>
      <c r="BP504" s="46">
        <f t="shared" si="931"/>
        <v>-49.916233981980213</v>
      </c>
      <c r="BQ504" s="129">
        <f>INDEX('Dist Plant Depreciation'!$D$7:$AC$94,MATCH($C504,'Dist Plant Depreciation'!$C$7:$C$94,0),MATCH(Calculation!$G504,'Dist Plant Depreciation'!$D$5:$AC$5,0))</f>
        <v>91914</v>
      </c>
      <c r="BR504" s="129">
        <f>INDEX('Gen. Plant Depreciation'!$D$7:$AC$94,MATCH($C504,'Gen. Plant Depreciation'!$C$7:$C$94,0),MATCH(Calculation!$G504,'Gen. Plant Depreciation'!$D$5:$AC$5,0))</f>
        <v>6414</v>
      </c>
      <c r="BS504" s="129"/>
      <c r="BT504" s="129"/>
      <c r="BU504" s="129"/>
      <c r="BV504" s="129"/>
      <c r="BW504" s="129"/>
      <c r="BX504" s="129"/>
      <c r="BY504" s="129">
        <f>INDEX('Gross Dx Plant'!$D$7:$AC$91,MATCH($C504,'Gross Dx Plant'!$C$7:$C$91,0),MATCH(Calculation!$G504,'Gross Dx Plant'!$D$5:$AC$5,0))</f>
        <v>296415</v>
      </c>
      <c r="BZ504" s="129">
        <f>INDEX('Gross Gen Plant'!$D$7:$AC$91,MATCH($C504,'Gross Gen Plant'!$C$7:$C$91,0),MATCH(Calculation!$G504,'Gross Gen Plant'!$D$5:$AC$5,0))</f>
        <v>10583</v>
      </c>
      <c r="CA504" s="129">
        <f t="shared" si="885"/>
        <v>208670</v>
      </c>
      <c r="CB504" s="129"/>
      <c r="CC504" s="133">
        <v>1999</v>
      </c>
      <c r="CD504" s="129"/>
      <c r="CE504" s="129"/>
      <c r="CF504" s="129"/>
      <c r="CG504" s="137"/>
      <c r="CH504" s="129">
        <f t="shared" ref="CH504:CH526" si="934">+BM504+BL504</f>
        <v>28289</v>
      </c>
      <c r="CI504" s="46">
        <f>+CH504+BP504</f>
        <v>28239.083766018019</v>
      </c>
      <c r="CJ504" s="46">
        <f t="shared" ref="CJ504:CJ527" si="935">+CI504/$DF504</f>
        <v>84.214074359593923</v>
      </c>
      <c r="CK504" s="443">
        <v>0.99009900990099009</v>
      </c>
      <c r="CL504" s="46">
        <f>+CL503*CK504+CJ504</f>
        <v>1012.6725314621815</v>
      </c>
      <c r="CM504" s="134">
        <f t="shared" ref="CM504:CM525" si="936">LN(CL504/CL503)</f>
        <v>7.6872217209763186E-2</v>
      </c>
      <c r="CN504" s="135">
        <f t="shared" ref="CN504:CN527" si="937">+(CL503-CL504+CJ504)/CL503</f>
        <v>9.9009900990098994E-3</v>
      </c>
      <c r="CO504" s="135"/>
      <c r="CP504" s="134">
        <f>VLOOKUP($H504,RoR!$E:$F,2,FALSE)</f>
        <v>7.0416666666666669E-2</v>
      </c>
      <c r="CQ504" s="135">
        <v>1.4335631817396832E-2</v>
      </c>
      <c r="CR504" s="135">
        <f>+CP504-CQ504</f>
        <v>5.6081034849269837E-2</v>
      </c>
      <c r="CS504" s="135"/>
      <c r="CT504" s="135"/>
      <c r="CU504" s="139">
        <f t="shared" ref="CU504:CU527" si="938">1-CZ504*DA504</f>
        <v>0.85466708209999998</v>
      </c>
      <c r="CV504" s="335">
        <f t="shared" ref="CV504:CV526" si="939">2/(DD504*39)</f>
        <v>0.72826581702321336</v>
      </c>
      <c r="CW504" s="335">
        <f t="shared" ref="CW504:CW526" si="940">+(DD504*40-(1+DD504))/(DD504*40)</f>
        <v>0.61997041420118348</v>
      </c>
      <c r="CX504" s="335">
        <f t="shared" ref="CX504:CX526" si="941">+(1-(1/(1+DD504)^40))</f>
        <v>0.93425155319585029</v>
      </c>
      <c r="CY504" s="335">
        <f t="shared" ref="CY504:CY526" si="942">+CX504*CW504*CV504</f>
        <v>0.42181762214141483</v>
      </c>
      <c r="CZ504" s="336">
        <f>INDEX('State Tax Lookup'!$D$7:$Z$91,MATCH(Calculation!$C504,'State Tax Lookup'!$B$7:$B$91,0),MATCH($H504,'State Tax Lookup'!$D$6:$Z$6,0))</f>
        <v>0.39279166999999998</v>
      </c>
      <c r="DA504" s="303">
        <v>0.37</v>
      </c>
      <c r="DB504" s="57"/>
      <c r="DC504" s="56"/>
      <c r="DD504" s="303">
        <f>VLOOKUP($H504,RoR!$E:$F,2,FALSE)</f>
        <v>7.0416666666666669E-2</v>
      </c>
      <c r="DE504" s="304">
        <f>HLOOKUP($H504,'GDP-PI'!$D$8:$CQ$11,3,FALSE)</f>
        <v>1.4335631817396832E-2</v>
      </c>
      <c r="DF504" s="303">
        <f>VLOOKUP(H504,'HW Dx Data'!$E:$F,2,FALSE)</f>
        <v>335.32499146683239</v>
      </c>
      <c r="DG504" s="89"/>
      <c r="DH504" s="89"/>
      <c r="DI504" s="89"/>
      <c r="DJ504" s="56"/>
      <c r="DK504" s="53">
        <f>HLOOKUP(H504,'GDP-PI'!$8:$9,2,FALSE)</f>
        <v>76.346000000000004</v>
      </c>
      <c r="DL504" s="298"/>
      <c r="EC504"/>
    </row>
    <row r="505" spans="1:133" s="126" customFormat="1" ht="21" customHeight="1" x14ac:dyDescent="0.4">
      <c r="A505" s="233" t="s">
        <v>212</v>
      </c>
      <c r="B505" s="127" t="s">
        <v>212</v>
      </c>
      <c r="C505" s="127">
        <v>4057090</v>
      </c>
      <c r="D505" s="127" t="s">
        <v>209</v>
      </c>
      <c r="E505" s="127"/>
      <c r="F505" s="127"/>
      <c r="G505" s="127" t="s">
        <v>156</v>
      </c>
      <c r="H505" s="128">
        <v>2000</v>
      </c>
      <c r="I505" s="129"/>
      <c r="J505" s="125"/>
      <c r="K505" s="125"/>
      <c r="L505" s="47"/>
      <c r="M505" s="125"/>
      <c r="N505" s="125"/>
      <c r="O505" s="125"/>
      <c r="P505" s="47"/>
      <c r="Q505" s="47"/>
      <c r="R505" s="386"/>
      <c r="S505" s="119"/>
      <c r="T505" s="47"/>
      <c r="U505" s="47"/>
      <c r="V505" s="125"/>
      <c r="W505" s="125"/>
      <c r="X505" s="125"/>
      <c r="Y505" s="125"/>
      <c r="Z505" s="125"/>
      <c r="AA505" s="125"/>
      <c r="AB505" s="125"/>
      <c r="AC505" s="125">
        <f t="shared" si="932"/>
        <v>0</v>
      </c>
      <c r="AD505" s="129"/>
      <c r="AE505" s="133">
        <v>1080.6345777306126</v>
      </c>
      <c r="AF505" s="134">
        <v>6.0258195043966761E-2</v>
      </c>
      <c r="AG505" s="61"/>
      <c r="AH505" s="134"/>
      <c r="AI505" s="134"/>
      <c r="AJ505" s="129">
        <f t="shared" si="889"/>
        <v>0</v>
      </c>
      <c r="AK505" s="134"/>
      <c r="AL505" s="129"/>
      <c r="AM505" s="129"/>
      <c r="AN505" s="129"/>
      <c r="AO505" s="129"/>
      <c r="AP505" s="133"/>
      <c r="AQ505" s="134"/>
      <c r="AR505" s="93"/>
      <c r="AS505" s="93"/>
      <c r="AT505" s="93"/>
      <c r="AU505" s="93"/>
      <c r="AV505" s="93"/>
      <c r="AW505" s="134"/>
      <c r="AX505" s="62"/>
      <c r="AY505" s="93"/>
      <c r="AZ505" s="93"/>
      <c r="BA505" s="93"/>
      <c r="BB505" s="234">
        <f>IFERROR(INDEX('Total Customers'!$E$7:$AA$91,MATCH($C505,'Total Customers'!$C$7:$C$91,0),MATCH($G505,'Total Customers'!$E$5:$AA$5,0)),"NA")</f>
        <v>297754</v>
      </c>
      <c r="BC505" s="411">
        <f t="shared" si="846"/>
        <v>1.5351282564450975E-2</v>
      </c>
      <c r="BD505" s="92"/>
      <c r="BE505" s="281" t="str">
        <f t="shared" si="839"/>
        <v>LOUISVILLE GAS AND ELECTRIC COMPANY</v>
      </c>
      <c r="BF505" s="290">
        <f t="shared" si="840"/>
        <v>4057090</v>
      </c>
      <c r="BG505" s="46" t="str">
        <f t="shared" si="841"/>
        <v>KY</v>
      </c>
      <c r="BH505" s="46"/>
      <c r="BI505" s="46" t="str">
        <f t="shared" si="842"/>
        <v>2000 Y</v>
      </c>
      <c r="BJ505" s="129"/>
      <c r="BK505" s="129"/>
      <c r="BL505" s="129">
        <f>INDEX('Dist. Plant Gas Additions'!$E$7:$AD$91,MATCH($C505,'Dist. Plant Gas Additions'!$C$7:$C$91,0),MATCH(Calculation!$G505,'Dist. Plant Gas Additions'!$E$5:$AD$5,0))</f>
        <v>22737</v>
      </c>
      <c r="BM505" s="129">
        <f>INDEX('Gen. Plant Additions'!$E$7:$AD$91,MATCH($C505,'Gen. Plant Additions'!$C$7:$C$91,0),MATCH(Calculation!$G505,'Gen. Plant Additions'!$E$5:$AD$5,0))</f>
        <v>973</v>
      </c>
      <c r="BN505" s="393">
        <f t="shared" si="933"/>
        <v>0.96653691016174137</v>
      </c>
      <c r="BO505" s="46">
        <f t="shared" si="930"/>
        <v>940.44041358737434</v>
      </c>
      <c r="BP505" s="46">
        <f t="shared" si="931"/>
        <v>-32.559586412625663</v>
      </c>
      <c r="BQ505" s="129">
        <f>INDEX('Dist Plant Depreciation'!$D$7:$AC$94,MATCH($C505,'Dist Plant Depreciation'!$C$7:$C$94,0),MATCH(Calculation!$G505,'Dist Plant Depreciation'!$D$5:$AC$5,0))</f>
        <v>98673</v>
      </c>
      <c r="BR505" s="129">
        <f>INDEX('Gen. Plant Depreciation'!$D$7:$AC$94,MATCH($C505,'Gen. Plant Depreciation'!$C$7:$C$94,0),MATCH(Calculation!$G505,'Gen. Plant Depreciation'!$D$5:$AC$5,0))</f>
        <v>6753</v>
      </c>
      <c r="BS505" s="129"/>
      <c r="BT505" s="129"/>
      <c r="BU505" s="129"/>
      <c r="BV505" s="129"/>
      <c r="BW505" s="129"/>
      <c r="BX505" s="129"/>
      <c r="BY505" s="129">
        <f>INDEX('Gross Dx Plant'!$D$7:$AC$91,MATCH($C505,'Gross Dx Plant'!$C$7:$C$91,0),MATCH(Calculation!$G505,'Gross Dx Plant'!$D$5:$AC$5,0))</f>
        <v>315583</v>
      </c>
      <c r="BZ505" s="129">
        <f>INDEX('Gross Gen Plant'!$D$7:$AC$91,MATCH($C505,'Gross Gen Plant'!$C$7:$C$91,0),MATCH(Calculation!$G505,'Gross Gen Plant'!$D$5:$AC$5,0))</f>
        <v>10926</v>
      </c>
      <c r="CA505" s="129">
        <f t="shared" si="885"/>
        <v>221083</v>
      </c>
      <c r="CB505" s="129"/>
      <c r="CC505" s="133">
        <v>2000</v>
      </c>
      <c r="CD505" s="129"/>
      <c r="CE505" s="129"/>
      <c r="CF505" s="129"/>
      <c r="CG505" s="137"/>
      <c r="CH505" s="129">
        <f t="shared" si="934"/>
        <v>23710</v>
      </c>
      <c r="CI505" s="46">
        <f t="shared" ref="CI505:CI527" si="943">+CH505+BP505</f>
        <v>23677.440413587374</v>
      </c>
      <c r="CJ505" s="46">
        <f t="shared" si="935"/>
        <v>68.326512532276652</v>
      </c>
      <c r="CK505" s="443">
        <v>0.98</v>
      </c>
      <c r="CL505" s="46">
        <f>+CL503*CK505+CJ504*CK504+CJ505</f>
        <v>1070.69496501558</v>
      </c>
      <c r="CM505" s="134">
        <f t="shared" si="936"/>
        <v>5.5715030728517252E-2</v>
      </c>
      <c r="CN505" s="135">
        <f t="shared" si="937"/>
        <v>1.0175134269713275E-2</v>
      </c>
      <c r="CO505" s="135"/>
      <c r="CP505" s="134">
        <f>VLOOKUP($H505,RoR!$E:$F,2,FALSE)</f>
        <v>7.6225000000000001E-2</v>
      </c>
      <c r="CQ505" s="135">
        <v>2.2568307442433211E-2</v>
      </c>
      <c r="CR505" s="135">
        <f t="shared" ref="CR505:CR525" si="944">+CP505-CQ505</f>
        <v>5.365669255756679E-2</v>
      </c>
      <c r="CS505" s="135"/>
      <c r="CT505" s="135"/>
      <c r="CU505" s="139">
        <f t="shared" si="938"/>
        <v>0.85466708209999998</v>
      </c>
      <c r="CV505" s="335">
        <f t="shared" si="939"/>
        <v>0.67277207323124022</v>
      </c>
      <c r="CW505" s="335">
        <f t="shared" si="940"/>
        <v>0.6470236142997704</v>
      </c>
      <c r="CX505" s="335">
        <f t="shared" si="941"/>
        <v>0.94704866037543145</v>
      </c>
      <c r="CY505" s="335">
        <f t="shared" si="942"/>
        <v>0.41224973107878493</v>
      </c>
      <c r="CZ505" s="336">
        <f>INDEX('State Tax Lookup'!$D$7:$Z$91,MATCH(Calculation!$C505,'State Tax Lookup'!$B$7:$B$91,0),MATCH($H505,'State Tax Lookup'!$D$6:$Z$6,0))</f>
        <v>0.39279166999999998</v>
      </c>
      <c r="DA505" s="303">
        <v>0.37</v>
      </c>
      <c r="DB505" s="57"/>
      <c r="DC505" s="56"/>
      <c r="DD505" s="303">
        <f>VLOOKUP($H505,RoR!$E:$F,2,FALSE)</f>
        <v>7.6225000000000001E-2</v>
      </c>
      <c r="DE505" s="304">
        <f>HLOOKUP($H505,'GDP-PI'!$D$8:$CQ$11,3,FALSE)</f>
        <v>2.2568307442433211E-2</v>
      </c>
      <c r="DF505" s="303">
        <f>VLOOKUP(H505,'HW Dx Data'!$E:$F,2,FALSE)</f>
        <v>346.53371782150339</v>
      </c>
      <c r="DG505" s="89"/>
      <c r="DH505" s="89"/>
      <c r="DI505" s="89"/>
      <c r="DJ505" s="56"/>
      <c r="DK505" s="53">
        <f>HLOOKUP(H505,'GDP-PI'!$8:$9,2,FALSE)</f>
        <v>78.069000000000003</v>
      </c>
      <c r="DL505" s="298"/>
      <c r="EC505"/>
    </row>
    <row r="506" spans="1:133" s="126" customFormat="1" ht="21" customHeight="1" x14ac:dyDescent="0.4">
      <c r="A506" s="233" t="s">
        <v>212</v>
      </c>
      <c r="B506" s="127" t="s">
        <v>212</v>
      </c>
      <c r="C506" s="127">
        <v>4057090</v>
      </c>
      <c r="D506" s="127" t="s">
        <v>209</v>
      </c>
      <c r="E506" s="127"/>
      <c r="F506" s="127"/>
      <c r="G506" s="127" t="s">
        <v>157</v>
      </c>
      <c r="H506" s="128">
        <v>2001</v>
      </c>
      <c r="I506" s="129"/>
      <c r="J506" s="125"/>
      <c r="K506" s="125"/>
      <c r="L506" s="47"/>
      <c r="M506" s="125"/>
      <c r="N506" s="125"/>
      <c r="O506" s="125"/>
      <c r="P506" s="47"/>
      <c r="Q506" s="47"/>
      <c r="R506" s="386"/>
      <c r="S506" s="119"/>
      <c r="T506" s="47"/>
      <c r="U506" s="47"/>
      <c r="V506" s="125"/>
      <c r="W506" s="125"/>
      <c r="X506" s="125"/>
      <c r="Y506" s="125"/>
      <c r="Z506" s="125"/>
      <c r="AA506" s="125"/>
      <c r="AB506" s="125"/>
      <c r="AC506" s="125">
        <f t="shared" si="932"/>
        <v>11116.33109869566</v>
      </c>
      <c r="AD506" s="129"/>
      <c r="AE506" s="133">
        <v>1134.0426522693349</v>
      </c>
      <c r="AF506" s="134">
        <v>4.8240376272597925E-2</v>
      </c>
      <c r="AG506" s="61"/>
      <c r="AH506" s="134"/>
      <c r="AI506" s="134"/>
      <c r="AJ506" s="129">
        <f t="shared" si="889"/>
        <v>11116.33109869566</v>
      </c>
      <c r="AK506" s="134"/>
      <c r="AL506" s="129"/>
      <c r="AM506" s="129"/>
      <c r="AN506" s="129"/>
      <c r="AO506" s="129"/>
      <c r="AP506" s="133"/>
      <c r="AQ506" s="134"/>
      <c r="AR506" s="93"/>
      <c r="AS506" s="93"/>
      <c r="AT506" s="93"/>
      <c r="AU506" s="93"/>
      <c r="AV506" s="93"/>
      <c r="AW506" s="134"/>
      <c r="AX506" s="62"/>
      <c r="AY506" s="93"/>
      <c r="AZ506" s="93"/>
      <c r="BA506" s="93"/>
      <c r="BB506" s="234">
        <f>IFERROR(INDEX('Total Customers'!$E$7:$AA$91,MATCH($C506,'Total Customers'!$C$7:$C$91,0),MATCH($G506,'Total Customers'!$E$5:$AA$5,0)),"NA")</f>
        <v>303153</v>
      </c>
      <c r="BC506" s="411">
        <f t="shared" si="846"/>
        <v>1.796998632564397E-2</v>
      </c>
      <c r="BD506" s="92"/>
      <c r="BE506" s="281" t="str">
        <f t="shared" si="839"/>
        <v>LOUISVILLE GAS AND ELECTRIC COMPANY</v>
      </c>
      <c r="BF506" s="290">
        <f t="shared" si="840"/>
        <v>4057090</v>
      </c>
      <c r="BG506" s="46" t="str">
        <f t="shared" si="841"/>
        <v>KY</v>
      </c>
      <c r="BH506" s="46"/>
      <c r="BI506" s="46" t="str">
        <f t="shared" si="842"/>
        <v>2001 Y</v>
      </c>
      <c r="BJ506" s="129"/>
      <c r="BK506" s="129"/>
      <c r="BL506" s="129">
        <f>INDEX('Dist. Plant Gas Additions'!$E$7:$AD$91,MATCH($C506,'Dist. Plant Gas Additions'!$C$7:$C$91,0),MATCH(Calculation!$G506,'Dist. Plant Gas Additions'!$E$5:$AD$5,0))</f>
        <v>20337</v>
      </c>
      <c r="BM506" s="129">
        <f>INDEX('Gen. Plant Additions'!$E$7:$AD$91,MATCH($C506,'Gen. Plant Additions'!$C$7:$C$91,0),MATCH(Calculation!$G506,'Gen. Plant Additions'!$E$5:$AD$5,0))</f>
        <v>444</v>
      </c>
      <c r="BN506" s="393">
        <f t="shared" si="933"/>
        <v>0.96979564896130566</v>
      </c>
      <c r="BO506" s="46">
        <f t="shared" si="930"/>
        <v>430.5892681388197</v>
      </c>
      <c r="BP506" s="46">
        <f t="shared" si="931"/>
        <v>-13.410731861180295</v>
      </c>
      <c r="BQ506" s="129">
        <f>INDEX('Dist Plant Depreciation'!$D$7:$AC$94,MATCH($C506,'Dist Plant Depreciation'!$C$7:$C$94,0),MATCH(Calculation!$G506,'Dist Plant Depreciation'!$D$5:$AC$5,0))</f>
        <v>106369</v>
      </c>
      <c r="BR506" s="129">
        <f>INDEX('Gen. Plant Depreciation'!$D$7:$AC$94,MATCH($C506,'Gen. Plant Depreciation'!$C$7:$C$94,0),MATCH(Calculation!$G506,'Gen. Plant Depreciation'!$D$5:$AC$5,0))</f>
        <v>6260</v>
      </c>
      <c r="BS506" s="129"/>
      <c r="BT506" s="129"/>
      <c r="BU506" s="129"/>
      <c r="BV506" s="129"/>
      <c r="BW506" s="129"/>
      <c r="BX506" s="129"/>
      <c r="BY506" s="129">
        <f>INDEX('Gross Dx Plant'!$D$7:$AC$91,MATCH($C506,'Gross Dx Plant'!$C$7:$C$91,0),MATCH(Calculation!$G506,'Gross Dx Plant'!$D$5:$AC$5,0))</f>
        <v>332059</v>
      </c>
      <c r="BZ506" s="129">
        <f>INDEX('Gross Gen Plant'!$D$7:$AC$91,MATCH($C506,'Gross Gen Plant'!$C$7:$C$91,0),MATCH(Calculation!$G506,'Gross Gen Plant'!$D$5:$AC$5,0))</f>
        <v>10342</v>
      </c>
      <c r="CA506" s="129">
        <f t="shared" si="885"/>
        <v>229772</v>
      </c>
      <c r="CB506" s="129"/>
      <c r="CC506" s="133">
        <v>2001</v>
      </c>
      <c r="CD506" s="129"/>
      <c r="CE506" s="129"/>
      <c r="CF506" s="129"/>
      <c r="CG506" s="137"/>
      <c r="CH506" s="129">
        <f t="shared" si="934"/>
        <v>20781</v>
      </c>
      <c r="CI506" s="46">
        <f t="shared" si="943"/>
        <v>20767.589268138821</v>
      </c>
      <c r="CJ506" s="46">
        <f t="shared" si="935"/>
        <v>58.757230730826791</v>
      </c>
      <c r="CK506" s="443">
        <v>0.96969696969696972</v>
      </c>
      <c r="CL506" s="46">
        <f>+CL503*CK506+CJ504*CK505+CJ505*CK503+CJ506</f>
        <v>1118.9401220008276</v>
      </c>
      <c r="CM506" s="134">
        <f t="shared" si="936"/>
        <v>4.4073979967241626E-2</v>
      </c>
      <c r="CN506" s="135">
        <f t="shared" si="937"/>
        <v>9.8179912010945367E-3</v>
      </c>
      <c r="CO506" s="135">
        <f>+(CN506+CN505+CN504)/3</f>
        <v>9.964705189939237E-3</v>
      </c>
      <c r="CP506" s="134">
        <f>VLOOKUP($H506,RoR!$E:$F,2,FALSE)</f>
        <v>7.0824999999999999E-2</v>
      </c>
      <c r="CQ506" s="135">
        <v>2.2454495382290052E-2</v>
      </c>
      <c r="CR506" s="135">
        <f t="shared" si="944"/>
        <v>4.8370504617709947E-2</v>
      </c>
      <c r="CS506" s="135">
        <f>+$CR$2-CO506</f>
        <v>2.0937236418594386E-2</v>
      </c>
      <c r="CT506" s="135">
        <f>+((DF504/DF503-1)+(DF505/DF504-1)+(DF506/DF505-1))/3</f>
        <v>2.3947275901631187E-2</v>
      </c>
      <c r="CU506" s="139">
        <f t="shared" si="938"/>
        <v>0.85466708209999998</v>
      </c>
      <c r="CV506" s="335">
        <f t="shared" si="939"/>
        <v>0.72406708481540816</v>
      </c>
      <c r="CW506" s="335">
        <f t="shared" si="940"/>
        <v>0.62201729615248857</v>
      </c>
      <c r="CX506" s="335">
        <f t="shared" si="941"/>
        <v>0.9352469954311422</v>
      </c>
      <c r="CY506" s="335">
        <f t="shared" si="942"/>
        <v>0.42121864641655071</v>
      </c>
      <c r="CZ506" s="336">
        <f>INDEX('State Tax Lookup'!$D$7:$Z$91,MATCH(Calculation!$C506,'State Tax Lookup'!$B$7:$B$91,0),MATCH($H506,'State Tax Lookup'!$D$6:$Z$6,0))</f>
        <v>0.39279166999999998</v>
      </c>
      <c r="DA506" s="303">
        <v>0.37</v>
      </c>
      <c r="DB506" s="57">
        <f t="shared" ref="DB506:DB527" si="945">+(DF506*CS506-CT506)*CU506/(1-CZ506)</f>
        <v>10.382351147540797</v>
      </c>
      <c r="DC506" s="56"/>
      <c r="DD506" s="303">
        <f>VLOOKUP($H506,RoR!$E:$F,2,FALSE)</f>
        <v>7.0824999999999999E-2</v>
      </c>
      <c r="DE506" s="304">
        <f>HLOOKUP($H506,'GDP-PI'!$D$8:$CQ$11,3,FALSE)</f>
        <v>2.2454495382290052E-2</v>
      </c>
      <c r="DF506" s="303">
        <f>VLOOKUP(H506,'HW Dx Data'!$E:$F,2,FALSE)</f>
        <v>353.44738017483138</v>
      </c>
      <c r="DG506" s="89"/>
      <c r="DH506" s="89"/>
      <c r="DI506" s="89"/>
      <c r="DJ506" s="56"/>
      <c r="DK506" s="53">
        <f>HLOOKUP(H506,'GDP-PI'!$8:$9,2,FALSE)</f>
        <v>79.822000000000003</v>
      </c>
      <c r="DL506" s="298"/>
      <c r="EC506"/>
    </row>
    <row r="507" spans="1:133" s="126" customFormat="1" ht="21" customHeight="1" x14ac:dyDescent="0.4">
      <c r="A507" s="233" t="s">
        <v>212</v>
      </c>
      <c r="B507" s="127" t="s">
        <v>212</v>
      </c>
      <c r="C507" s="127">
        <v>4057090</v>
      </c>
      <c r="D507" s="127" t="s">
        <v>209</v>
      </c>
      <c r="E507" s="127"/>
      <c r="F507" s="127"/>
      <c r="G507" s="127" t="s">
        <v>158</v>
      </c>
      <c r="H507" s="128">
        <v>2002</v>
      </c>
      <c r="I507" s="129"/>
      <c r="J507" s="125"/>
      <c r="K507" s="125"/>
      <c r="L507" s="47"/>
      <c r="M507" s="125"/>
      <c r="N507" s="125"/>
      <c r="O507" s="125"/>
      <c r="P507" s="47"/>
      <c r="Q507" s="47"/>
      <c r="R507" s="386"/>
      <c r="S507" s="119"/>
      <c r="T507" s="47"/>
      <c r="U507" s="47"/>
      <c r="V507" s="125"/>
      <c r="W507" s="125"/>
      <c r="X507" s="125"/>
      <c r="Y507" s="125"/>
      <c r="Z507" s="125"/>
      <c r="AA507" s="125"/>
      <c r="AB507" s="125"/>
      <c r="AC507" s="125">
        <f t="shared" si="932"/>
        <v>11605.118690740701</v>
      </c>
      <c r="AD507" s="129"/>
      <c r="AE507" s="133">
        <v>1203.9148553594173</v>
      </c>
      <c r="AF507" s="134">
        <v>5.9789809417272646E-2</v>
      </c>
      <c r="AG507" s="61"/>
      <c r="AH507" s="134"/>
      <c r="AI507" s="134"/>
      <c r="AJ507" s="129">
        <f t="shared" si="889"/>
        <v>11605.118690740701</v>
      </c>
      <c r="AK507" s="134"/>
      <c r="AL507" s="129"/>
      <c r="AM507" s="129"/>
      <c r="AN507" s="129"/>
      <c r="AO507" s="129"/>
      <c r="AP507" s="133"/>
      <c r="AQ507" s="134"/>
      <c r="AR507" s="93"/>
      <c r="AS507" s="93"/>
      <c r="AT507" s="93"/>
      <c r="AU507" s="93"/>
      <c r="AV507" s="93"/>
      <c r="AW507" s="134"/>
      <c r="AX507" s="62"/>
      <c r="AY507" s="93"/>
      <c r="AZ507" s="93"/>
      <c r="BA507" s="93"/>
      <c r="BB507" s="234">
        <f>IFERROR(INDEX('Total Customers'!$E$7:$AA$91,MATCH($C507,'Total Customers'!$C$7:$C$91,0),MATCH($G507,'Total Customers'!$E$5:$AA$5,0)),"NA")</f>
        <v>308344</v>
      </c>
      <c r="BC507" s="411">
        <f t="shared" si="846"/>
        <v>1.6978414280713068E-2</v>
      </c>
      <c r="BD507" s="92"/>
      <c r="BE507" s="281" t="str">
        <f t="shared" si="839"/>
        <v>LOUISVILLE GAS AND ELECTRIC COMPANY</v>
      </c>
      <c r="BF507" s="290">
        <f t="shared" si="840"/>
        <v>4057090</v>
      </c>
      <c r="BG507" s="46" t="str">
        <f t="shared" si="841"/>
        <v>KY</v>
      </c>
      <c r="BH507" s="46"/>
      <c r="BI507" s="46" t="str">
        <f t="shared" si="842"/>
        <v>2002 Y</v>
      </c>
      <c r="BJ507" s="129"/>
      <c r="BK507" s="129"/>
      <c r="BL507" s="129">
        <f>INDEX('Dist. Plant Gas Additions'!$E$7:$AD$91,MATCH($C507,'Dist. Plant Gas Additions'!$C$7:$C$91,0),MATCH(Calculation!$G507,'Dist. Plant Gas Additions'!$E$5:$AD$5,0))</f>
        <v>27104</v>
      </c>
      <c r="BM507" s="129">
        <f>INDEX('Gen. Plant Additions'!$E$7:$AD$91,MATCH($C507,'Gen. Plant Additions'!$C$7:$C$91,0),MATCH(Calculation!$G507,'Gen. Plant Additions'!$E$5:$AD$5,0))</f>
        <v>507</v>
      </c>
      <c r="BN507" s="393">
        <f t="shared" si="933"/>
        <v>0.97544219360835449</v>
      </c>
      <c r="BO507" s="46">
        <f t="shared" si="930"/>
        <v>494.54919215943573</v>
      </c>
      <c r="BP507" s="46">
        <f t="shared" si="931"/>
        <v>-12.450807840564266</v>
      </c>
      <c r="BQ507" s="129">
        <f>INDEX('Dist Plant Depreciation'!$D$7:$AC$94,MATCH($C507,'Dist Plant Depreciation'!$C$7:$C$94,0),MATCH(Calculation!$G507,'Dist Plant Depreciation'!$D$5:$AC$5,0))</f>
        <v>113995</v>
      </c>
      <c r="BR507" s="129">
        <f>INDEX('Gen. Plant Depreciation'!$D$7:$AC$94,MATCH($C507,'Gen. Plant Depreciation'!$C$7:$C$94,0),MATCH(Calculation!$G507,'Gen. Plant Depreciation'!$D$5:$AC$5,0))</f>
        <v>4988</v>
      </c>
      <c r="BS507" s="129"/>
      <c r="BT507" s="129"/>
      <c r="BU507" s="129"/>
      <c r="BV507" s="129"/>
      <c r="BW507" s="129"/>
      <c r="BX507" s="129"/>
      <c r="BY507" s="129">
        <f>INDEX('Gross Dx Plant'!$D$7:$AC$91,MATCH($C507,'Gross Dx Plant'!$C$7:$C$91,0),MATCH(Calculation!$G507,'Gross Dx Plant'!$D$5:$AC$5,0))</f>
        <v>356807</v>
      </c>
      <c r="BZ507" s="129">
        <f>INDEX('Gross Gen Plant'!$D$7:$AC$91,MATCH($C507,'Gross Gen Plant'!$C$7:$C$91,0),MATCH(Calculation!$G507,'Gross Gen Plant'!$D$5:$AC$5,0))</f>
        <v>8983</v>
      </c>
      <c r="CA507" s="129">
        <f t="shared" si="885"/>
        <v>246807</v>
      </c>
      <c r="CB507" s="129"/>
      <c r="CC507" s="133">
        <v>2002</v>
      </c>
      <c r="CD507" s="129"/>
      <c r="CE507" s="129"/>
      <c r="CF507" s="129"/>
      <c r="CG507" s="137"/>
      <c r="CH507" s="129">
        <f t="shared" si="934"/>
        <v>27611</v>
      </c>
      <c r="CI507" s="46">
        <f t="shared" si="943"/>
        <v>27598.549192159437</v>
      </c>
      <c r="CJ507" s="46">
        <f t="shared" si="935"/>
        <v>76.376613497092521</v>
      </c>
      <c r="CK507" s="443">
        <v>0.95918367346938771</v>
      </c>
      <c r="CL507" s="46">
        <f>+CL503*CK507+CJ504*CK506+CJ505*CK505+CJ506*CK504+CJ507</f>
        <v>1182.6420199450263</v>
      </c>
      <c r="CM507" s="134">
        <f t="shared" si="936"/>
        <v>5.5369017984008402E-2</v>
      </c>
      <c r="CN507" s="135">
        <f t="shared" si="937"/>
        <v>1.1327429684288758E-2</v>
      </c>
      <c r="CO507" s="135">
        <f t="shared" ref="CO507:CO527" si="946">+(CN507+CN506+CN505)/3</f>
        <v>1.0440185051698856E-2</v>
      </c>
      <c r="CP507" s="134">
        <f>VLOOKUP($H507,RoR!$E:$F,2,FALSE)</f>
        <v>6.4916666666666664E-2</v>
      </c>
      <c r="CQ507" s="135">
        <v>1.5246423291824351E-2</v>
      </c>
      <c r="CR507" s="135">
        <f t="shared" si="944"/>
        <v>4.9670243374842313E-2</v>
      </c>
      <c r="CS507" s="135">
        <f t="shared" ref="CS507:CS527" si="947">+$CR$2-CO507</f>
        <v>2.046175655683477E-2</v>
      </c>
      <c r="CT507" s="135">
        <f t="shared" ref="CT507:CT527" si="948">+((DF505/DF504-1)+(DF506/DF505-1)+(DF507/DF506-1))/3</f>
        <v>2.5243621214759093E-2</v>
      </c>
      <c r="CU507" s="139">
        <f t="shared" si="938"/>
        <v>0.85466708209999998</v>
      </c>
      <c r="CV507" s="335">
        <f t="shared" si="939"/>
        <v>0.78996741384417901</v>
      </c>
      <c r="CW507" s="335">
        <f t="shared" si="940"/>
        <v>0.58989088575096271</v>
      </c>
      <c r="CX507" s="335">
        <f t="shared" si="941"/>
        <v>0.91920675783645744</v>
      </c>
      <c r="CY507" s="335">
        <f t="shared" si="942"/>
        <v>0.42834536472275586</v>
      </c>
      <c r="CZ507" s="336">
        <f>INDEX('State Tax Lookup'!$D$7:$Z$91,MATCH(Calculation!$C507,'State Tax Lookup'!$B$7:$B$91,0),MATCH($H507,'State Tax Lookup'!$D$6:$Z$6,0))</f>
        <v>0.39279166999999998</v>
      </c>
      <c r="DA507" s="303">
        <v>0.37</v>
      </c>
      <c r="DB507" s="57">
        <f t="shared" si="945"/>
        <v>10.371527897300762</v>
      </c>
      <c r="DC507" s="56">
        <f t="shared" ref="DC507:DC527" si="949">LN(DB507/DB506)</f>
        <v>-1.0430099547019827E-3</v>
      </c>
      <c r="DD507" s="303">
        <f>VLOOKUP($H507,RoR!$E:$F,2,FALSE)</f>
        <v>6.4916666666666664E-2</v>
      </c>
      <c r="DE507" s="304">
        <f>HLOOKUP($H507,'GDP-PI'!$D$8:$CQ$11,3,FALSE)</f>
        <v>1.5246423291824351E-2</v>
      </c>
      <c r="DF507" s="303">
        <f>VLOOKUP(H507,'HW Dx Data'!$E:$F,2,FALSE)</f>
        <v>361.34816573413599</v>
      </c>
      <c r="DG507" s="89"/>
      <c r="DH507" s="89"/>
      <c r="DI507" s="89"/>
      <c r="DJ507" s="56"/>
      <c r="DK507" s="53">
        <f>HLOOKUP(H507,'GDP-PI'!$8:$9,2,FALSE)</f>
        <v>81.039000000000001</v>
      </c>
      <c r="DL507" s="355">
        <f>LN(DK507/DK506)</f>
        <v>1.513136459537477E-2</v>
      </c>
      <c r="EC507"/>
    </row>
    <row r="508" spans="1:133" s="126" customFormat="1" ht="21" customHeight="1" x14ac:dyDescent="0.4">
      <c r="A508" s="233" t="s">
        <v>212</v>
      </c>
      <c r="B508" s="127" t="s">
        <v>212</v>
      </c>
      <c r="C508" s="127">
        <v>4057090</v>
      </c>
      <c r="D508" s="127" t="s">
        <v>209</v>
      </c>
      <c r="E508" s="127"/>
      <c r="F508" s="127"/>
      <c r="G508" s="127" t="s">
        <v>159</v>
      </c>
      <c r="H508" s="128">
        <v>2003</v>
      </c>
      <c r="I508" s="129"/>
      <c r="J508" s="125"/>
      <c r="K508" s="125"/>
      <c r="L508" s="47"/>
      <c r="M508" s="125"/>
      <c r="N508" s="125"/>
      <c r="O508" s="125"/>
      <c r="P508" s="59"/>
      <c r="Q508" s="59"/>
      <c r="R508" s="386"/>
      <c r="S508" s="119"/>
      <c r="T508" s="59"/>
      <c r="U508" s="59"/>
      <c r="V508" s="125"/>
      <c r="W508" s="125"/>
      <c r="X508" s="125"/>
      <c r="Y508" s="125"/>
      <c r="Z508" s="125"/>
      <c r="AA508" s="125"/>
      <c r="AB508" s="125"/>
      <c r="AC508" s="125">
        <f t="shared" si="932"/>
        <v>12373.214370683218</v>
      </c>
      <c r="AD508" s="129"/>
      <c r="AE508" s="133">
        <v>1303.450006137168</v>
      </c>
      <c r="AF508" s="134">
        <v>7.9435973851954111E-2</v>
      </c>
      <c r="AG508" s="61"/>
      <c r="AH508" s="134"/>
      <c r="AI508" s="134"/>
      <c r="AJ508" s="129">
        <f t="shared" si="889"/>
        <v>12373.214370683218</v>
      </c>
      <c r="AK508" s="134"/>
      <c r="AL508" s="129"/>
      <c r="AM508" s="129"/>
      <c r="AN508" s="129"/>
      <c r="AO508" s="129"/>
      <c r="AP508" s="133"/>
      <c r="AQ508" s="134"/>
      <c r="AR508" s="93"/>
      <c r="AS508" s="93"/>
      <c r="AT508" s="93"/>
      <c r="AU508" s="93"/>
      <c r="AV508" s="93"/>
      <c r="AW508" s="134"/>
      <c r="AX508" s="62"/>
      <c r="AY508" s="93"/>
      <c r="AZ508" s="93"/>
      <c r="BA508" s="93"/>
      <c r="BB508" s="234">
        <f>IFERROR(INDEX('Total Customers'!$E$7:$AA$91,MATCH($C508,'Total Customers'!$C$7:$C$91,0),MATCH($G508,'Total Customers'!$E$5:$AA$5,0)),"NA")</f>
        <v>312151</v>
      </c>
      <c r="BC508" s="411">
        <f t="shared" si="846"/>
        <v>1.227100225010924E-2</v>
      </c>
      <c r="BD508" s="92"/>
      <c r="BE508" s="281" t="str">
        <f t="shared" si="839"/>
        <v>LOUISVILLE GAS AND ELECTRIC COMPANY</v>
      </c>
      <c r="BF508" s="290">
        <f t="shared" si="840"/>
        <v>4057090</v>
      </c>
      <c r="BG508" s="46" t="str">
        <f t="shared" si="841"/>
        <v>KY</v>
      </c>
      <c r="BH508" s="46"/>
      <c r="BI508" s="46" t="str">
        <f t="shared" si="842"/>
        <v>2003 Y</v>
      </c>
      <c r="BJ508" s="129"/>
      <c r="BK508" s="129"/>
      <c r="BL508" s="129">
        <f>INDEX('Dist. Plant Gas Additions'!$E$7:$AD$91,MATCH($C508,'Dist. Plant Gas Additions'!$C$7:$C$91,0),MATCH(Calculation!$G508,'Dist. Plant Gas Additions'!$E$5:$AD$5,0))</f>
        <v>39077</v>
      </c>
      <c r="BM508" s="129">
        <f>INDEX('Gen. Plant Additions'!$E$7:$AD$91,MATCH($C508,'Gen. Plant Additions'!$C$7:$C$91,0),MATCH(Calculation!$G508,'Gen. Plant Additions'!$E$5:$AD$5,0))</f>
        <v>176</v>
      </c>
      <c r="BN508" s="393">
        <f t="shared" si="933"/>
        <v>0.97777727397532876</v>
      </c>
      <c r="BO508" s="46">
        <f t="shared" si="930"/>
        <v>172.08880021965786</v>
      </c>
      <c r="BP508" s="46">
        <f t="shared" si="931"/>
        <v>-3.9111997803421445</v>
      </c>
      <c r="BQ508" s="129">
        <f>INDEX('Dist Plant Depreciation'!$D$7:$AC$94,MATCH($C508,'Dist Plant Depreciation'!$C$7:$C$94,0),MATCH(Calculation!$G508,'Dist Plant Depreciation'!$D$5:$AC$5,0))</f>
        <v>116219</v>
      </c>
      <c r="BR508" s="129">
        <f>INDEX('Gen. Plant Depreciation'!$D$7:$AC$94,MATCH($C508,'Gen. Plant Depreciation'!$C$7:$C$94,0),MATCH(Calculation!$G508,'Gen. Plant Depreciation'!$D$5:$AC$5,0))</f>
        <v>4923</v>
      </c>
      <c r="BS508" s="129"/>
      <c r="BT508" s="129"/>
      <c r="BU508" s="129"/>
      <c r="BV508" s="129"/>
      <c r="BW508" s="129"/>
      <c r="BX508" s="129"/>
      <c r="BY508" s="129">
        <f>INDEX('Gross Dx Plant'!$D$7:$AC$91,MATCH($C508,'Gross Dx Plant'!$C$7:$C$91,0),MATCH(Calculation!$G508,'Gross Dx Plant'!$D$5:$AC$5,0))</f>
        <v>388159</v>
      </c>
      <c r="BZ508" s="129">
        <f>INDEX('Gross Gen Plant'!$D$7:$AC$91,MATCH($C508,'Gross Gen Plant'!$C$7:$C$91,0),MATCH(Calculation!$G508,'Gross Gen Plant'!$D$5:$AC$5,0))</f>
        <v>8822</v>
      </c>
      <c r="CA508" s="129">
        <f t="shared" si="885"/>
        <v>275839</v>
      </c>
      <c r="CB508" s="129"/>
      <c r="CC508" s="133">
        <v>2003</v>
      </c>
      <c r="CD508" s="129"/>
      <c r="CE508" s="129"/>
      <c r="CF508" s="129"/>
      <c r="CG508" s="137"/>
      <c r="CH508" s="129">
        <f t="shared" si="934"/>
        <v>39253</v>
      </c>
      <c r="CI508" s="46">
        <f t="shared" si="943"/>
        <v>39249.088800219659</v>
      </c>
      <c r="CJ508" s="46">
        <f t="shared" si="935"/>
        <v>106.29897012360883</v>
      </c>
      <c r="CK508" s="443">
        <v>0.94845360824742264</v>
      </c>
      <c r="CL508" s="46">
        <f>+CL503*CK508+CJ504*CK507+CJ505*CK506+CJ506*CK505+CJ507*CK504+CJ508</f>
        <v>1275.9400144817032</v>
      </c>
      <c r="CM508" s="134">
        <f t="shared" si="936"/>
        <v>7.5932237617511764E-2</v>
      </c>
      <c r="CN508" s="135">
        <f t="shared" si="937"/>
        <v>1.0993162231404762E-2</v>
      </c>
      <c r="CO508" s="135">
        <f t="shared" si="946"/>
        <v>1.0712861038929352E-2</v>
      </c>
      <c r="CP508" s="134">
        <f>VLOOKUP($H508,RoR!$E:$F,2,FALSE)</f>
        <v>5.6666666666666671E-2</v>
      </c>
      <c r="CQ508" s="135">
        <v>1.8855119140166909E-2</v>
      </c>
      <c r="CR508" s="135">
        <f t="shared" si="944"/>
        <v>3.7811547526499761E-2</v>
      </c>
      <c r="CS508" s="135">
        <f t="shared" si="947"/>
        <v>2.0189080569604272E-2</v>
      </c>
      <c r="CT508" s="135">
        <f t="shared" si="948"/>
        <v>2.1375012817671957E-2</v>
      </c>
      <c r="CU508" s="139">
        <f t="shared" si="938"/>
        <v>0.85466708209999998</v>
      </c>
      <c r="CV508" s="335">
        <f t="shared" si="939"/>
        <v>0.90497737556561086</v>
      </c>
      <c r="CW508" s="335">
        <f t="shared" si="940"/>
        <v>0.5338235294117647</v>
      </c>
      <c r="CX508" s="335">
        <f t="shared" si="941"/>
        <v>0.88972433127405692</v>
      </c>
      <c r="CY508" s="335">
        <f t="shared" si="942"/>
        <v>0.42982423775949252</v>
      </c>
      <c r="CZ508" s="336">
        <f>INDEX('State Tax Lookup'!$D$7:$Z$91,MATCH(Calculation!$C508,'State Tax Lookup'!$B$7:$B$91,0),MATCH($H508,'State Tax Lookup'!$D$6:$Z$6,0))</f>
        <v>0.39279166999999998</v>
      </c>
      <c r="DA508" s="303">
        <v>0.37</v>
      </c>
      <c r="DB508" s="57">
        <f t="shared" si="945"/>
        <v>10.462349689941147</v>
      </c>
      <c r="DC508" s="56">
        <f t="shared" si="949"/>
        <v>8.7187195552681993E-3</v>
      </c>
      <c r="DD508" s="303">
        <f>VLOOKUP($H508,RoR!$E:$F,2,FALSE)</f>
        <v>5.6666666666666671E-2</v>
      </c>
      <c r="DE508" s="304">
        <f>HLOOKUP($H508,'GDP-PI'!$D$8:$CQ$11,3,FALSE)</f>
        <v>1.8855119140166909E-2</v>
      </c>
      <c r="DF508" s="303">
        <f>VLOOKUP(H508,'HW Dx Data'!$E:$F,2,FALSE)</f>
        <v>369.23301095560191</v>
      </c>
      <c r="DG508" s="89">
        <f ca="1">VLOOKUP(CC508,'ECI - Input Price'!M$13:N$33,2,FALSE)</f>
        <v>89.25</v>
      </c>
      <c r="DH508" s="89"/>
      <c r="DI508" s="89"/>
      <c r="DJ508" s="56"/>
      <c r="DK508" s="53">
        <f>HLOOKUP(H508,'GDP-PI'!$8:$9,2,FALSE)</f>
        <v>82.566999999999993</v>
      </c>
      <c r="DL508" s="355">
        <f t="shared" ref="DL508:DL527" si="950">LN(DK508/DK507)</f>
        <v>1.8679564681853753E-2</v>
      </c>
      <c r="EC508"/>
    </row>
    <row r="509" spans="1:133" s="126" customFormat="1" ht="21" customHeight="1" x14ac:dyDescent="0.4">
      <c r="A509" s="233" t="s">
        <v>212</v>
      </c>
      <c r="B509" s="127" t="s">
        <v>212</v>
      </c>
      <c r="C509" s="127">
        <v>4057090</v>
      </c>
      <c r="D509" s="127" t="s">
        <v>209</v>
      </c>
      <c r="E509" s="127"/>
      <c r="F509" s="127"/>
      <c r="G509" s="127" t="s">
        <v>160</v>
      </c>
      <c r="H509" s="128">
        <v>2004</v>
      </c>
      <c r="I509" s="129"/>
      <c r="J509" s="125">
        <f>IFERROR(INDEX('Labor Expenditures'!$E$7:$W$91,MATCH($C509,'Labor Expenditures'!$C$7:$C$91,0),MATCH($G509,'Labor Expenditures'!$E$5:$W$5,0)),"NA")</f>
        <v>17341.361836883279</v>
      </c>
      <c r="K509" s="125">
        <f t="shared" ref="K509:K527" ca="1" si="951">+J509/DG509</f>
        <v>183.7982176670194</v>
      </c>
      <c r="L509" s="47"/>
      <c r="M509" s="131"/>
      <c r="N509" s="131"/>
      <c r="O509" s="131"/>
      <c r="P509" s="59"/>
      <c r="Q509" s="59"/>
      <c r="R509" s="386"/>
      <c r="S509" s="119"/>
      <c r="T509" s="59"/>
      <c r="U509" s="59"/>
      <c r="V509" s="125">
        <f>IFERROR(INDEX('Non-Labor Expenditures'!$E$7:$AA$91,MATCH($C509,'Non-Labor Expenditures'!$C$7:$C$91,0),MATCH($G509,'Non-Labor Expenditures'!$E$5:$AA$5,0)),"NA")</f>
        <v>25113.530859423179</v>
      </c>
      <c r="W509" s="125">
        <f t="shared" ref="W509:W527" si="952">+V509/DK509</f>
        <v>296.22697939823041</v>
      </c>
      <c r="X509" s="125"/>
      <c r="Y509" s="125"/>
      <c r="Z509" s="125"/>
      <c r="AA509" s="125"/>
      <c r="AB509" s="125"/>
      <c r="AC509" s="125">
        <f t="shared" si="932"/>
        <v>14593.061156845053</v>
      </c>
      <c r="AD509" s="129"/>
      <c r="AE509" s="133">
        <v>1339.6020652756904</v>
      </c>
      <c r="AF509" s="134">
        <v>2.7358003549532498E-2</v>
      </c>
      <c r="AG509" s="59">
        <f t="shared" ref="AG509:AG527" si="953">+AF509*$AX509</f>
        <v>0</v>
      </c>
      <c r="AH509" s="134"/>
      <c r="AI509" s="134"/>
      <c r="AJ509" s="129">
        <f t="shared" si="889"/>
        <v>57047.953853151514</v>
      </c>
      <c r="AK509" s="134"/>
      <c r="AL509" s="129"/>
      <c r="AM509" s="129"/>
      <c r="AN509" s="129"/>
      <c r="AO509" s="129"/>
      <c r="AP509" s="133"/>
      <c r="AQ509" s="134"/>
      <c r="AR509" s="93">
        <f t="shared" ref="AR509:AR527" si="954">+J509/AJ509</f>
        <v>0.30397868224199748</v>
      </c>
      <c r="AS509" s="93">
        <f t="shared" ref="AS509:AS527" si="955">+V509/AJ509</f>
        <v>0.440217907272687</v>
      </c>
      <c r="AT509" s="93">
        <f t="shared" ref="AT509:AT527" si="956">+AC509/AJ509</f>
        <v>0.25580341048531552</v>
      </c>
      <c r="AU509" s="93"/>
      <c r="AV509" s="93"/>
      <c r="AW509" s="134"/>
      <c r="AX509" s="62"/>
      <c r="AY509" s="93"/>
      <c r="AZ509" s="93"/>
      <c r="BA509" s="93"/>
      <c r="BB509" s="234">
        <f>IFERROR(INDEX('Total Customers'!$E$7:$AA$91,MATCH($C509,'Total Customers'!$C$7:$C$91,0),MATCH($G509,'Total Customers'!$E$5:$AA$5,0)),"NA")</f>
        <v>316311</v>
      </c>
      <c r="BC509" s="411">
        <f t="shared" si="846"/>
        <v>1.3238861726591451E-2</v>
      </c>
      <c r="BD509" s="92"/>
      <c r="BE509" s="281" t="str">
        <f t="shared" si="839"/>
        <v>LOUISVILLE GAS AND ELECTRIC COMPANY</v>
      </c>
      <c r="BF509" s="290">
        <f t="shared" si="840"/>
        <v>4057090</v>
      </c>
      <c r="BG509" s="46" t="str">
        <f t="shared" si="841"/>
        <v>KY</v>
      </c>
      <c r="BH509" s="46"/>
      <c r="BI509" s="46" t="str">
        <f t="shared" si="842"/>
        <v>2004 Y</v>
      </c>
      <c r="BJ509" s="129"/>
      <c r="BK509" s="129"/>
      <c r="BL509" s="129">
        <f>INDEX('Dist. Plant Gas Additions'!$E$7:$AD$91,MATCH($C509,'Dist. Plant Gas Additions'!$C$7:$C$91,0),MATCH(Calculation!$G509,'Dist. Plant Gas Additions'!$E$5:$AD$5,0))</f>
        <v>17399</v>
      </c>
      <c r="BM509" s="129">
        <f>INDEX('Gen. Plant Additions'!$E$7:$AD$91,MATCH($C509,'Gen. Plant Additions'!$C$7:$C$91,0),MATCH(Calculation!$G509,'Gen. Plant Additions'!$E$5:$AD$5,0))</f>
        <v>720</v>
      </c>
      <c r="BN509" s="393">
        <f t="shared" si="933"/>
        <v>0.97761361578852068</v>
      </c>
      <c r="BO509" s="46">
        <f t="shared" si="930"/>
        <v>703.88180336773485</v>
      </c>
      <c r="BP509" s="46">
        <f t="shared" si="931"/>
        <v>-16.118196632265153</v>
      </c>
      <c r="BQ509" s="129">
        <f>INDEX('Dist Plant Depreciation'!$D$7:$AC$94,MATCH($C509,'Dist Plant Depreciation'!$C$7:$C$94,0),MATCH(Calculation!$G509,'Dist Plant Depreciation'!$D$5:$AC$5,0))</f>
        <v>127007</v>
      </c>
      <c r="BR509" s="129">
        <f>INDEX('Gen. Plant Depreciation'!$D$7:$AC$94,MATCH($C509,'Gen. Plant Depreciation'!$C$7:$C$94,0),MATCH(Calculation!$G509,'Gen. Plant Depreciation'!$D$5:$AC$5,0))</f>
        <v>5886</v>
      </c>
      <c r="BS509" s="129"/>
      <c r="BT509" s="129"/>
      <c r="BU509" s="129"/>
      <c r="BV509" s="129"/>
      <c r="BW509" s="129"/>
      <c r="BX509" s="129"/>
      <c r="BY509" s="129">
        <f>INDEX('Gross Dx Plant'!$D$7:$AC$91,MATCH($C509,'Gross Dx Plant'!$C$7:$C$91,0),MATCH(Calculation!$G509,'Gross Dx Plant'!$D$5:$AC$5,0))</f>
        <v>404952</v>
      </c>
      <c r="BZ509" s="129">
        <f>INDEX('Gross Gen Plant'!$D$7:$AC$91,MATCH($C509,'Gross Gen Plant'!$C$7:$C$91,0),MATCH(Calculation!$G509,'Gross Gen Plant'!$D$5:$AC$5,0))</f>
        <v>9273</v>
      </c>
      <c r="CA509" s="129">
        <f t="shared" si="885"/>
        <v>281332</v>
      </c>
      <c r="CB509" s="129"/>
      <c r="CC509" s="133">
        <v>2004</v>
      </c>
      <c r="CD509" s="129"/>
      <c r="CE509" s="129"/>
      <c r="CF509" s="129"/>
      <c r="CG509" s="137"/>
      <c r="CH509" s="129">
        <f t="shared" si="934"/>
        <v>18119</v>
      </c>
      <c r="CI509" s="46">
        <f t="shared" si="943"/>
        <v>18102.881803367734</v>
      </c>
      <c r="CJ509" s="46">
        <f t="shared" si="935"/>
        <v>43.6332626812681</v>
      </c>
      <c r="CK509" s="443">
        <v>0.9375</v>
      </c>
      <c r="CL509" s="46">
        <f>+CL503*CK509+CJ504*CK508+CJ505*CK507+CJ506*CK506+CJ507*CK505+CJ508*CK504+CJ509</f>
        <v>1305.2504771154149</v>
      </c>
      <c r="CM509" s="134">
        <f t="shared" si="936"/>
        <v>2.2711785620824806E-2</v>
      </c>
      <c r="CN509" s="135">
        <f t="shared" si="937"/>
        <v>1.1225292635229729E-2</v>
      </c>
      <c r="CO509" s="135">
        <f t="shared" si="946"/>
        <v>1.1181961516974417E-2</v>
      </c>
      <c r="CP509" s="134">
        <f>VLOOKUP($H509,RoR!$E:$F,2,FALSE)</f>
        <v>5.6283333333333331E-2</v>
      </c>
      <c r="CQ509" s="135">
        <v>2.6778252812867276E-2</v>
      </c>
      <c r="CR509" s="135">
        <f t="shared" si="944"/>
        <v>2.9505080520466055E-2</v>
      </c>
      <c r="CS509" s="135">
        <f t="shared" si="947"/>
        <v>1.971998009155921E-2</v>
      </c>
      <c r="CT509" s="135">
        <f t="shared" si="948"/>
        <v>5.5940039414565046E-2</v>
      </c>
      <c r="CU509" s="139">
        <f t="shared" si="938"/>
        <v>0.85466708209999998</v>
      </c>
      <c r="CV509" s="335">
        <f t="shared" si="939"/>
        <v>0.91114097628755619</v>
      </c>
      <c r="CW509" s="335">
        <f t="shared" si="940"/>
        <v>0.53081877405981637</v>
      </c>
      <c r="CX509" s="335">
        <f t="shared" si="941"/>
        <v>0.88811215519385678</v>
      </c>
      <c r="CY509" s="335">
        <f t="shared" si="942"/>
        <v>0.42953609753547711</v>
      </c>
      <c r="CZ509" s="336">
        <f>INDEX('State Tax Lookup'!$D$7:$Z$91,MATCH(Calculation!$C509,'State Tax Lookup'!$B$7:$B$91,0),MATCH($H509,'State Tax Lookup'!$D$6:$Z$6,0))</f>
        <v>0.39279166999999998</v>
      </c>
      <c r="DA509" s="303">
        <v>0.37</v>
      </c>
      <c r="DB509" s="57">
        <f t="shared" si="945"/>
        <v>11.43710596988595</v>
      </c>
      <c r="DC509" s="56">
        <f t="shared" si="949"/>
        <v>8.9079910128269477E-2</v>
      </c>
      <c r="DD509" s="303">
        <f>VLOOKUP($H509,RoR!$E:$F,2,FALSE)</f>
        <v>5.6283333333333331E-2</v>
      </c>
      <c r="DE509" s="304">
        <f>HLOOKUP($H509,'GDP-PI'!$D$8:$CQ$11,3,FALSE)</f>
        <v>2.6778252812867276E-2</v>
      </c>
      <c r="DF509" s="303">
        <f>VLOOKUP(H509,'HW Dx Data'!$E:$F,2,FALSE)</f>
        <v>414.88719135228365</v>
      </c>
      <c r="DG509" s="89">
        <f ca="1">VLOOKUP(CC509,'ECI - Input Price'!M$13:N$33,2,FALSE)</f>
        <v>94.35</v>
      </c>
      <c r="DH509" s="89"/>
      <c r="DI509" s="89"/>
      <c r="DJ509" s="56">
        <f t="shared" ref="DJ509:DJ527" ca="1" si="957">LN(DG509/DG508)</f>
        <v>5.5569851154810786E-2</v>
      </c>
      <c r="DK509" s="53">
        <f>HLOOKUP(H509,'GDP-PI'!$8:$9,2,FALSE)</f>
        <v>84.778000000000006</v>
      </c>
      <c r="DL509" s="355">
        <f t="shared" si="950"/>
        <v>2.6425990216022755E-2</v>
      </c>
      <c r="EC509"/>
    </row>
    <row r="510" spans="1:133" s="126" customFormat="1" ht="21" customHeight="1" x14ac:dyDescent="0.4">
      <c r="A510" s="233" t="s">
        <v>212</v>
      </c>
      <c r="B510" s="127" t="s">
        <v>212</v>
      </c>
      <c r="C510" s="127">
        <v>4057090</v>
      </c>
      <c r="D510" s="127" t="s">
        <v>209</v>
      </c>
      <c r="E510" s="127"/>
      <c r="F510" s="127"/>
      <c r="G510" s="127" t="s">
        <v>161</v>
      </c>
      <c r="H510" s="128">
        <v>2005</v>
      </c>
      <c r="I510" s="129"/>
      <c r="J510" s="125">
        <f>IFERROR(INDEX('Labor Expenditures'!$E$7:$W$91,MATCH($C510,'Labor Expenditures'!$C$7:$C$91,0),MATCH($G510,'Labor Expenditures'!$E$5:$W$5,0)),"NA")</f>
        <v>17986.637902296035</v>
      </c>
      <c r="K510" s="125">
        <f t="shared" ca="1" si="951"/>
        <v>181.27123106370408</v>
      </c>
      <c r="L510" s="47"/>
      <c r="M510" s="131">
        <f t="shared" ref="M510:M526" ca="1" si="958">LN(K510/K509)</f>
        <v>-1.3844088963934062E-2</v>
      </c>
      <c r="N510" s="131"/>
      <c r="O510" s="131"/>
      <c r="P510" s="59"/>
      <c r="Q510" s="61"/>
      <c r="R510" s="387"/>
      <c r="S510" s="49">
        <v>100</v>
      </c>
      <c r="T510" s="46"/>
      <c r="U510" s="46"/>
      <c r="V510" s="125">
        <f>IFERROR(INDEX('Non-Labor Expenditures'!$E$7:$AA$91,MATCH($C510,'Non-Labor Expenditures'!$C$7:$C$91,0),MATCH($G510,'Non-Labor Expenditures'!$E$5:$AA$5,0)),"NA")</f>
        <v>26048.011123085274</v>
      </c>
      <c r="W510" s="125">
        <f t="shared" si="952"/>
        <v>298.00829593837193</v>
      </c>
      <c r="X510" s="131">
        <f>LN(W510/W509)</f>
        <v>5.9953420799023121E-3</v>
      </c>
      <c r="Y510" s="131"/>
      <c r="Z510" s="131"/>
      <c r="AA510" s="131"/>
      <c r="AB510" s="131"/>
      <c r="AC510" s="125">
        <f t="shared" si="932"/>
        <v>16770.582294358202</v>
      </c>
      <c r="AD510" s="129"/>
      <c r="AE510" s="133">
        <v>1377.3348795137863</v>
      </c>
      <c r="AF510" s="134">
        <v>2.7777781531074835E-2</v>
      </c>
      <c r="AG510" s="59">
        <f t="shared" si="953"/>
        <v>0</v>
      </c>
      <c r="AH510" s="134"/>
      <c r="AI510" s="134"/>
      <c r="AJ510" s="129">
        <f t="shared" si="889"/>
        <v>60805.231319739512</v>
      </c>
      <c r="AK510" s="134">
        <f>LN(AJ510/AJ509)</f>
        <v>6.378361690082085E-2</v>
      </c>
      <c r="AL510" s="129"/>
      <c r="AM510" s="129"/>
      <c r="AN510" s="129"/>
      <c r="AO510" s="129"/>
      <c r="AP510" s="133"/>
      <c r="AQ510" s="134"/>
      <c r="AR510" s="93">
        <f t="shared" si="954"/>
        <v>0.29580740853882653</v>
      </c>
      <c r="AS510" s="93">
        <f t="shared" si="955"/>
        <v>0.42838437676708874</v>
      </c>
      <c r="AT510" s="93">
        <f t="shared" si="956"/>
        <v>0.27580821469408479</v>
      </c>
      <c r="AU510" s="93">
        <f t="shared" ref="AU510:AU526" ca="1" si="959">+(((AR510+AR509)/2)*M510+((AS509+AS510)/2)*X510+((AT509+AT510)/2)*AF510)</f>
        <v>5.8355337038579957E-3</v>
      </c>
      <c r="AV510" s="132">
        <v>100</v>
      </c>
      <c r="AW510" s="134"/>
      <c r="AX510" s="15"/>
      <c r="AY510" s="93"/>
      <c r="AZ510" s="93"/>
      <c r="BA510" s="93"/>
      <c r="BB510" s="234">
        <f>IFERROR(INDEX('Total Customers'!$E$7:$AA$91,MATCH($C510,'Total Customers'!$C$7:$C$91,0),MATCH($G510,'Total Customers'!$E$5:$AA$5,0)),"NA")</f>
        <v>320305</v>
      </c>
      <c r="BC510" s="411">
        <f t="shared" si="846"/>
        <v>1.2547760041322832E-2</v>
      </c>
      <c r="BD510" s="92"/>
      <c r="BE510" s="281" t="str">
        <f t="shared" si="839"/>
        <v>LOUISVILLE GAS AND ELECTRIC COMPANY</v>
      </c>
      <c r="BF510" s="290">
        <f t="shared" si="840"/>
        <v>4057090</v>
      </c>
      <c r="BG510" s="46" t="str">
        <f t="shared" si="841"/>
        <v>KY</v>
      </c>
      <c r="BH510" s="46"/>
      <c r="BI510" s="46" t="str">
        <f t="shared" si="842"/>
        <v>2005 Y</v>
      </c>
      <c r="BJ510" s="129"/>
      <c r="BK510" s="129"/>
      <c r="BL510" s="129">
        <f>INDEX('Dist. Plant Gas Additions'!$E$7:$AD$91,MATCH($C510,'Dist. Plant Gas Additions'!$C$7:$C$91,0),MATCH(Calculation!$G510,'Dist. Plant Gas Additions'!$E$5:$AD$5,0))</f>
        <v>20975</v>
      </c>
      <c r="BM510" s="129">
        <f>INDEX('Gen. Plant Additions'!$E$7:$AD$91,MATCH($C510,'Gen. Plant Additions'!$C$7:$C$91,0),MATCH(Calculation!$G510,'Gen. Plant Additions'!$E$5:$AD$5,0))</f>
        <v>474</v>
      </c>
      <c r="BN510" s="393">
        <f t="shared" si="933"/>
        <v>0.97762776755096703</v>
      </c>
      <c r="BO510" s="46">
        <f t="shared" si="930"/>
        <v>463.39556181915839</v>
      </c>
      <c r="BP510" s="46">
        <f t="shared" si="931"/>
        <v>-10.604438180841612</v>
      </c>
      <c r="BQ510" s="129">
        <f>INDEX('Dist Plant Depreciation'!$D$7:$AC$94,MATCH($C510,'Dist Plant Depreciation'!$C$7:$C$94,0),MATCH(Calculation!$G510,'Dist Plant Depreciation'!$D$5:$AC$5,0))</f>
        <v>137543</v>
      </c>
      <c r="BR510" s="129">
        <f>INDEX('Gen. Plant Depreciation'!$D$7:$AC$94,MATCH($C510,'Gen. Plant Depreciation'!$C$7:$C$94,0),MATCH(Calculation!$G510,'Gen. Plant Depreciation'!$D$5:$AC$5,0))</f>
        <v>6413</v>
      </c>
      <c r="BS510" s="129"/>
      <c r="BT510" s="129"/>
      <c r="BU510" s="129"/>
      <c r="BV510" s="129"/>
      <c r="BW510" s="129"/>
      <c r="BX510" s="129"/>
      <c r="BY510" s="129">
        <f>INDEX('Gross Dx Plant'!$D$7:$AC$91,MATCH($C510,'Gross Dx Plant'!$C$7:$C$91,0),MATCH(Calculation!$G510,'Gross Dx Plant'!$D$5:$AC$5,0))</f>
        <v>425927</v>
      </c>
      <c r="BZ510" s="129">
        <f>INDEX('Gross Gen Plant'!$D$7:$AC$91,MATCH($C510,'Gross Gen Plant'!$C$7:$C$91,0),MATCH(Calculation!$G510,'Gross Gen Plant'!$D$5:$AC$5,0))</f>
        <v>9747</v>
      </c>
      <c r="CA510" s="129">
        <f t="shared" ref="CA510:CA579" si="960">IF(OR(BQ510="NA",BR510="NA"),"NA",(SUM(BY510:BZ510)-SUM(BQ510:BR510)))</f>
        <v>291718</v>
      </c>
      <c r="CB510" s="129"/>
      <c r="CC510" s="133">
        <v>2005</v>
      </c>
      <c r="CD510" s="129"/>
      <c r="CE510" s="129"/>
      <c r="CF510" s="129"/>
      <c r="CG510" s="137"/>
      <c r="CH510" s="129">
        <f t="shared" si="934"/>
        <v>21449</v>
      </c>
      <c r="CI510" s="46">
        <f t="shared" si="943"/>
        <v>21438.395561819158</v>
      </c>
      <c r="CJ510" s="46">
        <f t="shared" si="935"/>
        <v>45.690879571047482</v>
      </c>
      <c r="CK510" s="443">
        <v>0.9263157894736842</v>
      </c>
      <c r="CL510" s="46">
        <f>+CL503*CK510+CJ504*CK509+CJ505*CK508+CJ506*CK507+CJ507*CK506+CJ508*CK505+CJ509*CK504+CJ510</f>
        <v>1335.8876755844547</v>
      </c>
      <c r="CM510" s="134">
        <f t="shared" si="936"/>
        <v>2.320103757448929E-2</v>
      </c>
      <c r="CN510" s="135">
        <f t="shared" si="937"/>
        <v>1.153317418069532E-2</v>
      </c>
      <c r="CO510" s="135">
        <f t="shared" si="946"/>
        <v>1.1250543015776604E-2</v>
      </c>
      <c r="CP510" s="134">
        <f>VLOOKUP($H510,RoR!$E:$F,2,FALSE)</f>
        <v>5.2350000000000001E-2</v>
      </c>
      <c r="CQ510" s="135">
        <v>3.1010403642454332E-2</v>
      </c>
      <c r="CR510" s="135">
        <f t="shared" si="944"/>
        <v>2.1339596357545669E-2</v>
      </c>
      <c r="CS510" s="135">
        <f t="shared" si="947"/>
        <v>1.9651398592757021E-2</v>
      </c>
      <c r="CT510" s="135">
        <f t="shared" si="948"/>
        <v>9.2129610649277341E-2</v>
      </c>
      <c r="CU510" s="139">
        <f t="shared" si="938"/>
        <v>0.85466708209999998</v>
      </c>
      <c r="CV510" s="335">
        <f t="shared" si="939"/>
        <v>0.97959983346802826</v>
      </c>
      <c r="CW510" s="335">
        <f t="shared" si="940"/>
        <v>0.49744508118433622</v>
      </c>
      <c r="CX510" s="335">
        <f t="shared" si="941"/>
        <v>0.87010519444335932</v>
      </c>
      <c r="CY510" s="335">
        <f t="shared" si="942"/>
        <v>0.42399975420741998</v>
      </c>
      <c r="CZ510" s="336">
        <f>INDEX('State Tax Lookup'!$D$7:$Z$91,MATCH(Calculation!$C510,'State Tax Lookup'!$B$7:$B$91,0),MATCH($H510,'State Tax Lookup'!$D$6:$Z$6,0))</f>
        <v>0.39279166999999998</v>
      </c>
      <c r="DA510" s="303">
        <v>0.37</v>
      </c>
      <c r="DB510" s="57">
        <f t="shared" si="945"/>
        <v>12.848554808745179</v>
      </c>
      <c r="DC510" s="56">
        <f t="shared" si="949"/>
        <v>0.11636835948306923</v>
      </c>
      <c r="DD510" s="303">
        <f>VLOOKUP($H510,RoR!$E:$F,2,FALSE)</f>
        <v>5.2350000000000001E-2</v>
      </c>
      <c r="DE510" s="304">
        <f>HLOOKUP($H510,'GDP-PI'!$D$8:$CQ$11,3,FALSE)</f>
        <v>3.1010403642454332E-2</v>
      </c>
      <c r="DF510" s="303">
        <f>VLOOKUP(H510,'HW Dx Data'!$E:$F,2,FALSE)</f>
        <v>469.20514034936258</v>
      </c>
      <c r="DG510" s="89">
        <f ca="1">VLOOKUP(CC510,'ECI - Input Price'!M$13:N$33,2,FALSE)</f>
        <v>99.224999999999994</v>
      </c>
      <c r="DH510" s="89"/>
      <c r="DI510" s="89"/>
      <c r="DJ510" s="56">
        <f t="shared" ca="1" si="957"/>
        <v>5.0378726854569796E-2</v>
      </c>
      <c r="DK510" s="53">
        <f>HLOOKUP(H510,'GDP-PI'!$8:$9,2,FALSE)</f>
        <v>87.406999999999996</v>
      </c>
      <c r="DL510" s="355">
        <f t="shared" si="950"/>
        <v>3.0539295810733648E-2</v>
      </c>
      <c r="EC510"/>
    </row>
    <row r="511" spans="1:133" s="126" customFormat="1" ht="21" customHeight="1" x14ac:dyDescent="0.4">
      <c r="A511" s="233" t="s">
        <v>212</v>
      </c>
      <c r="B511" s="127" t="s">
        <v>212</v>
      </c>
      <c r="C511" s="127">
        <v>4057090</v>
      </c>
      <c r="D511" s="127" t="s">
        <v>209</v>
      </c>
      <c r="E511" s="127"/>
      <c r="F511" s="127"/>
      <c r="G511" s="127" t="s">
        <v>162</v>
      </c>
      <c r="H511" s="128">
        <v>2006</v>
      </c>
      <c r="I511" s="129"/>
      <c r="J511" s="125">
        <f>IFERROR(INDEX('Labor Expenditures'!$E$7:$W$91,MATCH($C511,'Labor Expenditures'!$C$7:$C$91,0),MATCH($G511,'Labor Expenditures'!$E$5:$W$5,0)),"NA")</f>
        <v>17238.250345341658</v>
      </c>
      <c r="K511" s="125">
        <f t="shared" ca="1" si="951"/>
        <v>157.57084410732776</v>
      </c>
      <c r="L511" s="47"/>
      <c r="M511" s="131">
        <f t="shared" ca="1" si="958"/>
        <v>-0.14011926278768011</v>
      </c>
      <c r="N511" s="131"/>
      <c r="O511" s="131"/>
      <c r="P511" s="59">
        <f t="shared" ref="P511:P527" ca="1" si="961">+M511*$AX511</f>
        <v>-1.1274372041594545E-3</v>
      </c>
      <c r="Q511" s="61"/>
      <c r="R511" s="387"/>
      <c r="S511" s="49">
        <f ca="1">+S510*EXP(T511)</f>
        <v>107.75013537816966</v>
      </c>
      <c r="T511" s="61">
        <f ca="1">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</f>
        <v>7.4644799404903886E-2</v>
      </c>
      <c r="U511" s="61"/>
      <c r="V511" s="125">
        <f>IFERROR(INDEX('Non-Labor Expenditures'!$E$7:$AA$91,MATCH($C511,'Non-Labor Expenditures'!$C$7:$C$91,0),MATCH($G511,'Non-Labor Expenditures'!$E$5:$AA$5,0)),"NA")</f>
        <v>24964.20616110081</v>
      </c>
      <c r="W511" s="125">
        <f t="shared" si="952"/>
        <v>277.15218776895455</v>
      </c>
      <c r="X511" s="131">
        <f t="shared" ref="X511:X526" si="962">LN(W511/W510)</f>
        <v>-7.2554555194382614E-2</v>
      </c>
      <c r="Y511" s="131">
        <f t="shared" ref="Y511:Y527" si="963">+X511*AX511</f>
        <v>-5.8379342875460689E-4</v>
      </c>
      <c r="Z511" s="131"/>
      <c r="AA511" s="131"/>
      <c r="AB511" s="131"/>
      <c r="AC511" s="125">
        <f t="shared" si="932"/>
        <v>16642.673078483778</v>
      </c>
      <c r="AD511" s="129"/>
      <c r="AE511" s="133">
        <v>1408.987542642094</v>
      </c>
      <c r="AF511" s="134">
        <v>2.2721006422916971E-2</v>
      </c>
      <c r="AG511" s="59">
        <f t="shared" si="953"/>
        <v>1.828193172551778E-4</v>
      </c>
      <c r="AH511" s="134"/>
      <c r="AI511" s="134"/>
      <c r="AJ511" s="129">
        <f t="shared" si="889"/>
        <v>58845.129584926246</v>
      </c>
      <c r="AK511" s="134">
        <f t="shared" ref="AK511:AK527" si="964">LN(AJ511/AJ510)</f>
        <v>-3.2766756246686811E-2</v>
      </c>
      <c r="AL511" s="129"/>
      <c r="AM511" s="129"/>
      <c r="AN511" s="129"/>
      <c r="AO511" s="129"/>
      <c r="AP511" s="133"/>
      <c r="AQ511" s="134">
        <f>+BB511/Outputs!$B$14</f>
        <v>9.3182381162909313E-3</v>
      </c>
      <c r="AR511" s="93">
        <f t="shared" si="954"/>
        <v>0.29294268645399335</v>
      </c>
      <c r="AS511" s="93">
        <f t="shared" si="955"/>
        <v>0.42423572413197025</v>
      </c>
      <c r="AT511" s="93">
        <f t="shared" si="956"/>
        <v>0.2828215894140364</v>
      </c>
      <c r="AU511" s="93">
        <f t="shared" ca="1" si="959"/>
        <v>-6.5832035039958978E-2</v>
      </c>
      <c r="AV511" s="132">
        <f ca="1">+AV510*EXP(AU511)</f>
        <v>93.628811468074076</v>
      </c>
      <c r="AW511" s="134">
        <f ca="1">LN(AV511/AV510)</f>
        <v>-6.5832035039958894E-2</v>
      </c>
      <c r="AX511" s="56">
        <f>+AJ511/$AL$11</f>
        <v>8.0462684553788827E-3</v>
      </c>
      <c r="AY511" s="135">
        <f ca="1">+AX511*AW511</f>
        <v>-5.2970222689541853E-4</v>
      </c>
      <c r="AZ511" s="93"/>
      <c r="BA511" s="93"/>
      <c r="BB511" s="234">
        <f>IFERROR(INDEX('Total Customers'!$E$7:$AA$91,MATCH($C511,'Total Customers'!$C$7:$C$91,0),MATCH($G511,'Total Customers'!$E$5:$AA$5,0)),"NA")</f>
        <v>323170</v>
      </c>
      <c r="BC511" s="411">
        <f t="shared" si="846"/>
        <v>8.9048336979992756E-3</v>
      </c>
      <c r="BD511" s="92"/>
      <c r="BE511" s="281" t="str">
        <f t="shared" si="839"/>
        <v>LOUISVILLE GAS AND ELECTRIC COMPANY</v>
      </c>
      <c r="BF511" s="290">
        <f t="shared" si="840"/>
        <v>4057090</v>
      </c>
      <c r="BG511" s="46" t="str">
        <f t="shared" si="841"/>
        <v>KY</v>
      </c>
      <c r="BH511" s="46"/>
      <c r="BI511" s="46" t="str">
        <f t="shared" si="842"/>
        <v>2006 Y</v>
      </c>
      <c r="BJ511" s="129"/>
      <c r="BK511" s="129"/>
      <c r="BL511" s="129">
        <f>INDEX('Dist. Plant Gas Additions'!$E$7:$AD$91,MATCH($C511,'Dist. Plant Gas Additions'!$C$7:$C$91,0),MATCH(Calculation!$G511,'Dist. Plant Gas Additions'!$E$5:$AD$5,0))</f>
        <v>17851</v>
      </c>
      <c r="BM511" s="129">
        <f>INDEX('Gen. Plant Additions'!$E$7:$AD$91,MATCH($C511,'Gen. Plant Additions'!$C$7:$C$91,0),MATCH(Calculation!$G511,'Gen. Plant Additions'!$E$5:$AD$5,0))</f>
        <v>649</v>
      </c>
      <c r="BN511" s="393">
        <f t="shared" si="933"/>
        <v>0.97703272381772699</v>
      </c>
      <c r="BO511" s="46">
        <f t="shared" si="930"/>
        <v>634.09423775770483</v>
      </c>
      <c r="BP511" s="46">
        <f t="shared" si="931"/>
        <v>-14.905762242295168</v>
      </c>
      <c r="BQ511" s="129">
        <f>INDEX('Dist Plant Depreciation'!$D$7:$AC$94,MATCH($C511,'Dist Plant Depreciation'!$C$7:$C$94,0),MATCH(Calculation!$G511,'Dist Plant Depreciation'!$D$5:$AC$5,0))</f>
        <v>146047</v>
      </c>
      <c r="BR511" s="129">
        <f>INDEX('Gen. Plant Depreciation'!$D$7:$AC$94,MATCH($C511,'Gen. Plant Depreciation'!$C$7:$C$94,0),MATCH(Calculation!$G511,'Gen. Plant Depreciation'!$D$5:$AC$5,0))</f>
        <v>6789</v>
      </c>
      <c r="BS511" s="129"/>
      <c r="BT511" s="129"/>
      <c r="BU511" s="129"/>
      <c r="BV511" s="129"/>
      <c r="BW511" s="129"/>
      <c r="BX511" s="129"/>
      <c r="BY511" s="129">
        <f>INDEX('Gross Dx Plant'!$D$7:$AC$91,MATCH($C511,'Gross Dx Plant'!$C$7:$C$91,0),MATCH(Calculation!$G511,'Gross Dx Plant'!$D$5:$AC$5,0))</f>
        <v>440121</v>
      </c>
      <c r="BZ511" s="129">
        <f>INDEX('Gross Gen Plant'!$D$7:$AC$91,MATCH($C511,'Gross Gen Plant'!$C$7:$C$91,0),MATCH(Calculation!$G511,'Gross Gen Plant'!$D$5:$AC$5,0))</f>
        <v>10346</v>
      </c>
      <c r="CA511" s="129">
        <f t="shared" si="960"/>
        <v>297631</v>
      </c>
      <c r="CB511" s="134"/>
      <c r="CC511" s="133">
        <v>2006</v>
      </c>
      <c r="CD511" s="129"/>
      <c r="CE511" s="129"/>
      <c r="CF511" s="129"/>
      <c r="CG511" s="137"/>
      <c r="CH511" s="129">
        <f t="shared" si="934"/>
        <v>18500</v>
      </c>
      <c r="CI511" s="46">
        <f t="shared" si="943"/>
        <v>18485.094237757705</v>
      </c>
      <c r="CJ511" s="46">
        <f t="shared" si="935"/>
        <v>40.090367866609903</v>
      </c>
      <c r="CK511" s="443">
        <v>0.91489361702127658</v>
      </c>
      <c r="CL511" s="46">
        <f>+CL503*CK511+CJ504*CK510+CJ505*CK509+CJ506*CK508+CJ507*CK507+CJ508*CK506+CJ509*CK505+CJ510*CK504+CJ511</f>
        <v>1360.1550128359145</v>
      </c>
      <c r="CM511" s="134">
        <f t="shared" si="936"/>
        <v>1.8002676860535454E-2</v>
      </c>
      <c r="CN511" s="135">
        <f t="shared" si="937"/>
        <v>1.1844581624894069E-2</v>
      </c>
      <c r="CO511" s="135">
        <f t="shared" si="946"/>
        <v>1.1534349480273038E-2</v>
      </c>
      <c r="CP511" s="134">
        <f>VLOOKUP($H511,RoR!$E:$F,2,FALSE)</f>
        <v>5.5874999999999994E-2</v>
      </c>
      <c r="CQ511" s="135">
        <v>3.0512430354548314E-2</v>
      </c>
      <c r="CR511" s="135">
        <f t="shared" si="944"/>
        <v>2.536256964545168E-2</v>
      </c>
      <c r="CS511" s="135">
        <f t="shared" si="947"/>
        <v>1.9367592128260586E-2</v>
      </c>
      <c r="CT511" s="135">
        <f t="shared" si="948"/>
        <v>7.9087823893859641E-2</v>
      </c>
      <c r="CU511" s="139">
        <f t="shared" si="938"/>
        <v>0.85466708209999998</v>
      </c>
      <c r="CV511" s="335">
        <f t="shared" si="939"/>
        <v>0.91779957551769631</v>
      </c>
      <c r="CW511" s="335">
        <f t="shared" si="940"/>
        <v>0.52757270693512304</v>
      </c>
      <c r="CX511" s="335">
        <f t="shared" si="941"/>
        <v>0.88636824549024895</v>
      </c>
      <c r="CY511" s="335">
        <f t="shared" si="942"/>
        <v>0.42918482841932087</v>
      </c>
      <c r="CZ511" s="336">
        <f>INDEX('State Tax Lookup'!$D$7:$Z$91,MATCH(Calculation!$C511,'State Tax Lookup'!$B$7:$B$91,0),MATCH($H511,'State Tax Lookup'!$D$6:$Z$6,0))</f>
        <v>0.39279166999999998</v>
      </c>
      <c r="DA511" s="303">
        <v>0.37</v>
      </c>
      <c r="DB511" s="57">
        <f t="shared" si="945"/>
        <v>12.45813804757392</v>
      </c>
      <c r="DC511" s="56">
        <f t="shared" si="949"/>
        <v>-3.0857270962153616E-2</v>
      </c>
      <c r="DD511" s="303">
        <f>VLOOKUP($H511,RoR!$E:$F,2,FALSE)</f>
        <v>5.5874999999999994E-2</v>
      </c>
      <c r="DE511" s="304">
        <f>HLOOKUP($H511,'GDP-PI'!$D$8:$CQ$11,3,FALSE)</f>
        <v>3.0512430354548314E-2</v>
      </c>
      <c r="DF511" s="303">
        <f>VLOOKUP(H511,'HW Dx Data'!$E:$F,2,FALSE)</f>
        <v>461.08567272971823</v>
      </c>
      <c r="DG511" s="89">
        <f ca="1">VLOOKUP(CC511,'ECI - Input Price'!M$13:N$33,2,FALSE)</f>
        <v>109.4</v>
      </c>
      <c r="DH511" s="89"/>
      <c r="DI511" s="89"/>
      <c r="DJ511" s="56">
        <f t="shared" ca="1" si="957"/>
        <v>9.7620891318751846E-2</v>
      </c>
      <c r="DK511" s="53">
        <f>HLOOKUP(H511,'GDP-PI'!$8:$9,2,FALSE)</f>
        <v>90.073999999999998</v>
      </c>
      <c r="DL511" s="355">
        <f t="shared" si="950"/>
        <v>3.005618372545445E-2</v>
      </c>
      <c r="EC511"/>
    </row>
    <row r="512" spans="1:133" s="126" customFormat="1" ht="21" customHeight="1" x14ac:dyDescent="0.4">
      <c r="A512" s="233" t="s">
        <v>212</v>
      </c>
      <c r="B512" s="127" t="s">
        <v>212</v>
      </c>
      <c r="C512" s="127">
        <v>4057090</v>
      </c>
      <c r="D512" s="127" t="s">
        <v>209</v>
      </c>
      <c r="E512" s="127"/>
      <c r="F512" s="127"/>
      <c r="G512" s="127" t="s">
        <v>163</v>
      </c>
      <c r="H512" s="128">
        <v>2007</v>
      </c>
      <c r="I512" s="129"/>
      <c r="J512" s="125">
        <f>IFERROR(INDEX('Labor Expenditures'!$E$7:$W$91,MATCH($C512,'Labor Expenditures'!$C$7:$C$91,0),MATCH($G512,'Labor Expenditures'!$E$5:$W$5,0)),"NA")</f>
        <v>17677.630636025351</v>
      </c>
      <c r="K512" s="125">
        <f t="shared" ca="1" si="951"/>
        <v>169.12346937120643</v>
      </c>
      <c r="L512" s="47"/>
      <c r="M512" s="131">
        <f t="shared" ca="1" si="958"/>
        <v>7.0753875178575384E-2</v>
      </c>
      <c r="N512" s="131"/>
      <c r="O512" s="131"/>
      <c r="P512" s="59">
        <f t="shared" ca="1" si="961"/>
        <v>5.6599973802576255E-4</v>
      </c>
      <c r="Q512" s="61"/>
      <c r="R512" s="387"/>
      <c r="S512" s="49">
        <f t="shared" ref="S512:S525" ca="1" si="965">+S511*EXP(T512)</f>
        <v>118.02772819538046</v>
      </c>
      <c r="T512" s="61">
        <f ca="1">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</f>
        <v>9.1104596174701874E-2</v>
      </c>
      <c r="U512" s="61"/>
      <c r="V512" s="125">
        <f>IFERROR(INDEX('Non-Labor Expenditures'!$E$7:$AA$91,MATCH($C512,'Non-Labor Expenditures'!$C$7:$C$91,0),MATCH($G512,'Non-Labor Expenditures'!$E$5:$AA$5,0)),"NA")</f>
        <v>25600.5108869291</v>
      </c>
      <c r="W512" s="125">
        <f t="shared" si="952"/>
        <v>276.76826403737482</v>
      </c>
      <c r="X512" s="131">
        <f t="shared" si="962"/>
        <v>-1.3862055167150819E-3</v>
      </c>
      <c r="Y512" s="131">
        <f t="shared" si="963"/>
        <v>-1.108903162307895E-5</v>
      </c>
      <c r="Z512" s="131"/>
      <c r="AA512" s="131"/>
      <c r="AB512" s="131"/>
      <c r="AC512" s="125">
        <f t="shared" si="932"/>
        <v>18041.395399242207</v>
      </c>
      <c r="AD512" s="129"/>
      <c r="AE512" s="133">
        <v>1452.7865943756306</v>
      </c>
      <c r="AF512" s="134">
        <v>3.0612109781193778E-2</v>
      </c>
      <c r="AG512" s="59">
        <f t="shared" si="953"/>
        <v>2.4488335194138022E-4</v>
      </c>
      <c r="AH512" s="134"/>
      <c r="AI512" s="134"/>
      <c r="AJ512" s="129">
        <f t="shared" si="889"/>
        <v>61319.536922196654</v>
      </c>
      <c r="AK512" s="134">
        <f t="shared" si="964"/>
        <v>4.1189431684655206E-2</v>
      </c>
      <c r="AL512" s="129"/>
      <c r="AM512" s="129"/>
      <c r="AN512" s="129"/>
      <c r="AO512" s="129"/>
      <c r="AP512" s="133"/>
      <c r="AQ512" s="134">
        <f>+BB512/Outputs!$B$15</f>
        <v>9.3165317429050234E-3</v>
      </c>
      <c r="AR512" s="93">
        <f t="shared" si="954"/>
        <v>0.28828708635642586</v>
      </c>
      <c r="AS512" s="93">
        <f t="shared" si="955"/>
        <v>0.41749354564453894</v>
      </c>
      <c r="AT512" s="93">
        <f t="shared" si="956"/>
        <v>0.29421936799903525</v>
      </c>
      <c r="AU512" s="93">
        <f t="shared" ca="1" si="959"/>
        <v>2.8810945087364745E-2</v>
      </c>
      <c r="AV512" s="132">
        <f ca="1">+AV511*EXP(AU512)</f>
        <v>96.365581167935616</v>
      </c>
      <c r="AW512" s="134">
        <f ca="1">LN(AV512/AV511)</f>
        <v>2.8810945087364766E-2</v>
      </c>
      <c r="AX512" s="56">
        <f>+AJ512/$AL$12</f>
        <v>7.9995581386494864E-3</v>
      </c>
      <c r="AY512" s="135">
        <f t="shared" ref="AY512:AY526" ca="1" si="966">+AX512*AW512</f>
        <v>2.3047483025581225E-4</v>
      </c>
      <c r="AZ512" s="93"/>
      <c r="BA512" s="93"/>
      <c r="BB512" s="234">
        <f>IFERROR(INDEX('Total Customers'!$E$7:$AA$91,MATCH($C512,'Total Customers'!$C$7:$C$91,0),MATCH($G512,'Total Customers'!$E$5:$AA$5,0)),"NA")</f>
        <v>325562</v>
      </c>
      <c r="BC512" s="411">
        <f t="shared" si="846"/>
        <v>7.3744191442598559E-3</v>
      </c>
      <c r="BD512" s="92"/>
      <c r="BE512" s="281" t="str">
        <f t="shared" si="839"/>
        <v>LOUISVILLE GAS AND ELECTRIC COMPANY</v>
      </c>
      <c r="BF512" s="290">
        <f t="shared" si="840"/>
        <v>4057090</v>
      </c>
      <c r="BG512" s="46" t="str">
        <f t="shared" si="841"/>
        <v>KY</v>
      </c>
      <c r="BH512" s="46"/>
      <c r="BI512" s="46" t="str">
        <f t="shared" si="842"/>
        <v>2007 Y</v>
      </c>
      <c r="BJ512" s="129"/>
      <c r="BK512" s="129"/>
      <c r="BL512" s="129">
        <f>INDEX('Dist. Plant Gas Additions'!$E$7:$AD$91,MATCH($C512,'Dist. Plant Gas Additions'!$C$7:$C$91,0),MATCH(Calculation!$G512,'Dist. Plant Gas Additions'!$E$5:$AD$5,0))</f>
        <v>25972</v>
      </c>
      <c r="BM512" s="129">
        <f>INDEX('Gen. Plant Additions'!$E$7:$AD$91,MATCH($C512,'Gen. Plant Additions'!$C$7:$C$91,0),MATCH(Calculation!$G512,'Gen. Plant Additions'!$E$5:$AD$5,0))</f>
        <v>299</v>
      </c>
      <c r="BN512" s="393">
        <f t="shared" si="933"/>
        <v>0.98091388534385859</v>
      </c>
      <c r="BO512" s="46">
        <f t="shared" si="930"/>
        <v>293.29325171781375</v>
      </c>
      <c r="BP512" s="46">
        <f t="shared" si="931"/>
        <v>-5.7067482821862541</v>
      </c>
      <c r="BQ512" s="129">
        <f>INDEX('Dist Plant Depreciation'!$D$7:$AC$94,MATCH($C512,'Dist Plant Depreciation'!$C$7:$C$94,0),MATCH(Calculation!$G512,'Dist Plant Depreciation'!$D$5:$AC$5,0))</f>
        <v>156229</v>
      </c>
      <c r="BR512" s="129">
        <f>INDEX('Gen. Plant Depreciation'!$D$7:$AC$94,MATCH($C512,'Gen. Plant Depreciation'!$C$7:$C$94,0),MATCH(Calculation!$G512,'Gen. Plant Depreciation'!$D$5:$AC$5,0))</f>
        <v>5623</v>
      </c>
      <c r="BS512" s="129"/>
      <c r="BT512" s="129"/>
      <c r="BU512" s="129"/>
      <c r="BV512" s="129"/>
      <c r="BW512" s="129"/>
      <c r="BX512" s="129"/>
      <c r="BY512" s="129">
        <f>INDEX('Gross Dx Plant'!$D$7:$AC$91,MATCH($C512,'Gross Dx Plant'!$C$7:$C$91,0),MATCH(Calculation!$G512,'Gross Dx Plant'!$D$5:$AC$5,0))</f>
        <v>464243</v>
      </c>
      <c r="BZ512" s="129">
        <f>INDEX('Gross Gen Plant'!$D$7:$AC$91,MATCH($C512,'Gross Gen Plant'!$C$7:$C$91,0),MATCH(Calculation!$G512,'Gross Gen Plant'!$D$5:$AC$5,0))</f>
        <v>9033</v>
      </c>
      <c r="CA512" s="129">
        <f t="shared" si="960"/>
        <v>311424</v>
      </c>
      <c r="CB512" s="129"/>
      <c r="CC512" s="133">
        <v>2007</v>
      </c>
      <c r="CD512" s="129"/>
      <c r="CE512" s="129"/>
      <c r="CF512" s="129"/>
      <c r="CG512" s="137"/>
      <c r="CH512" s="129">
        <f t="shared" si="934"/>
        <v>26271</v>
      </c>
      <c r="CI512" s="46">
        <f t="shared" si="943"/>
        <v>26265.293251717812</v>
      </c>
      <c r="CJ512" s="46">
        <f t="shared" si="935"/>
        <v>52.739189460912634</v>
      </c>
      <c r="CK512" s="443">
        <v>0.90322580645161288</v>
      </c>
      <c r="CL512" s="46">
        <f>+CL503*CK512+CJ504*CK511+CJ505*CK510+CJ506*CK509+CJ507*CK508+CJ508*CK507+CJ509*CK506+CJ510*CK505+CJ511*CK504+CJ512</f>
        <v>1396.338104241521</v>
      </c>
      <c r="CM512" s="134">
        <f t="shared" si="936"/>
        <v>2.6254496751980216E-2</v>
      </c>
      <c r="CN512" s="135">
        <f t="shared" si="937"/>
        <v>1.2172214121967414E-2</v>
      </c>
      <c r="CO512" s="135">
        <f t="shared" si="946"/>
        <v>1.1849989975852267E-2</v>
      </c>
      <c r="CP512" s="134">
        <f>VLOOKUP($H512,RoR!$E:$F,2,FALSE)</f>
        <v>5.5558333333333321E-2</v>
      </c>
      <c r="CQ512" s="135">
        <v>2.691120634145272E-2</v>
      </c>
      <c r="CR512" s="135">
        <f t="shared" si="944"/>
        <v>2.86471269918806E-2</v>
      </c>
      <c r="CS512" s="135">
        <f t="shared" si="947"/>
        <v>1.9051951632681356E-2</v>
      </c>
      <c r="CT512" s="135">
        <f t="shared" si="948"/>
        <v>6.4575155250632399E-2</v>
      </c>
      <c r="CU512" s="139">
        <f t="shared" si="938"/>
        <v>0.85466708209999998</v>
      </c>
      <c r="CV512" s="335">
        <f t="shared" si="939"/>
        <v>0.92303077153834634</v>
      </c>
      <c r="CW512" s="335">
        <f t="shared" si="940"/>
        <v>0.52502249887505614</v>
      </c>
      <c r="CX512" s="335">
        <f t="shared" si="941"/>
        <v>0.88499666072084604</v>
      </c>
      <c r="CY512" s="335">
        <f t="shared" si="942"/>
        <v>0.42887993290280618</v>
      </c>
      <c r="CZ512" s="336">
        <f>INDEX('State Tax Lookup'!$D$7:$Z$91,MATCH(Calculation!$C512,'State Tax Lookup'!$B$7:$B$91,0),MATCH($H512,'State Tax Lookup'!$D$6:$Z$6,0))</f>
        <v>0.39279166999999998</v>
      </c>
      <c r="DA512" s="303">
        <v>0.37</v>
      </c>
      <c r="DB512" s="57">
        <f t="shared" si="945"/>
        <v>13.264220055055352</v>
      </c>
      <c r="DC512" s="56">
        <f t="shared" si="949"/>
        <v>6.2696120845786005E-2</v>
      </c>
      <c r="DD512" s="303">
        <f>VLOOKUP($H512,RoR!$E:$F,2,FALSE)</f>
        <v>5.5558333333333321E-2</v>
      </c>
      <c r="DE512" s="304">
        <f>HLOOKUP($H512,'GDP-PI'!$D$8:$CQ$11,3,FALSE)</f>
        <v>2.691120634145272E-2</v>
      </c>
      <c r="DF512" s="303">
        <f>VLOOKUP(H512,'HW Dx Data'!$E:$F,2,FALSE)</f>
        <v>498.0223154772637</v>
      </c>
      <c r="DG512" s="89">
        <f ca="1">VLOOKUP(CC512,'ECI - Input Price'!M$13:N$33,2,FALSE)</f>
        <v>104.52499999999999</v>
      </c>
      <c r="DH512" s="89"/>
      <c r="DI512" s="89"/>
      <c r="DJ512" s="56">
        <f t="shared" ca="1" si="957"/>
        <v>-4.5584612745252218E-2</v>
      </c>
      <c r="DK512" s="53">
        <f>HLOOKUP(H512,'GDP-PI'!$8:$9,2,FALSE)</f>
        <v>92.498000000000005</v>
      </c>
      <c r="DL512" s="355">
        <f t="shared" si="950"/>
        <v>2.6555467950038037E-2</v>
      </c>
      <c r="EC512"/>
    </row>
    <row r="513" spans="1:133" s="126" customFormat="1" ht="21" customHeight="1" x14ac:dyDescent="0.4">
      <c r="A513" s="233" t="s">
        <v>212</v>
      </c>
      <c r="B513" s="127" t="s">
        <v>212</v>
      </c>
      <c r="C513" s="127">
        <v>4057090</v>
      </c>
      <c r="D513" s="127" t="s">
        <v>209</v>
      </c>
      <c r="E513" s="127"/>
      <c r="F513" s="127"/>
      <c r="G513" s="127" t="s">
        <v>164</v>
      </c>
      <c r="H513" s="128">
        <v>2008</v>
      </c>
      <c r="I513" s="129"/>
      <c r="J513" s="125">
        <f>IFERROR(INDEX('Labor Expenditures'!$E$7:$W$91,MATCH($C513,'Labor Expenditures'!$C$7:$C$91,0),MATCH($G513,'Labor Expenditures'!$E$5:$W$5,0)),"NA")</f>
        <v>19467.730833496753</v>
      </c>
      <c r="K513" s="125">
        <f t="shared" ca="1" si="951"/>
        <v>180.42382607503941</v>
      </c>
      <c r="L513" s="47"/>
      <c r="M513" s="131">
        <f t="shared" ca="1" si="958"/>
        <v>6.4679636325384954E-2</v>
      </c>
      <c r="N513" s="131"/>
      <c r="O513" s="131"/>
      <c r="P513" s="59">
        <f t="shared" ca="1" si="961"/>
        <v>5.477477566039504E-4</v>
      </c>
      <c r="Q513" s="61"/>
      <c r="R513" s="387"/>
      <c r="S513" s="49">
        <f t="shared" ca="1" si="965"/>
        <v>109.79456204129336</v>
      </c>
      <c r="T513" s="61">
        <f ca="1">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</f>
        <v>-7.2308579754300967E-2</v>
      </c>
      <c r="U513" s="61"/>
      <c r="V513" s="125">
        <f>IFERROR(INDEX('Non-Labor Expenditures'!$E$7:$AA$91,MATCH($C513,'Non-Labor Expenditures'!$C$7:$C$91,0),MATCH($G513,'Non-Labor Expenditures'!$E$5:$AA$5,0)),"NA")</f>
        <v>28192.910317465256</v>
      </c>
      <c r="W513" s="125">
        <f t="shared" si="952"/>
        <v>299.08459557694619</v>
      </c>
      <c r="X513" s="131">
        <f t="shared" si="962"/>
        <v>7.7545897598813182E-2</v>
      </c>
      <c r="Y513" s="131">
        <f t="shared" si="963"/>
        <v>6.5670733258157011E-4</v>
      </c>
      <c r="Z513" s="131"/>
      <c r="AA513" s="131"/>
      <c r="AB513" s="131"/>
      <c r="AC513" s="125">
        <f t="shared" si="932"/>
        <v>20847.975296496039</v>
      </c>
      <c r="AD513" s="129"/>
      <c r="AE513" s="133">
        <v>1529.0740754353974</v>
      </c>
      <c r="AF513" s="134">
        <v>5.1178871372718218E-2</v>
      </c>
      <c r="AG513" s="59">
        <f t="shared" si="953"/>
        <v>4.3341480522404122E-4</v>
      </c>
      <c r="AH513" s="134"/>
      <c r="AI513" s="134"/>
      <c r="AJ513" s="129">
        <f t="shared" si="889"/>
        <v>68508.616447458044</v>
      </c>
      <c r="AK513" s="134">
        <f t="shared" si="964"/>
        <v>0.11086102275989941</v>
      </c>
      <c r="AL513" s="129"/>
      <c r="AM513" s="129"/>
      <c r="AN513" s="129"/>
      <c r="AO513" s="129"/>
      <c r="AP513" s="133"/>
      <c r="AQ513" s="134">
        <f>+BB513/Outputs!$B$16</f>
        <v>8.9331248685151961E-3</v>
      </c>
      <c r="AR513" s="93">
        <f t="shared" si="954"/>
        <v>0.28416470574073444</v>
      </c>
      <c r="AS513" s="93">
        <f t="shared" si="955"/>
        <v>0.4115235685585259</v>
      </c>
      <c r="AT513" s="93">
        <f t="shared" si="956"/>
        <v>0.30431172570073972</v>
      </c>
      <c r="AU513" s="93">
        <f t="shared" ca="1" si="959"/>
        <v>6.5972497914673411E-2</v>
      </c>
      <c r="AV513" s="132">
        <f t="shared" ref="AV513:AV526" ca="1" si="967">+AV512*EXP(AU513)</f>
        <v>102.93745738515113</v>
      </c>
      <c r="AW513" s="134">
        <f t="shared" ref="AW513:AW526" ca="1" si="968">LN(AV513/AV512)</f>
        <v>6.5972497914673411E-2</v>
      </c>
      <c r="AX513" s="56">
        <f>+AJ513/$AL$13</f>
        <v>8.4686276504151378E-3</v>
      </c>
      <c r="AY513" s="135">
        <f t="shared" ca="1" si="966"/>
        <v>5.5869652000715823E-4</v>
      </c>
      <c r="AZ513" s="93"/>
      <c r="BA513" s="93"/>
      <c r="BB513" s="234">
        <f>IFERROR(INDEX('Total Customers'!$E$7:$AA$91,MATCH($C513,'Total Customers'!$C$7:$C$91,0),MATCH($G513,'Total Customers'!$E$5:$AA$5,0)),"NA")</f>
        <v>313842</v>
      </c>
      <c r="BC513" s="411">
        <f t="shared" si="846"/>
        <v>-3.6663245145848081E-2</v>
      </c>
      <c r="BD513" s="92"/>
      <c r="BE513" s="281" t="str">
        <f t="shared" si="839"/>
        <v>LOUISVILLE GAS AND ELECTRIC COMPANY</v>
      </c>
      <c r="BF513" s="290">
        <f t="shared" si="840"/>
        <v>4057090</v>
      </c>
      <c r="BG513" s="46" t="str">
        <f t="shared" si="841"/>
        <v>KY</v>
      </c>
      <c r="BH513" s="46"/>
      <c r="BI513" s="46" t="str">
        <f t="shared" si="842"/>
        <v>2008 Y</v>
      </c>
      <c r="BJ513" s="129"/>
      <c r="BK513" s="129"/>
      <c r="BL513" s="129">
        <f>INDEX('Dist. Plant Gas Additions'!$E$7:$AD$91,MATCH($C513,'Dist. Plant Gas Additions'!$C$7:$C$91,0),MATCH(Calculation!$G513,'Dist. Plant Gas Additions'!$E$5:$AD$5,0))</f>
        <v>48893</v>
      </c>
      <c r="BM513" s="129">
        <f>INDEX('Gen. Plant Additions'!$E$7:$AD$91,MATCH($C513,'Gen. Plant Additions'!$C$7:$C$91,0),MATCH(Calculation!$G513,'Gen. Plant Additions'!$E$5:$AD$5,0))</f>
        <v>5</v>
      </c>
      <c r="BN513" s="393">
        <f t="shared" si="933"/>
        <v>0.98263148892992835</v>
      </c>
      <c r="BO513" s="46">
        <f t="shared" si="930"/>
        <v>4.9131574446496415</v>
      </c>
      <c r="BP513" s="46">
        <f t="shared" si="931"/>
        <v>-8.6842555350358452E-2</v>
      </c>
      <c r="BQ513" s="129">
        <f>INDEX('Dist Plant Depreciation'!$D$7:$AC$94,MATCH($C513,'Dist Plant Depreciation'!$C$7:$C$94,0),MATCH(Calculation!$G513,'Dist Plant Depreciation'!$D$5:$AC$5,0))</f>
        <v>167528</v>
      </c>
      <c r="BR513" s="129">
        <f>INDEX('Gen. Plant Depreciation'!$D$7:$AC$94,MATCH($C513,'Gen. Plant Depreciation'!$C$7:$C$94,0),MATCH(Calculation!$G513,'Gen. Plant Depreciation'!$D$5:$AC$5,0))</f>
        <v>5911</v>
      </c>
      <c r="BS513" s="129"/>
      <c r="BT513" s="129"/>
      <c r="BU513" s="129"/>
      <c r="BV513" s="129"/>
      <c r="BW513" s="129"/>
      <c r="BX513" s="129"/>
      <c r="BY513" s="129">
        <f>INDEX('Gross Dx Plant'!$D$7:$AC$91,MATCH($C513,'Gross Dx Plant'!$C$7:$C$91,0),MATCH(Calculation!$G513,'Gross Dx Plant'!$D$5:$AC$5,0))</f>
        <v>511329</v>
      </c>
      <c r="BZ513" s="129">
        <f>INDEX('Gross Gen Plant'!$D$7:$AC$91,MATCH($C513,'Gross Gen Plant'!$C$7:$C$91,0),MATCH(Calculation!$G513,'Gross Gen Plant'!$D$5:$AC$5,0))</f>
        <v>9038</v>
      </c>
      <c r="CA513" s="129">
        <f t="shared" si="960"/>
        <v>346928</v>
      </c>
      <c r="CB513" s="129"/>
      <c r="CC513" s="133">
        <v>2008</v>
      </c>
      <c r="CD513" s="129"/>
      <c r="CE513" s="129"/>
      <c r="CF513" s="129"/>
      <c r="CG513" s="137"/>
      <c r="CH513" s="129">
        <f t="shared" si="934"/>
        <v>48898</v>
      </c>
      <c r="CI513" s="46">
        <f t="shared" si="943"/>
        <v>48897.913157444651</v>
      </c>
      <c r="CJ513" s="46">
        <f t="shared" si="935"/>
        <v>85.80369535137568</v>
      </c>
      <c r="CK513" s="443">
        <v>0.89130434782608692</v>
      </c>
      <c r="CL513" s="46">
        <f>+CL503*CK513+CJ504*CK512+CJ505*CK511+CJ506*CK510+CJ507*CK509+CJ508*CK508+CJ509*CK507+CJ510*CK506+CJ511*CK505+CJ512*CK504+CJ513</f>
        <v>1464.708628872226</v>
      </c>
      <c r="CM513" s="134">
        <f t="shared" si="936"/>
        <v>4.7803164515217017E-2</v>
      </c>
      <c r="CN513" s="135">
        <f t="shared" si="937"/>
        <v>1.2484920856714914E-2</v>
      </c>
      <c r="CO513" s="135">
        <f t="shared" si="946"/>
        <v>1.2167238867858797E-2</v>
      </c>
      <c r="CP513" s="134">
        <f>VLOOKUP($H513,RoR!$E:$F,2,FALSE)</f>
        <v>5.6316666666666668E-2</v>
      </c>
      <c r="CQ513" s="135">
        <v>1.9092304698479889E-2</v>
      </c>
      <c r="CR513" s="135">
        <f t="shared" si="944"/>
        <v>3.7224361968186778E-2</v>
      </c>
      <c r="CS513" s="135">
        <f t="shared" si="947"/>
        <v>1.8734702740674826E-2</v>
      </c>
      <c r="CT513" s="135">
        <f t="shared" si="948"/>
        <v>6.9030581091053131E-2</v>
      </c>
      <c r="CU513" s="139">
        <f t="shared" si="938"/>
        <v>0.85466708209999998</v>
      </c>
      <c r="CV513" s="335">
        <f t="shared" si="939"/>
        <v>0.91060168006009956</v>
      </c>
      <c r="CW513" s="335">
        <f t="shared" si="940"/>
        <v>0.53108168097070152</v>
      </c>
      <c r="CX513" s="335">
        <f t="shared" si="941"/>
        <v>0.88825329850328805</v>
      </c>
      <c r="CY513" s="335">
        <f t="shared" si="942"/>
        <v>0.4295627335323573</v>
      </c>
      <c r="CZ513" s="336">
        <f>INDEX('State Tax Lookup'!$D$7:$Z$91,MATCH(Calculation!$C513,'State Tax Lookup'!$B$7:$B$91,0),MATCH($H513,'State Tax Lookup'!$D$6:$Z$6,0))</f>
        <v>0.39279166999999998</v>
      </c>
      <c r="DA513" s="303">
        <v>0.37</v>
      </c>
      <c r="DB513" s="57">
        <f t="shared" si="945"/>
        <v>14.930463641411892</v>
      </c>
      <c r="DC513" s="56">
        <f t="shared" si="949"/>
        <v>0.1183334767621243</v>
      </c>
      <c r="DD513" s="303">
        <f>VLOOKUP($H513,RoR!$E:$F,2,FALSE)</f>
        <v>5.6316666666666668E-2</v>
      </c>
      <c r="DE513" s="304">
        <f>HLOOKUP($H513,'GDP-PI'!$D$8:$CQ$11,3,FALSE)</f>
        <v>1.9092304698479889E-2</v>
      </c>
      <c r="DF513" s="303">
        <f>VLOOKUP(H513,'HW Dx Data'!$E:$F,2,FALSE)</f>
        <v>569.88120333515076</v>
      </c>
      <c r="DG513" s="89">
        <f ca="1">VLOOKUP(CC513,'ECI - Input Price'!M$13:N$33,2,FALSE)</f>
        <v>107.9</v>
      </c>
      <c r="DH513" s="89"/>
      <c r="DI513" s="89"/>
      <c r="DJ513" s="56">
        <f t="shared" ca="1" si="957"/>
        <v>3.1778595021460486E-2</v>
      </c>
      <c r="DK513" s="53">
        <f>HLOOKUP(H513,'GDP-PI'!$8:$9,2,FALSE)</f>
        <v>94.263999999999996</v>
      </c>
      <c r="DL513" s="355">
        <f t="shared" si="950"/>
        <v>1.8912333748032254E-2</v>
      </c>
      <c r="EC513"/>
    </row>
    <row r="514" spans="1:133" s="126" customFormat="1" ht="21" customHeight="1" x14ac:dyDescent="0.4">
      <c r="A514" s="233" t="s">
        <v>212</v>
      </c>
      <c r="B514" s="127" t="s">
        <v>212</v>
      </c>
      <c r="C514" s="127">
        <v>4057090</v>
      </c>
      <c r="D514" s="127" t="s">
        <v>209</v>
      </c>
      <c r="E514" s="127"/>
      <c r="F514" s="127"/>
      <c r="G514" s="127" t="s">
        <v>165</v>
      </c>
      <c r="H514" s="128">
        <v>2009</v>
      </c>
      <c r="I514" s="129"/>
      <c r="J514" s="125">
        <f>IFERROR(INDEX('Labor Expenditures'!$E$7:$W$91,MATCH($C514,'Labor Expenditures'!$C$7:$C$91,0),MATCH($G514,'Labor Expenditures'!$E$5:$W$5,0)),"NA")</f>
        <v>20766.496132246513</v>
      </c>
      <c r="K514" s="125">
        <f t="shared" ca="1" si="951"/>
        <v>187.21204536620701</v>
      </c>
      <c r="L514" s="47"/>
      <c r="M514" s="131">
        <f t="shared" ca="1" si="958"/>
        <v>3.6933234384131028E-2</v>
      </c>
      <c r="N514" s="131"/>
      <c r="O514" s="131"/>
      <c r="P514" s="59">
        <f t="shared" ca="1" si="961"/>
        <v>3.1291321987655989E-4</v>
      </c>
      <c r="Q514" s="61"/>
      <c r="R514" s="387"/>
      <c r="S514" s="49">
        <f t="shared" ca="1" si="965"/>
        <v>118.16050548288545</v>
      </c>
      <c r="T514" s="61">
        <f ca="1">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</f>
        <v>7.3432914353230766E-2</v>
      </c>
      <c r="U514" s="61"/>
      <c r="V514" s="125">
        <f>IFERROR(INDEX('Non-Labor Expenditures'!$E$7:$AA$91,MATCH($C514,'Non-Labor Expenditures'!$C$7:$C$91,0),MATCH($G514,'Non-Labor Expenditures'!$E$5:$AA$5,0)),"NA")</f>
        <v>30073.765045951917</v>
      </c>
      <c r="W514" s="125">
        <f t="shared" si="952"/>
        <v>316.56928016033766</v>
      </c>
      <c r="X514" s="131">
        <f t="shared" si="962"/>
        <v>5.6815650566705615E-2</v>
      </c>
      <c r="Y514" s="131">
        <f t="shared" si="963"/>
        <v>4.8136504843583687E-4</v>
      </c>
      <c r="Z514" s="131"/>
      <c r="AA514" s="131"/>
      <c r="AB514" s="131"/>
      <c r="AC514" s="125">
        <f t="shared" si="932"/>
        <v>20809.354309726361</v>
      </c>
      <c r="AD514" s="129"/>
      <c r="AE514" s="133">
        <v>1596.0945763192422</v>
      </c>
      <c r="AF514" s="134">
        <v>4.2897382861944999E-2</v>
      </c>
      <c r="AG514" s="59">
        <f t="shared" si="953"/>
        <v>3.6344388514687596E-4</v>
      </c>
      <c r="AH514" s="134"/>
      <c r="AI514" s="134"/>
      <c r="AJ514" s="129">
        <f t="shared" si="889"/>
        <v>71649.615487924792</v>
      </c>
      <c r="AK514" s="134">
        <f t="shared" si="964"/>
        <v>4.4828262815259194E-2</v>
      </c>
      <c r="AL514" s="129"/>
      <c r="AM514" s="129"/>
      <c r="AN514" s="129"/>
      <c r="AO514" s="129"/>
      <c r="AP514" s="133"/>
      <c r="AQ514" s="134">
        <f>+BB514/Outputs!$B$17</f>
        <v>8.9831689419547812E-3</v>
      </c>
      <c r="AR514" s="93">
        <f t="shared" si="954"/>
        <v>0.28983402061308089</v>
      </c>
      <c r="AS514" s="93">
        <f t="shared" si="955"/>
        <v>0.4197337953756401</v>
      </c>
      <c r="AT514" s="93">
        <f t="shared" si="956"/>
        <v>0.29043218401127902</v>
      </c>
      <c r="AU514" s="93">
        <f t="shared" ca="1" si="959"/>
        <v>4.6970507308314542E-2</v>
      </c>
      <c r="AV514" s="132">
        <f t="shared" ca="1" si="967"/>
        <v>107.88783269456788</v>
      </c>
      <c r="AW514" s="134">
        <f t="shared" ca="1" si="968"/>
        <v>4.6970507308314528E-2</v>
      </c>
      <c r="AX514" s="56">
        <f>+AJ514/$AL$14</f>
        <v>8.4724022982132375E-3</v>
      </c>
      <c r="AY514" s="135">
        <f t="shared" ca="1" si="966"/>
        <v>3.979530340672057E-4</v>
      </c>
      <c r="AZ514" s="93"/>
      <c r="BA514" s="93"/>
      <c r="BB514" s="234">
        <f>IFERROR(INDEX('Total Customers'!$E$7:$AA$91,MATCH($C514,'Total Customers'!$C$7:$C$91,0),MATCH($G514,'Total Customers'!$E$5:$AA$5,0)),"NA")</f>
        <v>316003</v>
      </c>
      <c r="BC514" s="411">
        <f t="shared" si="846"/>
        <v>6.8620326577679535E-3</v>
      </c>
      <c r="BD514" s="92"/>
      <c r="BE514" s="281" t="str">
        <f t="shared" si="839"/>
        <v>LOUISVILLE GAS AND ELECTRIC COMPANY</v>
      </c>
      <c r="BF514" s="290">
        <f t="shared" si="840"/>
        <v>4057090</v>
      </c>
      <c r="BG514" s="46" t="str">
        <f t="shared" si="841"/>
        <v>KY</v>
      </c>
      <c r="BH514" s="46"/>
      <c r="BI514" s="46" t="str">
        <f t="shared" si="842"/>
        <v>2009 Y</v>
      </c>
      <c r="BJ514" s="129"/>
      <c r="BK514" s="129"/>
      <c r="BL514" s="129">
        <f>INDEX('Dist. Plant Gas Additions'!$E$7:$AD$91,MATCH($C514,'Dist. Plant Gas Additions'!$C$7:$C$91,0),MATCH(Calculation!$G514,'Dist. Plant Gas Additions'!$E$5:$AD$5,0))</f>
        <v>42188</v>
      </c>
      <c r="BM514" s="129">
        <f>INDEX('Gen. Plant Additions'!$E$7:$AD$91,MATCH($C514,'Gen. Plant Additions'!$C$7:$C$91,0),MATCH(Calculation!$G514,'Gen. Plant Additions'!$E$5:$AD$5,0))</f>
        <v>394</v>
      </c>
      <c r="BN514" s="393">
        <f t="shared" si="933"/>
        <v>0.98333775805615609</v>
      </c>
      <c r="BO514" s="46">
        <f t="shared" si="930"/>
        <v>387.43507667412553</v>
      </c>
      <c r="BP514" s="46">
        <f t="shared" si="931"/>
        <v>-6.5649233258744744</v>
      </c>
      <c r="BQ514" s="129">
        <f>INDEX('Dist Plant Depreciation'!$D$7:$AC$94,MATCH($C514,'Dist Plant Depreciation'!$C$7:$C$94,0),MATCH(Calculation!$G514,'Dist Plant Depreciation'!$D$5:$AC$5,0))</f>
        <v>169707</v>
      </c>
      <c r="BR514" s="129">
        <f>INDEX('Gen. Plant Depreciation'!$D$7:$AC$94,MATCH($C514,'Gen. Plant Depreciation'!$C$7:$C$94,0),MATCH(Calculation!$G514,'Gen. Plant Depreciation'!$D$5:$AC$5,0))</f>
        <v>6249</v>
      </c>
      <c r="BS514" s="129"/>
      <c r="BT514" s="129"/>
      <c r="BU514" s="129"/>
      <c r="BV514" s="129"/>
      <c r="BW514" s="129"/>
      <c r="BX514" s="129"/>
      <c r="BY514" s="129">
        <f>INDEX('Gross Dx Plant'!$D$7:$AC$91,MATCH($C514,'Gross Dx Plant'!$C$7:$C$91,0),MATCH(Calculation!$G514,'Gross Dx Plant'!$D$5:$AC$5,0))</f>
        <v>544481</v>
      </c>
      <c r="BZ514" s="129">
        <f>INDEX('Gross Gen Plant'!$D$7:$AC$91,MATCH($C514,'Gross Gen Plant'!$C$7:$C$91,0),MATCH(Calculation!$G514,'Gross Gen Plant'!$D$5:$AC$5,0))</f>
        <v>9226</v>
      </c>
      <c r="CA514" s="129">
        <f t="shared" si="960"/>
        <v>377751</v>
      </c>
      <c r="CB514" s="129"/>
      <c r="CC514" s="133">
        <v>2009</v>
      </c>
      <c r="CD514" s="129"/>
      <c r="CE514" s="129"/>
      <c r="CF514" s="129"/>
      <c r="CG514" s="137"/>
      <c r="CH514" s="129">
        <f t="shared" si="934"/>
        <v>42582</v>
      </c>
      <c r="CI514" s="46">
        <f t="shared" si="943"/>
        <v>42575.435076674126</v>
      </c>
      <c r="CJ514" s="46">
        <f t="shared" si="935"/>
        <v>77.277717839439504</v>
      </c>
      <c r="CK514" s="443">
        <v>0.87912087912087911</v>
      </c>
      <c r="CL514" s="46">
        <f>+CL503*CK514+CJ504*CK513+CJ505*CK512+CJ506*CK511+CJ507*CK510+CJ508*CK509+CJ509*CK508+CJ510*CK507+CJ511*CK506+CJ512*CK505+CJ513*CK504+CJ514</f>
        <v>1523.3267467630169</v>
      </c>
      <c r="CM514" s="134">
        <f t="shared" si="936"/>
        <v>3.9240257894366165E-2</v>
      </c>
      <c r="CN514" s="135">
        <f t="shared" si="937"/>
        <v>1.2739462020522001E-2</v>
      </c>
      <c r="CO514" s="135">
        <f t="shared" si="946"/>
        <v>1.2465532333068109E-2</v>
      </c>
      <c r="CP514" s="134">
        <f>VLOOKUP($H514,RoR!$E:$F,2,FALSE)</f>
        <v>5.3133333333333324E-2</v>
      </c>
      <c r="CQ514" s="135">
        <v>7.7972502758210105E-3</v>
      </c>
      <c r="CR514" s="135">
        <f t="shared" si="944"/>
        <v>4.5336083057512314E-2</v>
      </c>
      <c r="CS514" s="135">
        <f t="shared" si="947"/>
        <v>1.8436409275465516E-2</v>
      </c>
      <c r="CT514" s="135">
        <f t="shared" si="948"/>
        <v>6.3720160300892073E-2</v>
      </c>
      <c r="CU514" s="139">
        <f t="shared" si="938"/>
        <v>0.85466708209999998</v>
      </c>
      <c r="CV514" s="335">
        <f t="shared" si="939"/>
        <v>0.96515780330083989</v>
      </c>
      <c r="CW514" s="335">
        <f t="shared" si="940"/>
        <v>0.50448557089084056</v>
      </c>
      <c r="CX514" s="335">
        <f t="shared" si="941"/>
        <v>0.87391435735465484</v>
      </c>
      <c r="CY514" s="335">
        <f t="shared" si="942"/>
        <v>0.42551605393279146</v>
      </c>
      <c r="CZ514" s="336">
        <f>INDEX('State Tax Lookup'!$D$7:$Z$91,MATCH(Calculation!$C514,'State Tax Lookup'!$B$7:$B$91,0),MATCH($H514,'State Tax Lookup'!$D$6:$Z$6,0))</f>
        <v>0.39279166999999998</v>
      </c>
      <c r="DA514" s="303">
        <v>0.37</v>
      </c>
      <c r="DB514" s="57">
        <f t="shared" si="945"/>
        <v>14.207163049041931</v>
      </c>
      <c r="DC514" s="56">
        <f t="shared" si="949"/>
        <v>-4.9657387923204635E-2</v>
      </c>
      <c r="DD514" s="303">
        <f>VLOOKUP($H514,RoR!$E:$F,2,FALSE)</f>
        <v>5.3133333333333324E-2</v>
      </c>
      <c r="DE514" s="304">
        <f>HLOOKUP($H514,'GDP-PI'!$D$8:$CQ$11,3,FALSE)</f>
        <v>7.7972502758210105E-3</v>
      </c>
      <c r="DF514" s="303">
        <f>VLOOKUP(H514,'HW Dx Data'!$E:$F,2,FALSE)</f>
        <v>550.94063679692806</v>
      </c>
      <c r="DG514" s="89">
        <f ca="1">VLOOKUP(CC514,'ECI - Input Price'!M$13:N$33,2,FALSE)</f>
        <v>110.925</v>
      </c>
      <c r="DH514" s="89"/>
      <c r="DI514" s="89"/>
      <c r="DJ514" s="56">
        <f t="shared" ca="1" si="957"/>
        <v>2.7649425000884052E-2</v>
      </c>
      <c r="DK514" s="53">
        <f>HLOOKUP(H514,'GDP-PI'!$8:$9,2,FALSE)</f>
        <v>94.998999999999995</v>
      </c>
      <c r="DL514" s="355">
        <f t="shared" si="950"/>
        <v>7.7670088183096342E-3</v>
      </c>
      <c r="EC514"/>
    </row>
    <row r="515" spans="1:133" s="126" customFormat="1" ht="21" customHeight="1" x14ac:dyDescent="0.4">
      <c r="A515" s="233" t="s">
        <v>212</v>
      </c>
      <c r="B515" s="127" t="s">
        <v>212</v>
      </c>
      <c r="C515" s="127">
        <v>4057090</v>
      </c>
      <c r="D515" s="127" t="s">
        <v>209</v>
      </c>
      <c r="E515" s="127"/>
      <c r="F515" s="127"/>
      <c r="G515" s="127" t="s">
        <v>166</v>
      </c>
      <c r="H515" s="128">
        <v>2010</v>
      </c>
      <c r="I515" s="129"/>
      <c r="J515" s="125">
        <f>IFERROR(INDEX('Labor Expenditures'!$E$7:$W$91,MATCH($C515,'Labor Expenditures'!$C$7:$C$91,0),MATCH($G515,'Labor Expenditures'!$E$5:$W$5,0)),"NA")</f>
        <v>19817.252089175588</v>
      </c>
      <c r="K515" s="125">
        <f t="shared" ca="1" si="951"/>
        <v>169.48686841287653</v>
      </c>
      <c r="L515" s="47"/>
      <c r="M515" s="131">
        <f t="shared" ca="1" si="958"/>
        <v>-9.9466455549446414E-2</v>
      </c>
      <c r="N515" s="131"/>
      <c r="O515" s="131"/>
      <c r="P515" s="59">
        <f t="shared" ca="1" si="961"/>
        <v>-8.0510359169357537E-4</v>
      </c>
      <c r="Q515" s="61"/>
      <c r="R515" s="387"/>
      <c r="S515" s="49">
        <f t="shared" ca="1" si="965"/>
        <v>97.450041951119303</v>
      </c>
      <c r="T515" s="61">
        <f ca="1">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</f>
        <v>-0.19270405972449589</v>
      </c>
      <c r="U515" s="61"/>
      <c r="V515" s="125">
        <f>IFERROR(INDEX('Non-Labor Expenditures'!$E$7:$AA$91,MATCH($C515,'Non-Labor Expenditures'!$C$7:$C$91,0),MATCH($G515,'Non-Labor Expenditures'!$E$5:$AA$5,0)),"NA")</f>
        <v>28699.082377253868</v>
      </c>
      <c r="W515" s="125">
        <f t="shared" si="952"/>
        <v>298.60972830071972</v>
      </c>
      <c r="X515" s="131">
        <f t="shared" si="962"/>
        <v>-5.8404648009619808E-2</v>
      </c>
      <c r="Y515" s="131">
        <f t="shared" si="963"/>
        <v>-4.7274019793304715E-4</v>
      </c>
      <c r="Z515" s="131"/>
      <c r="AA515" s="131"/>
      <c r="AB515" s="131"/>
      <c r="AC515" s="125">
        <f t="shared" si="932"/>
        <v>22045.435493792098</v>
      </c>
      <c r="AD515" s="129"/>
      <c r="AE515" s="133">
        <v>1656.3447035447336</v>
      </c>
      <c r="AF515" s="134">
        <v>3.7053432999116766E-2</v>
      </c>
      <c r="AG515" s="59">
        <f t="shared" si="953"/>
        <v>2.9991871960629229E-4</v>
      </c>
      <c r="AH515" s="134"/>
      <c r="AI515" s="134"/>
      <c r="AJ515" s="129">
        <f t="shared" si="889"/>
        <v>70561.769960221558</v>
      </c>
      <c r="AK515" s="134">
        <f t="shared" si="964"/>
        <v>-1.5299291872793714E-2</v>
      </c>
      <c r="AL515" s="129"/>
      <c r="AM515" s="129"/>
      <c r="AN515" s="129"/>
      <c r="AO515" s="129"/>
      <c r="AP515" s="133"/>
      <c r="AQ515" s="134">
        <f>+BB515/Outputs!$B$18</f>
        <v>9.0630514618883773E-3</v>
      </c>
      <c r="AR515" s="93">
        <f t="shared" si="954"/>
        <v>0.28084970232956674</v>
      </c>
      <c r="AS515" s="93">
        <f t="shared" si="955"/>
        <v>0.4067228244619242</v>
      </c>
      <c r="AT515" s="93">
        <f t="shared" si="956"/>
        <v>0.31242747320850905</v>
      </c>
      <c r="AU515" s="93">
        <f t="shared" ca="1" si="959"/>
        <v>-4.1347387610518323E-2</v>
      </c>
      <c r="AV515" s="132">
        <f t="shared" ca="1" si="967"/>
        <v>103.51791749827639</v>
      </c>
      <c r="AW515" s="134">
        <f t="shared" ca="1" si="968"/>
        <v>-4.1347387610518309E-2</v>
      </c>
      <c r="AX515" s="56">
        <f>+AJ515/$AL$15</f>
        <v>8.0942221902472952E-3</v>
      </c>
      <c r="AY515" s="135">
        <f t="shared" ca="1" si="966"/>
        <v>-3.3467494230581338E-4</v>
      </c>
      <c r="AZ515" s="93"/>
      <c r="BA515" s="93"/>
      <c r="BB515" s="234">
        <f>IFERROR(INDEX('Total Customers'!$E$7:$AA$91,MATCH($C515,'Total Customers'!$C$7:$C$91,0),MATCH($G515,'Total Customers'!$E$5:$AA$5,0)),"NA")</f>
        <v>320567</v>
      </c>
      <c r="BC515" s="411">
        <f t="shared" si="846"/>
        <v>1.4339595662361463E-2</v>
      </c>
      <c r="BD515" s="92"/>
      <c r="BE515" s="281" t="str">
        <f t="shared" ref="BE515:BE578" si="969">A515</f>
        <v>LOUISVILLE GAS AND ELECTRIC COMPANY</v>
      </c>
      <c r="BF515" s="290">
        <f t="shared" ref="BF515:BF578" si="970">C515</f>
        <v>4057090</v>
      </c>
      <c r="BG515" s="46" t="str">
        <f t="shared" ref="BG515:BG578" si="971">D515</f>
        <v>KY</v>
      </c>
      <c r="BH515" s="46"/>
      <c r="BI515" s="46" t="str">
        <f t="shared" ref="BI515:BI578" si="972">G515</f>
        <v>2010 Y</v>
      </c>
      <c r="BJ515" s="129"/>
      <c r="BK515" s="129"/>
      <c r="BL515" s="129">
        <f>INDEX('Dist. Plant Gas Additions'!$E$7:$AD$91,MATCH($C515,'Dist. Plant Gas Additions'!$C$7:$C$91,0),MATCH(Calculation!$G515,'Dist. Plant Gas Additions'!$E$5:$AD$5,0))</f>
        <v>39862</v>
      </c>
      <c r="BM515" s="129">
        <f>INDEX('Gen. Plant Additions'!$E$7:$AD$91,MATCH($C515,'Gen. Plant Additions'!$C$7:$C$91,0),MATCH(Calculation!$G515,'Gen. Plant Additions'!$E$5:$AD$5,0))</f>
        <v>684</v>
      </c>
      <c r="BN515" s="393">
        <f t="shared" si="933"/>
        <v>0.9840537835633153</v>
      </c>
      <c r="BO515" s="46">
        <f t="shared" si="930"/>
        <v>673.09278795730768</v>
      </c>
      <c r="BP515" s="46">
        <f t="shared" si="931"/>
        <v>-10.907212042692322</v>
      </c>
      <c r="BQ515" s="129">
        <f>INDEX('Dist Plant Depreciation'!$D$7:$AC$94,MATCH($C515,'Dist Plant Depreciation'!$C$7:$C$94,0),MATCH(Calculation!$G515,'Dist Plant Depreciation'!$D$5:$AC$5,0))</f>
        <v>54833</v>
      </c>
      <c r="BR515" s="129">
        <f>INDEX('Gen. Plant Depreciation'!$D$7:$AC$94,MATCH($C515,'Gen. Plant Depreciation'!$C$7:$C$94,0),MATCH(Calculation!$G515,'Gen. Plant Depreciation'!$D$5:$AC$5,0))</f>
        <v>-172</v>
      </c>
      <c r="BS515" s="129"/>
      <c r="BT515" s="129"/>
      <c r="BU515" s="129"/>
      <c r="BV515" s="129"/>
      <c r="BW515" s="129"/>
      <c r="BX515" s="129"/>
      <c r="BY515" s="129">
        <f>INDEX('Gross Dx Plant'!$D$7:$AC$91,MATCH($C515,'Gross Dx Plant'!$C$7:$C$91,0),MATCH(Calculation!$G515,'Gross Dx Plant'!$D$5:$AC$5,0))</f>
        <v>574219</v>
      </c>
      <c r="BZ515" s="129">
        <f>INDEX('Gross Gen Plant'!$D$7:$AC$91,MATCH($C515,'Gross Gen Plant'!$C$7:$C$91,0),MATCH(Calculation!$G515,'Gross Gen Plant'!$D$5:$AC$5,0))</f>
        <v>9305</v>
      </c>
      <c r="CA515" s="129">
        <f t="shared" si="960"/>
        <v>528863</v>
      </c>
      <c r="CB515" s="129"/>
      <c r="CC515" s="133">
        <v>2010</v>
      </c>
      <c r="CD515" s="129"/>
      <c r="CE515" s="129"/>
      <c r="CF515" s="129"/>
      <c r="CG515" s="137"/>
      <c r="CH515" s="129">
        <f t="shared" si="934"/>
        <v>40546</v>
      </c>
      <c r="CI515" s="46">
        <f t="shared" si="943"/>
        <v>40535.092787957306</v>
      </c>
      <c r="CJ515" s="46">
        <f t="shared" si="935"/>
        <v>71.240493191201139</v>
      </c>
      <c r="CK515" s="443">
        <v>0.8666666666666667</v>
      </c>
      <c r="CL515" s="46">
        <f>+CL503*CK515+CJ504*CK514+CJ505*CK513+CJ506*CK512+CJ507*CK511+CJ508*CK510+CJ509*CK509+CJ510*CK508+CJ511*CK507+CJ512*CK506+CJ513*CK505+CJ514*CK504+CJ515</f>
        <v>1574.7362710526854</v>
      </c>
      <c r="CM515" s="134">
        <f t="shared" si="936"/>
        <v>3.3191218865412382E-2</v>
      </c>
      <c r="CN515" s="135">
        <f t="shared" si="937"/>
        <v>1.3018197798779744E-2</v>
      </c>
      <c r="CO515" s="135">
        <f t="shared" si="946"/>
        <v>1.2747526892005553E-2</v>
      </c>
      <c r="CP515" s="134">
        <f>VLOOKUP($H515,RoR!$E:$F,2,FALSE)</f>
        <v>4.9433333333333322E-2</v>
      </c>
      <c r="CQ515" s="135">
        <v>1.1684333519300205E-2</v>
      </c>
      <c r="CR515" s="135">
        <f t="shared" si="944"/>
        <v>3.7748999814033117E-2</v>
      </c>
      <c r="CS515" s="135">
        <f t="shared" si="947"/>
        <v>1.8154414716528074E-2</v>
      </c>
      <c r="CT515" s="135">
        <f t="shared" si="948"/>
        <v>4.7937530248493419E-2</v>
      </c>
      <c r="CU515" s="139">
        <f t="shared" si="938"/>
        <v>0.85466708209999998</v>
      </c>
      <c r="CV515" s="335">
        <f t="shared" si="939"/>
        <v>1.037398205301105</v>
      </c>
      <c r="CW515" s="335">
        <f t="shared" si="940"/>
        <v>0.46926837491571133</v>
      </c>
      <c r="CX515" s="335">
        <f t="shared" si="941"/>
        <v>0.8548537519972772</v>
      </c>
      <c r="CY515" s="335">
        <f t="shared" si="942"/>
        <v>0.41615833911547367</v>
      </c>
      <c r="CZ515" s="336">
        <f>INDEX('State Tax Lookup'!$D$7:$Z$91,MATCH(Calculation!$C515,'State Tax Lookup'!$B$7:$B$91,0),MATCH($H515,'State Tax Lookup'!$D$6:$Z$6,0))</f>
        <v>0.39279166999999998</v>
      </c>
      <c r="DA515" s="303">
        <v>0.37</v>
      </c>
      <c r="DB515" s="57">
        <f t="shared" si="945"/>
        <v>14.471902066078339</v>
      </c>
      <c r="DC515" s="56">
        <f t="shared" si="949"/>
        <v>1.8462703445503416E-2</v>
      </c>
      <c r="DD515" s="303">
        <f>VLOOKUP($H515,RoR!$E:$F,2,FALSE)</f>
        <v>4.9433333333333322E-2</v>
      </c>
      <c r="DE515" s="304">
        <f>HLOOKUP($H515,'GDP-PI'!$D$8:$CQ$11,3,FALSE)</f>
        <v>1.1684333519300205E-2</v>
      </c>
      <c r="DF515" s="303">
        <f>VLOOKUP(H515,'HW Dx Data'!$E:$F,2,FALSE)</f>
        <v>568.98950262971744</v>
      </c>
      <c r="DG515" s="89">
        <f ca="1">VLOOKUP(CC515,'ECI - Input Price'!M$13:N$33,2,FALSE)</f>
        <v>116.925</v>
      </c>
      <c r="DH515" s="89"/>
      <c r="DI515" s="89"/>
      <c r="DJ515" s="56">
        <f t="shared" ca="1" si="957"/>
        <v>5.2678406346976722E-2</v>
      </c>
      <c r="DK515" s="53">
        <f>HLOOKUP(H515,'GDP-PI'!$8:$9,2,FALSE)</f>
        <v>96.108999999999995</v>
      </c>
      <c r="DL515" s="355">
        <f t="shared" si="950"/>
        <v>1.1616598807150427E-2</v>
      </c>
      <c r="EC515"/>
    </row>
    <row r="516" spans="1:133" s="126" customFormat="1" ht="21" customHeight="1" x14ac:dyDescent="0.4">
      <c r="A516" s="233" t="s">
        <v>212</v>
      </c>
      <c r="B516" s="127" t="s">
        <v>212</v>
      </c>
      <c r="C516" s="127">
        <v>4057090</v>
      </c>
      <c r="D516" s="127" t="s">
        <v>209</v>
      </c>
      <c r="E516" s="127"/>
      <c r="F516" s="127"/>
      <c r="G516" s="127" t="s">
        <v>167</v>
      </c>
      <c r="H516" s="128">
        <v>2011</v>
      </c>
      <c r="I516" s="129"/>
      <c r="J516" s="125">
        <f>IFERROR(INDEX('Labor Expenditures'!$E$7:$W$91,MATCH($C516,'Labor Expenditures'!$C$7:$C$91,0),MATCH($G516,'Labor Expenditures'!$E$5:$W$5,0)),"NA")</f>
        <v>21335.238953880023</v>
      </c>
      <c r="K516" s="125">
        <f t="shared" ca="1" si="951"/>
        <v>176.50663043540868</v>
      </c>
      <c r="L516" s="47"/>
      <c r="M516" s="131">
        <f t="shared" ca="1" si="958"/>
        <v>4.0582990545087953E-2</v>
      </c>
      <c r="N516" s="131"/>
      <c r="O516" s="131"/>
      <c r="P516" s="59">
        <f t="shared" ca="1" si="961"/>
        <v>3.4179944175764625E-4</v>
      </c>
      <c r="Q516" s="61"/>
      <c r="R516" s="387"/>
      <c r="S516" s="49">
        <f t="shared" ca="1" si="965"/>
        <v>117.09534960414871</v>
      </c>
      <c r="T516" s="61">
        <f ca="1">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</f>
        <v>0.18364870034263048</v>
      </c>
      <c r="U516" s="61"/>
      <c r="V516" s="125">
        <f>IFERROR(INDEX('Non-Labor Expenditures'!$E$7:$AA$91,MATCH($C516,'Non-Labor Expenditures'!$C$7:$C$91,0),MATCH($G516,'Non-Labor Expenditures'!$E$5:$AA$5,0)),"NA")</f>
        <v>30897.410878183491</v>
      </c>
      <c r="W516" s="125">
        <f t="shared" si="952"/>
        <v>314.91979450203331</v>
      </c>
      <c r="X516" s="131">
        <f t="shared" si="962"/>
        <v>5.3180521493747149E-2</v>
      </c>
      <c r="Y516" s="131">
        <f t="shared" si="963"/>
        <v>4.4789879490887794E-4</v>
      </c>
      <c r="Z516" s="131"/>
      <c r="AA516" s="131"/>
      <c r="AB516" s="131"/>
      <c r="AC516" s="125">
        <f t="shared" si="932"/>
        <v>24179.598608990222</v>
      </c>
      <c r="AD516" s="129"/>
      <c r="AE516" s="133">
        <v>1715.3483542919582</v>
      </c>
      <c r="AF516" s="134">
        <v>3.5002993411125664E-2</v>
      </c>
      <c r="AG516" s="59">
        <f t="shared" si="953"/>
        <v>2.9480340031810224E-4</v>
      </c>
      <c r="AH516" s="134"/>
      <c r="AI516" s="134"/>
      <c r="AJ516" s="129">
        <f t="shared" si="889"/>
        <v>76412.248441053729</v>
      </c>
      <c r="AK516" s="134">
        <f t="shared" si="964"/>
        <v>7.9654507377505734E-2</v>
      </c>
      <c r="AL516" s="129"/>
      <c r="AM516" s="129"/>
      <c r="AN516" s="129"/>
      <c r="AO516" s="129"/>
      <c r="AP516" s="133"/>
      <c r="AQ516" s="134">
        <f>+BB516/Outputs!$B$19</f>
        <v>8.9656960087134609E-3</v>
      </c>
      <c r="AR516" s="93">
        <f t="shared" si="954"/>
        <v>0.27921229108103718</v>
      </c>
      <c r="AS516" s="93">
        <f t="shared" si="955"/>
        <v>0.40435154714781762</v>
      </c>
      <c r="AT516" s="93">
        <f t="shared" si="956"/>
        <v>0.31643616177114531</v>
      </c>
      <c r="AU516" s="93">
        <f t="shared" ca="1" si="959"/>
        <v>4.3937229153677176E-2</v>
      </c>
      <c r="AV516" s="132">
        <f t="shared" ca="1" si="967"/>
        <v>108.16760721514257</v>
      </c>
      <c r="AW516" s="134">
        <f t="shared" ca="1" si="968"/>
        <v>4.3937229153677246E-2</v>
      </c>
      <c r="AX516" s="56">
        <f>+AJ516/$AL$16</f>
        <v>8.4222339745491388E-3</v>
      </c>
      <c r="AY516" s="135">
        <f t="shared" ca="1" si="966"/>
        <v>3.700496241256514E-4</v>
      </c>
      <c r="AZ516" s="93"/>
      <c r="BA516" s="93"/>
      <c r="BB516" s="234">
        <f>IFERROR(INDEX('Total Customers'!$E$7:$AA$91,MATCH($C516,'Total Customers'!$C$7:$C$91,0),MATCH($G516,'Total Customers'!$E$5:$AA$5,0)),"NA")</f>
        <v>318661</v>
      </c>
      <c r="BC516" s="411">
        <f t="shared" ref="BC516:BC579" si="973">LN(BB516/BB515)</f>
        <v>-5.9634610766910665E-3</v>
      </c>
      <c r="BD516" s="92"/>
      <c r="BE516" s="281" t="str">
        <f t="shared" si="969"/>
        <v>LOUISVILLE GAS AND ELECTRIC COMPANY</v>
      </c>
      <c r="BF516" s="290">
        <f t="shared" si="970"/>
        <v>4057090</v>
      </c>
      <c r="BG516" s="46" t="str">
        <f t="shared" si="971"/>
        <v>KY</v>
      </c>
      <c r="BH516" s="46"/>
      <c r="BI516" s="46" t="str">
        <f t="shared" si="972"/>
        <v>2011 Y</v>
      </c>
      <c r="BJ516" s="129"/>
      <c r="BK516" s="129"/>
      <c r="BL516" s="129">
        <f>INDEX('Dist. Plant Gas Additions'!$E$7:$AD$91,MATCH($C516,'Dist. Plant Gas Additions'!$C$7:$C$91,0),MATCH(Calculation!$G516,'Dist. Plant Gas Additions'!$E$5:$AD$5,0))</f>
        <v>42431</v>
      </c>
      <c r="BM516" s="129">
        <f>INDEX('Gen. Plant Additions'!$E$7:$AD$91,MATCH($C516,'Gen. Plant Additions'!$C$7:$C$91,0),MATCH(Calculation!$G516,'Gen. Plant Additions'!$E$5:$AD$5,0))</f>
        <v>843</v>
      </c>
      <c r="BN516" s="393">
        <f t="shared" si="933"/>
        <v>0.98634980105886982</v>
      </c>
      <c r="BO516" s="46">
        <f t="shared" si="930"/>
        <v>831.49288229262731</v>
      </c>
      <c r="BP516" s="46">
        <f t="shared" si="931"/>
        <v>-11.507117707372686</v>
      </c>
      <c r="BQ516" s="129">
        <f>INDEX('Dist Plant Depreciation'!$D$7:$AC$94,MATCH($C516,'Dist Plant Depreciation'!$C$7:$C$94,0),MATCH(Calculation!$G516,'Dist Plant Depreciation'!$D$5:$AC$5,0))</f>
        <v>189161</v>
      </c>
      <c r="BR516" s="129">
        <f>INDEX('Gen. Plant Depreciation'!$D$7:$AC$94,MATCH($C516,'Gen. Plant Depreciation'!$C$7:$C$94,0),MATCH(Calculation!$G516,'Gen. Plant Depreciation'!$D$5:$AC$5,0))</f>
        <v>4788</v>
      </c>
      <c r="BS516" s="129"/>
      <c r="BT516" s="129"/>
      <c r="BU516" s="129"/>
      <c r="BV516" s="129"/>
      <c r="BW516" s="129"/>
      <c r="BX516" s="129"/>
      <c r="BY516" s="129">
        <f>INDEX('Gross Dx Plant'!$D$7:$AC$91,MATCH($C516,'Gross Dx Plant'!$C$7:$C$91,0),MATCH(Calculation!$G516,'Gross Dx Plant'!$D$5:$AC$5,0))</f>
        <v>611817</v>
      </c>
      <c r="BZ516" s="129">
        <f>INDEX('Gross Gen Plant'!$D$7:$AC$91,MATCH($C516,'Gross Gen Plant'!$C$7:$C$91,0),MATCH(Calculation!$G516,'Gross Gen Plant'!$D$5:$AC$5,0))</f>
        <v>8467</v>
      </c>
      <c r="CA516" s="129">
        <f t="shared" si="960"/>
        <v>426335</v>
      </c>
      <c r="CB516" s="129"/>
      <c r="CC516" s="133">
        <v>2011</v>
      </c>
      <c r="CD516" s="129"/>
      <c r="CE516" s="129"/>
      <c r="CF516" s="129"/>
      <c r="CG516" s="137"/>
      <c r="CH516" s="129">
        <f t="shared" si="934"/>
        <v>43274</v>
      </c>
      <c r="CI516" s="46">
        <f t="shared" si="943"/>
        <v>43262.49288229263</v>
      </c>
      <c r="CJ516" s="46">
        <f t="shared" si="935"/>
        <v>70.73529757152096</v>
      </c>
      <c r="CK516" s="443">
        <v>0.8539325842696629</v>
      </c>
      <c r="CL516" s="46">
        <f>+CL503*CK516+CJ504*CK515+CJ505*CK514+CJ506*CK513+CJ507*CK512+CJ508*CK511+CJ509*CK510+CJ510*CK509+CJ511*CK508+CJ512*CK507+CJ513*CK506+CJ514*CK505+CJ515*CK504+CJ516</f>
        <v>1624.5002761385224</v>
      </c>
      <c r="CM516" s="134">
        <f t="shared" si="936"/>
        <v>3.1112434804589889E-2</v>
      </c>
      <c r="CN516" s="135">
        <f t="shared" si="937"/>
        <v>1.3317336287469282E-2</v>
      </c>
      <c r="CO516" s="135">
        <f t="shared" si="946"/>
        <v>1.3024998702257007E-2</v>
      </c>
      <c r="CP516" s="134">
        <f>VLOOKUP($H516,RoR!$E:$F,2,FALSE)</f>
        <v>4.6391666666666664E-2</v>
      </c>
      <c r="CQ516" s="135">
        <v>2.0840920205183799E-2</v>
      </c>
      <c r="CR516" s="135">
        <f t="shared" si="944"/>
        <v>2.5550746461482865E-2</v>
      </c>
      <c r="CS516" s="135">
        <f t="shared" si="947"/>
        <v>1.7876942906276616E-2</v>
      </c>
      <c r="CT516" s="135">
        <f t="shared" si="948"/>
        <v>2.4810540821321614E-2</v>
      </c>
      <c r="CU516" s="139">
        <f t="shared" si="938"/>
        <v>0.85466708209999998</v>
      </c>
      <c r="CV516" s="335">
        <f t="shared" si="939"/>
        <v>1.1054151524782025</v>
      </c>
      <c r="CW516" s="335">
        <f t="shared" si="940"/>
        <v>0.43611011316687626</v>
      </c>
      <c r="CX516" s="335">
        <f t="shared" si="941"/>
        <v>0.83698442246886229</v>
      </c>
      <c r="CY516" s="335">
        <f t="shared" si="942"/>
        <v>0.40349573304423936</v>
      </c>
      <c r="CZ516" s="336">
        <f>INDEX('State Tax Lookup'!$D$7:$Z$91,MATCH(Calculation!$C516,'State Tax Lookup'!$B$7:$B$91,0),MATCH($H516,'State Tax Lookup'!$D$6:$Z$6,0))</f>
        <v>0.39279166999999998</v>
      </c>
      <c r="DA516" s="303">
        <v>0.37</v>
      </c>
      <c r="DB516" s="57">
        <f t="shared" si="945"/>
        <v>15.354697198170559</v>
      </c>
      <c r="DC516" s="56">
        <f t="shared" si="949"/>
        <v>5.9212452679304008E-2</v>
      </c>
      <c r="DD516" s="303">
        <f>VLOOKUP($H516,RoR!$E:$F,2,FALSE)</f>
        <v>4.6391666666666664E-2</v>
      </c>
      <c r="DE516" s="304">
        <f>HLOOKUP($H516,'GDP-PI'!$D$8:$CQ$11,3,FALSE)</f>
        <v>2.0840920205183799E-2</v>
      </c>
      <c r="DF516" s="303">
        <f>VLOOKUP(H516,'HW Dx Data'!$E:$F,2,FALSE)</f>
        <v>611.61109612283201</v>
      </c>
      <c r="DG516" s="89">
        <f ca="1">VLOOKUP(CC516,'ECI - Input Price'!M$13:N$33,2,FALSE)</f>
        <v>120.875</v>
      </c>
      <c r="DH516" s="89"/>
      <c r="DI516" s="89"/>
      <c r="DJ516" s="56">
        <f t="shared" ca="1" si="957"/>
        <v>3.3224250161508609E-2</v>
      </c>
      <c r="DK516" s="53">
        <f>HLOOKUP(H516,'GDP-PI'!$8:$9,2,FALSE)</f>
        <v>98.111999999999995</v>
      </c>
      <c r="DL516" s="355">
        <f t="shared" si="950"/>
        <v>2.0626719212849295E-2</v>
      </c>
      <c r="EC516"/>
    </row>
    <row r="517" spans="1:133" s="126" customFormat="1" ht="21" customHeight="1" x14ac:dyDescent="0.4">
      <c r="A517" s="233" t="s">
        <v>212</v>
      </c>
      <c r="B517" s="127" t="s">
        <v>212</v>
      </c>
      <c r="C517" s="127">
        <v>4057090</v>
      </c>
      <c r="D517" s="127" t="s">
        <v>209</v>
      </c>
      <c r="E517" s="127"/>
      <c r="F517" s="127"/>
      <c r="G517" s="127" t="s">
        <v>168</v>
      </c>
      <c r="H517" s="128">
        <v>2012</v>
      </c>
      <c r="I517" s="129"/>
      <c r="J517" s="125">
        <f>IFERROR(INDEX('Labor Expenditures'!$E$7:$W$91,MATCH($C517,'Labor Expenditures'!$C$7:$C$91,0),MATCH($G517,'Labor Expenditures'!$E$5:$W$5,0)),"NA")</f>
        <v>20593.252658355923</v>
      </c>
      <c r="K517" s="125">
        <f t="shared" ca="1" si="951"/>
        <v>165.01003732656989</v>
      </c>
      <c r="L517" s="47"/>
      <c r="M517" s="131">
        <f t="shared" ca="1" si="958"/>
        <v>-6.7352137541426604E-2</v>
      </c>
      <c r="N517" s="131"/>
      <c r="O517" s="131"/>
      <c r="P517" s="59">
        <f t="shared" ca="1" si="961"/>
        <v>-5.5350115491144616E-4</v>
      </c>
      <c r="Q517" s="61"/>
      <c r="R517" s="387"/>
      <c r="S517" s="49">
        <f t="shared" ca="1" si="965"/>
        <v>115.9644583281827</v>
      </c>
      <c r="T517" s="61">
        <f ca="1">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</f>
        <v>-9.7048063491061987E-3</v>
      </c>
      <c r="U517" s="61"/>
      <c r="V517" s="125">
        <f>IFERROR(INDEX('Non-Labor Expenditures'!$E$7:$AA$91,MATCH($C517,'Non-Labor Expenditures'!$C$7:$C$91,0),MATCH($G517,'Non-Labor Expenditures'!$E$5:$AA$5,0)),"NA")</f>
        <v>29822.876138340784</v>
      </c>
      <c r="W517" s="125">
        <f t="shared" si="952"/>
        <v>298.22876138340786</v>
      </c>
      <c r="X517" s="131">
        <f t="shared" si="962"/>
        <v>-5.4457138118300094E-2</v>
      </c>
      <c r="Y517" s="131">
        <f t="shared" si="963"/>
        <v>-4.4752980294220952E-4</v>
      </c>
      <c r="Z517" s="131"/>
      <c r="AA517" s="131"/>
      <c r="AB517" s="131"/>
      <c r="AC517" s="125">
        <f t="shared" si="932"/>
        <v>26737.595761978129</v>
      </c>
      <c r="AD517" s="129"/>
      <c r="AE517" s="133">
        <v>1759.6614299138523</v>
      </c>
      <c r="AF517" s="134">
        <v>2.5505239150028239E-2</v>
      </c>
      <c r="AG517" s="59">
        <f t="shared" si="953"/>
        <v>2.0960254330681249E-4</v>
      </c>
      <c r="AH517" s="134"/>
      <c r="AI517" s="134"/>
      <c r="AJ517" s="129">
        <f t="shared" si="889"/>
        <v>77153.724558674832</v>
      </c>
      <c r="AK517" s="134">
        <f t="shared" si="964"/>
        <v>9.6568512582655072E-3</v>
      </c>
      <c r="AL517" s="129"/>
      <c r="AM517" s="129"/>
      <c r="AN517" s="129"/>
      <c r="AO517" s="129"/>
      <c r="AP517" s="133"/>
      <c r="AQ517" s="134">
        <f>+BB517/Outputs!$B$20</f>
        <v>8.9050330941616625E-3</v>
      </c>
      <c r="AR517" s="93">
        <f t="shared" si="954"/>
        <v>0.2669119705646214</v>
      </c>
      <c r="AS517" s="93">
        <f t="shared" si="955"/>
        <v>0.38653838565707488</v>
      </c>
      <c r="AT517" s="93">
        <f t="shared" si="956"/>
        <v>0.34654964377830377</v>
      </c>
      <c r="AU517" s="93">
        <f t="shared" ca="1" si="959"/>
        <v>-3.1471313584292365E-2</v>
      </c>
      <c r="AV517" s="132">
        <f t="shared" ca="1" si="967"/>
        <v>104.81643993755561</v>
      </c>
      <c r="AW517" s="134">
        <f t="shared" ca="1" si="968"/>
        <v>-3.1471313584292317E-2</v>
      </c>
      <c r="AX517" s="56">
        <f>+AJ517/$AL$17</f>
        <v>8.2180191322213277E-3</v>
      </c>
      <c r="AY517" s="135">
        <f t="shared" ca="1" si="966"/>
        <v>-2.5863185715185123E-4</v>
      </c>
      <c r="AZ517" s="93"/>
      <c r="BA517" s="93"/>
      <c r="BB517" s="234">
        <f>IFERROR(INDEX('Total Customers'!$E$7:$AA$91,MATCH($C517,'Total Customers'!$C$7:$C$91,0),MATCH($G517,'Total Customers'!$E$5:$AA$5,0)),"NA")</f>
        <v>318029</v>
      </c>
      <c r="BC517" s="411">
        <f t="shared" si="973"/>
        <v>-1.9852682076821537E-3</v>
      </c>
      <c r="BD517" s="92"/>
      <c r="BE517" s="281" t="str">
        <f t="shared" si="969"/>
        <v>LOUISVILLE GAS AND ELECTRIC COMPANY</v>
      </c>
      <c r="BF517" s="290">
        <f t="shared" si="970"/>
        <v>4057090</v>
      </c>
      <c r="BG517" s="46" t="str">
        <f t="shared" si="971"/>
        <v>KY</v>
      </c>
      <c r="BH517" s="46"/>
      <c r="BI517" s="46" t="str">
        <f t="shared" si="972"/>
        <v>2012 Y</v>
      </c>
      <c r="BJ517" s="129"/>
      <c r="BK517" s="129"/>
      <c r="BL517" s="129">
        <f>INDEX('Dist. Plant Gas Additions'!$E$7:$AD$91,MATCH($C517,'Dist. Plant Gas Additions'!$C$7:$C$91,0),MATCH(Calculation!$G517,'Dist. Plant Gas Additions'!$E$5:$AD$5,0))</f>
        <v>36861</v>
      </c>
      <c r="BM517" s="129">
        <f>INDEX('Gen. Plant Additions'!$E$7:$AD$91,MATCH($C517,'Gen. Plant Additions'!$C$7:$C$91,0),MATCH(Calculation!$G517,'Gen. Plant Additions'!$E$5:$AD$5,0))</f>
        <v>1156</v>
      </c>
      <c r="BN517" s="393">
        <f t="shared" si="933"/>
        <v>0.98583053478501348</v>
      </c>
      <c r="BO517" s="46">
        <f t="shared" si="930"/>
        <v>1139.6200982114756</v>
      </c>
      <c r="BP517" s="46">
        <f t="shared" si="931"/>
        <v>-16.379901788524421</v>
      </c>
      <c r="BQ517" s="129">
        <f>INDEX('Dist Plant Depreciation'!$D$7:$AC$94,MATCH($C517,'Dist Plant Depreciation'!$C$7:$C$94,0),MATCH(Calculation!$G517,'Dist Plant Depreciation'!$D$5:$AC$5,0))</f>
        <v>201131</v>
      </c>
      <c r="BR517" s="129">
        <f>INDEX('Gen. Plant Depreciation'!$D$7:$AC$94,MATCH($C517,'Gen. Plant Depreciation'!$C$7:$C$94,0),MATCH(Calculation!$G517,'Gen. Plant Depreciation'!$D$5:$AC$5,0))</f>
        <v>4868</v>
      </c>
      <c r="BS517" s="129"/>
      <c r="BT517" s="129"/>
      <c r="BU517" s="129"/>
      <c r="BV517" s="129"/>
      <c r="BW517" s="129"/>
      <c r="BX517" s="129"/>
      <c r="BY517" s="129">
        <f>INDEX('Gross Dx Plant'!$D$7:$AC$91,MATCH($C517,'Gross Dx Plant'!$C$7:$C$91,0),MATCH(Calculation!$G517,'Gross Dx Plant'!$D$5:$AC$5,0))</f>
        <v>645232</v>
      </c>
      <c r="BZ517" s="129">
        <f>INDEX('Gross Gen Plant'!$D$7:$AC$91,MATCH($C517,'Gross Gen Plant'!$C$7:$C$91,0),MATCH(Calculation!$G517,'Gross Gen Plant'!$D$5:$AC$5,0))</f>
        <v>9274</v>
      </c>
      <c r="CA517" s="129">
        <f t="shared" si="960"/>
        <v>448507</v>
      </c>
      <c r="CB517" s="129"/>
      <c r="CC517" s="133">
        <v>2012</v>
      </c>
      <c r="CD517" s="129"/>
      <c r="CE517" s="129"/>
      <c r="CF517" s="129"/>
      <c r="CG517" s="137"/>
      <c r="CH517" s="129">
        <f t="shared" si="934"/>
        <v>38017</v>
      </c>
      <c r="CI517" s="46">
        <f t="shared" si="943"/>
        <v>38000.620098211475</v>
      </c>
      <c r="CJ517" s="46">
        <f t="shared" si="935"/>
        <v>56.808973581740183</v>
      </c>
      <c r="CK517" s="443">
        <v>0.84090909090909094</v>
      </c>
      <c r="CL517" s="46">
        <f>+CL503*CK517+CJ504*CK516+CJ505*CK515+CJ506*CK514+CJ507*CK513+CJ508*CK512+CJ509*CK511+CJ510*CK510+CJ511*CK509+CJ512*CK508+CJ513*CK507+CJ514*CK506+CJ515*CK505+CJ516*CK504+CJ517</f>
        <v>1659.1740393548278</v>
      </c>
      <c r="CM517" s="134">
        <f t="shared" si="936"/>
        <v>2.1119665776665027E-2</v>
      </c>
      <c r="CN517" s="135">
        <f t="shared" si="937"/>
        <v>1.3625858173475211E-2</v>
      </c>
      <c r="CO517" s="135">
        <f t="shared" si="946"/>
        <v>1.3320464086574746E-2</v>
      </c>
      <c r="CP517" s="134">
        <f>VLOOKUP($H517,RoR!$E:$F,2,FALSE)</f>
        <v>3.6733333333333333E-2</v>
      </c>
      <c r="CQ517" s="135">
        <v>1.924331376386168E-2</v>
      </c>
      <c r="CR517" s="135">
        <f t="shared" si="944"/>
        <v>1.7490019569471653E-2</v>
      </c>
      <c r="CS517" s="135">
        <f t="shared" si="947"/>
        <v>1.7581477521958877E-2</v>
      </c>
      <c r="CT517" s="135">
        <f t="shared" si="948"/>
        <v>6.7122682943869583E-2</v>
      </c>
      <c r="CU517" s="139">
        <f t="shared" si="938"/>
        <v>0.85466708209999998</v>
      </c>
      <c r="CV517" s="335">
        <f t="shared" si="939"/>
        <v>1.3960631020522127</v>
      </c>
      <c r="CW517" s="335">
        <f t="shared" si="940"/>
        <v>0.29441923774954631</v>
      </c>
      <c r="CX517" s="335">
        <f t="shared" si="941"/>
        <v>0.76377954189366437</v>
      </c>
      <c r="CY517" s="335">
        <f t="shared" si="942"/>
        <v>0.31393465103033691</v>
      </c>
      <c r="CZ517" s="336">
        <f>INDEX('State Tax Lookup'!$D$7:$Z$91,MATCH(Calculation!$C517,'State Tax Lookup'!$B$7:$B$91,0),MATCH($H517,'State Tax Lookup'!$D$6:$Z$6,0))</f>
        <v>0.39279166999999998</v>
      </c>
      <c r="DA517" s="303">
        <v>0.37</v>
      </c>
      <c r="DB517" s="57">
        <f t="shared" si="945"/>
        <v>16.458966584809737</v>
      </c>
      <c r="DC517" s="56">
        <f t="shared" si="949"/>
        <v>6.9448976233790455E-2</v>
      </c>
      <c r="DD517" s="303">
        <f>VLOOKUP($H517,RoR!$E:$F,2,FALSE)</f>
        <v>3.6733333333333333E-2</v>
      </c>
      <c r="DE517" s="304">
        <f>HLOOKUP($H517,'GDP-PI'!$D$8:$CQ$11,3,FALSE)</f>
        <v>1.924331376386168E-2</v>
      </c>
      <c r="DF517" s="303">
        <f>VLOOKUP(H517,'HW Dx Data'!$E:$F,2,FALSE)</f>
        <v>668.91932211262167</v>
      </c>
      <c r="DG517" s="89">
        <f ca="1">VLOOKUP(CC517,'ECI - Input Price'!M$13:N$33,2,FALSE)</f>
        <v>124.80000000000001</v>
      </c>
      <c r="DH517" s="89"/>
      <c r="DI517" s="89"/>
      <c r="DJ517" s="56">
        <f t="shared" ca="1" si="957"/>
        <v>3.1955502161869064E-2</v>
      </c>
      <c r="DK517" s="53">
        <f>HLOOKUP(H517,'GDP-PI'!$8:$9,2,FALSE)</f>
        <v>100</v>
      </c>
      <c r="DL517" s="355">
        <f t="shared" si="950"/>
        <v>1.9060502738742411E-2</v>
      </c>
      <c r="EC517"/>
    </row>
    <row r="518" spans="1:133" s="126" customFormat="1" ht="21" customHeight="1" x14ac:dyDescent="0.4">
      <c r="A518" s="233" t="s">
        <v>212</v>
      </c>
      <c r="B518" s="127" t="s">
        <v>212</v>
      </c>
      <c r="C518" s="127">
        <v>4057090</v>
      </c>
      <c r="D518" s="127" t="s">
        <v>209</v>
      </c>
      <c r="E518" s="127"/>
      <c r="F518" s="127"/>
      <c r="G518" s="127" t="s">
        <v>169</v>
      </c>
      <c r="H518" s="128">
        <v>2013</v>
      </c>
      <c r="I518" s="129"/>
      <c r="J518" s="125">
        <f>IFERROR(INDEX('Labor Expenditures'!$E$7:$W$91,MATCH($C518,'Labor Expenditures'!$C$7:$C$91,0),MATCH($G518,'Labor Expenditures'!$E$5:$W$5,0)),"NA")</f>
        <v>22338.644698979504</v>
      </c>
      <c r="K518" s="125">
        <f t="shared" ca="1" si="951"/>
        <v>176.17227680583204</v>
      </c>
      <c r="L518" s="47"/>
      <c r="M518" s="131">
        <f t="shared" ca="1" si="958"/>
        <v>6.5456057436369314E-2</v>
      </c>
      <c r="N518" s="131"/>
      <c r="O518" s="131"/>
      <c r="P518" s="59">
        <f t="shared" ca="1" si="961"/>
        <v>5.4690242931730343E-4</v>
      </c>
      <c r="Q518" s="61"/>
      <c r="R518" s="387"/>
      <c r="S518" s="49">
        <f t="shared" ca="1" si="965"/>
        <v>108.53627145721769</v>
      </c>
      <c r="T518" s="61">
        <f ca="1">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</f>
        <v>-6.6199334175786273E-2</v>
      </c>
      <c r="U518" s="61"/>
      <c r="V518" s="125">
        <f>IFERROR(INDEX('Non-Labor Expenditures'!$E$7:$AA$91,MATCH($C518,'Non-Labor Expenditures'!$C$7:$C$91,0),MATCH($G518,'Non-Labor Expenditures'!$E$5:$AA$5,0)),"NA")</f>
        <v>32350.529807429437</v>
      </c>
      <c r="W518" s="125">
        <f t="shared" si="952"/>
        <v>317.86947232988553</v>
      </c>
      <c r="X518" s="131">
        <f t="shared" si="962"/>
        <v>6.377998648765712E-2</v>
      </c>
      <c r="Y518" s="131">
        <f t="shared" si="963"/>
        <v>5.3289841946000424E-4</v>
      </c>
      <c r="Z518" s="131"/>
      <c r="AA518" s="131"/>
      <c r="AB518" s="131"/>
      <c r="AC518" s="125">
        <f t="shared" si="932"/>
        <v>26612.347064809728</v>
      </c>
      <c r="AD518" s="129"/>
      <c r="AE518" s="133">
        <v>1844.0113813048392</v>
      </c>
      <c r="AF518" s="134">
        <v>4.6821876011991628E-2</v>
      </c>
      <c r="AG518" s="59">
        <f t="shared" si="953"/>
        <v>3.9120898415008709E-4</v>
      </c>
      <c r="AH518" s="134"/>
      <c r="AI518" s="134"/>
      <c r="AJ518" s="129">
        <f t="shared" si="889"/>
        <v>81301.521571218676</v>
      </c>
      <c r="AK518" s="134">
        <f t="shared" si="964"/>
        <v>5.2364877401819471E-2</v>
      </c>
      <c r="AL518" s="129"/>
      <c r="AM518" s="129"/>
      <c r="AN518" s="129"/>
      <c r="AO518" s="129"/>
      <c r="AP518" s="133"/>
      <c r="AQ518" s="134">
        <f>+BB518/Outputs!$B$21</f>
        <v>8.8772413872924491E-3</v>
      </c>
      <c r="AR518" s="93">
        <f t="shared" si="954"/>
        <v>0.27476293514889816</v>
      </c>
      <c r="AS518" s="93">
        <f t="shared" si="955"/>
        <v>0.39790804873302343</v>
      </c>
      <c r="AT518" s="93">
        <f t="shared" si="956"/>
        <v>0.3273290161180783</v>
      </c>
      <c r="AU518" s="93">
        <f t="shared" ca="1" si="959"/>
        <v>5.8520074893355409E-2</v>
      </c>
      <c r="AV518" s="132">
        <f t="shared" ca="1" si="967"/>
        <v>111.13333582962399</v>
      </c>
      <c r="AW518" s="134">
        <f t="shared" ca="1" si="968"/>
        <v>5.852007489335543E-2</v>
      </c>
      <c r="AX518" s="56">
        <f>+AJ518/$AL$18</f>
        <v>8.3552607770328111E-3</v>
      </c>
      <c r="AY518" s="135">
        <f t="shared" ca="1" si="966"/>
        <v>4.8895048642547524E-4</v>
      </c>
      <c r="AZ518" s="93"/>
      <c r="BA518" s="93"/>
      <c r="BB518" s="234">
        <f>IFERROR(INDEX('Total Customers'!$E$7:$AA$91,MATCH($C518,'Total Customers'!$C$7:$C$91,0),MATCH($G518,'Total Customers'!$E$5:$AA$5,0)),"NA")</f>
        <v>319070</v>
      </c>
      <c r="BC518" s="411">
        <f t="shared" si="973"/>
        <v>3.2679408582999671E-3</v>
      </c>
      <c r="BD518" s="92"/>
      <c r="BE518" s="281" t="str">
        <f t="shared" si="969"/>
        <v>LOUISVILLE GAS AND ELECTRIC COMPANY</v>
      </c>
      <c r="BF518" s="290">
        <f t="shared" si="970"/>
        <v>4057090</v>
      </c>
      <c r="BG518" s="46" t="str">
        <f t="shared" si="971"/>
        <v>KY</v>
      </c>
      <c r="BH518" s="46"/>
      <c r="BI518" s="46" t="str">
        <f t="shared" si="972"/>
        <v>2013 Y</v>
      </c>
      <c r="BJ518" s="129"/>
      <c r="BK518" s="129"/>
      <c r="BL518" s="129">
        <f>INDEX('Dist. Plant Gas Additions'!$E$7:$AD$91,MATCH($C518,'Dist. Plant Gas Additions'!$C$7:$C$91,0),MATCH(Calculation!$G518,'Dist. Plant Gas Additions'!$E$5:$AD$5,0))</f>
        <v>64443</v>
      </c>
      <c r="BM518" s="129">
        <f>INDEX('Gen. Plant Additions'!$E$7:$AD$91,MATCH($C518,'Gen. Plant Additions'!$C$7:$C$91,0),MATCH(Calculation!$G518,'Gen. Plant Additions'!$E$5:$AD$5,0))</f>
        <v>293</v>
      </c>
      <c r="BN518" s="393">
        <f t="shared" si="933"/>
        <v>0.98665947738826465</v>
      </c>
      <c r="BO518" s="46">
        <f t="shared" si="930"/>
        <v>289.09122687476156</v>
      </c>
      <c r="BP518" s="46">
        <f t="shared" si="931"/>
        <v>-3.9087731252384401</v>
      </c>
      <c r="BQ518" s="129">
        <f>INDEX('Dist Plant Depreciation'!$D$7:$AC$94,MATCH($C518,'Dist Plant Depreciation'!$C$7:$C$94,0),MATCH(Calculation!$G518,'Dist Plant Depreciation'!$D$5:$AC$5,0))</f>
        <v>210147</v>
      </c>
      <c r="BR518" s="129">
        <f>INDEX('Gen. Plant Depreciation'!$D$7:$AC$94,MATCH($C518,'Gen. Plant Depreciation'!$C$7:$C$94,0),MATCH(Calculation!$G518,'Gen. Plant Depreciation'!$D$5:$AC$5,0))</f>
        <v>5130</v>
      </c>
      <c r="BS518" s="129"/>
      <c r="BT518" s="129"/>
      <c r="BU518" s="129"/>
      <c r="BV518" s="129"/>
      <c r="BW518" s="129"/>
      <c r="BX518" s="129"/>
      <c r="BY518" s="129">
        <f>INDEX('Gross Dx Plant'!$D$7:$AC$91,MATCH($C518,'Gross Dx Plant'!$C$7:$C$91,0),MATCH(Calculation!$G518,'Gross Dx Plant'!$D$5:$AC$5,0))</f>
        <v>700841</v>
      </c>
      <c r="BZ518" s="129">
        <f>INDEX('Gross Gen Plant'!$D$7:$AC$91,MATCH($C518,'Gross Gen Plant'!$C$7:$C$91,0),MATCH(Calculation!$G518,'Gross Gen Plant'!$D$5:$AC$5,0))</f>
        <v>9476</v>
      </c>
      <c r="CA518" s="129">
        <f t="shared" si="960"/>
        <v>495040</v>
      </c>
      <c r="CB518" s="129"/>
      <c r="CC518" s="133">
        <v>2013</v>
      </c>
      <c r="CD518" s="129"/>
      <c r="CE518" s="129"/>
      <c r="CF518" s="129"/>
      <c r="CG518" s="137"/>
      <c r="CH518" s="129">
        <f t="shared" si="934"/>
        <v>64736</v>
      </c>
      <c r="CI518" s="46">
        <f t="shared" si="943"/>
        <v>64732.091226874763</v>
      </c>
      <c r="CJ518" s="46">
        <f t="shared" si="935"/>
        <v>97.598562908305496</v>
      </c>
      <c r="CK518" s="443">
        <v>0.82758620689655171</v>
      </c>
      <c r="CL518" s="46">
        <f>+CL503*CK518+CJ504*CK517+CJ505*CK516+CJ506*CK515+CJ507*CK514+CJ508*CK513+CJ509*CK512+CJ510*CK511+CJ511*CK510+CJ512*CK509+CJ513*CK508+CJ514*CK507+CJ515*CK506+CJ516*CK505+CJ517*CK504+CJ518</f>
        <v>1733.5817831303254</v>
      </c>
      <c r="CM518" s="134">
        <f t="shared" si="936"/>
        <v>4.3869751181560612E-2</v>
      </c>
      <c r="CN518" s="135">
        <f t="shared" si="937"/>
        <v>1.3977327623704615E-2</v>
      </c>
      <c r="CO518" s="135">
        <f t="shared" si="946"/>
        <v>1.364017402821637E-2</v>
      </c>
      <c r="CP518" s="134">
        <f>VLOOKUP($H518,RoR!$E:$F,2,FALSE)</f>
        <v>4.2350000000000006E-2</v>
      </c>
      <c r="CQ518" s="135">
        <v>1.7730000000000024E-2</v>
      </c>
      <c r="CR518" s="135">
        <f t="shared" si="944"/>
        <v>2.4619999999999982E-2</v>
      </c>
      <c r="CS518" s="135">
        <f t="shared" si="947"/>
        <v>1.7261767580317257E-2</v>
      </c>
      <c r="CT518" s="135">
        <f t="shared" si="948"/>
        <v>5.3376742735721204E-2</v>
      </c>
      <c r="CU518" s="139">
        <f t="shared" si="938"/>
        <v>0.85466708209999998</v>
      </c>
      <c r="CV518" s="335">
        <f t="shared" si="939"/>
        <v>1.2109103018193925</v>
      </c>
      <c r="CW518" s="335">
        <f t="shared" si="940"/>
        <v>0.38468122786304604</v>
      </c>
      <c r="CX518" s="335">
        <f t="shared" si="941"/>
        <v>0.80969194503422559</v>
      </c>
      <c r="CY518" s="335">
        <f t="shared" si="942"/>
        <v>0.37716621754800816</v>
      </c>
      <c r="CZ518" s="336">
        <f>INDEX('State Tax Lookup'!$D$7:$Z$91,MATCH(Calculation!$C518,'State Tax Lookup'!$B$7:$B$91,0),MATCH($H518,'State Tax Lookup'!$D$6:$Z$6,0))</f>
        <v>0.39279166999999998</v>
      </c>
      <c r="DA518" s="303">
        <v>0.37</v>
      </c>
      <c r="DB518" s="57">
        <f t="shared" si="945"/>
        <v>16.039515104249087</v>
      </c>
      <c r="DC518" s="56">
        <f t="shared" si="949"/>
        <v>-2.5815038279055669E-2</v>
      </c>
      <c r="DD518" s="303">
        <f>VLOOKUP($H518,RoR!$E:$F,2,FALSE)</f>
        <v>4.2350000000000006E-2</v>
      </c>
      <c r="DE518" s="304">
        <f>HLOOKUP($H518,'GDP-PI'!$D$8:$CQ$11,3,FALSE)</f>
        <v>1.7730000000000024E-2</v>
      </c>
      <c r="DF518" s="303">
        <f>VLOOKUP(H518,'HW Dx Data'!$E:$F,2,FALSE)</f>
        <v>663.24840548821396</v>
      </c>
      <c r="DG518" s="89">
        <f ca="1">VLOOKUP(CC518,'ECI - Input Price'!M$13:N$33,2,FALSE)</f>
        <v>126.8</v>
      </c>
      <c r="DH518" s="89"/>
      <c r="DI518" s="89"/>
      <c r="DJ518" s="56">
        <f t="shared" ca="1" si="957"/>
        <v>1.5898586067798204E-2</v>
      </c>
      <c r="DK518" s="53">
        <f>HLOOKUP(H518,'GDP-PI'!$8:$9,2,FALSE)</f>
        <v>101.773</v>
      </c>
      <c r="DL518" s="355">
        <f t="shared" si="950"/>
        <v>1.7574657016510519E-2</v>
      </c>
      <c r="EC518"/>
    </row>
    <row r="519" spans="1:133" s="126" customFormat="1" ht="21" customHeight="1" x14ac:dyDescent="0.4">
      <c r="A519" s="233" t="s">
        <v>212</v>
      </c>
      <c r="B519" s="127" t="s">
        <v>212</v>
      </c>
      <c r="C519" s="127">
        <v>4057090</v>
      </c>
      <c r="D519" s="127" t="s">
        <v>209</v>
      </c>
      <c r="E519" s="127"/>
      <c r="F519" s="127"/>
      <c r="G519" s="127" t="s">
        <v>170</v>
      </c>
      <c r="H519" s="128">
        <v>2014</v>
      </c>
      <c r="I519" s="129"/>
      <c r="J519" s="125">
        <f>IFERROR(INDEX('Labor Expenditures'!$E$7:$W$91,MATCH($C519,'Labor Expenditures'!$C$7:$C$91,0),MATCH($G519,'Labor Expenditures'!$E$5:$W$5,0)),"NA")</f>
        <v>23148.112502807264</v>
      </c>
      <c r="K519" s="125">
        <f t="shared" ca="1" si="951"/>
        <v>178.88804097996339</v>
      </c>
      <c r="L519" s="47"/>
      <c r="M519" s="131">
        <f t="shared" ca="1" si="958"/>
        <v>1.5297778998514172E-2</v>
      </c>
      <c r="N519" s="131"/>
      <c r="O519" s="131"/>
      <c r="P519" s="59">
        <f t="shared" ca="1" si="961"/>
        <v>1.3105926646865939E-4</v>
      </c>
      <c r="Q519" s="61"/>
      <c r="R519" s="387"/>
      <c r="S519" s="49">
        <f t="shared" ca="1" si="965"/>
        <v>120.6753288325131</v>
      </c>
      <c r="T519" s="61">
        <f ca="1">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</f>
        <v>0.10601929022611242</v>
      </c>
      <c r="U519" s="61"/>
      <c r="V519" s="125">
        <f>IFERROR(INDEX('Non-Labor Expenditures'!$E$7:$AA$91,MATCH($C519,'Non-Labor Expenditures'!$C$7:$C$91,0),MATCH($G519,'Non-Labor Expenditures'!$E$5:$AA$5,0)),"NA")</f>
        <v>33522.790375103024</v>
      </c>
      <c r="W519" s="125">
        <f t="shared" si="952"/>
        <v>323.43232679289338</v>
      </c>
      <c r="X519" s="131">
        <f t="shared" si="962"/>
        <v>1.7349067163932527E-2</v>
      </c>
      <c r="Y519" s="131">
        <f t="shared" si="963"/>
        <v>1.4863308043875812E-4</v>
      </c>
      <c r="Z519" s="131"/>
      <c r="AA519" s="131"/>
      <c r="AB519" s="131"/>
      <c r="AC519" s="125">
        <f t="shared" si="932"/>
        <v>28223.42806179418</v>
      </c>
      <c r="AD519" s="129"/>
      <c r="AE519" s="133">
        <v>1926.1720211771196</v>
      </c>
      <c r="AF519" s="134">
        <v>4.3591327450919176E-2</v>
      </c>
      <c r="AG519" s="59">
        <f t="shared" si="953"/>
        <v>3.7345600303596323E-4</v>
      </c>
      <c r="AH519" s="134"/>
      <c r="AI519" s="134"/>
      <c r="AJ519" s="129">
        <f t="shared" si="889"/>
        <v>84894.330939704465</v>
      </c>
      <c r="AK519" s="134">
        <f t="shared" si="964"/>
        <v>4.3242585812154684E-2</v>
      </c>
      <c r="AL519" s="129"/>
      <c r="AM519" s="129"/>
      <c r="AN519" s="129"/>
      <c r="AO519" s="129"/>
      <c r="AP519" s="133"/>
      <c r="AQ519" s="134">
        <f>+BB519/Outputs!$B$22</f>
        <v>8.8538523122784554E-3</v>
      </c>
      <c r="AR519" s="93">
        <f t="shared" si="954"/>
        <v>0.27266970887900666</v>
      </c>
      <c r="AS519" s="93">
        <f t="shared" si="955"/>
        <v>0.39487666613348216</v>
      </c>
      <c r="AT519" s="93">
        <f t="shared" si="956"/>
        <v>0.33245362498751124</v>
      </c>
      <c r="AU519" s="93">
        <f t="shared" ca="1" si="959"/>
        <v>2.5444690012267658E-2</v>
      </c>
      <c r="AV519" s="132">
        <f t="shared" ca="1" si="967"/>
        <v>113.99737184334188</v>
      </c>
      <c r="AW519" s="134">
        <f t="shared" ca="1" si="968"/>
        <v>2.5444690012267672E-2</v>
      </c>
      <c r="AX519" s="56">
        <f>+AJ519/$AL$19</f>
        <v>8.5672087746455731E-3</v>
      </c>
      <c r="AY519" s="135">
        <f t="shared" ca="1" si="966"/>
        <v>2.1798997154123616E-4</v>
      </c>
      <c r="AZ519" s="93"/>
      <c r="BA519" s="93"/>
      <c r="BB519" s="234">
        <f>IFERROR(INDEX('Total Customers'!$E$7:$AA$91,MATCH($C519,'Total Customers'!$C$7:$C$91,0),MATCH($G519,'Total Customers'!$E$5:$AA$5,0)),"NA")</f>
        <v>319939</v>
      </c>
      <c r="BC519" s="411">
        <f t="shared" si="973"/>
        <v>2.7198381734955895E-3</v>
      </c>
      <c r="BD519" s="92"/>
      <c r="BE519" s="281" t="str">
        <f t="shared" si="969"/>
        <v>LOUISVILLE GAS AND ELECTRIC COMPANY</v>
      </c>
      <c r="BF519" s="290">
        <f t="shared" si="970"/>
        <v>4057090</v>
      </c>
      <c r="BG519" s="46" t="str">
        <f t="shared" si="971"/>
        <v>KY</v>
      </c>
      <c r="BH519" s="46"/>
      <c r="BI519" s="46" t="str">
        <f t="shared" si="972"/>
        <v>2014 Y</v>
      </c>
      <c r="BJ519" s="129"/>
      <c r="BK519" s="129"/>
      <c r="BL519" s="129">
        <f>INDEX('Dist. Plant Gas Additions'!$E$7:$AD$91,MATCH($C519,'Dist. Plant Gas Additions'!$C$7:$C$91,0),MATCH(Calculation!$G519,'Dist. Plant Gas Additions'!$E$5:$AD$5,0))</f>
        <v>64319</v>
      </c>
      <c r="BM519" s="129">
        <f>INDEX('Gen. Plant Additions'!$E$7:$AD$91,MATCH($C519,'Gen. Plant Additions'!$C$7:$C$91,0),MATCH(Calculation!$G519,'Gen. Plant Additions'!$E$5:$AD$5,0))</f>
        <v>1654</v>
      </c>
      <c r="BN519" s="393">
        <f t="shared" si="933"/>
        <v>0.98567806393274737</v>
      </c>
      <c r="BO519" s="46">
        <f t="shared" si="930"/>
        <v>1630.3115177447642</v>
      </c>
      <c r="BP519" s="46">
        <f t="shared" si="931"/>
        <v>-23.68848225523584</v>
      </c>
      <c r="BQ519" s="129">
        <f>INDEX('Dist Plant Depreciation'!$D$7:$AC$94,MATCH($C519,'Dist Plant Depreciation'!$C$7:$C$94,0),MATCH(Calculation!$G519,'Dist Plant Depreciation'!$D$5:$AC$5,0))</f>
        <v>220610</v>
      </c>
      <c r="BR519" s="129">
        <f>INDEX('Gen. Plant Depreciation'!$D$7:$AC$94,MATCH($C519,'Gen. Plant Depreciation'!$C$7:$C$94,0),MATCH(Calculation!$G519,'Gen. Plant Depreciation'!$D$5:$AC$5,0))</f>
        <v>5462</v>
      </c>
      <c r="BS519" s="129"/>
      <c r="BT519" s="129"/>
      <c r="BU519" s="129"/>
      <c r="BV519" s="129"/>
      <c r="BW519" s="129"/>
      <c r="BX519" s="129"/>
      <c r="BY519" s="129">
        <f>INDEX('Gross Dx Plant'!$D$7:$AC$91,MATCH($C519,'Gross Dx Plant'!$C$7:$C$91,0),MATCH(Calculation!$G519,'Gross Dx Plant'!$D$5:$AC$5,0))</f>
        <v>756502</v>
      </c>
      <c r="BZ519" s="129">
        <f>INDEX('Gross Gen Plant'!$D$7:$AC$91,MATCH($C519,'Gross Gen Plant'!$C$7:$C$91,0),MATCH(Calculation!$G519,'Gross Gen Plant'!$D$5:$AC$5,0))</f>
        <v>10992</v>
      </c>
      <c r="CA519" s="129">
        <f t="shared" si="960"/>
        <v>541422</v>
      </c>
      <c r="CB519" s="129"/>
      <c r="CC519" s="133">
        <v>2014</v>
      </c>
      <c r="CD519" s="129"/>
      <c r="CE519" s="129"/>
      <c r="CF519" s="129"/>
      <c r="CG519" s="137"/>
      <c r="CH519" s="129">
        <f t="shared" si="934"/>
        <v>65973</v>
      </c>
      <c r="CI519" s="46">
        <f t="shared" si="943"/>
        <v>65949.311517744762</v>
      </c>
      <c r="CJ519" s="46">
        <f t="shared" si="935"/>
        <v>96.351036721835243</v>
      </c>
      <c r="CK519" s="443">
        <v>0.81395348837209303</v>
      </c>
      <c r="CL519" s="46">
        <f>+CL503*CK519+CJ504*CK518+CJ505*CK517+CJ506*CK516+CJ507*CK515+CJ508*CK514+CJ509*CK513+CJ510*CK512+CJ511*CK511+CJ512*CK510+CJ513*CK509+CJ514*CK508+CJ515*CK507+CJ516*CK506+CJ517*CK505+CJ518*CK504+CJ519</f>
        <v>1805.2545864362628</v>
      </c>
      <c r="CM519" s="134">
        <f t="shared" si="936"/>
        <v>4.0511963887029774E-2</v>
      </c>
      <c r="CN519" s="135">
        <f t="shared" si="937"/>
        <v>1.4235401903760462E-2</v>
      </c>
      <c r="CO519" s="135">
        <f t="shared" si="946"/>
        <v>1.3946195900313429E-2</v>
      </c>
      <c r="CP519" s="134">
        <f>VLOOKUP($H519,RoR!$E:$F,2,FALSE)</f>
        <v>4.1625000000000002E-2</v>
      </c>
      <c r="CQ519" s="135">
        <v>1.841352814597208E-2</v>
      </c>
      <c r="CR519" s="135">
        <f t="shared" si="944"/>
        <v>2.3211471854027922E-2</v>
      </c>
      <c r="CS519" s="135">
        <f t="shared" si="947"/>
        <v>1.6955745708220196E-2</v>
      </c>
      <c r="CT519" s="135">
        <f t="shared" si="948"/>
        <v>3.9072621432650924E-2</v>
      </c>
      <c r="CU519" s="139">
        <f t="shared" si="938"/>
        <v>0.85466708209999998</v>
      </c>
      <c r="CV519" s="335">
        <f t="shared" si="939"/>
        <v>1.2320012320012319</v>
      </c>
      <c r="CW519" s="335">
        <f t="shared" si="940"/>
        <v>0.37439939939939942</v>
      </c>
      <c r="CX519" s="335">
        <f t="shared" si="941"/>
        <v>0.80432100613819935</v>
      </c>
      <c r="CY519" s="335">
        <f t="shared" si="942"/>
        <v>0.37100152660040037</v>
      </c>
      <c r="CZ519" s="336">
        <f>INDEX('State Tax Lookup'!$D$7:$Z$91,MATCH(Calculation!$C519,'State Tax Lookup'!$B$7:$B$91,0),MATCH($H519,'State Tax Lookup'!$D$6:$Z$6,0))</f>
        <v>0.39279166999999998</v>
      </c>
      <c r="DA519" s="303">
        <v>0.37</v>
      </c>
      <c r="DB519" s="57">
        <f t="shared" si="945"/>
        <v>16.280413382535198</v>
      </c>
      <c r="DC519" s="56">
        <f t="shared" si="949"/>
        <v>1.4907380726628708E-2</v>
      </c>
      <c r="DD519" s="303">
        <f>VLOOKUP($H519,RoR!$E:$F,2,FALSE)</f>
        <v>4.1625000000000002E-2</v>
      </c>
      <c r="DE519" s="304">
        <f>HLOOKUP($H519,'GDP-PI'!$D$8:$CQ$11,3,FALSE)</f>
        <v>1.841352814597208E-2</v>
      </c>
      <c r="DF519" s="303">
        <f>VLOOKUP(H519,'HW Dx Data'!$E:$F,2,FALSE)</f>
        <v>684.46914285042885</v>
      </c>
      <c r="DG519" s="89">
        <f ca="1">VLOOKUP(CC519,'ECI - Input Price'!M$13:N$33,2,FALSE)</f>
        <v>129.4</v>
      </c>
      <c r="DH519" s="89"/>
      <c r="DI519" s="89"/>
      <c r="DJ519" s="56">
        <f t="shared" ca="1" si="957"/>
        <v>2.0297340063674733E-2</v>
      </c>
      <c r="DK519" s="53">
        <f>HLOOKUP(H519,'GDP-PI'!$8:$9,2,FALSE)</f>
        <v>103.64700000000001</v>
      </c>
      <c r="DL519" s="355">
        <f t="shared" si="950"/>
        <v>1.8246051898256087E-2</v>
      </c>
      <c r="EC519"/>
    </row>
    <row r="520" spans="1:133" s="126" customFormat="1" ht="21" customHeight="1" x14ac:dyDescent="0.4">
      <c r="A520" s="233" t="s">
        <v>212</v>
      </c>
      <c r="B520" s="127" t="s">
        <v>212</v>
      </c>
      <c r="C520" s="127">
        <v>4057090</v>
      </c>
      <c r="D520" s="127" t="s">
        <v>209</v>
      </c>
      <c r="E520" s="127"/>
      <c r="F520" s="127"/>
      <c r="G520" s="127" t="s">
        <v>171</v>
      </c>
      <c r="H520" s="128">
        <v>2015</v>
      </c>
      <c r="I520" s="129"/>
      <c r="J520" s="125">
        <f>IFERROR(INDEX('Labor Expenditures'!$E$7:$W$91,MATCH($C520,'Labor Expenditures'!$C$7:$C$91,0),MATCH($G520,'Labor Expenditures'!$E$5:$W$5,0)),"NA")</f>
        <v>25045.778547787264</v>
      </c>
      <c r="K520" s="125">
        <f t="shared" ca="1" si="951"/>
        <v>187.60882807331285</v>
      </c>
      <c r="L520" s="47"/>
      <c r="M520" s="131">
        <f t="shared" ca="1" si="958"/>
        <v>4.7598952657525721E-2</v>
      </c>
      <c r="N520" s="131"/>
      <c r="O520" s="131"/>
      <c r="P520" s="59">
        <f t="shared" ca="1" si="961"/>
        <v>4.2966194014257416E-4</v>
      </c>
      <c r="Q520" s="61"/>
      <c r="R520" s="387"/>
      <c r="S520" s="49">
        <f t="shared" ca="1" si="965"/>
        <v>119.1685210517154</v>
      </c>
      <c r="T520" s="61">
        <f ca="1">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</f>
        <v>-1.2565071867967828E-2</v>
      </c>
      <c r="U520" s="61"/>
      <c r="V520" s="125">
        <f>IFERROR(INDEX('Non-Labor Expenditures'!$E$7:$AA$91,MATCH($C520,'Non-Labor Expenditures'!$C$7:$C$91,0),MATCH($G520,'Non-Labor Expenditures'!$E$5:$AA$5,0)),"NA")</f>
        <v>36270.965243360668</v>
      </c>
      <c r="W520" s="125">
        <f t="shared" si="952"/>
        <v>346.62950948843803</v>
      </c>
      <c r="X520" s="131">
        <f t="shared" si="962"/>
        <v>6.9266612245586862E-2</v>
      </c>
      <c r="Y520" s="131">
        <f t="shared" si="963"/>
        <v>6.2524961880304692E-4</v>
      </c>
      <c r="Z520" s="131"/>
      <c r="AA520" s="131"/>
      <c r="AB520" s="131"/>
      <c r="AC520" s="125">
        <f t="shared" si="932"/>
        <v>28594.396375915785</v>
      </c>
      <c r="AD520" s="129"/>
      <c r="AE520" s="133">
        <v>2014.114813150989</v>
      </c>
      <c r="AF520" s="134">
        <v>4.4645175553856227E-2</v>
      </c>
      <c r="AG520" s="59">
        <f t="shared" si="953"/>
        <v>4.029990509348493E-4</v>
      </c>
      <c r="AH520" s="134"/>
      <c r="AI520" s="134"/>
      <c r="AJ520" s="129">
        <f t="shared" si="889"/>
        <v>89911.140167063713</v>
      </c>
      <c r="AK520" s="134">
        <f t="shared" si="964"/>
        <v>5.7414533416478529E-2</v>
      </c>
      <c r="AL520" s="129"/>
      <c r="AM520" s="129"/>
      <c r="AN520" s="129"/>
      <c r="AO520" s="129"/>
      <c r="AP520" s="133">
        <f t="shared" ref="AP520:AP527" si="974">+(AJ520*1000)/BB520</f>
        <v>280.09177450597093</v>
      </c>
      <c r="AQ520" s="134">
        <f>+BB520/Outputs!$B$23</f>
        <v>8.8111465673073371E-3</v>
      </c>
      <c r="AR520" s="93">
        <f t="shared" si="954"/>
        <v>0.27856146080730099</v>
      </c>
      <c r="AS520" s="93">
        <f t="shared" si="955"/>
        <v>0.40340902335312018</v>
      </c>
      <c r="AT520" s="93">
        <f t="shared" si="956"/>
        <v>0.31802951583957889</v>
      </c>
      <c r="AU520" s="93">
        <f t="shared" ca="1" si="959"/>
        <v>5.5286752840584874E-2</v>
      </c>
      <c r="AV520" s="132">
        <f t="shared" ca="1" si="967"/>
        <v>120.47739560138476</v>
      </c>
      <c r="AW520" s="134">
        <f t="shared" ca="1" si="968"/>
        <v>5.5286752840584902E-2</v>
      </c>
      <c r="AX520" s="56">
        <f>+AJ520/$AL$20</f>
        <v>9.0267099621705992E-3</v>
      </c>
      <c r="AY520" s="135">
        <f t="shared" ca="1" si="966"/>
        <v>4.9905748264217136E-4</v>
      </c>
      <c r="AZ520" s="93"/>
      <c r="BA520" s="93"/>
      <c r="BB520" s="234">
        <f>IFERROR(INDEX('Total Customers'!$E$7:$AA$91,MATCH($C520,'Total Customers'!$C$7:$C$91,0),MATCH($G520,'Total Customers'!$E$5:$AA$5,0)),"NA")</f>
        <v>321006</v>
      </c>
      <c r="BC520" s="411">
        <f t="shared" si="973"/>
        <v>3.3294619215977115E-3</v>
      </c>
      <c r="BD520" s="92"/>
      <c r="BE520" s="281" t="str">
        <f t="shared" si="969"/>
        <v>LOUISVILLE GAS AND ELECTRIC COMPANY</v>
      </c>
      <c r="BF520" s="290">
        <f t="shared" si="970"/>
        <v>4057090</v>
      </c>
      <c r="BG520" s="46" t="str">
        <f t="shared" si="971"/>
        <v>KY</v>
      </c>
      <c r="BH520" s="46"/>
      <c r="BI520" s="46" t="str">
        <f t="shared" si="972"/>
        <v>2015 Y</v>
      </c>
      <c r="BJ520" s="129"/>
      <c r="BK520" s="129"/>
      <c r="BL520" s="129">
        <f>INDEX('Dist. Plant Gas Additions'!$E$7:$AD$91,MATCH($C520,'Dist. Plant Gas Additions'!$C$7:$C$91,0),MATCH(Calculation!$G520,'Dist. Plant Gas Additions'!$E$5:$AD$5,0))</f>
        <v>69167</v>
      </c>
      <c r="BM520" s="129">
        <f>INDEX('Gen. Plant Additions'!$E$7:$AD$91,MATCH($C520,'Gen. Plant Additions'!$C$7:$C$91,0),MATCH(Calculation!$G520,'Gen. Plant Additions'!$E$5:$AD$5,0))</f>
        <v>539</v>
      </c>
      <c r="BN520" s="393">
        <f t="shared" si="933"/>
        <v>0.98665957749501465</v>
      </c>
      <c r="BO520" s="46">
        <f t="shared" si="930"/>
        <v>531.8095122698129</v>
      </c>
      <c r="BP520" s="46">
        <f t="shared" si="931"/>
        <v>-7.1904877301871011</v>
      </c>
      <c r="BQ520" s="129">
        <f>INDEX('Dist Plant Depreciation'!$D$7:$AC$94,MATCH($C520,'Dist Plant Depreciation'!$C$7:$C$94,0),MATCH(Calculation!$G520,'Dist Plant Depreciation'!$D$5:$AC$5,0))</f>
        <v>234892</v>
      </c>
      <c r="BR520" s="129">
        <f>INDEX('Gen. Plant Depreciation'!$D$7:$AC$94,MATCH($C520,'Gen. Plant Depreciation'!$C$7:$C$94,0),MATCH(Calculation!$G520,'Gen. Plant Depreciation'!$D$5:$AC$5,0))</f>
        <v>5601</v>
      </c>
      <c r="BS520" s="129"/>
      <c r="BT520" s="129"/>
      <c r="BU520" s="129"/>
      <c r="BV520" s="129"/>
      <c r="BW520" s="129"/>
      <c r="BX520" s="129"/>
      <c r="BY520" s="129">
        <f>INDEX('Gross Dx Plant'!$D$7:$AC$91,MATCH($C520,'Gross Dx Plant'!$C$7:$C$91,0),MATCH(Calculation!$G520,'Gross Dx Plant'!$D$5:$AC$5,0))</f>
        <v>818369</v>
      </c>
      <c r="BZ520" s="129">
        <f>INDEX('Gross Gen Plant'!$D$7:$AC$91,MATCH($C520,'Gross Gen Plant'!$C$7:$C$91,0),MATCH(Calculation!$G520,'Gross Gen Plant'!$D$5:$AC$5,0))</f>
        <v>11065</v>
      </c>
      <c r="CA520" s="129">
        <f t="shared" si="960"/>
        <v>588941</v>
      </c>
      <c r="CB520" s="129"/>
      <c r="CC520" s="133">
        <v>2015</v>
      </c>
      <c r="CD520" s="129"/>
      <c r="CE520" s="129"/>
      <c r="CF520" s="129"/>
      <c r="CG520" s="137"/>
      <c r="CH520" s="129">
        <f t="shared" si="934"/>
        <v>69706</v>
      </c>
      <c r="CI520" s="46">
        <f t="shared" si="943"/>
        <v>69698.809512269814</v>
      </c>
      <c r="CJ520" s="46">
        <f t="shared" si="935"/>
        <v>103.16355818677167</v>
      </c>
      <c r="CK520" s="443">
        <v>0.8</v>
      </c>
      <c r="CL520" s="46">
        <f>+CL503*CK520+CJ504*CK519+CJ505*CK518+CJ506*CK517+CJ507*CK516+CJ508*CK515+CJ509*CK514+CJ510*CK513+CJ511*CK512+CJ512*CK511+CJ513*CK510+CJ514*CK509+CJ515*CK508+CJ516*CK507+CJ517*CK506+CJ518*CK505+CJ519*CK504+CJ520</f>
        <v>1882.2277184092018</v>
      </c>
      <c r="CM520" s="134">
        <f t="shared" si="936"/>
        <v>4.1754404979579919E-2</v>
      </c>
      <c r="CN520" s="135">
        <f t="shared" si="937"/>
        <v>1.4507885154046324E-2</v>
      </c>
      <c r="CO520" s="135">
        <f t="shared" si="946"/>
        <v>1.4240204893837134E-2</v>
      </c>
      <c r="CP520" s="134">
        <f>VLOOKUP($H520,RoR!$E:$F,2,FALSE)</f>
        <v>3.8866666666666674E-2</v>
      </c>
      <c r="CQ520" s="135">
        <v>9.5709475431029478E-3</v>
      </c>
      <c r="CR520" s="135">
        <f t="shared" si="944"/>
        <v>2.9295719123563727E-2</v>
      </c>
      <c r="CS520" s="135">
        <f t="shared" si="947"/>
        <v>1.6661736714696493E-2</v>
      </c>
      <c r="CT520" s="135">
        <f t="shared" si="948"/>
        <v>3.5270373279175926E-3</v>
      </c>
      <c r="CU520" s="139">
        <f t="shared" si="938"/>
        <v>0.85466708209999998</v>
      </c>
      <c r="CV520" s="335">
        <f t="shared" si="939"/>
        <v>1.3194352816994324</v>
      </c>
      <c r="CW520" s="335">
        <f t="shared" si="940"/>
        <v>0.33177530017152673</v>
      </c>
      <c r="CX520" s="335">
        <f t="shared" si="941"/>
        <v>0.78242572977668579</v>
      </c>
      <c r="CY520" s="335">
        <f t="shared" si="942"/>
        <v>0.34251158643433932</v>
      </c>
      <c r="CZ520" s="336">
        <f>INDEX('State Tax Lookup'!$D$7:$Z$91,MATCH(Calculation!$C520,'State Tax Lookup'!$B$7:$B$91,0),MATCH($H520,'State Tax Lookup'!$D$6:$Z$6,0))</f>
        <v>0.39279166999999998</v>
      </c>
      <c r="DA520" s="303">
        <v>0.37</v>
      </c>
      <c r="DB520" s="57">
        <f t="shared" si="945"/>
        <v>15.839536756067039</v>
      </c>
      <c r="DC520" s="56">
        <f t="shared" si="949"/>
        <v>-2.7453611538795535E-2</v>
      </c>
      <c r="DD520" s="303">
        <f>VLOOKUP($H520,RoR!$E:$F,2,FALSE)</f>
        <v>3.8866666666666674E-2</v>
      </c>
      <c r="DE520" s="304">
        <f>HLOOKUP($H520,'GDP-PI'!$D$8:$CQ$11,3,FALSE)</f>
        <v>9.5709475431029478E-3</v>
      </c>
      <c r="DF520" s="303">
        <f>VLOOKUP(H520,'HW Dx Data'!$E:$F,2,FALSE)</f>
        <v>675.61463308665782</v>
      </c>
      <c r="DG520" s="89">
        <f ca="1">VLOOKUP(CC520,'ECI - Input Price'!M$13:N$33,2,FALSE)</f>
        <v>133.5</v>
      </c>
      <c r="DH520" s="89"/>
      <c r="DI520" s="89"/>
      <c r="DJ520" s="56">
        <f t="shared" ca="1" si="957"/>
        <v>3.1193095773504077E-2</v>
      </c>
      <c r="DK520" s="53">
        <f>HLOOKUP(H520,'GDP-PI'!$8:$9,2,FALSE)</f>
        <v>104.639</v>
      </c>
      <c r="DL520" s="355">
        <f t="shared" si="950"/>
        <v>9.5254361854427965E-3</v>
      </c>
      <c r="EC520"/>
    </row>
    <row r="521" spans="1:133" s="126" customFormat="1" ht="21" customHeight="1" x14ac:dyDescent="0.4">
      <c r="A521" s="233" t="s">
        <v>212</v>
      </c>
      <c r="B521" s="127" t="s">
        <v>212</v>
      </c>
      <c r="C521" s="127">
        <v>4057090</v>
      </c>
      <c r="D521" s="127" t="s">
        <v>209</v>
      </c>
      <c r="E521" s="127"/>
      <c r="F521" s="127"/>
      <c r="G521" s="127" t="s">
        <v>172</v>
      </c>
      <c r="H521" s="128">
        <v>2016</v>
      </c>
      <c r="I521" s="129"/>
      <c r="J521" s="125">
        <f>IFERROR(INDEX('Labor Expenditures'!$E$7:$W$91,MATCH($C521,'Labor Expenditures'!$C$7:$C$91,0),MATCH($G521,'Labor Expenditures'!$E$5:$W$5,0)),"NA")</f>
        <v>24034.199941655468</v>
      </c>
      <c r="K521" s="125">
        <f t="shared" ca="1" si="951"/>
        <v>175.49616605809032</v>
      </c>
      <c r="L521" s="47"/>
      <c r="M521" s="131">
        <f t="shared" ca="1" si="958"/>
        <v>-6.6741896580573154E-2</v>
      </c>
      <c r="N521" s="131"/>
      <c r="O521" s="131"/>
      <c r="P521" s="59">
        <f t="shared" ca="1" si="961"/>
        <v>-5.7116207235106888E-4</v>
      </c>
      <c r="Q521" s="61"/>
      <c r="R521" s="387"/>
      <c r="S521" s="49">
        <f t="shared" ca="1" si="965"/>
        <v>299.51110522533105</v>
      </c>
      <c r="T521" s="61">
        <f ca="1">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</f>
        <v>0.92161286146653765</v>
      </c>
      <c r="U521" s="61"/>
      <c r="V521" s="125">
        <f>IFERROR(INDEX('Non-Labor Expenditures'!$E$7:$AA$91,MATCH($C521,'Non-Labor Expenditures'!$C$7:$C$91,0),MATCH($G521,'Non-Labor Expenditures'!$E$5:$AA$5,0)),"NA")</f>
        <v>34806.010484860053</v>
      </c>
      <c r="W521" s="125">
        <f t="shared" si="952"/>
        <v>329.17843009816954</v>
      </c>
      <c r="X521" s="131">
        <f t="shared" si="962"/>
        <v>-5.1656569078995108E-2</v>
      </c>
      <c r="Y521" s="131">
        <f t="shared" si="963"/>
        <v>-4.4206524772766082E-4</v>
      </c>
      <c r="Z521" s="131"/>
      <c r="AA521" s="131"/>
      <c r="AB521" s="131"/>
      <c r="AC521" s="125">
        <f t="shared" si="932"/>
        <v>29155.509691086736</v>
      </c>
      <c r="AD521" s="129"/>
      <c r="AE521" s="133">
        <v>2110.3003936760147</v>
      </c>
      <c r="AF521" s="134">
        <v>4.6650503831561128E-2</v>
      </c>
      <c r="AG521" s="59">
        <f t="shared" si="953"/>
        <v>3.9922447232959817E-4</v>
      </c>
      <c r="AH521" s="134"/>
      <c r="AI521" s="134"/>
      <c r="AJ521" s="129">
        <f t="shared" si="889"/>
        <v>87995.720117602265</v>
      </c>
      <c r="AK521" s="134">
        <f t="shared" si="964"/>
        <v>-2.1533672852171792E-2</v>
      </c>
      <c r="AL521" s="129"/>
      <c r="AM521" s="129"/>
      <c r="AN521" s="129"/>
      <c r="AO521" s="129"/>
      <c r="AP521" s="133">
        <f t="shared" si="974"/>
        <v>272.83379619441052</v>
      </c>
      <c r="AQ521" s="134">
        <f>+BB521/Outputs!$B$24</f>
        <v>8.7763399724849738E-3</v>
      </c>
      <c r="AR521" s="93">
        <f t="shared" si="954"/>
        <v>0.27312919207360148</v>
      </c>
      <c r="AS521" s="93">
        <f t="shared" si="955"/>
        <v>0.39554208361887838</v>
      </c>
      <c r="AT521" s="93">
        <f t="shared" si="956"/>
        <v>0.33132872430752003</v>
      </c>
      <c r="AU521" s="93">
        <f t="shared" ca="1" si="959"/>
        <v>-2.3899532238523348E-2</v>
      </c>
      <c r="AV521" s="132">
        <f t="shared" ca="1" si="967"/>
        <v>117.63217732235928</v>
      </c>
      <c r="AW521" s="134">
        <f t="shared" ca="1" si="968"/>
        <v>-2.3899532238523327E-2</v>
      </c>
      <c r="AX521" s="56">
        <f>+AJ521/$AL$21</f>
        <v>8.5577740761613209E-3</v>
      </c>
      <c r="AY521" s="135">
        <f t="shared" ca="1" si="966"/>
        <v>-2.0452679742321666E-4</v>
      </c>
      <c r="AZ521" s="93"/>
      <c r="BA521" s="93"/>
      <c r="BB521" s="234">
        <f>IFERROR(INDEX('Total Customers'!$E$7:$AA$91,MATCH($C521,'Total Customers'!$C$7:$C$91,0),MATCH($G521,'Total Customers'!$E$5:$AA$5,0)),"NA")</f>
        <v>322525</v>
      </c>
      <c r="BC521" s="411">
        <f t="shared" si="973"/>
        <v>4.7208380670849251E-3</v>
      </c>
      <c r="BD521" s="92"/>
      <c r="BE521" s="281" t="str">
        <f t="shared" si="969"/>
        <v>LOUISVILLE GAS AND ELECTRIC COMPANY</v>
      </c>
      <c r="BF521" s="290">
        <f t="shared" si="970"/>
        <v>4057090</v>
      </c>
      <c r="BG521" s="46" t="str">
        <f t="shared" si="971"/>
        <v>KY</v>
      </c>
      <c r="BH521" s="46"/>
      <c r="BI521" s="46" t="str">
        <f t="shared" si="972"/>
        <v>2016 Y</v>
      </c>
      <c r="BJ521" s="129"/>
      <c r="BK521" s="129"/>
      <c r="BL521" s="129">
        <f>INDEX('Dist. Plant Gas Additions'!$E$7:$AD$91,MATCH($C521,'Dist. Plant Gas Additions'!$C$7:$C$91,0),MATCH(Calculation!$G521,'Dist. Plant Gas Additions'!$E$5:$AD$5,0))</f>
        <v>74085</v>
      </c>
      <c r="BM521" s="129">
        <f>INDEX('Gen. Plant Additions'!$E$7:$AD$91,MATCH($C521,'Gen. Plant Additions'!$C$7:$C$91,0),MATCH(Calculation!$G521,'Gen. Plant Additions'!$E$5:$AD$5,0))</f>
        <v>1455</v>
      </c>
      <c r="BN521" s="393">
        <f t="shared" si="933"/>
        <v>0.9864880255835351</v>
      </c>
      <c r="BO521" s="46">
        <f t="shared" si="930"/>
        <v>1435.3400772240436</v>
      </c>
      <c r="BP521" s="46">
        <f t="shared" si="931"/>
        <v>-19.659922775956375</v>
      </c>
      <c r="BQ521" s="129">
        <f>INDEX('Dist Plant Depreciation'!$D$7:$AC$94,MATCH($C521,'Dist Plant Depreciation'!$C$7:$C$94,0),MATCH(Calculation!$G521,'Dist Plant Depreciation'!$D$5:$AC$5,0))</f>
        <v>249222</v>
      </c>
      <c r="BR521" s="129">
        <f>INDEX('Gen. Plant Depreciation'!$D$7:$AC$94,MATCH($C521,'Gen. Plant Depreciation'!$C$7:$C$94,0),MATCH(Calculation!$G521,'Gen. Plant Depreciation'!$D$5:$AC$5,0))</f>
        <v>5752</v>
      </c>
      <c r="BS521" s="129"/>
      <c r="BT521" s="129"/>
      <c r="BU521" s="129"/>
      <c r="BV521" s="129"/>
      <c r="BW521" s="129"/>
      <c r="BX521" s="129"/>
      <c r="BY521" s="129">
        <f>INDEX('Gross Dx Plant'!$D$7:$AC$91,MATCH($C521,'Gross Dx Plant'!$C$7:$C$91,0),MATCH(Calculation!$G521,'Gross Dx Plant'!$D$5:$AC$5,0))</f>
        <v>883475</v>
      </c>
      <c r="BZ521" s="129">
        <f>INDEX('Gross Gen Plant'!$D$7:$AC$91,MATCH($C521,'Gross Gen Plant'!$C$7:$C$91,0),MATCH(Calculation!$G521,'Gross Gen Plant'!$D$5:$AC$5,0))</f>
        <v>12101</v>
      </c>
      <c r="CA521" s="129">
        <f t="shared" si="960"/>
        <v>640602</v>
      </c>
      <c r="CB521" s="129"/>
      <c r="CC521" s="133">
        <v>2016</v>
      </c>
      <c r="CD521" s="129"/>
      <c r="CE521" s="129"/>
      <c r="CF521" s="129"/>
      <c r="CG521" s="137"/>
      <c r="CH521" s="129">
        <f t="shared" si="934"/>
        <v>75540</v>
      </c>
      <c r="CI521" s="46">
        <f t="shared" si="943"/>
        <v>75520.340077224042</v>
      </c>
      <c r="CJ521" s="46">
        <f t="shared" si="935"/>
        <v>112.47244164749522</v>
      </c>
      <c r="CK521" s="443">
        <v>0.7857142857142857</v>
      </c>
      <c r="CL521" s="46">
        <f>+CL503*CK521+CJ504*CK520+CJ505*CK519+CJ506*CK518+CJ507*CK517+CJ508*CK516+CJ509*CK515+CJ510*CK514+CJ511*CK513+CJ512*CK512+CJ513*CK511+CJ514*CK510+CJ515*CK509+CJ516*CK508+CJ517*CK507+CJ518*CK506+CJ519*CK505+CJ520*CK504+CJ521</f>
        <v>1966.8917992358874</v>
      </c>
      <c r="CM521" s="134">
        <f t="shared" si="936"/>
        <v>4.3998497944093669E-2</v>
      </c>
      <c r="CN521" s="135">
        <f t="shared" si="937"/>
        <v>1.477417453203392E-2</v>
      </c>
      <c r="CO521" s="135">
        <f t="shared" si="946"/>
        <v>1.4505820529946901E-2</v>
      </c>
      <c r="CP521" s="134">
        <f>VLOOKUP($H521,RoR!$E:$F,2,FALSE)</f>
        <v>3.6658333333333334E-2</v>
      </c>
      <c r="CQ521" s="135">
        <v>1.0483662879041455E-2</v>
      </c>
      <c r="CR521" s="135">
        <f t="shared" si="944"/>
        <v>2.6174670454291879E-2</v>
      </c>
      <c r="CS521" s="135">
        <f t="shared" si="947"/>
        <v>1.6396121078586724E-2</v>
      </c>
      <c r="CT521" s="135">
        <f t="shared" si="948"/>
        <v>4.301363574220729E-3</v>
      </c>
      <c r="CU521" s="139">
        <f t="shared" si="938"/>
        <v>0.85466708209999998</v>
      </c>
      <c r="CV521" s="335">
        <f t="shared" si="939"/>
        <v>1.3989193348138562</v>
      </c>
      <c r="CW521" s="335">
        <f t="shared" si="940"/>
        <v>0.29302682427824522</v>
      </c>
      <c r="CX521" s="335">
        <f t="shared" si="941"/>
        <v>0.76309497491941802</v>
      </c>
      <c r="CY521" s="335">
        <f t="shared" si="942"/>
        <v>0.31280857135128509</v>
      </c>
      <c r="CZ521" s="336">
        <f>INDEX('State Tax Lookup'!$D$7:$Z$91,MATCH(Calculation!$C521,'State Tax Lookup'!$B$7:$B$91,0),MATCH($H521,'State Tax Lookup'!$D$6:$Z$6,0))</f>
        <v>0.39279166999999998</v>
      </c>
      <c r="DA521" s="303">
        <v>0.37</v>
      </c>
      <c r="DB521" s="57">
        <f t="shared" si="945"/>
        <v>15.489894982381852</v>
      </c>
      <c r="DC521" s="56">
        <f t="shared" si="949"/>
        <v>-2.2321266059253532E-2</v>
      </c>
      <c r="DD521" s="303">
        <f>VLOOKUP($H521,RoR!$E:$F,2,FALSE)</f>
        <v>3.6658333333333334E-2</v>
      </c>
      <c r="DE521" s="304">
        <f>HLOOKUP($H521,'GDP-PI'!$D$8:$CQ$11,3,FALSE)</f>
        <v>1.0483662879041455E-2</v>
      </c>
      <c r="DF521" s="303">
        <f>VLOOKUP(H521,'HW Dx Data'!$E:$F,2,FALSE)</f>
        <v>671.45639385971219</v>
      </c>
      <c r="DG521" s="89">
        <f ca="1">VLOOKUP(CC521,'ECI - Input Price'!M$13:N$33,2,FALSE)</f>
        <v>136.94999999999999</v>
      </c>
      <c r="DH521" s="89"/>
      <c r="DI521" s="89"/>
      <c r="DJ521" s="56">
        <f t="shared" ca="1" si="957"/>
        <v>2.5514417868782811E-2</v>
      </c>
      <c r="DK521" s="53">
        <f>HLOOKUP(H521,'GDP-PI'!$8:$9,2,FALSE)</f>
        <v>105.736</v>
      </c>
      <c r="DL521" s="355">
        <f t="shared" si="950"/>
        <v>1.0429090367205095E-2</v>
      </c>
      <c r="EC521"/>
    </row>
    <row r="522" spans="1:133" s="126" customFormat="1" ht="21" customHeight="1" x14ac:dyDescent="0.4">
      <c r="A522" s="233" t="s">
        <v>212</v>
      </c>
      <c r="B522" s="127" t="s">
        <v>212</v>
      </c>
      <c r="C522" s="127">
        <v>4057090</v>
      </c>
      <c r="D522" s="127" t="s">
        <v>209</v>
      </c>
      <c r="E522" s="127"/>
      <c r="F522" s="127"/>
      <c r="G522" s="127" t="s">
        <v>173</v>
      </c>
      <c r="H522" s="128">
        <v>2017</v>
      </c>
      <c r="I522" s="129"/>
      <c r="J522" s="125">
        <f>IFERROR(INDEX('Labor Expenditures'!$E$7:$W$91,MATCH($C522,'Labor Expenditures'!$C$7:$C$91,0),MATCH($G522,'Labor Expenditures'!$E$5:$W$5,0)),"NA")</f>
        <v>25321.460239262091</v>
      </c>
      <c r="K522" s="125">
        <f t="shared" ca="1" si="951"/>
        <v>180.2880757512431</v>
      </c>
      <c r="L522" s="47"/>
      <c r="M522" s="131">
        <f t="shared" ca="1" si="958"/>
        <v>2.6938795577339972E-2</v>
      </c>
      <c r="N522" s="131"/>
      <c r="O522" s="131"/>
      <c r="P522" s="59">
        <f t="shared" ca="1" si="961"/>
        <v>2.3424379981034754E-4</v>
      </c>
      <c r="Q522" s="61"/>
      <c r="R522" s="387"/>
      <c r="S522" s="49">
        <f t="shared" ca="1" si="965"/>
        <v>166.24430157984639</v>
      </c>
      <c r="T522" s="61">
        <f ca="1">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</f>
        <v>-0.58869309334748066</v>
      </c>
      <c r="U522" s="61"/>
      <c r="V522" s="125">
        <f>IFERROR(INDEX('Non-Labor Expenditures'!$E$7:$AA$91,MATCH($C522,'Non-Labor Expenditures'!$C$7:$C$91,0),MATCH($G522,'Non-Labor Expenditures'!$E$5:$AA$5,0)),"NA")</f>
        <v>36670.203822853655</v>
      </c>
      <c r="W522" s="125">
        <f t="shared" si="952"/>
        <v>340.32355915818556</v>
      </c>
      <c r="X522" s="131">
        <f t="shared" si="962"/>
        <v>3.3296865190760222E-2</v>
      </c>
      <c r="Y522" s="131">
        <f t="shared" si="963"/>
        <v>2.8952980476296125E-4</v>
      </c>
      <c r="Z522" s="131"/>
      <c r="AA522" s="131"/>
      <c r="AB522" s="131"/>
      <c r="AC522" s="125">
        <f t="shared" si="932"/>
        <v>27389.534017328646</v>
      </c>
      <c r="AD522" s="129"/>
      <c r="AE522" s="133">
        <v>2182.8332012489686</v>
      </c>
      <c r="AF522" s="134">
        <v>3.3793362582796818E-2</v>
      </c>
      <c r="AG522" s="59">
        <f t="shared" si="953"/>
        <v>2.9384705181183859E-4</v>
      </c>
      <c r="AH522" s="134"/>
      <c r="AI522" s="134"/>
      <c r="AJ522" s="129">
        <f t="shared" si="889"/>
        <v>89381.198079444381</v>
      </c>
      <c r="AK522" s="134">
        <f t="shared" si="964"/>
        <v>1.5622169482029515E-2</v>
      </c>
      <c r="AL522" s="129"/>
      <c r="AM522" s="129"/>
      <c r="AN522" s="129"/>
      <c r="AO522" s="129"/>
      <c r="AP522" s="133">
        <f t="shared" si="974"/>
        <v>275.45301545648647</v>
      </c>
      <c r="AQ522" s="134">
        <f>+BB522/Outputs!$B$25</f>
        <v>8.7634164901135292E-3</v>
      </c>
      <c r="AR522" s="93">
        <f t="shared" si="954"/>
        <v>0.28329739121146824</v>
      </c>
      <c r="AS522" s="93">
        <f t="shared" si="955"/>
        <v>0.41026753512813963</v>
      </c>
      <c r="AT522" s="93">
        <f t="shared" si="956"/>
        <v>0.30643507366039219</v>
      </c>
      <c r="AU522" s="93">
        <f t="shared" ca="1" si="959"/>
        <v>3.1686289746331406E-2</v>
      </c>
      <c r="AV522" s="132">
        <f t="shared" ca="1" si="967"/>
        <v>121.41918585359117</v>
      </c>
      <c r="AW522" s="134">
        <f t="shared" ca="1" si="968"/>
        <v>3.1686289746331378E-2</v>
      </c>
      <c r="AX522" s="56">
        <f>+AJ522/$AL$22</f>
        <v>8.6954073034870832E-3</v>
      </c>
      <c r="AY522" s="135">
        <f t="shared" ca="1" si="966"/>
        <v>2.7552519528065774E-4</v>
      </c>
      <c r="AZ522" s="93"/>
      <c r="BA522" s="93"/>
      <c r="BB522" s="234">
        <f>IFERROR(INDEX('Total Customers'!$E$7:$AA$91,MATCH($C522,'Total Customers'!$C$7:$C$91,0),MATCH($G522,'Total Customers'!$E$5:$AA$5,0)),"NA")</f>
        <v>324488</v>
      </c>
      <c r="BC522" s="411">
        <f t="shared" si="973"/>
        <v>6.0679028799851212E-3</v>
      </c>
      <c r="BD522" s="92"/>
      <c r="BE522" s="281" t="str">
        <f t="shared" si="969"/>
        <v>LOUISVILLE GAS AND ELECTRIC COMPANY</v>
      </c>
      <c r="BF522" s="290">
        <f t="shared" si="970"/>
        <v>4057090</v>
      </c>
      <c r="BG522" s="46" t="str">
        <f t="shared" si="971"/>
        <v>KY</v>
      </c>
      <c r="BH522" s="46"/>
      <c r="BI522" s="46" t="str">
        <f t="shared" si="972"/>
        <v>2017 Y</v>
      </c>
      <c r="BJ522" s="129"/>
      <c r="BK522" s="129"/>
      <c r="BL522" s="129">
        <f>INDEX('Dist. Plant Gas Additions'!$E$7:$AD$91,MATCH($C522,'Dist. Plant Gas Additions'!$C$7:$C$91,0),MATCH(Calculation!$G522,'Dist. Plant Gas Additions'!$E$5:$AD$5,0))</f>
        <v>63064</v>
      </c>
      <c r="BM522" s="129">
        <f>INDEX('Gen. Plant Additions'!$E$7:$AD$91,MATCH($C522,'Gen. Plant Additions'!$C$7:$C$91,0),MATCH(Calculation!$G522,'Gen. Plant Additions'!$E$5:$AD$5,0))</f>
        <v>1075</v>
      </c>
      <c r="BN522" s="393">
        <f t="shared" si="933"/>
        <v>0.9870527895267921</v>
      </c>
      <c r="BO522" s="46">
        <f t="shared" si="930"/>
        <v>1061.0817487413015</v>
      </c>
      <c r="BP522" s="46">
        <f t="shared" si="931"/>
        <v>-13.918251258698547</v>
      </c>
      <c r="BQ522" s="129">
        <f>INDEX('Dist Plant Depreciation'!$D$7:$AC$94,MATCH($C522,'Dist Plant Depreciation'!$C$7:$C$94,0),MATCH(Calculation!$G522,'Dist Plant Depreciation'!$D$5:$AC$5,0))</f>
        <v>267951</v>
      </c>
      <c r="BR522" s="129">
        <f>INDEX('Gen. Plant Depreciation'!$D$7:$AC$94,MATCH($C522,'Gen. Plant Depreciation'!$C$7:$C$94,0),MATCH(Calculation!$G522,'Gen. Plant Depreciation'!$D$5:$AC$5,0))</f>
        <v>5689</v>
      </c>
      <c r="BS522" s="129"/>
      <c r="BT522" s="129"/>
      <c r="BU522" s="129"/>
      <c r="BV522" s="129"/>
      <c r="BW522" s="129"/>
      <c r="BX522" s="129"/>
      <c r="BY522" s="129">
        <f>INDEX('Gross Dx Plant'!$D$7:$AC$91,MATCH($C522,'Gross Dx Plant'!$C$7:$C$91,0),MATCH(Calculation!$G522,'Gross Dx Plant'!$D$5:$AC$5,0))</f>
        <v>943963</v>
      </c>
      <c r="BZ522" s="129">
        <f>INDEX('Gross Gen Plant'!$D$7:$AC$91,MATCH($C522,'Gross Gen Plant'!$C$7:$C$91,0),MATCH(Calculation!$G522,'Gross Gen Plant'!$D$5:$AC$5,0))</f>
        <v>12382</v>
      </c>
      <c r="CA522" s="129">
        <f t="shared" si="960"/>
        <v>682705</v>
      </c>
      <c r="CB522" s="129"/>
      <c r="CC522" s="133">
        <v>2017</v>
      </c>
      <c r="CD522" s="129"/>
      <c r="CE522" s="129"/>
      <c r="CF522" s="129"/>
      <c r="CG522" s="137"/>
      <c r="CH522" s="129">
        <f t="shared" si="934"/>
        <v>64139</v>
      </c>
      <c r="CI522" s="46">
        <f t="shared" si="943"/>
        <v>64125.081748741301</v>
      </c>
      <c r="CJ522" s="46">
        <f t="shared" si="935"/>
        <v>90.009136656899301</v>
      </c>
      <c r="CK522" s="443">
        <v>0.77108433734939763</v>
      </c>
      <c r="CL522" s="46">
        <f>+CL503*CK522+CJ504*CK521+CJ505*CK520+CJ506*CK519+CJ507*CK518+CJ508*CK517+CJ509*CK516+CJ510*CK515+CJ511*CK514+CJ512*CK513+CJ513*CK512+CJ514*CK511+CJ515*CK510+CJ516*CK509+CJ517*CK508+CJ518*CK507+CJ519*CK506+CJ520*CK505+CJ521*CK504+CJ522</f>
        <v>2027.3413607680347</v>
      </c>
      <c r="CM522" s="134">
        <f t="shared" si="936"/>
        <v>3.0270730302369861E-2</v>
      </c>
      <c r="CN522" s="135">
        <f t="shared" si="937"/>
        <v>1.5028572052735957E-2</v>
      </c>
      <c r="CO522" s="135">
        <f t="shared" si="946"/>
        <v>1.4770210579605399E-2</v>
      </c>
      <c r="CP522" s="134">
        <f>VLOOKUP($H522,RoR!$E:$F,2,FALSE)</f>
        <v>3.7433333333333339E-2</v>
      </c>
      <c r="CQ522" s="135">
        <v>1.9056896421275615E-2</v>
      </c>
      <c r="CR522" s="135">
        <f t="shared" si="944"/>
        <v>1.8376436912057724E-2</v>
      </c>
      <c r="CS522" s="135">
        <f t="shared" si="947"/>
        <v>1.6131731028928224E-2</v>
      </c>
      <c r="CT522" s="135">
        <f t="shared" si="948"/>
        <v>1.3976271617800498E-2</v>
      </c>
      <c r="CU522" s="139">
        <f t="shared" si="938"/>
        <v>0.90646708210000004</v>
      </c>
      <c r="CV522" s="335">
        <f t="shared" si="939"/>
        <v>1.3699568463593395</v>
      </c>
      <c r="CW522" s="335">
        <f t="shared" si="940"/>
        <v>0.30714603739982199</v>
      </c>
      <c r="CX522" s="335">
        <f t="shared" si="941"/>
        <v>0.77007188472689425</v>
      </c>
      <c r="CY522" s="335">
        <f t="shared" si="942"/>
        <v>0.32402839633793828</v>
      </c>
      <c r="CZ522" s="336">
        <f>INDEX('State Tax Lookup'!$D$7:$Z$91,MATCH(Calculation!$C522,'State Tax Lookup'!$B$7:$B$91,0),MATCH($H522,'State Tax Lookup'!$D$6:$Z$6,0))</f>
        <v>0.25279166999999997</v>
      </c>
      <c r="DA522" s="303">
        <v>0.37</v>
      </c>
      <c r="DB522" s="57">
        <f t="shared" si="945"/>
        <v>13.925287617737352</v>
      </c>
      <c r="DC522" s="56">
        <f t="shared" si="949"/>
        <v>-0.10648143432687314</v>
      </c>
      <c r="DD522" s="303">
        <f>VLOOKUP($H522,RoR!$E:$F,2,FALSE)</f>
        <v>3.7433333333333339E-2</v>
      </c>
      <c r="DE522" s="304">
        <f>HLOOKUP($H522,'GDP-PI'!$D$8:$CQ$11,3,FALSE)</f>
        <v>1.9056896421275615E-2</v>
      </c>
      <c r="DF522" s="303">
        <f>VLOOKUP(H522,'HW Dx Data'!$E:$F,2,FALSE)</f>
        <v>712.42858370229726</v>
      </c>
      <c r="DG522" s="89">
        <f ca="1">VLOOKUP(CC522,'ECI - Input Price'!M$13:N$33,2,FALSE)</f>
        <v>140.44999999999999</v>
      </c>
      <c r="DH522" s="89"/>
      <c r="DI522" s="89"/>
      <c r="DJ522" s="56">
        <f t="shared" ca="1" si="957"/>
        <v>2.5235657841165486E-2</v>
      </c>
      <c r="DK522" s="53">
        <f>HLOOKUP(H522,'GDP-PI'!$8:$9,2,FALSE)</f>
        <v>107.751</v>
      </c>
      <c r="DL522" s="355">
        <f t="shared" si="950"/>
        <v>1.8877588227745139E-2</v>
      </c>
      <c r="EC522"/>
    </row>
    <row r="523" spans="1:133" s="126" customFormat="1" ht="21" customHeight="1" x14ac:dyDescent="0.4">
      <c r="A523" s="233" t="s">
        <v>212</v>
      </c>
      <c r="B523" s="127" t="s">
        <v>212</v>
      </c>
      <c r="C523" s="127">
        <v>4057090</v>
      </c>
      <c r="D523" s="127" t="s">
        <v>209</v>
      </c>
      <c r="E523" s="127"/>
      <c r="F523" s="127"/>
      <c r="G523" s="127" t="s">
        <v>174</v>
      </c>
      <c r="H523" s="128">
        <v>2018</v>
      </c>
      <c r="I523" s="129"/>
      <c r="J523" s="125">
        <f>IFERROR(INDEX('Labor Expenditures'!$E$7:$W$91,MATCH($C523,'Labor Expenditures'!$C$7:$C$91,0),MATCH($G523,'Labor Expenditures'!$E$5:$W$5,0)),"NA")</f>
        <v>27867.457434070646</v>
      </c>
      <c r="K523" s="125">
        <f t="shared" ca="1" si="951"/>
        <v>192.92113142312667</v>
      </c>
      <c r="L523" s="47"/>
      <c r="M523" s="131">
        <f t="shared" ca="1" si="958"/>
        <v>6.7725467488751842E-2</v>
      </c>
      <c r="N523" s="131"/>
      <c r="O523" s="131"/>
      <c r="P523" s="59">
        <f t="shared" ca="1" si="961"/>
        <v>5.9378973351380834E-4</v>
      </c>
      <c r="Q523" s="61"/>
      <c r="R523" s="387"/>
      <c r="S523" s="49">
        <f t="shared" ca="1" si="965"/>
        <v>114.77579680368974</v>
      </c>
      <c r="T523" s="61">
        <f ca="1">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</f>
        <v>-0.37047777031536422</v>
      </c>
      <c r="U523" s="61"/>
      <c r="V523" s="125">
        <f>IFERROR(INDEX('Non-Labor Expenditures'!$E$7:$AA$91,MATCH($C523,'Non-Labor Expenditures'!$C$7:$C$91,0),MATCH($G523,'Non-Labor Expenditures'!$E$5:$AA$5,0)),"NA")</f>
        <v>40357.283287618513</v>
      </c>
      <c r="W523" s="125">
        <f t="shared" si="952"/>
        <v>365.81355747374516</v>
      </c>
      <c r="X523" s="131">
        <f t="shared" si="962"/>
        <v>7.2226988134234615E-2</v>
      </c>
      <c r="Y523" s="131">
        <f t="shared" si="963"/>
        <v>6.332572609241147E-4</v>
      </c>
      <c r="Z523" s="131"/>
      <c r="AA523" s="131"/>
      <c r="AB523" s="131"/>
      <c r="AC523" s="125">
        <f t="shared" si="932"/>
        <v>29340.638466874148</v>
      </c>
      <c r="AD523" s="129"/>
      <c r="AE523" s="133">
        <v>2224.5455631474515</v>
      </c>
      <c r="AF523" s="134">
        <v>1.8928986867372148E-2</v>
      </c>
      <c r="AG523" s="59">
        <f t="shared" si="953"/>
        <v>1.6596176422894459E-4</v>
      </c>
      <c r="AH523" s="134"/>
      <c r="AI523" s="134"/>
      <c r="AJ523" s="129">
        <f t="shared" si="889"/>
        <v>97565.379188563311</v>
      </c>
      <c r="AK523" s="134">
        <f t="shared" si="964"/>
        <v>8.7612361311596665E-2</v>
      </c>
      <c r="AL523" s="129"/>
      <c r="AM523" s="129"/>
      <c r="AN523" s="129"/>
      <c r="AO523" s="129"/>
      <c r="AP523" s="133">
        <f t="shared" si="974"/>
        <v>299.47689338572962</v>
      </c>
      <c r="AQ523" s="134">
        <f>+BB523/Outputs!$B$26</f>
        <v>8.721415523544605E-3</v>
      </c>
      <c r="AR523" s="93">
        <f t="shared" si="954"/>
        <v>0.28562854637413526</v>
      </c>
      <c r="AS523" s="93">
        <f t="shared" si="955"/>
        <v>0.41364348320340688</v>
      </c>
      <c r="AT523" s="93">
        <f t="shared" si="956"/>
        <v>0.3007279704224578</v>
      </c>
      <c r="AU523" s="93">
        <f t="shared" ca="1" si="959"/>
        <v>5.476618386097859E-2</v>
      </c>
      <c r="AV523" s="132">
        <f t="shared" ca="1" si="967"/>
        <v>128.25430982151198</v>
      </c>
      <c r="AW523" s="134">
        <f t="shared" ca="1" si="968"/>
        <v>5.4766183860978493E-2</v>
      </c>
      <c r="AX523" s="56">
        <f>+AJ523/$AL$23</f>
        <v>8.7675988890357631E-3</v>
      </c>
      <c r="AY523" s="135">
        <f t="shared" ca="1" si="966"/>
        <v>4.8016793277624338E-4</v>
      </c>
      <c r="AZ523" s="93"/>
      <c r="BA523" s="93"/>
      <c r="BB523" s="234">
        <f>IFERROR(INDEX('Total Customers'!$E$7:$AA$91,MATCH($C523,'Total Customers'!$C$7:$C$91,0),MATCH($G523,'Total Customers'!$E$5:$AA$5,0)),"NA")</f>
        <v>325786</v>
      </c>
      <c r="BC523" s="411">
        <f t="shared" si="973"/>
        <v>3.9921686055296732E-3</v>
      </c>
      <c r="BD523" s="92"/>
      <c r="BE523" s="281" t="str">
        <f t="shared" si="969"/>
        <v>LOUISVILLE GAS AND ELECTRIC COMPANY</v>
      </c>
      <c r="BF523" s="290">
        <f t="shared" si="970"/>
        <v>4057090</v>
      </c>
      <c r="BG523" s="46" t="str">
        <f t="shared" si="971"/>
        <v>KY</v>
      </c>
      <c r="BH523" s="46"/>
      <c r="BI523" s="46" t="str">
        <f t="shared" si="972"/>
        <v>2018 Y</v>
      </c>
      <c r="BJ523" s="129"/>
      <c r="BK523" s="129"/>
      <c r="BL523" s="129">
        <f>INDEX('Dist. Plant Gas Additions'!$E$7:$AD$91,MATCH($C523,'Dist. Plant Gas Additions'!$C$7:$C$91,0),MATCH(Calculation!$G523,'Dist. Plant Gas Additions'!$E$5:$AD$5,0))</f>
        <v>43630</v>
      </c>
      <c r="BM523" s="129">
        <f>INDEX('Gen. Plant Additions'!$E$7:$AD$91,MATCH($C523,'Gen. Plant Additions'!$C$7:$C$91,0),MATCH(Calculation!$G523,'Gen. Plant Additions'!$E$5:$AD$5,0))</f>
        <v>1927</v>
      </c>
      <c r="BN523" s="393">
        <f t="shared" si="933"/>
        <v>0.98607413167496216</v>
      </c>
      <c r="BO523" s="46">
        <f t="shared" si="930"/>
        <v>1900.164851737652</v>
      </c>
      <c r="BP523" s="46">
        <f t="shared" si="931"/>
        <v>-26.835148262347957</v>
      </c>
      <c r="BQ523" s="129">
        <f>INDEX('Dist Plant Depreciation'!$D$7:$AC$94,MATCH($C523,'Dist Plant Depreciation'!$C$7:$C$94,0),MATCH(Calculation!$G523,'Dist Plant Depreciation'!$D$5:$AC$5,0))</f>
        <v>286112</v>
      </c>
      <c r="BR523" s="129">
        <f>INDEX('Gen. Plant Depreciation'!$D$7:$AC$94,MATCH($C523,'Gen. Plant Depreciation'!$C$7:$C$94,0),MATCH(Calculation!$G523,'Gen. Plant Depreciation'!$D$5:$AC$5,0))</f>
        <v>5843</v>
      </c>
      <c r="BS523" s="129"/>
      <c r="BT523" s="129"/>
      <c r="BU523" s="129"/>
      <c r="BV523" s="129"/>
      <c r="BW523" s="129"/>
      <c r="BX523" s="129"/>
      <c r="BY523" s="129">
        <f>INDEX('Gross Dx Plant'!$D$7:$AC$91,MATCH($C523,'Gross Dx Plant'!$C$7:$C$91,0),MATCH(Calculation!$G523,'Gross Dx Plant'!$D$5:$AC$5,0))</f>
        <v>984030</v>
      </c>
      <c r="BZ523" s="129">
        <f>INDEX('Gross Gen Plant'!$D$7:$AC$91,MATCH($C523,'Gross Gen Plant'!$C$7:$C$91,0),MATCH(Calculation!$G523,'Gross Gen Plant'!$D$5:$AC$5,0))</f>
        <v>13897</v>
      </c>
      <c r="CA523" s="129">
        <f t="shared" si="960"/>
        <v>705972</v>
      </c>
      <c r="CB523" s="129"/>
      <c r="CC523" s="133">
        <v>2018</v>
      </c>
      <c r="CD523" s="129"/>
      <c r="CE523" s="129"/>
      <c r="CF523" s="129"/>
      <c r="CG523" s="137"/>
      <c r="CH523" s="129">
        <f t="shared" si="934"/>
        <v>45557</v>
      </c>
      <c r="CI523" s="46">
        <f t="shared" si="943"/>
        <v>45530.164851737652</v>
      </c>
      <c r="CJ523" s="46">
        <f t="shared" si="935"/>
        <v>60.293936166812166</v>
      </c>
      <c r="CK523" s="443">
        <v>0.75609756097560976</v>
      </c>
      <c r="CL523" s="46">
        <f>+CL503*CK523++CJ504*CK522+CJ505*CK521+CJ506*CK520+CJ507*CK519+CJ508*CK518+CJ509*CK517+CJ510*CK516+CJ511*CK515+CJ512*CK514+CJ513*CK513+CJ514*CK512+CJ515*CK511+CJ516*CK510+CJ517*CK509+CJ518*CK508+CJ519*CK507+CJ520*CK506+CJ521*CK505+CJ522*CK504+CJ523</f>
        <v>2056.5023709109237</v>
      </c>
      <c r="CM523" s="134">
        <f t="shared" si="936"/>
        <v>1.4281401392094146E-2</v>
      </c>
      <c r="CN523" s="135">
        <f t="shared" si="937"/>
        <v>1.5356528814727526E-2</v>
      </c>
      <c r="CO523" s="135">
        <f t="shared" si="946"/>
        <v>1.5053091799832467E-2</v>
      </c>
      <c r="CP523" s="134">
        <f>VLOOKUP($H523,RoR!$E:$F,2,FALSE)</f>
        <v>3.9299999999999995E-2</v>
      </c>
      <c r="CQ523" s="135">
        <v>2.386056741932796E-2</v>
      </c>
      <c r="CR523" s="135">
        <f t="shared" si="944"/>
        <v>1.5439432580672034E-2</v>
      </c>
      <c r="CS523" s="135">
        <f t="shared" si="947"/>
        <v>1.584884980870116E-2</v>
      </c>
      <c r="CT523" s="135">
        <f t="shared" si="948"/>
        <v>3.8270792163076606E-2</v>
      </c>
      <c r="CU523" s="139">
        <f t="shared" si="938"/>
        <v>0.90646708210000004</v>
      </c>
      <c r="CV523" s="335">
        <f t="shared" si="939"/>
        <v>1.3048868010700074</v>
      </c>
      <c r="CW523" s="335">
        <f t="shared" si="940"/>
        <v>0.33886768447837151</v>
      </c>
      <c r="CX523" s="335">
        <f t="shared" si="941"/>
        <v>0.78602506232557801</v>
      </c>
      <c r="CY523" s="335">
        <f t="shared" si="942"/>
        <v>0.34756768162358759</v>
      </c>
      <c r="CZ523" s="336">
        <f>INDEX('State Tax Lookup'!$D$7:$Z$91,MATCH(Calculation!$C523,'State Tax Lookup'!$B$7:$B$91,0),MATCH($H523,'State Tax Lookup'!$D$6:$Z$6,0))</f>
        <v>0.25279166999999997</v>
      </c>
      <c r="DA523" s="303">
        <v>0.37</v>
      </c>
      <c r="DB523" s="57">
        <f t="shared" si="945"/>
        <v>14.472470711966725</v>
      </c>
      <c r="DC523" s="56">
        <f t="shared" si="949"/>
        <v>3.8541832891838879E-2</v>
      </c>
      <c r="DD523" s="303">
        <f>VLOOKUP($H523,RoR!$E:$F,2,FALSE)</f>
        <v>3.9299999999999995E-2</v>
      </c>
      <c r="DE523" s="304">
        <f>HLOOKUP($H523,'GDP-PI'!$D$8:$CQ$11,3,FALSE)</f>
        <v>2.386056741932796E-2</v>
      </c>
      <c r="DF523" s="303">
        <f>VLOOKUP(H523,'HW Dx Data'!$E:$F,2,FALSE)</f>
        <v>755.13671434174842</v>
      </c>
      <c r="DG523" s="89">
        <f ca="1">VLOOKUP(CC523,'ECI - Input Price'!M$13:N$33,2,FALSE)</f>
        <v>144.44999999999999</v>
      </c>
      <c r="DH523" s="89"/>
      <c r="DI523" s="89"/>
      <c r="DJ523" s="56">
        <f t="shared" ca="1" si="957"/>
        <v>2.80818733619915E-2</v>
      </c>
      <c r="DK523" s="53">
        <f>HLOOKUP(H523,'GDP-PI'!$8:$9,2,FALSE)</f>
        <v>110.322</v>
      </c>
      <c r="DL523" s="355">
        <f t="shared" si="950"/>
        <v>2.3580352716508712E-2</v>
      </c>
      <c r="EC523"/>
    </row>
    <row r="524" spans="1:133" s="126" customFormat="1" ht="21" customHeight="1" x14ac:dyDescent="0.4">
      <c r="A524" s="233" t="s">
        <v>212</v>
      </c>
      <c r="B524" s="127" t="s">
        <v>212</v>
      </c>
      <c r="C524" s="127">
        <v>4057090</v>
      </c>
      <c r="D524" s="127" t="s">
        <v>209</v>
      </c>
      <c r="E524" s="127"/>
      <c r="F524" s="127"/>
      <c r="G524" s="127" t="s">
        <v>175</v>
      </c>
      <c r="H524" s="128">
        <v>2019</v>
      </c>
      <c r="I524" s="129"/>
      <c r="J524" s="125">
        <f>IFERROR(INDEX('Labor Expenditures'!$E$7:$W$91,MATCH($C524,'Labor Expenditures'!$C$7:$C$91,0),MATCH($G524,'Labor Expenditures'!$E$5:$W$5,0)),"NA")</f>
        <v>30095.559873891547</v>
      </c>
      <c r="K524" s="125">
        <f t="shared" ca="1" si="951"/>
        <v>201.07272339329577</v>
      </c>
      <c r="L524" s="47"/>
      <c r="M524" s="131">
        <f t="shared" ca="1" si="958"/>
        <v>4.1385190638673922E-2</v>
      </c>
      <c r="N524" s="131"/>
      <c r="O524" s="131"/>
      <c r="P524" s="59">
        <f t="shared" ca="1" si="961"/>
        <v>3.7594923597906717E-4</v>
      </c>
      <c r="Q524" s="61"/>
      <c r="R524" s="387"/>
      <c r="S524" s="49">
        <f t="shared" ca="1" si="965"/>
        <v>116.4605637320804</v>
      </c>
      <c r="T524" s="61">
        <f ca="1">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</f>
        <v>1.457207453952593E-2</v>
      </c>
      <c r="U524" s="61"/>
      <c r="V524" s="125">
        <f>IFERROR(INDEX('Non-Labor Expenditures'!$E$7:$AA$91,MATCH($C524,'Non-Labor Expenditures'!$C$7:$C$91,0),MATCH($G524,'Non-Labor Expenditures'!$E$5:$AA$5,0)),"NA")</f>
        <v>43583.991772611131</v>
      </c>
      <c r="W524" s="125">
        <f t="shared" si="952"/>
        <v>388.04102434704259</v>
      </c>
      <c r="X524" s="131">
        <f t="shared" si="962"/>
        <v>5.898726908644393E-2</v>
      </c>
      <c r="Y524" s="131">
        <f t="shared" si="963"/>
        <v>5.3584913838277347E-4</v>
      </c>
      <c r="Z524" s="131"/>
      <c r="AA524" s="131"/>
      <c r="AB524" s="131"/>
      <c r="AC524" s="125">
        <f t="shared" si="932"/>
        <v>29817.181775015924</v>
      </c>
      <c r="AD524" s="129"/>
      <c r="AE524" s="133">
        <v>2269.9555414583588</v>
      </c>
      <c r="AF524" s="134">
        <v>2.0207592564814345E-2</v>
      </c>
      <c r="AG524" s="59">
        <f t="shared" si="953"/>
        <v>1.8356878072754137E-4</v>
      </c>
      <c r="AH524" s="134"/>
      <c r="AI524" s="134"/>
      <c r="AJ524" s="129">
        <f t="shared" si="889"/>
        <v>103496.7334215186</v>
      </c>
      <c r="AK524" s="134">
        <f t="shared" si="964"/>
        <v>5.9017342000748228E-2</v>
      </c>
      <c r="AL524" s="129"/>
      <c r="AM524" s="129"/>
      <c r="AN524" s="129"/>
      <c r="AO524" s="129"/>
      <c r="AP524" s="133">
        <f t="shared" si="974"/>
        <v>315.59559012602449</v>
      </c>
      <c r="AQ524" s="134">
        <f>+BB524/Outputs!$B$27</f>
        <v>8.7067028105859319E-3</v>
      </c>
      <c r="AR524" s="93">
        <f t="shared" si="954"/>
        <v>0.29078753385693046</v>
      </c>
      <c r="AS524" s="93">
        <f t="shared" si="955"/>
        <v>0.42111466064444247</v>
      </c>
      <c r="AT524" s="93">
        <f t="shared" si="956"/>
        <v>0.28809780549862712</v>
      </c>
      <c r="AU524" s="93">
        <f t="shared" ca="1" si="959"/>
        <v>4.2496971996143662E-2</v>
      </c>
      <c r="AV524" s="132">
        <f t="shared" ca="1" si="967"/>
        <v>133.82220095213589</v>
      </c>
      <c r="AW524" s="134">
        <f t="shared" ca="1" si="968"/>
        <v>4.2496971996143655E-2</v>
      </c>
      <c r="AX524" s="56">
        <f>+AJ524/$AL$24</f>
        <v>9.084148947419551E-3</v>
      </c>
      <c r="AY524" s="135">
        <f t="shared" ca="1" si="966"/>
        <v>3.8604882342728653E-4</v>
      </c>
      <c r="AZ524" s="93"/>
      <c r="BA524" s="93"/>
      <c r="BB524" s="234">
        <f>IFERROR(INDEX('Total Customers'!$E$7:$AA$91,MATCH($C524,'Total Customers'!$C$7:$C$91,0),MATCH($G524,'Total Customers'!$E$5:$AA$5,0)),"NA")</f>
        <v>327941</v>
      </c>
      <c r="BC524" s="411">
        <f t="shared" si="973"/>
        <v>6.59299005865179E-3</v>
      </c>
      <c r="BD524" s="92"/>
      <c r="BE524" s="281" t="str">
        <f t="shared" si="969"/>
        <v>LOUISVILLE GAS AND ELECTRIC COMPANY</v>
      </c>
      <c r="BF524" s="290">
        <f t="shared" si="970"/>
        <v>4057090</v>
      </c>
      <c r="BG524" s="46" t="str">
        <f t="shared" si="971"/>
        <v>KY</v>
      </c>
      <c r="BH524" s="46"/>
      <c r="BI524" s="46" t="str">
        <f t="shared" si="972"/>
        <v>2019 Y</v>
      </c>
      <c r="BJ524" s="129"/>
      <c r="BK524" s="129"/>
      <c r="BL524" s="129">
        <f>INDEX('Dist. Plant Gas Additions'!$E$7:$AD$91,MATCH($C524,'Dist. Plant Gas Additions'!$C$7:$C$91,0),MATCH(Calculation!$G524,'Dist. Plant Gas Additions'!$E$5:$AD$5,0))</f>
        <v>49021</v>
      </c>
      <c r="BM524" s="129">
        <f>INDEX('Gen. Plant Additions'!$E$7:$AD$91,MATCH($C524,'Gen. Plant Additions'!$C$7:$C$91,0),MATCH(Calculation!$G524,'Gen. Plant Additions'!$E$5:$AD$5,0))</f>
        <v>1301</v>
      </c>
      <c r="BN524" s="393">
        <f t="shared" si="933"/>
        <v>0.98577773690920567</v>
      </c>
      <c r="BO524" s="46">
        <f t="shared" si="930"/>
        <v>1282.4968357188766</v>
      </c>
      <c r="BP524" s="46">
        <f t="shared" si="931"/>
        <v>-18.503164281123418</v>
      </c>
      <c r="BQ524" s="129">
        <f>INDEX('Dist Plant Depreciation'!$D$7:$AC$94,MATCH($C524,'Dist Plant Depreciation'!$C$7:$C$94,0),MATCH(Calculation!$G524,'Dist Plant Depreciation'!$D$5:$AC$5,0))</f>
        <v>302468</v>
      </c>
      <c r="BR524" s="129">
        <f>INDEX('Gen. Plant Depreciation'!$D$7:$AC$94,MATCH($C524,'Gen. Plant Depreciation'!$C$7:$C$94,0),MATCH(Calculation!$G524,'Gen. Plant Depreciation'!$D$5:$AC$5,0))</f>
        <v>6051</v>
      </c>
      <c r="BS524" s="129"/>
      <c r="BT524" s="129"/>
      <c r="BU524" s="129"/>
      <c r="BV524" s="129"/>
      <c r="BW524" s="129"/>
      <c r="BX524" s="129"/>
      <c r="BY524" s="129">
        <f>INDEX('Gross Dx Plant'!$D$7:$AC$91,MATCH($C524,'Gross Dx Plant'!$C$7:$C$91,0),MATCH(Calculation!$G524,'Gross Dx Plant'!$D$5:$AC$5,0))</f>
        <v>1029149</v>
      </c>
      <c r="BZ524" s="129">
        <f>INDEX('Gross Gen Plant'!$D$7:$AC$91,MATCH($C524,'Gross Gen Plant'!$C$7:$C$91,0),MATCH(Calculation!$G524,'Gross Gen Plant'!$D$5:$AC$5,0))</f>
        <v>14848</v>
      </c>
      <c r="CA524" s="129">
        <f t="shared" si="960"/>
        <v>735478</v>
      </c>
      <c r="CB524" s="129"/>
      <c r="CC524" s="133">
        <v>2019</v>
      </c>
      <c r="CD524" s="129"/>
      <c r="CE524" s="129"/>
      <c r="CF524" s="129"/>
      <c r="CG524" s="137"/>
      <c r="CH524" s="129">
        <f t="shared" si="934"/>
        <v>50322</v>
      </c>
      <c r="CI524" s="46">
        <f t="shared" si="943"/>
        <v>50303.496835718877</v>
      </c>
      <c r="CJ524" s="46">
        <f t="shared" si="935"/>
        <v>65.030305466989404</v>
      </c>
      <c r="CK524" s="443">
        <v>0.7407407407407407</v>
      </c>
      <c r="CL524" s="46">
        <f>CL503*CK524+CJ504*CK523+CJ505*CK522+CJ506*CK521+CJ507*CK520+CJ508*CK519+CJ509*CK518+CJ510*CK517+CJ511*CK516+CJ512*CK515+CJ513*CK514+CJ514*CK513+CJ515*CK512+CJ516*CK511+CJ517*CK510+CJ518*CK509+CJ519*CK508+CJ520*CK507+CJ521*CK506+CJ522*CK505+CJ523*CK504+CJ524</f>
        <v>2089.078783388904</v>
      </c>
      <c r="CM524" s="134">
        <f t="shared" si="936"/>
        <v>1.5716533735297532E-2</v>
      </c>
      <c r="CN524" s="135">
        <f t="shared" si="937"/>
        <v>1.5781111389934228E-2</v>
      </c>
      <c r="CO524" s="135">
        <f t="shared" si="946"/>
        <v>1.538873741913257E-2</v>
      </c>
      <c r="CP524" s="134">
        <f>VLOOKUP($H524,RoR!$E:$F,2,FALSE)</f>
        <v>3.3875000000000009E-2</v>
      </c>
      <c r="CQ524" s="135">
        <v>1.8092492884465461E-2</v>
      </c>
      <c r="CR524" s="135">
        <f t="shared" si="944"/>
        <v>1.5782507115534548E-2</v>
      </c>
      <c r="CS524" s="135">
        <f t="shared" si="947"/>
        <v>1.5513204189401055E-2</v>
      </c>
      <c r="CT524" s="135">
        <f t="shared" si="948"/>
        <v>4.8445665544254078E-2</v>
      </c>
      <c r="CU524" s="139">
        <f t="shared" si="938"/>
        <v>0.90646708210000004</v>
      </c>
      <c r="CV524" s="335">
        <f t="shared" si="939"/>
        <v>1.513861292459078</v>
      </c>
      <c r="CW524" s="335">
        <f t="shared" si="940"/>
        <v>0.23699261992619944</v>
      </c>
      <c r="CX524" s="335">
        <f t="shared" si="941"/>
        <v>0.73619765810468829</v>
      </c>
      <c r="CY524" s="335">
        <f t="shared" si="942"/>
        <v>0.26412854465362851</v>
      </c>
      <c r="CZ524" s="336">
        <f>INDEX('State Tax Lookup'!$D$7:$Z$91,MATCH(Calculation!$C524,'State Tax Lookup'!$B$7:$B$91,0),MATCH($H524,'State Tax Lookup'!$D$6:$Z$6,0))</f>
        <v>0.25279166999999997</v>
      </c>
      <c r="DA524" s="303">
        <v>0.37</v>
      </c>
      <c r="DB524" s="57">
        <f t="shared" si="945"/>
        <v>14.498977582898901</v>
      </c>
      <c r="DC524" s="56">
        <f t="shared" si="949"/>
        <v>1.8298621497057604E-3</v>
      </c>
      <c r="DD524" s="303">
        <f>VLOOKUP($H524,RoR!$E:$F,2,FALSE)</f>
        <v>3.3875000000000009E-2</v>
      </c>
      <c r="DE524" s="304">
        <f>HLOOKUP($H524,'GDP-PI'!$D$8:$CQ$11,3,FALSE)</f>
        <v>1.8092492884465461E-2</v>
      </c>
      <c r="DF524" s="303">
        <f>VLOOKUP(H524,'HW Dx Data'!$E:$F,2,FALSE)</f>
        <v>773.53929793938721</v>
      </c>
      <c r="DG524" s="89">
        <f ca="1">VLOOKUP(CC524,'ECI - Input Price'!M$13:N$33,2,FALSE)</f>
        <v>149.67500000000001</v>
      </c>
      <c r="DH524" s="89"/>
      <c r="DI524" s="89"/>
      <c r="DJ524" s="56">
        <f t="shared" ca="1" si="957"/>
        <v>3.5532849899171604E-2</v>
      </c>
      <c r="DK524" s="53">
        <f>HLOOKUP(H524,'GDP-PI'!$8:$9,2,FALSE)</f>
        <v>112.318</v>
      </c>
      <c r="DL524" s="355">
        <f t="shared" si="950"/>
        <v>1.7930771451401852E-2</v>
      </c>
      <c r="EC524"/>
    </row>
    <row r="525" spans="1:133" s="126" customFormat="1" ht="21" customHeight="1" x14ac:dyDescent="0.4">
      <c r="A525" s="233" t="s">
        <v>212</v>
      </c>
      <c r="B525" s="126" t="s">
        <v>212</v>
      </c>
      <c r="C525" s="126">
        <v>4057090</v>
      </c>
      <c r="D525" s="126" t="s">
        <v>209</v>
      </c>
      <c r="G525" s="127" t="s">
        <v>176</v>
      </c>
      <c r="H525" s="128">
        <v>2020</v>
      </c>
      <c r="I525" s="129"/>
      <c r="J525" s="125">
        <f>IFERROR(INDEX('Labor Expenditures'!$E$7:$W$91,MATCH($C525,'Labor Expenditures'!$C$7:$C$91,0),MATCH($G525,'Labor Expenditures'!$E$5:$W$5,0)),"NA")</f>
        <v>30270.858614376044</v>
      </c>
      <c r="K525" s="125">
        <f t="shared" ca="1" si="951"/>
        <v>197.65496973147921</v>
      </c>
      <c r="L525" s="47"/>
      <c r="M525" s="131">
        <f t="shared" ca="1" si="958"/>
        <v>-1.7143717022050916E-2</v>
      </c>
      <c r="N525" s="131"/>
      <c r="O525" s="131"/>
      <c r="P525" s="59">
        <f t="shared" ca="1" si="961"/>
        <v>-1.5537556036574583E-4</v>
      </c>
      <c r="Q525" s="61"/>
      <c r="R525" s="387"/>
      <c r="S525" s="49">
        <f t="shared" ca="1" si="965"/>
        <v>116.72912273506584</v>
      </c>
      <c r="T525" s="61">
        <f ca="1">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</f>
        <v>2.3033533411307159E-3</v>
      </c>
      <c r="U525" s="61"/>
      <c r="V525" s="125">
        <f>IFERROR(INDEX('Non-Labor Expenditures'!$E$7:$AA$91,MATCH($C525,'Non-Labor Expenditures'!$C$7:$C$91,0),MATCH($G525,'Non-Labor Expenditures'!$E$5:$AA$5,0)),"NA")</f>
        <v>43837.857090121077</v>
      </c>
      <c r="W525" s="125">
        <f t="shared" si="952"/>
        <v>385.81851465038835</v>
      </c>
      <c r="X525" s="131">
        <f t="shared" si="962"/>
        <v>-5.7439772860754558E-3</v>
      </c>
      <c r="Y525" s="131">
        <f t="shared" si="963"/>
        <v>-5.2058353996636517E-5</v>
      </c>
      <c r="Z525" s="131"/>
      <c r="AA525" s="131"/>
      <c r="AB525" s="131"/>
      <c r="AC525" s="125">
        <f t="shared" si="932"/>
        <v>31042.466803784475</v>
      </c>
      <c r="AD525" s="129"/>
      <c r="AE525" s="133">
        <v>2319.4564933691913</v>
      </c>
      <c r="AF525" s="134">
        <v>2.1572642092323107E-2</v>
      </c>
      <c r="AG525" s="59">
        <f t="shared" si="953"/>
        <v>1.9551543865038625E-4</v>
      </c>
      <c r="AH525" s="134"/>
      <c r="AI525" s="134"/>
      <c r="AJ525" s="129">
        <f t="shared" si="889"/>
        <v>105151.18250828161</v>
      </c>
      <c r="AK525" s="134">
        <f t="shared" si="964"/>
        <v>1.5859096940898605E-2</v>
      </c>
      <c r="AL525" s="129"/>
      <c r="AM525" s="129"/>
      <c r="AN525" s="129"/>
      <c r="AO525" s="129"/>
      <c r="AP525" s="133">
        <f t="shared" si="974"/>
        <v>320.64054969729801</v>
      </c>
      <c r="AQ525" s="134">
        <f>+BB525/Outputs!$B$28</f>
        <v>8.6452198346372786E-3</v>
      </c>
      <c r="AR525" s="93">
        <f t="shared" si="954"/>
        <v>0.28787939319647632</v>
      </c>
      <c r="AS525" s="93">
        <f t="shared" si="955"/>
        <v>0.41690312980235339</v>
      </c>
      <c r="AT525" s="93">
        <f t="shared" si="956"/>
        <v>0.29521747700117018</v>
      </c>
      <c r="AU525" s="93">
        <f t="shared" ca="1" si="959"/>
        <v>-1.075202692363224E-3</v>
      </c>
      <c r="AV525" s="132">
        <f t="shared" ca="1" si="967"/>
        <v>133.67839228696047</v>
      </c>
      <c r="AW525" s="134">
        <f t="shared" ca="1" si="968"/>
        <v>-1.0752026923631806E-3</v>
      </c>
      <c r="AX525" s="56">
        <f>+AJ525/$AL$25</f>
        <v>9.0631197520290221E-3</v>
      </c>
      <c r="AY525" s="135">
        <f t="shared" ca="1" si="966"/>
        <v>-9.7446907585915261E-6</v>
      </c>
      <c r="AZ525" s="93"/>
      <c r="BA525" s="93"/>
      <c r="BB525" s="234">
        <v>327941</v>
      </c>
      <c r="BC525" s="411">
        <f t="shared" si="973"/>
        <v>0</v>
      </c>
      <c r="BD525" s="92"/>
      <c r="BE525" s="281" t="str">
        <f t="shared" si="969"/>
        <v>LOUISVILLE GAS AND ELECTRIC COMPANY</v>
      </c>
      <c r="BF525" s="290">
        <f t="shared" si="970"/>
        <v>4057090</v>
      </c>
      <c r="BG525" s="46" t="str">
        <f t="shared" si="971"/>
        <v>KY</v>
      </c>
      <c r="BH525" s="46"/>
      <c r="BI525" s="46" t="str">
        <f t="shared" si="972"/>
        <v>2020 Y</v>
      </c>
      <c r="BJ525" s="129"/>
      <c r="BK525" s="129"/>
      <c r="BL525" s="129">
        <f>INDEX('Dist. Plant Gas Additions'!$E$7:$AD$91,MATCH($C525,'Dist. Plant Gas Additions'!$C$7:$C$91,0),MATCH(Calculation!$G525,'Dist. Plant Gas Additions'!$E$5:$AD$5,0))</f>
        <v>55589</v>
      </c>
      <c r="BM525" s="129">
        <f>INDEX('Gen. Plant Additions'!$E$7:$AD$91,MATCH($C525,'Gen. Plant Additions'!$C$7:$C$91,0),MATCH(Calculation!$G525,'Gen. Plant Additions'!$E$5:$AD$5,0))</f>
        <v>1529</v>
      </c>
      <c r="BN525" s="393">
        <f t="shared" si="933"/>
        <v>0.98543606119237326</v>
      </c>
      <c r="BO525" s="46">
        <f t="shared" si="930"/>
        <v>1506.7317375631387</v>
      </c>
      <c r="BP525" s="46">
        <f t="shared" si="931"/>
        <v>-22.268262436861278</v>
      </c>
      <c r="BQ525" s="129">
        <f>INDEX('Dist Plant Depreciation'!$D$7:$AC$94,MATCH($C525,'Dist Plant Depreciation'!$C$7:$C$94,0),MATCH(Calculation!$G525,'Dist Plant Depreciation'!$D$5:$AC$5,0))</f>
        <v>318257</v>
      </c>
      <c r="BR525" s="129">
        <f>INDEX('Gen. Plant Depreciation'!$D$7:$AC$94,MATCH($C525,'Gen. Plant Depreciation'!$C$7:$C$94,0),MATCH(Calculation!$G525,'Gen. Plant Depreciation'!$D$5:$AC$5,0))</f>
        <v>6136</v>
      </c>
      <c r="BS525" s="129"/>
      <c r="BT525" s="129"/>
      <c r="BU525" s="129"/>
      <c r="BV525" s="129"/>
      <c r="BW525" s="129"/>
      <c r="BX525" s="129"/>
      <c r="BY525" s="129">
        <f>INDEX('Gross Dx Plant'!$D$7:$AC$91,MATCH($C525,'Gross Dx Plant'!$C$7:$C$91,0),MATCH(Calculation!$G525,'Gross Dx Plant'!$D$5:$AC$5,0))</f>
        <v>1075161</v>
      </c>
      <c r="BZ525" s="129">
        <f>INDEX('Gross Gen Plant'!$D$7:$AC$91,MATCH($C525,'Gross Gen Plant'!$C$7:$C$91,0),MATCH(Calculation!$G525,'Gross Gen Plant'!$D$5:$AC$5,0))</f>
        <v>15890</v>
      </c>
      <c r="CA525" s="129">
        <f t="shared" si="960"/>
        <v>766658</v>
      </c>
      <c r="CB525" s="129"/>
      <c r="CC525" s="133">
        <v>2020</v>
      </c>
      <c r="CD525" s="129"/>
      <c r="CE525" s="129"/>
      <c r="CF525" s="129"/>
      <c r="CG525" s="137"/>
      <c r="CH525" s="129">
        <f t="shared" si="934"/>
        <v>57118</v>
      </c>
      <c r="CI525" s="46">
        <f t="shared" si="943"/>
        <v>57095.731737563139</v>
      </c>
      <c r="CJ525" s="46">
        <f t="shared" si="935"/>
        <v>70.221528422117842</v>
      </c>
      <c r="CK525" s="443">
        <v>0.72499999999999998</v>
      </c>
      <c r="CL525" s="46">
        <f>CL503*CK525+CJ504*CK524+CJ505*CK523+CJ506*CK522+CJ507*CK521+CJ508*CK520+CJ509*CK519+CJ510*CK518+CJ511*CK517+CJ512*CK516+CJ513*CK515+CJ514*CK514+CJ515*CK513+CJ516*CK512+CJ517*CK511+CJ518*CK510+CJ519*CK509+CJ520*CK508+CJ521*CK507+CJ522*CK506+CJ523*CK505+CJ524*CK504+CJ525</f>
        <v>2125.4409307038145</v>
      </c>
      <c r="CM525" s="134">
        <f t="shared" si="936"/>
        <v>1.7256082344296163E-2</v>
      </c>
      <c r="CN525" s="135">
        <f t="shared" si="937"/>
        <v>1.6207804787658896E-2</v>
      </c>
      <c r="CO525" s="135">
        <f t="shared" si="946"/>
        <v>1.5781814997440219E-2</v>
      </c>
      <c r="CP525" s="134">
        <f>VLOOKUP($H525,RoR!$E:$F,2,FALSE)</f>
        <v>2.4766666666666666E-2</v>
      </c>
      <c r="CQ525" s="135">
        <v>1.1618796630994188E-2</v>
      </c>
      <c r="CR525" s="135">
        <f t="shared" si="944"/>
        <v>1.3147870035672478E-2</v>
      </c>
      <c r="CS525" s="135">
        <f t="shared" si="947"/>
        <v>1.5120126611093406E-2</v>
      </c>
      <c r="CT525" s="135">
        <f t="shared" si="948"/>
        <v>4.5144642961987357E-2</v>
      </c>
      <c r="CU525" s="139">
        <f t="shared" si="938"/>
        <v>0.90646708210000004</v>
      </c>
      <c r="CV525" s="335">
        <f t="shared" si="939"/>
        <v>2.0706077233668081</v>
      </c>
      <c r="CW525" s="335">
        <f t="shared" si="940"/>
        <v>-3.4421265141318998E-2</v>
      </c>
      <c r="CX525" s="335">
        <f t="shared" si="941"/>
        <v>0.62416226176410472</v>
      </c>
      <c r="CY525" s="335">
        <f t="shared" si="942"/>
        <v>-4.4485877841158712E-2</v>
      </c>
      <c r="CZ525" s="336">
        <f>INDEX('State Tax Lookup'!$D$7:$Z$91,MATCH(Calculation!$C525,'State Tax Lookup'!$B$7:$B$91,0),MATCH($H525,'State Tax Lookup'!$D$6:$Z$6,0))</f>
        <v>0.25279166999999997</v>
      </c>
      <c r="DA525" s="303">
        <v>0.37</v>
      </c>
      <c r="DB525" s="57">
        <f t="shared" si="945"/>
        <v>14.859404561769269</v>
      </c>
      <c r="DC525" s="56">
        <f t="shared" si="949"/>
        <v>2.4554833203055456E-2</v>
      </c>
      <c r="DD525" s="303">
        <f>VLOOKUP($H525,RoR!$E:$F,2,FALSE)</f>
        <v>2.4766666666666666E-2</v>
      </c>
      <c r="DE525" s="304">
        <f>HLOOKUP($H525,'GDP-PI'!$D$8:$CQ$11,3,FALSE)</f>
        <v>1.1618796630994188E-2</v>
      </c>
      <c r="DF525" s="303">
        <f>VLOOKUP(H525,'HW Dx Data'!$E:$F,2,FALSE)</f>
        <v>813.080162458833</v>
      </c>
      <c r="DG525" s="89">
        <f ca="1">VLOOKUP(CC525,'ECI - Input Price'!M$13:N$33,2,FALSE)</f>
        <v>153.15</v>
      </c>
      <c r="DH525" s="89"/>
      <c r="DI525" s="89"/>
      <c r="DJ525" s="56">
        <f t="shared" ca="1" si="957"/>
        <v>2.2951556467368479E-2</v>
      </c>
      <c r="DK525" s="53">
        <f>HLOOKUP(H525,'GDP-PI'!$8:$9,2,FALSE)</f>
        <v>113.623</v>
      </c>
      <c r="DL525" s="355">
        <f t="shared" si="950"/>
        <v>1.1551816731392881E-2</v>
      </c>
      <c r="EC525"/>
    </row>
    <row r="526" spans="1:133" s="126" customFormat="1" ht="21" customHeight="1" x14ac:dyDescent="0.4">
      <c r="A526" s="233" t="s">
        <v>212</v>
      </c>
      <c r="B526" s="126" t="s">
        <v>212</v>
      </c>
      <c r="C526" s="126">
        <v>4057090</v>
      </c>
      <c r="D526" s="126" t="s">
        <v>209</v>
      </c>
      <c r="G526" s="127" t="s">
        <v>177</v>
      </c>
      <c r="H526" s="128">
        <v>2021</v>
      </c>
      <c r="I526" s="129"/>
      <c r="J526" s="125">
        <v>33301.027856915556</v>
      </c>
      <c r="K526" s="125">
        <f t="shared" ca="1" si="951"/>
        <v>211.77124233332628</v>
      </c>
      <c r="L526" s="47"/>
      <c r="M526" s="130">
        <f t="shared" ca="1" si="958"/>
        <v>6.8983712958498436E-2</v>
      </c>
      <c r="N526" s="130"/>
      <c r="O526" s="130"/>
      <c r="P526" s="59">
        <f t="shared" ca="1" si="961"/>
        <v>6.3588328589435556E-4</v>
      </c>
      <c r="Q526" s="61"/>
      <c r="R526" s="387"/>
      <c r="S526" s="132">
        <f ca="1">+S525*EXP(T526)</f>
        <v>121.14803091554219</v>
      </c>
      <c r="T526" s="134">
        <f ca="1">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</f>
        <v>3.7157133551504566E-2</v>
      </c>
      <c r="U526" s="134"/>
      <c r="V526" s="125">
        <v>46942.412762158077</v>
      </c>
      <c r="W526" s="125">
        <f t="shared" si="952"/>
        <v>396.17193655294187</v>
      </c>
      <c r="X526" s="131">
        <f t="shared" si="962"/>
        <v>2.6481210637646305E-2</v>
      </c>
      <c r="Y526" s="131">
        <f t="shared" si="963"/>
        <v>2.4410050593909969E-4</v>
      </c>
      <c r="Z526" s="131"/>
      <c r="AA526" s="131"/>
      <c r="AB526" s="131"/>
      <c r="AC526" s="125">
        <f t="shared" si="932"/>
        <v>38161.785821659985</v>
      </c>
      <c r="AD526" s="129"/>
      <c r="AE526" s="133">
        <v>2392.7771950291731</v>
      </c>
      <c r="AF526" s="134"/>
      <c r="AG526" s="59">
        <f t="shared" si="953"/>
        <v>0</v>
      </c>
      <c r="AH526" s="134"/>
      <c r="AI526" s="134"/>
      <c r="AJ526" s="129">
        <f t="shared" si="889"/>
        <v>118405.22644073362</v>
      </c>
      <c r="AK526" s="134">
        <f t="shared" si="964"/>
        <v>0.11871371570808033</v>
      </c>
      <c r="AL526" s="129"/>
      <c r="AM526" s="134"/>
      <c r="AN526" s="134"/>
      <c r="AO526" s="134"/>
      <c r="AP526" s="133">
        <f t="shared" si="974"/>
        <v>356.72928166430245</v>
      </c>
      <c r="AQ526" s="134">
        <f>+BB526/Outputs!$B$29</f>
        <v>8.5975400352319049E-3</v>
      </c>
      <c r="AR526" s="93">
        <f t="shared" si="954"/>
        <v>0.28124626638490491</v>
      </c>
      <c r="AS526" s="93">
        <f t="shared" si="955"/>
        <v>0.39645558032570938</v>
      </c>
      <c r="AT526" s="93">
        <f t="shared" si="956"/>
        <v>0.32229815328938566</v>
      </c>
      <c r="AU526" s="93">
        <f t="shared" ca="1" si="959"/>
        <v>3.0399562232371814E-2</v>
      </c>
      <c r="AV526" s="132">
        <f t="shared" ca="1" si="967"/>
        <v>137.80455592092787</v>
      </c>
      <c r="AW526" s="134">
        <f t="shared" ca="1" si="968"/>
        <v>3.0399562232371908E-2</v>
      </c>
      <c r="AX526" s="56">
        <f>+AJ526/$AL$26</f>
        <v>9.2178756205383121E-3</v>
      </c>
      <c r="AY526" s="135">
        <f t="shared" ca="1" si="966"/>
        <v>2.8021938357681821E-4</v>
      </c>
      <c r="AZ526" s="93"/>
      <c r="BA526" s="93"/>
      <c r="BB526" s="234">
        <f>INDEX('Total Customers'!$D$7:$D$91,MATCH(Calculation!$C526,'Total Customers'!$C$7:$C$91,0))</f>
        <v>331919</v>
      </c>
      <c r="BC526" s="411">
        <f t="shared" si="973"/>
        <v>1.2057249090544944E-2</v>
      </c>
      <c r="BD526" s="91"/>
      <c r="BE526" s="281" t="str">
        <f t="shared" si="969"/>
        <v>LOUISVILLE GAS AND ELECTRIC COMPANY</v>
      </c>
      <c r="BF526" s="290">
        <f t="shared" si="970"/>
        <v>4057090</v>
      </c>
      <c r="BG526" s="46" t="str">
        <f t="shared" si="971"/>
        <v>KY</v>
      </c>
      <c r="BH526" s="46"/>
      <c r="BI526" s="46" t="str">
        <f t="shared" si="972"/>
        <v>2021 Y</v>
      </c>
      <c r="BJ526" s="129"/>
      <c r="BK526" s="129"/>
      <c r="BL526" s="129">
        <f>INDEX('Dist. Plant Gas Additions'!$D$7:$AD$91,MATCH($C526,'Dist. Plant Gas Additions'!$C$7:$C$91,0),MATCH(Calculation!$G526,'Dist. Plant Gas Additions'!$D$5:$AD$5,0))</f>
        <v>79674</v>
      </c>
      <c r="BM526" s="129">
        <f>INDEX('Gen. Plant Additions'!$D$7:$AD$91,MATCH($C526,'Gen. Plant Additions'!$C$7:$C$91,0),MATCH(Calculation!$G526,'Gen. Plant Additions'!$D$5:$AD$5,0))</f>
        <v>1441</v>
      </c>
      <c r="BN526" s="343">
        <v>0.98543606119237326</v>
      </c>
      <c r="BO526" s="46">
        <f t="shared" si="930"/>
        <v>1420.0133641782099</v>
      </c>
      <c r="BP526" s="46">
        <f t="shared" si="931"/>
        <v>-20.98663582179006</v>
      </c>
      <c r="BQ526" s="129"/>
      <c r="BR526" s="129"/>
      <c r="BS526" s="137"/>
      <c r="BT526" s="137"/>
      <c r="BU526" s="333"/>
      <c r="BV526" s="93"/>
      <c r="BW526" s="334"/>
      <c r="BX526" s="334"/>
      <c r="BY526" s="129"/>
      <c r="BZ526" s="129"/>
      <c r="CA526" s="129"/>
      <c r="CB526" s="129"/>
      <c r="CC526" s="133">
        <v>2021</v>
      </c>
      <c r="CD526" s="129"/>
      <c r="CE526" s="129"/>
      <c r="CF526" s="129"/>
      <c r="CG526" s="137"/>
      <c r="CH526" s="129">
        <f t="shared" si="934"/>
        <v>81115</v>
      </c>
      <c r="CI526" s="46">
        <f t="shared" si="943"/>
        <v>81094.013364178216</v>
      </c>
      <c r="CJ526" s="46">
        <f t="shared" si="935"/>
        <v>86.915388891763584</v>
      </c>
      <c r="CK526" s="443">
        <v>0.70886075949367089</v>
      </c>
      <c r="CL526" s="129">
        <f>CL503*CK526+CJ504*CK525+CJ505*CK524+CJ506*CK523+CJ507*CK522+CJ508*CK521+CJ509*CK520+CJ510*CK519+CJ511*CK518+CJ512*CK517+CJ513*CK516+CJ514*CK515+CJ515*CK514+CJ516*CK513+CJ517*CK512+CJ508*CK511+CJ519*CK510+CJ520*CK509+CJ521*CK508+CJ522*CK507+CJ523*CK506+CJ524*CK505+CJ526+CJ525*CK504</f>
        <v>2184.9598371399629</v>
      </c>
      <c r="CM526" s="134"/>
      <c r="CN526" s="135">
        <f t="shared" si="937"/>
        <v>1.2889787742321843E-2</v>
      </c>
      <c r="CO526" s="135">
        <f t="shared" si="946"/>
        <v>1.495956797330499E-2</v>
      </c>
      <c r="CP526" s="134">
        <f>VLOOKUP($H526,RoR!$E:$F,2,FALSE)</f>
        <v>2.7033333333333336E-2</v>
      </c>
      <c r="CQ526" s="135"/>
      <c r="CR526" s="135"/>
      <c r="CS526" s="135">
        <f t="shared" si="947"/>
        <v>1.5942373635228636E-2</v>
      </c>
      <c r="CT526" s="135">
        <f t="shared" si="948"/>
        <v>7.433422950153494E-2</v>
      </c>
      <c r="CU526" s="139">
        <f t="shared" si="938"/>
        <v>0.90646708210000004</v>
      </c>
      <c r="CV526" s="335">
        <f t="shared" si="939"/>
        <v>1.8969932656739068</v>
      </c>
      <c r="CW526" s="335">
        <f t="shared" si="940"/>
        <v>5.0215782983970621E-2</v>
      </c>
      <c r="CX526" s="335">
        <f t="shared" si="941"/>
        <v>0.655952481704143</v>
      </c>
      <c r="CY526" s="335">
        <f t="shared" si="942"/>
        <v>6.2485378865697057E-2</v>
      </c>
      <c r="CZ526" s="336">
        <f>CZ525</f>
        <v>0.25279166999999997</v>
      </c>
      <c r="DA526" s="303">
        <v>0.37</v>
      </c>
      <c r="DB526" s="141">
        <f t="shared" si="945"/>
        <v>17.954761889817924</v>
      </c>
      <c r="DC526" s="135">
        <f t="shared" si="949"/>
        <v>0.18922239747360417</v>
      </c>
      <c r="DD526" s="336">
        <f>VLOOKUP($H526,RoR!$E:$F,2,FALSE)</f>
        <v>2.7033333333333336E-2</v>
      </c>
      <c r="DE526" s="342">
        <f>HLOOKUP($H526,'GDP-PI'!$D$8:$CR$11,3,FALSE)</f>
        <v>4.2834637353352578E-2</v>
      </c>
      <c r="DF526" s="336">
        <f>VLOOKUP(H526,'HW Dx Data'!$E:$F,2,FALSE)</f>
        <v>933.02249921662576</v>
      </c>
      <c r="DG526" s="89">
        <f ca="1">VLOOKUP(CC526,'ECI - Input Price'!M$13:N$33,2,FALSE)</f>
        <v>157.25</v>
      </c>
      <c r="DH526" s="89"/>
      <c r="DI526" s="89"/>
      <c r="DJ526" s="135">
        <f t="shared" ca="1" si="957"/>
        <v>2.6419062301765574E-2</v>
      </c>
      <c r="DK526" s="137">
        <f>HLOOKUP(H526,'GDP-PI'!$8:$9,2,FALSE)</f>
        <v>118.49</v>
      </c>
      <c r="DL526" s="356">
        <f t="shared" si="950"/>
        <v>4.194261824609434E-2</v>
      </c>
      <c r="EC526"/>
    </row>
    <row r="527" spans="1:133" s="126" customFormat="1" ht="21" customHeight="1" thickBot="1" x14ac:dyDescent="0.45">
      <c r="A527" s="235"/>
      <c r="B527" s="236"/>
      <c r="C527" s="236"/>
      <c r="D527" s="236"/>
      <c r="E527" s="236"/>
      <c r="F527" s="236"/>
      <c r="G527" s="237" t="s">
        <v>178</v>
      </c>
      <c r="H527" s="238"/>
      <c r="I527" s="239"/>
      <c r="J527" s="240">
        <v>36566.845437988668</v>
      </c>
      <c r="K527" s="240">
        <f t="shared" ca="1" si="951"/>
        <v>224.95752345732799</v>
      </c>
      <c r="L527" s="47"/>
      <c r="M527" s="241">
        <f t="shared" ref="M527" ca="1" si="975">LN(K527/K526)</f>
        <v>6.040495326259708E-2</v>
      </c>
      <c r="N527" s="241"/>
      <c r="O527" s="241"/>
      <c r="P527" s="242">
        <f t="shared" ca="1" si="961"/>
        <v>5.797855787733877E-4</v>
      </c>
      <c r="Q527" s="61"/>
      <c r="R527" s="387"/>
      <c r="S527" s="206">
        <f ca="1">+S526*EXP(T527)</f>
        <v>120.30922893309256</v>
      </c>
      <c r="T527" s="243">
        <f ca="1">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</f>
        <v>-6.9478578299484233E-3</v>
      </c>
      <c r="U527" s="243"/>
      <c r="V527" s="239">
        <v>51546.035135478</v>
      </c>
      <c r="W527" s="240">
        <f t="shared" si="952"/>
        <v>405.07689693892337</v>
      </c>
      <c r="X527" s="244">
        <f t="shared" ref="X527" si="976">LN(W527/W526)</f>
        <v>2.2228617829977766E-2</v>
      </c>
      <c r="Y527" s="244">
        <f t="shared" si="963"/>
        <v>2.1335720595394101E-4</v>
      </c>
      <c r="Z527" s="206"/>
      <c r="AA527" s="243"/>
      <c r="AB527" s="243"/>
      <c r="AC527" s="240">
        <f t="shared" si="932"/>
        <v>38897.952221393534</v>
      </c>
      <c r="AD527" s="243"/>
      <c r="AE527" s="245">
        <v>2439.880488376682</v>
      </c>
      <c r="AF527" s="243">
        <v>1.9494360307034803E-2</v>
      </c>
      <c r="AG527" s="242">
        <f t="shared" si="953"/>
        <v>1.8711294956716242E-4</v>
      </c>
      <c r="AH527" s="206"/>
      <c r="AI527" s="243"/>
      <c r="AJ527" s="239">
        <f t="shared" si="889"/>
        <v>127010.83279486021</v>
      </c>
      <c r="AK527" s="243">
        <f t="shared" si="964"/>
        <v>7.0159516706691155E-2</v>
      </c>
      <c r="AL527" s="239"/>
      <c r="AM527" s="243"/>
      <c r="AN527" s="243"/>
      <c r="AO527" s="243"/>
      <c r="AP527" s="245">
        <f t="shared" si="974"/>
        <v>381.85654480827691</v>
      </c>
      <c r="AQ527" s="243"/>
      <c r="AR527" s="207">
        <f t="shared" si="954"/>
        <v>0.28790335936974054</v>
      </c>
      <c r="AS527" s="207">
        <f t="shared" si="955"/>
        <v>0.40583967525614029</v>
      </c>
      <c r="AT527" s="207">
        <f t="shared" si="956"/>
        <v>0.30625696537411912</v>
      </c>
      <c r="AU527" s="207"/>
      <c r="AV527" s="206"/>
      <c r="AW527" s="243"/>
      <c r="AX527" s="248">
        <f>+AJ527/$AL$27</f>
        <v>9.5983118512301315E-3</v>
      </c>
      <c r="AY527" s="249"/>
      <c r="AZ527" s="206"/>
      <c r="BA527" s="243"/>
      <c r="BB527" s="250">
        <v>332614</v>
      </c>
      <c r="BC527" s="412">
        <f t="shared" si="973"/>
        <v>2.0916952307750746E-3</v>
      </c>
      <c r="BD527" s="91"/>
      <c r="BE527" s="401">
        <f t="shared" si="969"/>
        <v>0</v>
      </c>
      <c r="BF527" s="402">
        <f t="shared" si="970"/>
        <v>0</v>
      </c>
      <c r="BG527" s="313">
        <f t="shared" si="971"/>
        <v>0</v>
      </c>
      <c r="BH527" s="313"/>
      <c r="BI527" s="313" t="str">
        <f t="shared" si="972"/>
        <v>2022Y</v>
      </c>
      <c r="BJ527" s="239"/>
      <c r="BK527" s="239"/>
      <c r="BL527" s="239"/>
      <c r="BM527" s="239"/>
      <c r="BN527" s="337">
        <v>0.98543606119237326</v>
      </c>
      <c r="BO527" s="313">
        <f t="shared" si="930"/>
        <v>0</v>
      </c>
      <c r="BP527" s="313">
        <f t="shared" si="931"/>
        <v>0</v>
      </c>
      <c r="BQ527" s="239"/>
      <c r="BR527" s="239"/>
      <c r="BS527" s="310"/>
      <c r="BT527" s="310"/>
      <c r="BU527" s="311"/>
      <c r="BV527" s="207"/>
      <c r="BW527" s="312"/>
      <c r="BX527" s="312"/>
      <c r="BY527" s="239"/>
      <c r="BZ527" s="239"/>
      <c r="CA527" s="239"/>
      <c r="CB527" s="239"/>
      <c r="CC527" s="245">
        <v>2022</v>
      </c>
      <c r="CD527" s="239"/>
      <c r="CE527" s="239"/>
      <c r="CF527" s="239"/>
      <c r="CG527" s="310"/>
      <c r="CH527" s="239">
        <v>48557</v>
      </c>
      <c r="CI527" s="313">
        <f t="shared" si="943"/>
        <v>48557</v>
      </c>
      <c r="CJ527" s="313">
        <f t="shared" si="935"/>
        <v>47.105674178558608</v>
      </c>
      <c r="CK527" s="443">
        <v>0.69230769230769229</v>
      </c>
      <c r="CL527" s="239">
        <f>+CL503*CK527+CJ504*CK526+CJ505*CK525+CJ506*CK524+CJ507*CK523+CJ508*CK522+CJ509*CK521+CJ510*CK520+CJ511*CK519+CJ512*CK518+CJ513*CK517+CJ514*CK516+CJ515*CK515+CJ516*CK514+CJ517*CK513+CJ518*CK512+CJ519*CK511+CJ520*CK510+CJ521*CK509+CJ522*CK508+CJ523*CK507+CJ524*CK506+CJ525*CK505+CJ526*CK504+CJ527*CK503</f>
        <v>2187.0438942195992</v>
      </c>
      <c r="CM527" s="243">
        <f t="shared" ref="CM527" si="977">LN(CL527/CL526)</f>
        <v>9.5336480275093794E-4</v>
      </c>
      <c r="CN527" s="249">
        <f t="shared" si="937"/>
        <v>2.0605237832588288E-2</v>
      </c>
      <c r="CO527" s="249">
        <f t="shared" si="946"/>
        <v>1.6567610120856342E-2</v>
      </c>
      <c r="CP527" s="243"/>
      <c r="CQ527" s="249"/>
      <c r="CR527" s="249"/>
      <c r="CS527" s="248">
        <f t="shared" si="947"/>
        <v>1.4334331487677283E-2</v>
      </c>
      <c r="CT527" s="249">
        <f t="shared" si="948"/>
        <v>0.10114668178709289</v>
      </c>
      <c r="CU527" s="314">
        <f t="shared" si="938"/>
        <v>0.90646708210000004</v>
      </c>
      <c r="CV527" s="315"/>
      <c r="CW527" s="315"/>
      <c r="CX527" s="315"/>
      <c r="CY527" s="315"/>
      <c r="CZ527" s="316">
        <f>CZ526</f>
        <v>0.25279166999999997</v>
      </c>
      <c r="DA527" s="360">
        <v>0.37</v>
      </c>
      <c r="DB527" s="318">
        <f t="shared" si="945"/>
        <v>17.802593695410717</v>
      </c>
      <c r="DC527" s="249">
        <f t="shared" si="949"/>
        <v>-8.5112061847002745E-3</v>
      </c>
      <c r="DD527" s="316">
        <v>0.04</v>
      </c>
      <c r="DE527" s="319">
        <v>7.0000000000000001E-3</v>
      </c>
      <c r="DF527" s="316">
        <v>1030.81</v>
      </c>
      <c r="DG527" s="89">
        <f ca="1">VLOOKUP(CC527,'ECI - Input Price'!M$13:N$33,2,FALSE)</f>
        <v>162.55000000000001</v>
      </c>
      <c r="DH527" s="89"/>
      <c r="DI527" s="89"/>
      <c r="DJ527" s="249">
        <f t="shared" ca="1" si="957"/>
        <v>3.3148751169364422E-2</v>
      </c>
      <c r="DK527" s="310">
        <v>127.25</v>
      </c>
      <c r="DL527" s="357">
        <f t="shared" si="950"/>
        <v>7.1325086601983473E-2</v>
      </c>
      <c r="EC527"/>
    </row>
    <row r="528" spans="1:133" s="126" customFormat="1" ht="21" customHeight="1" x14ac:dyDescent="0.4">
      <c r="A528" s="251" t="s">
        <v>213</v>
      </c>
      <c r="B528" s="252" t="s">
        <v>213</v>
      </c>
      <c r="C528" s="252">
        <v>4008754</v>
      </c>
      <c r="D528" s="252" t="s">
        <v>214</v>
      </c>
      <c r="E528" s="252"/>
      <c r="F528" s="252"/>
      <c r="G528" s="252" t="s">
        <v>150</v>
      </c>
      <c r="H528" s="253">
        <v>1998</v>
      </c>
      <c r="I528" s="254"/>
      <c r="J528" s="255"/>
      <c r="K528" s="255"/>
      <c r="L528" s="47"/>
      <c r="M528" s="255"/>
      <c r="N528" s="255"/>
      <c r="O528" s="255"/>
      <c r="P528" s="219"/>
      <c r="Q528" s="218"/>
      <c r="R528" s="385"/>
      <c r="S528" s="257"/>
      <c r="T528" s="258"/>
      <c r="U528" s="258"/>
      <c r="V528" s="259"/>
      <c r="W528" s="259"/>
      <c r="X528" s="259"/>
      <c r="Y528" s="255"/>
      <c r="Z528" s="259"/>
      <c r="AA528" s="259"/>
      <c r="AB528" s="259"/>
      <c r="AC528" s="255"/>
      <c r="AD528" s="254"/>
      <c r="AE528" s="260">
        <v>392.52538334919308</v>
      </c>
      <c r="AF528" s="256"/>
      <c r="AG528" s="225"/>
      <c r="AH528" s="256"/>
      <c r="AI528" s="256"/>
      <c r="AJ528" s="254">
        <f t="shared" si="889"/>
        <v>0</v>
      </c>
      <c r="AK528" s="254"/>
      <c r="AL528" s="254"/>
      <c r="AM528" s="256"/>
      <c r="AN528" s="256"/>
      <c r="AO528" s="256"/>
      <c r="AP528" s="226">
        <f>+(AP525+AP526+AP527)/3</f>
        <v>353.07545872329246</v>
      </c>
      <c r="AQ528" s="256"/>
      <c r="AR528" s="261"/>
      <c r="AS528" s="261"/>
      <c r="AT528" s="261"/>
      <c r="AU528" s="261"/>
      <c r="AV528" s="261"/>
      <c r="AW528" s="256">
        <f ca="1">AVERAGE(AW537:AW551)</f>
        <v>1.2718672369111087E-2</v>
      </c>
      <c r="AX528" s="223"/>
      <c r="AY528" s="261"/>
      <c r="AZ528" s="261"/>
      <c r="BA528" s="261"/>
      <c r="BB528" s="262">
        <f>IFERROR(INDEX('Total Customers'!$E$7:$AA$91,MATCH($C528,'Total Customers'!$C$7:$C$91,0),MATCH($G528,'Total Customers'!$E$5:$AA$5,0)),"NA")</f>
        <v>108415</v>
      </c>
      <c r="BC528" s="413"/>
      <c r="BD528" s="92"/>
      <c r="BE528" s="407" t="str">
        <f t="shared" si="969"/>
        <v>MADISON GAS AND ELECTRIC COMPANY</v>
      </c>
      <c r="BF528" s="408">
        <f t="shared" si="970"/>
        <v>4008754</v>
      </c>
      <c r="BG528" s="218" t="str">
        <f t="shared" si="971"/>
        <v>WI</v>
      </c>
      <c r="BH528" s="218"/>
      <c r="BI528" s="218" t="str">
        <f t="shared" si="972"/>
        <v>1998 Y</v>
      </c>
      <c r="BJ528" s="254">
        <f>INDEX('Gross Dx Plant'!$D$7:$AC$91,MATCH($C528,'Gross Dx Plant'!$C$7:$C$91,0),MATCH(Calculation!$G528,'Gross Dx Plant'!$D$5:$AC$5,0))</f>
        <v>166607</v>
      </c>
      <c r="BK528" s="254">
        <f>INDEX('Gross Gen Plant'!$D$7:$AC$91,MATCH($C528,'Gross Gen Plant'!$C$7:$C$91,0),MATCH(Calculation!$G528,'Gross Gen Plant'!$D$5:$AC$5,0))</f>
        <v>2440</v>
      </c>
      <c r="BL528" s="254">
        <f>INDEX('Dist. Plant Gas Additions'!$E$7:$AD$91,MATCH($C528,'Dist. Plant Gas Additions'!$C$7:$C$91,0),MATCH(Calculation!$G528,'Dist. Plant Gas Additions'!$E$5:$AD$5,0))</f>
        <v>3563</v>
      </c>
      <c r="BM528" s="254">
        <f>INDEX('Gen. Plant Additions'!$E$7:$AD$91,MATCH($C528,'Gen. Plant Additions'!$C$7:$C$91,0),MATCH(Calculation!$G528,'Gen. Plant Additions'!$E$5:$AD$5,0))</f>
        <v>95</v>
      </c>
      <c r="BN528" s="409">
        <f>+(BY528/(BY528+BZ528))</f>
        <v>0.98556614432672573</v>
      </c>
      <c r="BO528" s="218">
        <f t="shared" si="930"/>
        <v>93.628783711038949</v>
      </c>
      <c r="BP528" s="218">
        <f t="shared" si="931"/>
        <v>-1.3712162889610511</v>
      </c>
      <c r="BQ528" s="254">
        <f>INDEX('Dist Plant Depreciation'!$D$7:$AC$94,MATCH($C528,'Dist Plant Depreciation'!$C$7:$C$94,0),MATCH(Calculation!$G528,'Dist Plant Depreciation'!$D$5:$AC$5,0))</f>
        <v>85563</v>
      </c>
      <c r="BR528" s="254">
        <f>INDEX('Gen. Plant Depreciation'!$D$7:$AC$94,MATCH($C528,'Gen. Plant Depreciation'!$C$7:$C$94,0),MATCH(Calculation!$G528,'Gen. Plant Depreciation'!$D$5:$AC$5,0))</f>
        <v>4304</v>
      </c>
      <c r="BS528" s="254"/>
      <c r="BT528" s="254"/>
      <c r="BU528" s="254"/>
      <c r="BV528" s="254"/>
      <c r="BW528" s="254"/>
      <c r="BX528" s="254"/>
      <c r="BY528" s="254">
        <f>INDEX('Gross Dx Plant'!$D$7:$AC$91,MATCH($C528,'Gross Dx Plant'!$C$7:$C$91,0),MATCH(Calculation!$G528,'Gross Dx Plant'!$D$5:$AC$5,0))</f>
        <v>166607</v>
      </c>
      <c r="BZ528" s="254">
        <f>INDEX('Gross Gen Plant'!$D$7:$AC$91,MATCH($C528,'Gross Gen Plant'!$C$7:$C$91,0),MATCH(Calculation!$G528,'Gross Gen Plant'!$D$5:$AC$5,0))</f>
        <v>2440</v>
      </c>
      <c r="CA528" s="254">
        <f t="shared" si="960"/>
        <v>79180</v>
      </c>
      <c r="CB528" s="254"/>
      <c r="CC528" s="260">
        <v>1998</v>
      </c>
      <c r="CD528" s="254">
        <f>BJ528+BK528</f>
        <v>169047</v>
      </c>
      <c r="CE528" s="254">
        <f>85563+4304</f>
        <v>89867</v>
      </c>
      <c r="CF528" s="254">
        <f>+CD528-CE528</f>
        <v>79180</v>
      </c>
      <c r="CG528" s="254">
        <f>CF528/$BX$3</f>
        <v>392.52538334919308</v>
      </c>
      <c r="CH528" s="323"/>
      <c r="CI528" s="344"/>
      <c r="CJ528" s="344"/>
      <c r="CK528" s="443">
        <v>1</v>
      </c>
      <c r="CL528" s="254">
        <f>+CG528</f>
        <v>392.52538334919308</v>
      </c>
      <c r="CM528" s="256"/>
      <c r="CN528" s="325"/>
      <c r="CO528" s="325"/>
      <c r="CP528" s="256" t="e">
        <f>VLOOKUP($H528,RoR!$E:$F,2,FALSE)</f>
        <v>#N/A</v>
      </c>
      <c r="CQ528" s="325">
        <v>1.1028127770464469E-2</v>
      </c>
      <c r="CR528" s="325"/>
      <c r="CS528" s="325"/>
      <c r="CT528" s="325"/>
      <c r="CU528" s="327"/>
      <c r="CV528" s="331" t="e">
        <f>2/(DD528*39)</f>
        <v>#N/A</v>
      </c>
      <c r="CW528" s="328" t="e">
        <f>+(DD528*40-(1+DD528))/(DD528*40)</f>
        <v>#N/A</v>
      </c>
      <c r="CX528" s="328" t="e">
        <f>+(1-(1/(1+DD528)^40))</f>
        <v>#N/A</v>
      </c>
      <c r="CY528" s="328" t="e">
        <f>+CX528*CW528*CV528</f>
        <v>#N/A</v>
      </c>
      <c r="CZ528" s="329">
        <f>INDEX('State Tax Lookup'!$D$7:$Z$91,MATCH(Calculation!$C528,'State Tax Lookup'!$B$7:$B$91,0),MATCH($H528,'State Tax Lookup'!$D$6:$Z$6,0))</f>
        <v>0.40134999999999998</v>
      </c>
      <c r="DA528" s="351">
        <v>0.37</v>
      </c>
      <c r="DB528" s="344"/>
      <c r="DC528" s="326"/>
      <c r="DD528" s="351" t="e">
        <f>VLOOKUP($H528,RoR!$E:$F,2,FALSE)</f>
        <v>#N/A</v>
      </c>
      <c r="DE528" s="354">
        <f>HLOOKUP($H528,'GDP-PI'!$D$8:$CQ$11,3,FALSE)</f>
        <v>1.1028127770464469E-2</v>
      </c>
      <c r="DF528" s="351">
        <f>VLOOKUP(H528,'HW Dx Data'!$E:$F,2,FALSE)</f>
        <v>329.24564746449528</v>
      </c>
      <c r="DG528" s="351"/>
      <c r="DH528" s="351"/>
      <c r="DI528" s="351"/>
      <c r="DJ528" s="326"/>
      <c r="DK528" s="344">
        <f>HLOOKUP(H528,'GDP-PI'!$8:$9,2,FALSE)</f>
        <v>75.266999999999996</v>
      </c>
      <c r="DL528" s="292"/>
      <c r="EC528"/>
    </row>
    <row r="529" spans="1:133" s="126" customFormat="1" ht="21" customHeight="1" x14ac:dyDescent="0.4">
      <c r="A529" s="233" t="s">
        <v>213</v>
      </c>
      <c r="B529" s="127" t="s">
        <v>213</v>
      </c>
      <c r="C529" s="127">
        <v>4008754</v>
      </c>
      <c r="D529" s="127" t="s">
        <v>214</v>
      </c>
      <c r="E529" s="127"/>
      <c r="F529" s="127"/>
      <c r="G529" s="127" t="s">
        <v>155</v>
      </c>
      <c r="H529" s="128">
        <v>1999</v>
      </c>
      <c r="I529" s="129"/>
      <c r="J529" s="125"/>
      <c r="K529" s="129"/>
      <c r="L529" s="47"/>
      <c r="M529" s="129"/>
      <c r="N529" s="129"/>
      <c r="O529" s="129"/>
      <c r="P529" s="47"/>
      <c r="Q529" s="47"/>
      <c r="R529" s="386"/>
      <c r="S529" s="119"/>
      <c r="T529" s="47"/>
      <c r="U529" s="46"/>
      <c r="V529" s="135"/>
      <c r="W529" s="135"/>
      <c r="X529" s="135"/>
      <c r="Y529" s="143"/>
      <c r="Z529" s="135"/>
      <c r="AA529" s="135"/>
      <c r="AB529" s="135"/>
      <c r="AC529" s="125">
        <f t="shared" ref="AC529:AC552" si="978">+CL528*DB529</f>
        <v>0</v>
      </c>
      <c r="AD529" s="129"/>
      <c r="AE529" s="133">
        <v>405.57885826295353</v>
      </c>
      <c r="AF529" s="134">
        <v>3.2714120235453205E-2</v>
      </c>
      <c r="AG529" s="61"/>
      <c r="AH529" s="134"/>
      <c r="AI529" s="134"/>
      <c r="AJ529" s="129">
        <f t="shared" si="889"/>
        <v>0</v>
      </c>
      <c r="AK529" s="134"/>
      <c r="AL529" s="129"/>
      <c r="AM529" s="134"/>
      <c r="AN529" s="134"/>
      <c r="AO529" s="134"/>
      <c r="AP529" s="133"/>
      <c r="AQ529" s="134"/>
      <c r="AR529" s="93"/>
      <c r="AS529" s="93"/>
      <c r="AT529" s="93"/>
      <c r="AU529" s="93"/>
      <c r="AV529" s="93"/>
      <c r="AW529" s="134"/>
      <c r="AX529" s="62"/>
      <c r="AY529" s="93"/>
      <c r="AZ529" s="93"/>
      <c r="BA529" s="93"/>
      <c r="BB529" s="234">
        <f>IFERROR(INDEX('Total Customers'!$E$7:$AA$91,MATCH($C529,'Total Customers'!$C$7:$C$91,0),MATCH($G529,'Total Customers'!$E$5:$AA$5,0)),"NA")</f>
        <v>111491</v>
      </c>
      <c r="BC529" s="411">
        <f t="shared" si="973"/>
        <v>2.7977414337371508E-2</v>
      </c>
      <c r="BD529" s="92"/>
      <c r="BE529" s="281" t="str">
        <f t="shared" si="969"/>
        <v>MADISON GAS AND ELECTRIC COMPANY</v>
      </c>
      <c r="BF529" s="290">
        <f t="shared" si="970"/>
        <v>4008754</v>
      </c>
      <c r="BG529" s="46" t="str">
        <f t="shared" si="971"/>
        <v>WI</v>
      </c>
      <c r="BH529" s="46"/>
      <c r="BI529" s="46" t="str">
        <f t="shared" si="972"/>
        <v>1999 Y</v>
      </c>
      <c r="BJ529" s="129"/>
      <c r="BK529" s="129"/>
      <c r="BL529" s="129">
        <f>INDEX('Dist. Plant Gas Additions'!$E$7:$AD$91,MATCH($C529,'Dist. Plant Gas Additions'!$C$7:$C$91,0),MATCH(Calculation!$G529,'Dist. Plant Gas Additions'!$E$5:$AD$5,0))</f>
        <v>4932</v>
      </c>
      <c r="BM529" s="129">
        <f>INDEX('Gen. Plant Additions'!$E$7:$AD$91,MATCH($C529,'Gen. Plant Additions'!$C$7:$C$91,0),MATCH(Calculation!$G529,'Gen. Plant Additions'!$E$5:$AD$5,0))</f>
        <v>100</v>
      </c>
      <c r="BN529" s="393">
        <f t="shared" ref="BN529:BN550" si="979">+(BY529/(BY529+BZ529))</f>
        <v>0.98544988807606215</v>
      </c>
      <c r="BO529" s="46">
        <f t="shared" si="930"/>
        <v>98.544988807606217</v>
      </c>
      <c r="BP529" s="46">
        <f t="shared" si="931"/>
        <v>-1.4550111923937834</v>
      </c>
      <c r="BQ529" s="129">
        <f>INDEX('Dist Plant Depreciation'!$D$7:$AC$94,MATCH($C529,'Dist Plant Depreciation'!$C$7:$C$94,0),MATCH(Calculation!$G529,'Dist Plant Depreciation'!$D$5:$AC$5,0))</f>
        <v>90348</v>
      </c>
      <c r="BR529" s="129">
        <f>INDEX('Gen. Plant Depreciation'!$D$7:$AC$94,MATCH($C529,'Gen. Plant Depreciation'!$C$7:$C$94,0),MATCH(Calculation!$G529,'Gen. Plant Depreciation'!$D$5:$AC$5,0))</f>
        <v>3934</v>
      </c>
      <c r="BS529" s="129"/>
      <c r="BT529" s="129"/>
      <c r="BU529" s="129"/>
      <c r="BV529" s="129"/>
      <c r="BW529" s="129"/>
      <c r="BX529" s="129"/>
      <c r="BY529" s="129">
        <f>INDEX('Gross Dx Plant'!$D$7:$AC$91,MATCH($C529,'Gross Dx Plant'!$C$7:$C$91,0),MATCH(Calculation!$G529,'Gross Dx Plant'!$D$5:$AC$5,0))</f>
        <v>170810</v>
      </c>
      <c r="BZ529" s="129">
        <f>INDEX('Gross Gen Plant'!$D$7:$AC$91,MATCH($C529,'Gross Gen Plant'!$C$7:$C$91,0),MATCH(Calculation!$G529,'Gross Gen Plant'!$D$5:$AC$5,0))</f>
        <v>2522</v>
      </c>
      <c r="CA529" s="129">
        <f t="shared" si="960"/>
        <v>79050</v>
      </c>
      <c r="CB529" s="129"/>
      <c r="CC529" s="133">
        <v>1999</v>
      </c>
      <c r="CD529" s="129"/>
      <c r="CE529" s="129"/>
      <c r="CF529" s="129"/>
      <c r="CG529" s="137"/>
      <c r="CH529" s="129">
        <f t="shared" ref="CH529:CH551" si="980">+BM529+BL529</f>
        <v>5032</v>
      </c>
      <c r="CI529" s="46">
        <f>+CH529+BP529</f>
        <v>5030.5449888076064</v>
      </c>
      <c r="CJ529" s="46">
        <f t="shared" ref="CJ529:CJ552" si="981">+CI529/$DF529</f>
        <v>15.001998409966967</v>
      </c>
      <c r="CK529" s="443">
        <v>0.99009900990099009</v>
      </c>
      <c r="CL529" s="46">
        <f>+CL528*CK529+CJ529</f>
        <v>403.64099182500962</v>
      </c>
      <c r="CM529" s="134">
        <f t="shared" ref="CM529:CM550" si="982">LN(CL529/CL528)</f>
        <v>2.7924642710549792E-2</v>
      </c>
      <c r="CN529" s="135">
        <f t="shared" ref="CN529:CN552" si="983">+(CL528-CL529+CJ529)/CL528</f>
        <v>9.9009900990098942E-3</v>
      </c>
      <c r="CO529" s="135"/>
      <c r="CP529" s="134">
        <f>VLOOKUP($H529,RoR!$E:$F,2,FALSE)</f>
        <v>7.0416666666666669E-2</v>
      </c>
      <c r="CQ529" s="135">
        <v>1.4335631817396832E-2</v>
      </c>
      <c r="CR529" s="135">
        <f>+CP529-CQ529</f>
        <v>5.6081034849269837E-2</v>
      </c>
      <c r="CS529" s="135"/>
      <c r="CT529" s="135"/>
      <c r="CU529" s="139">
        <f t="shared" ref="CU529:CU552" si="984">1-CZ529*DA529</f>
        <v>0.85150049999999999</v>
      </c>
      <c r="CV529" s="335">
        <f t="shared" ref="CV529:CV551" si="985">2/(DD529*39)</f>
        <v>0.72826581702321336</v>
      </c>
      <c r="CW529" s="335">
        <f t="shared" ref="CW529:CW551" si="986">+(DD529*40-(1+DD529))/(DD529*40)</f>
        <v>0.61997041420118348</v>
      </c>
      <c r="CX529" s="335">
        <f t="shared" ref="CX529:CX551" si="987">+(1-(1/(1+DD529)^40))</f>
        <v>0.93425155319585029</v>
      </c>
      <c r="CY529" s="335">
        <f t="shared" ref="CY529:CY551" si="988">+CX529*CW529*CV529</f>
        <v>0.42181762214141483</v>
      </c>
      <c r="CZ529" s="336">
        <f>INDEX('State Tax Lookup'!$D$7:$Z$91,MATCH(Calculation!$C529,'State Tax Lookup'!$B$7:$B$91,0),MATCH($H529,'State Tax Lookup'!$D$6:$Z$6,0))</f>
        <v>0.40134999999999998</v>
      </c>
      <c r="DA529" s="303">
        <v>0.37</v>
      </c>
      <c r="DB529" s="57"/>
      <c r="DC529" s="56"/>
      <c r="DD529" s="303">
        <f>VLOOKUP($H529,RoR!$E:$F,2,FALSE)</f>
        <v>7.0416666666666669E-2</v>
      </c>
      <c r="DE529" s="304">
        <f>HLOOKUP($H529,'GDP-PI'!$D$8:$CQ$11,3,FALSE)</f>
        <v>1.4335631817396832E-2</v>
      </c>
      <c r="DF529" s="303">
        <f>VLOOKUP(H529,'HW Dx Data'!$E:$F,2,FALSE)</f>
        <v>335.32499146683239</v>
      </c>
      <c r="DG529" s="89"/>
      <c r="DH529" s="89"/>
      <c r="DI529" s="89"/>
      <c r="DJ529" s="56"/>
      <c r="DK529" s="53">
        <f>HLOOKUP(H529,'GDP-PI'!$8:$9,2,FALSE)</f>
        <v>76.346000000000004</v>
      </c>
      <c r="DL529" s="298"/>
      <c r="EC529"/>
    </row>
    <row r="530" spans="1:133" s="126" customFormat="1" ht="21" customHeight="1" x14ac:dyDescent="0.4">
      <c r="A530" s="233" t="s">
        <v>213</v>
      </c>
      <c r="B530" s="127" t="s">
        <v>213</v>
      </c>
      <c r="C530" s="127">
        <v>4008754</v>
      </c>
      <c r="D530" s="127" t="s">
        <v>214</v>
      </c>
      <c r="E530" s="127"/>
      <c r="F530" s="127"/>
      <c r="G530" s="127" t="s">
        <v>156</v>
      </c>
      <c r="H530" s="128">
        <v>2000</v>
      </c>
      <c r="I530" s="129"/>
      <c r="J530" s="125"/>
      <c r="K530" s="125"/>
      <c r="L530" s="47"/>
      <c r="M530" s="125"/>
      <c r="N530" s="125"/>
      <c r="O530" s="125"/>
      <c r="P530" s="47"/>
      <c r="Q530" s="47"/>
      <c r="R530" s="386"/>
      <c r="S530" s="119"/>
      <c r="T530" s="47"/>
      <c r="U530" s="47"/>
      <c r="V530" s="125"/>
      <c r="W530" s="125"/>
      <c r="X530" s="125"/>
      <c r="Y530" s="125"/>
      <c r="Z530" s="125"/>
      <c r="AA530" s="125"/>
      <c r="AB530" s="125"/>
      <c r="AC530" s="125">
        <f t="shared" si="978"/>
        <v>0</v>
      </c>
      <c r="AD530" s="129"/>
      <c r="AE530" s="133">
        <v>423.86535747375194</v>
      </c>
      <c r="AF530" s="134">
        <v>4.4100525353144508E-2</v>
      </c>
      <c r="AG530" s="61"/>
      <c r="AH530" s="134"/>
      <c r="AI530" s="134"/>
      <c r="AJ530" s="129">
        <f t="shared" si="889"/>
        <v>0</v>
      </c>
      <c r="AK530" s="134"/>
      <c r="AL530" s="129"/>
      <c r="AM530" s="129"/>
      <c r="AN530" s="129"/>
      <c r="AO530" s="129"/>
      <c r="AP530" s="133"/>
      <c r="AQ530" s="134"/>
      <c r="AR530" s="93"/>
      <c r="AS530" s="93"/>
      <c r="AT530" s="93"/>
      <c r="AU530" s="93"/>
      <c r="AV530" s="93"/>
      <c r="AW530" s="134"/>
      <c r="AX530" s="62"/>
      <c r="AY530" s="93"/>
      <c r="AZ530" s="93"/>
      <c r="BA530" s="93"/>
      <c r="BB530" s="234">
        <f>IFERROR(INDEX('Total Customers'!$E$7:$AA$91,MATCH($C530,'Total Customers'!$C$7:$C$91,0),MATCH($G530,'Total Customers'!$E$5:$AA$5,0)),"NA")</f>
        <v>113784</v>
      </c>
      <c r="BC530" s="411">
        <f t="shared" si="973"/>
        <v>2.0358044114374422E-2</v>
      </c>
      <c r="BD530" s="92"/>
      <c r="BE530" s="281" t="str">
        <f t="shared" si="969"/>
        <v>MADISON GAS AND ELECTRIC COMPANY</v>
      </c>
      <c r="BF530" s="290">
        <f t="shared" si="970"/>
        <v>4008754</v>
      </c>
      <c r="BG530" s="46" t="str">
        <f t="shared" si="971"/>
        <v>WI</v>
      </c>
      <c r="BH530" s="46"/>
      <c r="BI530" s="46" t="str">
        <f t="shared" si="972"/>
        <v>2000 Y</v>
      </c>
      <c r="BJ530" s="129"/>
      <c r="BK530" s="129"/>
      <c r="BL530" s="129">
        <f>INDEX('Dist. Plant Gas Additions'!$E$7:$AD$91,MATCH($C530,'Dist. Plant Gas Additions'!$C$7:$C$91,0),MATCH(Calculation!$G530,'Dist. Plant Gas Additions'!$E$5:$AD$5,0))</f>
        <v>6920</v>
      </c>
      <c r="BM530" s="129">
        <f>INDEX('Gen. Plant Additions'!$E$7:$AD$91,MATCH($C530,'Gen. Plant Additions'!$C$7:$C$91,0),MATCH(Calculation!$G530,'Gen. Plant Additions'!$E$5:$AD$5,0))</f>
        <v>140</v>
      </c>
      <c r="BN530" s="393">
        <f t="shared" si="979"/>
        <v>0.98528879912311451</v>
      </c>
      <c r="BO530" s="46">
        <f t="shared" si="930"/>
        <v>137.94043187723602</v>
      </c>
      <c r="BP530" s="46">
        <f t="shared" si="931"/>
        <v>-2.0595681227639773</v>
      </c>
      <c r="BQ530" s="129">
        <f>INDEX('Dist Plant Depreciation'!$D$7:$AC$94,MATCH($C530,'Dist Plant Depreciation'!$C$7:$C$94,0),MATCH(Calculation!$G530,'Dist Plant Depreciation'!$D$5:$AC$5,0))</f>
        <v>95438</v>
      </c>
      <c r="BR530" s="129">
        <f>INDEX('Gen. Plant Depreciation'!$D$7:$AC$94,MATCH($C530,'Gen. Plant Depreciation'!$C$7:$C$94,0),MATCH(Calculation!$G530,'Gen. Plant Depreciation'!$D$5:$AC$5,0))</f>
        <v>3580</v>
      </c>
      <c r="BS530" s="129"/>
      <c r="BT530" s="129"/>
      <c r="BU530" s="129"/>
      <c r="BV530" s="129"/>
      <c r="BW530" s="129"/>
      <c r="BX530" s="129"/>
      <c r="BY530" s="129">
        <f>INDEX('Gross Dx Plant'!$D$7:$AC$91,MATCH($C530,'Gross Dx Plant'!$C$7:$C$91,0),MATCH(Calculation!$G530,'Gross Dx Plant'!$D$5:$AC$5,0))</f>
        <v>177083</v>
      </c>
      <c r="BZ530" s="129">
        <f>INDEX('Gross Gen Plant'!$D$7:$AC$91,MATCH($C530,'Gross Gen Plant'!$C$7:$C$91,0),MATCH(Calculation!$G530,'Gross Gen Plant'!$D$5:$AC$5,0))</f>
        <v>2644</v>
      </c>
      <c r="CA530" s="129">
        <f t="shared" si="960"/>
        <v>80709</v>
      </c>
      <c r="CB530" s="129"/>
      <c r="CC530" s="133">
        <v>2000</v>
      </c>
      <c r="CD530" s="129"/>
      <c r="CE530" s="129"/>
      <c r="CF530" s="129"/>
      <c r="CG530" s="137"/>
      <c r="CH530" s="129">
        <f t="shared" si="980"/>
        <v>7060</v>
      </c>
      <c r="CI530" s="46">
        <f t="shared" ref="CI530:CI552" si="989">+CH530+BP530</f>
        <v>7057.9404318772358</v>
      </c>
      <c r="CJ530" s="46">
        <f t="shared" si="981"/>
        <v>20.367254523592194</v>
      </c>
      <c r="CK530" s="443">
        <v>0.98</v>
      </c>
      <c r="CL530" s="46">
        <f>+CL528*CK530+CJ529*CK529+CJ530</f>
        <v>419.89559397804595</v>
      </c>
      <c r="CM530" s="134">
        <f t="shared" si="982"/>
        <v>3.9480245812998555E-2</v>
      </c>
      <c r="CN530" s="135">
        <f t="shared" si="983"/>
        <v>1.018888679259519E-2</v>
      </c>
      <c r="CO530" s="135"/>
      <c r="CP530" s="134">
        <f>VLOOKUP($H530,RoR!$E:$F,2,FALSE)</f>
        <v>7.6225000000000001E-2</v>
      </c>
      <c r="CQ530" s="135">
        <v>2.2568307442433211E-2</v>
      </c>
      <c r="CR530" s="135">
        <f t="shared" ref="CR530:CR550" si="990">+CP530-CQ530</f>
        <v>5.365669255756679E-2</v>
      </c>
      <c r="CS530" s="135"/>
      <c r="CT530" s="135"/>
      <c r="CU530" s="139">
        <f t="shared" si="984"/>
        <v>0.85150049999999999</v>
      </c>
      <c r="CV530" s="335">
        <f t="shared" si="985"/>
        <v>0.67277207323124022</v>
      </c>
      <c r="CW530" s="335">
        <f t="shared" si="986"/>
        <v>0.6470236142997704</v>
      </c>
      <c r="CX530" s="335">
        <f t="shared" si="987"/>
        <v>0.94704866037543145</v>
      </c>
      <c r="CY530" s="335">
        <f t="shared" si="988"/>
        <v>0.41224973107878493</v>
      </c>
      <c r="CZ530" s="336">
        <f>INDEX('State Tax Lookup'!$D$7:$Z$91,MATCH(Calculation!$C530,'State Tax Lookup'!$B$7:$B$91,0),MATCH($H530,'State Tax Lookup'!$D$6:$Z$6,0))</f>
        <v>0.40134999999999998</v>
      </c>
      <c r="DA530" s="303">
        <v>0.37</v>
      </c>
      <c r="DB530" s="57"/>
      <c r="DC530" s="56"/>
      <c r="DD530" s="303">
        <f>VLOOKUP($H530,RoR!$E:$F,2,FALSE)</f>
        <v>7.6225000000000001E-2</v>
      </c>
      <c r="DE530" s="304">
        <f>HLOOKUP($H530,'GDP-PI'!$D$8:$CQ$11,3,FALSE)</f>
        <v>2.2568307442433211E-2</v>
      </c>
      <c r="DF530" s="303">
        <f>VLOOKUP(H530,'HW Dx Data'!$E:$F,2,FALSE)</f>
        <v>346.53371782150339</v>
      </c>
      <c r="DG530" s="89"/>
      <c r="DH530" s="89"/>
      <c r="DI530" s="89"/>
      <c r="DJ530" s="56"/>
      <c r="DK530" s="53">
        <f>HLOOKUP(H530,'GDP-PI'!$8:$9,2,FALSE)</f>
        <v>78.069000000000003</v>
      </c>
      <c r="DL530" s="298"/>
      <c r="EC530"/>
    </row>
    <row r="531" spans="1:133" s="126" customFormat="1" ht="21" customHeight="1" x14ac:dyDescent="0.4">
      <c r="A531" s="233" t="s">
        <v>213</v>
      </c>
      <c r="B531" s="127" t="s">
        <v>213</v>
      </c>
      <c r="C531" s="127">
        <v>4008754</v>
      </c>
      <c r="D531" s="127" t="s">
        <v>214</v>
      </c>
      <c r="E531" s="127"/>
      <c r="F531" s="127"/>
      <c r="G531" s="127" t="s">
        <v>157</v>
      </c>
      <c r="H531" s="128">
        <v>2001</v>
      </c>
      <c r="I531" s="129"/>
      <c r="J531" s="125"/>
      <c r="K531" s="125"/>
      <c r="L531" s="47"/>
      <c r="M531" s="125"/>
      <c r="N531" s="125"/>
      <c r="O531" s="125"/>
      <c r="P531" s="47"/>
      <c r="Q531" s="47"/>
      <c r="R531" s="386"/>
      <c r="S531" s="119"/>
      <c r="T531" s="47"/>
      <c r="U531" s="47"/>
      <c r="V531" s="125"/>
      <c r="W531" s="125"/>
      <c r="X531" s="125"/>
      <c r="Y531" s="125"/>
      <c r="Z531" s="125"/>
      <c r="AA531" s="125"/>
      <c r="AB531" s="125"/>
      <c r="AC531" s="125">
        <f t="shared" si="978"/>
        <v>4392.2139273704561</v>
      </c>
      <c r="AD531" s="129"/>
      <c r="AE531" s="133">
        <v>434.68954478395409</v>
      </c>
      <c r="AF531" s="134">
        <v>2.5216234465456518E-2</v>
      </c>
      <c r="AG531" s="61"/>
      <c r="AH531" s="134"/>
      <c r="AI531" s="134"/>
      <c r="AJ531" s="129">
        <f t="shared" si="889"/>
        <v>4392.2139273704561</v>
      </c>
      <c r="AK531" s="134"/>
      <c r="AL531" s="129"/>
      <c r="AM531" s="129"/>
      <c r="AN531" s="129"/>
      <c r="AO531" s="129"/>
      <c r="AP531" s="133"/>
      <c r="AQ531" s="134"/>
      <c r="AR531" s="93"/>
      <c r="AS531" s="93"/>
      <c r="AT531" s="93"/>
      <c r="AU531" s="93"/>
      <c r="AV531" s="93"/>
      <c r="AW531" s="134"/>
      <c r="AX531" s="62"/>
      <c r="AY531" s="93"/>
      <c r="AZ531" s="93"/>
      <c r="BA531" s="93"/>
      <c r="BB531" s="234">
        <f>IFERROR(INDEX('Total Customers'!$E$7:$AA$91,MATCH($C531,'Total Customers'!$C$7:$C$91,0),MATCH($G531,'Total Customers'!$E$5:$AA$5,0)),"NA")</f>
        <v>117091</v>
      </c>
      <c r="BC531" s="411">
        <f t="shared" si="973"/>
        <v>2.8649495995215529E-2</v>
      </c>
      <c r="BD531" s="92"/>
      <c r="BE531" s="281" t="str">
        <f t="shared" si="969"/>
        <v>MADISON GAS AND ELECTRIC COMPANY</v>
      </c>
      <c r="BF531" s="290">
        <f t="shared" si="970"/>
        <v>4008754</v>
      </c>
      <c r="BG531" s="46" t="str">
        <f t="shared" si="971"/>
        <v>WI</v>
      </c>
      <c r="BH531" s="46"/>
      <c r="BI531" s="46" t="str">
        <f t="shared" si="972"/>
        <v>2001 Y</v>
      </c>
      <c r="BJ531" s="129"/>
      <c r="BK531" s="129"/>
      <c r="BL531" s="129">
        <f>INDEX('Dist. Plant Gas Additions'!$E$7:$AD$91,MATCH($C531,'Dist. Plant Gas Additions'!$C$7:$C$91,0),MATCH(Calculation!$G531,'Dist. Plant Gas Additions'!$E$5:$AD$5,0))</f>
        <v>4552</v>
      </c>
      <c r="BM531" s="129">
        <f>INDEX('Gen. Plant Additions'!$E$7:$AD$91,MATCH($C531,'Gen. Plant Additions'!$C$7:$C$91,0),MATCH(Calculation!$G531,'Gen. Plant Additions'!$E$5:$AD$5,0))</f>
        <v>34</v>
      </c>
      <c r="BN531" s="393">
        <f t="shared" si="979"/>
        <v>0.98445710434590317</v>
      </c>
      <c r="BO531" s="46">
        <f t="shared" si="930"/>
        <v>33.471541547760708</v>
      </c>
      <c r="BP531" s="46">
        <f t="shared" si="931"/>
        <v>-0.52845845223929189</v>
      </c>
      <c r="BQ531" s="129">
        <f>INDEX('Dist Plant Depreciation'!$D$7:$AC$94,MATCH($C531,'Dist Plant Depreciation'!$C$7:$C$94,0),MATCH(Calculation!$G531,'Dist Plant Depreciation'!$D$5:$AC$5,0))</f>
        <v>103015</v>
      </c>
      <c r="BR531" s="129">
        <f>INDEX('Gen. Plant Depreciation'!$D$7:$AC$94,MATCH($C531,'Gen. Plant Depreciation'!$C$7:$C$94,0),MATCH(Calculation!$G531,'Gen. Plant Depreciation'!$D$5:$AC$5,0))</f>
        <v>3192</v>
      </c>
      <c r="BS531" s="129"/>
      <c r="BT531" s="129"/>
      <c r="BU531" s="129"/>
      <c r="BV531" s="129"/>
      <c r="BW531" s="129"/>
      <c r="BX531" s="129"/>
      <c r="BY531" s="129">
        <f>INDEX('Gross Dx Plant'!$D$7:$AC$91,MATCH($C531,'Gross Dx Plant'!$C$7:$C$91,0),MATCH(Calculation!$G531,'Gross Dx Plant'!$D$5:$AC$5,0))</f>
        <v>186974</v>
      </c>
      <c r="BZ531" s="129">
        <f>INDEX('Gross Gen Plant'!$D$7:$AC$91,MATCH($C531,'Gross Gen Plant'!$C$7:$C$91,0),MATCH(Calculation!$G531,'Gross Gen Plant'!$D$5:$AC$5,0))</f>
        <v>2952</v>
      </c>
      <c r="CA531" s="129">
        <f t="shared" si="960"/>
        <v>83719</v>
      </c>
      <c r="CB531" s="129"/>
      <c r="CC531" s="133">
        <v>2001</v>
      </c>
      <c r="CD531" s="129"/>
      <c r="CE531" s="129"/>
      <c r="CF531" s="129"/>
      <c r="CG531" s="137"/>
      <c r="CH531" s="129">
        <f t="shared" si="980"/>
        <v>4586</v>
      </c>
      <c r="CI531" s="46">
        <f t="shared" si="989"/>
        <v>4585.4715415477604</v>
      </c>
      <c r="CJ531" s="46">
        <f t="shared" si="981"/>
        <v>12.973562116317215</v>
      </c>
      <c r="CK531" s="443">
        <v>0.96969696969696972</v>
      </c>
      <c r="CL531" s="46">
        <f>+CL528*CK531+CJ529*CK530+CJ530*CK528+CJ531</f>
        <v>428.67344984453092</v>
      </c>
      <c r="CM531" s="134">
        <f t="shared" si="982"/>
        <v>2.0689345294559385E-2</v>
      </c>
      <c r="CN531" s="135">
        <f t="shared" si="983"/>
        <v>9.9922607191053683E-3</v>
      </c>
      <c r="CO531" s="135">
        <f>+(CN531+CN530+CN529)/3</f>
        <v>1.0027379203570152E-2</v>
      </c>
      <c r="CP531" s="134">
        <f>VLOOKUP($H531,RoR!$E:$F,2,FALSE)</f>
        <v>7.0824999999999999E-2</v>
      </c>
      <c r="CQ531" s="135">
        <v>2.2454495382290052E-2</v>
      </c>
      <c r="CR531" s="135">
        <f t="shared" si="990"/>
        <v>4.8370504617709947E-2</v>
      </c>
      <c r="CS531" s="135">
        <f>+$CR$2-CO531</f>
        <v>2.0874562404963472E-2</v>
      </c>
      <c r="CT531" s="135">
        <f>+((DF529/DF528-1)+(DF530/DF529-1)+(DF531/DF530-1))/3</f>
        <v>2.3947275901631187E-2</v>
      </c>
      <c r="CU531" s="139">
        <f t="shared" si="984"/>
        <v>0.85150049999999999</v>
      </c>
      <c r="CV531" s="335">
        <f t="shared" si="985"/>
        <v>0.72406708481540816</v>
      </c>
      <c r="CW531" s="335">
        <f t="shared" si="986"/>
        <v>0.62201729615248857</v>
      </c>
      <c r="CX531" s="335">
        <f t="shared" si="987"/>
        <v>0.9352469954311422</v>
      </c>
      <c r="CY531" s="335">
        <f t="shared" si="988"/>
        <v>0.42121864641655071</v>
      </c>
      <c r="CZ531" s="336">
        <f>INDEX('State Tax Lookup'!$D$7:$Z$91,MATCH(Calculation!$C531,'State Tax Lookup'!$B$7:$B$91,0),MATCH($H531,'State Tax Lookup'!$D$6:$Z$6,0))</f>
        <v>0.40134999999999998</v>
      </c>
      <c r="DA531" s="303">
        <v>0.37</v>
      </c>
      <c r="DB531" s="57">
        <f t="shared" ref="DB531:DB552" si="991">+(DF531*CS531-CT531)*CU531/(1-CZ531)</f>
        <v>10.460252477905499</v>
      </c>
      <c r="DC531" s="56"/>
      <c r="DD531" s="303">
        <f>VLOOKUP($H531,RoR!$E:$F,2,FALSE)</f>
        <v>7.0824999999999999E-2</v>
      </c>
      <c r="DE531" s="304">
        <f>HLOOKUP($H531,'GDP-PI'!$D$8:$CQ$11,3,FALSE)</f>
        <v>2.2454495382290052E-2</v>
      </c>
      <c r="DF531" s="303">
        <f>VLOOKUP(H531,'HW Dx Data'!$E:$F,2,FALSE)</f>
        <v>353.44738017483138</v>
      </c>
      <c r="DG531" s="89"/>
      <c r="DH531" s="89"/>
      <c r="DI531" s="89"/>
      <c r="DJ531" s="56"/>
      <c r="DK531" s="53">
        <f>HLOOKUP(H531,'GDP-PI'!$8:$9,2,FALSE)</f>
        <v>79.822000000000003</v>
      </c>
      <c r="DL531" s="298"/>
      <c r="EC531"/>
    </row>
    <row r="532" spans="1:133" s="126" customFormat="1" ht="21" customHeight="1" x14ac:dyDescent="0.4">
      <c r="A532" s="233" t="s">
        <v>213</v>
      </c>
      <c r="B532" s="127" t="s">
        <v>213</v>
      </c>
      <c r="C532" s="127">
        <v>4008754</v>
      </c>
      <c r="D532" s="127" t="s">
        <v>214</v>
      </c>
      <c r="E532" s="127"/>
      <c r="F532" s="127"/>
      <c r="G532" s="127" t="s">
        <v>158</v>
      </c>
      <c r="H532" s="128">
        <v>2002</v>
      </c>
      <c r="I532" s="129"/>
      <c r="J532" s="125"/>
      <c r="K532" s="125"/>
      <c r="L532" s="47"/>
      <c r="M532" s="125"/>
      <c r="N532" s="125"/>
      <c r="O532" s="125"/>
      <c r="P532" s="47"/>
      <c r="Q532" s="47"/>
      <c r="R532" s="386"/>
      <c r="S532" s="119"/>
      <c r="T532" s="47"/>
      <c r="U532" s="47"/>
      <c r="V532" s="125"/>
      <c r="W532" s="125"/>
      <c r="X532" s="125"/>
      <c r="Y532" s="125"/>
      <c r="Z532" s="125"/>
      <c r="AA532" s="125"/>
      <c r="AB532" s="125"/>
      <c r="AC532" s="125">
        <f t="shared" si="978"/>
        <v>4485.6672164515649</v>
      </c>
      <c r="AD532" s="129"/>
      <c r="AE532" s="133">
        <v>472.2677757017575</v>
      </c>
      <c r="AF532" s="134">
        <v>8.291405998283681E-2</v>
      </c>
      <c r="AG532" s="61"/>
      <c r="AH532" s="134"/>
      <c r="AI532" s="134"/>
      <c r="AJ532" s="129">
        <f t="shared" si="889"/>
        <v>4485.6672164515649</v>
      </c>
      <c r="AK532" s="134"/>
      <c r="AL532" s="129"/>
      <c r="AM532" s="129"/>
      <c r="AN532" s="129"/>
      <c r="AO532" s="129"/>
      <c r="AP532" s="133"/>
      <c r="AQ532" s="134"/>
      <c r="AR532" s="93"/>
      <c r="AS532" s="93"/>
      <c r="AT532" s="93"/>
      <c r="AU532" s="93"/>
      <c r="AV532" s="93"/>
      <c r="AW532" s="134"/>
      <c r="AX532" s="62"/>
      <c r="AY532" s="93"/>
      <c r="AZ532" s="93"/>
      <c r="BA532" s="93"/>
      <c r="BB532" s="234">
        <f>IFERROR(INDEX('Total Customers'!$E$7:$AA$91,MATCH($C532,'Total Customers'!$C$7:$C$91,0),MATCH($G532,'Total Customers'!$E$5:$AA$5,0)),"NA")</f>
        <v>124416</v>
      </c>
      <c r="BC532" s="411">
        <f t="shared" si="973"/>
        <v>6.0679379134776772E-2</v>
      </c>
      <c r="BD532" s="92"/>
      <c r="BE532" s="281" t="str">
        <f t="shared" si="969"/>
        <v>MADISON GAS AND ELECTRIC COMPANY</v>
      </c>
      <c r="BF532" s="290">
        <f t="shared" si="970"/>
        <v>4008754</v>
      </c>
      <c r="BG532" s="46" t="str">
        <f t="shared" si="971"/>
        <v>WI</v>
      </c>
      <c r="BH532" s="46"/>
      <c r="BI532" s="46" t="str">
        <f t="shared" si="972"/>
        <v>2002 Y</v>
      </c>
      <c r="BJ532" s="129"/>
      <c r="BK532" s="129"/>
      <c r="BL532" s="129">
        <f>INDEX('Dist. Plant Gas Additions'!$E$7:$AD$91,MATCH($C532,'Dist. Plant Gas Additions'!$C$7:$C$91,0),MATCH(Calculation!$G532,'Dist. Plant Gas Additions'!$E$5:$AD$5,0))</f>
        <v>14372</v>
      </c>
      <c r="BM532" s="129">
        <f>INDEX('Gen. Plant Additions'!$E$7:$AD$91,MATCH($C532,'Gen. Plant Additions'!$C$7:$C$91,0),MATCH(Calculation!$G532,'Gen. Plant Additions'!$E$5:$AD$5,0))</f>
        <v>106</v>
      </c>
      <c r="BN532" s="393">
        <f t="shared" si="979"/>
        <v>0.98509006249234166</v>
      </c>
      <c r="BO532" s="46">
        <f t="shared" si="930"/>
        <v>104.41954662418821</v>
      </c>
      <c r="BP532" s="46">
        <f t="shared" si="931"/>
        <v>-1.5804533758117856</v>
      </c>
      <c r="BQ532" s="129">
        <f>INDEX('Dist Plant Depreciation'!$D$7:$AC$94,MATCH($C532,'Dist Plant Depreciation'!$C$7:$C$94,0),MATCH(Calculation!$G532,'Dist Plant Depreciation'!$D$5:$AC$5,0))</f>
        <v>108754</v>
      </c>
      <c r="BR532" s="129">
        <f>INDEX('Gen. Plant Depreciation'!$D$7:$AC$94,MATCH($C532,'Gen. Plant Depreciation'!$C$7:$C$94,0),MATCH(Calculation!$G532,'Gen. Plant Depreciation'!$D$5:$AC$5,0))</f>
        <v>2772</v>
      </c>
      <c r="BS532" s="129"/>
      <c r="BT532" s="129"/>
      <c r="BU532" s="129"/>
      <c r="BV532" s="129"/>
      <c r="BW532" s="129"/>
      <c r="BX532" s="129"/>
      <c r="BY532" s="129">
        <f>INDEX('Gross Dx Plant'!$D$7:$AC$91,MATCH($C532,'Gross Dx Plant'!$C$7:$C$91,0),MATCH(Calculation!$G532,'Gross Dx Plant'!$D$5:$AC$5,0))</f>
        <v>200983</v>
      </c>
      <c r="BZ532" s="129">
        <f>INDEX('Gross Gen Plant'!$D$7:$AC$91,MATCH($C532,'Gross Gen Plant'!$C$7:$C$91,0),MATCH(Calculation!$G532,'Gross Gen Plant'!$D$5:$AC$5,0))</f>
        <v>3042</v>
      </c>
      <c r="CA532" s="129">
        <f t="shared" si="960"/>
        <v>92499</v>
      </c>
      <c r="CB532" s="129"/>
      <c r="CC532" s="133">
        <v>2002</v>
      </c>
      <c r="CD532" s="129"/>
      <c r="CE532" s="129"/>
      <c r="CF532" s="129"/>
      <c r="CG532" s="137"/>
      <c r="CH532" s="129">
        <f t="shared" si="980"/>
        <v>14478</v>
      </c>
      <c r="CI532" s="46">
        <f t="shared" si="989"/>
        <v>14476.419546624189</v>
      </c>
      <c r="CJ532" s="46">
        <f t="shared" si="981"/>
        <v>40.062247215820378</v>
      </c>
      <c r="CK532" s="443">
        <v>0.95918367346938771</v>
      </c>
      <c r="CL532" s="46">
        <f>+CL528*CK532+CJ529*CK531+CJ530*CK530+CJ531*CK529+CJ532</f>
        <v>463.91859918359779</v>
      </c>
      <c r="CM532" s="134">
        <f t="shared" si="982"/>
        <v>7.9013664139299236E-2</v>
      </c>
      <c r="CN532" s="135">
        <f t="shared" si="983"/>
        <v>1.1237220029606563E-2</v>
      </c>
      <c r="CO532" s="135">
        <f t="shared" ref="CO532:CO552" si="992">+(CN532+CN531+CN530)/3</f>
        <v>1.0472789180435706E-2</v>
      </c>
      <c r="CP532" s="134">
        <f>VLOOKUP($H532,RoR!$E:$F,2,FALSE)</f>
        <v>6.4916666666666664E-2</v>
      </c>
      <c r="CQ532" s="135">
        <v>1.5246423291824351E-2</v>
      </c>
      <c r="CR532" s="135">
        <f t="shared" si="990"/>
        <v>4.9670243374842313E-2</v>
      </c>
      <c r="CS532" s="135">
        <f t="shared" ref="CS532:CS552" si="993">+$CR$2-CO532</f>
        <v>2.0429152428097917E-2</v>
      </c>
      <c r="CT532" s="135">
        <f t="shared" ref="CT532:CT552" si="994">+((DF530/DF529-1)+(DF531/DF530-1)+(DF532/DF531-1))/3</f>
        <v>2.5243621214759093E-2</v>
      </c>
      <c r="CU532" s="139">
        <f t="shared" si="984"/>
        <v>0.85150049999999999</v>
      </c>
      <c r="CV532" s="335">
        <f t="shared" si="985"/>
        <v>0.78996741384417901</v>
      </c>
      <c r="CW532" s="335">
        <f t="shared" si="986"/>
        <v>0.58989088575096271</v>
      </c>
      <c r="CX532" s="335">
        <f t="shared" si="987"/>
        <v>0.91920675783645744</v>
      </c>
      <c r="CY532" s="335">
        <f t="shared" si="988"/>
        <v>0.42834536472275586</v>
      </c>
      <c r="CZ532" s="336">
        <f>INDEX('State Tax Lookup'!$D$7:$Z$91,MATCH(Calculation!$C532,'State Tax Lookup'!$B$7:$B$91,0),MATCH($H532,'State Tax Lookup'!$D$6:$Z$6,0))</f>
        <v>0.40134999999999998</v>
      </c>
      <c r="DA532" s="303">
        <v>0.37</v>
      </c>
      <c r="DB532" s="57">
        <f t="shared" si="991"/>
        <v>10.464065871302278</v>
      </c>
      <c r="DC532" s="56">
        <f t="shared" ref="DC532:DC552" si="995">LN(DB532/DB531)</f>
        <v>3.6449392284677054E-4</v>
      </c>
      <c r="DD532" s="303">
        <f>VLOOKUP($H532,RoR!$E:$F,2,FALSE)</f>
        <v>6.4916666666666664E-2</v>
      </c>
      <c r="DE532" s="304">
        <f>HLOOKUP($H532,'GDP-PI'!$D$8:$CQ$11,3,FALSE)</f>
        <v>1.5246423291824351E-2</v>
      </c>
      <c r="DF532" s="303">
        <f>VLOOKUP(H532,'HW Dx Data'!$E:$F,2,FALSE)</f>
        <v>361.34816573413599</v>
      </c>
      <c r="DG532" s="89"/>
      <c r="DH532" s="89"/>
      <c r="DI532" s="89"/>
      <c r="DJ532" s="56"/>
      <c r="DK532" s="53">
        <f>HLOOKUP(H532,'GDP-PI'!$8:$9,2,FALSE)</f>
        <v>81.039000000000001</v>
      </c>
      <c r="DL532" s="355">
        <f>LN(DK532/DK531)</f>
        <v>1.513136459537477E-2</v>
      </c>
      <c r="EC532"/>
    </row>
    <row r="533" spans="1:133" s="126" customFormat="1" ht="21" customHeight="1" x14ac:dyDescent="0.4">
      <c r="A533" s="233" t="s">
        <v>213</v>
      </c>
      <c r="B533" s="127" t="s">
        <v>213</v>
      </c>
      <c r="C533" s="127">
        <v>4008754</v>
      </c>
      <c r="D533" s="127" t="s">
        <v>214</v>
      </c>
      <c r="E533" s="127"/>
      <c r="F533" s="127"/>
      <c r="G533" s="127" t="s">
        <v>159</v>
      </c>
      <c r="H533" s="128">
        <v>2003</v>
      </c>
      <c r="I533" s="129"/>
      <c r="J533" s="125"/>
      <c r="K533" s="125"/>
      <c r="L533" s="47"/>
      <c r="M533" s="125"/>
      <c r="N533" s="125"/>
      <c r="O533" s="125"/>
      <c r="P533" s="59"/>
      <c r="Q533" s="59"/>
      <c r="R533" s="386"/>
      <c r="S533" s="119"/>
      <c r="T533" s="59"/>
      <c r="U533" s="59"/>
      <c r="V533" s="125"/>
      <c r="W533" s="125"/>
      <c r="X533" s="125"/>
      <c r="Y533" s="125"/>
      <c r="Z533" s="125"/>
      <c r="AA533" s="125"/>
      <c r="AB533" s="125"/>
      <c r="AC533" s="125">
        <f t="shared" si="978"/>
        <v>4896.7515251595651</v>
      </c>
      <c r="AD533" s="129"/>
      <c r="AE533" s="133">
        <v>499.41901646161284</v>
      </c>
      <c r="AF533" s="134">
        <v>5.5899309616631102E-2</v>
      </c>
      <c r="AG533" s="61"/>
      <c r="AH533" s="134"/>
      <c r="AI533" s="134"/>
      <c r="AJ533" s="129">
        <f t="shared" si="889"/>
        <v>4896.7515251595651</v>
      </c>
      <c r="AK533" s="134"/>
      <c r="AL533" s="129"/>
      <c r="AM533" s="129"/>
      <c r="AN533" s="129"/>
      <c r="AO533" s="129"/>
      <c r="AP533" s="133"/>
      <c r="AQ533" s="134"/>
      <c r="AR533" s="93"/>
      <c r="AS533" s="93"/>
      <c r="AT533" s="93"/>
      <c r="AU533" s="93"/>
      <c r="AV533" s="93"/>
      <c r="AW533" s="134"/>
      <c r="AX533" s="62"/>
      <c r="AY533" s="93"/>
      <c r="AZ533" s="93"/>
      <c r="BA533" s="93"/>
      <c r="BB533" s="234">
        <f>IFERROR(INDEX('Total Customers'!$E$7:$AA$91,MATCH($C533,'Total Customers'!$C$7:$C$91,0),MATCH($G533,'Total Customers'!$E$5:$AA$5,0)),"NA")</f>
        <v>128815</v>
      </c>
      <c r="BC533" s="411">
        <f t="shared" si="973"/>
        <v>3.474647711876732E-2</v>
      </c>
      <c r="BD533" s="92"/>
      <c r="BE533" s="281" t="str">
        <f t="shared" si="969"/>
        <v>MADISON GAS AND ELECTRIC COMPANY</v>
      </c>
      <c r="BF533" s="290">
        <f t="shared" si="970"/>
        <v>4008754</v>
      </c>
      <c r="BG533" s="46" t="str">
        <f t="shared" si="971"/>
        <v>WI</v>
      </c>
      <c r="BH533" s="46"/>
      <c r="BI533" s="46" t="str">
        <f t="shared" si="972"/>
        <v>2003 Y</v>
      </c>
      <c r="BJ533" s="129"/>
      <c r="BK533" s="129"/>
      <c r="BL533" s="129">
        <f>INDEX('Dist. Plant Gas Additions'!$E$7:$AD$91,MATCH($C533,'Dist. Plant Gas Additions'!$C$7:$C$91,0),MATCH(Calculation!$G533,'Dist. Plant Gas Additions'!$E$5:$AD$5,0))</f>
        <v>10717</v>
      </c>
      <c r="BM533" s="129">
        <f>INDEX('Gen. Plant Additions'!$E$7:$AD$91,MATCH($C533,'Gen. Plant Additions'!$C$7:$C$91,0),MATCH(Calculation!$G533,'Gen. Plant Additions'!$E$5:$AD$5,0))</f>
        <v>291</v>
      </c>
      <c r="BN533" s="393">
        <f t="shared" si="979"/>
        <v>0.98457379506118659</v>
      </c>
      <c r="BO533" s="46">
        <f t="shared" si="930"/>
        <v>286.51097436280531</v>
      </c>
      <c r="BP533" s="46">
        <f t="shared" si="931"/>
        <v>-4.4890256371946862</v>
      </c>
      <c r="BQ533" s="129">
        <f>INDEX('Dist Plant Depreciation'!$D$7:$AC$94,MATCH($C533,'Dist Plant Depreciation'!$C$7:$C$94,0),MATCH(Calculation!$G533,'Dist Plant Depreciation'!$D$5:$AC$5,0))</f>
        <v>114410</v>
      </c>
      <c r="BR533" s="129">
        <f>INDEX('Gen. Plant Depreciation'!$D$7:$AC$94,MATCH($C533,'Gen. Plant Depreciation'!$C$7:$C$94,0),MATCH(Calculation!$G533,'Gen. Plant Depreciation'!$D$5:$AC$5,0))</f>
        <v>2488</v>
      </c>
      <c r="BS533" s="129"/>
      <c r="BT533" s="129"/>
      <c r="BU533" s="129"/>
      <c r="BV533" s="129"/>
      <c r="BW533" s="129"/>
      <c r="BX533" s="129"/>
      <c r="BY533" s="129">
        <f>INDEX('Gross Dx Plant'!$D$7:$AC$91,MATCH($C533,'Gross Dx Plant'!$C$7:$C$91,0),MATCH(Calculation!$G533,'Gross Dx Plant'!$D$5:$AC$5,0))</f>
        <v>210877</v>
      </c>
      <c r="BZ533" s="129">
        <f>INDEX('Gross Gen Plant'!$D$7:$AC$91,MATCH($C533,'Gross Gen Plant'!$C$7:$C$91,0),MATCH(Calculation!$G533,'Gross Gen Plant'!$D$5:$AC$5,0))</f>
        <v>3304</v>
      </c>
      <c r="CA533" s="129">
        <f t="shared" si="960"/>
        <v>97283</v>
      </c>
      <c r="CB533" s="129"/>
      <c r="CC533" s="133">
        <v>2003</v>
      </c>
      <c r="CD533" s="129"/>
      <c r="CE533" s="129"/>
      <c r="CF533" s="129"/>
      <c r="CG533" s="137"/>
      <c r="CH533" s="129">
        <f t="shared" si="980"/>
        <v>11008</v>
      </c>
      <c r="CI533" s="46">
        <f t="shared" si="989"/>
        <v>11003.510974362805</v>
      </c>
      <c r="CJ533" s="46">
        <f t="shared" si="981"/>
        <v>29.800994623652198</v>
      </c>
      <c r="CK533" s="443">
        <v>0.94845360824742264</v>
      </c>
      <c r="CL533" s="46">
        <f>+CL528*CK533+CJ529*CK532+CJ530*CK531+CJ531*CK530+CJ532*CK529+CJ533</f>
        <v>488.61252990350874</v>
      </c>
      <c r="CM533" s="134">
        <f t="shared" si="982"/>
        <v>5.186069895432828E-2</v>
      </c>
      <c r="CN533" s="135">
        <f t="shared" si="983"/>
        <v>1.100853449878629E-2</v>
      </c>
      <c r="CO533" s="135">
        <f t="shared" si="992"/>
        <v>1.0746005082499408E-2</v>
      </c>
      <c r="CP533" s="134">
        <f>VLOOKUP($H533,RoR!$E:$F,2,FALSE)</f>
        <v>5.6666666666666671E-2</v>
      </c>
      <c r="CQ533" s="135">
        <v>1.8855119140166909E-2</v>
      </c>
      <c r="CR533" s="135">
        <f t="shared" si="990"/>
        <v>3.7811547526499761E-2</v>
      </c>
      <c r="CS533" s="135">
        <f t="shared" si="993"/>
        <v>2.0155936526034215E-2</v>
      </c>
      <c r="CT533" s="135">
        <f t="shared" si="994"/>
        <v>2.1375012817671957E-2</v>
      </c>
      <c r="CU533" s="139">
        <f t="shared" si="984"/>
        <v>0.85150049999999999</v>
      </c>
      <c r="CV533" s="335">
        <f t="shared" si="985"/>
        <v>0.90497737556561086</v>
      </c>
      <c r="CW533" s="335">
        <f t="shared" si="986"/>
        <v>0.5338235294117647</v>
      </c>
      <c r="CX533" s="335">
        <f t="shared" si="987"/>
        <v>0.88972433127405692</v>
      </c>
      <c r="CY533" s="335">
        <f t="shared" si="988"/>
        <v>0.42982423775949252</v>
      </c>
      <c r="CZ533" s="336">
        <f>INDEX('State Tax Lookup'!$D$7:$Z$91,MATCH(Calculation!$C533,'State Tax Lookup'!$B$7:$B$91,0),MATCH($H533,'State Tax Lookup'!$D$6:$Z$6,0))</f>
        <v>0.40134999999999998</v>
      </c>
      <c r="DA533" s="303">
        <v>0.37</v>
      </c>
      <c r="DB533" s="57">
        <f t="shared" si="991"/>
        <v>10.555195531666223</v>
      </c>
      <c r="DC533" s="56">
        <f t="shared" si="995"/>
        <v>8.671116420904219E-3</v>
      </c>
      <c r="DD533" s="303">
        <f>VLOOKUP($H533,RoR!$E:$F,2,FALSE)</f>
        <v>5.6666666666666671E-2</v>
      </c>
      <c r="DE533" s="304">
        <f>HLOOKUP($H533,'GDP-PI'!$D$8:$CQ$11,3,FALSE)</f>
        <v>1.8855119140166909E-2</v>
      </c>
      <c r="DF533" s="303">
        <f>VLOOKUP(H533,'HW Dx Data'!$E:$F,2,FALSE)</f>
        <v>369.23301095560191</v>
      </c>
      <c r="DG533" s="89">
        <f ca="1">VLOOKUP(CC533,'ECI - Input Price'!M$13:N$33,2,FALSE)</f>
        <v>89.25</v>
      </c>
      <c r="DH533" s="89"/>
      <c r="DI533" s="89"/>
      <c r="DJ533" s="56"/>
      <c r="DK533" s="53">
        <f>HLOOKUP(H533,'GDP-PI'!$8:$9,2,FALSE)</f>
        <v>82.566999999999993</v>
      </c>
      <c r="DL533" s="355">
        <f t="shared" ref="DL533:DL552" si="996">LN(DK533/DK532)</f>
        <v>1.8679564681853753E-2</v>
      </c>
      <c r="EC533"/>
    </row>
    <row r="534" spans="1:133" s="126" customFormat="1" ht="21" customHeight="1" x14ac:dyDescent="0.4">
      <c r="A534" s="233" t="s">
        <v>213</v>
      </c>
      <c r="B534" s="127" t="s">
        <v>213</v>
      </c>
      <c r="C534" s="127">
        <v>4008754</v>
      </c>
      <c r="D534" s="127" t="s">
        <v>214</v>
      </c>
      <c r="E534" s="127"/>
      <c r="F534" s="127"/>
      <c r="G534" s="127" t="s">
        <v>160</v>
      </c>
      <c r="H534" s="128">
        <v>2004</v>
      </c>
      <c r="I534" s="129"/>
      <c r="J534" s="125">
        <f>IFERROR(INDEX('Labor Expenditures'!$E$7:$W$91,MATCH($C534,'Labor Expenditures'!$C$7:$C$91,0),MATCH($G534,'Labor Expenditures'!$E$5:$W$5,0)),"NA")</f>
        <v>10815.879678416652</v>
      </c>
      <c r="K534" s="125">
        <f t="shared" ref="K534:K552" ca="1" si="997">+J534/DG534</f>
        <v>114.63571466260363</v>
      </c>
      <c r="L534" s="47"/>
      <c r="M534" s="131"/>
      <c r="N534" s="131"/>
      <c r="O534" s="131"/>
      <c r="P534" s="59"/>
      <c r="Q534" s="59"/>
      <c r="R534" s="386"/>
      <c r="S534" s="119"/>
      <c r="T534" s="59"/>
      <c r="U534" s="59"/>
      <c r="V534" s="125">
        <f>IFERROR(INDEX('Non-Labor Expenditures'!$E$7:$AA$91,MATCH($C534,'Non-Labor Expenditures'!$C$7:$C$91,0),MATCH($G534,'Non-Labor Expenditures'!$E$5:$AA$5,0)),"NA")</f>
        <v>15663.413902015847</v>
      </c>
      <c r="W534" s="125">
        <f t="shared" ref="W534:W552" si="998">+V534/DK534</f>
        <v>184.75800209978823</v>
      </c>
      <c r="X534" s="125"/>
      <c r="Y534" s="125"/>
      <c r="Z534" s="125"/>
      <c r="AA534" s="125"/>
      <c r="AB534" s="125"/>
      <c r="AC534" s="125">
        <f t="shared" si="978"/>
        <v>5649.8392068450512</v>
      </c>
      <c r="AD534" s="129"/>
      <c r="AE534" s="133">
        <v>516.38196186767641</v>
      </c>
      <c r="AF534" s="134">
        <v>3.3401272081292475E-2</v>
      </c>
      <c r="AG534" s="59">
        <f t="shared" ref="AG534:AG552" si="999">+AF534*$AX534</f>
        <v>0</v>
      </c>
      <c r="AH534" s="134"/>
      <c r="AI534" s="134"/>
      <c r="AJ534" s="129">
        <f t="shared" si="889"/>
        <v>32129.132787277551</v>
      </c>
      <c r="AK534" s="134"/>
      <c r="AL534" s="129"/>
      <c r="AM534" s="129"/>
      <c r="AN534" s="129"/>
      <c r="AO534" s="129"/>
      <c r="AP534" s="133"/>
      <c r="AQ534" s="134"/>
      <c r="AR534" s="93">
        <f t="shared" ref="AR534:AR552" si="1000">+J534/AJ534</f>
        <v>0.33663777201915357</v>
      </c>
      <c r="AS534" s="93">
        <f t="shared" ref="AS534:AS552" si="1001">+V534/AJ534</f>
        <v>0.48751436914656543</v>
      </c>
      <c r="AT534" s="93">
        <f t="shared" ref="AT534:AT552" si="1002">+AC534/AJ534</f>
        <v>0.17584785883428097</v>
      </c>
      <c r="AU534" s="93"/>
      <c r="AV534" s="93"/>
      <c r="AW534" s="134"/>
      <c r="AX534" s="62"/>
      <c r="AY534" s="93"/>
      <c r="AZ534" s="93"/>
      <c r="BA534" s="93"/>
      <c r="BB534" s="234">
        <f>IFERROR(INDEX('Total Customers'!$E$7:$AA$91,MATCH($C534,'Total Customers'!$C$7:$C$91,0),MATCH($G534,'Total Customers'!$E$5:$AA$5,0)),"NA")</f>
        <v>131674</v>
      </c>
      <c r="BC534" s="411">
        <f t="shared" si="973"/>
        <v>2.1951904367881355E-2</v>
      </c>
      <c r="BD534" s="92"/>
      <c r="BE534" s="281" t="str">
        <f t="shared" si="969"/>
        <v>MADISON GAS AND ELECTRIC COMPANY</v>
      </c>
      <c r="BF534" s="290">
        <f t="shared" si="970"/>
        <v>4008754</v>
      </c>
      <c r="BG534" s="46" t="str">
        <f t="shared" si="971"/>
        <v>WI</v>
      </c>
      <c r="BH534" s="46"/>
      <c r="BI534" s="46" t="str">
        <f t="shared" si="972"/>
        <v>2004 Y</v>
      </c>
      <c r="BJ534" s="129"/>
      <c r="BK534" s="129"/>
      <c r="BL534" s="129">
        <f>INDEX('Dist. Plant Gas Additions'!$E$7:$AD$91,MATCH($C534,'Dist. Plant Gas Additions'!$C$7:$C$91,0),MATCH(Calculation!$G534,'Dist. Plant Gas Additions'!$E$5:$AD$5,0))</f>
        <v>8119</v>
      </c>
      <c r="BM534" s="129">
        <f>INDEX('Gen. Plant Additions'!$E$7:$AD$91,MATCH($C534,'Gen. Plant Additions'!$C$7:$C$91,0),MATCH(Calculation!$G534,'Gen. Plant Additions'!$E$5:$AD$5,0))</f>
        <v>120</v>
      </c>
      <c r="BN534" s="393">
        <f t="shared" si="979"/>
        <v>0.98463023294803187</v>
      </c>
      <c r="BO534" s="46">
        <f t="shared" si="930"/>
        <v>118.15562795376383</v>
      </c>
      <c r="BP534" s="46">
        <f t="shared" si="931"/>
        <v>-1.8443720462361739</v>
      </c>
      <c r="BQ534" s="129">
        <f>INDEX('Dist Plant Depreciation'!$D$7:$AC$94,MATCH($C534,'Dist Plant Depreciation'!$C$7:$C$94,0),MATCH(Calculation!$G534,'Dist Plant Depreciation'!$D$5:$AC$5,0))</f>
        <v>119741</v>
      </c>
      <c r="BR534" s="129">
        <f>INDEX('Gen. Plant Depreciation'!$D$7:$AC$94,MATCH($C534,'Gen. Plant Depreciation'!$C$7:$C$94,0),MATCH(Calculation!$G534,'Gen. Plant Depreciation'!$D$5:$AC$5,0))</f>
        <v>1997</v>
      </c>
      <c r="BS534" s="129"/>
      <c r="BT534" s="129"/>
      <c r="BU534" s="129"/>
      <c r="BV534" s="129"/>
      <c r="BW534" s="129"/>
      <c r="BX534" s="129"/>
      <c r="BY534" s="129">
        <f>INDEX('Gross Dx Plant'!$D$7:$AC$91,MATCH($C534,'Gross Dx Plant'!$C$7:$C$91,0),MATCH(Calculation!$G534,'Gross Dx Plant'!$D$5:$AC$5,0))</f>
        <v>217301</v>
      </c>
      <c r="BZ534" s="129">
        <f>INDEX('Gross Gen Plant'!$D$7:$AC$91,MATCH($C534,'Gross Gen Plant'!$C$7:$C$91,0),MATCH(Calculation!$G534,'Gross Gen Plant'!$D$5:$AC$5,0))</f>
        <v>3392</v>
      </c>
      <c r="CA534" s="129">
        <f t="shared" si="960"/>
        <v>98955</v>
      </c>
      <c r="CB534" s="129"/>
      <c r="CC534" s="133">
        <v>2004</v>
      </c>
      <c r="CD534" s="129"/>
      <c r="CE534" s="129"/>
      <c r="CF534" s="129"/>
      <c r="CG534" s="137"/>
      <c r="CH534" s="129">
        <f t="shared" si="980"/>
        <v>8239</v>
      </c>
      <c r="CI534" s="46">
        <f t="shared" si="989"/>
        <v>8237.1556279537635</v>
      </c>
      <c r="CJ534" s="46">
        <f t="shared" si="981"/>
        <v>19.853964643028799</v>
      </c>
      <c r="CK534" s="443">
        <v>0.9375</v>
      </c>
      <c r="CL534" s="46">
        <f>+CL528*CK534+CJ529*CK533+CJ530*CK532+CJ531*CK531+CJ532*CK530+CJ533*CK529+CJ534</f>
        <v>502.95851048099269</v>
      </c>
      <c r="CM534" s="134">
        <f t="shared" si="982"/>
        <v>2.8937879568039924E-2</v>
      </c>
      <c r="CN534" s="135">
        <f t="shared" si="983"/>
        <v>1.1272703273967564E-2</v>
      </c>
      <c r="CO534" s="135">
        <f t="shared" si="992"/>
        <v>1.1172819267453471E-2</v>
      </c>
      <c r="CP534" s="134">
        <f>VLOOKUP($H534,RoR!$E:$F,2,FALSE)</f>
        <v>5.6283333333333331E-2</v>
      </c>
      <c r="CQ534" s="135">
        <v>2.6778252812867276E-2</v>
      </c>
      <c r="CR534" s="135">
        <f t="shared" si="990"/>
        <v>2.9505080520466055E-2</v>
      </c>
      <c r="CS534" s="135">
        <f t="shared" si="993"/>
        <v>1.9729122341080152E-2</v>
      </c>
      <c r="CT534" s="135">
        <f t="shared" si="994"/>
        <v>5.5940039414565046E-2</v>
      </c>
      <c r="CU534" s="139">
        <f t="shared" si="984"/>
        <v>0.85150049999999999</v>
      </c>
      <c r="CV534" s="335">
        <f t="shared" si="985"/>
        <v>0.91114097628755619</v>
      </c>
      <c r="CW534" s="335">
        <f t="shared" si="986"/>
        <v>0.53081877405981637</v>
      </c>
      <c r="CX534" s="335">
        <f t="shared" si="987"/>
        <v>0.88811215519385678</v>
      </c>
      <c r="CY534" s="335">
        <f t="shared" si="988"/>
        <v>0.42953609753547711</v>
      </c>
      <c r="CZ534" s="336">
        <f>INDEX('State Tax Lookup'!$D$7:$Z$91,MATCH(Calculation!$C534,'State Tax Lookup'!$B$7:$B$91,0),MATCH($H534,'State Tax Lookup'!$D$6:$Z$6,0))</f>
        <v>0.40134999999999998</v>
      </c>
      <c r="DA534" s="303">
        <v>0.37</v>
      </c>
      <c r="DB534" s="57">
        <f t="shared" si="991"/>
        <v>11.563025630883395</v>
      </c>
      <c r="DC534" s="56">
        <f t="shared" si="995"/>
        <v>9.1194355617275472E-2</v>
      </c>
      <c r="DD534" s="303">
        <f>VLOOKUP($H534,RoR!$E:$F,2,FALSE)</f>
        <v>5.6283333333333331E-2</v>
      </c>
      <c r="DE534" s="304">
        <f>HLOOKUP($H534,'GDP-PI'!$D$8:$CQ$11,3,FALSE)</f>
        <v>2.6778252812867276E-2</v>
      </c>
      <c r="DF534" s="303">
        <f>VLOOKUP(H534,'HW Dx Data'!$E:$F,2,FALSE)</f>
        <v>414.88719135228365</v>
      </c>
      <c r="DG534" s="89">
        <f ca="1">VLOOKUP(CC534,'ECI - Input Price'!M$13:N$33,2,FALSE)</f>
        <v>94.35</v>
      </c>
      <c r="DH534" s="89"/>
      <c r="DI534" s="89"/>
      <c r="DJ534" s="56">
        <f t="shared" ref="DJ534:DJ552" ca="1" si="1003">LN(DG534/DG533)</f>
        <v>5.5569851154810786E-2</v>
      </c>
      <c r="DK534" s="53">
        <f>HLOOKUP(H534,'GDP-PI'!$8:$9,2,FALSE)</f>
        <v>84.778000000000006</v>
      </c>
      <c r="DL534" s="355">
        <f t="shared" si="996"/>
        <v>2.6425990216022755E-2</v>
      </c>
      <c r="EC534"/>
    </row>
    <row r="535" spans="1:133" s="126" customFormat="1" ht="21" customHeight="1" x14ac:dyDescent="0.4">
      <c r="A535" s="233" t="s">
        <v>213</v>
      </c>
      <c r="B535" s="127" t="s">
        <v>213</v>
      </c>
      <c r="C535" s="127">
        <v>4008754</v>
      </c>
      <c r="D535" s="127" t="s">
        <v>214</v>
      </c>
      <c r="E535" s="127"/>
      <c r="F535" s="127"/>
      <c r="G535" s="127" t="s">
        <v>161</v>
      </c>
      <c r="H535" s="128">
        <v>2005</v>
      </c>
      <c r="I535" s="129"/>
      <c r="J535" s="125">
        <f>IFERROR(INDEX('Labor Expenditures'!$E$7:$W$91,MATCH($C535,'Labor Expenditures'!$C$7:$C$91,0),MATCH($G535,'Labor Expenditures'!$E$5:$W$5,0)),"NA")</f>
        <v>10422.09279407416</v>
      </c>
      <c r="K535" s="125">
        <f t="shared" ca="1" si="997"/>
        <v>105.03494879389429</v>
      </c>
      <c r="L535" s="47"/>
      <c r="M535" s="131">
        <f t="shared" ref="M535:M551" ca="1" si="1004">LN(K535/K534)</f>
        <v>-8.7466261566732553E-2</v>
      </c>
      <c r="N535" s="131"/>
      <c r="O535" s="131"/>
      <c r="P535" s="59"/>
      <c r="Q535" s="61"/>
      <c r="R535" s="387"/>
      <c r="S535" s="49">
        <v>100</v>
      </c>
      <c r="T535" s="46"/>
      <c r="U535" s="46"/>
      <c r="V535" s="125">
        <f>IFERROR(INDEX('Non-Labor Expenditures'!$E$7:$AA$91,MATCH($C535,'Non-Labor Expenditures'!$C$7:$C$91,0),MATCH($G535,'Non-Labor Expenditures'!$E$5:$AA$5,0)),"NA")</f>
        <v>15093.13694424327</v>
      </c>
      <c r="W535" s="125">
        <f t="shared" si="998"/>
        <v>172.67652412556512</v>
      </c>
      <c r="X535" s="131">
        <f>LN(W535/W534)</f>
        <v>-6.7626830522896281E-2</v>
      </c>
      <c r="Y535" s="131"/>
      <c r="Z535" s="131"/>
      <c r="AA535" s="131"/>
      <c r="AB535" s="131"/>
      <c r="AC535" s="125">
        <f t="shared" si="978"/>
        <v>6519.1521076949484</v>
      </c>
      <c r="AD535" s="129"/>
      <c r="AE535" s="133">
        <v>535.10730064519134</v>
      </c>
      <c r="AF535" s="134">
        <v>3.5620560920215642E-2</v>
      </c>
      <c r="AG535" s="59">
        <f t="shared" si="999"/>
        <v>0</v>
      </c>
      <c r="AH535" s="134"/>
      <c r="AI535" s="134"/>
      <c r="AJ535" s="129">
        <f t="shared" si="889"/>
        <v>32034.38184601238</v>
      </c>
      <c r="AK535" s="134">
        <f>LN(AJ535/AJ534)</f>
        <v>-2.9534233179223054E-3</v>
      </c>
      <c r="AL535" s="129"/>
      <c r="AM535" s="129"/>
      <c r="AN535" s="129"/>
      <c r="AO535" s="129"/>
      <c r="AP535" s="133"/>
      <c r="AQ535" s="134"/>
      <c r="AR535" s="93">
        <f t="shared" si="1000"/>
        <v>0.32534084297841681</v>
      </c>
      <c r="AS535" s="93">
        <f t="shared" si="1001"/>
        <v>0.47115430592028279</v>
      </c>
      <c r="AT535" s="93">
        <f t="shared" si="1002"/>
        <v>0.20350485110130034</v>
      </c>
      <c r="AU535" s="93">
        <f t="shared" ref="AU535:AU551" ca="1" si="1005">+(((AR535+AR534)/2)*M535+((AS534+AS535)/2)*X535+((AT534+AT535)/2)*AF535)</f>
        <v>-5.460988119640342E-2</v>
      </c>
      <c r="AV535" s="132">
        <v>100</v>
      </c>
      <c r="AW535" s="134"/>
      <c r="AX535" s="15"/>
      <c r="AY535" s="93"/>
      <c r="AZ535" s="93"/>
      <c r="BA535" s="93"/>
      <c r="BB535" s="234">
        <f>IFERROR(INDEX('Total Customers'!$E$7:$AA$91,MATCH($C535,'Total Customers'!$C$7:$C$91,0),MATCH($G535,'Total Customers'!$E$5:$AA$5,0)),"NA")</f>
        <v>134495</v>
      </c>
      <c r="BC535" s="411">
        <f t="shared" si="973"/>
        <v>2.1197852745139273E-2</v>
      </c>
      <c r="BD535" s="92"/>
      <c r="BE535" s="281" t="str">
        <f t="shared" si="969"/>
        <v>MADISON GAS AND ELECTRIC COMPANY</v>
      </c>
      <c r="BF535" s="290">
        <f t="shared" si="970"/>
        <v>4008754</v>
      </c>
      <c r="BG535" s="46" t="str">
        <f t="shared" si="971"/>
        <v>WI</v>
      </c>
      <c r="BH535" s="46"/>
      <c r="BI535" s="46" t="str">
        <f t="shared" si="972"/>
        <v>2005 Y</v>
      </c>
      <c r="BJ535" s="129"/>
      <c r="BK535" s="129"/>
      <c r="BL535" s="129">
        <f>INDEX('Dist. Plant Gas Additions'!$E$7:$AD$91,MATCH($C535,'Dist. Plant Gas Additions'!$C$7:$C$91,0),MATCH(Calculation!$G535,'Dist. Plant Gas Additions'!$E$5:$AD$5,0))</f>
        <v>10180</v>
      </c>
      <c r="BM535" s="129">
        <f>INDEX('Gen. Plant Additions'!$E$7:$AD$91,MATCH($C535,'Gen. Plant Additions'!$C$7:$C$91,0),MATCH(Calculation!$G535,'Gen. Plant Additions'!$E$5:$AD$5,0))</f>
        <v>55</v>
      </c>
      <c r="BN535" s="393">
        <f t="shared" si="979"/>
        <v>0.98509900601963574</v>
      </c>
      <c r="BO535" s="46">
        <f t="shared" si="930"/>
        <v>54.180445331079966</v>
      </c>
      <c r="BP535" s="46">
        <f t="shared" si="931"/>
        <v>-0.81955466892003415</v>
      </c>
      <c r="BQ535" s="129">
        <f>INDEX('Dist Plant Depreciation'!$D$7:$AC$94,MATCH($C535,'Dist Plant Depreciation'!$C$7:$C$94,0),MATCH(Calculation!$G535,'Dist Plant Depreciation'!$D$5:$AC$5,0))</f>
        <v>126627</v>
      </c>
      <c r="BR535" s="129">
        <f>INDEX('Gen. Plant Depreciation'!$D$7:$AC$94,MATCH($C535,'Gen. Plant Depreciation'!$C$7:$C$94,0),MATCH(Calculation!$G535,'Gen. Plant Depreciation'!$D$5:$AC$5,0))</f>
        <v>1524</v>
      </c>
      <c r="BS535" s="129"/>
      <c r="BT535" s="129"/>
      <c r="BU535" s="129"/>
      <c r="BV535" s="129"/>
      <c r="BW535" s="129"/>
      <c r="BX535" s="129"/>
      <c r="BY535" s="129">
        <f>INDEX('Gross Dx Plant'!$D$7:$AC$91,MATCH($C535,'Gross Dx Plant'!$C$7:$C$91,0),MATCH(Calculation!$G535,'Gross Dx Plant'!$D$5:$AC$5,0))</f>
        <v>226161</v>
      </c>
      <c r="BZ535" s="129">
        <f>INDEX('Gross Gen Plant'!$D$7:$AC$91,MATCH($C535,'Gross Gen Plant'!$C$7:$C$91,0),MATCH(Calculation!$G535,'Gross Gen Plant'!$D$5:$AC$5,0))</f>
        <v>3421</v>
      </c>
      <c r="CA535" s="129">
        <f t="shared" si="960"/>
        <v>101431</v>
      </c>
      <c r="CB535" s="129"/>
      <c r="CC535" s="133">
        <v>2005</v>
      </c>
      <c r="CD535" s="129"/>
      <c r="CE535" s="129"/>
      <c r="CF535" s="129"/>
      <c r="CG535" s="137"/>
      <c r="CH535" s="129">
        <f t="shared" si="980"/>
        <v>10235</v>
      </c>
      <c r="CI535" s="46">
        <f t="shared" si="989"/>
        <v>10234.18044533108</v>
      </c>
      <c r="CJ535" s="46">
        <f t="shared" si="981"/>
        <v>21.811739823887851</v>
      </c>
      <c r="CK535" s="443">
        <v>0.9263157894736842</v>
      </c>
      <c r="CL535" s="46">
        <f>+CL528*CK535+CJ529*CK534+CJ530*CK533+CJ531*CK532+CJ532*CK531+CJ533*CK530+CJ534*CK529+CJ535</f>
        <v>518.95060390179037</v>
      </c>
      <c r="CM535" s="134">
        <f t="shared" si="982"/>
        <v>3.1301020545474748E-2</v>
      </c>
      <c r="CN535" s="135">
        <f t="shared" si="983"/>
        <v>1.157082797450764E-2</v>
      </c>
      <c r="CO535" s="135">
        <f t="shared" si="992"/>
        <v>1.1284021915753832E-2</v>
      </c>
      <c r="CP535" s="134">
        <f>VLOOKUP($H535,RoR!$E:$F,2,FALSE)</f>
        <v>5.2350000000000001E-2</v>
      </c>
      <c r="CQ535" s="135">
        <v>3.1010403642454332E-2</v>
      </c>
      <c r="CR535" s="135">
        <f t="shared" si="990"/>
        <v>2.1339596357545669E-2</v>
      </c>
      <c r="CS535" s="135">
        <f t="shared" si="993"/>
        <v>1.9617919692779793E-2</v>
      </c>
      <c r="CT535" s="135">
        <f t="shared" si="994"/>
        <v>9.2129610649277341E-2</v>
      </c>
      <c r="CU535" s="139">
        <f t="shared" si="984"/>
        <v>0.85150049999999999</v>
      </c>
      <c r="CV535" s="335">
        <f t="shared" si="985"/>
        <v>0.97959983346802826</v>
      </c>
      <c r="CW535" s="335">
        <f t="shared" si="986"/>
        <v>0.49744508118433622</v>
      </c>
      <c r="CX535" s="335">
        <f t="shared" si="987"/>
        <v>0.87010519444335932</v>
      </c>
      <c r="CY535" s="335">
        <f t="shared" si="988"/>
        <v>0.42399975420741998</v>
      </c>
      <c r="CZ535" s="336">
        <f>INDEX('State Tax Lookup'!$D$7:$Z$91,MATCH(Calculation!$C535,'State Tax Lookup'!$B$7:$B$91,0),MATCH($H535,'State Tax Lookup'!$D$6:$Z$6,0))</f>
        <v>0.40134999999999998</v>
      </c>
      <c r="DA535" s="303">
        <v>0.37</v>
      </c>
      <c r="DB535" s="57">
        <f t="shared" si="991"/>
        <v>12.961610096746368</v>
      </c>
      <c r="DC535" s="56">
        <f t="shared" si="995"/>
        <v>0.11417935729398837</v>
      </c>
      <c r="DD535" s="303">
        <f>VLOOKUP($H535,RoR!$E:$F,2,FALSE)</f>
        <v>5.2350000000000001E-2</v>
      </c>
      <c r="DE535" s="304">
        <f>HLOOKUP($H535,'GDP-PI'!$D$8:$CQ$11,3,FALSE)</f>
        <v>3.1010403642454332E-2</v>
      </c>
      <c r="DF535" s="303">
        <f>VLOOKUP(H535,'HW Dx Data'!$E:$F,2,FALSE)</f>
        <v>469.20514034936258</v>
      </c>
      <c r="DG535" s="89">
        <f ca="1">VLOOKUP(CC535,'ECI - Input Price'!M$13:N$33,2,FALSE)</f>
        <v>99.224999999999994</v>
      </c>
      <c r="DH535" s="89"/>
      <c r="DI535" s="89"/>
      <c r="DJ535" s="56">
        <f t="shared" ca="1" si="1003"/>
        <v>5.0378726854569796E-2</v>
      </c>
      <c r="DK535" s="53">
        <f>HLOOKUP(H535,'GDP-PI'!$8:$9,2,FALSE)</f>
        <v>87.406999999999996</v>
      </c>
      <c r="DL535" s="355">
        <f t="shared" si="996"/>
        <v>3.0539295810733648E-2</v>
      </c>
      <c r="EC535"/>
    </row>
    <row r="536" spans="1:133" s="126" customFormat="1" ht="21" customHeight="1" x14ac:dyDescent="0.4">
      <c r="A536" s="233" t="s">
        <v>213</v>
      </c>
      <c r="B536" s="127" t="s">
        <v>213</v>
      </c>
      <c r="C536" s="127">
        <v>4008754</v>
      </c>
      <c r="D536" s="127" t="s">
        <v>214</v>
      </c>
      <c r="E536" s="127"/>
      <c r="F536" s="127"/>
      <c r="G536" s="127" t="s">
        <v>162</v>
      </c>
      <c r="H536" s="128">
        <v>2006</v>
      </c>
      <c r="I536" s="129"/>
      <c r="J536" s="125">
        <f>IFERROR(INDEX('Labor Expenditures'!$E$7:$W$91,MATCH($C536,'Labor Expenditures'!$C$7:$C$91,0),MATCH($G536,'Labor Expenditures'!$E$5:$W$5,0)),"NA")</f>
        <v>11360.205791449089</v>
      </c>
      <c r="K536" s="125">
        <f t="shared" ca="1" si="997"/>
        <v>103.84100357814523</v>
      </c>
      <c r="L536" s="47"/>
      <c r="M536" s="131">
        <f t="shared" ca="1" si="1004"/>
        <v>-1.1432222865191648E-2</v>
      </c>
      <c r="N536" s="131"/>
      <c r="O536" s="131"/>
      <c r="P536" s="59">
        <f t="shared" ref="P536:P552" ca="1" si="1006">+M536*$AX536</f>
        <v>-5.3669401790084036E-5</v>
      </c>
      <c r="Q536" s="61"/>
      <c r="R536" s="387"/>
      <c r="S536" s="49">
        <f ca="1">+S535*EXP(T536)</f>
        <v>107.87168539667942</v>
      </c>
      <c r="T536" s="61">
        <f ca="1">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</f>
        <v>7.5772236609063334E-2</v>
      </c>
      <c r="U536" s="61"/>
      <c r="V536" s="125">
        <f>IFERROR(INDEX('Non-Labor Expenditures'!$E$7:$AA$91,MATCH($C536,'Non-Labor Expenditures'!$C$7:$C$91,0),MATCH($G536,'Non-Labor Expenditures'!$E$5:$AA$5,0)),"NA")</f>
        <v>16451.69977978096</v>
      </c>
      <c r="W536" s="125">
        <f t="shared" si="998"/>
        <v>182.64648821836445</v>
      </c>
      <c r="X536" s="131">
        <f t="shared" ref="X536:X551" si="1007">LN(W536/W535)</f>
        <v>5.6132484728105725E-2</v>
      </c>
      <c r="Y536" s="131">
        <f t="shared" ref="Y536:Y552" si="1008">+X536*AX536</f>
        <v>2.6351803248352435E-4</v>
      </c>
      <c r="Z536" s="131"/>
      <c r="AA536" s="131"/>
      <c r="AB536" s="131"/>
      <c r="AC536" s="125">
        <f t="shared" si="978"/>
        <v>6521.1200550472849</v>
      </c>
      <c r="AD536" s="129"/>
      <c r="AE536" s="133">
        <v>548.56304138901794</v>
      </c>
      <c r="AF536" s="134">
        <v>2.4834918535201141E-2</v>
      </c>
      <c r="AG536" s="59">
        <f t="shared" si="999"/>
        <v>1.1658933148932898E-4</v>
      </c>
      <c r="AH536" s="134"/>
      <c r="AI536" s="134"/>
      <c r="AJ536" s="129">
        <f t="shared" si="889"/>
        <v>34333.025626277333</v>
      </c>
      <c r="AK536" s="134">
        <f t="shared" ref="AK536:AK552" si="1009">LN(AJ536/AJ535)</f>
        <v>6.9297978482003308E-2</v>
      </c>
      <c r="AL536" s="129"/>
      <c r="AM536" s="129"/>
      <c r="AN536" s="129"/>
      <c r="AO536" s="129"/>
      <c r="AP536" s="133">
        <f t="shared" ref="AP536:AP552" si="1010">+(AJ536*1000)/BB536</f>
        <v>249.805554655355</v>
      </c>
      <c r="AQ536" s="134">
        <f>+BB536/Outputs!$B$14</f>
        <v>3.9628967059594311E-3</v>
      </c>
      <c r="AR536" s="93">
        <f t="shared" si="1000"/>
        <v>0.33088274581761218</v>
      </c>
      <c r="AS536" s="93">
        <f t="shared" si="1001"/>
        <v>0.47918001631610896</v>
      </c>
      <c r="AT536" s="93">
        <f t="shared" si="1002"/>
        <v>0.18993723786627884</v>
      </c>
      <c r="AU536" s="93">
        <f t="shared" ca="1" si="1005"/>
        <v>2.7806817370423037E-2</v>
      </c>
      <c r="AV536" s="132">
        <f ca="1">+AV535*EXP(AU536)</f>
        <v>102.81970354272482</v>
      </c>
      <c r="AW536" s="134">
        <f ca="1">LN(AV536/AV535)</f>
        <v>2.7806817370423075E-2</v>
      </c>
      <c r="AX536" s="56">
        <f>+AJ536/$AL$11</f>
        <v>4.6945727373365314E-3</v>
      </c>
      <c r="AY536" s="135">
        <f ca="1">+AX536*AW536</f>
        <v>1.3054112673928408E-4</v>
      </c>
      <c r="AZ536" s="93"/>
      <c r="BA536" s="93"/>
      <c r="BB536" s="234">
        <f>IFERROR(INDEX('Total Customers'!$E$7:$AA$91,MATCH($C536,'Total Customers'!$C$7:$C$91,0),MATCH($G536,'Total Customers'!$E$5:$AA$5,0)),"NA")</f>
        <v>137439</v>
      </c>
      <c r="BC536" s="411">
        <f t="shared" si="973"/>
        <v>2.1653158677556742E-2</v>
      </c>
      <c r="BD536" s="92"/>
      <c r="BE536" s="281" t="str">
        <f t="shared" si="969"/>
        <v>MADISON GAS AND ELECTRIC COMPANY</v>
      </c>
      <c r="BF536" s="290">
        <f t="shared" si="970"/>
        <v>4008754</v>
      </c>
      <c r="BG536" s="46" t="str">
        <f t="shared" si="971"/>
        <v>WI</v>
      </c>
      <c r="BH536" s="46"/>
      <c r="BI536" s="46" t="str">
        <f t="shared" si="972"/>
        <v>2006 Y</v>
      </c>
      <c r="BJ536" s="129"/>
      <c r="BK536" s="129"/>
      <c r="BL536" s="129">
        <f>INDEX('Dist. Plant Gas Additions'!$E$7:$AD$91,MATCH($C536,'Dist. Plant Gas Additions'!$C$7:$C$91,0),MATCH(Calculation!$G536,'Dist. Plant Gas Additions'!$E$5:$AD$5,0))</f>
        <v>7622</v>
      </c>
      <c r="BM536" s="129">
        <f>INDEX('Gen. Plant Additions'!$E$7:$AD$91,MATCH($C536,'Gen. Plant Additions'!$C$7:$C$91,0),MATCH(Calculation!$G536,'Gen. Plant Additions'!$E$5:$AD$5,0))</f>
        <v>103</v>
      </c>
      <c r="BN536" s="393">
        <f t="shared" si="979"/>
        <v>0.98515003771485876</v>
      </c>
      <c r="BO536" s="46">
        <f t="shared" si="930"/>
        <v>101.47045388463046</v>
      </c>
      <c r="BP536" s="46">
        <f t="shared" si="931"/>
        <v>-1.5295461153695413</v>
      </c>
      <c r="BQ536" s="129">
        <f>INDEX('Dist Plant Depreciation'!$D$7:$AC$94,MATCH($C536,'Dist Plant Depreciation'!$C$7:$C$94,0),MATCH(Calculation!$G536,'Dist Plant Depreciation'!$D$5:$AC$5,0))</f>
        <v>133885</v>
      </c>
      <c r="BR536" s="129">
        <f>INDEX('Gen. Plant Depreciation'!$D$7:$AC$94,MATCH($C536,'Gen. Plant Depreciation'!$C$7:$C$94,0),MATCH(Calculation!$G536,'Gen. Plant Depreciation'!$D$5:$AC$5,0))</f>
        <v>1684</v>
      </c>
      <c r="BS536" s="129"/>
      <c r="BT536" s="129"/>
      <c r="BU536" s="129"/>
      <c r="BV536" s="129"/>
      <c r="BW536" s="129"/>
      <c r="BX536" s="129"/>
      <c r="BY536" s="129">
        <f>INDEX('Gross Dx Plant'!$D$7:$AC$91,MATCH($C536,'Gross Dx Plant'!$C$7:$C$91,0),MATCH(Calculation!$G536,'Gross Dx Plant'!$D$5:$AC$5,0))</f>
        <v>233783</v>
      </c>
      <c r="BZ536" s="129">
        <f>INDEX('Gross Gen Plant'!$D$7:$AC$91,MATCH($C536,'Gross Gen Plant'!$C$7:$C$91,0),MATCH(Calculation!$G536,'Gross Gen Plant'!$D$5:$AC$5,0))</f>
        <v>3524</v>
      </c>
      <c r="CA536" s="129">
        <f t="shared" si="960"/>
        <v>101738</v>
      </c>
      <c r="CB536" s="134"/>
      <c r="CC536" s="133">
        <v>2006</v>
      </c>
      <c r="CD536" s="129"/>
      <c r="CE536" s="129"/>
      <c r="CF536" s="129"/>
      <c r="CG536" s="137"/>
      <c r="CH536" s="129">
        <f t="shared" si="980"/>
        <v>7725</v>
      </c>
      <c r="CI536" s="46">
        <f t="shared" si="989"/>
        <v>7723.4704538846308</v>
      </c>
      <c r="CJ536" s="46">
        <f t="shared" si="981"/>
        <v>16.750619051249544</v>
      </c>
      <c r="CK536" s="443">
        <v>0.91489361702127658</v>
      </c>
      <c r="CL536" s="46">
        <f>+CL528*CK536+CJ529*CK535+CJ530*CK534+CJ531*CK533+CJ532*CK532+CJ533*CK531+CJ534*CK530+CJ535*CK529+CJ536</f>
        <v>529.54295270041644</v>
      </c>
      <c r="CM536" s="134">
        <f t="shared" si="982"/>
        <v>2.0205578000139741E-2</v>
      </c>
      <c r="CN536" s="135">
        <f t="shared" si="983"/>
        <v>1.1866775385406262E-2</v>
      </c>
      <c r="CO536" s="135">
        <f t="shared" si="992"/>
        <v>1.1570102211293821E-2</v>
      </c>
      <c r="CP536" s="134">
        <f>VLOOKUP($H536,RoR!$E:$F,2,FALSE)</f>
        <v>5.5874999999999994E-2</v>
      </c>
      <c r="CQ536" s="135">
        <v>3.0512430354548314E-2</v>
      </c>
      <c r="CR536" s="135">
        <f t="shared" si="990"/>
        <v>2.536256964545168E-2</v>
      </c>
      <c r="CS536" s="135">
        <f t="shared" si="993"/>
        <v>1.9331839397239804E-2</v>
      </c>
      <c r="CT536" s="135">
        <f t="shared" si="994"/>
        <v>7.9087823893859641E-2</v>
      </c>
      <c r="CU536" s="139">
        <f t="shared" si="984"/>
        <v>0.85150049999999999</v>
      </c>
      <c r="CV536" s="335">
        <f t="shared" si="985"/>
        <v>0.91779957551769631</v>
      </c>
      <c r="CW536" s="335">
        <f t="shared" si="986"/>
        <v>0.52757270693512304</v>
      </c>
      <c r="CX536" s="335">
        <f t="shared" si="987"/>
        <v>0.88636824549024895</v>
      </c>
      <c r="CY536" s="335">
        <f t="shared" si="988"/>
        <v>0.42918482841932087</v>
      </c>
      <c r="CZ536" s="336">
        <f>INDEX('State Tax Lookup'!$D$7:$Z$91,MATCH(Calculation!$C536,'State Tax Lookup'!$B$7:$B$91,0),MATCH($H536,'State Tax Lookup'!$D$6:$Z$6,0))</f>
        <v>0.40134999999999998</v>
      </c>
      <c r="DA536" s="303">
        <v>0.37</v>
      </c>
      <c r="DB536" s="57">
        <f t="shared" si="991"/>
        <v>12.565974499340566</v>
      </c>
      <c r="DC536" s="56">
        <f t="shared" si="995"/>
        <v>-3.0999194426707174E-2</v>
      </c>
      <c r="DD536" s="303">
        <f>VLOOKUP($H536,RoR!$E:$F,2,FALSE)</f>
        <v>5.5874999999999994E-2</v>
      </c>
      <c r="DE536" s="304">
        <f>HLOOKUP($H536,'GDP-PI'!$D$8:$CQ$11,3,FALSE)</f>
        <v>3.0512430354548314E-2</v>
      </c>
      <c r="DF536" s="303">
        <f>VLOOKUP(H536,'HW Dx Data'!$E:$F,2,FALSE)</f>
        <v>461.08567272971823</v>
      </c>
      <c r="DG536" s="89">
        <f ca="1">VLOOKUP(CC536,'ECI - Input Price'!M$13:N$33,2,FALSE)</f>
        <v>109.4</v>
      </c>
      <c r="DH536" s="89"/>
      <c r="DI536" s="89"/>
      <c r="DJ536" s="56">
        <f t="shared" ca="1" si="1003"/>
        <v>9.7620891318751846E-2</v>
      </c>
      <c r="DK536" s="53">
        <f>HLOOKUP(H536,'GDP-PI'!$8:$9,2,FALSE)</f>
        <v>90.073999999999998</v>
      </c>
      <c r="DL536" s="355">
        <f t="shared" si="996"/>
        <v>3.005618372545445E-2</v>
      </c>
      <c r="EC536"/>
    </row>
    <row r="537" spans="1:133" s="126" customFormat="1" ht="21" customHeight="1" x14ac:dyDescent="0.4">
      <c r="A537" s="233" t="s">
        <v>213</v>
      </c>
      <c r="B537" s="127" t="s">
        <v>213</v>
      </c>
      <c r="C537" s="127">
        <v>4008754</v>
      </c>
      <c r="D537" s="127" t="s">
        <v>214</v>
      </c>
      <c r="E537" s="127"/>
      <c r="F537" s="127"/>
      <c r="G537" s="127" t="s">
        <v>163</v>
      </c>
      <c r="H537" s="128">
        <v>2007</v>
      </c>
      <c r="I537" s="129"/>
      <c r="J537" s="125">
        <f>IFERROR(INDEX('Labor Expenditures'!$E$7:$W$91,MATCH($C537,'Labor Expenditures'!$C$7:$C$91,0),MATCH($G537,'Labor Expenditures'!$E$5:$W$5,0)),"NA")</f>
        <v>11656.771732028126</v>
      </c>
      <c r="K537" s="125">
        <f t="shared" ca="1" si="997"/>
        <v>111.52137509713587</v>
      </c>
      <c r="L537" s="47"/>
      <c r="M537" s="131">
        <f t="shared" ca="1" si="1004"/>
        <v>7.135535986654315E-2</v>
      </c>
      <c r="N537" s="131"/>
      <c r="O537" s="131"/>
      <c r="P537" s="59">
        <f t="shared" ca="1" si="1006"/>
        <v>3.3163780232720806E-4</v>
      </c>
      <c r="Q537" s="61"/>
      <c r="R537" s="387"/>
      <c r="S537" s="49">
        <f t="shared" ref="S537:S550" ca="1" si="1011">+S536*EXP(T537)</f>
        <v>118.09401198939356</v>
      </c>
      <c r="T537" s="61">
        <f ca="1">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</f>
        <v>9.0538596436676111E-2</v>
      </c>
      <c r="U537" s="61"/>
      <c r="V537" s="125">
        <f>IFERROR(INDEX('Non-Labor Expenditures'!$E$7:$AA$91,MATCH($C537,'Non-Labor Expenditures'!$C$7:$C$91,0),MATCH($G537,'Non-Labor Expenditures'!$E$5:$AA$5,0)),"NA")</f>
        <v>16881.182652616517</v>
      </c>
      <c r="W537" s="125">
        <f t="shared" si="998"/>
        <v>182.50321793570149</v>
      </c>
      <c r="X537" s="131">
        <f t="shared" si="1007"/>
        <v>-7.8472082874694014E-4</v>
      </c>
      <c r="Y537" s="131">
        <f t="shared" si="1008"/>
        <v>-3.6471414561254632E-6</v>
      </c>
      <c r="Z537" s="131"/>
      <c r="AA537" s="131"/>
      <c r="AB537" s="131"/>
      <c r="AC537" s="125">
        <f t="shared" si="978"/>
        <v>7088.3107084870726</v>
      </c>
      <c r="AD537" s="129"/>
      <c r="AE537" s="133">
        <v>560.54679739539313</v>
      </c>
      <c r="AF537" s="134">
        <v>2.1610523982808744E-2</v>
      </c>
      <c r="AG537" s="59">
        <f t="shared" si="999"/>
        <v>1.0043907975802236E-4</v>
      </c>
      <c r="AH537" s="134"/>
      <c r="AI537" s="134"/>
      <c r="AJ537" s="129">
        <f t="shared" si="889"/>
        <v>35626.265093131718</v>
      </c>
      <c r="AK537" s="134">
        <f t="shared" si="1009"/>
        <v>3.697541216452669E-2</v>
      </c>
      <c r="AL537" s="129"/>
      <c r="AM537" s="129"/>
      <c r="AN537" s="129"/>
      <c r="AO537" s="129"/>
      <c r="AP537" s="133">
        <f t="shared" si="1010"/>
        <v>256.06274010200258</v>
      </c>
      <c r="AQ537" s="134">
        <f>+BB537/Outputs!$B$15</f>
        <v>3.9814793431730937E-3</v>
      </c>
      <c r="AR537" s="93">
        <f t="shared" si="1000"/>
        <v>0.32719600838190027</v>
      </c>
      <c r="AS537" s="93">
        <f t="shared" si="1001"/>
        <v>0.47384093192162852</v>
      </c>
      <c r="AT537" s="93">
        <f t="shared" si="1002"/>
        <v>0.19896305969647116</v>
      </c>
      <c r="AU537" s="93">
        <f t="shared" ca="1" si="1005"/>
        <v>2.730696507275978E-2</v>
      </c>
      <c r="AV537" s="132">
        <f ca="1">+AV536*EXP(AU537)</f>
        <v>105.66608372874356</v>
      </c>
      <c r="AW537" s="134">
        <f ca="1">LN(AV537/AV536)</f>
        <v>2.7306965072759828E-2</v>
      </c>
      <c r="AX537" s="56">
        <f>+AJ537/$AL$12</f>
        <v>4.6476929406210621E-3</v>
      </c>
      <c r="AY537" s="135">
        <f t="shared" ref="AY537:AY551" ca="1" si="1012">+AX537*AW537</f>
        <v>1.2691438879845177E-4</v>
      </c>
      <c r="AZ537" s="93"/>
      <c r="BA537" s="93"/>
      <c r="BB537" s="234">
        <f>IFERROR(INDEX('Total Customers'!$E$7:$AA$91,MATCH($C537,'Total Customers'!$C$7:$C$91,0),MATCH($G537,'Total Customers'!$E$5:$AA$5,0)),"NA")</f>
        <v>139131</v>
      </c>
      <c r="BC537" s="411">
        <f t="shared" si="973"/>
        <v>1.2235753043152416E-2</v>
      </c>
      <c r="BD537" s="92"/>
      <c r="BE537" s="281" t="str">
        <f t="shared" si="969"/>
        <v>MADISON GAS AND ELECTRIC COMPANY</v>
      </c>
      <c r="BF537" s="290">
        <f t="shared" si="970"/>
        <v>4008754</v>
      </c>
      <c r="BG537" s="46" t="str">
        <f t="shared" si="971"/>
        <v>WI</v>
      </c>
      <c r="BH537" s="46"/>
      <c r="BI537" s="46" t="str">
        <f t="shared" si="972"/>
        <v>2007 Y</v>
      </c>
      <c r="BJ537" s="129"/>
      <c r="BK537" s="129"/>
      <c r="BL537" s="129">
        <f>INDEX('Dist. Plant Gas Additions'!$E$7:$AD$91,MATCH($C537,'Dist. Plant Gas Additions'!$C$7:$C$91,0),MATCH(Calculation!$G537,'Dist. Plant Gas Additions'!$E$5:$AD$5,0))</f>
        <v>7492</v>
      </c>
      <c r="BM537" s="129">
        <f>INDEX('Gen. Plant Additions'!$E$7:$AD$91,MATCH($C537,'Gen. Plant Additions'!$C$7:$C$91,0),MATCH(Calculation!$G537,'Gen. Plant Additions'!$E$5:$AD$5,0))</f>
        <v>215</v>
      </c>
      <c r="BN537" s="393">
        <f t="shared" si="979"/>
        <v>0.98502068863905179</v>
      </c>
      <c r="BO537" s="46">
        <f t="shared" si="930"/>
        <v>211.77944805739614</v>
      </c>
      <c r="BP537" s="46">
        <f t="shared" si="931"/>
        <v>-3.220551942603862</v>
      </c>
      <c r="BQ537" s="129">
        <f>INDEX('Dist Plant Depreciation'!$D$7:$AC$94,MATCH($C537,'Dist Plant Depreciation'!$C$7:$C$94,0),MATCH(Calculation!$G537,'Dist Plant Depreciation'!$D$5:$AC$5,0))</f>
        <v>140280</v>
      </c>
      <c r="BR537" s="129">
        <f>INDEX('Gen. Plant Depreciation'!$D$7:$AC$94,MATCH($C537,'Gen. Plant Depreciation'!$C$7:$C$94,0),MATCH(Calculation!$G537,'Gen. Plant Depreciation'!$D$5:$AC$5,0))</f>
        <v>1539</v>
      </c>
      <c r="BS537" s="129"/>
      <c r="BT537" s="129"/>
      <c r="BU537" s="129"/>
      <c r="BV537" s="129"/>
      <c r="BW537" s="129"/>
      <c r="BX537" s="129"/>
      <c r="BY537" s="129">
        <f>INDEX('Gross Dx Plant'!$D$7:$AC$91,MATCH($C537,'Gross Dx Plant'!$C$7:$C$91,0),MATCH(Calculation!$G537,'Gross Dx Plant'!$D$5:$AC$5,0))</f>
        <v>240677</v>
      </c>
      <c r="BZ537" s="129">
        <f>INDEX('Gross Gen Plant'!$D$7:$AC$91,MATCH($C537,'Gross Gen Plant'!$C$7:$C$91,0),MATCH(Calculation!$G537,'Gross Gen Plant'!$D$5:$AC$5,0))</f>
        <v>3660</v>
      </c>
      <c r="CA537" s="129">
        <f t="shared" si="960"/>
        <v>102518</v>
      </c>
      <c r="CB537" s="129"/>
      <c r="CC537" s="133">
        <v>2007</v>
      </c>
      <c r="CD537" s="129"/>
      <c r="CE537" s="129"/>
      <c r="CF537" s="129"/>
      <c r="CG537" s="137"/>
      <c r="CH537" s="129">
        <f t="shared" si="980"/>
        <v>7707</v>
      </c>
      <c r="CI537" s="46">
        <f t="shared" si="989"/>
        <v>7703.7794480573957</v>
      </c>
      <c r="CJ537" s="46">
        <f t="shared" si="981"/>
        <v>15.46874348526878</v>
      </c>
      <c r="CK537" s="443">
        <v>0.90322580645161288</v>
      </c>
      <c r="CL537" s="46">
        <f>+CL528*CK537+CJ529*CK536+CJ530*CK535+CJ531*CK534+CJ532*CK533+CJ533*CK532+CJ534*CK531+CJ535*CK530+CJ536*CK529+CJ537</f>
        <v>538.55667207749252</v>
      </c>
      <c r="CM537" s="134">
        <f t="shared" si="982"/>
        <v>1.6878450575628989E-2</v>
      </c>
      <c r="CN537" s="135">
        <f t="shared" si="983"/>
        <v>1.2189802687912567E-2</v>
      </c>
      <c r="CO537" s="135">
        <f t="shared" si="992"/>
        <v>1.1875802015942155E-2</v>
      </c>
      <c r="CP537" s="134">
        <f>VLOOKUP($H537,RoR!$E:$F,2,FALSE)</f>
        <v>5.5558333333333321E-2</v>
      </c>
      <c r="CQ537" s="135">
        <v>2.691120634145272E-2</v>
      </c>
      <c r="CR537" s="135">
        <f t="shared" si="990"/>
        <v>2.86471269918806E-2</v>
      </c>
      <c r="CS537" s="135">
        <f t="shared" si="993"/>
        <v>1.902613959259147E-2</v>
      </c>
      <c r="CT537" s="135">
        <f t="shared" si="994"/>
        <v>6.4575155250632399E-2</v>
      </c>
      <c r="CU537" s="139">
        <f t="shared" si="984"/>
        <v>0.85150049999999999</v>
      </c>
      <c r="CV537" s="335">
        <f t="shared" si="985"/>
        <v>0.92303077153834634</v>
      </c>
      <c r="CW537" s="335">
        <f t="shared" si="986"/>
        <v>0.52502249887505614</v>
      </c>
      <c r="CX537" s="335">
        <f t="shared" si="987"/>
        <v>0.88499666072084604</v>
      </c>
      <c r="CY537" s="335">
        <f t="shared" si="988"/>
        <v>0.42887993290280618</v>
      </c>
      <c r="CZ537" s="336">
        <f>INDEX('State Tax Lookup'!$D$7:$Z$91,MATCH(Calculation!$C537,'State Tax Lookup'!$B$7:$B$91,0),MATCH($H537,'State Tax Lookup'!$D$6:$Z$6,0))</f>
        <v>0.40134999999999998</v>
      </c>
      <c r="DA537" s="303">
        <v>0.37</v>
      </c>
      <c r="DB537" s="57">
        <f t="shared" si="991"/>
        <v>13.385714364321288</v>
      </c>
      <c r="DC537" s="56">
        <f t="shared" si="995"/>
        <v>6.3195321420672745E-2</v>
      </c>
      <c r="DD537" s="303">
        <f>VLOOKUP($H537,RoR!$E:$F,2,FALSE)</f>
        <v>5.5558333333333321E-2</v>
      </c>
      <c r="DE537" s="304">
        <f>HLOOKUP($H537,'GDP-PI'!$D$8:$CQ$11,3,FALSE)</f>
        <v>2.691120634145272E-2</v>
      </c>
      <c r="DF537" s="303">
        <f>VLOOKUP(H537,'HW Dx Data'!$E:$F,2,FALSE)</f>
        <v>498.0223154772637</v>
      </c>
      <c r="DG537" s="89">
        <f ca="1">VLOOKUP(CC537,'ECI - Input Price'!M$13:N$33,2,FALSE)</f>
        <v>104.52499999999999</v>
      </c>
      <c r="DH537" s="89"/>
      <c r="DI537" s="89"/>
      <c r="DJ537" s="56">
        <f t="shared" ca="1" si="1003"/>
        <v>-4.5584612745252218E-2</v>
      </c>
      <c r="DK537" s="53">
        <f>HLOOKUP(H537,'GDP-PI'!$8:$9,2,FALSE)</f>
        <v>92.498000000000005</v>
      </c>
      <c r="DL537" s="355">
        <f t="shared" si="996"/>
        <v>2.6555467950038037E-2</v>
      </c>
      <c r="EC537"/>
    </row>
    <row r="538" spans="1:133" s="126" customFormat="1" ht="21" customHeight="1" x14ac:dyDescent="0.4">
      <c r="A538" s="233" t="s">
        <v>213</v>
      </c>
      <c r="B538" s="127" t="s">
        <v>213</v>
      </c>
      <c r="C538" s="127">
        <v>4008754</v>
      </c>
      <c r="D538" s="127" t="s">
        <v>214</v>
      </c>
      <c r="E538" s="127"/>
      <c r="F538" s="127"/>
      <c r="G538" s="127" t="s">
        <v>164</v>
      </c>
      <c r="H538" s="128">
        <v>2008</v>
      </c>
      <c r="I538" s="129"/>
      <c r="J538" s="125">
        <f>IFERROR(INDEX('Labor Expenditures'!$E$7:$W$91,MATCH($C538,'Labor Expenditures'!$C$7:$C$91,0),MATCH($G538,'Labor Expenditures'!$E$5:$W$5,0)),"NA")</f>
        <v>12371.819194316275</v>
      </c>
      <c r="K538" s="125">
        <f t="shared" ca="1" si="997"/>
        <v>114.66004814009521</v>
      </c>
      <c r="L538" s="47"/>
      <c r="M538" s="131">
        <f t="shared" ca="1" si="1004"/>
        <v>2.7755369896786269E-2</v>
      </c>
      <c r="N538" s="131"/>
      <c r="O538" s="131"/>
      <c r="P538" s="59">
        <f t="shared" ca="1" si="1006"/>
        <v>1.3175622119795149E-4</v>
      </c>
      <c r="Q538" s="61"/>
      <c r="R538" s="387"/>
      <c r="S538" s="49">
        <f t="shared" ca="1" si="1011"/>
        <v>109.7960651072439</v>
      </c>
      <c r="T538" s="61">
        <f ca="1">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</f>
        <v>-7.2856327510904928E-2</v>
      </c>
      <c r="U538" s="61"/>
      <c r="V538" s="125">
        <f>IFERROR(INDEX('Non-Labor Expenditures'!$E$7:$AA$91,MATCH($C538,'Non-Labor Expenditures'!$C$7:$C$91,0),MATCH($G538,'Non-Labor Expenditures'!$E$5:$AA$5,0)),"NA")</f>
        <v>17916.704930453558</v>
      </c>
      <c r="W538" s="125">
        <f t="shared" si="998"/>
        <v>190.06943191943435</v>
      </c>
      <c r="X538" s="131">
        <f t="shared" si="1007"/>
        <v>4.0621631170214723E-2</v>
      </c>
      <c r="Y538" s="131">
        <f t="shared" si="1008"/>
        <v>1.9283304966885437E-4</v>
      </c>
      <c r="Z538" s="131"/>
      <c r="AA538" s="131"/>
      <c r="AB538" s="131"/>
      <c r="AC538" s="125">
        <f t="shared" si="978"/>
        <v>8113.6904396448381</v>
      </c>
      <c r="AD538" s="129"/>
      <c r="AE538" s="133">
        <v>575.66073750935129</v>
      </c>
      <c r="AF538" s="134">
        <v>2.6605758531409479E-2</v>
      </c>
      <c r="AG538" s="59">
        <f t="shared" si="999"/>
        <v>1.2629895473342486E-4</v>
      </c>
      <c r="AH538" s="134"/>
      <c r="AI538" s="134"/>
      <c r="AJ538" s="129">
        <f t="shared" si="889"/>
        <v>38402.214564414673</v>
      </c>
      <c r="AK538" s="134">
        <f t="shared" si="1009"/>
        <v>7.5031979534620985E-2</v>
      </c>
      <c r="AL538" s="129"/>
      <c r="AM538" s="129"/>
      <c r="AN538" s="129"/>
      <c r="AO538" s="129"/>
      <c r="AP538" s="133">
        <f t="shared" si="1010"/>
        <v>271.41676018047235</v>
      </c>
      <c r="AQ538" s="134">
        <f>+BB538/Outputs!$B$16</f>
        <v>4.0272811522883431E-3</v>
      </c>
      <c r="AR538" s="93">
        <f t="shared" si="1000"/>
        <v>0.32216421200303885</v>
      </c>
      <c r="AS538" s="93">
        <f t="shared" si="1001"/>
        <v>0.4665539509551106</v>
      </c>
      <c r="AT538" s="93">
        <f t="shared" si="1002"/>
        <v>0.21128183704185047</v>
      </c>
      <c r="AU538" s="93">
        <f t="shared" ca="1" si="1005"/>
        <v>3.3569241930490809E-2</v>
      </c>
      <c r="AV538" s="132">
        <f t="shared" ref="AV538:AV551" ca="1" si="1013">+AV537*EXP(AU538)</f>
        <v>109.27342313077102</v>
      </c>
      <c r="AW538" s="134">
        <f t="shared" ref="AW538:AW551" ca="1" si="1014">LN(AV538/AV537)</f>
        <v>3.3569241930490837E-2</v>
      </c>
      <c r="AX538" s="56">
        <f>+AJ538/$AL$13</f>
        <v>4.7470533337481205E-3</v>
      </c>
      <c r="AY538" s="135">
        <f t="shared" ca="1" si="1012"/>
        <v>1.5935498181753372E-4</v>
      </c>
      <c r="AZ538" s="93"/>
      <c r="BA538" s="93"/>
      <c r="BB538" s="234">
        <f>IFERROR(INDEX('Total Customers'!$E$7:$AA$91,MATCH($C538,'Total Customers'!$C$7:$C$91,0),MATCH($G538,'Total Customers'!$E$5:$AA$5,0)),"NA")</f>
        <v>141488</v>
      </c>
      <c r="BC538" s="411">
        <f t="shared" si="973"/>
        <v>1.679897248296305E-2</v>
      </c>
      <c r="BD538" s="92"/>
      <c r="BE538" s="281" t="str">
        <f t="shared" si="969"/>
        <v>MADISON GAS AND ELECTRIC COMPANY</v>
      </c>
      <c r="BF538" s="290">
        <f t="shared" si="970"/>
        <v>4008754</v>
      </c>
      <c r="BG538" s="46" t="str">
        <f t="shared" si="971"/>
        <v>WI</v>
      </c>
      <c r="BH538" s="46"/>
      <c r="BI538" s="46" t="str">
        <f t="shared" si="972"/>
        <v>2008 Y</v>
      </c>
      <c r="BJ538" s="129"/>
      <c r="BK538" s="129"/>
      <c r="BL538" s="129">
        <f>INDEX('Dist. Plant Gas Additions'!$E$7:$AD$91,MATCH($C538,'Dist. Plant Gas Additions'!$C$7:$C$91,0),MATCH(Calculation!$G538,'Dist. Plant Gas Additions'!$E$5:$AD$5,0))</f>
        <v>10456</v>
      </c>
      <c r="BM538" s="129">
        <f>INDEX('Gen. Plant Additions'!$E$7:$AD$91,MATCH($C538,'Gen. Plant Additions'!$C$7:$C$91,0),MATCH(Calculation!$G538,'Gen. Plant Additions'!$E$5:$AD$5,0))</f>
        <v>258</v>
      </c>
      <c r="BN538" s="393">
        <f t="shared" si="979"/>
        <v>0.9849007322770027</v>
      </c>
      <c r="BO538" s="46">
        <f t="shared" si="930"/>
        <v>254.10438892746669</v>
      </c>
      <c r="BP538" s="46">
        <f t="shared" si="931"/>
        <v>-3.8956110725333133</v>
      </c>
      <c r="BQ538" s="129">
        <f>INDEX('Dist Plant Depreciation'!$D$7:$AC$94,MATCH($C538,'Dist Plant Depreciation'!$C$7:$C$94,0),MATCH(Calculation!$G538,'Dist Plant Depreciation'!$D$5:$AC$5,0))</f>
        <v>146572</v>
      </c>
      <c r="BR538" s="129">
        <f>INDEX('Gen. Plant Depreciation'!$D$7:$AC$94,MATCH($C538,'Gen. Plant Depreciation'!$C$7:$C$94,0),MATCH(Calculation!$G538,'Gen. Plant Depreciation'!$D$5:$AC$5,0))</f>
        <v>1661</v>
      </c>
      <c r="BS538" s="129"/>
      <c r="BT538" s="129"/>
      <c r="BU538" s="129"/>
      <c r="BV538" s="129"/>
      <c r="BW538" s="129"/>
      <c r="BX538" s="129"/>
      <c r="BY538" s="129">
        <f>INDEX('Gross Dx Plant'!$D$7:$AC$91,MATCH($C538,'Gross Dx Plant'!$C$7:$C$91,0),MATCH(Calculation!$G538,'Gross Dx Plant'!$D$5:$AC$5,0))</f>
        <v>249629</v>
      </c>
      <c r="BZ538" s="129">
        <f>INDEX('Gross Gen Plant'!$D$7:$AC$91,MATCH($C538,'Gross Gen Plant'!$C$7:$C$91,0),MATCH(Calculation!$G538,'Gross Gen Plant'!$D$5:$AC$5,0))</f>
        <v>3827</v>
      </c>
      <c r="CA538" s="129">
        <f t="shared" si="960"/>
        <v>105223</v>
      </c>
      <c r="CB538" s="129"/>
      <c r="CC538" s="133">
        <v>2008</v>
      </c>
      <c r="CD538" s="129"/>
      <c r="CE538" s="129"/>
      <c r="CF538" s="129"/>
      <c r="CG538" s="137"/>
      <c r="CH538" s="129">
        <f t="shared" si="980"/>
        <v>10714</v>
      </c>
      <c r="CI538" s="46">
        <f t="shared" si="989"/>
        <v>10710.104388927466</v>
      </c>
      <c r="CJ538" s="46">
        <f t="shared" si="981"/>
        <v>18.793573689126898</v>
      </c>
      <c r="CK538" s="443">
        <v>0.89130434782608692</v>
      </c>
      <c r="CL538" s="46">
        <f>+CL528*CK538+CJ529*CK537+CJ530*CK536+CJ531*CK535+CJ532*CK534+CJ533*CK533+CJ534*CK532+CJ535*CK531+CJ536*CK530+CJ537*CK529+CJ538</f>
        <v>550.60362188120939</v>
      </c>
      <c r="CM538" s="134">
        <f t="shared" si="982"/>
        <v>2.2122439063601888E-2</v>
      </c>
      <c r="CN538" s="135">
        <f t="shared" si="983"/>
        <v>1.2527231088577546E-2</v>
      </c>
      <c r="CO538" s="135">
        <f t="shared" si="992"/>
        <v>1.2194603053965461E-2</v>
      </c>
      <c r="CP538" s="134">
        <f>VLOOKUP($H538,RoR!$E:$F,2,FALSE)</f>
        <v>5.6316666666666668E-2</v>
      </c>
      <c r="CQ538" s="135">
        <v>1.9092304698479889E-2</v>
      </c>
      <c r="CR538" s="135">
        <f t="shared" si="990"/>
        <v>3.7224361968186778E-2</v>
      </c>
      <c r="CS538" s="135">
        <f t="shared" si="993"/>
        <v>1.8707338554568166E-2</v>
      </c>
      <c r="CT538" s="135">
        <f t="shared" si="994"/>
        <v>6.9030581091053131E-2</v>
      </c>
      <c r="CU538" s="139">
        <f t="shared" si="984"/>
        <v>0.85150049999999999</v>
      </c>
      <c r="CV538" s="335">
        <f t="shared" si="985"/>
        <v>0.91060168006009956</v>
      </c>
      <c r="CW538" s="335">
        <f t="shared" si="986"/>
        <v>0.53108168097070152</v>
      </c>
      <c r="CX538" s="335">
        <f t="shared" si="987"/>
        <v>0.88825329850328805</v>
      </c>
      <c r="CY538" s="335">
        <f t="shared" si="988"/>
        <v>0.4295627335323573</v>
      </c>
      <c r="CZ538" s="336">
        <f>INDEX('State Tax Lookup'!$D$7:$Z$91,MATCH(Calculation!$C538,'State Tax Lookup'!$B$7:$B$91,0),MATCH($H538,'State Tax Lookup'!$D$6:$Z$6,0))</f>
        <v>0.40134999999999998</v>
      </c>
      <c r="DA538" s="303">
        <v>0.37</v>
      </c>
      <c r="DB538" s="57">
        <f t="shared" si="991"/>
        <v>15.065620500710025</v>
      </c>
      <c r="DC538" s="56">
        <f t="shared" si="995"/>
        <v>0.11822731390419916</v>
      </c>
      <c r="DD538" s="303">
        <f>VLOOKUP($H538,RoR!$E:$F,2,FALSE)</f>
        <v>5.6316666666666668E-2</v>
      </c>
      <c r="DE538" s="304">
        <f>HLOOKUP($H538,'GDP-PI'!$D$8:$CQ$11,3,FALSE)</f>
        <v>1.9092304698479889E-2</v>
      </c>
      <c r="DF538" s="303">
        <f>VLOOKUP(H538,'HW Dx Data'!$E:$F,2,FALSE)</f>
        <v>569.88120333515076</v>
      </c>
      <c r="DG538" s="89">
        <f ca="1">VLOOKUP(CC538,'ECI - Input Price'!M$13:N$33,2,FALSE)</f>
        <v>107.9</v>
      </c>
      <c r="DH538" s="89"/>
      <c r="DI538" s="89"/>
      <c r="DJ538" s="56">
        <f t="shared" ca="1" si="1003"/>
        <v>3.1778595021460486E-2</v>
      </c>
      <c r="DK538" s="53">
        <f>HLOOKUP(H538,'GDP-PI'!$8:$9,2,FALSE)</f>
        <v>94.263999999999996</v>
      </c>
      <c r="DL538" s="355">
        <f t="shared" si="996"/>
        <v>1.8912333748032254E-2</v>
      </c>
      <c r="EC538"/>
    </row>
    <row r="539" spans="1:133" s="126" customFormat="1" ht="21" customHeight="1" x14ac:dyDescent="0.4">
      <c r="A539" s="233" t="s">
        <v>213</v>
      </c>
      <c r="B539" s="127" t="s">
        <v>213</v>
      </c>
      <c r="C539" s="127">
        <v>4008754</v>
      </c>
      <c r="D539" s="127" t="s">
        <v>214</v>
      </c>
      <c r="E539" s="127"/>
      <c r="F539" s="127"/>
      <c r="G539" s="127" t="s">
        <v>165</v>
      </c>
      <c r="H539" s="128">
        <v>2009</v>
      </c>
      <c r="I539" s="129"/>
      <c r="J539" s="125">
        <f>IFERROR(INDEX('Labor Expenditures'!$E$7:$W$91,MATCH($C539,'Labor Expenditures'!$C$7:$C$91,0),MATCH($G539,'Labor Expenditures'!$E$5:$W$5,0)),"NA")</f>
        <v>12072.858683316259</v>
      </c>
      <c r="K539" s="125">
        <f t="shared" ca="1" si="997"/>
        <v>108.83803185320045</v>
      </c>
      <c r="L539" s="47"/>
      <c r="M539" s="131">
        <f t="shared" ca="1" si="1004"/>
        <v>-5.211081651583923E-2</v>
      </c>
      <c r="N539" s="131"/>
      <c r="O539" s="131"/>
      <c r="P539" s="59">
        <f t="shared" ca="1" si="1006"/>
        <v>-2.3068094771419432E-4</v>
      </c>
      <c r="Q539" s="61"/>
      <c r="R539" s="387"/>
      <c r="S539" s="49">
        <f t="shared" ca="1" si="1011"/>
        <v>118.12515437085621</v>
      </c>
      <c r="T539" s="61">
        <f ca="1">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</f>
        <v>7.3120001133354207E-2</v>
      </c>
      <c r="U539" s="61"/>
      <c r="V539" s="125">
        <f>IFERROR(INDEX('Non-Labor Expenditures'!$E$7:$AA$91,MATCH($C539,'Non-Labor Expenditures'!$C$7:$C$91,0),MATCH($G539,'Non-Labor Expenditures'!$E$5:$AA$5,0)),"NA")</f>
        <v>17483.754272404363</v>
      </c>
      <c r="W539" s="125">
        <f t="shared" si="998"/>
        <v>184.04145593537157</v>
      </c>
      <c r="X539" s="131">
        <f t="shared" si="1007"/>
        <v>-3.2228400333264962E-2</v>
      </c>
      <c r="Y539" s="131">
        <f t="shared" si="1008"/>
        <v>-1.4266669434992037E-4</v>
      </c>
      <c r="Z539" s="131"/>
      <c r="AA539" s="131"/>
      <c r="AB539" s="131"/>
      <c r="AC539" s="125">
        <f t="shared" si="978"/>
        <v>7879.5340124793574</v>
      </c>
      <c r="AD539" s="129"/>
      <c r="AE539" s="133">
        <v>600.63942557531368</v>
      </c>
      <c r="AF539" s="134">
        <v>4.2476307254125968E-2</v>
      </c>
      <c r="AG539" s="59">
        <f t="shared" si="999"/>
        <v>1.88031496489847E-4</v>
      </c>
      <c r="AH539" s="134"/>
      <c r="AI539" s="134"/>
      <c r="AJ539" s="129">
        <f t="shared" si="889"/>
        <v>37436.146968199981</v>
      </c>
      <c r="AK539" s="134">
        <f t="shared" si="1009"/>
        <v>-2.5478394739650346E-2</v>
      </c>
      <c r="AL539" s="129"/>
      <c r="AM539" s="129"/>
      <c r="AN539" s="129"/>
      <c r="AO539" s="129"/>
      <c r="AP539" s="133">
        <f t="shared" si="1010"/>
        <v>262.92567910635387</v>
      </c>
      <c r="AQ539" s="134">
        <f>+BB539/Outputs!$B$17</f>
        <v>4.0475898756098761E-3</v>
      </c>
      <c r="AR539" s="93">
        <f t="shared" si="1000"/>
        <v>0.32249202070852834</v>
      </c>
      <c r="AS539" s="93">
        <f t="shared" si="1001"/>
        <v>0.46702867918688012</v>
      </c>
      <c r="AT539" s="93">
        <f t="shared" si="1002"/>
        <v>0.21047930010459151</v>
      </c>
      <c r="AU539" s="93">
        <f t="shared" ca="1" si="1005"/>
        <v>-2.2883290878870657E-2</v>
      </c>
      <c r="AV539" s="132">
        <f t="shared" ca="1" si="1013"/>
        <v>106.80128085546684</v>
      </c>
      <c r="AW539" s="134">
        <f t="shared" ca="1" si="1014"/>
        <v>-2.2883290878870644E-2</v>
      </c>
      <c r="AX539" s="56">
        <f>+AJ539/$AL$14</f>
        <v>4.4267383076616769E-3</v>
      </c>
      <c r="AY539" s="135">
        <f t="shared" ca="1" si="1012"/>
        <v>-1.0129834033886173E-4</v>
      </c>
      <c r="AZ539" s="93"/>
      <c r="BA539" s="93"/>
      <c r="BB539" s="234">
        <f>IFERROR(INDEX('Total Customers'!$E$7:$AA$91,MATCH($C539,'Total Customers'!$C$7:$C$91,0),MATCH($G539,'Total Customers'!$E$5:$AA$5,0)),"NA")</f>
        <v>142383</v>
      </c>
      <c r="BC539" s="411">
        <f t="shared" si="973"/>
        <v>6.3057019954234003E-3</v>
      </c>
      <c r="BD539" s="92"/>
      <c r="BE539" s="281" t="str">
        <f t="shared" si="969"/>
        <v>MADISON GAS AND ELECTRIC COMPANY</v>
      </c>
      <c r="BF539" s="290">
        <f t="shared" si="970"/>
        <v>4008754</v>
      </c>
      <c r="BG539" s="46" t="str">
        <f t="shared" si="971"/>
        <v>WI</v>
      </c>
      <c r="BH539" s="46"/>
      <c r="BI539" s="46" t="str">
        <f t="shared" si="972"/>
        <v>2009 Y</v>
      </c>
      <c r="BJ539" s="129"/>
      <c r="BK539" s="129"/>
      <c r="BL539" s="129">
        <f>INDEX('Dist. Plant Gas Additions'!$E$7:$AD$91,MATCH($C539,'Dist. Plant Gas Additions'!$C$7:$C$91,0),MATCH(Calculation!$G539,'Dist. Plant Gas Additions'!$E$5:$AD$5,0))</f>
        <v>15675</v>
      </c>
      <c r="BM539" s="129">
        <f>INDEX('Gen. Plant Additions'!$E$7:$AD$91,MATCH($C539,'Gen. Plant Additions'!$C$7:$C$91,0),MATCH(Calculation!$G539,'Gen. Plant Additions'!$E$5:$AD$5,0))</f>
        <v>239</v>
      </c>
      <c r="BN539" s="393">
        <f t="shared" si="979"/>
        <v>0.98497354894383371</v>
      </c>
      <c r="BO539" s="46">
        <f t="shared" si="930"/>
        <v>235.40867819757625</v>
      </c>
      <c r="BP539" s="46">
        <f t="shared" si="931"/>
        <v>-3.5913218024237494</v>
      </c>
      <c r="BQ539" s="129">
        <f>INDEX('Dist Plant Depreciation'!$D$7:$AC$94,MATCH($C539,'Dist Plant Depreciation'!$C$7:$C$94,0),MATCH(Calculation!$G539,'Dist Plant Depreciation'!$D$5:$AC$5,0))</f>
        <v>151858</v>
      </c>
      <c r="BR539" s="129">
        <f>INDEX('Gen. Plant Depreciation'!$D$7:$AC$94,MATCH($C539,'Gen. Plant Depreciation'!$C$7:$C$94,0),MATCH(Calculation!$G539,'Gen. Plant Depreciation'!$D$5:$AC$5,0))</f>
        <v>1797</v>
      </c>
      <c r="BS539" s="129"/>
      <c r="BT539" s="129"/>
      <c r="BU539" s="129"/>
      <c r="BV539" s="129"/>
      <c r="BW539" s="129"/>
      <c r="BX539" s="129"/>
      <c r="BY539" s="129">
        <f>INDEX('Gross Dx Plant'!$D$7:$AC$91,MATCH($C539,'Gross Dx Plant'!$C$7:$C$91,0),MATCH(Calculation!$G539,'Gross Dx Plant'!$D$5:$AC$5,0))</f>
        <v>262525</v>
      </c>
      <c r="BZ539" s="129">
        <f>INDEX('Gross Gen Plant'!$D$7:$AC$91,MATCH($C539,'Gross Gen Plant'!$C$7:$C$91,0),MATCH(Calculation!$G539,'Gross Gen Plant'!$D$5:$AC$5,0))</f>
        <v>4005</v>
      </c>
      <c r="CA539" s="129">
        <f t="shared" si="960"/>
        <v>112875</v>
      </c>
      <c r="CB539" s="129"/>
      <c r="CC539" s="133">
        <v>2009</v>
      </c>
      <c r="CD539" s="129"/>
      <c r="CE539" s="129"/>
      <c r="CF539" s="129"/>
      <c r="CG539" s="137"/>
      <c r="CH539" s="129">
        <f t="shared" si="980"/>
        <v>15914</v>
      </c>
      <c r="CI539" s="46">
        <f t="shared" si="989"/>
        <v>15910.408678197577</v>
      </c>
      <c r="CJ539" s="46">
        <f t="shared" si="981"/>
        <v>28.878626145092316</v>
      </c>
      <c r="CK539" s="443">
        <v>0.87912087912087911</v>
      </c>
      <c r="CL539" s="46">
        <f>+CL528*CK539+CJ529*CK538+CJ530*CK537+CJ531*CK536+CJ532*CK535+CJ533*CK534+CJ534*CK533+CJ535*CK532+CJ536*CK531+CJ537*CK530+CJ538*CK529+CJ539</f>
        <v>572.40353730613663</v>
      </c>
      <c r="CM539" s="134">
        <f t="shared" si="982"/>
        <v>3.8829056693948115E-2</v>
      </c>
      <c r="CN539" s="135">
        <f t="shared" si="983"/>
        <v>1.2856273440373926E-2</v>
      </c>
      <c r="CO539" s="135">
        <f t="shared" si="992"/>
        <v>1.2524435738954681E-2</v>
      </c>
      <c r="CP539" s="134">
        <f>VLOOKUP($H539,RoR!$E:$F,2,FALSE)</f>
        <v>5.3133333333333324E-2</v>
      </c>
      <c r="CQ539" s="135">
        <v>7.7972502758210105E-3</v>
      </c>
      <c r="CR539" s="135">
        <f t="shared" si="990"/>
        <v>4.5336083057512314E-2</v>
      </c>
      <c r="CS539" s="135">
        <f t="shared" si="993"/>
        <v>1.8377505869578946E-2</v>
      </c>
      <c r="CT539" s="135">
        <f t="shared" si="994"/>
        <v>6.3720160300892073E-2</v>
      </c>
      <c r="CU539" s="139">
        <f t="shared" si="984"/>
        <v>0.85150049999999999</v>
      </c>
      <c r="CV539" s="335">
        <f t="shared" si="985"/>
        <v>0.96515780330083989</v>
      </c>
      <c r="CW539" s="335">
        <f t="shared" si="986"/>
        <v>0.50448557089084056</v>
      </c>
      <c r="CX539" s="335">
        <f t="shared" si="987"/>
        <v>0.87391435735465484</v>
      </c>
      <c r="CY539" s="335">
        <f t="shared" si="988"/>
        <v>0.42551605393279146</v>
      </c>
      <c r="CZ539" s="336">
        <f>INDEX('State Tax Lookup'!$D$7:$Z$91,MATCH(Calculation!$C539,'State Tax Lookup'!$B$7:$B$91,0),MATCH($H539,'State Tax Lookup'!$D$6:$Z$6,0))</f>
        <v>0.40134999999999998</v>
      </c>
      <c r="DA539" s="303">
        <v>0.37</v>
      </c>
      <c r="DB539" s="57">
        <f t="shared" si="991"/>
        <v>14.310719543685343</v>
      </c>
      <c r="DC539" s="56">
        <f t="shared" si="995"/>
        <v>-5.1406485083891881E-2</v>
      </c>
      <c r="DD539" s="303">
        <f>VLOOKUP($H539,RoR!$E:$F,2,FALSE)</f>
        <v>5.3133333333333324E-2</v>
      </c>
      <c r="DE539" s="304">
        <f>HLOOKUP($H539,'GDP-PI'!$D$8:$CQ$11,3,FALSE)</f>
        <v>7.7972502758210105E-3</v>
      </c>
      <c r="DF539" s="303">
        <f>VLOOKUP(H539,'HW Dx Data'!$E:$F,2,FALSE)</f>
        <v>550.94063679692806</v>
      </c>
      <c r="DG539" s="89">
        <f ca="1">VLOOKUP(CC539,'ECI - Input Price'!M$13:N$33,2,FALSE)</f>
        <v>110.925</v>
      </c>
      <c r="DH539" s="89"/>
      <c r="DI539" s="89"/>
      <c r="DJ539" s="56">
        <f t="shared" ca="1" si="1003"/>
        <v>2.7649425000884052E-2</v>
      </c>
      <c r="DK539" s="53">
        <f>HLOOKUP(H539,'GDP-PI'!$8:$9,2,FALSE)</f>
        <v>94.998999999999995</v>
      </c>
      <c r="DL539" s="355">
        <f t="shared" si="996"/>
        <v>7.7670088183096342E-3</v>
      </c>
      <c r="EC539"/>
    </row>
    <row r="540" spans="1:133" s="126" customFormat="1" ht="21" customHeight="1" x14ac:dyDescent="0.4">
      <c r="A540" s="233" t="s">
        <v>213</v>
      </c>
      <c r="B540" s="127" t="s">
        <v>213</v>
      </c>
      <c r="C540" s="127">
        <v>4008754</v>
      </c>
      <c r="D540" s="127" t="s">
        <v>214</v>
      </c>
      <c r="E540" s="127"/>
      <c r="F540" s="127"/>
      <c r="G540" s="127" t="s">
        <v>166</v>
      </c>
      <c r="H540" s="128">
        <v>2010</v>
      </c>
      <c r="I540" s="129"/>
      <c r="J540" s="125">
        <f>IFERROR(INDEX('Labor Expenditures'!$E$7:$W$91,MATCH($C540,'Labor Expenditures'!$C$7:$C$91,0),MATCH($G540,'Labor Expenditures'!$E$5:$W$5,0)),"NA")</f>
        <v>13584.779786399962</v>
      </c>
      <c r="K540" s="125">
        <f t="shared" ca="1" si="997"/>
        <v>116.18370567799839</v>
      </c>
      <c r="L540" s="47"/>
      <c r="M540" s="131">
        <f t="shared" ca="1" si="1004"/>
        <v>6.5311777246772187E-2</v>
      </c>
      <c r="N540" s="131"/>
      <c r="O540" s="131"/>
      <c r="P540" s="59">
        <f t="shared" ca="1" si="1006"/>
        <v>3.1156456300198245E-4</v>
      </c>
      <c r="Q540" s="61"/>
      <c r="R540" s="387"/>
      <c r="S540" s="49">
        <f t="shared" ca="1" si="1011"/>
        <v>97.499352457818759</v>
      </c>
      <c r="T540" s="61">
        <f ca="1">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</f>
        <v>-0.19189895613280233</v>
      </c>
      <c r="U540" s="61"/>
      <c r="V540" s="125">
        <f>IFERROR(INDEX('Non-Labor Expenditures'!$E$7:$AA$91,MATCH($C540,'Non-Labor Expenditures'!$C$7:$C$91,0),MATCH($G540,'Non-Labor Expenditures'!$E$5:$AA$5,0)),"NA")</f>
        <v>19673.298417579175</v>
      </c>
      <c r="W540" s="125">
        <f t="shared" si="998"/>
        <v>204.69777458488983</v>
      </c>
      <c r="X540" s="131">
        <f t="shared" si="1007"/>
        <v>0.10637358478659857</v>
      </c>
      <c r="Y540" s="131">
        <f t="shared" si="1008"/>
        <v>5.0744660237566665E-4</v>
      </c>
      <c r="Z540" s="131"/>
      <c r="AA540" s="131"/>
      <c r="AB540" s="131"/>
      <c r="AC540" s="125">
        <f t="shared" si="978"/>
        <v>8328.2807666594672</v>
      </c>
      <c r="AD540" s="129"/>
      <c r="AE540" s="133">
        <v>614.94050365754936</v>
      </c>
      <c r="AF540" s="134">
        <v>2.3530724063141082E-2</v>
      </c>
      <c r="AG540" s="59">
        <f t="shared" si="999"/>
        <v>1.1225142032427408E-4</v>
      </c>
      <c r="AH540" s="134"/>
      <c r="AI540" s="134"/>
      <c r="AJ540" s="129">
        <f t="shared" si="889"/>
        <v>41586.358970638605</v>
      </c>
      <c r="AK540" s="134">
        <f t="shared" si="1009"/>
        <v>0.10513546999411456</v>
      </c>
      <c r="AL540" s="129"/>
      <c r="AM540" s="129"/>
      <c r="AN540" s="129"/>
      <c r="AO540" s="129"/>
      <c r="AP540" s="133">
        <f t="shared" si="1010"/>
        <v>290.49882274903848</v>
      </c>
      <c r="AQ540" s="134">
        <f>+BB540/Outputs!$B$18</f>
        <v>4.0472697814392328E-3</v>
      </c>
      <c r="AR540" s="93">
        <f t="shared" si="1000"/>
        <v>0.32666432269271956</v>
      </c>
      <c r="AS540" s="93">
        <f t="shared" si="1001"/>
        <v>0.47307095173850633</v>
      </c>
      <c r="AT540" s="93">
        <f t="shared" si="1002"/>
        <v>0.20026472556877409</v>
      </c>
      <c r="AU540" s="93">
        <f t="shared" ca="1" si="1005"/>
        <v>7.6032213312673388E-2</v>
      </c>
      <c r="AV540" s="132">
        <f t="shared" ca="1" si="1013"/>
        <v>115.23829706261417</v>
      </c>
      <c r="AW540" s="134">
        <f t="shared" ca="1" si="1014"/>
        <v>7.6032213312673416E-2</v>
      </c>
      <c r="AX540" s="56">
        <f>+AJ540/$AL$15</f>
        <v>4.7704193046956243E-3</v>
      </c>
      <c r="AY540" s="135">
        <f t="shared" ca="1" si="1012"/>
        <v>3.6270553816551292E-4</v>
      </c>
      <c r="AZ540" s="93"/>
      <c r="BA540" s="93"/>
      <c r="BB540" s="234">
        <f>IFERROR(INDEX('Total Customers'!$E$7:$AA$91,MATCH($C540,'Total Customers'!$C$7:$C$91,0),MATCH($G540,'Total Customers'!$E$5:$AA$5,0)),"NA")</f>
        <v>143155</v>
      </c>
      <c r="BC540" s="411">
        <f t="shared" si="973"/>
        <v>5.4073495021256628E-3</v>
      </c>
      <c r="BD540" s="92"/>
      <c r="BE540" s="281" t="str">
        <f t="shared" si="969"/>
        <v>MADISON GAS AND ELECTRIC COMPANY</v>
      </c>
      <c r="BF540" s="290">
        <f t="shared" si="970"/>
        <v>4008754</v>
      </c>
      <c r="BG540" s="46" t="str">
        <f t="shared" si="971"/>
        <v>WI</v>
      </c>
      <c r="BH540" s="46"/>
      <c r="BI540" s="46" t="str">
        <f t="shared" si="972"/>
        <v>2010 Y</v>
      </c>
      <c r="BJ540" s="129"/>
      <c r="BK540" s="129"/>
      <c r="BL540" s="129">
        <f>INDEX('Dist. Plant Gas Additions'!$E$7:$AD$91,MATCH($C540,'Dist. Plant Gas Additions'!$C$7:$C$91,0),MATCH(Calculation!$G540,'Dist. Plant Gas Additions'!$E$5:$AD$5,0))</f>
        <v>10446</v>
      </c>
      <c r="BM540" s="129">
        <f>INDEX('Gen. Plant Additions'!$E$7:$AD$91,MATCH($C540,'Gen. Plant Additions'!$C$7:$C$91,0),MATCH(Calculation!$G540,'Gen. Plant Additions'!$E$5:$AD$5,0))</f>
        <v>73</v>
      </c>
      <c r="BN540" s="393">
        <f t="shared" si="979"/>
        <v>0.98532807598466365</v>
      </c>
      <c r="BO540" s="46">
        <f t="shared" si="930"/>
        <v>71.928949546880446</v>
      </c>
      <c r="BP540" s="46">
        <f t="shared" si="931"/>
        <v>-1.0710504531195539</v>
      </c>
      <c r="BQ540" s="129">
        <f>INDEX('Dist Plant Depreciation'!$D$7:$AC$94,MATCH($C540,'Dist Plant Depreciation'!$C$7:$C$94,0),MATCH(Calculation!$G540,'Dist Plant Depreciation'!$D$5:$AC$5,0))</f>
        <v>153616</v>
      </c>
      <c r="BR540" s="129">
        <f>INDEX('Gen. Plant Depreciation'!$D$7:$AC$94,MATCH($C540,'Gen. Plant Depreciation'!$C$7:$C$94,0),MATCH(Calculation!$G540,'Gen. Plant Depreciation'!$D$5:$AC$5,0))</f>
        <v>1762</v>
      </c>
      <c r="BS540" s="129"/>
      <c r="BT540" s="129"/>
      <c r="BU540" s="129"/>
      <c r="BV540" s="129"/>
      <c r="BW540" s="129"/>
      <c r="BX540" s="129"/>
      <c r="BY540" s="129">
        <f>INDEX('Gross Dx Plant'!$D$7:$AC$91,MATCH($C540,'Gross Dx Plant'!$C$7:$C$91,0),MATCH(Calculation!$G540,'Gross Dx Plant'!$D$5:$AC$5,0))</f>
        <v>271383</v>
      </c>
      <c r="BZ540" s="129">
        <f>INDEX('Gross Gen Plant'!$D$7:$AC$91,MATCH($C540,'Gross Gen Plant'!$C$7:$C$91,0),MATCH(Calculation!$G540,'Gross Gen Plant'!$D$5:$AC$5,0))</f>
        <v>4041</v>
      </c>
      <c r="CA540" s="129">
        <f t="shared" si="960"/>
        <v>120046</v>
      </c>
      <c r="CB540" s="129"/>
      <c r="CC540" s="133">
        <v>2010</v>
      </c>
      <c r="CD540" s="129"/>
      <c r="CE540" s="129"/>
      <c r="CF540" s="129"/>
      <c r="CG540" s="137"/>
      <c r="CH540" s="129">
        <f t="shared" si="980"/>
        <v>10519</v>
      </c>
      <c r="CI540" s="46">
        <f t="shared" si="989"/>
        <v>10517.92894954688</v>
      </c>
      <c r="CJ540" s="46">
        <f t="shared" si="981"/>
        <v>18.485277673728291</v>
      </c>
      <c r="CK540" s="443">
        <v>0.8666666666666667</v>
      </c>
      <c r="CL540" s="46">
        <f>+CL528*CK540+CJ529*CK539+CJ530*CK538+CJ531*CK537+CJ532*CK536+CJ533*CK535+CJ534*CK534+CJ535*CK533+CJ536*CK532+CJ537*CK531+CJ538*CK530+CJ539*CK529+CJ540</f>
        <v>583.36964856918974</v>
      </c>
      <c r="CM540" s="134">
        <f t="shared" si="982"/>
        <v>1.8976803558432787E-2</v>
      </c>
      <c r="CN540" s="135">
        <f t="shared" si="983"/>
        <v>1.313612848387017E-2</v>
      </c>
      <c r="CO540" s="135">
        <f t="shared" si="992"/>
        <v>1.2839877670940547E-2</v>
      </c>
      <c r="CP540" s="134">
        <f>VLOOKUP($H540,RoR!$E:$F,2,FALSE)</f>
        <v>4.9433333333333322E-2</v>
      </c>
      <c r="CQ540" s="135">
        <v>1.1684333519300205E-2</v>
      </c>
      <c r="CR540" s="135">
        <f t="shared" si="990"/>
        <v>3.7748999814033117E-2</v>
      </c>
      <c r="CS540" s="135">
        <f t="shared" si="993"/>
        <v>1.8062063937593076E-2</v>
      </c>
      <c r="CT540" s="135">
        <f t="shared" si="994"/>
        <v>4.7937530248493419E-2</v>
      </c>
      <c r="CU540" s="139">
        <f t="shared" si="984"/>
        <v>0.85150049999999999</v>
      </c>
      <c r="CV540" s="335">
        <f t="shared" si="985"/>
        <v>1.037398205301105</v>
      </c>
      <c r="CW540" s="335">
        <f t="shared" si="986"/>
        <v>0.46926837491571133</v>
      </c>
      <c r="CX540" s="335">
        <f t="shared" si="987"/>
        <v>0.8548537519972772</v>
      </c>
      <c r="CY540" s="335">
        <f t="shared" si="988"/>
        <v>0.41615833911547367</v>
      </c>
      <c r="CZ540" s="336">
        <f>INDEX('State Tax Lookup'!$D$7:$Z$91,MATCH(Calculation!$C540,'State Tax Lookup'!$B$7:$B$91,0),MATCH($H540,'State Tax Lookup'!$D$6:$Z$6,0))</f>
        <v>0.40134999999999998</v>
      </c>
      <c r="DA540" s="303">
        <v>0.37</v>
      </c>
      <c r="DB540" s="57">
        <f t="shared" si="991"/>
        <v>14.549666841428481</v>
      </c>
      <c r="DC540" s="56">
        <f t="shared" si="995"/>
        <v>1.6559220977200386E-2</v>
      </c>
      <c r="DD540" s="303">
        <f>VLOOKUP($H540,RoR!$E:$F,2,FALSE)</f>
        <v>4.9433333333333322E-2</v>
      </c>
      <c r="DE540" s="304">
        <f>HLOOKUP($H540,'GDP-PI'!$D$8:$CQ$11,3,FALSE)</f>
        <v>1.1684333519300205E-2</v>
      </c>
      <c r="DF540" s="303">
        <f>VLOOKUP(H540,'HW Dx Data'!$E:$F,2,FALSE)</f>
        <v>568.98950262971744</v>
      </c>
      <c r="DG540" s="89">
        <f ca="1">VLOOKUP(CC540,'ECI - Input Price'!M$13:N$33,2,FALSE)</f>
        <v>116.925</v>
      </c>
      <c r="DH540" s="89"/>
      <c r="DI540" s="89"/>
      <c r="DJ540" s="56">
        <f t="shared" ca="1" si="1003"/>
        <v>5.2678406346976722E-2</v>
      </c>
      <c r="DK540" s="53">
        <f>HLOOKUP(H540,'GDP-PI'!$8:$9,2,FALSE)</f>
        <v>96.108999999999995</v>
      </c>
      <c r="DL540" s="355">
        <f t="shared" si="996"/>
        <v>1.1616598807150427E-2</v>
      </c>
      <c r="EC540"/>
    </row>
    <row r="541" spans="1:133" s="126" customFormat="1" ht="21" customHeight="1" x14ac:dyDescent="0.4">
      <c r="A541" s="233" t="s">
        <v>213</v>
      </c>
      <c r="B541" s="127" t="s">
        <v>213</v>
      </c>
      <c r="C541" s="127">
        <v>4008754</v>
      </c>
      <c r="D541" s="127" t="s">
        <v>214</v>
      </c>
      <c r="E541" s="127"/>
      <c r="F541" s="127"/>
      <c r="G541" s="127" t="s">
        <v>167</v>
      </c>
      <c r="H541" s="128">
        <v>2011</v>
      </c>
      <c r="I541" s="129"/>
      <c r="J541" s="125">
        <f>IFERROR(INDEX('Labor Expenditures'!$E$7:$W$91,MATCH($C541,'Labor Expenditures'!$C$7:$C$91,0),MATCH($G541,'Labor Expenditures'!$E$5:$W$5,0)),"NA")</f>
        <v>13984.036121772966</v>
      </c>
      <c r="K541" s="125">
        <f t="shared" ca="1" si="997"/>
        <v>115.69006098674636</v>
      </c>
      <c r="L541" s="47"/>
      <c r="M541" s="131">
        <f t="shared" ca="1" si="1004"/>
        <v>-4.2578808646505251E-3</v>
      </c>
      <c r="N541" s="131"/>
      <c r="O541" s="131"/>
      <c r="P541" s="59">
        <f t="shared" ca="1" si="1006"/>
        <v>-2.0283054391905472E-5</v>
      </c>
      <c r="Q541" s="61"/>
      <c r="R541" s="387"/>
      <c r="S541" s="49">
        <f t="shared" ca="1" si="1011"/>
        <v>117.1145642603381</v>
      </c>
      <c r="T541" s="61">
        <f ca="1">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</f>
        <v>0.18330690090087282</v>
      </c>
      <c r="U541" s="61"/>
      <c r="V541" s="125">
        <f>IFERROR(INDEX('Non-Labor Expenditures'!$E$7:$AA$91,MATCH($C541,'Non-Labor Expenditures'!$C$7:$C$91,0),MATCH($G541,'Non-Labor Expenditures'!$E$5:$AA$5,0)),"NA")</f>
        <v>20251.496161996474</v>
      </c>
      <c r="W541" s="125">
        <f t="shared" si="998"/>
        <v>206.41202056829414</v>
      </c>
      <c r="X541" s="131">
        <f t="shared" si="1007"/>
        <v>8.3396500840086721E-3</v>
      </c>
      <c r="Y541" s="131">
        <f t="shared" si="1008"/>
        <v>3.9727174535986122E-5</v>
      </c>
      <c r="Z541" s="131"/>
      <c r="AA541" s="131"/>
      <c r="AB541" s="131"/>
      <c r="AC541" s="125">
        <f t="shared" si="978"/>
        <v>8983.5485649749062</v>
      </c>
      <c r="AD541" s="129"/>
      <c r="AE541" s="133">
        <v>636.46279989720574</v>
      </c>
      <c r="AF541" s="134">
        <v>3.440045040252715E-2</v>
      </c>
      <c r="AG541" s="59">
        <f t="shared" si="999"/>
        <v>1.6387170726482353E-4</v>
      </c>
      <c r="AH541" s="134"/>
      <c r="AI541" s="134"/>
      <c r="AJ541" s="129">
        <f t="shared" si="889"/>
        <v>43219.080848744343</v>
      </c>
      <c r="AK541" s="134">
        <f t="shared" si="1009"/>
        <v>3.8509879915365308E-2</v>
      </c>
      <c r="AL541" s="129"/>
      <c r="AM541" s="129"/>
      <c r="AN541" s="129"/>
      <c r="AO541" s="129"/>
      <c r="AP541" s="133">
        <f t="shared" si="1010"/>
        <v>300.02624659838767</v>
      </c>
      <c r="AQ541" s="134">
        <f>+BB541/Outputs!$B$19</f>
        <v>4.0529511793133853E-3</v>
      </c>
      <c r="AR541" s="93">
        <f t="shared" si="1000"/>
        <v>0.32356162711357728</v>
      </c>
      <c r="AS541" s="93">
        <f t="shared" si="1001"/>
        <v>0.46857766903631054</v>
      </c>
      <c r="AT541" s="93">
        <f t="shared" si="1002"/>
        <v>0.20786070385011227</v>
      </c>
      <c r="AU541" s="93">
        <f t="shared" ca="1" si="1005"/>
        <v>9.5620669813532011E-3</v>
      </c>
      <c r="AV541" s="132">
        <f t="shared" ca="1" si="1013"/>
        <v>116.34549850891182</v>
      </c>
      <c r="AW541" s="134">
        <f t="shared" ca="1" si="1014"/>
        <v>9.5620669813533069E-3</v>
      </c>
      <c r="AX541" s="56">
        <f>+AJ541/$AL$16</f>
        <v>4.7636500495582199E-3</v>
      </c>
      <c r="AY541" s="135">
        <f t="shared" ca="1" si="1012"/>
        <v>4.5550340849602695E-5</v>
      </c>
      <c r="AZ541" s="93"/>
      <c r="BA541" s="93"/>
      <c r="BB541" s="234">
        <f>IFERROR(INDEX('Total Customers'!$E$7:$AA$91,MATCH($C541,'Total Customers'!$C$7:$C$91,0),MATCH($G541,'Total Customers'!$E$5:$AA$5,0)),"NA")</f>
        <v>144051</v>
      </c>
      <c r="BC541" s="411">
        <f t="shared" si="973"/>
        <v>6.2394442095293585E-3</v>
      </c>
      <c r="BD541" s="92"/>
      <c r="BE541" s="281" t="str">
        <f t="shared" si="969"/>
        <v>MADISON GAS AND ELECTRIC COMPANY</v>
      </c>
      <c r="BF541" s="290">
        <f t="shared" si="970"/>
        <v>4008754</v>
      </c>
      <c r="BG541" s="46" t="str">
        <f t="shared" si="971"/>
        <v>WI</v>
      </c>
      <c r="BH541" s="46"/>
      <c r="BI541" s="46" t="str">
        <f t="shared" si="972"/>
        <v>2011 Y</v>
      </c>
      <c r="BJ541" s="129"/>
      <c r="BK541" s="129"/>
      <c r="BL541" s="129">
        <f>INDEX('Dist. Plant Gas Additions'!$E$7:$AD$91,MATCH($C541,'Dist. Plant Gas Additions'!$C$7:$C$91,0),MATCH(Calculation!$G541,'Dist. Plant Gas Additions'!$E$5:$AD$5,0))</f>
        <v>15740</v>
      </c>
      <c r="BM541" s="129">
        <f>INDEX('Gen. Plant Additions'!$E$7:$AD$91,MATCH($C541,'Gen. Plant Additions'!$C$7:$C$91,0),MATCH(Calculation!$G541,'Gen. Plant Additions'!$E$5:$AD$5,0))</f>
        <v>130</v>
      </c>
      <c r="BN541" s="393">
        <f t="shared" si="979"/>
        <v>0.98569002314086174</v>
      </c>
      <c r="BO541" s="46">
        <f t="shared" si="930"/>
        <v>128.13970300831204</v>
      </c>
      <c r="BP541" s="46">
        <f t="shared" si="931"/>
        <v>-1.8602969916879601</v>
      </c>
      <c r="BQ541" s="129">
        <f>INDEX('Dist Plant Depreciation'!$D$7:$AC$94,MATCH($C541,'Dist Plant Depreciation'!$C$7:$C$94,0),MATCH(Calculation!$G541,'Dist Plant Depreciation'!$D$5:$AC$5,0))</f>
        <v>155247</v>
      </c>
      <c r="BR541" s="129">
        <f>INDEX('Gen. Plant Depreciation'!$D$7:$AC$94,MATCH($C541,'Gen. Plant Depreciation'!$C$7:$C$94,0),MATCH(Calculation!$G541,'Gen. Plant Depreciation'!$D$5:$AC$5,0))</f>
        <v>1975</v>
      </c>
      <c r="BS541" s="129"/>
      <c r="BT541" s="129"/>
      <c r="BU541" s="129"/>
      <c r="BV541" s="129"/>
      <c r="BW541" s="129"/>
      <c r="BX541" s="129"/>
      <c r="BY541" s="129">
        <f>INDEX('Gross Dx Plant'!$D$7:$AC$91,MATCH($C541,'Gross Dx Plant'!$C$7:$C$91,0),MATCH(Calculation!$G541,'Gross Dx Plant'!$D$5:$AC$5,0))</f>
        <v>284962</v>
      </c>
      <c r="BZ541" s="129">
        <f>INDEX('Gross Gen Plant'!$D$7:$AC$91,MATCH($C541,'Gross Gen Plant'!$C$7:$C$91,0),MATCH(Calculation!$G541,'Gross Gen Plant'!$D$5:$AC$5,0))</f>
        <v>4137</v>
      </c>
      <c r="CA541" s="129">
        <f t="shared" si="960"/>
        <v>131877</v>
      </c>
      <c r="CB541" s="129"/>
      <c r="CC541" s="133">
        <v>2011</v>
      </c>
      <c r="CD541" s="129"/>
      <c r="CE541" s="129"/>
      <c r="CF541" s="129"/>
      <c r="CG541" s="137"/>
      <c r="CH541" s="129">
        <f t="shared" si="980"/>
        <v>15870</v>
      </c>
      <c r="CI541" s="46">
        <f t="shared" si="989"/>
        <v>15868.139703008312</v>
      </c>
      <c r="CJ541" s="46">
        <f t="shared" si="981"/>
        <v>25.94481984319895</v>
      </c>
      <c r="CK541" s="443">
        <v>0.8539325842696629</v>
      </c>
      <c r="CL541" s="46">
        <f>+CL528*CK541+CJ529*CK540+CJ530*CK539+CJ531*CK538+CJ532*CK537+CJ533*CK536+CJ534*CK535+CJ535*CK534+CJ536*CK533+CJ537*CK532+CJ538*CK531+CJ539*CK530+CJ540*CK529+CJ541</f>
        <v>601.44691162617551</v>
      </c>
      <c r="CM541" s="134">
        <f t="shared" si="982"/>
        <v>3.0517240544738002E-2</v>
      </c>
      <c r="CN541" s="135">
        <f t="shared" si="983"/>
        <v>1.3486400613246951E-2</v>
      </c>
      <c r="CO541" s="135">
        <f t="shared" si="992"/>
        <v>1.3159600845830349E-2</v>
      </c>
      <c r="CP541" s="134">
        <f>VLOOKUP($H541,RoR!$E:$F,2,FALSE)</f>
        <v>4.6391666666666664E-2</v>
      </c>
      <c r="CQ541" s="135">
        <v>2.0840920205183799E-2</v>
      </c>
      <c r="CR541" s="135">
        <f t="shared" si="990"/>
        <v>2.5550746461482865E-2</v>
      </c>
      <c r="CS541" s="135">
        <f t="shared" si="993"/>
        <v>1.7742340762703278E-2</v>
      </c>
      <c r="CT541" s="135">
        <f t="shared" si="994"/>
        <v>2.4810540821321614E-2</v>
      </c>
      <c r="CU541" s="139">
        <f t="shared" si="984"/>
        <v>0.85150049999999999</v>
      </c>
      <c r="CV541" s="335">
        <f t="shared" si="985"/>
        <v>1.1054151524782025</v>
      </c>
      <c r="CW541" s="335">
        <f t="shared" si="986"/>
        <v>0.43611011316687626</v>
      </c>
      <c r="CX541" s="335">
        <f t="shared" si="987"/>
        <v>0.83698442246886229</v>
      </c>
      <c r="CY541" s="335">
        <f t="shared" si="988"/>
        <v>0.40349573304423936</v>
      </c>
      <c r="CZ541" s="336">
        <f>INDEX('State Tax Lookup'!$D$7:$Z$91,MATCH(Calculation!$C541,'State Tax Lookup'!$B$7:$B$91,0),MATCH($H541,'State Tax Lookup'!$D$6:$Z$6,0))</f>
        <v>0.40134999999999998</v>
      </c>
      <c r="DA541" s="303">
        <v>0.37</v>
      </c>
      <c r="DB541" s="57">
        <f t="shared" si="991"/>
        <v>15.399410283014449</v>
      </c>
      <c r="DC541" s="56">
        <f t="shared" si="995"/>
        <v>5.67611195166004E-2</v>
      </c>
      <c r="DD541" s="303">
        <f>VLOOKUP($H541,RoR!$E:$F,2,FALSE)</f>
        <v>4.6391666666666664E-2</v>
      </c>
      <c r="DE541" s="304">
        <f>HLOOKUP($H541,'GDP-PI'!$D$8:$CQ$11,3,FALSE)</f>
        <v>2.0840920205183799E-2</v>
      </c>
      <c r="DF541" s="303">
        <f>VLOOKUP(H541,'HW Dx Data'!$E:$F,2,FALSE)</f>
        <v>611.61109612283201</v>
      </c>
      <c r="DG541" s="89">
        <f ca="1">VLOOKUP(CC541,'ECI - Input Price'!M$13:N$33,2,FALSE)</f>
        <v>120.875</v>
      </c>
      <c r="DH541" s="89"/>
      <c r="DI541" s="89"/>
      <c r="DJ541" s="56">
        <f t="shared" ca="1" si="1003"/>
        <v>3.3224250161508609E-2</v>
      </c>
      <c r="DK541" s="53">
        <f>HLOOKUP(H541,'GDP-PI'!$8:$9,2,FALSE)</f>
        <v>98.111999999999995</v>
      </c>
      <c r="DL541" s="355">
        <f t="shared" si="996"/>
        <v>2.0626719212849295E-2</v>
      </c>
      <c r="EC541"/>
    </row>
    <row r="542" spans="1:133" s="126" customFormat="1" ht="21" customHeight="1" x14ac:dyDescent="0.4">
      <c r="A542" s="233" t="s">
        <v>213</v>
      </c>
      <c r="B542" s="127" t="s">
        <v>213</v>
      </c>
      <c r="C542" s="127">
        <v>4008754</v>
      </c>
      <c r="D542" s="127" t="s">
        <v>214</v>
      </c>
      <c r="E542" s="127"/>
      <c r="F542" s="127"/>
      <c r="G542" s="127" t="s">
        <v>168</v>
      </c>
      <c r="H542" s="128">
        <v>2012</v>
      </c>
      <c r="I542" s="129"/>
      <c r="J542" s="125">
        <f>IFERROR(INDEX('Labor Expenditures'!$E$7:$W$91,MATCH($C542,'Labor Expenditures'!$C$7:$C$91,0),MATCH($G542,'Labor Expenditures'!$E$5:$W$5,0)),"NA")</f>
        <v>14773.152873564637</v>
      </c>
      <c r="K542" s="125">
        <f t="shared" ca="1" si="997"/>
        <v>118.37462238433201</v>
      </c>
      <c r="L542" s="47"/>
      <c r="M542" s="131">
        <f t="shared" ca="1" si="1004"/>
        <v>2.2939634308818298E-2</v>
      </c>
      <c r="N542" s="131"/>
      <c r="O542" s="131"/>
      <c r="P542" s="59">
        <f t="shared" ca="1" si="1006"/>
        <v>1.1260049777751574E-4</v>
      </c>
      <c r="Q542" s="61"/>
      <c r="R542" s="387"/>
      <c r="S542" s="49">
        <f t="shared" ca="1" si="1011"/>
        <v>116.04770217585092</v>
      </c>
      <c r="T542" s="61">
        <f ca="1">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</f>
        <v>-9.1513051941947525E-3</v>
      </c>
      <c r="U542" s="61"/>
      <c r="V542" s="125">
        <f>IFERROR(INDEX('Non-Labor Expenditures'!$E$7:$AA$91,MATCH($C542,'Non-Labor Expenditures'!$C$7:$C$91,0),MATCH($G542,'Non-Labor Expenditures'!$E$5:$AA$5,0)),"NA")</f>
        <v>21394.284605269604</v>
      </c>
      <c r="W542" s="125">
        <f t="shared" si="998"/>
        <v>213.94284605269604</v>
      </c>
      <c r="X542" s="131">
        <f t="shared" si="1007"/>
        <v>3.5834633731944836E-2</v>
      </c>
      <c r="Y542" s="131">
        <f t="shared" si="1008"/>
        <v>1.7589633477029049E-4</v>
      </c>
      <c r="Z542" s="131"/>
      <c r="AA542" s="131"/>
      <c r="AB542" s="131"/>
      <c r="AC542" s="125">
        <f t="shared" si="978"/>
        <v>9915.8622271937766</v>
      </c>
      <c r="AD542" s="129"/>
      <c r="AE542" s="133">
        <v>652.48332921229553</v>
      </c>
      <c r="AF542" s="134">
        <v>2.4859618261545497E-2</v>
      </c>
      <c r="AG542" s="59">
        <f t="shared" si="999"/>
        <v>1.2202484804794782E-4</v>
      </c>
      <c r="AH542" s="134"/>
      <c r="AI542" s="134"/>
      <c r="AJ542" s="129">
        <f t="shared" ref="AJ542:AJ605" si="1015">+J542+V542+AC542</f>
        <v>46083.299706028018</v>
      </c>
      <c r="AK542" s="134">
        <f t="shared" si="1009"/>
        <v>6.4168537978719506E-2</v>
      </c>
      <c r="AL542" s="129"/>
      <c r="AM542" s="129"/>
      <c r="AN542" s="129"/>
      <c r="AO542" s="129"/>
      <c r="AP542" s="133">
        <f t="shared" si="1010"/>
        <v>317.64061004982091</v>
      </c>
      <c r="AQ542" s="134">
        <f>+BB542/Outputs!$B$20</f>
        <v>4.0623408597988669E-3</v>
      </c>
      <c r="AR542" s="93">
        <f t="shared" si="1000"/>
        <v>0.32057497982576549</v>
      </c>
      <c r="AS542" s="93">
        <f t="shared" si="1001"/>
        <v>0.46425244593479237</v>
      </c>
      <c r="AT542" s="93">
        <f t="shared" si="1002"/>
        <v>0.21517257423944217</v>
      </c>
      <c r="AU542" s="93">
        <f t="shared" ca="1" si="1005"/>
        <v>2.9360164758732783E-2</v>
      </c>
      <c r="AV542" s="132">
        <f t="shared" ca="1" si="1013"/>
        <v>119.81206193392639</v>
      </c>
      <c r="AW542" s="134">
        <f t="shared" ca="1" si="1014"/>
        <v>2.9360164758732845E-2</v>
      </c>
      <c r="AX542" s="56">
        <f>+AJ542/$AL$17</f>
        <v>4.9085567913447785E-3</v>
      </c>
      <c r="AY542" s="135">
        <f t="shared" ca="1" si="1012"/>
        <v>1.4411603612147974E-4</v>
      </c>
      <c r="AZ542" s="93"/>
      <c r="BA542" s="93"/>
      <c r="BB542" s="234">
        <f>IFERROR(INDEX('Total Customers'!$E$7:$AA$91,MATCH($C542,'Total Customers'!$C$7:$C$91,0),MATCH($G542,'Total Customers'!$E$5:$AA$5,0)),"NA")</f>
        <v>145080</v>
      </c>
      <c r="BC542" s="411">
        <f t="shared" si="973"/>
        <v>7.1179108742438612E-3</v>
      </c>
      <c r="BD542" s="92"/>
      <c r="BE542" s="281" t="str">
        <f t="shared" si="969"/>
        <v>MADISON GAS AND ELECTRIC COMPANY</v>
      </c>
      <c r="BF542" s="290">
        <f t="shared" si="970"/>
        <v>4008754</v>
      </c>
      <c r="BG542" s="46" t="str">
        <f t="shared" si="971"/>
        <v>WI</v>
      </c>
      <c r="BH542" s="46"/>
      <c r="BI542" s="46" t="str">
        <f t="shared" si="972"/>
        <v>2012 Y</v>
      </c>
      <c r="BJ542" s="129"/>
      <c r="BK542" s="129"/>
      <c r="BL542" s="129">
        <f>INDEX('Dist. Plant Gas Additions'!$E$7:$AD$91,MATCH($C542,'Dist. Plant Gas Additions'!$C$7:$C$91,0),MATCH(Calculation!$G542,'Dist. Plant Gas Additions'!$E$5:$AD$5,0))</f>
        <v>13517</v>
      </c>
      <c r="BM542" s="129">
        <f>INDEX('Gen. Plant Additions'!$E$7:$AD$91,MATCH($C542,'Gen. Plant Additions'!$C$7:$C$91,0),MATCH(Calculation!$G542,'Gen. Plant Additions'!$E$5:$AD$5,0))</f>
        <v>352</v>
      </c>
      <c r="BN542" s="393">
        <f t="shared" si="979"/>
        <v>0.98613602838575931</v>
      </c>
      <c r="BO542" s="46">
        <f t="shared" si="930"/>
        <v>347.11988199178728</v>
      </c>
      <c r="BP542" s="46">
        <f t="shared" si="931"/>
        <v>-4.8801180082127189</v>
      </c>
      <c r="BQ542" s="129">
        <f>INDEX('Dist Plant Depreciation'!$D$7:$AC$94,MATCH($C542,'Dist Plant Depreciation'!$C$7:$C$94,0),MATCH(Calculation!$G542,'Dist Plant Depreciation'!$D$5:$AC$5,0))</f>
        <v>157591</v>
      </c>
      <c r="BR542" s="129">
        <f>INDEX('Gen. Plant Depreciation'!$D$7:$AC$94,MATCH($C542,'Gen. Plant Depreciation'!$C$7:$C$94,0),MATCH(Calculation!$G542,'Gen. Plant Depreciation'!$D$5:$AC$5,0))</f>
        <v>2090</v>
      </c>
      <c r="BS542" s="129"/>
      <c r="BT542" s="129"/>
      <c r="BU542" s="129"/>
      <c r="BV542" s="129"/>
      <c r="BW542" s="129"/>
      <c r="BX542" s="129"/>
      <c r="BY542" s="129">
        <f>INDEX('Gross Dx Plant'!$D$7:$AC$91,MATCH($C542,'Gross Dx Plant'!$C$7:$C$91,0),MATCH(Calculation!$G542,'Gross Dx Plant'!$D$5:$AC$5,0))</f>
        <v>296823</v>
      </c>
      <c r="BZ542" s="129">
        <f>INDEX('Gross Gen Plant'!$D$7:$AC$91,MATCH($C542,'Gross Gen Plant'!$C$7:$C$91,0),MATCH(Calculation!$G542,'Gross Gen Plant'!$D$5:$AC$5,0))</f>
        <v>4173</v>
      </c>
      <c r="CA542" s="129">
        <f t="shared" si="960"/>
        <v>141315</v>
      </c>
      <c r="CB542" s="129"/>
      <c r="CC542" s="133">
        <v>2012</v>
      </c>
      <c r="CD542" s="129"/>
      <c r="CE542" s="129"/>
      <c r="CF542" s="129"/>
      <c r="CG542" s="137"/>
      <c r="CH542" s="129">
        <f t="shared" si="980"/>
        <v>13869</v>
      </c>
      <c r="CI542" s="46">
        <f t="shared" si="989"/>
        <v>13864.119881991788</v>
      </c>
      <c r="CJ542" s="46">
        <f t="shared" si="981"/>
        <v>20.726146522730545</v>
      </c>
      <c r="CK542" s="443">
        <v>0.84090909090909094</v>
      </c>
      <c r="CL542" s="46">
        <f>+CL528*CK542+CJ529*CK541+CJ530*CK540+CJ531*CK539+CJ532*CK538+CJ533*CK537+CJ534*CK536+CJ535*CK535+CJ536*CK534+CJ537*CK533+CJ538*CK532+CJ539*CK531+CJ540*CK530+CJ541*CK529+CJ542</f>
        <v>613.8740708375301</v>
      </c>
      <c r="CM542" s="134">
        <f t="shared" si="982"/>
        <v>2.0451539209709595E-2</v>
      </c>
      <c r="CN542" s="135">
        <f t="shared" si="983"/>
        <v>1.3798370481174108E-2</v>
      </c>
      <c r="CO542" s="135">
        <f t="shared" si="992"/>
        <v>1.3473633192763743E-2</v>
      </c>
      <c r="CP542" s="134">
        <f>VLOOKUP($H542,RoR!$E:$F,2,FALSE)</f>
        <v>3.6733333333333333E-2</v>
      </c>
      <c r="CQ542" s="135">
        <v>1.924331376386168E-2</v>
      </c>
      <c r="CR542" s="135">
        <f t="shared" si="990"/>
        <v>1.7490019569471653E-2</v>
      </c>
      <c r="CS542" s="135">
        <f t="shared" si="993"/>
        <v>1.742830841576988E-2</v>
      </c>
      <c r="CT542" s="135">
        <f t="shared" si="994"/>
        <v>6.7122682943869583E-2</v>
      </c>
      <c r="CU542" s="139">
        <f t="shared" si="984"/>
        <v>0.85150049999999999</v>
      </c>
      <c r="CV542" s="335">
        <f t="shared" si="985"/>
        <v>1.3960631020522127</v>
      </c>
      <c r="CW542" s="335">
        <f t="shared" si="986"/>
        <v>0.29441923774954631</v>
      </c>
      <c r="CX542" s="335">
        <f t="shared" si="987"/>
        <v>0.76377954189366437</v>
      </c>
      <c r="CY542" s="335">
        <f t="shared" si="988"/>
        <v>0.31393465103033691</v>
      </c>
      <c r="CZ542" s="336">
        <f>INDEX('State Tax Lookup'!$D$7:$Z$91,MATCH(Calculation!$C542,'State Tax Lookup'!$B$7:$B$91,0),MATCH($H542,'State Tax Lookup'!$D$6:$Z$6,0))</f>
        <v>0.40134999999999998</v>
      </c>
      <c r="DA542" s="303">
        <v>0.37</v>
      </c>
      <c r="DB542" s="57">
        <f t="shared" si="991"/>
        <v>16.4866790992135</v>
      </c>
      <c r="DC542" s="56">
        <f t="shared" si="995"/>
        <v>6.8223512146308452E-2</v>
      </c>
      <c r="DD542" s="303">
        <f>VLOOKUP($H542,RoR!$E:$F,2,FALSE)</f>
        <v>3.6733333333333333E-2</v>
      </c>
      <c r="DE542" s="304">
        <f>HLOOKUP($H542,'GDP-PI'!$D$8:$CQ$11,3,FALSE)</f>
        <v>1.924331376386168E-2</v>
      </c>
      <c r="DF542" s="303">
        <f>VLOOKUP(H542,'HW Dx Data'!$E:$F,2,FALSE)</f>
        <v>668.91932211262167</v>
      </c>
      <c r="DG542" s="89">
        <f ca="1">VLOOKUP(CC542,'ECI - Input Price'!M$13:N$33,2,FALSE)</f>
        <v>124.80000000000001</v>
      </c>
      <c r="DH542" s="89"/>
      <c r="DI542" s="89"/>
      <c r="DJ542" s="56">
        <f t="shared" ca="1" si="1003"/>
        <v>3.1955502161869064E-2</v>
      </c>
      <c r="DK542" s="53">
        <f>HLOOKUP(H542,'GDP-PI'!$8:$9,2,FALSE)</f>
        <v>100</v>
      </c>
      <c r="DL542" s="355">
        <f t="shared" si="996"/>
        <v>1.9060502738742411E-2</v>
      </c>
      <c r="EC542"/>
    </row>
    <row r="543" spans="1:133" s="126" customFormat="1" ht="21" customHeight="1" x14ac:dyDescent="0.4">
      <c r="A543" s="233" t="s">
        <v>213</v>
      </c>
      <c r="B543" s="127" t="s">
        <v>213</v>
      </c>
      <c r="C543" s="127">
        <v>4008754</v>
      </c>
      <c r="D543" s="127" t="s">
        <v>214</v>
      </c>
      <c r="E543" s="127"/>
      <c r="F543" s="127"/>
      <c r="G543" s="127" t="s">
        <v>169</v>
      </c>
      <c r="H543" s="128">
        <v>2013</v>
      </c>
      <c r="I543" s="129"/>
      <c r="J543" s="125">
        <f>IFERROR(INDEX('Labor Expenditures'!$E$7:$W$91,MATCH($C543,'Labor Expenditures'!$C$7:$C$91,0),MATCH($G543,'Labor Expenditures'!$E$5:$W$5,0)),"NA")</f>
        <v>14221.391040906536</v>
      </c>
      <c r="K543" s="125">
        <f t="shared" ca="1" si="997"/>
        <v>112.15608076424714</v>
      </c>
      <c r="L543" s="47"/>
      <c r="M543" s="131">
        <f t="shared" ca="1" si="1004"/>
        <v>-5.396288208774648E-2</v>
      </c>
      <c r="N543" s="131"/>
      <c r="O543" s="131"/>
      <c r="P543" s="59">
        <f t="shared" ca="1" si="1006"/>
        <v>-2.4770578318176193E-4</v>
      </c>
      <c r="Q543" s="61"/>
      <c r="R543" s="387"/>
      <c r="S543" s="49">
        <f t="shared" ca="1" si="1011"/>
        <v>108.55479794012858</v>
      </c>
      <c r="T543" s="61">
        <f ca="1">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</f>
        <v>-6.6746236605103593E-2</v>
      </c>
      <c r="U543" s="61"/>
      <c r="V543" s="125">
        <f>IFERROR(INDEX('Non-Labor Expenditures'!$E$7:$AA$91,MATCH($C543,'Non-Labor Expenditures'!$C$7:$C$91,0),MATCH($G543,'Non-Labor Expenditures'!$E$5:$AA$5,0)),"NA")</f>
        <v>20595.23041668567</v>
      </c>
      <c r="W543" s="125">
        <f t="shared" si="998"/>
        <v>202.36438364483379</v>
      </c>
      <c r="X543" s="131">
        <f t="shared" si="1007"/>
        <v>-5.5638953036459063E-2</v>
      </c>
      <c r="Y543" s="131">
        <f t="shared" si="1008"/>
        <v>-2.5539945058714546E-4</v>
      </c>
      <c r="Z543" s="131"/>
      <c r="AA543" s="131"/>
      <c r="AB543" s="131"/>
      <c r="AC543" s="125">
        <f t="shared" si="978"/>
        <v>9849.6471964817665</v>
      </c>
      <c r="AD543" s="129"/>
      <c r="AE543" s="133">
        <v>674.40338950393198</v>
      </c>
      <c r="AF543" s="134">
        <v>3.3042842859303249E-2</v>
      </c>
      <c r="AG543" s="59">
        <f t="shared" si="999"/>
        <v>1.5167654047288501E-4</v>
      </c>
      <c r="AH543" s="134"/>
      <c r="AI543" s="134"/>
      <c r="AJ543" s="129">
        <f t="shared" si="1015"/>
        <v>44666.268654073974</v>
      </c>
      <c r="AK543" s="134">
        <f t="shared" si="1009"/>
        <v>-3.1232021514210014E-2</v>
      </c>
      <c r="AL543" s="129"/>
      <c r="AM543" s="129"/>
      <c r="AN543" s="129"/>
      <c r="AO543" s="129"/>
      <c r="AP543" s="133">
        <f t="shared" si="1010"/>
        <v>305.04328912948506</v>
      </c>
      <c r="AQ543" s="134">
        <f>+BB543/Outputs!$B$21</f>
        <v>4.0738989794580627E-3</v>
      </c>
      <c r="AR543" s="93">
        <f t="shared" si="1000"/>
        <v>0.31839218876881525</v>
      </c>
      <c r="AS543" s="93">
        <f t="shared" si="1001"/>
        <v>0.46109135679519531</v>
      </c>
      <c r="AT543" s="93">
        <f t="shared" si="1002"/>
        <v>0.22051645443598944</v>
      </c>
      <c r="AU543" s="93">
        <f t="shared" ca="1" si="1005"/>
        <v>-3.578463312471903E-2</v>
      </c>
      <c r="AV543" s="132">
        <f t="shared" ca="1" si="1013"/>
        <v>115.600436410783</v>
      </c>
      <c r="AW543" s="134">
        <f t="shared" ca="1" si="1014"/>
        <v>-3.5784633124718981E-2</v>
      </c>
      <c r="AX543" s="56">
        <f>+AJ543/$AL$18</f>
        <v>4.5902993613087476E-3</v>
      </c>
      <c r="AY543" s="135">
        <f t="shared" ca="1" si="1012"/>
        <v>-1.6426217857706539E-4</v>
      </c>
      <c r="AZ543" s="93"/>
      <c r="BA543" s="93"/>
      <c r="BB543" s="234">
        <f>IFERROR(INDEX('Total Customers'!$E$7:$AA$91,MATCH($C543,'Total Customers'!$C$7:$C$91,0),MATCH($G543,'Total Customers'!$E$5:$AA$5,0)),"NA")</f>
        <v>146426</v>
      </c>
      <c r="BC543" s="411">
        <f t="shared" si="973"/>
        <v>9.2348669726880998E-3</v>
      </c>
      <c r="BD543" s="92"/>
      <c r="BE543" s="281" t="str">
        <f t="shared" si="969"/>
        <v>MADISON GAS AND ELECTRIC COMPANY</v>
      </c>
      <c r="BF543" s="290">
        <f t="shared" si="970"/>
        <v>4008754</v>
      </c>
      <c r="BG543" s="46" t="str">
        <f t="shared" si="971"/>
        <v>WI</v>
      </c>
      <c r="BH543" s="46"/>
      <c r="BI543" s="46" t="str">
        <f t="shared" si="972"/>
        <v>2013 Y</v>
      </c>
      <c r="BJ543" s="129"/>
      <c r="BK543" s="129"/>
      <c r="BL543" s="129">
        <f>INDEX('Dist. Plant Gas Additions'!$E$7:$AD$91,MATCH($C543,'Dist. Plant Gas Additions'!$C$7:$C$91,0),MATCH(Calculation!$G543,'Dist. Plant Gas Additions'!$E$5:$AD$5,0))</f>
        <v>17556</v>
      </c>
      <c r="BM543" s="129">
        <f>INDEX('Gen. Plant Additions'!$E$7:$AD$91,MATCH($C543,'Gen. Plant Additions'!$C$7:$C$91,0),MATCH(Calculation!$G543,'Gen. Plant Additions'!$E$5:$AD$5,0))</f>
        <v>290</v>
      </c>
      <c r="BN543" s="393">
        <f t="shared" si="979"/>
        <v>0.98604902599250133</v>
      </c>
      <c r="BO543" s="46">
        <f t="shared" si="930"/>
        <v>285.9542175378254</v>
      </c>
      <c r="BP543" s="46">
        <f t="shared" si="931"/>
        <v>-4.0457824621745999</v>
      </c>
      <c r="BQ543" s="129">
        <f>INDEX('Dist Plant Depreciation'!$D$7:$AC$94,MATCH($C543,'Dist Plant Depreciation'!$C$7:$C$94,0),MATCH(Calculation!$G543,'Dist Plant Depreciation'!$D$5:$AC$5,0))</f>
        <v>159181</v>
      </c>
      <c r="BR543" s="129">
        <f>INDEX('Gen. Plant Depreciation'!$D$7:$AC$94,MATCH($C543,'Gen. Plant Depreciation'!$C$7:$C$94,0),MATCH(Calculation!$G543,'Gen. Plant Depreciation'!$D$5:$AC$5,0))</f>
        <v>2324</v>
      </c>
      <c r="BS543" s="129"/>
      <c r="BT543" s="129"/>
      <c r="BU543" s="129"/>
      <c r="BV543" s="129"/>
      <c r="BW543" s="129"/>
      <c r="BX543" s="129"/>
      <c r="BY543" s="129">
        <f>INDEX('Gross Dx Plant'!$D$7:$AC$91,MATCH($C543,'Gross Dx Plant'!$C$7:$C$91,0),MATCH(Calculation!$G543,'Gross Dx Plant'!$D$5:$AC$5,0))</f>
        <v>311909</v>
      </c>
      <c r="BZ543" s="129">
        <f>INDEX('Gross Gen Plant'!$D$7:$AC$91,MATCH($C543,'Gross Gen Plant'!$C$7:$C$91,0),MATCH(Calculation!$G543,'Gross Gen Plant'!$D$5:$AC$5,0))</f>
        <v>4413</v>
      </c>
      <c r="CA543" s="129">
        <f t="shared" si="960"/>
        <v>154817</v>
      </c>
      <c r="CB543" s="129"/>
      <c r="CC543" s="133">
        <v>2013</v>
      </c>
      <c r="CD543" s="129"/>
      <c r="CE543" s="129"/>
      <c r="CF543" s="129"/>
      <c r="CG543" s="137"/>
      <c r="CH543" s="129">
        <f t="shared" si="980"/>
        <v>17846</v>
      </c>
      <c r="CI543" s="46">
        <f t="shared" si="989"/>
        <v>17841.954217537826</v>
      </c>
      <c r="CJ543" s="46">
        <f t="shared" si="981"/>
        <v>26.900862587682287</v>
      </c>
      <c r="CK543" s="443">
        <v>0.82758620689655171</v>
      </c>
      <c r="CL543" s="46">
        <f>+CL528*CK543+CJ529*CK542+CJ530*CK541+CJ531*CK540+CJ532*CK539+CJ533*CK538+CJ534*CK537+CJ535*CK536+CJ536*CK535+CJ537*CK534+CJ538*CK533+CJ539*CK532+CJ540*CK531+CJ541*CK530+CJ542*CK529+CJ543</f>
        <v>632.08516526721007</v>
      </c>
      <c r="CM543" s="134">
        <f t="shared" si="982"/>
        <v>2.9234329481636737E-2</v>
      </c>
      <c r="CN543" s="135">
        <f t="shared" si="983"/>
        <v>1.4155620135814753E-2</v>
      </c>
      <c r="CO543" s="135">
        <f t="shared" si="992"/>
        <v>1.3813463743411936E-2</v>
      </c>
      <c r="CP543" s="134">
        <f>VLOOKUP($H543,RoR!$E:$F,2,FALSE)</f>
        <v>4.2350000000000006E-2</v>
      </c>
      <c r="CQ543" s="135">
        <v>1.7730000000000024E-2</v>
      </c>
      <c r="CR543" s="135">
        <f t="shared" si="990"/>
        <v>2.4619999999999982E-2</v>
      </c>
      <c r="CS543" s="135">
        <f t="shared" si="993"/>
        <v>1.7088477865121687E-2</v>
      </c>
      <c r="CT543" s="135">
        <f t="shared" si="994"/>
        <v>5.3376742735721204E-2</v>
      </c>
      <c r="CU543" s="139">
        <f t="shared" si="984"/>
        <v>0.85150049999999999</v>
      </c>
      <c r="CV543" s="335">
        <f t="shared" si="985"/>
        <v>1.2109103018193925</v>
      </c>
      <c r="CW543" s="335">
        <f t="shared" si="986"/>
        <v>0.38468122786304604</v>
      </c>
      <c r="CX543" s="335">
        <f t="shared" si="987"/>
        <v>0.80969194503422559</v>
      </c>
      <c r="CY543" s="335">
        <f t="shared" si="988"/>
        <v>0.37716621754800816</v>
      </c>
      <c r="CZ543" s="336">
        <f>INDEX('State Tax Lookup'!$D$7:$Z$91,MATCH(Calculation!$C543,'State Tax Lookup'!$B$7:$B$91,0),MATCH($H543,'State Tax Lookup'!$D$6:$Z$6,0))</f>
        <v>0.40134999999999998</v>
      </c>
      <c r="DA543" s="303">
        <v>0.37</v>
      </c>
      <c r="DB543" s="57">
        <f t="shared" si="991"/>
        <v>16.045061461943725</v>
      </c>
      <c r="DC543" s="56">
        <f t="shared" si="995"/>
        <v>-2.7151622369524734E-2</v>
      </c>
      <c r="DD543" s="303">
        <f>VLOOKUP($H543,RoR!$E:$F,2,FALSE)</f>
        <v>4.2350000000000006E-2</v>
      </c>
      <c r="DE543" s="304">
        <f>HLOOKUP($H543,'GDP-PI'!$D$8:$CQ$11,3,FALSE)</f>
        <v>1.7730000000000024E-2</v>
      </c>
      <c r="DF543" s="303">
        <f>VLOOKUP(H543,'HW Dx Data'!$E:$F,2,FALSE)</f>
        <v>663.24840548821396</v>
      </c>
      <c r="DG543" s="89">
        <f ca="1">VLOOKUP(CC543,'ECI - Input Price'!M$13:N$33,2,FALSE)</f>
        <v>126.8</v>
      </c>
      <c r="DH543" s="89"/>
      <c r="DI543" s="89"/>
      <c r="DJ543" s="56">
        <f t="shared" ca="1" si="1003"/>
        <v>1.5898586067798204E-2</v>
      </c>
      <c r="DK543" s="53">
        <f>HLOOKUP(H543,'GDP-PI'!$8:$9,2,FALSE)</f>
        <v>101.773</v>
      </c>
      <c r="DL543" s="355">
        <f t="shared" si="996"/>
        <v>1.7574657016510519E-2</v>
      </c>
      <c r="EC543"/>
    </row>
    <row r="544" spans="1:133" s="126" customFormat="1" ht="21" customHeight="1" x14ac:dyDescent="0.4">
      <c r="A544" s="233" t="s">
        <v>213</v>
      </c>
      <c r="B544" s="127" t="s">
        <v>213</v>
      </c>
      <c r="C544" s="127">
        <v>4008754</v>
      </c>
      <c r="D544" s="127" t="s">
        <v>214</v>
      </c>
      <c r="E544" s="127"/>
      <c r="F544" s="127"/>
      <c r="G544" s="127" t="s">
        <v>170</v>
      </c>
      <c r="H544" s="128">
        <v>2014</v>
      </c>
      <c r="I544" s="129"/>
      <c r="J544" s="125">
        <f>IFERROR(INDEX('Labor Expenditures'!$E$7:$W$91,MATCH($C544,'Labor Expenditures'!$C$7:$C$91,0),MATCH($G544,'Labor Expenditures'!$E$5:$W$5,0)),"NA")</f>
        <v>13887.749478179361</v>
      </c>
      <c r="K544" s="125">
        <f t="shared" ca="1" si="997"/>
        <v>107.3241845299796</v>
      </c>
      <c r="L544" s="47"/>
      <c r="M544" s="131">
        <f t="shared" ca="1" si="1004"/>
        <v>-4.4037463473257425E-2</v>
      </c>
      <c r="N544" s="131"/>
      <c r="O544" s="131"/>
      <c r="P544" s="59">
        <f t="shared" ca="1" si="1006"/>
        <v>-1.9677050905324303E-4</v>
      </c>
      <c r="Q544" s="61"/>
      <c r="R544" s="387"/>
      <c r="S544" s="49">
        <f t="shared" ca="1" si="1011"/>
        <v>120.6801100956703</v>
      </c>
      <c r="T544" s="61">
        <f ca="1">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</f>
        <v>0.10588823095964375</v>
      </c>
      <c r="U544" s="61"/>
      <c r="V544" s="125">
        <f>IFERROR(INDEX('Non-Labor Expenditures'!$E$7:$AA$91,MATCH($C544,'Non-Labor Expenditures'!$C$7:$C$91,0),MATCH($G544,'Non-Labor Expenditures'!$E$5:$AA$5,0)),"NA")</f>
        <v>20112.055118208595</v>
      </c>
      <c r="W544" s="125">
        <f t="shared" si="998"/>
        <v>194.04377471811623</v>
      </c>
      <c r="X544" s="131">
        <f t="shared" si="1007"/>
        <v>-4.1986175307838644E-2</v>
      </c>
      <c r="Y544" s="131">
        <f t="shared" si="1008"/>
        <v>-1.8760483544968818E-4</v>
      </c>
      <c r="Z544" s="131"/>
      <c r="AA544" s="131"/>
      <c r="AB544" s="131"/>
      <c r="AC544" s="125">
        <f t="shared" si="978"/>
        <v>10277.079721909242</v>
      </c>
      <c r="AD544" s="129"/>
      <c r="AE544" s="133">
        <v>697.94340869879852</v>
      </c>
      <c r="AF544" s="134">
        <v>3.4309590482916055E-2</v>
      </c>
      <c r="AG544" s="59">
        <f t="shared" si="999"/>
        <v>1.5330391562700781E-4</v>
      </c>
      <c r="AH544" s="134"/>
      <c r="AI544" s="134"/>
      <c r="AJ544" s="129">
        <f t="shared" si="1015"/>
        <v>44276.884318297198</v>
      </c>
      <c r="AK544" s="134">
        <f t="shared" si="1009"/>
        <v>-8.7558583306691865E-3</v>
      </c>
      <c r="AL544" s="129"/>
      <c r="AM544" s="129"/>
      <c r="AN544" s="129"/>
      <c r="AO544" s="129"/>
      <c r="AP544" s="133">
        <f t="shared" si="1010"/>
        <v>298.91769273242147</v>
      </c>
      <c r="AQ544" s="134">
        <f>+BB544/Outputs!$B$22</f>
        <v>4.0991189567509247E-3</v>
      </c>
      <c r="AR544" s="93">
        <f t="shared" si="1000"/>
        <v>0.31365688195996932</v>
      </c>
      <c r="AS544" s="93">
        <f t="shared" si="1001"/>
        <v>0.45423374810267286</v>
      </c>
      <c r="AT544" s="93">
        <f t="shared" si="1002"/>
        <v>0.23210936993735784</v>
      </c>
      <c r="AU544" s="93">
        <f t="shared" ca="1" si="1005"/>
        <v>-2.5367715753595501E-2</v>
      </c>
      <c r="AV544" s="132">
        <f t="shared" ca="1" si="1013"/>
        <v>112.70480051496561</v>
      </c>
      <c r="AW544" s="134">
        <f t="shared" ca="1" si="1014"/>
        <v>-2.5367715753595511E-2</v>
      </c>
      <c r="AX544" s="56">
        <f>+AJ544/$AL$19</f>
        <v>4.4682525634732713E-3</v>
      </c>
      <c r="AY544" s="135">
        <f t="shared" ca="1" si="1012"/>
        <v>-1.1334936094546444E-4</v>
      </c>
      <c r="AZ544" s="93"/>
      <c r="BA544" s="93"/>
      <c r="BB544" s="234">
        <f>IFERROR(INDEX('Total Customers'!$E$7:$AA$91,MATCH($C544,'Total Customers'!$C$7:$C$91,0),MATCH($G544,'Total Customers'!$E$5:$AA$5,0)),"NA")</f>
        <v>148124</v>
      </c>
      <c r="BC544" s="411">
        <f t="shared" si="973"/>
        <v>1.152957942436509E-2</v>
      </c>
      <c r="BD544" s="92"/>
      <c r="BE544" s="281" t="str">
        <f t="shared" si="969"/>
        <v>MADISON GAS AND ELECTRIC COMPANY</v>
      </c>
      <c r="BF544" s="290">
        <f t="shared" si="970"/>
        <v>4008754</v>
      </c>
      <c r="BG544" s="46" t="str">
        <f t="shared" si="971"/>
        <v>WI</v>
      </c>
      <c r="BH544" s="46"/>
      <c r="BI544" s="46" t="str">
        <f t="shared" si="972"/>
        <v>2014 Y</v>
      </c>
      <c r="BJ544" s="129"/>
      <c r="BK544" s="129"/>
      <c r="BL544" s="129">
        <f>INDEX('Dist. Plant Gas Additions'!$E$7:$AD$91,MATCH($C544,'Dist. Plant Gas Additions'!$C$7:$C$91,0),MATCH(Calculation!$G544,'Dist. Plant Gas Additions'!$E$5:$AD$5,0))</f>
        <v>19537</v>
      </c>
      <c r="BM544" s="129">
        <f>INDEX('Gen. Plant Additions'!$E$7:$AD$91,MATCH($C544,'Gen. Plant Additions'!$C$7:$C$91,0),MATCH(Calculation!$G544,'Gen. Plant Additions'!$E$5:$AD$5,0))</f>
        <v>206</v>
      </c>
      <c r="BN544" s="393">
        <f t="shared" si="979"/>
        <v>0.98619592224715591</v>
      </c>
      <c r="BO544" s="46">
        <f t="shared" si="930"/>
        <v>203.15635998291413</v>
      </c>
      <c r="BP544" s="46">
        <f t="shared" si="931"/>
        <v>-2.8436400170858747</v>
      </c>
      <c r="BQ544" s="129">
        <f>INDEX('Dist Plant Depreciation'!$D$7:$AC$94,MATCH($C544,'Dist Plant Depreciation'!$C$7:$C$94,0),MATCH(Calculation!$G544,'Dist Plant Depreciation'!$D$5:$AC$5,0))</f>
        <v>160010</v>
      </c>
      <c r="BR544" s="129">
        <f>INDEX('Gen. Plant Depreciation'!$D$7:$AC$94,MATCH($C544,'Gen. Plant Depreciation'!$C$7:$C$94,0),MATCH(Calculation!$G544,'Gen. Plant Depreciation'!$D$5:$AC$5,0))</f>
        <v>2643</v>
      </c>
      <c r="BS544" s="129"/>
      <c r="BT544" s="129"/>
      <c r="BU544" s="129"/>
      <c r="BV544" s="129"/>
      <c r="BW544" s="129"/>
      <c r="BX544" s="129"/>
      <c r="BY544" s="129">
        <f>INDEX('Gross Dx Plant'!$D$7:$AC$91,MATCH($C544,'Gross Dx Plant'!$C$7:$C$91,0),MATCH(Calculation!$G544,'Gross Dx Plant'!$D$5:$AC$5,0))</f>
        <v>327849</v>
      </c>
      <c r="BZ544" s="129">
        <f>INDEX('Gross Gen Plant'!$D$7:$AC$91,MATCH($C544,'Gross Gen Plant'!$C$7:$C$91,0),MATCH(Calculation!$G544,'Gross Gen Plant'!$D$5:$AC$5,0))</f>
        <v>4589</v>
      </c>
      <c r="CA544" s="129">
        <f t="shared" si="960"/>
        <v>169785</v>
      </c>
      <c r="CB544" s="129"/>
      <c r="CC544" s="133">
        <v>2014</v>
      </c>
      <c r="CD544" s="129"/>
      <c r="CE544" s="129"/>
      <c r="CF544" s="129"/>
      <c r="CG544" s="137"/>
      <c r="CH544" s="129">
        <f t="shared" si="980"/>
        <v>19743</v>
      </c>
      <c r="CI544" s="46">
        <f t="shared" si="989"/>
        <v>19740.156359982913</v>
      </c>
      <c r="CJ544" s="46">
        <f t="shared" si="981"/>
        <v>28.840096834425974</v>
      </c>
      <c r="CK544" s="443">
        <v>0.81395348837209303</v>
      </c>
      <c r="CL544" s="46">
        <f>+CL528*CK544+CJ529*CK543+CJ530*CK542+CJ531*CK541+CJ532*CK540+CJ533*CK539+CJ534*CK538+CJ535*CK537+CJ536*CK536+CJ537*CK535+CJ538*CK534+CJ539*CK533+CJ540*CK532+CJ541*CK531+CJ542*CK530+CJ543*CK529+CJ544</f>
        <v>651.7731669216372</v>
      </c>
      <c r="CM544" s="134">
        <f t="shared" si="982"/>
        <v>3.0672457661939441E-2</v>
      </c>
      <c r="CN544" s="135">
        <f t="shared" si="983"/>
        <v>1.447921211080766E-2</v>
      </c>
      <c r="CO544" s="135">
        <f t="shared" si="992"/>
        <v>1.4144400909265506E-2</v>
      </c>
      <c r="CP544" s="134">
        <f>VLOOKUP($H544,RoR!$E:$F,2,FALSE)</f>
        <v>4.1625000000000002E-2</v>
      </c>
      <c r="CQ544" s="135">
        <v>1.841352814597208E-2</v>
      </c>
      <c r="CR544" s="135">
        <f t="shared" si="990"/>
        <v>2.3211471854027922E-2</v>
      </c>
      <c r="CS544" s="135">
        <f t="shared" si="993"/>
        <v>1.6757540699268117E-2</v>
      </c>
      <c r="CT544" s="135">
        <f t="shared" si="994"/>
        <v>3.9072621432650924E-2</v>
      </c>
      <c r="CU544" s="139">
        <f t="shared" si="984"/>
        <v>0.85150049999999999</v>
      </c>
      <c r="CV544" s="335">
        <f t="shared" si="985"/>
        <v>1.2320012320012319</v>
      </c>
      <c r="CW544" s="335">
        <f t="shared" si="986"/>
        <v>0.37439939939939942</v>
      </c>
      <c r="CX544" s="335">
        <f t="shared" si="987"/>
        <v>0.80432100613819935</v>
      </c>
      <c r="CY544" s="335">
        <f t="shared" si="988"/>
        <v>0.37100152660040037</v>
      </c>
      <c r="CZ544" s="336">
        <f>INDEX('State Tax Lookup'!$D$7:$Z$91,MATCH(Calculation!$C544,'State Tax Lookup'!$B$7:$B$91,0),MATCH($H544,'State Tax Lookup'!$D$6:$Z$6,0))</f>
        <v>0.40134999999999998</v>
      </c>
      <c r="DA544" s="303">
        <v>0.37</v>
      </c>
      <c r="DB544" s="57">
        <f t="shared" si="991"/>
        <v>16.259011105828865</v>
      </c>
      <c r="DC544" s="56">
        <f t="shared" si="995"/>
        <v>1.324617951808903E-2</v>
      </c>
      <c r="DD544" s="303">
        <f>VLOOKUP($H544,RoR!$E:$F,2,FALSE)</f>
        <v>4.1625000000000002E-2</v>
      </c>
      <c r="DE544" s="304">
        <f>HLOOKUP($H544,'GDP-PI'!$D$8:$CQ$11,3,FALSE)</f>
        <v>1.841352814597208E-2</v>
      </c>
      <c r="DF544" s="303">
        <f>VLOOKUP(H544,'HW Dx Data'!$E:$F,2,FALSE)</f>
        <v>684.46914285042885</v>
      </c>
      <c r="DG544" s="89">
        <f ca="1">VLOOKUP(CC544,'ECI - Input Price'!M$13:N$33,2,FALSE)</f>
        <v>129.4</v>
      </c>
      <c r="DH544" s="89"/>
      <c r="DI544" s="89"/>
      <c r="DJ544" s="56">
        <f t="shared" ca="1" si="1003"/>
        <v>2.0297340063674733E-2</v>
      </c>
      <c r="DK544" s="53">
        <f>HLOOKUP(H544,'GDP-PI'!$8:$9,2,FALSE)</f>
        <v>103.64700000000001</v>
      </c>
      <c r="DL544" s="355">
        <f t="shared" si="996"/>
        <v>1.8246051898256087E-2</v>
      </c>
      <c r="EC544"/>
    </row>
    <row r="545" spans="1:133" s="126" customFormat="1" ht="21" customHeight="1" x14ac:dyDescent="0.4">
      <c r="A545" s="233" t="s">
        <v>213</v>
      </c>
      <c r="B545" s="127" t="s">
        <v>213</v>
      </c>
      <c r="C545" s="127">
        <v>4008754</v>
      </c>
      <c r="D545" s="127" t="s">
        <v>214</v>
      </c>
      <c r="E545" s="127"/>
      <c r="F545" s="127"/>
      <c r="G545" s="127" t="s">
        <v>171</v>
      </c>
      <c r="H545" s="128">
        <v>2015</v>
      </c>
      <c r="I545" s="129"/>
      <c r="J545" s="125">
        <f>IFERROR(INDEX('Labor Expenditures'!$E$7:$W$91,MATCH($C545,'Labor Expenditures'!$C$7:$C$91,0),MATCH($G545,'Labor Expenditures'!$E$5:$W$5,0)),"NA")</f>
        <v>14005.674182040924</v>
      </c>
      <c r="K545" s="125">
        <f t="shared" ca="1" si="997"/>
        <v>104.91141709393951</v>
      </c>
      <c r="L545" s="47"/>
      <c r="M545" s="131">
        <f t="shared" ca="1" si="1004"/>
        <v>-2.2737668582106081E-2</v>
      </c>
      <c r="N545" s="131"/>
      <c r="O545" s="131"/>
      <c r="P545" s="59">
        <f t="shared" ca="1" si="1006"/>
        <v>-1.0174791945434045E-4</v>
      </c>
      <c r="Q545" s="61"/>
      <c r="R545" s="387"/>
      <c r="S545" s="49">
        <f t="shared" ca="1" si="1011"/>
        <v>119.12204940585646</v>
      </c>
      <c r="T545" s="61">
        <f ca="1">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</f>
        <v>-1.2994733808110405E-2</v>
      </c>
      <c r="U545" s="61"/>
      <c r="V545" s="125">
        <f>IFERROR(INDEX('Non-Labor Expenditures'!$E$7:$AA$91,MATCH($C545,'Non-Labor Expenditures'!$C$7:$C$91,0),MATCH($G545,'Non-Labor Expenditures'!$E$5:$AA$5,0)),"NA")</f>
        <v>20282.832114696663</v>
      </c>
      <c r="W545" s="125">
        <f t="shared" si="998"/>
        <v>193.83625717654664</v>
      </c>
      <c r="X545" s="131">
        <f t="shared" si="1007"/>
        <v>-1.070008994044719E-3</v>
      </c>
      <c r="Y545" s="131">
        <f t="shared" si="1008"/>
        <v>-4.7881421328816689E-6</v>
      </c>
      <c r="Z545" s="131"/>
      <c r="AA545" s="131"/>
      <c r="AB545" s="131"/>
      <c r="AC545" s="125">
        <f t="shared" si="978"/>
        <v>10283.647680560414</v>
      </c>
      <c r="AD545" s="129"/>
      <c r="AE545" s="133">
        <v>715.38343203746967</v>
      </c>
      <c r="AF545" s="134">
        <v>2.4680644424517447E-2</v>
      </c>
      <c r="AG545" s="59">
        <f t="shared" si="999"/>
        <v>1.1044246739365646E-4</v>
      </c>
      <c r="AH545" s="134"/>
      <c r="AI545" s="134"/>
      <c r="AJ545" s="129">
        <f t="shared" si="1015"/>
        <v>44572.153977298003</v>
      </c>
      <c r="AK545" s="134">
        <f t="shared" si="1009"/>
        <v>6.6465715706719641E-3</v>
      </c>
      <c r="AL545" s="129"/>
      <c r="AM545" s="129"/>
      <c r="AN545" s="129"/>
      <c r="AO545" s="129"/>
      <c r="AP545" s="133">
        <f t="shared" si="1010"/>
        <v>295.02352381055073</v>
      </c>
      <c r="AQ545" s="134">
        <f>+BB545/Outputs!$B$23</f>
        <v>4.146925675497631E-3</v>
      </c>
      <c r="AR545" s="93">
        <f t="shared" si="1000"/>
        <v>0.31422475541959344</v>
      </c>
      <c r="AS545" s="93">
        <f t="shared" si="1001"/>
        <v>0.45505613493634045</v>
      </c>
      <c r="AT545" s="93">
        <f t="shared" si="1002"/>
        <v>0.23071910964406608</v>
      </c>
      <c r="AU545" s="93">
        <f t="shared" ca="1" si="1005"/>
        <v>-1.9133038992415335E-3</v>
      </c>
      <c r="AV545" s="132">
        <f t="shared" ca="1" si="1013"/>
        <v>112.48936814019844</v>
      </c>
      <c r="AW545" s="134">
        <f t="shared" ca="1" si="1014"/>
        <v>-1.9133038992414921E-3</v>
      </c>
      <c r="AX545" s="56">
        <f>+AJ545/$AL$20</f>
        <v>4.4748615754921003E-3</v>
      </c>
      <c r="AY545" s="135">
        <f t="shared" ca="1" si="1012"/>
        <v>-8.5617701009549613E-6</v>
      </c>
      <c r="AZ545" s="93"/>
      <c r="BA545" s="93"/>
      <c r="BB545" s="234">
        <f>IFERROR(INDEX('Total Customers'!$E$7:$AA$91,MATCH($C545,'Total Customers'!$C$7:$C$91,0),MATCH($G545,'Total Customers'!$E$5:$AA$5,0)),"NA")</f>
        <v>151080</v>
      </c>
      <c r="BC545" s="411">
        <f t="shared" si="973"/>
        <v>1.9759737032501237E-2</v>
      </c>
      <c r="BD545" s="92"/>
      <c r="BE545" s="281" t="str">
        <f t="shared" si="969"/>
        <v>MADISON GAS AND ELECTRIC COMPANY</v>
      </c>
      <c r="BF545" s="290">
        <f t="shared" si="970"/>
        <v>4008754</v>
      </c>
      <c r="BG545" s="46" t="str">
        <f t="shared" si="971"/>
        <v>WI</v>
      </c>
      <c r="BH545" s="46"/>
      <c r="BI545" s="46" t="str">
        <f t="shared" si="972"/>
        <v>2015 Y</v>
      </c>
      <c r="BJ545" s="129"/>
      <c r="BK545" s="129"/>
      <c r="BL545" s="129">
        <f>INDEX('Dist. Plant Gas Additions'!$E$7:$AD$91,MATCH($C545,'Dist. Plant Gas Additions'!$C$7:$C$91,0),MATCH(Calculation!$G545,'Dist. Plant Gas Additions'!$E$5:$AD$5,0))</f>
        <v>15330</v>
      </c>
      <c r="BM545" s="129">
        <f>INDEX('Gen. Plant Additions'!$E$7:$AD$91,MATCH($C545,'Gen. Plant Additions'!$C$7:$C$91,0),MATCH(Calculation!$G545,'Gen. Plant Additions'!$E$5:$AD$5,0))</f>
        <v>267</v>
      </c>
      <c r="BN545" s="393">
        <f t="shared" si="979"/>
        <v>0.9860595797763354</v>
      </c>
      <c r="BO545" s="46">
        <f t="shared" si="930"/>
        <v>263.27790780028153</v>
      </c>
      <c r="BP545" s="46">
        <f t="shared" si="931"/>
        <v>-3.7220921997184746</v>
      </c>
      <c r="BQ545" s="129">
        <f>INDEX('Dist Plant Depreciation'!$D$7:$AC$94,MATCH($C545,'Dist Plant Depreciation'!$C$7:$C$94,0),MATCH(Calculation!$G545,'Dist Plant Depreciation'!$D$5:$AC$5,0))</f>
        <v>159891</v>
      </c>
      <c r="BR545" s="129">
        <f>INDEX('Gen. Plant Depreciation'!$D$7:$AC$94,MATCH($C545,'Gen. Plant Depreciation'!$C$7:$C$94,0),MATCH(Calculation!$G545,'Gen. Plant Depreciation'!$D$5:$AC$5,0))</f>
        <v>2814</v>
      </c>
      <c r="BS545" s="129"/>
      <c r="BT545" s="129"/>
      <c r="BU545" s="129"/>
      <c r="BV545" s="129"/>
      <c r="BW545" s="129"/>
      <c r="BX545" s="129"/>
      <c r="BY545" s="129">
        <f>INDEX('Gross Dx Plant'!$D$7:$AC$91,MATCH($C545,'Gross Dx Plant'!$C$7:$C$91,0),MATCH(Calculation!$G545,'Gross Dx Plant'!$D$5:$AC$5,0))</f>
        <v>338320</v>
      </c>
      <c r="BZ545" s="129">
        <f>INDEX('Gross Gen Plant'!$D$7:$AC$91,MATCH($C545,'Gross Gen Plant'!$C$7:$C$91,0),MATCH(Calculation!$G545,'Gross Gen Plant'!$D$5:$AC$5,0))</f>
        <v>4783</v>
      </c>
      <c r="CA545" s="129">
        <f t="shared" si="960"/>
        <v>180398</v>
      </c>
      <c r="CB545" s="129"/>
      <c r="CC545" s="133">
        <v>2015</v>
      </c>
      <c r="CD545" s="129"/>
      <c r="CE545" s="129"/>
      <c r="CF545" s="129"/>
      <c r="CG545" s="137"/>
      <c r="CH545" s="129">
        <f t="shared" si="980"/>
        <v>15597</v>
      </c>
      <c r="CI545" s="46">
        <f t="shared" si="989"/>
        <v>15593.277907800282</v>
      </c>
      <c r="CJ545" s="46">
        <f t="shared" si="981"/>
        <v>23.080136433042899</v>
      </c>
      <c r="CK545" s="443">
        <v>0.8</v>
      </c>
      <c r="CL545" s="46">
        <f>+CL528*CK545+CJ529*CK544+CJ530*CK543+CJ531*CK542+CJ532*CK541+CJ533*CK540+CJ534*CK539+CJ535*CK538+CJ536*CK537+CJ537*CK536+CJ538*CK535+CJ539*CK534+CJ540*CK533+CJ541*CK532+CJ542*CK531+CJ543*CK530+CJ544*CK529+CJ545</f>
        <v>665.20763383866199</v>
      </c>
      <c r="CM545" s="134">
        <f t="shared" si="982"/>
        <v>2.0402625358357563E-2</v>
      </c>
      <c r="CN545" s="135">
        <f t="shared" si="983"/>
        <v>1.4799120316006822E-2</v>
      </c>
      <c r="CO545" s="135">
        <f t="shared" si="992"/>
        <v>1.4477984187543078E-2</v>
      </c>
      <c r="CP545" s="134">
        <f>VLOOKUP($H545,RoR!$E:$F,2,FALSE)</f>
        <v>3.8866666666666674E-2</v>
      </c>
      <c r="CQ545" s="135">
        <v>9.5709475431029478E-3</v>
      </c>
      <c r="CR545" s="135">
        <f t="shared" si="990"/>
        <v>2.9295719123563727E-2</v>
      </c>
      <c r="CS545" s="135">
        <f t="shared" si="993"/>
        <v>1.6423957420990547E-2</v>
      </c>
      <c r="CT545" s="135">
        <f t="shared" si="994"/>
        <v>3.5270373279175926E-3</v>
      </c>
      <c r="CU545" s="139">
        <f t="shared" si="984"/>
        <v>0.85150049999999999</v>
      </c>
      <c r="CV545" s="335">
        <f t="shared" si="985"/>
        <v>1.3194352816994324</v>
      </c>
      <c r="CW545" s="335">
        <f t="shared" si="986"/>
        <v>0.33177530017152673</v>
      </c>
      <c r="CX545" s="335">
        <f t="shared" si="987"/>
        <v>0.78242572977668579</v>
      </c>
      <c r="CY545" s="335">
        <f t="shared" si="988"/>
        <v>0.34251158643433932</v>
      </c>
      <c r="CZ545" s="336">
        <f>INDEX('State Tax Lookup'!$D$7:$Z$91,MATCH(Calculation!$C545,'State Tax Lookup'!$B$7:$B$91,0),MATCH($H545,'State Tax Lookup'!$D$6:$Z$6,0))</f>
        <v>0.40134999999999998</v>
      </c>
      <c r="DA545" s="303">
        <v>0.37</v>
      </c>
      <c r="DB545" s="57">
        <f t="shared" si="991"/>
        <v>15.777954973400767</v>
      </c>
      <c r="DC545" s="56">
        <f t="shared" si="995"/>
        <v>-3.0033573760021817E-2</v>
      </c>
      <c r="DD545" s="303">
        <f>VLOOKUP($H545,RoR!$E:$F,2,FALSE)</f>
        <v>3.8866666666666674E-2</v>
      </c>
      <c r="DE545" s="304">
        <f>HLOOKUP($H545,'GDP-PI'!$D$8:$CQ$11,3,FALSE)</f>
        <v>9.5709475431029478E-3</v>
      </c>
      <c r="DF545" s="303">
        <f>VLOOKUP(H545,'HW Dx Data'!$E:$F,2,FALSE)</f>
        <v>675.61463308665782</v>
      </c>
      <c r="DG545" s="89">
        <f ca="1">VLOOKUP(CC545,'ECI - Input Price'!M$13:N$33,2,FALSE)</f>
        <v>133.5</v>
      </c>
      <c r="DH545" s="89"/>
      <c r="DI545" s="89"/>
      <c r="DJ545" s="56">
        <f t="shared" ca="1" si="1003"/>
        <v>3.1193095773504077E-2</v>
      </c>
      <c r="DK545" s="53">
        <f>HLOOKUP(H545,'GDP-PI'!$8:$9,2,FALSE)</f>
        <v>104.639</v>
      </c>
      <c r="DL545" s="355">
        <f t="shared" si="996"/>
        <v>9.5254361854427965E-3</v>
      </c>
      <c r="EC545"/>
    </row>
    <row r="546" spans="1:133" s="126" customFormat="1" ht="21" customHeight="1" x14ac:dyDescent="0.4">
      <c r="A546" s="233" t="s">
        <v>213</v>
      </c>
      <c r="B546" s="127" t="s">
        <v>213</v>
      </c>
      <c r="C546" s="127">
        <v>4008754</v>
      </c>
      <c r="D546" s="127" t="s">
        <v>214</v>
      </c>
      <c r="E546" s="127"/>
      <c r="F546" s="127"/>
      <c r="G546" s="127" t="s">
        <v>172</v>
      </c>
      <c r="H546" s="128">
        <v>2016</v>
      </c>
      <c r="I546" s="129"/>
      <c r="J546" s="125">
        <f>IFERROR(INDEX('Labor Expenditures'!$E$7:$W$91,MATCH($C546,'Labor Expenditures'!$C$7:$C$91,0),MATCH($G546,'Labor Expenditures'!$E$5:$W$5,0)),"NA")</f>
        <v>14360.171588439667</v>
      </c>
      <c r="K546" s="125">
        <f t="shared" ca="1" si="997"/>
        <v>104.85703971113303</v>
      </c>
      <c r="L546" s="47"/>
      <c r="M546" s="131">
        <f t="shared" ca="1" si="1004"/>
        <v>-5.1845148553511023E-4</v>
      </c>
      <c r="N546" s="131"/>
      <c r="O546" s="131"/>
      <c r="P546" s="59">
        <f t="shared" ca="1" si="1006"/>
        <v>-2.2876087992803943E-6</v>
      </c>
      <c r="Q546" s="61"/>
      <c r="R546" s="387"/>
      <c r="S546" s="49">
        <f t="shared" ca="1" si="1011"/>
        <v>299.56535765883183</v>
      </c>
      <c r="T546" s="61">
        <f ca="1">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</f>
        <v>0.92218402353888873</v>
      </c>
      <c r="U546" s="61"/>
      <c r="V546" s="125">
        <f>IFERROR(INDEX('Non-Labor Expenditures'!$E$7:$AA$91,MATCH($C546,'Non-Labor Expenditures'!$C$7:$C$91,0),MATCH($G546,'Non-Labor Expenditures'!$E$5:$AA$5,0)),"NA")</f>
        <v>20796.210570144445</v>
      </c>
      <c r="W546" s="125">
        <f t="shared" si="998"/>
        <v>196.68051155845166</v>
      </c>
      <c r="X546" s="131">
        <f t="shared" si="1007"/>
        <v>1.4566876016042531E-2</v>
      </c>
      <c r="Y546" s="131">
        <f t="shared" si="1008"/>
        <v>6.4274700106088772E-5</v>
      </c>
      <c r="Z546" s="131"/>
      <c r="AA546" s="131"/>
      <c r="AB546" s="131"/>
      <c r="AC546" s="125">
        <f t="shared" si="978"/>
        <v>10214.201679590093</v>
      </c>
      <c r="AD546" s="129"/>
      <c r="AE546" s="133">
        <v>733.41539514578983</v>
      </c>
      <c r="AF546" s="134">
        <v>2.4893579351943591E-2</v>
      </c>
      <c r="AG546" s="59">
        <f t="shared" si="999"/>
        <v>1.0984011572908183E-4</v>
      </c>
      <c r="AH546" s="134"/>
      <c r="AI546" s="134"/>
      <c r="AJ546" s="129">
        <f t="shared" si="1015"/>
        <v>45370.583838174207</v>
      </c>
      <c r="AK546" s="134">
        <f t="shared" si="1009"/>
        <v>1.7754648214669298E-2</v>
      </c>
      <c r="AL546" s="129"/>
      <c r="AM546" s="129"/>
      <c r="AN546" s="129"/>
      <c r="AO546" s="129"/>
      <c r="AP546" s="133">
        <f t="shared" si="1010"/>
        <v>294.15575621222905</v>
      </c>
      <c r="AQ546" s="134">
        <f>+BB546/Outputs!$B$24</f>
        <v>4.1970782958098826E-3</v>
      </c>
      <c r="AR546" s="93">
        <f t="shared" si="1000"/>
        <v>0.31650841522469475</v>
      </c>
      <c r="AS546" s="93">
        <f t="shared" si="1001"/>
        <v>0.45836330086294347</v>
      </c>
      <c r="AT546" s="93">
        <f t="shared" si="1002"/>
        <v>0.22512828391236173</v>
      </c>
      <c r="AU546" s="93">
        <f t="shared" ca="1" si="1005"/>
        <v>1.2163168193254241E-2</v>
      </c>
      <c r="AV546" s="132">
        <f t="shared" ca="1" si="1013"/>
        <v>113.8659500724029</v>
      </c>
      <c r="AW546" s="134">
        <f t="shared" ca="1" si="1014"/>
        <v>1.2163168193254239E-2</v>
      </c>
      <c r="AX546" s="56">
        <f>+AJ546/$AL$21</f>
        <v>4.4123873942019491E-3</v>
      </c>
      <c r="AY546" s="135">
        <f t="shared" ca="1" si="1012"/>
        <v>5.3668610009473105E-5</v>
      </c>
      <c r="AZ546" s="93"/>
      <c r="BA546" s="93"/>
      <c r="BB546" s="234">
        <f>IFERROR(INDEX('Total Customers'!$E$7:$AA$91,MATCH($C546,'Total Customers'!$C$7:$C$91,0),MATCH($G546,'Total Customers'!$E$5:$AA$5,0)),"NA")</f>
        <v>154240</v>
      </c>
      <c r="BC546" s="411">
        <f t="shared" si="973"/>
        <v>2.0700333017979321E-2</v>
      </c>
      <c r="BD546" s="92"/>
      <c r="BE546" s="281" t="str">
        <f t="shared" si="969"/>
        <v>MADISON GAS AND ELECTRIC COMPANY</v>
      </c>
      <c r="BF546" s="290">
        <f t="shared" si="970"/>
        <v>4008754</v>
      </c>
      <c r="BG546" s="46" t="str">
        <f t="shared" si="971"/>
        <v>WI</v>
      </c>
      <c r="BH546" s="46"/>
      <c r="BI546" s="46" t="str">
        <f t="shared" si="972"/>
        <v>2016 Y</v>
      </c>
      <c r="BJ546" s="129"/>
      <c r="BK546" s="129"/>
      <c r="BL546" s="129">
        <f>INDEX('Dist. Plant Gas Additions'!$E$7:$AD$91,MATCH($C546,'Dist. Plant Gas Additions'!$C$7:$C$91,0),MATCH(Calculation!$G546,'Dist. Plant Gas Additions'!$E$5:$AD$5,0))</f>
        <v>16001</v>
      </c>
      <c r="BM546" s="129">
        <f>INDEX('Gen. Plant Additions'!$E$7:$AD$91,MATCH($C546,'Gen. Plant Additions'!$C$7:$C$91,0),MATCH(Calculation!$G546,'Gen. Plant Additions'!$E$5:$AD$5,0))</f>
        <v>118</v>
      </c>
      <c r="BN546" s="393">
        <f t="shared" si="979"/>
        <v>0.99070751161561044</v>
      </c>
      <c r="BO546" s="46">
        <f t="shared" si="930"/>
        <v>116.90348637064203</v>
      </c>
      <c r="BP546" s="46">
        <f t="shared" si="931"/>
        <v>-1.0965136293579718</v>
      </c>
      <c r="BQ546" s="129">
        <f>INDEX('Dist Plant Depreciation'!$D$7:$AC$94,MATCH($C546,'Dist Plant Depreciation'!$C$7:$C$94,0),MATCH(Calculation!$G546,'Dist Plant Depreciation'!$D$5:$AC$5,0))</f>
        <v>163925</v>
      </c>
      <c r="BR546" s="129">
        <f>INDEX('Gen. Plant Depreciation'!$D$7:$AC$94,MATCH($C546,'Gen. Plant Depreciation'!$C$7:$C$94,0),MATCH(Calculation!$G546,'Gen. Plant Depreciation'!$D$5:$AC$5,0))</f>
        <v>1535</v>
      </c>
      <c r="BS546" s="129"/>
      <c r="BT546" s="129"/>
      <c r="BU546" s="129"/>
      <c r="BV546" s="129"/>
      <c r="BW546" s="129"/>
      <c r="BX546" s="129"/>
      <c r="BY546" s="129">
        <f>INDEX('Gross Dx Plant'!$D$7:$AC$91,MATCH($C546,'Gross Dx Plant'!$C$7:$C$91,0),MATCH(Calculation!$G546,'Gross Dx Plant'!$D$5:$AC$5,0))</f>
        <v>352252</v>
      </c>
      <c r="BZ546" s="129">
        <f>INDEX('Gross Gen Plant'!$D$7:$AC$91,MATCH($C546,'Gross Gen Plant'!$C$7:$C$91,0),MATCH(Calculation!$G546,'Gross Gen Plant'!$D$5:$AC$5,0))</f>
        <v>3304</v>
      </c>
      <c r="CA546" s="129">
        <f t="shared" si="960"/>
        <v>190096</v>
      </c>
      <c r="CB546" s="129"/>
      <c r="CC546" s="133">
        <v>2016</v>
      </c>
      <c r="CD546" s="129"/>
      <c r="CE546" s="129"/>
      <c r="CF546" s="129"/>
      <c r="CG546" s="137"/>
      <c r="CH546" s="129">
        <f t="shared" si="980"/>
        <v>16119</v>
      </c>
      <c r="CI546" s="46">
        <f t="shared" si="989"/>
        <v>16117.903486370642</v>
      </c>
      <c r="CJ546" s="46">
        <f t="shared" si="981"/>
        <v>24.00439348521293</v>
      </c>
      <c r="CK546" s="443">
        <v>0.7857142857142857</v>
      </c>
      <c r="CL546" s="46">
        <f>+CL528*CK546+CJ529*CK545+CJ530*CK544+CJ531*CK543+CJ532*CK542+CJ533*CK541+CJ534*CK540+CJ535*CK539+CJ536*CK538+CJ537*CK537+CJ538*CK536+CJ539*CK535+CJ540*CK534+CJ541*CK533+CJ542*CK532+CJ543*CK531+CJ544*CK530+CJ545*CK529+CJ546</f>
        <v>679.11690895057245</v>
      </c>
      <c r="CM546" s="134">
        <f t="shared" si="982"/>
        <v>2.0694067610060349E-2</v>
      </c>
      <c r="CN546" s="135">
        <f t="shared" si="983"/>
        <v>1.5175890744138569E-2</v>
      </c>
      <c r="CO546" s="135">
        <f t="shared" si="992"/>
        <v>1.4818074390317683E-2</v>
      </c>
      <c r="CP546" s="134">
        <f>VLOOKUP($H546,RoR!$E:$F,2,FALSE)</f>
        <v>3.6658333333333334E-2</v>
      </c>
      <c r="CQ546" s="135">
        <v>1.0483662879041455E-2</v>
      </c>
      <c r="CR546" s="135">
        <f t="shared" si="990"/>
        <v>2.6174670454291879E-2</v>
      </c>
      <c r="CS546" s="135">
        <f t="shared" si="993"/>
        <v>1.608386721821594E-2</v>
      </c>
      <c r="CT546" s="135">
        <f t="shared" si="994"/>
        <v>4.301363574220729E-3</v>
      </c>
      <c r="CU546" s="139">
        <f t="shared" si="984"/>
        <v>0.85150049999999999</v>
      </c>
      <c r="CV546" s="335">
        <f t="shared" si="985"/>
        <v>1.3989193348138562</v>
      </c>
      <c r="CW546" s="335">
        <f t="shared" si="986"/>
        <v>0.29302682427824522</v>
      </c>
      <c r="CX546" s="335">
        <f t="shared" si="987"/>
        <v>0.76309497491941802</v>
      </c>
      <c r="CY546" s="335">
        <f t="shared" si="988"/>
        <v>0.31280857135128509</v>
      </c>
      <c r="CZ546" s="336">
        <f>INDEX('State Tax Lookup'!$D$7:$Z$91,MATCH(Calculation!$C546,'State Tax Lookup'!$B$7:$B$91,0),MATCH($H546,'State Tax Lookup'!$D$6:$Z$6,0))</f>
        <v>0.40134999999999998</v>
      </c>
      <c r="DA546" s="303">
        <v>0.37</v>
      </c>
      <c r="DB546" s="57">
        <f t="shared" si="991"/>
        <v>15.354907490534638</v>
      </c>
      <c r="DC546" s="56">
        <f t="shared" si="995"/>
        <v>-2.7178581748660498E-2</v>
      </c>
      <c r="DD546" s="303">
        <f>VLOOKUP($H546,RoR!$E:$F,2,FALSE)</f>
        <v>3.6658333333333334E-2</v>
      </c>
      <c r="DE546" s="304">
        <f>HLOOKUP($H546,'GDP-PI'!$D$8:$CQ$11,3,FALSE)</f>
        <v>1.0483662879041455E-2</v>
      </c>
      <c r="DF546" s="303">
        <f>VLOOKUP(H546,'HW Dx Data'!$E:$F,2,FALSE)</f>
        <v>671.45639385971219</v>
      </c>
      <c r="DG546" s="89">
        <f ca="1">VLOOKUP(CC546,'ECI - Input Price'!M$13:N$33,2,FALSE)</f>
        <v>136.94999999999999</v>
      </c>
      <c r="DH546" s="89"/>
      <c r="DI546" s="89"/>
      <c r="DJ546" s="56">
        <f t="shared" ca="1" si="1003"/>
        <v>2.5514417868782811E-2</v>
      </c>
      <c r="DK546" s="53">
        <f>HLOOKUP(H546,'GDP-PI'!$8:$9,2,FALSE)</f>
        <v>105.736</v>
      </c>
      <c r="DL546" s="355">
        <f t="shared" si="996"/>
        <v>1.0429090367205095E-2</v>
      </c>
      <c r="EC546"/>
    </row>
    <row r="547" spans="1:133" s="126" customFormat="1" ht="21" customHeight="1" x14ac:dyDescent="0.4">
      <c r="A547" s="233" t="s">
        <v>213</v>
      </c>
      <c r="B547" s="127" t="s">
        <v>213</v>
      </c>
      <c r="C547" s="127">
        <v>4008754</v>
      </c>
      <c r="D547" s="127" t="s">
        <v>214</v>
      </c>
      <c r="E547" s="127"/>
      <c r="F547" s="127"/>
      <c r="G547" s="127" t="s">
        <v>173</v>
      </c>
      <c r="H547" s="128">
        <v>2017</v>
      </c>
      <c r="I547" s="129"/>
      <c r="J547" s="125">
        <f>IFERROR(INDEX('Labor Expenditures'!$E$7:$W$91,MATCH($C547,'Labor Expenditures'!$C$7:$C$91,0),MATCH($G547,'Labor Expenditures'!$E$5:$W$5,0)),"NA")</f>
        <v>14769.824568999353</v>
      </c>
      <c r="K547" s="125">
        <f t="shared" ca="1" si="997"/>
        <v>105.16073028835424</v>
      </c>
      <c r="L547" s="47"/>
      <c r="M547" s="131">
        <f t="shared" ca="1" si="1004"/>
        <v>2.8920485051609022E-3</v>
      </c>
      <c r="N547" s="131"/>
      <c r="O547" s="131"/>
      <c r="P547" s="59">
        <f t="shared" ca="1" si="1006"/>
        <v>1.278775898573598E-5</v>
      </c>
      <c r="Q547" s="61"/>
      <c r="R547" s="387"/>
      <c r="S547" s="49">
        <f t="shared" ca="1" si="1011"/>
        <v>166.23547032381529</v>
      </c>
      <c r="T547" s="61">
        <f ca="1">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</f>
        <v>-0.58892733714729106</v>
      </c>
      <c r="U547" s="61"/>
      <c r="V547" s="125">
        <f>IFERROR(INDEX('Non-Labor Expenditures'!$E$7:$AA$91,MATCH($C547,'Non-Labor Expenditures'!$C$7:$C$91,0),MATCH($G547,'Non-Labor Expenditures'!$E$5:$AA$5,0)),"NA")</f>
        <v>21389.464598617527</v>
      </c>
      <c r="W547" s="125">
        <f t="shared" si="998"/>
        <v>198.50826998002364</v>
      </c>
      <c r="X547" s="131">
        <f t="shared" si="1007"/>
        <v>9.2501181185814154E-3</v>
      </c>
      <c r="Y547" s="131">
        <f t="shared" si="1008"/>
        <v>4.0901209256664107E-5</v>
      </c>
      <c r="Z547" s="131"/>
      <c r="AA547" s="131"/>
      <c r="AB547" s="131"/>
      <c r="AC547" s="125">
        <f t="shared" si="978"/>
        <v>9291.8854925180603</v>
      </c>
      <c r="AD547" s="129"/>
      <c r="AE547" s="133">
        <v>755.16678107156577</v>
      </c>
      <c r="AF547" s="134">
        <v>2.922638004608202E-2</v>
      </c>
      <c r="AG547" s="59">
        <f t="shared" si="999"/>
        <v>1.2923016449685262E-4</v>
      </c>
      <c r="AH547" s="134"/>
      <c r="AI547" s="134"/>
      <c r="AJ547" s="129">
        <f t="shared" si="1015"/>
        <v>45451.174660134944</v>
      </c>
      <c r="AK547" s="134">
        <f t="shared" si="1009"/>
        <v>1.7747034289025065E-3</v>
      </c>
      <c r="AL547" s="129"/>
      <c r="AM547" s="129"/>
      <c r="AN547" s="129"/>
      <c r="AO547" s="129"/>
      <c r="AP547" s="133">
        <f t="shared" si="1010"/>
        <v>290.27260433983014</v>
      </c>
      <c r="AQ547" s="134">
        <f>+BB547/Outputs!$B$25</f>
        <v>4.2287681437787111E-3</v>
      </c>
      <c r="AR547" s="93">
        <f t="shared" si="1000"/>
        <v>0.32496023874942687</v>
      </c>
      <c r="AS547" s="93">
        <f t="shared" si="1001"/>
        <v>0.4706031199096411</v>
      </c>
      <c r="AT547" s="93">
        <f t="shared" si="1002"/>
        <v>0.2044366413409319</v>
      </c>
      <c r="AU547" s="93">
        <f t="shared" ca="1" si="1005"/>
        <v>1.150141767104761E-2</v>
      </c>
      <c r="AV547" s="132">
        <f t="shared" ca="1" si="1013"/>
        <v>115.18313012167452</v>
      </c>
      <c r="AW547" s="134">
        <f t="shared" ca="1" si="1014"/>
        <v>1.1501417671047528E-2</v>
      </c>
      <c r="AX547" s="56">
        <f>+AJ547/$AL$22</f>
        <v>4.4216958888884609E-3</v>
      </c>
      <c r="AY547" s="135">
        <f t="shared" ca="1" si="1012"/>
        <v>5.0855771232459955E-5</v>
      </c>
      <c r="AZ547" s="93"/>
      <c r="BA547" s="93"/>
      <c r="BB547" s="234">
        <f>IFERROR(INDEX('Total Customers'!$E$7:$AA$91,MATCH($C547,'Total Customers'!$C$7:$C$91,0),MATCH($G547,'Total Customers'!$E$5:$AA$5,0)),"NA")</f>
        <v>156581</v>
      </c>
      <c r="BC547" s="411">
        <f t="shared" si="973"/>
        <v>1.506361710882626E-2</v>
      </c>
      <c r="BD547" s="92"/>
      <c r="BE547" s="281" t="str">
        <f t="shared" si="969"/>
        <v>MADISON GAS AND ELECTRIC COMPANY</v>
      </c>
      <c r="BF547" s="290">
        <f t="shared" si="970"/>
        <v>4008754</v>
      </c>
      <c r="BG547" s="46" t="str">
        <f t="shared" si="971"/>
        <v>WI</v>
      </c>
      <c r="BH547" s="46"/>
      <c r="BI547" s="46" t="str">
        <f t="shared" si="972"/>
        <v>2017 Y</v>
      </c>
      <c r="BJ547" s="129"/>
      <c r="BK547" s="129"/>
      <c r="BL547" s="129">
        <f>INDEX('Dist. Plant Gas Additions'!$E$7:$AD$91,MATCH($C547,'Dist. Plant Gas Additions'!$C$7:$C$91,0),MATCH(Calculation!$G547,'Dist. Plant Gas Additions'!$E$5:$AD$5,0))</f>
        <v>19801</v>
      </c>
      <c r="BM547" s="129">
        <f>INDEX('Gen. Plant Additions'!$E$7:$AD$91,MATCH($C547,'Gen. Plant Additions'!$C$7:$C$91,0),MATCH(Calculation!$G547,'Gen. Plant Additions'!$E$5:$AD$5,0))</f>
        <v>200</v>
      </c>
      <c r="BN547" s="393">
        <f t="shared" si="979"/>
        <v>0.99096222273505463</v>
      </c>
      <c r="BO547" s="46">
        <f t="shared" si="930"/>
        <v>198.19244454701092</v>
      </c>
      <c r="BP547" s="46">
        <f t="shared" si="931"/>
        <v>-1.807555452989078</v>
      </c>
      <c r="BQ547" s="129">
        <f>INDEX('Dist Plant Depreciation'!$D$7:$AC$94,MATCH($C547,'Dist Plant Depreciation'!$C$7:$C$94,0),MATCH(Calculation!$G547,'Dist Plant Depreciation'!$D$5:$AC$5,0))</f>
        <v>167411</v>
      </c>
      <c r="BR547" s="129">
        <f>INDEX('Gen. Plant Depreciation'!$D$7:$AC$94,MATCH($C547,'Gen. Plant Depreciation'!$C$7:$C$94,0),MATCH(Calculation!$G547,'Gen. Plant Depreciation'!$D$5:$AC$5,0))</f>
        <v>1531</v>
      </c>
      <c r="BS547" s="129"/>
      <c r="BT547" s="129"/>
      <c r="BU547" s="129"/>
      <c r="BV547" s="129"/>
      <c r="BW547" s="129"/>
      <c r="BX547" s="129"/>
      <c r="BY547" s="129">
        <f>INDEX('Gross Dx Plant'!$D$7:$AC$91,MATCH($C547,'Gross Dx Plant'!$C$7:$C$91,0),MATCH(Calculation!$G547,'Gross Dx Plant'!$D$5:$AC$5,0))</f>
        <v>369290</v>
      </c>
      <c r="BZ547" s="129">
        <f>INDEX('Gross Gen Plant'!$D$7:$AC$91,MATCH($C547,'Gross Gen Plant'!$C$7:$C$91,0),MATCH(Calculation!$G547,'Gross Gen Plant'!$D$5:$AC$5,0))</f>
        <v>3368</v>
      </c>
      <c r="CA547" s="129">
        <f t="shared" si="960"/>
        <v>203716</v>
      </c>
      <c r="CB547" s="129"/>
      <c r="CC547" s="133">
        <v>2017</v>
      </c>
      <c r="CD547" s="129"/>
      <c r="CE547" s="129"/>
      <c r="CF547" s="129"/>
      <c r="CG547" s="137"/>
      <c r="CH547" s="129">
        <f t="shared" si="980"/>
        <v>20001</v>
      </c>
      <c r="CI547" s="46">
        <f t="shared" si="989"/>
        <v>19999.19244454701</v>
      </c>
      <c r="CJ547" s="46">
        <f t="shared" si="981"/>
        <v>28.071855764990023</v>
      </c>
      <c r="CK547" s="443">
        <v>0.77108433734939763</v>
      </c>
      <c r="CL547" s="46">
        <f>+CL528*CK547+CJ529*CK546+CJ530*CK545+CJ531*CK544+CJ532*CK543+CJ533*CK542+CJ534*CK541+CJ535*CK540+CJ536*CK539+CJ537*CK538+CJ538*CK537+CJ539*CK536+CJ540*CK535+CJ541*CK534+CJ542*CK533+CJ543*CK532+CJ544*CK531+CJ545*CK530+CJ546*CK529+CJ547</f>
        <v>696.62277381519061</v>
      </c>
      <c r="CM547" s="134">
        <f t="shared" si="982"/>
        <v>2.5450759344689464E-2</v>
      </c>
      <c r="CN547" s="135">
        <f t="shared" si="983"/>
        <v>1.5558427070678161E-2</v>
      </c>
      <c r="CO547" s="135">
        <f t="shared" si="992"/>
        <v>1.5177812710274519E-2</v>
      </c>
      <c r="CP547" s="134">
        <f>VLOOKUP($H547,RoR!$E:$F,2,FALSE)</f>
        <v>3.7433333333333339E-2</v>
      </c>
      <c r="CQ547" s="135">
        <v>1.9056896421275615E-2</v>
      </c>
      <c r="CR547" s="135">
        <f t="shared" si="990"/>
        <v>1.8376436912057724E-2</v>
      </c>
      <c r="CS547" s="135">
        <f t="shared" si="993"/>
        <v>1.5724128898259106E-2</v>
      </c>
      <c r="CT547" s="135">
        <f t="shared" si="994"/>
        <v>1.3976271617800498E-2</v>
      </c>
      <c r="CU547" s="139">
        <f t="shared" si="984"/>
        <v>0.90330050000000006</v>
      </c>
      <c r="CV547" s="335">
        <f t="shared" si="985"/>
        <v>1.3699568463593395</v>
      </c>
      <c r="CW547" s="335">
        <f t="shared" si="986"/>
        <v>0.30714603739982199</v>
      </c>
      <c r="CX547" s="335">
        <f t="shared" si="987"/>
        <v>0.77007188472689425</v>
      </c>
      <c r="CY547" s="335">
        <f t="shared" si="988"/>
        <v>0.32402839633793828</v>
      </c>
      <c r="CZ547" s="336">
        <f>INDEX('State Tax Lookup'!$D$7:$Z$91,MATCH(Calculation!$C547,'State Tax Lookup'!$B$7:$B$91,0),MATCH($H547,'State Tax Lookup'!$D$6:$Z$6,0))</f>
        <v>0.26134999999999997</v>
      </c>
      <c r="DA547" s="303">
        <v>0.37</v>
      </c>
      <c r="DB547" s="57">
        <f t="shared" si="991"/>
        <v>13.682306198025092</v>
      </c>
      <c r="DC547" s="56">
        <f t="shared" si="995"/>
        <v>-0.11533164944873407</v>
      </c>
      <c r="DD547" s="303">
        <f>VLOOKUP($H547,RoR!$E:$F,2,FALSE)</f>
        <v>3.7433333333333339E-2</v>
      </c>
      <c r="DE547" s="304">
        <f>HLOOKUP($H547,'GDP-PI'!$D$8:$CQ$11,3,FALSE)</f>
        <v>1.9056896421275615E-2</v>
      </c>
      <c r="DF547" s="303">
        <f>VLOOKUP(H547,'HW Dx Data'!$E:$F,2,FALSE)</f>
        <v>712.42858370229726</v>
      </c>
      <c r="DG547" s="89">
        <f ca="1">VLOOKUP(CC547,'ECI - Input Price'!M$13:N$33,2,FALSE)</f>
        <v>140.44999999999999</v>
      </c>
      <c r="DH547" s="89"/>
      <c r="DI547" s="89"/>
      <c r="DJ547" s="56">
        <f t="shared" ca="1" si="1003"/>
        <v>2.5235657841165486E-2</v>
      </c>
      <c r="DK547" s="53">
        <f>HLOOKUP(H547,'GDP-PI'!$8:$9,2,FALSE)</f>
        <v>107.751</v>
      </c>
      <c r="DL547" s="355">
        <f t="shared" si="996"/>
        <v>1.8877588227745139E-2</v>
      </c>
      <c r="EC547"/>
    </row>
    <row r="548" spans="1:133" s="126" customFormat="1" ht="21" customHeight="1" x14ac:dyDescent="0.4">
      <c r="A548" s="233" t="s">
        <v>213</v>
      </c>
      <c r="B548" s="127" t="s">
        <v>213</v>
      </c>
      <c r="C548" s="127">
        <v>4008754</v>
      </c>
      <c r="D548" s="127" t="s">
        <v>214</v>
      </c>
      <c r="E548" s="127"/>
      <c r="F548" s="127"/>
      <c r="G548" s="127" t="s">
        <v>174</v>
      </c>
      <c r="H548" s="128">
        <v>2018</v>
      </c>
      <c r="I548" s="129"/>
      <c r="J548" s="125">
        <f>IFERROR(INDEX('Labor Expenditures'!$E$7:$W$91,MATCH($C548,'Labor Expenditures'!$C$7:$C$91,0),MATCH($G548,'Labor Expenditures'!$E$5:$W$5,0)),"NA")</f>
        <v>14706.131845461503</v>
      </c>
      <c r="K548" s="125">
        <f t="shared" ca="1" si="997"/>
        <v>101.80776632372104</v>
      </c>
      <c r="L548" s="47"/>
      <c r="M548" s="131">
        <f t="shared" ca="1" si="1004"/>
        <v>-3.2403553159193542E-2</v>
      </c>
      <c r="N548" s="131"/>
      <c r="O548" s="131"/>
      <c r="P548" s="59">
        <f t="shared" ca="1" si="1006"/>
        <v>-1.3349887355706681E-4</v>
      </c>
      <c r="Q548" s="61"/>
      <c r="R548" s="387"/>
      <c r="S548" s="49">
        <f t="shared" ca="1" si="1011"/>
        <v>114.70157082541871</v>
      </c>
      <c r="T548" s="61">
        <f ca="1">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</f>
        <v>-0.37107156004887804</v>
      </c>
      <c r="U548" s="61"/>
      <c r="V548" s="125">
        <f>IFERROR(INDEX('Non-Labor Expenditures'!$E$7:$AA$91,MATCH($C548,'Non-Labor Expenditures'!$C$7:$C$91,0),MATCH($G548,'Non-Labor Expenditures'!$E$5:$AA$5,0)),"NA")</f>
        <v>21297.225638774915</v>
      </c>
      <c r="W548" s="125">
        <f t="shared" si="998"/>
        <v>193.04604375169879</v>
      </c>
      <c r="X548" s="131">
        <f t="shared" si="1007"/>
        <v>-2.7902032513710644E-2</v>
      </c>
      <c r="Y548" s="131">
        <f t="shared" si="1008"/>
        <v>-1.1495313159742786E-4</v>
      </c>
      <c r="Z548" s="131"/>
      <c r="AA548" s="131"/>
      <c r="AB548" s="131"/>
      <c r="AC548" s="125">
        <f t="shared" si="978"/>
        <v>9842.4926450238254</v>
      </c>
      <c r="AD548" s="129"/>
      <c r="AE548" s="133">
        <v>779.97087370371935</v>
      </c>
      <c r="AF548" s="134">
        <v>3.2317950645645174E-2</v>
      </c>
      <c r="AG548" s="59">
        <f t="shared" si="999"/>
        <v>1.3314620114869796E-4</v>
      </c>
      <c r="AH548" s="134"/>
      <c r="AI548" s="134"/>
      <c r="AJ548" s="129">
        <f t="shared" si="1015"/>
        <v>45845.850129260245</v>
      </c>
      <c r="AK548" s="134">
        <f t="shared" si="1009"/>
        <v>8.6460194875376019E-3</v>
      </c>
      <c r="AL548" s="129"/>
      <c r="AM548" s="129"/>
      <c r="AN548" s="129"/>
      <c r="AO548" s="129"/>
      <c r="AP548" s="133">
        <f t="shared" si="1010"/>
        <v>287.13775798866527</v>
      </c>
      <c r="AQ548" s="134">
        <f>+BB548/Outputs!$B$26</f>
        <v>4.2742929701299294E-3</v>
      </c>
      <c r="AR548" s="93">
        <f t="shared" si="1000"/>
        <v>0.32077345722673367</v>
      </c>
      <c r="AS548" s="93">
        <f t="shared" si="1001"/>
        <v>0.46453987828185922</v>
      </c>
      <c r="AT548" s="93">
        <f t="shared" si="1002"/>
        <v>0.21468666449140705</v>
      </c>
      <c r="AU548" s="93">
        <f t="shared" ca="1" si="1005"/>
        <v>-1.6735625086212479E-2</v>
      </c>
      <c r="AV548" s="132">
        <f t="shared" ca="1" si="1013"/>
        <v>113.27150914291359</v>
      </c>
      <c r="AW548" s="134">
        <f t="shared" ca="1" si="1014"/>
        <v>-1.6735625086212451E-2</v>
      </c>
      <c r="AX548" s="56">
        <f>+AJ548/$AL$23</f>
        <v>4.1198837948791577E-3</v>
      </c>
      <c r="AY548" s="135">
        <f t="shared" ca="1" si="1012"/>
        <v>-6.894883058985978E-5</v>
      </c>
      <c r="AZ548" s="93"/>
      <c r="BA548" s="93"/>
      <c r="BB548" s="234">
        <f>IFERROR(INDEX('Total Customers'!$E$7:$AA$91,MATCH($C548,'Total Customers'!$C$7:$C$91,0),MATCH($G548,'Total Customers'!$E$5:$AA$5,0)),"NA")</f>
        <v>159665</v>
      </c>
      <c r="BC548" s="411">
        <f t="shared" si="973"/>
        <v>1.9504422303901914E-2</v>
      </c>
      <c r="BD548" s="92"/>
      <c r="BE548" s="281" t="str">
        <f t="shared" si="969"/>
        <v>MADISON GAS AND ELECTRIC COMPANY</v>
      </c>
      <c r="BF548" s="290">
        <f t="shared" si="970"/>
        <v>4008754</v>
      </c>
      <c r="BG548" s="46" t="str">
        <f t="shared" si="971"/>
        <v>WI</v>
      </c>
      <c r="BH548" s="46"/>
      <c r="BI548" s="46" t="str">
        <f t="shared" si="972"/>
        <v>2018 Y</v>
      </c>
      <c r="BJ548" s="129"/>
      <c r="BK548" s="129"/>
      <c r="BL548" s="129">
        <f>INDEX('Dist. Plant Gas Additions'!$E$7:$AD$91,MATCH($C548,'Dist. Plant Gas Additions'!$C$7:$C$91,0),MATCH(Calculation!$G548,'Dist. Plant Gas Additions'!$E$5:$AD$5,0))</f>
        <v>23442</v>
      </c>
      <c r="BM548" s="129">
        <f>INDEX('Gen. Plant Additions'!$E$7:$AD$91,MATCH($C548,'Gen. Plant Additions'!$C$7:$C$91,0),MATCH(Calculation!$G548,'Gen. Plant Additions'!$E$5:$AD$5,0))</f>
        <v>355</v>
      </c>
      <c r="BN548" s="393">
        <f t="shared" si="979"/>
        <v>0.99092074669163099</v>
      </c>
      <c r="BO548" s="46">
        <f t="shared" si="930"/>
        <v>351.77686507552903</v>
      </c>
      <c r="BP548" s="46">
        <f t="shared" si="931"/>
        <v>-3.2231349244709691</v>
      </c>
      <c r="BQ548" s="129">
        <f>INDEX('Dist Plant Depreciation'!$D$7:$AC$94,MATCH($C548,'Dist Plant Depreciation'!$C$7:$C$94,0),MATCH(Calculation!$G548,'Dist Plant Depreciation'!$D$5:$AC$5,0))</f>
        <v>170808</v>
      </c>
      <c r="BR548" s="129">
        <f>INDEX('Gen. Plant Depreciation'!$D$7:$AC$94,MATCH($C548,'Gen. Plant Depreciation'!$C$7:$C$94,0),MATCH(Calculation!$G548,'Gen. Plant Depreciation'!$D$5:$AC$5,0))</f>
        <v>1640</v>
      </c>
      <c r="BS548" s="129"/>
      <c r="BT548" s="129"/>
      <c r="BU548" s="129"/>
      <c r="BV548" s="129"/>
      <c r="BW548" s="129"/>
      <c r="BX548" s="129"/>
      <c r="BY548" s="129">
        <f>INDEX('Gross Dx Plant'!$D$7:$AC$91,MATCH($C548,'Gross Dx Plant'!$C$7:$C$91,0),MATCH(Calculation!$G548,'Gross Dx Plant'!$D$5:$AC$5,0))</f>
        <v>389525</v>
      </c>
      <c r="BZ548" s="129">
        <f>INDEX('Gross Gen Plant'!$D$7:$AC$91,MATCH($C548,'Gross Gen Plant'!$C$7:$C$91,0),MATCH(Calculation!$G548,'Gross Gen Plant'!$D$5:$AC$5,0))</f>
        <v>3569</v>
      </c>
      <c r="CA548" s="129">
        <f t="shared" si="960"/>
        <v>220646</v>
      </c>
      <c r="CB548" s="129"/>
      <c r="CC548" s="133">
        <v>2018</v>
      </c>
      <c r="CD548" s="129"/>
      <c r="CE548" s="129"/>
      <c r="CF548" s="129"/>
      <c r="CG548" s="137"/>
      <c r="CH548" s="129">
        <f t="shared" si="980"/>
        <v>23797</v>
      </c>
      <c r="CI548" s="46">
        <f t="shared" si="989"/>
        <v>23793.776865075528</v>
      </c>
      <c r="CJ548" s="46">
        <f t="shared" si="981"/>
        <v>31.509230597821652</v>
      </c>
      <c r="CK548" s="443">
        <v>0.75609756097560976</v>
      </c>
      <c r="CL548" s="46">
        <f>+CL528*CK548++CJ529*CK547+CJ530*CK546+CJ531*CK545+CJ532*CK544+CJ533*CK543+CJ534*CK542+CJ535*CK541+CJ536*CK540+CJ537*CK539+CJ538*CK538+CJ539*CK537+CJ540*CK536+CJ541*CK535+CJ542*CK534+CJ543*CK533+CJ544*CK532+CJ545*CK531+CJ546*CK530+CJ547*CK529+CJ548</f>
        <v>717.0419116520635</v>
      </c>
      <c r="CM548" s="134">
        <f t="shared" si="982"/>
        <v>2.8890242865341413E-2</v>
      </c>
      <c r="CN548" s="135">
        <f t="shared" si="983"/>
        <v>1.591979644910502E-2</v>
      </c>
      <c r="CO548" s="135">
        <f t="shared" si="992"/>
        <v>1.5551371421307249E-2</v>
      </c>
      <c r="CP548" s="134">
        <f>VLOOKUP($H548,RoR!$E:$F,2,FALSE)</f>
        <v>3.9299999999999995E-2</v>
      </c>
      <c r="CQ548" s="135">
        <v>2.386056741932796E-2</v>
      </c>
      <c r="CR548" s="135">
        <f t="shared" si="990"/>
        <v>1.5439432580672034E-2</v>
      </c>
      <c r="CS548" s="135">
        <f t="shared" si="993"/>
        <v>1.5350570187226376E-2</v>
      </c>
      <c r="CT548" s="135">
        <f t="shared" si="994"/>
        <v>3.8270792163076606E-2</v>
      </c>
      <c r="CU548" s="139">
        <f t="shared" si="984"/>
        <v>0.90330050000000006</v>
      </c>
      <c r="CV548" s="335">
        <f t="shared" si="985"/>
        <v>1.3048868010700074</v>
      </c>
      <c r="CW548" s="335">
        <f t="shared" si="986"/>
        <v>0.33886768447837151</v>
      </c>
      <c r="CX548" s="335">
        <f t="shared" si="987"/>
        <v>0.78602506232557801</v>
      </c>
      <c r="CY548" s="335">
        <f t="shared" si="988"/>
        <v>0.34756768162358759</v>
      </c>
      <c r="CZ548" s="336">
        <f>INDEX('State Tax Lookup'!$D$7:$Z$91,MATCH(Calculation!$C548,'State Tax Lookup'!$B$7:$B$91,0),MATCH($H548,'State Tax Lookup'!$D$6:$Z$6,0))</f>
        <v>0.26134999999999997</v>
      </c>
      <c r="DA548" s="303">
        <v>0.37</v>
      </c>
      <c r="DB548" s="57">
        <f t="shared" si="991"/>
        <v>14.128870049882941</v>
      </c>
      <c r="DC548" s="56">
        <f t="shared" si="995"/>
        <v>3.2116745624579349E-2</v>
      </c>
      <c r="DD548" s="303">
        <f>VLOOKUP($H548,RoR!$E:$F,2,FALSE)</f>
        <v>3.9299999999999995E-2</v>
      </c>
      <c r="DE548" s="304">
        <f>HLOOKUP($H548,'GDP-PI'!$D$8:$CQ$11,3,FALSE)</f>
        <v>2.386056741932796E-2</v>
      </c>
      <c r="DF548" s="303">
        <f>VLOOKUP(H548,'HW Dx Data'!$E:$F,2,FALSE)</f>
        <v>755.13671434174842</v>
      </c>
      <c r="DG548" s="89">
        <f ca="1">VLOOKUP(CC548,'ECI - Input Price'!M$13:N$33,2,FALSE)</f>
        <v>144.44999999999999</v>
      </c>
      <c r="DH548" s="89"/>
      <c r="DI548" s="89"/>
      <c r="DJ548" s="56">
        <f t="shared" ca="1" si="1003"/>
        <v>2.80818733619915E-2</v>
      </c>
      <c r="DK548" s="53">
        <f>HLOOKUP(H548,'GDP-PI'!$8:$9,2,FALSE)</f>
        <v>110.322</v>
      </c>
      <c r="DL548" s="355">
        <f t="shared" si="996"/>
        <v>2.3580352716508712E-2</v>
      </c>
      <c r="EC548"/>
    </row>
    <row r="549" spans="1:133" s="126" customFormat="1" ht="21" customHeight="1" x14ac:dyDescent="0.4">
      <c r="A549" s="233" t="s">
        <v>213</v>
      </c>
      <c r="B549" s="127" t="s">
        <v>213</v>
      </c>
      <c r="C549" s="127">
        <v>4008754</v>
      </c>
      <c r="D549" s="127" t="s">
        <v>214</v>
      </c>
      <c r="E549" s="127"/>
      <c r="F549" s="127"/>
      <c r="G549" s="127" t="s">
        <v>175</v>
      </c>
      <c r="H549" s="128">
        <v>2019</v>
      </c>
      <c r="I549" s="129"/>
      <c r="J549" s="125">
        <f>IFERROR(INDEX('Labor Expenditures'!$E$7:$W$91,MATCH($C549,'Labor Expenditures'!$C$7:$C$91,0),MATCH($G549,'Labor Expenditures'!$E$5:$W$5,0)),"NA")</f>
        <v>16335.394915648687</v>
      </c>
      <c r="K549" s="125">
        <f t="shared" ca="1" si="997"/>
        <v>109.13910082277391</v>
      </c>
      <c r="L549" s="47"/>
      <c r="M549" s="131">
        <f t="shared" ca="1" si="1004"/>
        <v>6.9536831750286021E-2</v>
      </c>
      <c r="N549" s="131"/>
      <c r="O549" s="131"/>
      <c r="P549" s="59">
        <f t="shared" ca="1" si="1006"/>
        <v>3.058765154706666E-4</v>
      </c>
      <c r="Q549" s="61"/>
      <c r="R549" s="387"/>
      <c r="S549" s="49">
        <f t="shared" ca="1" si="1011"/>
        <v>116.34150148677617</v>
      </c>
      <c r="T549" s="61">
        <f ca="1">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</f>
        <v>1.419612530354686E-2</v>
      </c>
      <c r="U549" s="61"/>
      <c r="V549" s="125">
        <f>IFERROR(INDEX('Non-Labor Expenditures'!$E$7:$AA$91,MATCH($C549,'Non-Labor Expenditures'!$C$7:$C$91,0),MATCH($G549,'Non-Labor Expenditures'!$E$5:$AA$5,0)),"NA")</f>
        <v>23656.702868771878</v>
      </c>
      <c r="W549" s="125">
        <f t="shared" si="998"/>
        <v>210.622543748748</v>
      </c>
      <c r="X549" s="131">
        <f t="shared" si="1007"/>
        <v>8.7138910198055766E-2</v>
      </c>
      <c r="Y549" s="131">
        <f t="shared" si="1008"/>
        <v>3.8330400655884066E-4</v>
      </c>
      <c r="Z549" s="131"/>
      <c r="AA549" s="131"/>
      <c r="AB549" s="131"/>
      <c r="AC549" s="125">
        <f t="shared" si="978"/>
        <v>10123.582614294517</v>
      </c>
      <c r="AD549" s="129"/>
      <c r="AE549" s="133">
        <v>799.84459766346913</v>
      </c>
      <c r="AF549" s="134">
        <v>2.5160878296779616E-2</v>
      </c>
      <c r="AG549" s="59">
        <f t="shared" si="999"/>
        <v>1.1067691158605043E-4</v>
      </c>
      <c r="AH549" s="134"/>
      <c r="AI549" s="134"/>
      <c r="AJ549" s="129">
        <f t="shared" si="1015"/>
        <v>50115.680398715078</v>
      </c>
      <c r="AK549" s="134">
        <f t="shared" si="1009"/>
        <v>8.9049256247922079E-2</v>
      </c>
      <c r="AL549" s="129"/>
      <c r="AM549" s="129"/>
      <c r="AN549" s="129"/>
      <c r="AO549" s="129"/>
      <c r="AP549" s="133">
        <f t="shared" si="1010"/>
        <v>307.78860984931725</v>
      </c>
      <c r="AQ549" s="134">
        <f>+BB549/Outputs!$B$27</f>
        <v>4.3229388369665708E-3</v>
      </c>
      <c r="AR549" s="93">
        <f t="shared" si="1000"/>
        <v>0.32595376907359142</v>
      </c>
      <c r="AS549" s="93">
        <f t="shared" si="1001"/>
        <v>0.47204193738489908</v>
      </c>
      <c r="AT549" s="93">
        <f t="shared" si="1002"/>
        <v>0.20200429354150956</v>
      </c>
      <c r="AU549" s="93">
        <f t="shared" ca="1" si="1005"/>
        <v>6.853419576726362E-2</v>
      </c>
      <c r="AV549" s="132">
        <f t="shared" ca="1" si="1013"/>
        <v>121.30667803429212</v>
      </c>
      <c r="AW549" s="134">
        <f t="shared" ca="1" si="1014"/>
        <v>6.8534195767263703E-2</v>
      </c>
      <c r="AX549" s="56">
        <f>+AJ549/$AL$24</f>
        <v>4.3987697997098993E-3</v>
      </c>
      <c r="AY549" s="135">
        <f t="shared" ca="1" si="1012"/>
        <v>3.0146615058844559E-4</v>
      </c>
      <c r="AZ549" s="93"/>
      <c r="BA549" s="93"/>
      <c r="BB549" s="234">
        <f>IFERROR(INDEX('Total Customers'!$E$7:$AA$91,MATCH($C549,'Total Customers'!$C$7:$C$91,0),MATCH($G549,'Total Customers'!$E$5:$AA$5,0)),"NA")</f>
        <v>162825</v>
      </c>
      <c r="BC549" s="411">
        <f t="shared" si="973"/>
        <v>1.9598134157501394E-2</v>
      </c>
      <c r="BD549" s="92"/>
      <c r="BE549" s="281" t="str">
        <f t="shared" si="969"/>
        <v>MADISON GAS AND ELECTRIC COMPANY</v>
      </c>
      <c r="BF549" s="290">
        <f t="shared" si="970"/>
        <v>4008754</v>
      </c>
      <c r="BG549" s="46" t="str">
        <f t="shared" si="971"/>
        <v>WI</v>
      </c>
      <c r="BH549" s="46"/>
      <c r="BI549" s="46" t="str">
        <f t="shared" si="972"/>
        <v>2019 Y</v>
      </c>
      <c r="BJ549" s="129"/>
      <c r="BK549" s="129"/>
      <c r="BL549" s="129">
        <f>INDEX('Dist. Plant Gas Additions'!$E$7:$AD$91,MATCH($C549,'Dist. Plant Gas Additions'!$C$7:$C$91,0),MATCH(Calculation!$G549,'Dist. Plant Gas Additions'!$E$5:$AD$5,0))</f>
        <v>20698</v>
      </c>
      <c r="BM549" s="129">
        <f>INDEX('Gen. Plant Additions'!$E$7:$AD$91,MATCH($C549,'Gen. Plant Additions'!$C$7:$C$91,0),MATCH(Calculation!$G549,'Gen. Plant Additions'!$E$5:$AD$5,0))</f>
        <v>192</v>
      </c>
      <c r="BN549" s="393">
        <f t="shared" si="979"/>
        <v>0.98639159597601478</v>
      </c>
      <c r="BO549" s="46">
        <f t="shared" si="930"/>
        <v>189.38718642739485</v>
      </c>
      <c r="BP549" s="46">
        <f t="shared" si="931"/>
        <v>-2.6128135726051482</v>
      </c>
      <c r="BQ549" s="129">
        <f>INDEX('Dist Plant Depreciation'!$D$7:$AC$94,MATCH($C549,'Dist Plant Depreciation'!$C$7:$C$94,0),MATCH(Calculation!$G549,'Dist Plant Depreciation'!$D$5:$AC$5,0))</f>
        <v>175337</v>
      </c>
      <c r="BR549" s="129">
        <f>INDEX('Gen. Plant Depreciation'!$D$7:$AC$94,MATCH($C549,'Gen. Plant Depreciation'!$C$7:$C$94,0),MATCH(Calculation!$G549,'Gen. Plant Depreciation'!$D$5:$AC$5,0))</f>
        <v>2479</v>
      </c>
      <c r="BS549" s="129"/>
      <c r="BT549" s="129"/>
      <c r="BU549" s="129"/>
      <c r="BV549" s="129"/>
      <c r="BW549" s="129"/>
      <c r="BX549" s="129"/>
      <c r="BY549" s="129">
        <f>INDEX('Gross Dx Plant'!$D$7:$AC$91,MATCH($C549,'Gross Dx Plant'!$C$7:$C$91,0),MATCH(Calculation!$G549,'Gross Dx Plant'!$D$5:$AC$5,0))</f>
        <v>407795</v>
      </c>
      <c r="BZ549" s="129">
        <f>INDEX('Gross Gen Plant'!$D$7:$AC$91,MATCH($C549,'Gross Gen Plant'!$C$7:$C$91,0),MATCH(Calculation!$G549,'Gross Gen Plant'!$D$5:$AC$5,0))</f>
        <v>5626</v>
      </c>
      <c r="CA549" s="129">
        <f t="shared" si="960"/>
        <v>235605</v>
      </c>
      <c r="CB549" s="129"/>
      <c r="CC549" s="133">
        <v>2019</v>
      </c>
      <c r="CD549" s="129"/>
      <c r="CE549" s="129"/>
      <c r="CF549" s="129"/>
      <c r="CG549" s="137"/>
      <c r="CH549" s="129">
        <f t="shared" si="980"/>
        <v>20890</v>
      </c>
      <c r="CI549" s="46">
        <f t="shared" si="989"/>
        <v>20887.387186427393</v>
      </c>
      <c r="CJ549" s="46">
        <f t="shared" si="981"/>
        <v>27.002360761849854</v>
      </c>
      <c r="CK549" s="443">
        <v>0.7407407407407407</v>
      </c>
      <c r="CL549" s="46">
        <f>CL528*CK549+CJ529*CK548+CJ530*CK547+CJ531*CK546+CJ532*CK545+CJ533*CK544+CJ534*CK543+CJ535*CK542+CJ536*CK541+CJ537*CK540+CJ538*CK539+CJ539*CK538+CJ540*CK537+CJ541*CK536+CJ542*CK535+CJ543*CK534+CJ544*CK533+CJ545*CK532+CJ546*CK531+CJ547*CK530+CJ548*CK529+CJ549</f>
        <v>732.38174677609038</v>
      </c>
      <c r="CM549" s="134">
        <f t="shared" si="982"/>
        <v>2.1167596932170196E-2</v>
      </c>
      <c r="CN549" s="135">
        <f t="shared" si="983"/>
        <v>1.6264775389422545E-2</v>
      </c>
      <c r="CO549" s="135">
        <f t="shared" si="992"/>
        <v>1.591433296973524E-2</v>
      </c>
      <c r="CP549" s="134">
        <f>VLOOKUP($H549,RoR!$E:$F,2,FALSE)</f>
        <v>3.3875000000000009E-2</v>
      </c>
      <c r="CQ549" s="135">
        <v>1.8092492884465461E-2</v>
      </c>
      <c r="CR549" s="135">
        <f t="shared" si="990"/>
        <v>1.5782507115534548E-2</v>
      </c>
      <c r="CS549" s="135">
        <f t="shared" si="993"/>
        <v>1.4987608638798385E-2</v>
      </c>
      <c r="CT549" s="135">
        <f t="shared" si="994"/>
        <v>4.8445665544254078E-2</v>
      </c>
      <c r="CU549" s="139">
        <f t="shared" si="984"/>
        <v>0.90330050000000006</v>
      </c>
      <c r="CV549" s="335">
        <f t="shared" si="985"/>
        <v>1.513861292459078</v>
      </c>
      <c r="CW549" s="335">
        <f t="shared" si="986"/>
        <v>0.23699261992619944</v>
      </c>
      <c r="CX549" s="335">
        <f t="shared" si="987"/>
        <v>0.73619765810468829</v>
      </c>
      <c r="CY549" s="335">
        <f t="shared" si="988"/>
        <v>0.26412854465362851</v>
      </c>
      <c r="CZ549" s="336">
        <f>INDEX('State Tax Lookup'!$D$7:$Z$91,MATCH(Calculation!$C549,'State Tax Lookup'!$B$7:$B$91,0),MATCH($H549,'State Tax Lookup'!$D$6:$Z$6,0))</f>
        <v>0.26134999999999997</v>
      </c>
      <c r="DA549" s="303">
        <v>0.37</v>
      </c>
      <c r="DB549" s="57">
        <f t="shared" si="991"/>
        <v>14.118536796503008</v>
      </c>
      <c r="DC549" s="56">
        <f t="shared" si="995"/>
        <v>-7.3162495212776384E-4</v>
      </c>
      <c r="DD549" s="303">
        <f>VLOOKUP($H549,RoR!$E:$F,2,FALSE)</f>
        <v>3.3875000000000009E-2</v>
      </c>
      <c r="DE549" s="304">
        <f>HLOOKUP($H549,'GDP-PI'!$D$8:$CQ$11,3,FALSE)</f>
        <v>1.8092492884465461E-2</v>
      </c>
      <c r="DF549" s="303">
        <f>VLOOKUP(H549,'HW Dx Data'!$E:$F,2,FALSE)</f>
        <v>773.53929793938721</v>
      </c>
      <c r="DG549" s="89">
        <f ca="1">VLOOKUP(CC549,'ECI - Input Price'!M$13:N$33,2,FALSE)</f>
        <v>149.67500000000001</v>
      </c>
      <c r="DH549" s="89"/>
      <c r="DI549" s="89"/>
      <c r="DJ549" s="56">
        <f t="shared" ca="1" si="1003"/>
        <v>3.5532849899171604E-2</v>
      </c>
      <c r="DK549" s="53">
        <f>HLOOKUP(H549,'GDP-PI'!$8:$9,2,FALSE)</f>
        <v>112.318</v>
      </c>
      <c r="DL549" s="355">
        <f t="shared" si="996"/>
        <v>1.7930771451401852E-2</v>
      </c>
      <c r="EC549"/>
    </row>
    <row r="550" spans="1:133" s="126" customFormat="1" ht="21" customHeight="1" x14ac:dyDescent="0.4">
      <c r="A550" s="233" t="s">
        <v>213</v>
      </c>
      <c r="B550" s="126" t="s">
        <v>213</v>
      </c>
      <c r="C550" s="126">
        <v>4008754</v>
      </c>
      <c r="D550" s="126" t="s">
        <v>214</v>
      </c>
      <c r="G550" s="127" t="s">
        <v>176</v>
      </c>
      <c r="H550" s="128">
        <v>2020</v>
      </c>
      <c r="I550" s="129"/>
      <c r="J550" s="125">
        <f>IFERROR(INDEX('Labor Expenditures'!$E$7:$W$91,MATCH($C550,'Labor Expenditures'!$C$7:$C$91,0),MATCH($G550,'Labor Expenditures'!$E$5:$W$5,0)),"NA")</f>
        <v>16863.034662261791</v>
      </c>
      <c r="K550" s="125">
        <f t="shared" ca="1" si="997"/>
        <v>110.10796384108254</v>
      </c>
      <c r="L550" s="47"/>
      <c r="M550" s="131">
        <f t="shared" ca="1" si="1004"/>
        <v>8.8381509372708889E-3</v>
      </c>
      <c r="N550" s="131"/>
      <c r="O550" s="131"/>
      <c r="P550" s="59">
        <f t="shared" ca="1" si="1006"/>
        <v>3.9527496291436708E-5</v>
      </c>
      <c r="Q550" s="61"/>
      <c r="R550" s="387"/>
      <c r="S550" s="49">
        <f t="shared" ca="1" si="1011"/>
        <v>116.6279056497373</v>
      </c>
      <c r="T550" s="61">
        <f ca="1">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</f>
        <v>2.458728901496462E-3</v>
      </c>
      <c r="U550" s="61"/>
      <c r="V550" s="125">
        <f>IFERROR(INDEX('Non-Labor Expenditures'!$E$7:$AA$91,MATCH($C550,'Non-Labor Expenditures'!$C$7:$C$91,0),MATCH($G550,'Non-Labor Expenditures'!$E$5:$AA$5,0)),"NA")</f>
        <v>24420.823771378451</v>
      </c>
      <c r="W550" s="125">
        <f t="shared" si="998"/>
        <v>214.92852478264479</v>
      </c>
      <c r="X550" s="131">
        <f t="shared" si="1007"/>
        <v>2.0237890673246432E-2</v>
      </c>
      <c r="Y550" s="131">
        <f t="shared" si="1008"/>
        <v>9.0511369879395329E-5</v>
      </c>
      <c r="Z550" s="131"/>
      <c r="AA550" s="131"/>
      <c r="AB550" s="131"/>
      <c r="AC550" s="125">
        <f t="shared" si="978"/>
        <v>10605.026148409785</v>
      </c>
      <c r="AD550" s="129"/>
      <c r="AE550" s="133">
        <v>821.99814735314169</v>
      </c>
      <c r="AF550" s="134">
        <v>2.7320685347623757E-2</v>
      </c>
      <c r="AG550" s="59">
        <f t="shared" si="999"/>
        <v>1.2218826046561868E-4</v>
      </c>
      <c r="AH550" s="134"/>
      <c r="AI550" s="134"/>
      <c r="AJ550" s="129">
        <f t="shared" si="1015"/>
        <v>51888.884582050028</v>
      </c>
      <c r="AK550" s="134">
        <f t="shared" si="1009"/>
        <v>3.4770656199049198E-2</v>
      </c>
      <c r="AL550" s="129"/>
      <c r="AM550" s="129"/>
      <c r="AN550" s="129"/>
      <c r="AO550" s="129"/>
      <c r="AP550" s="133">
        <f t="shared" si="1010"/>
        <v>312.83617246482117</v>
      </c>
      <c r="AQ550" s="134">
        <f>+BB550/Outputs!$B$28</f>
        <v>4.3725793148522048E-3</v>
      </c>
      <c r="AR550" s="93">
        <f t="shared" si="1000"/>
        <v>0.32498356436236125</v>
      </c>
      <c r="AS550" s="93">
        <f t="shared" si="1001"/>
        <v>0.47063689975379369</v>
      </c>
      <c r="AT550" s="93">
        <f t="shared" si="1002"/>
        <v>0.204379535883845</v>
      </c>
      <c r="AU550" s="93">
        <f t="shared" ca="1" si="1005"/>
        <v>1.7966799191850017E-2</v>
      </c>
      <c r="AV550" s="132">
        <f t="shared" ca="1" si="1013"/>
        <v>123.50586780066041</v>
      </c>
      <c r="AW550" s="134">
        <f t="shared" ca="1" si="1014"/>
        <v>1.7966799191850034E-2</v>
      </c>
      <c r="AX550" s="56">
        <f>+AJ550/$AL$25</f>
        <v>4.4723717180193698E-3</v>
      </c>
      <c r="AY550" s="135">
        <f t="shared" ca="1" si="1012"/>
        <v>8.0354204568963369E-5</v>
      </c>
      <c r="AZ550" s="93"/>
      <c r="BA550" s="93"/>
      <c r="BB550" s="234">
        <f>IFERROR(INDEX('Total Customers'!$E$7:$AA$91,MATCH($C550,'Total Customers'!$C$7:$C$91,0),MATCH($G550,'Total Customers'!$E$5:$AA$5,0)),"NA")</f>
        <v>165866</v>
      </c>
      <c r="BC550" s="411">
        <f t="shared" si="973"/>
        <v>1.8504229023712938E-2</v>
      </c>
      <c r="BD550" s="92"/>
      <c r="BE550" s="281" t="str">
        <f t="shared" si="969"/>
        <v>MADISON GAS AND ELECTRIC COMPANY</v>
      </c>
      <c r="BF550" s="290">
        <f t="shared" si="970"/>
        <v>4008754</v>
      </c>
      <c r="BG550" s="46" t="str">
        <f t="shared" si="971"/>
        <v>WI</v>
      </c>
      <c r="BH550" s="46"/>
      <c r="BI550" s="46" t="str">
        <f t="shared" si="972"/>
        <v>2020 Y</v>
      </c>
      <c r="BJ550" s="129"/>
      <c r="BK550" s="129"/>
      <c r="BL550" s="129">
        <f>INDEX('Dist. Plant Gas Additions'!$E$7:$AD$91,MATCH($C550,'Dist. Plant Gas Additions'!$C$7:$C$91,0),MATCH(Calculation!$G550,'Dist. Plant Gas Additions'!$E$5:$AD$5,0))</f>
        <v>23919</v>
      </c>
      <c r="BM550" s="129">
        <f>INDEX('Gen. Plant Additions'!$E$7:$AD$91,MATCH($C550,'Gen. Plant Additions'!$C$7:$C$91,0),MATCH(Calculation!$G550,'Gen. Plant Additions'!$E$5:$AD$5,0))</f>
        <v>235</v>
      </c>
      <c r="BN550" s="393">
        <f t="shared" si="979"/>
        <v>0.98598145897775813</v>
      </c>
      <c r="BO550" s="46">
        <f t="shared" si="930"/>
        <v>231.70564285977315</v>
      </c>
      <c r="BP550" s="46">
        <f t="shared" si="931"/>
        <v>-3.2943571402268503</v>
      </c>
      <c r="BQ550" s="129">
        <f>INDEX('Dist Plant Depreciation'!$D$7:$AC$94,MATCH($C550,'Dist Plant Depreciation'!$C$7:$C$94,0),MATCH(Calculation!$G550,'Dist Plant Depreciation'!$D$5:$AC$5,0))</f>
        <v>179298</v>
      </c>
      <c r="BR550" s="129">
        <f>INDEX('Gen. Plant Depreciation'!$D$7:$AC$94,MATCH($C550,'Gen. Plant Depreciation'!$C$7:$C$94,0),MATCH(Calculation!$G550,'Gen. Plant Depreciation'!$D$5:$AC$5,0))</f>
        <v>2851</v>
      </c>
      <c r="BS550" s="129"/>
      <c r="BT550" s="129"/>
      <c r="BU550" s="129"/>
      <c r="BV550" s="129"/>
      <c r="BW550" s="129"/>
      <c r="BX550" s="129"/>
      <c r="BY550" s="129">
        <f>INDEX('Gross Dx Plant'!$D$7:$AC$91,MATCH($C550,'Gross Dx Plant'!$C$7:$C$91,0),MATCH(Calculation!$G550,'Gross Dx Plant'!$D$5:$AC$5,0))</f>
        <v>428405</v>
      </c>
      <c r="BZ550" s="129">
        <f>INDEX('Gross Gen Plant'!$D$7:$AC$91,MATCH($C550,'Gross Gen Plant'!$C$7:$C$91,0),MATCH(Calculation!$G550,'Gross Gen Plant'!$D$5:$AC$5,0))</f>
        <v>6091</v>
      </c>
      <c r="CA550" s="129">
        <f t="shared" si="960"/>
        <v>252347</v>
      </c>
      <c r="CB550" s="129"/>
      <c r="CC550" s="133">
        <v>2020</v>
      </c>
      <c r="CD550" s="129"/>
      <c r="CE550" s="129"/>
      <c r="CF550" s="129"/>
      <c r="CG550" s="137"/>
      <c r="CH550" s="129">
        <f t="shared" si="980"/>
        <v>24154</v>
      </c>
      <c r="CI550" s="46">
        <f t="shared" si="989"/>
        <v>24150.705642859772</v>
      </c>
      <c r="CJ550" s="46">
        <f t="shared" si="981"/>
        <v>29.702736283499654</v>
      </c>
      <c r="CK550" s="443">
        <v>0.72499999999999998</v>
      </c>
      <c r="CL550" s="46">
        <f>CL528*CK550+CJ529*CK549+CJ530*CK548+CJ531*CK547+CJ532*CK546+CJ533*CK545+CJ534*CK544+CJ535*CK543+CJ536*CK542+CJ537*CK541+CJ538*CK540+CJ539*CK539+CJ540*CK538+CJ541*CK537+CJ542*CK536+CJ543*CK535+CJ544*CK534+CJ545*CK533+CJ546*CK532+CJ547*CK531+CJ548*CK530+CJ549*CK529+CJ550</f>
        <v>749.87858011567505</v>
      </c>
      <c r="CM550" s="134">
        <f t="shared" si="982"/>
        <v>2.3609410234751344E-2</v>
      </c>
      <c r="CN550" s="135">
        <f t="shared" si="983"/>
        <v>1.666603925841242E-2</v>
      </c>
      <c r="CO550" s="135">
        <f t="shared" si="992"/>
        <v>1.628353703231333E-2</v>
      </c>
      <c r="CP550" s="134">
        <f>VLOOKUP($H550,RoR!$E:$F,2,FALSE)</f>
        <v>2.4766666666666666E-2</v>
      </c>
      <c r="CQ550" s="135">
        <v>1.1618796630994188E-2</v>
      </c>
      <c r="CR550" s="135">
        <f t="shared" si="990"/>
        <v>1.3147870035672478E-2</v>
      </c>
      <c r="CS550" s="135">
        <f t="shared" si="993"/>
        <v>1.4618404576220295E-2</v>
      </c>
      <c r="CT550" s="135">
        <f t="shared" si="994"/>
        <v>4.5144642961987357E-2</v>
      </c>
      <c r="CU550" s="139">
        <f t="shared" si="984"/>
        <v>0.90330050000000006</v>
      </c>
      <c r="CV550" s="335">
        <f t="shared" si="985"/>
        <v>2.0706077233668081</v>
      </c>
      <c r="CW550" s="335">
        <f t="shared" si="986"/>
        <v>-3.4421265141318998E-2</v>
      </c>
      <c r="CX550" s="335">
        <f t="shared" si="987"/>
        <v>0.62416226176410472</v>
      </c>
      <c r="CY550" s="335">
        <f t="shared" si="988"/>
        <v>-4.4485877841158712E-2</v>
      </c>
      <c r="CZ550" s="336">
        <f>INDEX('State Tax Lookup'!$D$7:$Z$91,MATCH(Calculation!$C550,'State Tax Lookup'!$B$7:$B$91,0),MATCH($H550,'State Tax Lookup'!$D$6:$Z$6,0))</f>
        <v>0.26134999999999997</v>
      </c>
      <c r="DA550" s="303">
        <v>0.37</v>
      </c>
      <c r="DB550" s="57">
        <f t="shared" si="991"/>
        <v>14.480189047709894</v>
      </c>
      <c r="DC550" s="56">
        <f t="shared" si="995"/>
        <v>2.5292842267880613E-2</v>
      </c>
      <c r="DD550" s="303">
        <f>VLOOKUP($H550,RoR!$E:$F,2,FALSE)</f>
        <v>2.4766666666666666E-2</v>
      </c>
      <c r="DE550" s="304">
        <f>HLOOKUP($H550,'GDP-PI'!$D$8:$CQ$11,3,FALSE)</f>
        <v>1.1618796630994188E-2</v>
      </c>
      <c r="DF550" s="303">
        <f>VLOOKUP(H550,'HW Dx Data'!$E:$F,2,FALSE)</f>
        <v>813.080162458833</v>
      </c>
      <c r="DG550" s="89">
        <f ca="1">VLOOKUP(CC550,'ECI - Input Price'!M$13:N$33,2,FALSE)</f>
        <v>153.15</v>
      </c>
      <c r="DH550" s="89"/>
      <c r="DI550" s="89"/>
      <c r="DJ550" s="56">
        <f t="shared" ca="1" si="1003"/>
        <v>2.2951556467368479E-2</v>
      </c>
      <c r="DK550" s="53">
        <f>HLOOKUP(H550,'GDP-PI'!$8:$9,2,FALSE)</f>
        <v>113.623</v>
      </c>
      <c r="DL550" s="355">
        <f t="shared" si="996"/>
        <v>1.1551816731392881E-2</v>
      </c>
      <c r="EC550"/>
    </row>
    <row r="551" spans="1:133" s="126" customFormat="1" ht="21" customHeight="1" x14ac:dyDescent="0.4">
      <c r="A551" s="233" t="s">
        <v>213</v>
      </c>
      <c r="B551" s="126" t="s">
        <v>213</v>
      </c>
      <c r="C551" s="126">
        <v>4008754</v>
      </c>
      <c r="D551" s="126" t="s">
        <v>214</v>
      </c>
      <c r="G551" s="127" t="s">
        <v>177</v>
      </c>
      <c r="H551" s="128">
        <v>2021</v>
      </c>
      <c r="I551" s="129"/>
      <c r="J551" s="125">
        <v>17923.407695417431</v>
      </c>
      <c r="K551" s="125">
        <f t="shared" ca="1" si="997"/>
        <v>113.98033510599321</v>
      </c>
      <c r="L551" s="47"/>
      <c r="M551" s="130">
        <f t="shared" ca="1" si="1004"/>
        <v>3.4564560533634485E-2</v>
      </c>
      <c r="N551" s="130"/>
      <c r="O551" s="130"/>
      <c r="P551" s="59">
        <f t="shared" ca="1" si="1006"/>
        <v>1.5153037245194253E-4</v>
      </c>
      <c r="Q551" s="61"/>
      <c r="R551" s="387"/>
      <c r="S551" s="132">
        <f ca="1">+S550*EXP(T551)</f>
        <v>120.96603740442636</v>
      </c>
      <c r="T551" s="134">
        <f ca="1">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</f>
        <v>3.6521250265610213E-2</v>
      </c>
      <c r="U551" s="134"/>
      <c r="V551" s="125">
        <v>25265.526510407704</v>
      </c>
      <c r="W551" s="125">
        <f t="shared" si="998"/>
        <v>213.22918820497685</v>
      </c>
      <c r="X551" s="131">
        <f t="shared" si="1007"/>
        <v>-7.9379417872175451E-3</v>
      </c>
      <c r="Y551" s="131">
        <f t="shared" si="1008"/>
        <v>-3.4799785009516907E-5</v>
      </c>
      <c r="Z551" s="131"/>
      <c r="AA551" s="131"/>
      <c r="AB551" s="131"/>
      <c r="AC551" s="125">
        <f t="shared" si="978"/>
        <v>13124.067834441632</v>
      </c>
      <c r="AD551" s="129"/>
      <c r="AE551" s="133">
        <v>842.30168079361761</v>
      </c>
      <c r="AF551" s="134"/>
      <c r="AG551" s="59">
        <f t="shared" si="999"/>
        <v>0</v>
      </c>
      <c r="AH551" s="134"/>
      <c r="AI551" s="134"/>
      <c r="AJ551" s="129">
        <f t="shared" si="1015"/>
        <v>56313.002040266765</v>
      </c>
      <c r="AK551" s="134">
        <f t="shared" si="1009"/>
        <v>8.1820853251778569E-2</v>
      </c>
      <c r="AL551" s="129"/>
      <c r="AM551" s="134"/>
      <c r="AN551" s="134"/>
      <c r="AO551" s="134"/>
      <c r="AP551" s="133">
        <f t="shared" si="1010"/>
        <v>335.64796714787013</v>
      </c>
      <c r="AQ551" s="134">
        <f>+BB551/Outputs!$B$29</f>
        <v>4.3457701483524515E-3</v>
      </c>
      <c r="AR551" s="93">
        <f t="shared" si="1000"/>
        <v>0.31828187178870787</v>
      </c>
      <c r="AS551" s="93">
        <f t="shared" si="1001"/>
        <v>0.44866239758167253</v>
      </c>
      <c r="AT551" s="93">
        <f t="shared" si="1002"/>
        <v>0.23305573062961962</v>
      </c>
      <c r="AU551" s="93">
        <f t="shared" ca="1" si="1005"/>
        <v>7.4684213998797468E-3</v>
      </c>
      <c r="AV551" s="132">
        <f t="shared" ca="1" si="1013"/>
        <v>124.43171467060787</v>
      </c>
      <c r="AW551" s="134">
        <f t="shared" ca="1" si="1014"/>
        <v>7.4684213998796514E-3</v>
      </c>
      <c r="AX551" s="56">
        <f>+AJ551/$AL$26</f>
        <v>4.3839808784633498E-3</v>
      </c>
      <c r="AY551" s="135">
        <f t="shared" ca="1" si="1012"/>
        <v>3.2741416609378875E-5</v>
      </c>
      <c r="AZ551" s="93"/>
      <c r="BA551" s="93"/>
      <c r="BB551" s="234">
        <f>INDEX('Total Customers'!$D$7:$D$91,MATCH(Calculation!$C551,'Total Customers'!$C$7:$C$91,0))</f>
        <v>167774</v>
      </c>
      <c r="BC551" s="411">
        <f t="shared" si="973"/>
        <v>1.1437602206779748E-2</v>
      </c>
      <c r="BD551" s="91"/>
      <c r="BE551" s="281" t="str">
        <f t="shared" si="969"/>
        <v>MADISON GAS AND ELECTRIC COMPANY</v>
      </c>
      <c r="BF551" s="290">
        <f t="shared" si="970"/>
        <v>4008754</v>
      </c>
      <c r="BG551" s="46" t="str">
        <f t="shared" si="971"/>
        <v>WI</v>
      </c>
      <c r="BH551" s="46"/>
      <c r="BI551" s="46" t="str">
        <f t="shared" si="972"/>
        <v>2021 Y</v>
      </c>
      <c r="BJ551" s="129"/>
      <c r="BK551" s="129"/>
      <c r="BL551" s="129">
        <f>INDEX('Dist. Plant Gas Additions'!$D$7:$AD$91,MATCH($C551,'Dist. Plant Gas Additions'!$C$7:$C$91,0),MATCH(Calculation!$G551,'Dist. Plant Gas Additions'!$D$5:$AD$5,0))</f>
        <v>23646</v>
      </c>
      <c r="BM551" s="129">
        <f>INDEX('Gen. Plant Additions'!$D$7:$AD$91,MATCH($C551,'Gen. Plant Additions'!$C$7:$C$91,0),MATCH(Calculation!$G551,'Gen. Plant Additions'!$D$5:$AD$5,0))</f>
        <v>180</v>
      </c>
      <c r="BN551" s="343">
        <v>0.98598145897775813</v>
      </c>
      <c r="BO551" s="46">
        <f t="shared" si="930"/>
        <v>177.47666261599647</v>
      </c>
      <c r="BP551" s="46">
        <f t="shared" si="931"/>
        <v>-2.5233373840035256</v>
      </c>
      <c r="BQ551" s="129"/>
      <c r="BR551" s="129"/>
      <c r="BS551" s="137"/>
      <c r="BT551" s="137"/>
      <c r="BU551" s="333"/>
      <c r="BV551" s="93"/>
      <c r="BW551" s="334"/>
      <c r="BX551" s="334"/>
      <c r="BY551" s="129"/>
      <c r="BZ551" s="129"/>
      <c r="CA551" s="129"/>
      <c r="CB551" s="129"/>
      <c r="CC551" s="133">
        <v>2021</v>
      </c>
      <c r="CD551" s="129"/>
      <c r="CE551" s="129"/>
      <c r="CF551" s="129"/>
      <c r="CG551" s="137"/>
      <c r="CH551" s="129">
        <f t="shared" si="980"/>
        <v>23826</v>
      </c>
      <c r="CI551" s="46">
        <f t="shared" si="989"/>
        <v>23823.476662615998</v>
      </c>
      <c r="CJ551" s="46">
        <f t="shared" si="981"/>
        <v>25.53365720828641</v>
      </c>
      <c r="CK551" s="443">
        <v>0.70886075949367089</v>
      </c>
      <c r="CL551" s="129">
        <f>CL528*CK551+CJ529*CK550+CJ530*CK549+CJ531*CK548+CJ532*CK547+CJ533*CK546+CJ534*CK545+CJ535*CK544+CJ536*CK543+CJ537*CK542+CJ538*CK541+CJ539*CK540+CJ540*CK539+CJ541*CK538+CJ542*CK537+CJ533*CK536+CJ544*CK535+CJ545*CK534+CJ546*CK533+CJ547*CK532+CJ548*CK531+CJ549*CK530+CJ551+CJ550*CK529</f>
        <v>765.27421673004415</v>
      </c>
      <c r="CM551" s="134"/>
      <c r="CN551" s="135">
        <f t="shared" si="983"/>
        <v>1.3519549514740693E-2</v>
      </c>
      <c r="CO551" s="135">
        <f t="shared" si="992"/>
        <v>1.5483454720858552E-2</v>
      </c>
      <c r="CP551" s="134">
        <f>VLOOKUP($H551,RoR!$E:$F,2,FALSE)</f>
        <v>2.7033333333333336E-2</v>
      </c>
      <c r="CQ551" s="135"/>
      <c r="CR551" s="135"/>
      <c r="CS551" s="135">
        <f t="shared" si="993"/>
        <v>1.5418486887675073E-2</v>
      </c>
      <c r="CT551" s="135">
        <f t="shared" si="994"/>
        <v>7.433422950153494E-2</v>
      </c>
      <c r="CU551" s="139">
        <f t="shared" si="984"/>
        <v>0.90330050000000006</v>
      </c>
      <c r="CV551" s="335">
        <f t="shared" si="985"/>
        <v>1.8969932656739068</v>
      </c>
      <c r="CW551" s="335">
        <f t="shared" si="986"/>
        <v>5.0215782983970621E-2</v>
      </c>
      <c r="CX551" s="335">
        <f t="shared" si="987"/>
        <v>0.655952481704143</v>
      </c>
      <c r="CY551" s="335">
        <f t="shared" si="988"/>
        <v>6.2485378865697057E-2</v>
      </c>
      <c r="CZ551" s="336">
        <f>CZ550</f>
        <v>0.26134999999999997</v>
      </c>
      <c r="DA551" s="303">
        <v>0.37</v>
      </c>
      <c r="DB551" s="141">
        <f t="shared" si="991"/>
        <v>17.501590500714308</v>
      </c>
      <c r="DC551" s="135">
        <f t="shared" si="995"/>
        <v>0.18951031990129719</v>
      </c>
      <c r="DD551" s="336">
        <f>VLOOKUP($H551,RoR!$E:$F,2,FALSE)</f>
        <v>2.7033333333333336E-2</v>
      </c>
      <c r="DE551" s="342">
        <f>HLOOKUP($H551,'GDP-PI'!$D$8:$CR$11,3,FALSE)</f>
        <v>4.2834637353352578E-2</v>
      </c>
      <c r="DF551" s="336">
        <f>VLOOKUP(H551,'HW Dx Data'!$E:$F,2,FALSE)</f>
        <v>933.02249921662576</v>
      </c>
      <c r="DG551" s="89">
        <f ca="1">VLOOKUP(CC551,'ECI - Input Price'!M$13:N$33,2,FALSE)</f>
        <v>157.25</v>
      </c>
      <c r="DH551" s="89"/>
      <c r="DI551" s="89"/>
      <c r="DJ551" s="135">
        <f t="shared" ca="1" si="1003"/>
        <v>2.6419062301765574E-2</v>
      </c>
      <c r="DK551" s="137">
        <f>HLOOKUP(H551,'GDP-PI'!$8:$9,2,FALSE)</f>
        <v>118.49</v>
      </c>
      <c r="DL551" s="356">
        <f t="shared" si="996"/>
        <v>4.194261824609434E-2</v>
      </c>
      <c r="EC551"/>
    </row>
    <row r="552" spans="1:133" s="126" customFormat="1" ht="21" customHeight="1" thickBot="1" x14ac:dyDescent="0.45">
      <c r="A552" s="235"/>
      <c r="B552" s="236"/>
      <c r="C552" s="236"/>
      <c r="D552" s="236"/>
      <c r="E552" s="236"/>
      <c r="F552" s="236"/>
      <c r="G552" s="237" t="s">
        <v>178</v>
      </c>
      <c r="H552" s="238"/>
      <c r="I552" s="239"/>
      <c r="J552" s="240">
        <v>18237.104119265525</v>
      </c>
      <c r="K552" s="240">
        <f t="shared" ca="1" si="997"/>
        <v>112.1938118687513</v>
      </c>
      <c r="L552" s="47"/>
      <c r="M552" s="241">
        <f t="shared" ref="M552" ca="1" si="1016">LN(K552/K551)</f>
        <v>-1.5798095561880002E-2</v>
      </c>
      <c r="N552" s="241"/>
      <c r="O552" s="241"/>
      <c r="P552" s="242">
        <f t="shared" ca="1" si="1006"/>
        <v>-6.8324395585693073E-5</v>
      </c>
      <c r="Q552" s="61"/>
      <c r="R552" s="387"/>
      <c r="S552" s="206">
        <f ca="1">+S551*EXP(T552)</f>
        <v>120.05886692199303</v>
      </c>
      <c r="T552" s="243">
        <f ca="1">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</f>
        <v>-7.5276434087218121E-3</v>
      </c>
      <c r="U552" s="243"/>
      <c r="V552" s="239">
        <v>25707.725083783938</v>
      </c>
      <c r="W552" s="240">
        <f t="shared" si="998"/>
        <v>202.02534446981483</v>
      </c>
      <c r="X552" s="244">
        <f t="shared" ref="X552" si="1017">LN(W552/W551)</f>
        <v>-5.3974430994498883E-2</v>
      </c>
      <c r="Y552" s="244">
        <f t="shared" si="1008"/>
        <v>-2.3343132470215187E-4</v>
      </c>
      <c r="Z552" s="206"/>
      <c r="AA552" s="243"/>
      <c r="AB552" s="243"/>
      <c r="AC552" s="240">
        <f t="shared" si="978"/>
        <v>13284.277827962362</v>
      </c>
      <c r="AD552" s="243"/>
      <c r="AE552" s="245">
        <v>854.16871177516487</v>
      </c>
      <c r="AF552" s="243">
        <v>1.3990488248758509E-2</v>
      </c>
      <c r="AG552" s="242">
        <f t="shared" si="999"/>
        <v>6.0506764869284906E-5</v>
      </c>
      <c r="AH552" s="206"/>
      <c r="AI552" s="243"/>
      <c r="AJ552" s="239">
        <f t="shared" si="1015"/>
        <v>57229.107031011823</v>
      </c>
      <c r="AK552" s="243">
        <f t="shared" si="1009"/>
        <v>1.6137182553534149E-2</v>
      </c>
      <c r="AL552" s="239"/>
      <c r="AM552" s="243"/>
      <c r="AN552" s="243"/>
      <c r="AO552" s="243"/>
      <c r="AP552" s="245">
        <f t="shared" si="1010"/>
        <v>333.71687580040714</v>
      </c>
      <c r="AQ552" s="243"/>
      <c r="AR552" s="207">
        <f t="shared" si="1000"/>
        <v>0.31866833269621064</v>
      </c>
      <c r="AS552" s="207">
        <f t="shared" si="1001"/>
        <v>0.4492071677765862</v>
      </c>
      <c r="AT552" s="207">
        <f t="shared" si="1002"/>
        <v>0.23212449952720313</v>
      </c>
      <c r="AU552" s="207"/>
      <c r="AV552" s="206"/>
      <c r="AW552" s="243"/>
      <c r="AX552" s="248">
        <f>+AJ552/$AL$27</f>
        <v>4.3248501262744829E-3</v>
      </c>
      <c r="AY552" s="249"/>
      <c r="AZ552" s="206"/>
      <c r="BA552" s="243"/>
      <c r="BB552" s="250">
        <v>171490</v>
      </c>
      <c r="BC552" s="412">
        <f t="shared" si="973"/>
        <v>2.1907120205097927E-2</v>
      </c>
      <c r="BD552" s="91"/>
      <c r="BE552" s="401">
        <f t="shared" si="969"/>
        <v>0</v>
      </c>
      <c r="BF552" s="402">
        <f t="shared" si="970"/>
        <v>0</v>
      </c>
      <c r="BG552" s="313">
        <f t="shared" si="971"/>
        <v>0</v>
      </c>
      <c r="BH552" s="313"/>
      <c r="BI552" s="313" t="str">
        <f t="shared" si="972"/>
        <v>2022Y</v>
      </c>
      <c r="BJ552" s="239"/>
      <c r="BK552" s="239"/>
      <c r="BL552" s="239"/>
      <c r="BM552" s="239"/>
      <c r="BN552" s="337">
        <v>0.98598145897775813</v>
      </c>
      <c r="BO552" s="313">
        <f t="shared" si="930"/>
        <v>0</v>
      </c>
      <c r="BP552" s="313">
        <f t="shared" si="931"/>
        <v>0</v>
      </c>
      <c r="BQ552" s="239"/>
      <c r="BR552" s="239"/>
      <c r="BS552" s="310"/>
      <c r="BT552" s="310"/>
      <c r="BU552" s="311"/>
      <c r="BV552" s="207"/>
      <c r="BW552" s="312"/>
      <c r="BX552" s="312"/>
      <c r="BY552" s="239"/>
      <c r="BZ552" s="239"/>
      <c r="CA552" s="239"/>
      <c r="CB552" s="239"/>
      <c r="CC552" s="245">
        <v>2022</v>
      </c>
      <c r="CD552" s="239"/>
      <c r="CE552" s="239"/>
      <c r="CF552" s="239"/>
      <c r="CG552" s="310"/>
      <c r="CH552" s="239">
        <v>21082</v>
      </c>
      <c r="CI552" s="313">
        <f t="shared" si="989"/>
        <v>21082</v>
      </c>
      <c r="CJ552" s="313">
        <f t="shared" si="981"/>
        <v>20.451877649615351</v>
      </c>
      <c r="CK552" s="443">
        <v>0.69230769230769229</v>
      </c>
      <c r="CL552" s="239">
        <f>+CL528*CK552+CJ529*CK551+CJ530*CK550+CJ531*CK549+CJ532*CK548+CJ533*CK547+CJ534*CK546+CJ535*CK545+CJ536*CK544+CJ537*CK543+CJ538*CK542+CJ539*CK541+CJ540*CK540+CJ541*CK539+CJ542*CK538+CJ543*CK537+CJ544*CK536+CJ545*CK535+CJ546*CK534+CJ547*CK533+CJ548*CK532+CJ549*CK531+CJ550*CK530+CJ551*CK529+CJ552*CK528</f>
        <v>769.72079593543424</v>
      </c>
      <c r="CM552" s="243">
        <f t="shared" ref="CM552" si="1018">LN(CL552/CL551)</f>
        <v>5.7936235708184441E-3</v>
      </c>
      <c r="CN552" s="249">
        <f t="shared" si="983"/>
        <v>2.0914461893953025E-2</v>
      </c>
      <c r="CO552" s="249">
        <f t="shared" si="992"/>
        <v>1.7033350222368713E-2</v>
      </c>
      <c r="CP552" s="243"/>
      <c r="CQ552" s="249"/>
      <c r="CR552" s="249"/>
      <c r="CS552" s="248">
        <f t="shared" si="993"/>
        <v>1.3868591386164912E-2</v>
      </c>
      <c r="CT552" s="249">
        <f t="shared" si="994"/>
        <v>0.10114668178709289</v>
      </c>
      <c r="CU552" s="314">
        <f t="shared" si="984"/>
        <v>0.90330050000000006</v>
      </c>
      <c r="CV552" s="315"/>
      <c r="CW552" s="315"/>
      <c r="CX552" s="315"/>
      <c r="CY552" s="315"/>
      <c r="CZ552" s="316">
        <f>CZ551</f>
        <v>0.26134999999999997</v>
      </c>
      <c r="DA552" s="360">
        <v>0.37</v>
      </c>
      <c r="DB552" s="318">
        <f t="shared" si="991"/>
        <v>17.358846721277274</v>
      </c>
      <c r="DC552" s="249">
        <f t="shared" si="995"/>
        <v>-8.1894886354318842E-3</v>
      </c>
      <c r="DD552" s="316">
        <v>0.04</v>
      </c>
      <c r="DE552" s="319">
        <v>7.0000000000000001E-3</v>
      </c>
      <c r="DF552" s="316">
        <v>1030.81</v>
      </c>
      <c r="DG552" s="89">
        <f ca="1">VLOOKUP(CC552,'ECI - Input Price'!M$13:N$33,2,FALSE)</f>
        <v>162.55000000000001</v>
      </c>
      <c r="DH552" s="89"/>
      <c r="DI552" s="89"/>
      <c r="DJ552" s="249">
        <f t="shared" ca="1" si="1003"/>
        <v>3.3148751169364422E-2</v>
      </c>
      <c r="DK552" s="310">
        <v>127.25</v>
      </c>
      <c r="DL552" s="357">
        <f t="shared" si="996"/>
        <v>7.1325086601983473E-2</v>
      </c>
      <c r="EC552"/>
    </row>
    <row r="553" spans="1:133" s="126" customFormat="1" ht="21" customHeight="1" x14ac:dyDescent="0.4">
      <c r="A553" s="251" t="s">
        <v>215</v>
      </c>
      <c r="B553" s="252" t="s">
        <v>215</v>
      </c>
      <c r="C553" s="252">
        <v>4061634</v>
      </c>
      <c r="D553" s="252" t="s">
        <v>191</v>
      </c>
      <c r="E553" s="252"/>
      <c r="F553" s="252"/>
      <c r="G553" s="252" t="s">
        <v>150</v>
      </c>
      <c r="H553" s="253">
        <v>1998</v>
      </c>
      <c r="I553" s="254"/>
      <c r="J553" s="255"/>
      <c r="K553" s="255"/>
      <c r="L553" s="47"/>
      <c r="M553" s="255"/>
      <c r="N553" s="255"/>
      <c r="O553" s="255"/>
      <c r="P553" s="219"/>
      <c r="Q553" s="218"/>
      <c r="R553" s="385"/>
      <c r="S553" s="257"/>
      <c r="T553" s="258"/>
      <c r="U553" s="258"/>
      <c r="V553" s="259"/>
      <c r="W553" s="259"/>
      <c r="X553" s="259"/>
      <c r="Y553" s="255"/>
      <c r="Z553" s="259"/>
      <c r="AA553" s="259"/>
      <c r="AB553" s="259"/>
      <c r="AC553" s="255"/>
      <c r="AD553" s="254"/>
      <c r="AE553" s="260">
        <v>642.2385509428475</v>
      </c>
      <c r="AF553" s="256"/>
      <c r="AG553" s="225"/>
      <c r="AH553" s="256"/>
      <c r="AI553" s="256"/>
      <c r="AJ553" s="254">
        <f t="shared" si="1015"/>
        <v>0</v>
      </c>
      <c r="AK553" s="254"/>
      <c r="AL553" s="254"/>
      <c r="AM553" s="256"/>
      <c r="AN553" s="256"/>
      <c r="AO553" s="256"/>
      <c r="AP553" s="226">
        <f>+(AP550+AP551+AP552)/3</f>
        <v>327.4003384710328</v>
      </c>
      <c r="AQ553" s="256"/>
      <c r="AR553" s="261"/>
      <c r="AS553" s="261"/>
      <c r="AT553" s="261"/>
      <c r="AU553" s="261"/>
      <c r="AV553" s="261"/>
      <c r="AW553" s="256">
        <f ca="1">AVERAGE(AW562:AW576)</f>
        <v>-4.632352470032939E-3</v>
      </c>
      <c r="AX553" s="223"/>
      <c r="AY553" s="261"/>
      <c r="AZ553" s="261"/>
      <c r="BA553" s="261"/>
      <c r="BB553" s="262">
        <f>IFERROR(INDEX('Total Customers'!$E$7:$AA$91,MATCH($C553,'Total Customers'!$C$7:$C$91,0),MATCH($G553,'Total Customers'!$E$5:$AA$5,0)),"NA")</f>
        <v>203573</v>
      </c>
      <c r="BC553" s="413"/>
      <c r="BD553" s="92"/>
      <c r="BE553" s="407" t="str">
        <f t="shared" si="969"/>
        <v>MOUNTAINEER GAS COMPANY</v>
      </c>
      <c r="BF553" s="408">
        <f t="shared" si="970"/>
        <v>4061634</v>
      </c>
      <c r="BG553" s="218" t="str">
        <f t="shared" si="971"/>
        <v>WV</v>
      </c>
      <c r="BH553" s="218"/>
      <c r="BI553" s="218" t="str">
        <f t="shared" si="972"/>
        <v>1998 Y</v>
      </c>
      <c r="BJ553" s="254">
        <f>INDEX('Gross Dx Plant'!$D$7:$AC$91,MATCH($C553,'Gross Dx Plant'!$C$7:$C$91,0),MATCH(Calculation!$G553,'Gross Dx Plant'!$D$5:$AC$5,0))</f>
        <v>217438</v>
      </c>
      <c r="BK553" s="254">
        <f>INDEX('Gross Gen Plant'!$D$7:$AC$91,MATCH($C553,'Gross Gen Plant'!$C$7:$C$91,0),MATCH(Calculation!$G553,'Gross Gen Plant'!$D$5:$AC$5,0))</f>
        <v>24710</v>
      </c>
      <c r="BL553" s="254">
        <f>INDEX('Dist. Plant Gas Additions'!$E$7:$AD$91,MATCH($C553,'Dist. Plant Gas Additions'!$C$7:$C$91,0),MATCH(Calculation!$G553,'Dist. Plant Gas Additions'!$E$5:$AD$5,0))</f>
        <v>6695</v>
      </c>
      <c r="BM553" s="254">
        <f>INDEX('Gen. Plant Additions'!$E$7:$AD$91,MATCH($C553,'Gen. Plant Additions'!$C$7:$C$91,0),MATCH(Calculation!$G553,'Gen. Plant Additions'!$E$5:$AD$5,0))</f>
        <v>4018</v>
      </c>
      <c r="BN553" s="409">
        <f>+(BY553/(BY553+BZ553))</f>
        <v>0.8979549696879594</v>
      </c>
      <c r="BO553" s="218">
        <f t="shared" si="930"/>
        <v>3607.9830682062211</v>
      </c>
      <c r="BP553" s="218">
        <f t="shared" si="931"/>
        <v>-410.01693179377889</v>
      </c>
      <c r="BQ553" s="254">
        <f>INDEX('Dist Plant Depreciation'!$D$7:$AC$94,MATCH($C553,'Dist Plant Depreciation'!$C$7:$C$94,0),MATCH(Calculation!$G553,'Dist Plant Depreciation'!$D$5:$AC$5,0))</f>
        <v>97658</v>
      </c>
      <c r="BR553" s="254">
        <f>INDEX('Gen. Plant Depreciation'!$D$7:$AC$94,MATCH($C553,'Gen. Plant Depreciation'!$C$7:$C$94,0),MATCH(Calculation!$G553,'Gen. Plant Depreciation'!$D$5:$AC$5,0))</f>
        <v>14938</v>
      </c>
      <c r="BS553" s="254"/>
      <c r="BT553" s="254"/>
      <c r="BU553" s="254"/>
      <c r="BV553" s="254"/>
      <c r="BW553" s="254"/>
      <c r="BX553" s="254"/>
      <c r="BY553" s="254">
        <f>INDEX('Gross Dx Plant'!$D$7:$AC$91,MATCH($C553,'Gross Dx Plant'!$C$7:$C$91,0),MATCH(Calculation!$G553,'Gross Dx Plant'!$D$5:$AC$5,0))</f>
        <v>217438</v>
      </c>
      <c r="BZ553" s="254">
        <f>INDEX('Gross Gen Plant'!$D$7:$AC$91,MATCH($C553,'Gross Gen Plant'!$C$7:$C$91,0),MATCH(Calculation!$G553,'Gross Gen Plant'!$D$5:$AC$5,0))</f>
        <v>24710</v>
      </c>
      <c r="CA553" s="254">
        <f t="shared" si="960"/>
        <v>129552</v>
      </c>
      <c r="CB553" s="254"/>
      <c r="CC553" s="260">
        <v>1998</v>
      </c>
      <c r="CD553" s="254">
        <f>BJ553+BK553</f>
        <v>242148</v>
      </c>
      <c r="CE553" s="254">
        <f>97658+14938</f>
        <v>112596</v>
      </c>
      <c r="CF553" s="254">
        <f>+CD553-CE553</f>
        <v>129552</v>
      </c>
      <c r="CG553" s="254">
        <f>CF553/$BX$3</f>
        <v>642.2385509428475</v>
      </c>
      <c r="CH553" s="323"/>
      <c r="CI553" s="344"/>
      <c r="CJ553" s="344"/>
      <c r="CK553" s="443">
        <v>1</v>
      </c>
      <c r="CL553" s="254">
        <f>+CG553</f>
        <v>642.2385509428475</v>
      </c>
      <c r="CM553" s="256"/>
      <c r="CN553" s="325"/>
      <c r="CO553" s="325"/>
      <c r="CP553" s="256" t="e">
        <f>VLOOKUP($H553,RoR!$E:$F,2,FALSE)</f>
        <v>#N/A</v>
      </c>
      <c r="CQ553" s="325">
        <v>1.1028127770464469E-2</v>
      </c>
      <c r="CR553" s="325"/>
      <c r="CS553" s="325"/>
      <c r="CT553" s="325"/>
      <c r="CU553" s="327"/>
      <c r="CV553" s="331" t="e">
        <f>2/(DD553*39)</f>
        <v>#N/A</v>
      </c>
      <c r="CW553" s="328" t="e">
        <f>+(DD553*40-(1+DD553))/(DD553*40)</f>
        <v>#N/A</v>
      </c>
      <c r="CX553" s="328" t="e">
        <f>+(1-(1/(1+DD553)^40))</f>
        <v>#N/A</v>
      </c>
      <c r="CY553" s="328" t="e">
        <f>+CX553*CW553*CV553</f>
        <v>#N/A</v>
      </c>
      <c r="CZ553" s="329">
        <f>INDEX('State Tax Lookup'!$D$7:$Z$91,MATCH(Calculation!$C553,'State Tax Lookup'!$B$7:$B$91,0),MATCH($H553,'State Tax Lookup'!$D$6:$Z$6,0))</f>
        <v>0.40200000000000002</v>
      </c>
      <c r="DA553" s="351">
        <v>0.37</v>
      </c>
      <c r="DB553" s="344"/>
      <c r="DC553" s="326"/>
      <c r="DD553" s="351" t="e">
        <f>VLOOKUP($H553,RoR!$E:$F,2,FALSE)</f>
        <v>#N/A</v>
      </c>
      <c r="DE553" s="354">
        <f>HLOOKUP($H553,'GDP-PI'!$D$8:$CQ$11,3,FALSE)</f>
        <v>1.1028127770464469E-2</v>
      </c>
      <c r="DF553" s="351">
        <f>VLOOKUP(H553,'HW Dx Data'!$E:$F,2,FALSE)</f>
        <v>329.24564746449528</v>
      </c>
      <c r="DG553" s="351"/>
      <c r="DH553" s="351"/>
      <c r="DI553" s="351"/>
      <c r="DJ553" s="326"/>
      <c r="DK553" s="344">
        <f>HLOOKUP(H553,'GDP-PI'!$8:$9,2,FALSE)</f>
        <v>75.266999999999996</v>
      </c>
      <c r="DL553" s="292"/>
      <c r="EC553"/>
    </row>
    <row r="554" spans="1:133" s="126" customFormat="1" ht="21" customHeight="1" x14ac:dyDescent="0.4">
      <c r="A554" s="233" t="s">
        <v>215</v>
      </c>
      <c r="B554" s="127" t="s">
        <v>215</v>
      </c>
      <c r="C554" s="127">
        <v>4061634</v>
      </c>
      <c r="D554" s="127" t="s">
        <v>191</v>
      </c>
      <c r="E554" s="127"/>
      <c r="F554" s="127"/>
      <c r="G554" s="127" t="s">
        <v>155</v>
      </c>
      <c r="H554" s="128">
        <v>1999</v>
      </c>
      <c r="I554" s="129"/>
      <c r="J554" s="125"/>
      <c r="K554" s="129"/>
      <c r="L554" s="47"/>
      <c r="M554" s="129"/>
      <c r="N554" s="129"/>
      <c r="O554" s="129"/>
      <c r="P554" s="47"/>
      <c r="Q554" s="47"/>
      <c r="R554" s="386"/>
      <c r="S554" s="119"/>
      <c r="T554" s="47"/>
      <c r="U554" s="46"/>
      <c r="V554" s="135"/>
      <c r="W554" s="135"/>
      <c r="X554" s="135"/>
      <c r="Y554" s="143"/>
      <c r="Z554" s="135"/>
      <c r="AA554" s="135"/>
      <c r="AB554" s="135"/>
      <c r="AC554" s="125">
        <f t="shared" ref="AC554:AC577" si="1019">+CL553*DB554</f>
        <v>0</v>
      </c>
      <c r="AD554" s="129"/>
      <c r="AE554" s="133">
        <v>674.75197605098106</v>
      </c>
      <c r="AF554" s="134">
        <v>4.9385371110895915E-2</v>
      </c>
      <c r="AG554" s="61"/>
      <c r="AH554" s="134"/>
      <c r="AI554" s="134"/>
      <c r="AJ554" s="129">
        <f t="shared" si="1015"/>
        <v>0</v>
      </c>
      <c r="AK554" s="134"/>
      <c r="AL554" s="129"/>
      <c r="AM554" s="134"/>
      <c r="AN554" s="134"/>
      <c r="AO554" s="134"/>
      <c r="AP554" s="133"/>
      <c r="AQ554" s="134"/>
      <c r="AR554" s="93"/>
      <c r="AS554" s="93"/>
      <c r="AT554" s="93"/>
      <c r="AU554" s="93"/>
      <c r="AV554" s="93"/>
      <c r="AW554" s="134"/>
      <c r="AX554" s="62"/>
      <c r="AY554" s="93"/>
      <c r="AZ554" s="93"/>
      <c r="BA554" s="93"/>
      <c r="BB554" s="234">
        <f>IFERROR(INDEX('Total Customers'!$E$7:$AA$91,MATCH($C554,'Total Customers'!$C$7:$C$91,0),MATCH($G554,'Total Customers'!$E$5:$AA$5,0)),"NA")</f>
        <v>201549</v>
      </c>
      <c r="BC554" s="411">
        <f t="shared" si="973"/>
        <v>-9.992134913026236E-3</v>
      </c>
      <c r="BD554" s="92"/>
      <c r="BE554" s="281" t="str">
        <f t="shared" si="969"/>
        <v>MOUNTAINEER GAS COMPANY</v>
      </c>
      <c r="BF554" s="290">
        <f t="shared" si="970"/>
        <v>4061634</v>
      </c>
      <c r="BG554" s="46" t="str">
        <f t="shared" si="971"/>
        <v>WV</v>
      </c>
      <c r="BH554" s="46"/>
      <c r="BI554" s="46" t="str">
        <f t="shared" si="972"/>
        <v>1999 Y</v>
      </c>
      <c r="BJ554" s="129"/>
      <c r="BK554" s="129"/>
      <c r="BL554" s="129">
        <f>INDEX('Dist. Plant Gas Additions'!$E$7:$AD$91,MATCH($C554,'Dist. Plant Gas Additions'!$C$7:$C$91,0),MATCH(Calculation!$G554,'Dist. Plant Gas Additions'!$E$5:$AD$5,0))</f>
        <v>7613</v>
      </c>
      <c r="BM554" s="129">
        <f>INDEX('Gen. Plant Additions'!$E$7:$AD$91,MATCH($C554,'Gen. Plant Additions'!$C$7:$C$91,0),MATCH(Calculation!$G554,'Gen. Plant Additions'!$E$5:$AD$5,0))</f>
        <v>4361</v>
      </c>
      <c r="BN554" s="393">
        <f t="shared" ref="BN554:BN575" si="1020">+(BY554/(BY554+BZ554))</f>
        <v>0.88648486806338</v>
      </c>
      <c r="BO554" s="46">
        <f t="shared" si="930"/>
        <v>3865.9605096244004</v>
      </c>
      <c r="BP554" s="46">
        <f t="shared" si="931"/>
        <v>-495.0394903755996</v>
      </c>
      <c r="BQ554" s="129">
        <f>INDEX('Dist Plant Depreciation'!$D$7:$AC$94,MATCH($C554,'Dist Plant Depreciation'!$C$7:$C$94,0),MATCH(Calculation!$G554,'Dist Plant Depreciation'!$D$5:$AC$5,0))</f>
        <v>103705</v>
      </c>
      <c r="BR554" s="129">
        <f>INDEX('Gen. Plant Depreciation'!$D$7:$AC$94,MATCH($C554,'Gen. Plant Depreciation'!$C$7:$C$94,0),MATCH(Calculation!$G554,'Gen. Plant Depreciation'!$D$5:$AC$5,0))</f>
        <v>18124</v>
      </c>
      <c r="BS554" s="129"/>
      <c r="BT554" s="129"/>
      <c r="BU554" s="129"/>
      <c r="BV554" s="129"/>
      <c r="BW554" s="129"/>
      <c r="BX554" s="129"/>
      <c r="BY554" s="129">
        <f>INDEX('Gross Dx Plant'!$D$7:$AC$91,MATCH($C554,'Gross Dx Plant'!$C$7:$C$91,0),MATCH(Calculation!$G554,'Gross Dx Plant'!$D$5:$AC$5,0))</f>
        <v>225020</v>
      </c>
      <c r="BZ554" s="129">
        <f>INDEX('Gross Gen Plant'!$D$7:$AC$91,MATCH($C554,'Gross Gen Plant'!$C$7:$C$91,0),MATCH(Calculation!$G554,'Gross Gen Plant'!$D$5:$AC$5,0))</f>
        <v>28814</v>
      </c>
      <c r="CA554" s="129">
        <f t="shared" si="960"/>
        <v>132005</v>
      </c>
      <c r="CB554" s="129"/>
      <c r="CC554" s="133">
        <v>1999</v>
      </c>
      <c r="CD554" s="129"/>
      <c r="CE554" s="129"/>
      <c r="CF554" s="129"/>
      <c r="CG554" s="137"/>
      <c r="CH554" s="129">
        <f t="shared" ref="CH554:CH576" si="1021">+BM554+BL554</f>
        <v>11974</v>
      </c>
      <c r="CI554" s="46">
        <f>+CH554+BP554</f>
        <v>11478.960509624401</v>
      </c>
      <c r="CJ554" s="46">
        <f t="shared" ref="CJ554:CJ577" si="1022">+CI554/$DF554</f>
        <v>34.232344148914429</v>
      </c>
      <c r="CK554" s="443">
        <v>0.99009900990099009</v>
      </c>
      <c r="CL554" s="46">
        <f>+CL553*CK554+CJ554</f>
        <v>670.11209755767436</v>
      </c>
      <c r="CM554" s="134">
        <f t="shared" ref="CM554:CM575" si="1023">LN(CL554/CL553)</f>
        <v>4.2485198827344542E-2</v>
      </c>
      <c r="CN554" s="135">
        <f t="shared" ref="CN554:CN576" si="1024">+(CL553-CL554+CJ554)/CL553</f>
        <v>9.9009900990098473E-3</v>
      </c>
      <c r="CO554" s="135"/>
      <c r="CP554" s="134">
        <f>VLOOKUP($H554,RoR!$E:$F,2,FALSE)</f>
        <v>7.0416666666666669E-2</v>
      </c>
      <c r="CQ554" s="135">
        <v>1.4335631817396832E-2</v>
      </c>
      <c r="CR554" s="135">
        <f>+CP554-CQ554</f>
        <v>5.6081034849269837E-2</v>
      </c>
      <c r="CS554" s="135"/>
      <c r="CT554" s="135"/>
      <c r="CU554" s="139">
        <f t="shared" ref="CU554:CU577" si="1025">1-CZ554*DA554</f>
        <v>0.85126000000000002</v>
      </c>
      <c r="CV554" s="335">
        <f t="shared" ref="CV554:CV576" si="1026">2/(DD554*39)</f>
        <v>0.72826581702321336</v>
      </c>
      <c r="CW554" s="335">
        <f t="shared" ref="CW554:CW576" si="1027">+(DD554*40-(1+DD554))/(DD554*40)</f>
        <v>0.61997041420118348</v>
      </c>
      <c r="CX554" s="335">
        <f t="shared" ref="CX554:CX576" si="1028">+(1-(1/(1+DD554)^40))</f>
        <v>0.93425155319585029</v>
      </c>
      <c r="CY554" s="335">
        <f t="shared" ref="CY554:CY576" si="1029">+CX554*CW554*CV554</f>
        <v>0.42181762214141483</v>
      </c>
      <c r="CZ554" s="336">
        <f>INDEX('State Tax Lookup'!$D$7:$Z$91,MATCH(Calculation!$C554,'State Tax Lookup'!$B$7:$B$91,0),MATCH($H554,'State Tax Lookup'!$D$6:$Z$6,0))</f>
        <v>0.40200000000000002</v>
      </c>
      <c r="DA554" s="303">
        <v>0.37</v>
      </c>
      <c r="DB554" s="57"/>
      <c r="DC554" s="56"/>
      <c r="DD554" s="303">
        <f>VLOOKUP($H554,RoR!$E:$F,2,FALSE)</f>
        <v>7.0416666666666669E-2</v>
      </c>
      <c r="DE554" s="304">
        <f>HLOOKUP($H554,'GDP-PI'!$D$8:$CQ$11,3,FALSE)</f>
        <v>1.4335631817396832E-2</v>
      </c>
      <c r="DF554" s="303">
        <f>VLOOKUP(H554,'HW Dx Data'!$E:$F,2,FALSE)</f>
        <v>335.32499146683239</v>
      </c>
      <c r="DG554" s="89"/>
      <c r="DH554" s="89"/>
      <c r="DI554" s="89"/>
      <c r="DJ554" s="56"/>
      <c r="DK554" s="53">
        <f>HLOOKUP(H554,'GDP-PI'!$8:$9,2,FALSE)</f>
        <v>76.346000000000004</v>
      </c>
      <c r="DL554" s="298"/>
      <c r="EC554"/>
    </row>
    <row r="555" spans="1:133" s="126" customFormat="1" ht="21" customHeight="1" x14ac:dyDescent="0.4">
      <c r="A555" s="233" t="s">
        <v>215</v>
      </c>
      <c r="B555" s="127" t="s">
        <v>215</v>
      </c>
      <c r="C555" s="127">
        <v>4061634</v>
      </c>
      <c r="D555" s="127" t="s">
        <v>191</v>
      </c>
      <c r="E555" s="127"/>
      <c r="F555" s="127"/>
      <c r="G555" s="127" t="s">
        <v>156</v>
      </c>
      <c r="H555" s="128">
        <v>2000</v>
      </c>
      <c r="I555" s="129"/>
      <c r="J555" s="125"/>
      <c r="K555" s="125"/>
      <c r="L555" s="47"/>
      <c r="M555" s="125"/>
      <c r="N555" s="125"/>
      <c r="O555" s="125"/>
      <c r="P555" s="47"/>
      <c r="Q555" s="47"/>
      <c r="R555" s="386"/>
      <c r="S555" s="119"/>
      <c r="T555" s="47"/>
      <c r="U555" s="47"/>
      <c r="V555" s="125"/>
      <c r="W555" s="125"/>
      <c r="X555" s="125"/>
      <c r="Y555" s="125"/>
      <c r="Z555" s="125"/>
      <c r="AA555" s="125"/>
      <c r="AB555" s="125"/>
      <c r="AC555" s="125">
        <f t="shared" si="1019"/>
        <v>0</v>
      </c>
      <c r="AD555" s="129"/>
      <c r="AE555" s="133">
        <v>705.43768620311971</v>
      </c>
      <c r="AF555" s="134">
        <v>4.4473261208493944E-2</v>
      </c>
      <c r="AG555" s="61"/>
      <c r="AH555" s="134"/>
      <c r="AI555" s="134"/>
      <c r="AJ555" s="129">
        <f t="shared" si="1015"/>
        <v>0</v>
      </c>
      <c r="AK555" s="134"/>
      <c r="AL555" s="129"/>
      <c r="AM555" s="129"/>
      <c r="AN555" s="129"/>
      <c r="AO555" s="129"/>
      <c r="AP555" s="133"/>
      <c r="AQ555" s="134"/>
      <c r="AR555" s="93"/>
      <c r="AS555" s="93"/>
      <c r="AT555" s="93"/>
      <c r="AU555" s="93"/>
      <c r="AV555" s="93"/>
      <c r="AW555" s="134"/>
      <c r="AX555" s="62"/>
      <c r="AY555" s="93"/>
      <c r="AZ555" s="93"/>
      <c r="BA555" s="93"/>
      <c r="BB555" s="234">
        <f>IFERROR(INDEX('Total Customers'!$E$7:$AA$91,MATCH($C555,'Total Customers'!$C$7:$C$91,0),MATCH($G555,'Total Customers'!$E$5:$AA$5,0)),"NA")</f>
        <v>211411</v>
      </c>
      <c r="BC555" s="411">
        <f t="shared" si="973"/>
        <v>4.7771578138205893E-2</v>
      </c>
      <c r="BD555" s="92"/>
      <c r="BE555" s="281" t="str">
        <f t="shared" si="969"/>
        <v>MOUNTAINEER GAS COMPANY</v>
      </c>
      <c r="BF555" s="290">
        <f t="shared" si="970"/>
        <v>4061634</v>
      </c>
      <c r="BG555" s="46" t="str">
        <f t="shared" si="971"/>
        <v>WV</v>
      </c>
      <c r="BH555" s="46"/>
      <c r="BI555" s="46" t="str">
        <f t="shared" si="972"/>
        <v>2000 Y</v>
      </c>
      <c r="BJ555" s="129"/>
      <c r="BK555" s="129"/>
      <c r="BL555" s="129">
        <f>INDEX('Dist. Plant Gas Additions'!$E$7:$AD$91,MATCH($C555,'Dist. Plant Gas Additions'!$C$7:$C$91,0),MATCH(Calculation!$G555,'Dist. Plant Gas Additions'!$E$5:$AD$5,0))</f>
        <v>9021</v>
      </c>
      <c r="BM555" s="129">
        <f>INDEX('Gen. Plant Additions'!$E$7:$AD$91,MATCH($C555,'Gen. Plant Additions'!$C$7:$C$91,0),MATCH(Calculation!$G555,'Gen. Plant Additions'!$E$5:$AD$5,0))</f>
        <v>2815</v>
      </c>
      <c r="BN555" s="393">
        <f t="shared" si="1020"/>
        <v>0.88674134557468665</v>
      </c>
      <c r="BO555" s="46">
        <f t="shared" si="930"/>
        <v>2496.1768877927429</v>
      </c>
      <c r="BP555" s="46">
        <f t="shared" si="931"/>
        <v>-318.82311220725705</v>
      </c>
      <c r="BQ555" s="129"/>
      <c r="BR555" s="129"/>
      <c r="BS555" s="129"/>
      <c r="BT555" s="129"/>
      <c r="BU555" s="129"/>
      <c r="BV555" s="129"/>
      <c r="BW555" s="129"/>
      <c r="BX555" s="129"/>
      <c r="BY555" s="129">
        <f>INDEX('Gross Dx Plant'!$D$7:$AC$91,MATCH($C555,'Gross Dx Plant'!$C$7:$C$91,0),MATCH(Calculation!$G555,'Gross Dx Plant'!$D$5:$AC$5,0))</f>
        <v>248801</v>
      </c>
      <c r="BZ555" s="129">
        <f>INDEX('Gross Gen Plant'!$D$7:$AC$91,MATCH($C555,'Gross Gen Plant'!$C$7:$C$91,0),MATCH(Calculation!$G555,'Gross Gen Plant'!$D$5:$AC$5,0))</f>
        <v>31778</v>
      </c>
      <c r="CA555" s="129">
        <f t="shared" si="960"/>
        <v>280579</v>
      </c>
      <c r="CB555" s="129"/>
      <c r="CC555" s="133">
        <v>2000</v>
      </c>
      <c r="CD555" s="129"/>
      <c r="CE555" s="129"/>
      <c r="CF555" s="129"/>
      <c r="CG555" s="137"/>
      <c r="CH555" s="129">
        <f t="shared" si="1021"/>
        <v>11836</v>
      </c>
      <c r="CI555" s="46">
        <f t="shared" ref="CI555:CI577" si="1030">+CH555+BP555</f>
        <v>11517.176887792742</v>
      </c>
      <c r="CJ555" s="46">
        <f t="shared" si="1022"/>
        <v>33.235371611732006</v>
      </c>
      <c r="CK555" s="443">
        <v>0.98</v>
      </c>
      <c r="CL555" s="46">
        <f>+CL553*CK555+CJ554*CK554+CJ555</f>
        <v>696.52256158415275</v>
      </c>
      <c r="CM555" s="134">
        <f t="shared" si="1023"/>
        <v>3.8655177315857638E-2</v>
      </c>
      <c r="CN555" s="135">
        <f t="shared" si="1024"/>
        <v>1.0184725227507499E-2</v>
      </c>
      <c r="CO555" s="135"/>
      <c r="CP555" s="134">
        <f>VLOOKUP($H555,RoR!$E:$F,2,FALSE)</f>
        <v>7.6225000000000001E-2</v>
      </c>
      <c r="CQ555" s="135">
        <v>2.2568307442433211E-2</v>
      </c>
      <c r="CR555" s="135">
        <f t="shared" ref="CR555:CR575" si="1031">+CP555-CQ555</f>
        <v>5.365669255756679E-2</v>
      </c>
      <c r="CS555" s="135"/>
      <c r="CT555" s="135"/>
      <c r="CU555" s="139">
        <f t="shared" si="1025"/>
        <v>0.85126000000000002</v>
      </c>
      <c r="CV555" s="335">
        <f t="shared" si="1026"/>
        <v>0.67277207323124022</v>
      </c>
      <c r="CW555" s="335">
        <f t="shared" si="1027"/>
        <v>0.6470236142997704</v>
      </c>
      <c r="CX555" s="335">
        <f t="shared" si="1028"/>
        <v>0.94704866037543145</v>
      </c>
      <c r="CY555" s="335">
        <f t="shared" si="1029"/>
        <v>0.41224973107878493</v>
      </c>
      <c r="CZ555" s="336">
        <f>INDEX('State Tax Lookup'!$D$7:$Z$91,MATCH(Calculation!$C555,'State Tax Lookup'!$B$7:$B$91,0),MATCH($H555,'State Tax Lookup'!$D$6:$Z$6,0))</f>
        <v>0.40200000000000002</v>
      </c>
      <c r="DA555" s="303">
        <v>0.37</v>
      </c>
      <c r="DB555" s="57"/>
      <c r="DC555" s="56"/>
      <c r="DD555" s="303">
        <f>VLOOKUP($H555,RoR!$E:$F,2,FALSE)</f>
        <v>7.6225000000000001E-2</v>
      </c>
      <c r="DE555" s="304">
        <f>HLOOKUP($H555,'GDP-PI'!$D$8:$CQ$11,3,FALSE)</f>
        <v>2.2568307442433211E-2</v>
      </c>
      <c r="DF555" s="303">
        <f>VLOOKUP(H555,'HW Dx Data'!$E:$F,2,FALSE)</f>
        <v>346.53371782150339</v>
      </c>
      <c r="DG555" s="89"/>
      <c r="DH555" s="89"/>
      <c r="DI555" s="89"/>
      <c r="DJ555" s="56"/>
      <c r="DK555" s="53">
        <f>HLOOKUP(H555,'GDP-PI'!$8:$9,2,FALSE)</f>
        <v>78.069000000000003</v>
      </c>
      <c r="DL555" s="298"/>
      <c r="EC555"/>
    </row>
    <row r="556" spans="1:133" s="126" customFormat="1" ht="21" customHeight="1" x14ac:dyDescent="0.4">
      <c r="A556" s="233" t="s">
        <v>215</v>
      </c>
      <c r="B556" s="127" t="s">
        <v>215</v>
      </c>
      <c r="C556" s="127">
        <v>4061634</v>
      </c>
      <c r="D556" s="127" t="s">
        <v>191</v>
      </c>
      <c r="E556" s="127"/>
      <c r="F556" s="127"/>
      <c r="G556" s="127" t="s">
        <v>157</v>
      </c>
      <c r="H556" s="128">
        <v>2001</v>
      </c>
      <c r="I556" s="129"/>
      <c r="J556" s="125"/>
      <c r="K556" s="125"/>
      <c r="L556" s="47"/>
      <c r="M556" s="125"/>
      <c r="N556" s="125"/>
      <c r="O556" s="125"/>
      <c r="P556" s="47"/>
      <c r="Q556" s="47"/>
      <c r="R556" s="386"/>
      <c r="S556" s="119"/>
      <c r="T556" s="47"/>
      <c r="U556" s="47"/>
      <c r="V556" s="125"/>
      <c r="W556" s="125"/>
      <c r="X556" s="125"/>
      <c r="Y556" s="125"/>
      <c r="Z556" s="125"/>
      <c r="AA556" s="125"/>
      <c r="AB556" s="125"/>
      <c r="AC556" s="125">
        <f t="shared" si="1019"/>
        <v>7291.6640984436417</v>
      </c>
      <c r="AD556" s="129"/>
      <c r="AE556" s="133">
        <v>737.81574536190396</v>
      </c>
      <c r="AF556" s="134">
        <v>4.487568422714111E-2</v>
      </c>
      <c r="AG556" s="61"/>
      <c r="AH556" s="134"/>
      <c r="AI556" s="134"/>
      <c r="AJ556" s="129">
        <f t="shared" si="1015"/>
        <v>7291.6640984436417</v>
      </c>
      <c r="AK556" s="134"/>
      <c r="AL556" s="129"/>
      <c r="AM556" s="129"/>
      <c r="AN556" s="129"/>
      <c r="AO556" s="129"/>
      <c r="AP556" s="133"/>
      <c r="AQ556" s="134"/>
      <c r="AR556" s="93"/>
      <c r="AS556" s="93"/>
      <c r="AT556" s="93"/>
      <c r="AU556" s="93"/>
      <c r="AV556" s="93"/>
      <c r="AW556" s="134"/>
      <c r="AX556" s="62"/>
      <c r="AY556" s="93"/>
      <c r="AZ556" s="93"/>
      <c r="BA556" s="93"/>
      <c r="BB556" s="234">
        <f>IFERROR(INDEX('Total Customers'!$E$7:$AA$91,MATCH($C556,'Total Customers'!$C$7:$C$91,0),MATCH($G556,'Total Customers'!$E$5:$AA$5,0)),"NA")</f>
        <v>206630</v>
      </c>
      <c r="BC556" s="411">
        <f t="shared" si="973"/>
        <v>-2.2874351865555885E-2</v>
      </c>
      <c r="BD556" s="92"/>
      <c r="BE556" s="281" t="str">
        <f t="shared" si="969"/>
        <v>MOUNTAINEER GAS COMPANY</v>
      </c>
      <c r="BF556" s="290">
        <f t="shared" si="970"/>
        <v>4061634</v>
      </c>
      <c r="BG556" s="46" t="str">
        <f t="shared" si="971"/>
        <v>WV</v>
      </c>
      <c r="BH556" s="46"/>
      <c r="BI556" s="46" t="str">
        <f t="shared" si="972"/>
        <v>2001 Y</v>
      </c>
      <c r="BJ556" s="129"/>
      <c r="BK556" s="129"/>
      <c r="BL556" s="129">
        <f>INDEX('Dist. Plant Gas Additions'!$E$7:$AD$91,MATCH($C556,'Dist. Plant Gas Additions'!$C$7:$C$91,0),MATCH(Calculation!$G556,'Dist. Plant Gas Additions'!$E$5:$AD$5,0))</f>
        <v>5359</v>
      </c>
      <c r="BM556" s="129">
        <f>INDEX('Gen. Plant Additions'!$E$7:$AD$91,MATCH($C556,'Gen. Plant Additions'!$C$7:$C$91,0),MATCH(Calculation!$G556,'Gen. Plant Additions'!$E$5:$AD$5,0))</f>
        <v>7349</v>
      </c>
      <c r="BN556" s="393">
        <f t="shared" si="1020"/>
        <v>0.87009680780397014</v>
      </c>
      <c r="BO556" s="46">
        <f t="shared" si="930"/>
        <v>6394.3414405513768</v>
      </c>
      <c r="BP556" s="46">
        <f t="shared" si="931"/>
        <v>-954.65855944862324</v>
      </c>
      <c r="BQ556" s="129"/>
      <c r="BR556" s="129"/>
      <c r="BS556" s="129"/>
      <c r="BT556" s="129"/>
      <c r="BU556" s="129"/>
      <c r="BV556" s="129"/>
      <c r="BW556" s="129"/>
      <c r="BX556" s="129"/>
      <c r="BY556" s="129">
        <f>INDEX('Gross Dx Plant'!$D$7:$AC$91,MATCH($C556,'Gross Dx Plant'!$C$7:$C$91,0),MATCH(Calculation!$G556,'Gross Dx Plant'!$D$5:$AC$5,0))</f>
        <v>258042</v>
      </c>
      <c r="BZ556" s="129">
        <f>INDEX('Gross Gen Plant'!$D$7:$AC$91,MATCH($C556,'Gross Gen Plant'!$C$7:$C$91,0),MATCH(Calculation!$G556,'Gross Gen Plant'!$D$5:$AC$5,0))</f>
        <v>38525</v>
      </c>
      <c r="CA556" s="129">
        <f t="shared" si="960"/>
        <v>296567</v>
      </c>
      <c r="CB556" s="129"/>
      <c r="CC556" s="133">
        <v>2001</v>
      </c>
      <c r="CD556" s="129"/>
      <c r="CE556" s="129"/>
      <c r="CF556" s="129"/>
      <c r="CG556" s="137"/>
      <c r="CH556" s="129">
        <f t="shared" si="1021"/>
        <v>12708</v>
      </c>
      <c r="CI556" s="46">
        <f t="shared" si="1030"/>
        <v>11753.341440551376</v>
      </c>
      <c r="CJ556" s="46">
        <f t="shared" si="1022"/>
        <v>33.253440539685513</v>
      </c>
      <c r="CK556" s="443">
        <v>0.96969696969696972</v>
      </c>
      <c r="CL556" s="46">
        <f>+CL553*CK556+CJ554*CK555+CJ555*CK553+CJ556</f>
        <v>722.8132860892058</v>
      </c>
      <c r="CM556" s="134">
        <f t="shared" si="1023"/>
        <v>3.705075447379684E-2</v>
      </c>
      <c r="CN556" s="135">
        <f t="shared" si="1024"/>
        <v>9.996396985040434E-3</v>
      </c>
      <c r="CO556" s="135">
        <f>+(CN556+CN555+CN554)/3</f>
        <v>1.002737077051926E-2</v>
      </c>
      <c r="CP556" s="134">
        <f>VLOOKUP($H556,RoR!$E:$F,2,FALSE)</f>
        <v>7.0824999999999999E-2</v>
      </c>
      <c r="CQ556" s="135">
        <v>2.2454495382290052E-2</v>
      </c>
      <c r="CR556" s="135">
        <f t="shared" si="1031"/>
        <v>4.8370504617709947E-2</v>
      </c>
      <c r="CS556" s="135">
        <f>+$CR$2-CO556</f>
        <v>2.0874570838014365E-2</v>
      </c>
      <c r="CT556" s="135">
        <f>+((DF554/DF553-1)+(DF555/DF554-1)+(DF556/DF555-1))/3</f>
        <v>2.3947275901631187E-2</v>
      </c>
      <c r="CU556" s="139">
        <f t="shared" si="1025"/>
        <v>0.85126000000000002</v>
      </c>
      <c r="CV556" s="335">
        <f t="shared" si="1026"/>
        <v>0.72406708481540816</v>
      </c>
      <c r="CW556" s="335">
        <f t="shared" si="1027"/>
        <v>0.62201729615248857</v>
      </c>
      <c r="CX556" s="335">
        <f t="shared" si="1028"/>
        <v>0.9352469954311422</v>
      </c>
      <c r="CY556" s="335">
        <f t="shared" si="1029"/>
        <v>0.42121864641655071</v>
      </c>
      <c r="CZ556" s="336">
        <f>INDEX('State Tax Lookup'!$D$7:$Z$91,MATCH(Calculation!$C556,'State Tax Lookup'!$B$7:$B$91,0),MATCH($H556,'State Tax Lookup'!$D$6:$Z$6,0))</f>
        <v>0.40200000000000002</v>
      </c>
      <c r="DA556" s="303">
        <v>0.37</v>
      </c>
      <c r="DB556" s="57">
        <f t="shared" ref="DB556:DB577" si="1032">+(DF556*CS556-CT556)*CU556/(1-CZ556)</f>
        <v>10.468668928483337</v>
      </c>
      <c r="DC556" s="56"/>
      <c r="DD556" s="303">
        <f>VLOOKUP($H556,RoR!$E:$F,2,FALSE)</f>
        <v>7.0824999999999999E-2</v>
      </c>
      <c r="DE556" s="304">
        <f>HLOOKUP($H556,'GDP-PI'!$D$8:$CQ$11,3,FALSE)</f>
        <v>2.2454495382290052E-2</v>
      </c>
      <c r="DF556" s="303">
        <f>VLOOKUP(H556,'HW Dx Data'!$E:$F,2,FALSE)</f>
        <v>353.44738017483138</v>
      </c>
      <c r="DG556" s="89"/>
      <c r="DH556" s="89"/>
      <c r="DI556" s="89"/>
      <c r="DJ556" s="56"/>
      <c r="DK556" s="53">
        <f>HLOOKUP(H556,'GDP-PI'!$8:$9,2,FALSE)</f>
        <v>79.822000000000003</v>
      </c>
      <c r="DL556" s="298"/>
      <c r="EC556"/>
    </row>
    <row r="557" spans="1:133" s="126" customFormat="1" ht="21" customHeight="1" x14ac:dyDescent="0.4">
      <c r="A557" s="233" t="s">
        <v>215</v>
      </c>
      <c r="B557" s="127" t="s">
        <v>215</v>
      </c>
      <c r="C557" s="127">
        <v>4061634</v>
      </c>
      <c r="D557" s="127" t="s">
        <v>191</v>
      </c>
      <c r="E557" s="127"/>
      <c r="F557" s="127"/>
      <c r="G557" s="127" t="s">
        <v>158</v>
      </c>
      <c r="H557" s="128">
        <v>2002</v>
      </c>
      <c r="I557" s="129"/>
      <c r="J557" s="125"/>
      <c r="K557" s="125"/>
      <c r="L557" s="47"/>
      <c r="M557" s="125"/>
      <c r="N557" s="125"/>
      <c r="O557" s="125"/>
      <c r="P557" s="47"/>
      <c r="Q557" s="47"/>
      <c r="R557" s="386"/>
      <c r="S557" s="119"/>
      <c r="T557" s="47"/>
      <c r="U557" s="47"/>
      <c r="V557" s="125"/>
      <c r="W557" s="125"/>
      <c r="X557" s="125"/>
      <c r="Y557" s="125"/>
      <c r="Z557" s="125"/>
      <c r="AA557" s="125"/>
      <c r="AB557" s="125"/>
      <c r="AC557" s="125">
        <f t="shared" si="1019"/>
        <v>7573.7189614193803</v>
      </c>
      <c r="AD557" s="129"/>
      <c r="AE557" s="133">
        <v>764.45771592099663</v>
      </c>
      <c r="AF557" s="134">
        <v>3.5472588486584286E-2</v>
      </c>
      <c r="AG557" s="61"/>
      <c r="AH557" s="134"/>
      <c r="AI557" s="134"/>
      <c r="AJ557" s="129">
        <f t="shared" si="1015"/>
        <v>7573.7189614193803</v>
      </c>
      <c r="AK557" s="134"/>
      <c r="AL557" s="129"/>
      <c r="AM557" s="129"/>
      <c r="AN557" s="129"/>
      <c r="AO557" s="129"/>
      <c r="AP557" s="133"/>
      <c r="AQ557" s="134"/>
      <c r="AR557" s="93"/>
      <c r="AS557" s="93"/>
      <c r="AT557" s="93"/>
      <c r="AU557" s="93"/>
      <c r="AV557" s="93"/>
      <c r="AW557" s="134"/>
      <c r="AX557" s="62"/>
      <c r="AY557" s="93"/>
      <c r="AZ557" s="93"/>
      <c r="BA557" s="93"/>
      <c r="BB557" s="234">
        <f>IFERROR(INDEX('Total Customers'!$E$7:$AA$91,MATCH($C557,'Total Customers'!$C$7:$C$91,0),MATCH($G557,'Total Customers'!$E$5:$AA$5,0)),"NA")</f>
        <v>205740</v>
      </c>
      <c r="BC557" s="411">
        <f t="shared" si="973"/>
        <v>-4.3165185726292896E-3</v>
      </c>
      <c r="BD557" s="92"/>
      <c r="BE557" s="281" t="str">
        <f t="shared" si="969"/>
        <v>MOUNTAINEER GAS COMPANY</v>
      </c>
      <c r="BF557" s="290">
        <f t="shared" si="970"/>
        <v>4061634</v>
      </c>
      <c r="BG557" s="46" t="str">
        <f t="shared" si="971"/>
        <v>WV</v>
      </c>
      <c r="BH557" s="46"/>
      <c r="BI557" s="46" t="str">
        <f t="shared" si="972"/>
        <v>2002 Y</v>
      </c>
      <c r="BJ557" s="129"/>
      <c r="BK557" s="129"/>
      <c r="BL557" s="129">
        <f>INDEX('Dist. Plant Gas Additions'!$E$7:$AD$91,MATCH($C557,'Dist. Plant Gas Additions'!$C$7:$C$91,0),MATCH(Calculation!$G557,'Dist. Plant Gas Additions'!$E$5:$AD$5,0))</f>
        <v>10629</v>
      </c>
      <c r="BM557" s="129">
        <f>INDEX('Gen. Plant Additions'!$E$7:$AD$91,MATCH($C557,'Gen. Plant Additions'!$C$7:$C$91,0),MATCH(Calculation!$G557,'Gen. Plant Additions'!$E$5:$AD$5,0))</f>
        <v>520</v>
      </c>
      <c r="BN557" s="393">
        <f t="shared" si="1020"/>
        <v>0.87826769849969732</v>
      </c>
      <c r="BO557" s="46">
        <f t="shared" si="930"/>
        <v>456.69920321984262</v>
      </c>
      <c r="BP557" s="46">
        <f t="shared" si="931"/>
        <v>-63.300796780157384</v>
      </c>
      <c r="BQ557" s="129"/>
      <c r="BR557" s="129"/>
      <c r="BS557" s="129"/>
      <c r="BT557" s="129"/>
      <c r="BU557" s="129"/>
      <c r="BV557" s="129"/>
      <c r="BW557" s="129"/>
      <c r="BX557" s="129"/>
      <c r="BY557" s="129">
        <f>INDEX('Gross Dx Plant'!$D$7:$AC$91,MATCH($C557,'Gross Dx Plant'!$C$7:$C$91,0),MATCH(Calculation!$G557,'Gross Dx Plant'!$D$5:$AC$5,0))</f>
        <v>268403</v>
      </c>
      <c r="BZ557" s="129">
        <f>INDEX('Gross Gen Plant'!$D$7:$AC$91,MATCH($C557,'Gross Gen Plant'!$C$7:$C$91,0),MATCH(Calculation!$G557,'Gross Gen Plant'!$D$5:$AC$5,0))</f>
        <v>37202</v>
      </c>
      <c r="CA557" s="129">
        <f t="shared" si="960"/>
        <v>305605</v>
      </c>
      <c r="CB557" s="129"/>
      <c r="CC557" s="133">
        <v>2002</v>
      </c>
      <c r="CD557" s="129"/>
      <c r="CE557" s="129"/>
      <c r="CF557" s="129"/>
      <c r="CG557" s="137"/>
      <c r="CH557" s="129">
        <f t="shared" si="1021"/>
        <v>11149</v>
      </c>
      <c r="CI557" s="46">
        <f t="shared" si="1030"/>
        <v>11085.699203219843</v>
      </c>
      <c r="CJ557" s="46">
        <f t="shared" si="1022"/>
        <v>30.678720011481143</v>
      </c>
      <c r="CK557" s="443">
        <v>0.95918367346938771</v>
      </c>
      <c r="CL557" s="46">
        <f>+CL553*CK557+CJ554*CK556+CJ555*CK555+CJ556*CK554+CJ557</f>
        <v>745.39331566896556</v>
      </c>
      <c r="CM557" s="134">
        <f t="shared" si="1023"/>
        <v>3.0761079595743691E-2</v>
      </c>
      <c r="CN557" s="135">
        <f t="shared" si="1024"/>
        <v>1.1204401728058293E-2</v>
      </c>
      <c r="CO557" s="135">
        <f t="shared" ref="CO557:CO577" si="1033">+(CN557+CN556+CN555)/3</f>
        <v>1.0461841313535407E-2</v>
      </c>
      <c r="CP557" s="134">
        <f>VLOOKUP($H557,RoR!$E:$F,2,FALSE)</f>
        <v>6.4916666666666664E-2</v>
      </c>
      <c r="CQ557" s="135">
        <v>1.5246423291824351E-2</v>
      </c>
      <c r="CR557" s="135">
        <f t="shared" si="1031"/>
        <v>4.9670243374842313E-2</v>
      </c>
      <c r="CS557" s="135">
        <f t="shared" ref="CS557:CS577" si="1034">+$CR$2-CO557</f>
        <v>2.0440100294998216E-2</v>
      </c>
      <c r="CT557" s="135">
        <f t="shared" ref="CT557:CT577" si="1035">+((DF555/DF554-1)+(DF556/DF555-1)+(DF557/DF556-1))/3</f>
        <v>2.5243621214759093E-2</v>
      </c>
      <c r="CU557" s="139">
        <f t="shared" si="1025"/>
        <v>0.85126000000000002</v>
      </c>
      <c r="CV557" s="335">
        <f t="shared" si="1026"/>
        <v>0.78996741384417901</v>
      </c>
      <c r="CW557" s="335">
        <f t="shared" si="1027"/>
        <v>0.58989088575096271</v>
      </c>
      <c r="CX557" s="335">
        <f t="shared" si="1028"/>
        <v>0.91920675783645744</v>
      </c>
      <c r="CY557" s="335">
        <f t="shared" si="1029"/>
        <v>0.42834536472275586</v>
      </c>
      <c r="CZ557" s="336">
        <f>INDEX('State Tax Lookup'!$D$7:$Z$91,MATCH(Calculation!$C557,'State Tax Lookup'!$B$7:$B$91,0),MATCH($H557,'State Tax Lookup'!$D$6:$Z$6,0))</f>
        <v>0.40200000000000002</v>
      </c>
      <c r="DA557" s="303">
        <v>0.37</v>
      </c>
      <c r="DB557" s="57">
        <f t="shared" si="1032"/>
        <v>10.478112546045082</v>
      </c>
      <c r="DC557" s="56">
        <f t="shared" ref="DC557:DC577" si="1036">LN(DB557/DB556)</f>
        <v>9.0167725414520654E-4</v>
      </c>
      <c r="DD557" s="303">
        <f>VLOOKUP($H557,RoR!$E:$F,2,FALSE)</f>
        <v>6.4916666666666664E-2</v>
      </c>
      <c r="DE557" s="304">
        <f>HLOOKUP($H557,'GDP-PI'!$D$8:$CQ$11,3,FALSE)</f>
        <v>1.5246423291824351E-2</v>
      </c>
      <c r="DF557" s="303">
        <f>VLOOKUP(H557,'HW Dx Data'!$E:$F,2,FALSE)</f>
        <v>361.34816573413599</v>
      </c>
      <c r="DG557" s="89"/>
      <c r="DH557" s="89"/>
      <c r="DI557" s="89"/>
      <c r="DJ557" s="56"/>
      <c r="DK557" s="53">
        <f>HLOOKUP(H557,'GDP-PI'!$8:$9,2,FALSE)</f>
        <v>81.039000000000001</v>
      </c>
      <c r="DL557" s="355">
        <f>LN(DK557/DK556)</f>
        <v>1.513136459537477E-2</v>
      </c>
      <c r="EC557"/>
    </row>
    <row r="558" spans="1:133" s="126" customFormat="1" ht="21" customHeight="1" x14ac:dyDescent="0.4">
      <c r="A558" s="233" t="s">
        <v>215</v>
      </c>
      <c r="B558" s="127" t="s">
        <v>215</v>
      </c>
      <c r="C558" s="127">
        <v>4061634</v>
      </c>
      <c r="D558" s="127" t="s">
        <v>191</v>
      </c>
      <c r="E558" s="127"/>
      <c r="F558" s="127"/>
      <c r="G558" s="127" t="s">
        <v>159</v>
      </c>
      <c r="H558" s="128">
        <v>2003</v>
      </c>
      <c r="I558" s="129"/>
      <c r="J558" s="125"/>
      <c r="K558" s="125"/>
      <c r="L558" s="47"/>
      <c r="M558" s="125"/>
      <c r="N558" s="125"/>
      <c r="O558" s="125"/>
      <c r="P558" s="59"/>
      <c r="Q558" s="59"/>
      <c r="R558" s="386"/>
      <c r="S558" s="119"/>
      <c r="T558" s="59"/>
      <c r="U558" s="59"/>
      <c r="V558" s="125"/>
      <c r="W558" s="125"/>
      <c r="X558" s="125"/>
      <c r="Y558" s="125"/>
      <c r="Z558" s="125"/>
      <c r="AA558" s="125"/>
      <c r="AB558" s="125"/>
      <c r="AC558" s="125">
        <f t="shared" si="1019"/>
        <v>7873.0324488664364</v>
      </c>
      <c r="AD558" s="129"/>
      <c r="AE558" s="133">
        <v>785.25405672953605</v>
      </c>
      <c r="AF558" s="134">
        <v>2.6840590184827977E-2</v>
      </c>
      <c r="AG558" s="61"/>
      <c r="AH558" s="134"/>
      <c r="AI558" s="134"/>
      <c r="AJ558" s="129">
        <f t="shared" si="1015"/>
        <v>7873.0324488664364</v>
      </c>
      <c r="AK558" s="134"/>
      <c r="AL558" s="129"/>
      <c r="AM558" s="129"/>
      <c r="AN558" s="129"/>
      <c r="AO558" s="129"/>
      <c r="AP558" s="133"/>
      <c r="AQ558" s="134"/>
      <c r="AR558" s="93"/>
      <c r="AS558" s="93"/>
      <c r="AT558" s="93"/>
      <c r="AU558" s="93"/>
      <c r="AV558" s="93"/>
      <c r="AW558" s="134"/>
      <c r="AX558" s="62"/>
      <c r="AY558" s="93"/>
      <c r="AZ558" s="93"/>
      <c r="BA558" s="93"/>
      <c r="BB558" s="234">
        <f>IFERROR(INDEX('Total Customers'!$E$7:$AA$91,MATCH($C558,'Total Customers'!$C$7:$C$91,0),MATCH($G558,'Total Customers'!$E$5:$AA$5,0)),"NA")</f>
        <v>204788</v>
      </c>
      <c r="BC558" s="411">
        <f t="shared" si="973"/>
        <v>-4.6379380042120373E-3</v>
      </c>
      <c r="BD558" s="92"/>
      <c r="BE558" s="281" t="str">
        <f t="shared" si="969"/>
        <v>MOUNTAINEER GAS COMPANY</v>
      </c>
      <c r="BF558" s="290">
        <f t="shared" si="970"/>
        <v>4061634</v>
      </c>
      <c r="BG558" s="46" t="str">
        <f t="shared" si="971"/>
        <v>WV</v>
      </c>
      <c r="BH558" s="46"/>
      <c r="BI558" s="46" t="str">
        <f t="shared" si="972"/>
        <v>2003 Y</v>
      </c>
      <c r="BJ558" s="129"/>
      <c r="BK558" s="129"/>
      <c r="BL558" s="129">
        <f>INDEX('Dist. Plant Gas Additions'!$E$7:$AD$91,MATCH($C558,'Dist. Plant Gas Additions'!$C$7:$C$91,0),MATCH(Calculation!$G558,'Dist. Plant Gas Additions'!$E$5:$AD$5,0))</f>
        <v>9272</v>
      </c>
      <c r="BM558" s="129">
        <f>INDEX('Gen. Plant Additions'!$E$7:$AD$91,MATCH($C558,'Gen. Plant Additions'!$C$7:$C$91,0),MATCH(Calculation!$G558,'Gen. Plant Additions'!$E$5:$AD$5,0))</f>
        <v>3</v>
      </c>
      <c r="BN558" s="393">
        <f t="shared" si="1020"/>
        <v>0.88399018555436282</v>
      </c>
      <c r="BO558" s="46">
        <f t="shared" si="930"/>
        <v>2.6519705566630885</v>
      </c>
      <c r="BP558" s="46">
        <f t="shared" si="931"/>
        <v>-0.34802944333691155</v>
      </c>
      <c r="BQ558" s="129"/>
      <c r="BR558" s="129"/>
      <c r="BS558" s="129"/>
      <c r="BT558" s="129"/>
      <c r="BU558" s="129"/>
      <c r="BV558" s="129"/>
      <c r="BW558" s="129"/>
      <c r="BX558" s="129"/>
      <c r="BY558" s="129">
        <f>INDEX('Gross Dx Plant'!$D$7:$AC$91,MATCH($C558,'Gross Dx Plant'!$C$7:$C$91,0),MATCH(Calculation!$G558,'Gross Dx Plant'!$D$5:$AC$5,0))</f>
        <v>276696</v>
      </c>
      <c r="BZ558" s="129">
        <f>INDEX('Gross Gen Plant'!$D$7:$AC$91,MATCH($C558,'Gross Gen Plant'!$C$7:$C$91,0),MATCH(Calculation!$G558,'Gross Gen Plant'!$D$5:$AC$5,0))</f>
        <v>36312</v>
      </c>
      <c r="CA558" s="129">
        <f t="shared" si="960"/>
        <v>313008</v>
      </c>
      <c r="CB558" s="129"/>
      <c r="CC558" s="133">
        <v>2003</v>
      </c>
      <c r="CD558" s="129"/>
      <c r="CE558" s="129"/>
      <c r="CF558" s="129"/>
      <c r="CG558" s="137"/>
      <c r="CH558" s="129">
        <f t="shared" si="1021"/>
        <v>9275</v>
      </c>
      <c r="CI558" s="46">
        <f t="shared" si="1030"/>
        <v>9274.6519705566625</v>
      </c>
      <c r="CJ558" s="46">
        <f t="shared" si="1022"/>
        <v>25.118696582824999</v>
      </c>
      <c r="CK558" s="443">
        <v>0.94845360824742264</v>
      </c>
      <c r="CL558" s="46">
        <f>+CL553*CK558+CJ554*CK557+CJ555*CK556+CJ556*CK555+CJ557*CK554+CJ558</f>
        <v>762.27885436832719</v>
      </c>
      <c r="CM558" s="134">
        <f t="shared" si="1023"/>
        <v>2.2400419794392289E-2</v>
      </c>
      <c r="CN558" s="135">
        <f t="shared" si="1024"/>
        <v>1.1045387328264921E-2</v>
      </c>
      <c r="CO558" s="135">
        <f t="shared" si="1033"/>
        <v>1.0748728680454551E-2</v>
      </c>
      <c r="CP558" s="134">
        <f>VLOOKUP($H558,RoR!$E:$F,2,FALSE)</f>
        <v>5.6666666666666671E-2</v>
      </c>
      <c r="CQ558" s="135">
        <v>1.8855119140166909E-2</v>
      </c>
      <c r="CR558" s="135">
        <f t="shared" si="1031"/>
        <v>3.7811547526499761E-2</v>
      </c>
      <c r="CS558" s="135">
        <f t="shared" si="1034"/>
        <v>2.0153212928079076E-2</v>
      </c>
      <c r="CT558" s="135">
        <f t="shared" si="1035"/>
        <v>2.1375012817671957E-2</v>
      </c>
      <c r="CU558" s="139">
        <f t="shared" si="1025"/>
        <v>0.85126000000000002</v>
      </c>
      <c r="CV558" s="335">
        <f t="shared" si="1026"/>
        <v>0.90497737556561086</v>
      </c>
      <c r="CW558" s="335">
        <f t="shared" si="1027"/>
        <v>0.5338235294117647</v>
      </c>
      <c r="CX558" s="335">
        <f t="shared" si="1028"/>
        <v>0.88972433127405692</v>
      </c>
      <c r="CY558" s="335">
        <f t="shared" si="1029"/>
        <v>0.42982423775949252</v>
      </c>
      <c r="CZ558" s="336">
        <f>INDEX('State Tax Lookup'!$D$7:$Z$91,MATCH(Calculation!$C558,'State Tax Lookup'!$B$7:$B$91,0),MATCH($H558,'State Tax Lookup'!$D$6:$Z$6,0))</f>
        <v>0.40200000000000002</v>
      </c>
      <c r="DA558" s="303">
        <v>0.37</v>
      </c>
      <c r="DB558" s="57">
        <f t="shared" si="1032"/>
        <v>10.562252549582704</v>
      </c>
      <c r="DC558" s="56">
        <f t="shared" si="1036"/>
        <v>7.998003045803578E-3</v>
      </c>
      <c r="DD558" s="303">
        <f>VLOOKUP($H558,RoR!$E:$F,2,FALSE)</f>
        <v>5.6666666666666671E-2</v>
      </c>
      <c r="DE558" s="304">
        <f>HLOOKUP($H558,'GDP-PI'!$D$8:$CQ$11,3,FALSE)</f>
        <v>1.8855119140166909E-2</v>
      </c>
      <c r="DF558" s="303">
        <f>VLOOKUP(H558,'HW Dx Data'!$E:$F,2,FALSE)</f>
        <v>369.23301095560191</v>
      </c>
      <c r="DG558" s="89">
        <f ca="1">VLOOKUP(CC558,'ECI - Input Price'!M$13:N$33,2,FALSE)</f>
        <v>89.25</v>
      </c>
      <c r="DH558" s="89"/>
      <c r="DI558" s="89"/>
      <c r="DJ558" s="56"/>
      <c r="DK558" s="53">
        <f>HLOOKUP(H558,'GDP-PI'!$8:$9,2,FALSE)</f>
        <v>82.566999999999993</v>
      </c>
      <c r="DL558" s="355">
        <f t="shared" ref="DL558:DL577" si="1037">LN(DK558/DK557)</f>
        <v>1.8679564681853753E-2</v>
      </c>
      <c r="EC558"/>
    </row>
    <row r="559" spans="1:133" s="126" customFormat="1" ht="21" customHeight="1" x14ac:dyDescent="0.4">
      <c r="A559" s="233" t="s">
        <v>215</v>
      </c>
      <c r="B559" s="127" t="s">
        <v>215</v>
      </c>
      <c r="C559" s="127">
        <v>4061634</v>
      </c>
      <c r="D559" s="127" t="s">
        <v>191</v>
      </c>
      <c r="E559" s="127"/>
      <c r="F559" s="127"/>
      <c r="G559" s="127" t="s">
        <v>160</v>
      </c>
      <c r="H559" s="128">
        <v>2004</v>
      </c>
      <c r="I559" s="129"/>
      <c r="J559" s="125">
        <f>IFERROR(INDEX('Labor Expenditures'!$E$7:$W$91,MATCH($C559,'Labor Expenditures'!$C$7:$C$91,0),MATCH($G559,'Labor Expenditures'!$E$5:$W$5,0)),"NA")</f>
        <v>18736.705090680451</v>
      </c>
      <c r="K559" s="125">
        <f t="shared" ref="K559:K577" ca="1" si="1038">+J559/DG559</f>
        <v>198.58722936598252</v>
      </c>
      <c r="L559" s="47"/>
      <c r="M559" s="131"/>
      <c r="N559" s="131"/>
      <c r="O559" s="131"/>
      <c r="P559" s="59"/>
      <c r="Q559" s="59"/>
      <c r="R559" s="386"/>
      <c r="S559" s="119"/>
      <c r="T559" s="59"/>
      <c r="U559" s="59"/>
      <c r="V559" s="125">
        <f>IFERROR(INDEX('Non-Labor Expenditures'!$E$7:$AA$91,MATCH($C559,'Non-Labor Expenditures'!$C$7:$C$91,0),MATCH($G559,'Non-Labor Expenditures'!$E$5:$AA$5,0)),"NA")</f>
        <v>27134.248505092306</v>
      </c>
      <c r="W559" s="125">
        <f t="shared" ref="W559:W577" si="1039">+V559/DK559</f>
        <v>320.06238063049733</v>
      </c>
      <c r="X559" s="125"/>
      <c r="Y559" s="125"/>
      <c r="Z559" s="125"/>
      <c r="AA559" s="125"/>
      <c r="AB559" s="125"/>
      <c r="AC559" s="125">
        <f t="shared" si="1019"/>
        <v>8808.9701248551919</v>
      </c>
      <c r="AD559" s="129"/>
      <c r="AE559" s="133">
        <v>817.01199915060886</v>
      </c>
      <c r="AF559" s="134">
        <v>3.9646477026540054E-2</v>
      </c>
      <c r="AG559" s="59">
        <f t="shared" ref="AG559:AG577" si="1040">+AF559*$AX559</f>
        <v>0</v>
      </c>
      <c r="AH559" s="134"/>
      <c r="AI559" s="134"/>
      <c r="AJ559" s="129">
        <f t="shared" si="1015"/>
        <v>54679.92372062795</v>
      </c>
      <c r="AK559" s="134"/>
      <c r="AL559" s="129"/>
      <c r="AM559" s="129"/>
      <c r="AN559" s="129"/>
      <c r="AO559" s="129"/>
      <c r="AP559" s="133"/>
      <c r="AQ559" s="134"/>
      <c r="AR559" s="93">
        <f t="shared" ref="AR559:AR577" si="1041">+J559/AJ559</f>
        <v>0.34266150747412338</v>
      </c>
      <c r="AS559" s="93">
        <f t="shared" ref="AS559:AS577" si="1042">+V559/AJ559</f>
        <v>0.49623786316395202</v>
      </c>
      <c r="AT559" s="93">
        <f t="shared" ref="AT559:AT577" si="1043">+AC559/AJ559</f>
        <v>0.1611006293619246</v>
      </c>
      <c r="AU559" s="93"/>
      <c r="AV559" s="93"/>
      <c r="AW559" s="134"/>
      <c r="AX559" s="62"/>
      <c r="AY559" s="93"/>
      <c r="AZ559" s="93"/>
      <c r="BA559" s="93"/>
      <c r="BB559" s="234">
        <f>IFERROR(INDEX('Total Customers'!$E$7:$AA$91,MATCH($C559,'Total Customers'!$C$7:$C$91,0),MATCH($G559,'Total Customers'!$E$5:$AA$5,0)),"NA")</f>
        <v>202850</v>
      </c>
      <c r="BC559" s="411">
        <f t="shared" si="973"/>
        <v>-9.5085080462156898E-3</v>
      </c>
      <c r="BD559" s="92"/>
      <c r="BE559" s="281" t="str">
        <f t="shared" si="969"/>
        <v>MOUNTAINEER GAS COMPANY</v>
      </c>
      <c r="BF559" s="290">
        <f t="shared" si="970"/>
        <v>4061634</v>
      </c>
      <c r="BG559" s="46" t="str">
        <f t="shared" si="971"/>
        <v>WV</v>
      </c>
      <c r="BH559" s="46"/>
      <c r="BI559" s="46" t="str">
        <f t="shared" si="972"/>
        <v>2004 Y</v>
      </c>
      <c r="BJ559" s="129"/>
      <c r="BK559" s="129"/>
      <c r="BL559" s="129">
        <f>INDEX('Dist. Plant Gas Additions'!$E$7:$AD$91,MATCH($C559,'Dist. Plant Gas Additions'!$C$7:$C$91,0),MATCH(Calculation!$G559,'Dist. Plant Gas Additions'!$E$5:$AD$5,0))</f>
        <v>14431</v>
      </c>
      <c r="BM559" s="129">
        <f>INDEX('Gen. Plant Additions'!$E$7:$AD$91,MATCH($C559,'Gen. Plant Additions'!$C$7:$C$91,0),MATCH(Calculation!$G559,'Gen. Plant Additions'!$E$5:$AD$5,0))</f>
        <v>648</v>
      </c>
      <c r="BN559" s="393">
        <f t="shared" si="1020"/>
        <v>0.89079358832048561</v>
      </c>
      <c r="BO559" s="46">
        <f t="shared" si="930"/>
        <v>577.23424523167466</v>
      </c>
      <c r="BP559" s="46">
        <f t="shared" si="931"/>
        <v>-70.765754768325337</v>
      </c>
      <c r="BQ559" s="129">
        <f>INDEX('Dist Plant Depreciation'!$D$7:$AC$94,MATCH($C559,'Dist Plant Depreciation'!$C$7:$C$94,0),MATCH(Calculation!$G559,'Dist Plant Depreciation'!$D$5:$AC$5,0))</f>
        <v>143255</v>
      </c>
      <c r="BR559" s="129">
        <f>INDEX('Gen. Plant Depreciation'!$D$7:$AC$94,MATCH($C559,'Gen. Plant Depreciation'!$C$7:$C$94,0),MATCH(Calculation!$G559,'Gen. Plant Depreciation'!$D$5:$AC$5,0))</f>
        <v>30024</v>
      </c>
      <c r="BS559" s="129"/>
      <c r="BT559" s="129"/>
      <c r="BU559" s="129"/>
      <c r="BV559" s="129"/>
      <c r="BW559" s="129"/>
      <c r="BX559" s="129"/>
      <c r="BY559" s="129">
        <f>INDEX('Gross Dx Plant'!$D$7:$AC$91,MATCH($C559,'Gross Dx Plant'!$C$7:$C$91,0),MATCH(Calculation!$G559,'Gross Dx Plant'!$D$5:$AC$5,0))</f>
        <v>289703</v>
      </c>
      <c r="BZ559" s="129">
        <f>INDEX('Gross Gen Plant'!$D$7:$AC$91,MATCH($C559,'Gross Gen Plant'!$C$7:$C$91,0),MATCH(Calculation!$G559,'Gross Gen Plant'!$D$5:$AC$5,0))</f>
        <v>35516</v>
      </c>
      <c r="CA559" s="129">
        <f t="shared" si="960"/>
        <v>151940</v>
      </c>
      <c r="CB559" s="129"/>
      <c r="CC559" s="133">
        <v>2004</v>
      </c>
      <c r="CD559" s="129"/>
      <c r="CE559" s="129"/>
      <c r="CF559" s="129"/>
      <c r="CG559" s="137"/>
      <c r="CH559" s="129">
        <f t="shared" si="1021"/>
        <v>15079</v>
      </c>
      <c r="CI559" s="46">
        <f t="shared" si="1030"/>
        <v>15008.234245231675</v>
      </c>
      <c r="CJ559" s="46">
        <f t="shared" si="1022"/>
        <v>36.17425304530088</v>
      </c>
      <c r="CK559" s="443">
        <v>0.9375</v>
      </c>
      <c r="CL559" s="46">
        <f>+CL553*CK559+CJ554*CK558+CJ555*CK557+CJ556*CK556+CJ557*CK555+CJ558*CK554+CJ559</f>
        <v>789.80041346392863</v>
      </c>
      <c r="CM559" s="134">
        <f t="shared" si="1023"/>
        <v>3.546783299935214E-2</v>
      </c>
      <c r="CN559" s="135">
        <f t="shared" si="1024"/>
        <v>1.1351087466370305E-2</v>
      </c>
      <c r="CO559" s="135">
        <f t="shared" si="1033"/>
        <v>1.1200292174231172E-2</v>
      </c>
      <c r="CP559" s="134">
        <f>VLOOKUP($H559,RoR!$E:$F,2,FALSE)</f>
        <v>5.6283333333333331E-2</v>
      </c>
      <c r="CQ559" s="135">
        <v>2.6778252812867276E-2</v>
      </c>
      <c r="CR559" s="135">
        <f t="shared" si="1031"/>
        <v>2.9505080520466055E-2</v>
      </c>
      <c r="CS559" s="135">
        <f t="shared" si="1034"/>
        <v>1.9701649434302453E-2</v>
      </c>
      <c r="CT559" s="135">
        <f t="shared" si="1035"/>
        <v>5.5940039414565046E-2</v>
      </c>
      <c r="CU559" s="139">
        <f t="shared" si="1025"/>
        <v>0.85126000000000002</v>
      </c>
      <c r="CV559" s="335">
        <f t="shared" si="1026"/>
        <v>0.91114097628755619</v>
      </c>
      <c r="CW559" s="335">
        <f t="shared" si="1027"/>
        <v>0.53081877405981637</v>
      </c>
      <c r="CX559" s="335">
        <f t="shared" si="1028"/>
        <v>0.88811215519385678</v>
      </c>
      <c r="CY559" s="335">
        <f t="shared" si="1029"/>
        <v>0.42953609753547711</v>
      </c>
      <c r="CZ559" s="336">
        <f>INDEX('State Tax Lookup'!$D$7:$Z$91,MATCH(Calculation!$C559,'State Tax Lookup'!$B$7:$B$91,0),MATCH($H559,'State Tax Lookup'!$D$6:$Z$6,0))</f>
        <v>0.40200000000000002</v>
      </c>
      <c r="DA559" s="303">
        <v>0.37</v>
      </c>
      <c r="DB559" s="57">
        <f t="shared" si="1032"/>
        <v>11.556099286205264</v>
      </c>
      <c r="DC559" s="56">
        <f t="shared" si="1036"/>
        <v>8.9926809161656254E-2</v>
      </c>
      <c r="DD559" s="303">
        <f>VLOOKUP($H559,RoR!$E:$F,2,FALSE)</f>
        <v>5.6283333333333331E-2</v>
      </c>
      <c r="DE559" s="304">
        <f>HLOOKUP($H559,'GDP-PI'!$D$8:$CQ$11,3,FALSE)</f>
        <v>2.6778252812867276E-2</v>
      </c>
      <c r="DF559" s="303">
        <f>VLOOKUP(H559,'HW Dx Data'!$E:$F,2,FALSE)</f>
        <v>414.88719135228365</v>
      </c>
      <c r="DG559" s="89">
        <f ca="1">VLOOKUP(CC559,'ECI - Input Price'!M$13:N$33,2,FALSE)</f>
        <v>94.35</v>
      </c>
      <c r="DH559" s="89"/>
      <c r="DI559" s="89"/>
      <c r="DJ559" s="56">
        <f t="shared" ref="DJ559:DJ577" ca="1" si="1044">LN(DG559/DG558)</f>
        <v>5.5569851154810786E-2</v>
      </c>
      <c r="DK559" s="53">
        <f>HLOOKUP(H559,'GDP-PI'!$8:$9,2,FALSE)</f>
        <v>84.778000000000006</v>
      </c>
      <c r="DL559" s="355">
        <f t="shared" si="1037"/>
        <v>2.6425990216022755E-2</v>
      </c>
      <c r="EC559"/>
    </row>
    <row r="560" spans="1:133" s="126" customFormat="1" ht="21" customHeight="1" x14ac:dyDescent="0.4">
      <c r="A560" s="233" t="s">
        <v>215</v>
      </c>
      <c r="B560" s="127" t="s">
        <v>215</v>
      </c>
      <c r="C560" s="127">
        <v>4061634</v>
      </c>
      <c r="D560" s="127" t="s">
        <v>191</v>
      </c>
      <c r="E560" s="127"/>
      <c r="F560" s="127"/>
      <c r="G560" s="127" t="s">
        <v>161</v>
      </c>
      <c r="H560" s="128">
        <v>2005</v>
      </c>
      <c r="I560" s="129"/>
      <c r="J560" s="125">
        <f>IFERROR(INDEX('Labor Expenditures'!$E$7:$W$91,MATCH($C560,'Labor Expenditures'!$C$7:$C$91,0),MATCH($G560,'Labor Expenditures'!$E$5:$W$5,0)),"NA")</f>
        <v>18769.828791956479</v>
      </c>
      <c r="K560" s="125">
        <f t="shared" ca="1" si="1038"/>
        <v>189.16431133239084</v>
      </c>
      <c r="L560" s="47"/>
      <c r="M560" s="131">
        <f t="shared" ref="M560:M576" ca="1" si="1045">LN(K560/K559)</f>
        <v>-4.8612436746758997E-2</v>
      </c>
      <c r="N560" s="131"/>
      <c r="O560" s="131"/>
      <c r="P560" s="59"/>
      <c r="Q560" s="61"/>
      <c r="R560" s="387"/>
      <c r="S560" s="49">
        <v>100</v>
      </c>
      <c r="T560" s="46"/>
      <c r="U560" s="46"/>
      <c r="V560" s="125">
        <f>IFERROR(INDEX('Non-Labor Expenditures'!$E$7:$AA$91,MATCH($C560,'Non-Labor Expenditures'!$C$7:$C$91,0),MATCH($G560,'Non-Labor Expenditures'!$E$5:$AA$5,0)),"NA")</f>
        <v>27182.217811194012</v>
      </c>
      <c r="W560" s="125">
        <f t="shared" si="1039"/>
        <v>310.98444988609623</v>
      </c>
      <c r="X560" s="131">
        <f>LN(W560/W559)</f>
        <v>-2.8773005702922693E-2</v>
      </c>
      <c r="Y560" s="131"/>
      <c r="Z560" s="131"/>
      <c r="AA560" s="131"/>
      <c r="AB560" s="131"/>
      <c r="AC560" s="125">
        <f t="shared" si="1019"/>
        <v>10213.166793796636</v>
      </c>
      <c r="AD560" s="129"/>
      <c r="AE560" s="133">
        <v>829.23049635154837</v>
      </c>
      <c r="AF560" s="134">
        <v>1.484437633126736E-2</v>
      </c>
      <c r="AG560" s="59">
        <f t="shared" si="1040"/>
        <v>0</v>
      </c>
      <c r="AH560" s="134"/>
      <c r="AI560" s="134"/>
      <c r="AJ560" s="129">
        <f t="shared" si="1015"/>
        <v>56165.213396947125</v>
      </c>
      <c r="AK560" s="134">
        <f>LN(AJ560/AJ559)</f>
        <v>2.6800969710576349E-2</v>
      </c>
      <c r="AL560" s="129"/>
      <c r="AM560" s="129"/>
      <c r="AN560" s="129"/>
      <c r="AO560" s="129"/>
      <c r="AP560" s="133"/>
      <c r="AQ560" s="134"/>
      <c r="AR560" s="93">
        <f t="shared" si="1041"/>
        <v>0.33418957494741253</v>
      </c>
      <c r="AS560" s="93">
        <f t="shared" si="1042"/>
        <v>0.48396892252654572</v>
      </c>
      <c r="AT560" s="93">
        <f t="shared" si="1043"/>
        <v>0.18184150252604178</v>
      </c>
      <c r="AU560" s="93">
        <f t="shared" ref="AU560:AU576" ca="1" si="1046">+(((AR560+AR559)/2)*M560+((AS559+AS560)/2)*X560+((AT559+AT560)/2)*AF560)</f>
        <v>-2.8008056900158194E-2</v>
      </c>
      <c r="AV560" s="132">
        <v>100</v>
      </c>
      <c r="AW560" s="134"/>
      <c r="AX560" s="15"/>
      <c r="AY560" s="93"/>
      <c r="AZ560" s="93"/>
      <c r="BA560" s="93"/>
      <c r="BB560" s="234">
        <f>IFERROR(INDEX('Total Customers'!$E$7:$AA$91,MATCH($C560,'Total Customers'!$C$7:$C$91,0),MATCH($G560,'Total Customers'!$E$5:$AA$5,0)),"NA")</f>
        <v>221844</v>
      </c>
      <c r="BC560" s="411">
        <f t="shared" si="973"/>
        <v>8.9507642505852553E-2</v>
      </c>
      <c r="BD560" s="92"/>
      <c r="BE560" s="281" t="str">
        <f t="shared" si="969"/>
        <v>MOUNTAINEER GAS COMPANY</v>
      </c>
      <c r="BF560" s="290">
        <f t="shared" si="970"/>
        <v>4061634</v>
      </c>
      <c r="BG560" s="46" t="str">
        <f t="shared" si="971"/>
        <v>WV</v>
      </c>
      <c r="BH560" s="46"/>
      <c r="BI560" s="46" t="str">
        <f t="shared" si="972"/>
        <v>2005 Y</v>
      </c>
      <c r="BJ560" s="129"/>
      <c r="BK560" s="129"/>
      <c r="BL560" s="129">
        <f>INDEX('Dist. Plant Gas Additions'!$E$7:$AD$91,MATCH($C560,'Dist. Plant Gas Additions'!$C$7:$C$91,0),MATCH(Calculation!$G560,'Dist. Plant Gas Additions'!$E$5:$AD$5,0))</f>
        <v>8032</v>
      </c>
      <c r="BM560" s="129">
        <f>INDEX('Gen. Plant Additions'!$E$7:$AD$91,MATCH($C560,'Gen. Plant Additions'!$C$7:$C$91,0),MATCH(Calculation!$G560,'Gen. Plant Additions'!$E$5:$AD$5,0))</f>
        <v>8</v>
      </c>
      <c r="BN560" s="393">
        <f t="shared" si="1020"/>
        <v>0.90295961067707986</v>
      </c>
      <c r="BO560" s="46">
        <f t="shared" si="930"/>
        <v>7.2236768854166389</v>
      </c>
      <c r="BP560" s="46">
        <f t="shared" si="931"/>
        <v>-0.77632311458336112</v>
      </c>
      <c r="BQ560" s="129"/>
      <c r="BR560" s="129"/>
      <c r="BS560" s="129"/>
      <c r="BT560" s="129"/>
      <c r="BU560" s="129"/>
      <c r="BV560" s="129"/>
      <c r="BW560" s="129"/>
      <c r="BX560" s="129"/>
      <c r="BY560" s="129">
        <f>INDEX('Gross Dx Plant'!$D$7:$AC$91,MATCH($C560,'Gross Dx Plant'!$C$7:$C$91,0),MATCH(Calculation!$G560,'Gross Dx Plant'!$D$5:$AC$5,0))</f>
        <v>338990</v>
      </c>
      <c r="BZ560" s="129">
        <f>INDEX('Gross Gen Plant'!$D$7:$AC$91,MATCH($C560,'Gross Gen Plant'!$C$7:$C$91,0),MATCH(Calculation!$G560,'Gross Gen Plant'!$D$5:$AC$5,0))</f>
        <v>36431</v>
      </c>
      <c r="CA560" s="129">
        <f t="shared" si="960"/>
        <v>375421</v>
      </c>
      <c r="CB560" s="129"/>
      <c r="CC560" s="133">
        <v>2005</v>
      </c>
      <c r="CD560" s="129"/>
      <c r="CE560" s="129"/>
      <c r="CF560" s="129"/>
      <c r="CG560" s="137"/>
      <c r="CH560" s="129">
        <f t="shared" si="1021"/>
        <v>8040</v>
      </c>
      <c r="CI560" s="46">
        <f t="shared" si="1030"/>
        <v>8039.2236768854164</v>
      </c>
      <c r="CJ560" s="46">
        <f t="shared" si="1022"/>
        <v>17.133707595145996</v>
      </c>
      <c r="CK560" s="443">
        <v>0.9263157894736842</v>
      </c>
      <c r="CL560" s="46">
        <f>+CL553*CK560+CJ554*CK559+CJ555*CK558+CJ556*CK557+CJ557*CK556+CJ558*CK555+CJ559*CK554+CJ560</f>
        <v>797.74208256529846</v>
      </c>
      <c r="CM560" s="134">
        <f t="shared" si="1023"/>
        <v>1.0005068045481956E-2</v>
      </c>
      <c r="CN560" s="135">
        <f t="shared" si="1024"/>
        <v>1.1638432111552679E-2</v>
      </c>
      <c r="CO560" s="135">
        <f t="shared" si="1033"/>
        <v>1.1344968968729302E-2</v>
      </c>
      <c r="CP560" s="134">
        <f>VLOOKUP($H560,RoR!$E:$F,2,FALSE)</f>
        <v>5.2350000000000001E-2</v>
      </c>
      <c r="CQ560" s="135">
        <v>3.1010403642454332E-2</v>
      </c>
      <c r="CR560" s="135">
        <f t="shared" si="1031"/>
        <v>2.1339596357545669E-2</v>
      </c>
      <c r="CS560" s="135">
        <f t="shared" si="1034"/>
        <v>1.9556972639804323E-2</v>
      </c>
      <c r="CT560" s="135">
        <f t="shared" si="1035"/>
        <v>9.2129610649277341E-2</v>
      </c>
      <c r="CU560" s="139">
        <f t="shared" si="1025"/>
        <v>0.85126000000000002</v>
      </c>
      <c r="CV560" s="335">
        <f t="shared" si="1026"/>
        <v>0.97959983346802826</v>
      </c>
      <c r="CW560" s="335">
        <f t="shared" si="1027"/>
        <v>0.49744508118433622</v>
      </c>
      <c r="CX560" s="335">
        <f t="shared" si="1028"/>
        <v>0.87010519444335932</v>
      </c>
      <c r="CY560" s="335">
        <f t="shared" si="1029"/>
        <v>0.42399975420741998</v>
      </c>
      <c r="CZ560" s="336">
        <f>INDEX('State Tax Lookup'!$D$7:$Z$91,MATCH(Calculation!$C560,'State Tax Lookup'!$B$7:$B$91,0),MATCH($H560,'State Tax Lookup'!$D$6:$Z$6,0))</f>
        <v>0.40200000000000002</v>
      </c>
      <c r="DA560" s="303">
        <v>0.37</v>
      </c>
      <c r="DB560" s="57">
        <f t="shared" si="1032"/>
        <v>12.931326218232078</v>
      </c>
      <c r="DC560" s="56">
        <f t="shared" si="1036"/>
        <v>0.11243938229397439</v>
      </c>
      <c r="DD560" s="303">
        <f>VLOOKUP($H560,RoR!$E:$F,2,FALSE)</f>
        <v>5.2350000000000001E-2</v>
      </c>
      <c r="DE560" s="304">
        <f>HLOOKUP($H560,'GDP-PI'!$D$8:$CQ$11,3,FALSE)</f>
        <v>3.1010403642454332E-2</v>
      </c>
      <c r="DF560" s="303">
        <f>VLOOKUP(H560,'HW Dx Data'!$E:$F,2,FALSE)</f>
        <v>469.20514034936258</v>
      </c>
      <c r="DG560" s="89">
        <f ca="1">VLOOKUP(CC560,'ECI - Input Price'!M$13:N$33,2,FALSE)</f>
        <v>99.224999999999994</v>
      </c>
      <c r="DH560" s="89"/>
      <c r="DI560" s="89"/>
      <c r="DJ560" s="56">
        <f t="shared" ca="1" si="1044"/>
        <v>5.0378726854569796E-2</v>
      </c>
      <c r="DK560" s="53">
        <f>HLOOKUP(H560,'GDP-PI'!$8:$9,2,FALSE)</f>
        <v>87.406999999999996</v>
      </c>
      <c r="DL560" s="355">
        <f t="shared" si="1037"/>
        <v>3.0539295810733648E-2</v>
      </c>
      <c r="EC560"/>
    </row>
    <row r="561" spans="1:133" s="126" customFormat="1" ht="21" customHeight="1" x14ac:dyDescent="0.4">
      <c r="A561" s="233" t="s">
        <v>215</v>
      </c>
      <c r="B561" s="127" t="s">
        <v>215</v>
      </c>
      <c r="C561" s="127">
        <v>4061634</v>
      </c>
      <c r="D561" s="127" t="s">
        <v>191</v>
      </c>
      <c r="E561" s="127"/>
      <c r="F561" s="127"/>
      <c r="G561" s="127" t="s">
        <v>162</v>
      </c>
      <c r="H561" s="128">
        <v>2006</v>
      </c>
      <c r="I561" s="129"/>
      <c r="J561" s="125">
        <f>IFERROR(INDEX('Labor Expenditures'!$E$7:$W$91,MATCH($C561,'Labor Expenditures'!$C$7:$C$91,0),MATCH($G561,'Labor Expenditures'!$E$5:$W$5,0)),"NA")</f>
        <v>19578.568464778393</v>
      </c>
      <c r="K561" s="125">
        <f t="shared" ca="1" si="1038"/>
        <v>178.96314867256299</v>
      </c>
      <c r="L561" s="47"/>
      <c r="M561" s="131">
        <f t="shared" ca="1" si="1045"/>
        <v>-5.543609819533498E-2</v>
      </c>
      <c r="N561" s="131"/>
      <c r="O561" s="131"/>
      <c r="P561" s="59">
        <f t="shared" ref="P561:P577" ca="1" si="1047">+M561*$AX561</f>
        <v>-4.3903714849949198E-4</v>
      </c>
      <c r="Q561" s="61"/>
      <c r="R561" s="387"/>
      <c r="S561" s="49">
        <f ca="1">+S560*EXP(T561)</f>
        <v>107.87747496086459</v>
      </c>
      <c r="T561" s="61">
        <f ca="1">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</f>
        <v>7.5825906010853428E-2</v>
      </c>
      <c r="U561" s="61"/>
      <c r="V561" s="125">
        <f>IFERROR(INDEX('Non-Labor Expenditures'!$E$7:$AA$91,MATCH($C561,'Non-Labor Expenditures'!$C$7:$C$91,0),MATCH($G561,'Non-Labor Expenditures'!$E$5:$AA$5,0)),"NA")</f>
        <v>28353.423909175021</v>
      </c>
      <c r="W561" s="125">
        <f t="shared" si="1039"/>
        <v>314.77922496142082</v>
      </c>
      <c r="X561" s="131">
        <f t="shared" ref="X561:X576" si="1048">LN(W561/W560)</f>
        <v>1.2128609397962281E-2</v>
      </c>
      <c r="Y561" s="131">
        <f t="shared" ref="Y561:Y577" si="1049">+X561*AX561</f>
        <v>9.6054921949640355E-5</v>
      </c>
      <c r="Z561" s="131"/>
      <c r="AA561" s="131"/>
      <c r="AB561" s="131"/>
      <c r="AC561" s="125">
        <f t="shared" si="1019"/>
        <v>9987.4829331945675</v>
      </c>
      <c r="AD561" s="129"/>
      <c r="AE561" s="133">
        <v>850.28488857760829</v>
      </c>
      <c r="AF561" s="134">
        <v>2.5073298435990182E-2</v>
      </c>
      <c r="AG561" s="59">
        <f t="shared" si="1040"/>
        <v>1.9857294808205402E-4</v>
      </c>
      <c r="AH561" s="134"/>
      <c r="AI561" s="134"/>
      <c r="AJ561" s="129">
        <f t="shared" si="1015"/>
        <v>57919.475307147979</v>
      </c>
      <c r="AK561" s="134">
        <f t="shared" ref="AK561:AK577" si="1050">LN(AJ561/AJ560)</f>
        <v>3.0756102561645897E-2</v>
      </c>
      <c r="AL561" s="129"/>
      <c r="AM561" s="129"/>
      <c r="AN561" s="129"/>
      <c r="AO561" s="129"/>
      <c r="AP561" s="133">
        <f t="shared" ref="AP561:AP577" si="1051">+(AJ561*1000)/BB561</f>
        <v>261.01846482234168</v>
      </c>
      <c r="AQ561" s="134">
        <f>+BB561/Outputs!$B$14</f>
        <v>6.3981755779581179E-3</v>
      </c>
      <c r="AR561" s="93">
        <f t="shared" si="1041"/>
        <v>0.33803083265089862</v>
      </c>
      <c r="AS561" s="93">
        <f t="shared" si="1042"/>
        <v>0.48953178112916812</v>
      </c>
      <c r="AT561" s="93">
        <f t="shared" si="1043"/>
        <v>0.17243738621993332</v>
      </c>
      <c r="AU561" s="93">
        <f t="shared" ca="1" si="1046"/>
        <v>-8.2875632170738497E-3</v>
      </c>
      <c r="AV561" s="132">
        <f ca="1">+AV560*EXP(AU561)</f>
        <v>99.174668396110988</v>
      </c>
      <c r="AW561" s="134">
        <f ca="1">LN(AV561/AV560)</f>
        <v>-8.2875632170738168E-3</v>
      </c>
      <c r="AX561" s="56">
        <f>+AJ561/$AL$11</f>
        <v>7.9196978646025543E-3</v>
      </c>
      <c r="AY561" s="135">
        <f ca="1">+AX561*AW561</f>
        <v>-6.5634996713018179E-5</v>
      </c>
      <c r="AZ561" s="93"/>
      <c r="BA561" s="93"/>
      <c r="BB561" s="234">
        <f>IFERROR(INDEX('Total Customers'!$E$7:$AA$91,MATCH($C561,'Total Customers'!$C$7:$C$91,0),MATCH($G561,'Total Customers'!$E$5:$AA$5,0)),"NA")</f>
        <v>221898</v>
      </c>
      <c r="BC561" s="411">
        <f t="shared" si="973"/>
        <v>2.4338467067143568E-4</v>
      </c>
      <c r="BD561" s="92"/>
      <c r="BE561" s="281" t="str">
        <f t="shared" si="969"/>
        <v>MOUNTAINEER GAS COMPANY</v>
      </c>
      <c r="BF561" s="290">
        <f t="shared" si="970"/>
        <v>4061634</v>
      </c>
      <c r="BG561" s="46" t="str">
        <f t="shared" si="971"/>
        <v>WV</v>
      </c>
      <c r="BH561" s="46"/>
      <c r="BI561" s="46" t="str">
        <f t="shared" si="972"/>
        <v>2006 Y</v>
      </c>
      <c r="BJ561" s="129"/>
      <c r="BK561" s="129"/>
      <c r="BL561" s="129">
        <f>INDEX('Dist. Plant Gas Additions'!$E$7:$AD$91,MATCH($C561,'Dist. Plant Gas Additions'!$C$7:$C$91,0),MATCH(Calculation!$G561,'Dist. Plant Gas Additions'!$E$5:$AD$5,0))</f>
        <v>11302</v>
      </c>
      <c r="BM561" s="129">
        <f>INDEX('Gen. Plant Additions'!$E$7:$AD$91,MATCH($C561,'Gen. Plant Additions'!$C$7:$C$91,0),MATCH(Calculation!$G561,'Gen. Plant Additions'!$E$5:$AD$5,0))</f>
        <v>787</v>
      </c>
      <c r="BN561" s="393">
        <f t="shared" si="1020"/>
        <v>0.90358180960917711</v>
      </c>
      <c r="BO561" s="46">
        <f t="shared" si="930"/>
        <v>711.11888416242243</v>
      </c>
      <c r="BP561" s="46">
        <f t="shared" si="931"/>
        <v>-75.881115837577568</v>
      </c>
      <c r="BQ561" s="129"/>
      <c r="BR561" s="129"/>
      <c r="BS561" s="129"/>
      <c r="BT561" s="129"/>
      <c r="BU561" s="129"/>
      <c r="BV561" s="129"/>
      <c r="BW561" s="129"/>
      <c r="BX561" s="129"/>
      <c r="BY561" s="129">
        <f>INDEX('Gross Dx Plant'!$D$7:$AC$91,MATCH($C561,'Gross Dx Plant'!$C$7:$C$91,0),MATCH(Calculation!$G561,'Gross Dx Plant'!$D$5:$AC$5,0))</f>
        <v>348788</v>
      </c>
      <c r="BZ561" s="129">
        <f>INDEX('Gross Gen Plant'!$D$7:$AC$91,MATCH($C561,'Gross Gen Plant'!$C$7:$C$91,0),MATCH(Calculation!$G561,'Gross Gen Plant'!$D$5:$AC$5,0))</f>
        <v>37218</v>
      </c>
      <c r="CA561" s="129">
        <f t="shared" si="960"/>
        <v>386006</v>
      </c>
      <c r="CB561" s="134"/>
      <c r="CC561" s="133">
        <v>2006</v>
      </c>
      <c r="CD561" s="129"/>
      <c r="CE561" s="129"/>
      <c r="CF561" s="129"/>
      <c r="CG561" s="137"/>
      <c r="CH561" s="129">
        <f t="shared" si="1021"/>
        <v>12089</v>
      </c>
      <c r="CI561" s="46">
        <f t="shared" si="1030"/>
        <v>12013.118884162423</v>
      </c>
      <c r="CJ561" s="46">
        <f t="shared" si="1022"/>
        <v>26.053984312811949</v>
      </c>
      <c r="CK561" s="443">
        <v>0.91489361702127658</v>
      </c>
      <c r="CL561" s="46">
        <f>+CL553*CK561+CJ554*CK560+CJ555*CK559+CJ556*CK558+CJ557*CK557+CJ558*CK556+CJ559*CK555+CJ560*CK554+CJ561</f>
        <v>814.24028885109442</v>
      </c>
      <c r="CM561" s="134">
        <f t="shared" si="1023"/>
        <v>2.0470177187301247E-2</v>
      </c>
      <c r="CN561" s="135">
        <f t="shared" si="1024"/>
        <v>1.1978530700408186E-2</v>
      </c>
      <c r="CO561" s="135">
        <f t="shared" si="1033"/>
        <v>1.1656016759443723E-2</v>
      </c>
      <c r="CP561" s="134">
        <f>VLOOKUP($H561,RoR!$E:$F,2,FALSE)</f>
        <v>5.5874999999999994E-2</v>
      </c>
      <c r="CQ561" s="135">
        <v>3.0512430354548314E-2</v>
      </c>
      <c r="CR561" s="135">
        <f t="shared" si="1031"/>
        <v>2.536256964545168E-2</v>
      </c>
      <c r="CS561" s="135">
        <f t="shared" si="1034"/>
        <v>1.92459248490899E-2</v>
      </c>
      <c r="CT561" s="135">
        <f t="shared" si="1035"/>
        <v>7.9087823893859641E-2</v>
      </c>
      <c r="CU561" s="139">
        <f t="shared" si="1025"/>
        <v>0.85126000000000002</v>
      </c>
      <c r="CV561" s="335">
        <f t="shared" si="1026"/>
        <v>0.91779957551769631</v>
      </c>
      <c r="CW561" s="335">
        <f t="shared" si="1027"/>
        <v>0.52757270693512304</v>
      </c>
      <c r="CX561" s="335">
        <f t="shared" si="1028"/>
        <v>0.88636824549024895</v>
      </c>
      <c r="CY561" s="335">
        <f t="shared" si="1029"/>
        <v>0.42918482841932087</v>
      </c>
      <c r="CZ561" s="336">
        <f>INDEX('State Tax Lookup'!$D$7:$Z$91,MATCH(Calculation!$C561,'State Tax Lookup'!$B$7:$B$91,0),MATCH($H561,'State Tax Lookup'!$D$6:$Z$6,0))</f>
        <v>0.40200000000000002</v>
      </c>
      <c r="DA561" s="303">
        <v>0.37</v>
      </c>
      <c r="DB561" s="57">
        <f t="shared" si="1032"/>
        <v>12.519689197137286</v>
      </c>
      <c r="DC561" s="56">
        <f t="shared" si="1036"/>
        <v>-3.2350215752040348E-2</v>
      </c>
      <c r="DD561" s="303">
        <f>VLOOKUP($H561,RoR!$E:$F,2,FALSE)</f>
        <v>5.5874999999999994E-2</v>
      </c>
      <c r="DE561" s="304">
        <f>HLOOKUP($H561,'GDP-PI'!$D$8:$CQ$11,3,FALSE)</f>
        <v>3.0512430354548314E-2</v>
      </c>
      <c r="DF561" s="303">
        <f>VLOOKUP(H561,'HW Dx Data'!$E:$F,2,FALSE)</f>
        <v>461.08567272971823</v>
      </c>
      <c r="DG561" s="89">
        <f ca="1">VLOOKUP(CC561,'ECI - Input Price'!M$13:N$33,2,FALSE)</f>
        <v>109.4</v>
      </c>
      <c r="DH561" s="89"/>
      <c r="DI561" s="89"/>
      <c r="DJ561" s="56">
        <f t="shared" ca="1" si="1044"/>
        <v>9.7620891318751846E-2</v>
      </c>
      <c r="DK561" s="53">
        <f>HLOOKUP(H561,'GDP-PI'!$8:$9,2,FALSE)</f>
        <v>90.073999999999998</v>
      </c>
      <c r="DL561" s="355">
        <f t="shared" si="1037"/>
        <v>3.005618372545445E-2</v>
      </c>
      <c r="EC561"/>
    </row>
    <row r="562" spans="1:133" s="126" customFormat="1" ht="21" customHeight="1" x14ac:dyDescent="0.4">
      <c r="A562" s="233" t="s">
        <v>215</v>
      </c>
      <c r="B562" s="127" t="s">
        <v>215</v>
      </c>
      <c r="C562" s="127">
        <v>4061634</v>
      </c>
      <c r="D562" s="127" t="s">
        <v>191</v>
      </c>
      <c r="E562" s="127"/>
      <c r="F562" s="127"/>
      <c r="G562" s="127" t="s">
        <v>163</v>
      </c>
      <c r="H562" s="128">
        <v>2007</v>
      </c>
      <c r="I562" s="129"/>
      <c r="J562" s="125">
        <f>IFERROR(INDEX('Labor Expenditures'!$E$7:$W$91,MATCH($C562,'Labor Expenditures'!$C$7:$C$91,0),MATCH($G562,'Labor Expenditures'!$E$5:$W$5,0)),"NA")</f>
        <v>21279.504651490384</v>
      </c>
      <c r="K562" s="125">
        <f t="shared" ca="1" si="1038"/>
        <v>203.58291941153203</v>
      </c>
      <c r="L562" s="47"/>
      <c r="M562" s="131">
        <f t="shared" ca="1" si="1045"/>
        <v>0.12889347697820269</v>
      </c>
      <c r="N562" s="131"/>
      <c r="O562" s="131"/>
      <c r="P562" s="59">
        <f t="shared" ca="1" si="1047"/>
        <v>1.0584718394626917E-3</v>
      </c>
      <c r="Q562" s="61"/>
      <c r="R562" s="387"/>
      <c r="S562" s="49">
        <f t="shared" ref="S562:S575" ca="1" si="1052">+S561*EXP(T562)</f>
        <v>118.06119014769661</v>
      </c>
      <c r="T562" s="61">
        <f ca="1">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</f>
        <v>9.020695863434891E-2</v>
      </c>
      <c r="U562" s="61"/>
      <c r="V562" s="125">
        <f>IFERROR(INDEX('Non-Labor Expenditures'!$E$7:$AA$91,MATCH($C562,'Non-Labor Expenditures'!$C$7:$C$91,0),MATCH($G562,'Non-Labor Expenditures'!$E$5:$AA$5,0)),"NA")</f>
        <v>30816.697198591519</v>
      </c>
      <c r="W562" s="125">
        <f t="shared" si="1039"/>
        <v>333.16068670232346</v>
      </c>
      <c r="X562" s="131">
        <f t="shared" si="1048"/>
        <v>5.6753396282912566E-2</v>
      </c>
      <c r="Y562" s="131">
        <f t="shared" si="1049"/>
        <v>4.6605827670773722E-4</v>
      </c>
      <c r="Z562" s="131"/>
      <c r="AA562" s="131"/>
      <c r="AB562" s="131"/>
      <c r="AC562" s="125">
        <f t="shared" si="1019"/>
        <v>10851.696714409909</v>
      </c>
      <c r="AD562" s="129"/>
      <c r="AE562" s="133">
        <v>864.81660835471587</v>
      </c>
      <c r="AF562" s="134">
        <v>1.6946014628831482E-2</v>
      </c>
      <c r="AG562" s="59">
        <f t="shared" si="1040"/>
        <v>1.3916048892663718E-4</v>
      </c>
      <c r="AH562" s="134"/>
      <c r="AI562" s="134"/>
      <c r="AJ562" s="129">
        <f t="shared" si="1015"/>
        <v>62947.898564491814</v>
      </c>
      <c r="AK562" s="134">
        <f t="shared" si="1050"/>
        <v>8.3253688206950685E-2</v>
      </c>
      <c r="AL562" s="129"/>
      <c r="AM562" s="129"/>
      <c r="AN562" s="129"/>
      <c r="AO562" s="129"/>
      <c r="AP562" s="133">
        <f t="shared" si="1051"/>
        <v>287.45826608012482</v>
      </c>
      <c r="AQ562" s="134">
        <f>+BB562/Outputs!$B$15</f>
        <v>6.2665281500699863E-3</v>
      </c>
      <c r="AR562" s="93">
        <f t="shared" si="1041"/>
        <v>0.3380494843634686</v>
      </c>
      <c r="AS562" s="93">
        <f t="shared" si="1042"/>
        <v>0.48955879229262889</v>
      </c>
      <c r="AT562" s="93">
        <f t="shared" si="1043"/>
        <v>0.17239172334390249</v>
      </c>
      <c r="AU562" s="93">
        <f t="shared" ca="1" si="1046"/>
        <v>7.4276268610947188E-2</v>
      </c>
      <c r="AV562" s="132">
        <f ca="1">+AV561*EXP(AU562)</f>
        <v>106.82146520341045</v>
      </c>
      <c r="AW562" s="134">
        <f ca="1">LN(AV562/AV561)</f>
        <v>7.427626861094716E-2</v>
      </c>
      <c r="AX562" s="56">
        <f>+AJ562/$AL$12</f>
        <v>8.2119891888841733E-3</v>
      </c>
      <c r="AY562" s="135">
        <f t="shared" ref="AY562:AY576" ca="1" si="1053">+AX562*AW562</f>
        <v>6.0995591482375497E-4</v>
      </c>
      <c r="AZ562" s="93"/>
      <c r="BA562" s="93"/>
      <c r="BB562" s="234">
        <f>IFERROR(INDEX('Total Customers'!$E$7:$AA$91,MATCH($C562,'Total Customers'!$C$7:$C$91,0),MATCH($G562,'Total Customers'!$E$5:$AA$5,0)),"NA")</f>
        <v>218981</v>
      </c>
      <c r="BC562" s="411">
        <f t="shared" si="973"/>
        <v>-1.3232848767039252E-2</v>
      </c>
      <c r="BD562" s="92"/>
      <c r="BE562" s="281" t="str">
        <f t="shared" si="969"/>
        <v>MOUNTAINEER GAS COMPANY</v>
      </c>
      <c r="BF562" s="290">
        <f t="shared" si="970"/>
        <v>4061634</v>
      </c>
      <c r="BG562" s="46" t="str">
        <f t="shared" si="971"/>
        <v>WV</v>
      </c>
      <c r="BH562" s="46"/>
      <c r="BI562" s="46" t="str">
        <f t="shared" si="972"/>
        <v>2007 Y</v>
      </c>
      <c r="BJ562" s="129"/>
      <c r="BK562" s="129"/>
      <c r="BL562" s="129">
        <f>INDEX('Dist. Plant Gas Additions'!$E$7:$AD$91,MATCH($C562,'Dist. Plant Gas Additions'!$C$7:$C$91,0),MATCH(Calculation!$G562,'Dist. Plant Gas Additions'!$E$5:$AD$5,0))</f>
        <v>9453</v>
      </c>
      <c r="BM562" s="129">
        <f>INDEX('Gen. Plant Additions'!$E$7:$AD$91,MATCH($C562,'Gen. Plant Additions'!$C$7:$C$91,0),MATCH(Calculation!$G562,'Gen. Plant Additions'!$E$5:$AD$5,0))</f>
        <v>507</v>
      </c>
      <c r="BN562" s="393">
        <f t="shared" si="1020"/>
        <v>0.94334184498623319</v>
      </c>
      <c r="BO562" s="46">
        <f t="shared" si="930"/>
        <v>478.27431540802024</v>
      </c>
      <c r="BP562" s="46">
        <f t="shared" si="931"/>
        <v>-28.725684591979757</v>
      </c>
      <c r="BQ562" s="129"/>
      <c r="BR562" s="129"/>
      <c r="BS562" s="129"/>
      <c r="BT562" s="129"/>
      <c r="BU562" s="129"/>
      <c r="BV562" s="129"/>
      <c r="BW562" s="129"/>
      <c r="BX562" s="129"/>
      <c r="BY562" s="129">
        <f>INDEX('Gross Dx Plant'!$D$7:$AC$91,MATCH($C562,'Gross Dx Plant'!$C$7:$C$91,0),MATCH(Calculation!$G562,'Gross Dx Plant'!$D$5:$AC$5,0))</f>
        <v>358718</v>
      </c>
      <c r="BZ562" s="129">
        <f>INDEX('Gross Gen Plant'!$D$7:$AC$91,MATCH($C562,'Gross Gen Plant'!$C$7:$C$91,0),MATCH(Calculation!$G562,'Gross Gen Plant'!$D$5:$AC$5,0))</f>
        <v>21545</v>
      </c>
      <c r="CA562" s="129">
        <f t="shared" si="960"/>
        <v>380263</v>
      </c>
      <c r="CB562" s="129"/>
      <c r="CC562" s="133">
        <v>2007</v>
      </c>
      <c r="CD562" s="129"/>
      <c r="CE562" s="129"/>
      <c r="CF562" s="129"/>
      <c r="CG562" s="137"/>
      <c r="CH562" s="129">
        <f t="shared" si="1021"/>
        <v>9960</v>
      </c>
      <c r="CI562" s="46">
        <f t="shared" si="1030"/>
        <v>9931.2743154080199</v>
      </c>
      <c r="CJ562" s="46">
        <f t="shared" si="1022"/>
        <v>19.941424323307082</v>
      </c>
      <c r="CK562" s="443">
        <v>0.90322580645161288</v>
      </c>
      <c r="CL562" s="46">
        <f>+CL553*CK562+CJ554*CK561+CJ555*CK560+CJ556*CK559+CJ557*CK558+CJ558*CK557+CJ559*CK556+CJ560*CK555+CJ561*CK554+CJ562</f>
        <v>824.16426801621378</v>
      </c>
      <c r="CM562" s="134">
        <f t="shared" si="1023"/>
        <v>1.2114346839845502E-2</v>
      </c>
      <c r="CN562" s="135">
        <f t="shared" si="1024"/>
        <v>1.2302811952872644E-2</v>
      </c>
      <c r="CO562" s="135">
        <f t="shared" si="1033"/>
        <v>1.1973258254944504E-2</v>
      </c>
      <c r="CP562" s="134">
        <f>VLOOKUP($H562,RoR!$E:$F,2,FALSE)</f>
        <v>5.5558333333333321E-2</v>
      </c>
      <c r="CQ562" s="135">
        <v>2.691120634145272E-2</v>
      </c>
      <c r="CR562" s="135">
        <f t="shared" si="1031"/>
        <v>2.86471269918806E-2</v>
      </c>
      <c r="CS562" s="135">
        <f t="shared" si="1034"/>
        <v>1.8928683353589121E-2</v>
      </c>
      <c r="CT562" s="135">
        <f t="shared" si="1035"/>
        <v>6.4575155250632399E-2</v>
      </c>
      <c r="CU562" s="139">
        <f t="shared" si="1025"/>
        <v>0.85126000000000002</v>
      </c>
      <c r="CV562" s="335">
        <f t="shared" si="1026"/>
        <v>0.92303077153834634</v>
      </c>
      <c r="CW562" s="335">
        <f t="shared" si="1027"/>
        <v>0.52502249887505614</v>
      </c>
      <c r="CX562" s="335">
        <f t="shared" si="1028"/>
        <v>0.88499666072084604</v>
      </c>
      <c r="CY562" s="335">
        <f t="shared" si="1029"/>
        <v>0.42887993290280618</v>
      </c>
      <c r="CZ562" s="336">
        <f>INDEX('State Tax Lookup'!$D$7:$Z$91,MATCH(Calculation!$C562,'State Tax Lookup'!$B$7:$B$91,0),MATCH($H562,'State Tax Lookup'!$D$6:$Z$6,0))</f>
        <v>0.40200000000000002</v>
      </c>
      <c r="DA562" s="303">
        <v>0.37</v>
      </c>
      <c r="DB562" s="57">
        <f t="shared" si="1032"/>
        <v>13.327388564525368</v>
      </c>
      <c r="DC562" s="56">
        <f t="shared" si="1036"/>
        <v>6.2518667507130934E-2</v>
      </c>
      <c r="DD562" s="303">
        <f>VLOOKUP($H562,RoR!$E:$F,2,FALSE)</f>
        <v>5.5558333333333321E-2</v>
      </c>
      <c r="DE562" s="304">
        <f>HLOOKUP($H562,'GDP-PI'!$D$8:$CQ$11,3,FALSE)</f>
        <v>2.691120634145272E-2</v>
      </c>
      <c r="DF562" s="303">
        <f>VLOOKUP(H562,'HW Dx Data'!$E:$F,2,FALSE)</f>
        <v>498.0223154772637</v>
      </c>
      <c r="DG562" s="89">
        <f ca="1">VLOOKUP(CC562,'ECI - Input Price'!M$13:N$33,2,FALSE)</f>
        <v>104.52499999999999</v>
      </c>
      <c r="DH562" s="89"/>
      <c r="DI562" s="89"/>
      <c r="DJ562" s="56">
        <f t="shared" ca="1" si="1044"/>
        <v>-4.5584612745252218E-2</v>
      </c>
      <c r="DK562" s="53">
        <f>HLOOKUP(H562,'GDP-PI'!$8:$9,2,FALSE)</f>
        <v>92.498000000000005</v>
      </c>
      <c r="DL562" s="355">
        <f t="shared" si="1037"/>
        <v>2.6555467950038037E-2</v>
      </c>
      <c r="EC562"/>
    </row>
    <row r="563" spans="1:133" s="126" customFormat="1" ht="21" customHeight="1" x14ac:dyDescent="0.4">
      <c r="A563" s="233" t="s">
        <v>215</v>
      </c>
      <c r="B563" s="127" t="s">
        <v>215</v>
      </c>
      <c r="C563" s="127">
        <v>4061634</v>
      </c>
      <c r="D563" s="127" t="s">
        <v>191</v>
      </c>
      <c r="E563" s="127"/>
      <c r="F563" s="127"/>
      <c r="G563" s="127" t="s">
        <v>164</v>
      </c>
      <c r="H563" s="128">
        <v>2008</v>
      </c>
      <c r="I563" s="129"/>
      <c r="J563" s="125">
        <f>IFERROR(INDEX('Labor Expenditures'!$E$7:$W$91,MATCH($C563,'Labor Expenditures'!$C$7:$C$91,0),MATCH($G563,'Labor Expenditures'!$E$5:$W$5,0)),"NA")</f>
        <v>21696.453749073775</v>
      </c>
      <c r="K563" s="125">
        <f t="shared" ca="1" si="1038"/>
        <v>201.07927478288946</v>
      </c>
      <c r="L563" s="47"/>
      <c r="M563" s="131">
        <f t="shared" ca="1" si="1045"/>
        <v>-1.2374156078484938E-2</v>
      </c>
      <c r="N563" s="131"/>
      <c r="O563" s="131"/>
      <c r="P563" s="59">
        <f t="shared" ca="1" si="1047"/>
        <v>-1.0013622439816993E-4</v>
      </c>
      <c r="Q563" s="61"/>
      <c r="R563" s="387"/>
      <c r="S563" s="49">
        <f t="shared" ca="1" si="1052"/>
        <v>109.7510881707082</v>
      </c>
      <c r="T563" s="61">
        <f ca="1">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</f>
        <v>-7.2988083732102874E-2</v>
      </c>
      <c r="U563" s="61"/>
      <c r="V563" s="125">
        <f>IFERROR(INDEX('Non-Labor Expenditures'!$E$7:$AA$91,MATCH($C563,'Non-Labor Expenditures'!$C$7:$C$91,0),MATCH($G563,'Non-Labor Expenditures'!$E$5:$AA$5,0)),"NA")</f>
        <v>31420.517367241609</v>
      </c>
      <c r="W563" s="125">
        <f t="shared" si="1039"/>
        <v>333.32467715396768</v>
      </c>
      <c r="X563" s="131">
        <f t="shared" si="1048"/>
        <v>4.9210519494328239E-4</v>
      </c>
      <c r="Y563" s="131">
        <f t="shared" si="1049"/>
        <v>3.9822963211224594E-6</v>
      </c>
      <c r="Z563" s="131"/>
      <c r="AA563" s="131"/>
      <c r="AB563" s="131"/>
      <c r="AC563" s="125">
        <f t="shared" si="1019"/>
        <v>12347.819261538469</v>
      </c>
      <c r="AD563" s="129"/>
      <c r="AE563" s="133">
        <v>887.0103420664235</v>
      </c>
      <c r="AF563" s="134">
        <v>2.5339170851894393E-2</v>
      </c>
      <c r="AG563" s="59">
        <f t="shared" si="1040"/>
        <v>2.0505389477837692E-4</v>
      </c>
      <c r="AH563" s="134"/>
      <c r="AI563" s="134"/>
      <c r="AJ563" s="129">
        <f t="shared" si="1015"/>
        <v>65464.790377853853</v>
      </c>
      <c r="AK563" s="134">
        <f t="shared" si="1050"/>
        <v>3.9205069305633007E-2</v>
      </c>
      <c r="AL563" s="129"/>
      <c r="AM563" s="129"/>
      <c r="AN563" s="129"/>
      <c r="AO563" s="129"/>
      <c r="AP563" s="133">
        <f t="shared" si="1051"/>
        <v>297.97898176504742</v>
      </c>
      <c r="AQ563" s="134">
        <f>+BB563/Outputs!$B$16</f>
        <v>6.2533752688082363E-3</v>
      </c>
      <c r="AR563" s="93">
        <f t="shared" si="1041"/>
        <v>0.33142172492793148</v>
      </c>
      <c r="AS563" s="93">
        <f t="shared" si="1042"/>
        <v>0.47996055873526305</v>
      </c>
      <c r="AT563" s="93">
        <f t="shared" si="1043"/>
        <v>0.18861771633680544</v>
      </c>
      <c r="AU563" s="93">
        <f t="shared" ca="1" si="1046"/>
        <v>6.703220733155729E-4</v>
      </c>
      <c r="AV563" s="132">
        <f t="shared" ref="AV563:AV576" ca="1" si="1054">+AV562*EXP(AU563)</f>
        <v>106.8930939939378</v>
      </c>
      <c r="AW563" s="134">
        <f t="shared" ref="AW563:AW576" ca="1" si="1055">LN(AV563/AV562)</f>
        <v>6.7032207331550991E-4</v>
      </c>
      <c r="AX563" s="56">
        <f>+AJ563/$AL$13</f>
        <v>8.0923679775041571E-3</v>
      </c>
      <c r="AY563" s="135">
        <f t="shared" ca="1" si="1053"/>
        <v>5.4244928807126265E-6</v>
      </c>
      <c r="AZ563" s="93"/>
      <c r="BA563" s="93"/>
      <c r="BB563" s="234">
        <f>IFERROR(INDEX('Total Customers'!$E$7:$AA$91,MATCH($C563,'Total Customers'!$C$7:$C$91,0),MATCH($G563,'Total Customers'!$E$5:$AA$5,0)),"NA")</f>
        <v>219696</v>
      </c>
      <c r="BC563" s="411">
        <f t="shared" si="973"/>
        <v>3.2598045174548462E-3</v>
      </c>
      <c r="BD563" s="92"/>
      <c r="BE563" s="281" t="str">
        <f t="shared" si="969"/>
        <v>MOUNTAINEER GAS COMPANY</v>
      </c>
      <c r="BF563" s="290">
        <f t="shared" si="970"/>
        <v>4061634</v>
      </c>
      <c r="BG563" s="46" t="str">
        <f t="shared" si="971"/>
        <v>WV</v>
      </c>
      <c r="BH563" s="46"/>
      <c r="BI563" s="46" t="str">
        <f t="shared" si="972"/>
        <v>2008 Y</v>
      </c>
      <c r="BJ563" s="129"/>
      <c r="BK563" s="129"/>
      <c r="BL563" s="129">
        <f>INDEX('Dist. Plant Gas Additions'!$E$7:$AD$91,MATCH($C563,'Dist. Plant Gas Additions'!$C$7:$C$91,0),MATCH(Calculation!$G563,'Dist. Plant Gas Additions'!$E$5:$AD$5,0))</f>
        <v>15381</v>
      </c>
      <c r="BM563" s="129">
        <f>INDEX('Gen. Plant Additions'!$E$7:$AD$91,MATCH($C563,'Gen. Plant Additions'!$C$7:$C$91,0),MATCH(Calculation!$G563,'Gen. Plant Additions'!$E$5:$AD$5,0))</f>
        <v>545</v>
      </c>
      <c r="BN563" s="393">
        <f t="shared" si="1020"/>
        <v>0.94593723294835252</v>
      </c>
      <c r="BO563" s="46">
        <f t="shared" si="930"/>
        <v>515.53579195685211</v>
      </c>
      <c r="BP563" s="46">
        <f t="shared" si="931"/>
        <v>-29.464208043147892</v>
      </c>
      <c r="BQ563" s="129">
        <f>INDEX('Dist Plant Depreciation'!$D$7:$AC$94,MATCH($C563,'Dist Plant Depreciation'!$C$7:$C$94,0),MATCH(Calculation!$G563,'Dist Plant Depreciation'!$D$5:$AC$5,0))</f>
        <v>191857</v>
      </c>
      <c r="BR563" s="129">
        <f>INDEX('Gen. Plant Depreciation'!$D$7:$AC$94,MATCH($C563,'Gen. Plant Depreciation'!$C$7:$C$94,0),MATCH(Calculation!$G563,'Gen. Plant Depreciation'!$D$5:$AC$5,0))</f>
        <v>20162</v>
      </c>
      <c r="BS563" s="129"/>
      <c r="BT563" s="129"/>
      <c r="BU563" s="129"/>
      <c r="BV563" s="129"/>
      <c r="BW563" s="129"/>
      <c r="BX563" s="129"/>
      <c r="BY563" s="129">
        <f>INDEX('Gross Dx Plant'!$D$7:$AC$91,MATCH($C563,'Gross Dx Plant'!$C$7:$C$91,0),MATCH(Calculation!$G563,'Gross Dx Plant'!$D$5:$AC$5,0))</f>
        <v>369712</v>
      </c>
      <c r="BZ563" s="129">
        <f>INDEX('Gross Gen Plant'!$D$7:$AC$91,MATCH($C563,'Gross Gen Plant'!$C$7:$C$91,0),MATCH(Calculation!$G563,'Gross Gen Plant'!$D$5:$AC$5,0))</f>
        <v>21130</v>
      </c>
      <c r="CA563" s="129">
        <f t="shared" si="960"/>
        <v>178823</v>
      </c>
      <c r="CB563" s="129"/>
      <c r="CC563" s="133">
        <v>2008</v>
      </c>
      <c r="CD563" s="129"/>
      <c r="CE563" s="129"/>
      <c r="CF563" s="129"/>
      <c r="CG563" s="137"/>
      <c r="CH563" s="129">
        <f t="shared" si="1021"/>
        <v>15926</v>
      </c>
      <c r="CI563" s="46">
        <f t="shared" si="1030"/>
        <v>15896.535791956852</v>
      </c>
      <c r="CJ563" s="46">
        <f t="shared" si="1022"/>
        <v>27.894472916328141</v>
      </c>
      <c r="CK563" s="443">
        <v>0.89130434782608692</v>
      </c>
      <c r="CL563" s="46">
        <f>+CL553*CK563+CJ554*CK562+CJ555*CK561+CJ556*CK560+CJ557*CK559+CJ558*CK558+CJ559*CK557+CJ560*CK556+CJ561*CK555+CJ562*CK554+CJ563</f>
        <v>841.62840351696855</v>
      </c>
      <c r="CM563" s="134">
        <f t="shared" si="1023"/>
        <v>2.0968726410367018E-2</v>
      </c>
      <c r="CN563" s="135">
        <f t="shared" si="1024"/>
        <v>1.265565351514145E-2</v>
      </c>
      <c r="CO563" s="135">
        <f t="shared" si="1033"/>
        <v>1.2312332056140759E-2</v>
      </c>
      <c r="CP563" s="134">
        <f>VLOOKUP($H563,RoR!$E:$F,2,FALSE)</f>
        <v>5.6316666666666668E-2</v>
      </c>
      <c r="CQ563" s="135">
        <v>1.9092304698479889E-2</v>
      </c>
      <c r="CR563" s="135">
        <f t="shared" si="1031"/>
        <v>3.7224361968186778E-2</v>
      </c>
      <c r="CS563" s="135">
        <f t="shared" si="1034"/>
        <v>1.8589609552392868E-2</v>
      </c>
      <c r="CT563" s="135">
        <f t="shared" si="1035"/>
        <v>6.9030581091053131E-2</v>
      </c>
      <c r="CU563" s="139">
        <f t="shared" si="1025"/>
        <v>0.85126000000000002</v>
      </c>
      <c r="CV563" s="335">
        <f t="shared" si="1026"/>
        <v>0.91060168006009956</v>
      </c>
      <c r="CW563" s="335">
        <f t="shared" si="1027"/>
        <v>0.53108168097070152</v>
      </c>
      <c r="CX563" s="335">
        <f t="shared" si="1028"/>
        <v>0.88825329850328805</v>
      </c>
      <c r="CY563" s="335">
        <f t="shared" si="1029"/>
        <v>0.4295627335323573</v>
      </c>
      <c r="CZ563" s="336">
        <f>INDEX('State Tax Lookup'!$D$7:$Z$91,MATCH(Calculation!$C563,'State Tax Lookup'!$B$7:$B$91,0),MATCH($H563,'State Tax Lookup'!$D$6:$Z$6,0))</f>
        <v>0.40200000000000002</v>
      </c>
      <c r="DA563" s="303">
        <v>0.37</v>
      </c>
      <c r="DB563" s="57">
        <f t="shared" si="1032"/>
        <v>14.982230776954225</v>
      </c>
      <c r="DC563" s="56">
        <f t="shared" si="1036"/>
        <v>0.11704367566052729</v>
      </c>
      <c r="DD563" s="303">
        <f>VLOOKUP($H563,RoR!$E:$F,2,FALSE)</f>
        <v>5.6316666666666668E-2</v>
      </c>
      <c r="DE563" s="304">
        <f>HLOOKUP($H563,'GDP-PI'!$D$8:$CQ$11,3,FALSE)</f>
        <v>1.9092304698479889E-2</v>
      </c>
      <c r="DF563" s="303">
        <f>VLOOKUP(H563,'HW Dx Data'!$E:$F,2,FALSE)</f>
        <v>569.88120333515076</v>
      </c>
      <c r="DG563" s="89">
        <f ca="1">VLOOKUP(CC563,'ECI - Input Price'!M$13:N$33,2,FALSE)</f>
        <v>107.9</v>
      </c>
      <c r="DH563" s="89"/>
      <c r="DI563" s="89"/>
      <c r="DJ563" s="56">
        <f t="shared" ca="1" si="1044"/>
        <v>3.1778595021460486E-2</v>
      </c>
      <c r="DK563" s="53">
        <f>HLOOKUP(H563,'GDP-PI'!$8:$9,2,FALSE)</f>
        <v>94.263999999999996</v>
      </c>
      <c r="DL563" s="355">
        <f t="shared" si="1037"/>
        <v>1.8912333748032254E-2</v>
      </c>
      <c r="EC563"/>
    </row>
    <row r="564" spans="1:133" s="126" customFormat="1" ht="21" customHeight="1" x14ac:dyDescent="0.4">
      <c r="A564" s="233" t="s">
        <v>215</v>
      </c>
      <c r="B564" s="127" t="s">
        <v>215</v>
      </c>
      <c r="C564" s="127">
        <v>4061634</v>
      </c>
      <c r="D564" s="127" t="s">
        <v>191</v>
      </c>
      <c r="E564" s="127"/>
      <c r="F564" s="127"/>
      <c r="G564" s="127" t="s">
        <v>165</v>
      </c>
      <c r="H564" s="128">
        <v>2009</v>
      </c>
      <c r="I564" s="129"/>
      <c r="J564" s="125">
        <f>IFERROR(INDEX('Labor Expenditures'!$E$7:$W$91,MATCH($C564,'Labor Expenditures'!$C$7:$C$91,0),MATCH($G564,'Labor Expenditures'!$E$5:$W$5,0)),"NA")</f>
        <v>21723.059065277001</v>
      </c>
      <c r="K564" s="125">
        <f t="shared" ca="1" si="1038"/>
        <v>195.83555614403426</v>
      </c>
      <c r="L564" s="47"/>
      <c r="M564" s="131">
        <f t="shared" ca="1" si="1045"/>
        <v>-2.6423924399495469E-2</v>
      </c>
      <c r="N564" s="131"/>
      <c r="O564" s="131"/>
      <c r="P564" s="59">
        <f t="shared" ca="1" si="1047"/>
        <v>-2.0357657795550129E-4</v>
      </c>
      <c r="Q564" s="61"/>
      <c r="R564" s="387"/>
      <c r="S564" s="49">
        <f t="shared" ca="1" si="1052"/>
        <v>118.10400670245799</v>
      </c>
      <c r="T564" s="61">
        <f ca="1">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</f>
        <v>7.3350682081068402E-2</v>
      </c>
      <c r="U564" s="61"/>
      <c r="V564" s="125">
        <f>IFERROR(INDEX('Non-Labor Expenditures'!$E$7:$AA$91,MATCH($C564,'Non-Labor Expenditures'!$C$7:$C$91,0),MATCH($G564,'Non-Labor Expenditures'!$E$5:$AA$5,0)),"NA")</f>
        <v>31459.046834291501</v>
      </c>
      <c r="W564" s="125">
        <f t="shared" si="1039"/>
        <v>331.15134721724968</v>
      </c>
      <c r="X564" s="131">
        <f t="shared" si="1048"/>
        <v>-6.5415082169209063E-3</v>
      </c>
      <c r="Y564" s="131">
        <f t="shared" si="1049"/>
        <v>-5.0397429137890586E-5</v>
      </c>
      <c r="Z564" s="131"/>
      <c r="AA564" s="131"/>
      <c r="AB564" s="131"/>
      <c r="AC564" s="125">
        <f t="shared" si="1019"/>
        <v>11971.399452184471</v>
      </c>
      <c r="AD564" s="129"/>
      <c r="AE564" s="133">
        <v>903.71622928224258</v>
      </c>
      <c r="AF564" s="134">
        <v>1.8658763609259332E-2</v>
      </c>
      <c r="AG564" s="59">
        <f t="shared" si="1040"/>
        <v>1.4375182077519796E-4</v>
      </c>
      <c r="AH564" s="134"/>
      <c r="AI564" s="134"/>
      <c r="AJ564" s="129">
        <f t="shared" si="1015"/>
        <v>65153.505351752974</v>
      </c>
      <c r="AK564" s="134">
        <f t="shared" si="1050"/>
        <v>-4.7663401773278104E-3</v>
      </c>
      <c r="AL564" s="129"/>
      <c r="AM564" s="129"/>
      <c r="AN564" s="129"/>
      <c r="AO564" s="129"/>
      <c r="AP564" s="133">
        <f t="shared" si="1051"/>
        <v>300.50691544634509</v>
      </c>
      <c r="AQ564" s="134">
        <f>+BB564/Outputs!$B$17</f>
        <v>6.1634187797049399E-3</v>
      </c>
      <c r="AR564" s="93">
        <f t="shared" si="1041"/>
        <v>0.3334135124119233</v>
      </c>
      <c r="AS564" s="93">
        <f t="shared" si="1042"/>
        <v>0.48284503902666975</v>
      </c>
      <c r="AT564" s="93">
        <f t="shared" si="1043"/>
        <v>0.18374144856140695</v>
      </c>
      <c r="AU564" s="93">
        <f t="shared" ca="1" si="1046"/>
        <v>-8.4589975715345586E-3</v>
      </c>
      <c r="AV564" s="132">
        <f t="shared" ca="1" si="1054"/>
        <v>105.99269915923529</v>
      </c>
      <c r="AW564" s="134">
        <f t="shared" ca="1" si="1055"/>
        <v>-8.4589975715345621E-3</v>
      </c>
      <c r="AX564" s="56">
        <f>+AJ564/$AL$14</f>
        <v>7.7042522101443914E-3</v>
      </c>
      <c r="AY564" s="135">
        <f t="shared" ca="1" si="1053"/>
        <v>-6.5170250736101194E-5</v>
      </c>
      <c r="AZ564" s="93"/>
      <c r="BA564" s="93"/>
      <c r="BB564" s="234">
        <f>IFERROR(INDEX('Total Customers'!$E$7:$AA$91,MATCH($C564,'Total Customers'!$C$7:$C$91,0),MATCH($G564,'Total Customers'!$E$5:$AA$5,0)),"NA")</f>
        <v>216812</v>
      </c>
      <c r="BC564" s="411">
        <f t="shared" si="973"/>
        <v>-1.3214153992184629E-2</v>
      </c>
      <c r="BD564" s="92"/>
      <c r="BE564" s="281" t="str">
        <f t="shared" si="969"/>
        <v>MOUNTAINEER GAS COMPANY</v>
      </c>
      <c r="BF564" s="290">
        <f t="shared" si="970"/>
        <v>4061634</v>
      </c>
      <c r="BG564" s="46" t="str">
        <f t="shared" si="971"/>
        <v>WV</v>
      </c>
      <c r="BH564" s="46"/>
      <c r="BI564" s="46" t="str">
        <f t="shared" si="972"/>
        <v>2009 Y</v>
      </c>
      <c r="BJ564" s="129"/>
      <c r="BK564" s="129"/>
      <c r="BL564" s="129">
        <f>INDEX('Dist. Plant Gas Additions'!$E$7:$AD$91,MATCH($C564,'Dist. Plant Gas Additions'!$C$7:$C$91,0),MATCH(Calculation!$G564,'Dist. Plant Gas Additions'!$E$5:$AD$5,0))</f>
        <v>11861</v>
      </c>
      <c r="BM564" s="129">
        <f>INDEX('Gen. Plant Additions'!$E$7:$AD$91,MATCH($C564,'Gen. Plant Additions'!$C$7:$C$91,0),MATCH(Calculation!$G564,'Gen. Plant Additions'!$E$5:$AD$5,0))</f>
        <v>698</v>
      </c>
      <c r="BN564" s="393">
        <f t="shared" si="1020"/>
        <v>0.94663622887936583</v>
      </c>
      <c r="BO564" s="46">
        <f t="shared" si="930"/>
        <v>660.75208775779731</v>
      </c>
      <c r="BP564" s="46">
        <f t="shared" si="931"/>
        <v>-37.247912242202688</v>
      </c>
      <c r="BQ564" s="129">
        <f>INDEX('Dist Plant Depreciation'!$D$7:$AC$94,MATCH($C564,'Dist Plant Depreciation'!$C$7:$C$94,0),MATCH(Calculation!$G564,'Dist Plant Depreciation'!$D$5:$AC$5,0))</f>
        <v>194603</v>
      </c>
      <c r="BR564" s="129">
        <f>INDEX('Gen. Plant Depreciation'!$D$7:$AC$94,MATCH($C564,'Gen. Plant Depreciation'!$C$7:$C$94,0),MATCH(Calculation!$G564,'Gen. Plant Depreciation'!$D$5:$AC$5,0))</f>
        <v>19848</v>
      </c>
      <c r="BS564" s="129"/>
      <c r="BT564" s="129"/>
      <c r="BU564" s="129"/>
      <c r="BV564" s="129"/>
      <c r="BW564" s="129"/>
      <c r="BX564" s="129"/>
      <c r="BY564" s="129">
        <f>INDEX('Gross Dx Plant'!$D$7:$AC$91,MATCH($C564,'Gross Dx Plant'!$C$7:$C$91,0),MATCH(Calculation!$G564,'Gross Dx Plant'!$D$5:$AC$5,0))</f>
        <v>374867</v>
      </c>
      <c r="BZ564" s="129">
        <f>INDEX('Gross Gen Plant'!$D$7:$AC$91,MATCH($C564,'Gross Gen Plant'!$C$7:$C$91,0),MATCH(Calculation!$G564,'Gross Gen Plant'!$D$5:$AC$5,0))</f>
        <v>21132</v>
      </c>
      <c r="CA564" s="129">
        <f t="shared" si="960"/>
        <v>181548</v>
      </c>
      <c r="CB564" s="129"/>
      <c r="CC564" s="133">
        <v>2009</v>
      </c>
      <c r="CD564" s="129"/>
      <c r="CE564" s="129"/>
      <c r="CF564" s="129"/>
      <c r="CG564" s="137"/>
      <c r="CH564" s="129">
        <f t="shared" si="1021"/>
        <v>12559</v>
      </c>
      <c r="CI564" s="46">
        <f t="shared" si="1030"/>
        <v>12521.752087757797</v>
      </c>
      <c r="CJ564" s="46">
        <f t="shared" si="1022"/>
        <v>22.727951527694636</v>
      </c>
      <c r="CK564" s="443">
        <v>0.87912087912087911</v>
      </c>
      <c r="CL564" s="46">
        <f>+CL553*CK564+CJ554*CK563+CJ555*CK562+CJ556*CK561+CJ557*CK560+CJ558*CK559+CJ559*CK558+CJ560*CK557+CJ561*CK556+CJ562*CK555+CJ563*CK554+CJ564</f>
        <v>853.42340373585967</v>
      </c>
      <c r="CM564" s="134">
        <f t="shared" si="1023"/>
        <v>1.3917203648315266E-2</v>
      </c>
      <c r="CN564" s="135">
        <f t="shared" si="1024"/>
        <v>1.2990235670656155E-2</v>
      </c>
      <c r="CO564" s="135">
        <f t="shared" si="1033"/>
        <v>1.2649567046223416E-2</v>
      </c>
      <c r="CP564" s="134">
        <f>VLOOKUP($H564,RoR!$E:$F,2,FALSE)</f>
        <v>5.3133333333333324E-2</v>
      </c>
      <c r="CQ564" s="135">
        <v>7.7972502758210105E-3</v>
      </c>
      <c r="CR564" s="135">
        <f t="shared" si="1031"/>
        <v>4.5336083057512314E-2</v>
      </c>
      <c r="CS564" s="135">
        <f t="shared" si="1034"/>
        <v>1.8252374562310207E-2</v>
      </c>
      <c r="CT564" s="135">
        <f t="shared" si="1035"/>
        <v>6.3720160300892073E-2</v>
      </c>
      <c r="CU564" s="139">
        <f t="shared" si="1025"/>
        <v>0.85126000000000002</v>
      </c>
      <c r="CV564" s="335">
        <f t="shared" si="1026"/>
        <v>0.96515780330083989</v>
      </c>
      <c r="CW564" s="335">
        <f t="shared" si="1027"/>
        <v>0.50448557089084056</v>
      </c>
      <c r="CX564" s="335">
        <f t="shared" si="1028"/>
        <v>0.87391435735465484</v>
      </c>
      <c r="CY564" s="335">
        <f t="shared" si="1029"/>
        <v>0.42551605393279146</v>
      </c>
      <c r="CZ564" s="336">
        <f>INDEX('State Tax Lookup'!$D$7:$Z$91,MATCH(Calculation!$C564,'State Tax Lookup'!$B$7:$B$91,0),MATCH($H564,'State Tax Lookup'!$D$6:$Z$6,0))</f>
        <v>0.40200000000000002</v>
      </c>
      <c r="DA564" s="303">
        <v>0.37</v>
      </c>
      <c r="DB564" s="57">
        <f t="shared" si="1032"/>
        <v>14.224091537498959</v>
      </c>
      <c r="DC564" s="56">
        <f t="shared" si="1036"/>
        <v>-5.1927769844867126E-2</v>
      </c>
      <c r="DD564" s="303">
        <f>VLOOKUP($H564,RoR!$E:$F,2,FALSE)</f>
        <v>5.3133333333333324E-2</v>
      </c>
      <c r="DE564" s="304">
        <f>HLOOKUP($H564,'GDP-PI'!$D$8:$CQ$11,3,FALSE)</f>
        <v>7.7972502758210105E-3</v>
      </c>
      <c r="DF564" s="303">
        <f>VLOOKUP(H564,'HW Dx Data'!$E:$F,2,FALSE)</f>
        <v>550.94063679692806</v>
      </c>
      <c r="DG564" s="89">
        <f ca="1">VLOOKUP(CC564,'ECI - Input Price'!M$13:N$33,2,FALSE)</f>
        <v>110.925</v>
      </c>
      <c r="DH564" s="89"/>
      <c r="DI564" s="89"/>
      <c r="DJ564" s="56">
        <f t="shared" ca="1" si="1044"/>
        <v>2.7649425000884052E-2</v>
      </c>
      <c r="DK564" s="53">
        <f>HLOOKUP(H564,'GDP-PI'!$8:$9,2,FALSE)</f>
        <v>94.998999999999995</v>
      </c>
      <c r="DL564" s="355">
        <f t="shared" si="1037"/>
        <v>7.7670088183096342E-3</v>
      </c>
      <c r="EC564"/>
    </row>
    <row r="565" spans="1:133" s="126" customFormat="1" ht="21" customHeight="1" x14ac:dyDescent="0.4">
      <c r="A565" s="233" t="s">
        <v>215</v>
      </c>
      <c r="B565" s="127" t="s">
        <v>215</v>
      </c>
      <c r="C565" s="127">
        <v>4061634</v>
      </c>
      <c r="D565" s="127" t="s">
        <v>191</v>
      </c>
      <c r="E565" s="127"/>
      <c r="F565" s="127"/>
      <c r="G565" s="127" t="s">
        <v>166</v>
      </c>
      <c r="H565" s="128">
        <v>2010</v>
      </c>
      <c r="I565" s="129"/>
      <c r="J565" s="125">
        <f>IFERROR(INDEX('Labor Expenditures'!$E$7:$W$91,MATCH($C565,'Labor Expenditures'!$C$7:$C$91,0),MATCH($G565,'Labor Expenditures'!$E$5:$W$5,0)),"NA")</f>
        <v>22388.331472164828</v>
      </c>
      <c r="K565" s="125">
        <f t="shared" ca="1" si="1038"/>
        <v>191.47600147243813</v>
      </c>
      <c r="L565" s="47"/>
      <c r="M565" s="131">
        <f t="shared" ca="1" si="1045"/>
        <v>-2.2512825722642456E-2</v>
      </c>
      <c r="N565" s="131"/>
      <c r="O565" s="131"/>
      <c r="P565" s="59">
        <f t="shared" ca="1" si="1047"/>
        <v>-1.733535156666965E-4</v>
      </c>
      <c r="Q565" s="61"/>
      <c r="R565" s="387"/>
      <c r="S565" s="49">
        <f t="shared" ca="1" si="1052"/>
        <v>97.451530204353517</v>
      </c>
      <c r="T565" s="61">
        <f ca="1">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</f>
        <v>-0.1922105206958043</v>
      </c>
      <c r="U565" s="61"/>
      <c r="V565" s="125">
        <f>IFERROR(INDEX('Non-Labor Expenditures'!$E$7:$AA$91,MATCH($C565,'Non-Labor Expenditures'!$C$7:$C$91,0),MATCH($G565,'Non-Labor Expenditures'!$E$5:$AA$5,0)),"NA")</f>
        <v>32422.485535210908</v>
      </c>
      <c r="W565" s="125">
        <f t="shared" si="1039"/>
        <v>337.35119016128471</v>
      </c>
      <c r="X565" s="131">
        <f t="shared" si="1048"/>
        <v>1.8548981817183934E-2</v>
      </c>
      <c r="Y565" s="131">
        <f t="shared" si="1049"/>
        <v>1.4283107992136309E-4</v>
      </c>
      <c r="Z565" s="131"/>
      <c r="AA565" s="131"/>
      <c r="AB565" s="131"/>
      <c r="AC565" s="125">
        <f t="shared" si="1019"/>
        <v>12316.144377924935</v>
      </c>
      <c r="AD565" s="129"/>
      <c r="AE565" s="133">
        <v>924.79289997223736</v>
      </c>
      <c r="AF565" s="134">
        <v>2.3054415070736196E-2</v>
      </c>
      <c r="AG565" s="59">
        <f t="shared" si="1040"/>
        <v>1.7752386810029869E-4</v>
      </c>
      <c r="AH565" s="134"/>
      <c r="AI565" s="134"/>
      <c r="AJ565" s="129">
        <f t="shared" si="1015"/>
        <v>67126.961385300674</v>
      </c>
      <c r="AK565" s="134">
        <f t="shared" si="1050"/>
        <v>2.9839665846748908E-2</v>
      </c>
      <c r="AL565" s="129"/>
      <c r="AM565" s="129"/>
      <c r="AN565" s="129"/>
      <c r="AO565" s="129"/>
      <c r="AP565" s="133">
        <f t="shared" si="1051"/>
        <v>308.65808987171545</v>
      </c>
      <c r="AQ565" s="134">
        <f>+BB565/Outputs!$B$18</f>
        <v>6.1485818313534585E-3</v>
      </c>
      <c r="AR565" s="93">
        <f t="shared" si="1041"/>
        <v>0.33352219451225418</v>
      </c>
      <c r="AS565" s="93">
        <f t="shared" si="1042"/>
        <v>0.48300243100696522</v>
      </c>
      <c r="AT565" s="93">
        <f t="shared" si="1043"/>
        <v>0.18347537448078052</v>
      </c>
      <c r="AU565" s="93">
        <f t="shared" ca="1" si="1046"/>
        <v>5.6834244405036607E-3</v>
      </c>
      <c r="AV565" s="132">
        <f t="shared" ca="1" si="1054"/>
        <v>106.5968157555202</v>
      </c>
      <c r="AW565" s="134">
        <f t="shared" ca="1" si="1055"/>
        <v>5.6834244405035827E-3</v>
      </c>
      <c r="AX565" s="56">
        <f>+AJ565/$AL$15</f>
        <v>7.7002113285292656E-3</v>
      </c>
      <c r="AY565" s="135">
        <f t="shared" ca="1" si="1053"/>
        <v>4.3763569261605791E-5</v>
      </c>
      <c r="AZ565" s="93"/>
      <c r="BA565" s="93"/>
      <c r="BB565" s="234">
        <f>IFERROR(INDEX('Total Customers'!$E$7:$AA$91,MATCH($C565,'Total Customers'!$C$7:$C$91,0),MATCH($G565,'Total Customers'!$E$5:$AA$5,0)),"NA")</f>
        <v>217480</v>
      </c>
      <c r="BC565" s="411">
        <f t="shared" si="973"/>
        <v>3.0762736905086386E-3</v>
      </c>
      <c r="BD565" s="92"/>
      <c r="BE565" s="281" t="str">
        <f t="shared" si="969"/>
        <v>MOUNTAINEER GAS COMPANY</v>
      </c>
      <c r="BF565" s="290">
        <f t="shared" si="970"/>
        <v>4061634</v>
      </c>
      <c r="BG565" s="46" t="str">
        <f t="shared" si="971"/>
        <v>WV</v>
      </c>
      <c r="BH565" s="46"/>
      <c r="BI565" s="46" t="str">
        <f t="shared" si="972"/>
        <v>2010 Y</v>
      </c>
      <c r="BJ565" s="129"/>
      <c r="BK565" s="129"/>
      <c r="BL565" s="129">
        <f>INDEX('Dist. Plant Gas Additions'!$E$7:$AD$91,MATCH($C565,'Dist. Plant Gas Additions'!$C$7:$C$91,0),MATCH(Calculation!$G565,'Dist. Plant Gas Additions'!$E$5:$AD$5,0))</f>
        <v>11418</v>
      </c>
      <c r="BM565" s="129">
        <f>INDEX('Gen. Plant Additions'!$E$7:$AD$91,MATCH($C565,'Gen. Plant Additions'!$C$7:$C$91,0),MATCH(Calculation!$G565,'Gen. Plant Additions'!$E$5:$AD$5,0))</f>
        <v>4225</v>
      </c>
      <c r="BN565" s="393">
        <f t="shared" si="1020"/>
        <v>0.93684099002891874</v>
      </c>
      <c r="BO565" s="46">
        <f t="shared" si="930"/>
        <v>3958.1531828721818</v>
      </c>
      <c r="BP565" s="46">
        <f t="shared" si="931"/>
        <v>-266.84681712781821</v>
      </c>
      <c r="BQ565" s="129">
        <f>INDEX('Dist Plant Depreciation'!$D$7:$AC$94,MATCH($C565,'Dist Plant Depreciation'!$C$7:$C$94,0),MATCH(Calculation!$G565,'Dist Plant Depreciation'!$D$5:$AC$5,0))</f>
        <v>201782</v>
      </c>
      <c r="BR565" s="129">
        <f>INDEX('Gen. Plant Depreciation'!$D$7:$AC$94,MATCH($C565,'Gen. Plant Depreciation'!$C$7:$C$94,0),MATCH(Calculation!$G565,'Gen. Plant Depreciation'!$D$5:$AC$5,0))</f>
        <v>20724</v>
      </c>
      <c r="BS565" s="129"/>
      <c r="BT565" s="129"/>
      <c r="BU565" s="129"/>
      <c r="BV565" s="129"/>
      <c r="BW565" s="129"/>
      <c r="BX565" s="129"/>
      <c r="BY565" s="129">
        <f>INDEX('Gross Dx Plant'!$D$7:$AC$91,MATCH($C565,'Gross Dx Plant'!$C$7:$C$91,0),MATCH(Calculation!$G565,'Gross Dx Plant'!$D$5:$AC$5,0))</f>
        <v>389071</v>
      </c>
      <c r="BZ565" s="129">
        <f>INDEX('Gross Gen Plant'!$D$7:$AC$91,MATCH($C565,'Gross Gen Plant'!$C$7:$C$91,0),MATCH(Calculation!$G565,'Gross Gen Plant'!$D$5:$AC$5,0))</f>
        <v>26230</v>
      </c>
      <c r="CA565" s="129">
        <f t="shared" si="960"/>
        <v>192795</v>
      </c>
      <c r="CB565" s="129"/>
      <c r="CC565" s="133">
        <v>2010</v>
      </c>
      <c r="CD565" s="129"/>
      <c r="CE565" s="129"/>
      <c r="CF565" s="129"/>
      <c r="CG565" s="137"/>
      <c r="CH565" s="129">
        <f t="shared" si="1021"/>
        <v>15643</v>
      </c>
      <c r="CI565" s="46">
        <f t="shared" si="1030"/>
        <v>15376.153182872182</v>
      </c>
      <c r="CJ565" s="46">
        <f t="shared" si="1022"/>
        <v>27.023614867774732</v>
      </c>
      <c r="CK565" s="443">
        <v>0.8666666666666667</v>
      </c>
      <c r="CL565" s="46">
        <f>+CL553*CK565+CJ554*CK564+CJ555*CK563+CJ556*CK562+CJ557*CK561+CJ558*CK560+CJ559*CK559+CJ560*CK558+CJ561*CK557+CJ562*CK556+CJ563*CK555+CJ564*CK554+CJ565</f>
        <v>869.04962464458276</v>
      </c>
      <c r="CM565" s="134">
        <f t="shared" si="1023"/>
        <v>1.814443460643899E-2</v>
      </c>
      <c r="CN565" s="135">
        <f t="shared" si="1024"/>
        <v>1.3354911418130272E-2</v>
      </c>
      <c r="CO565" s="135">
        <f t="shared" si="1033"/>
        <v>1.300026686797596E-2</v>
      </c>
      <c r="CP565" s="134">
        <f>VLOOKUP($H565,RoR!$E:$F,2,FALSE)</f>
        <v>4.9433333333333322E-2</v>
      </c>
      <c r="CQ565" s="135">
        <v>1.1684333519300205E-2</v>
      </c>
      <c r="CR565" s="135">
        <f t="shared" si="1031"/>
        <v>3.7748999814033117E-2</v>
      </c>
      <c r="CS565" s="135">
        <f t="shared" si="1034"/>
        <v>1.7901674740557663E-2</v>
      </c>
      <c r="CT565" s="135">
        <f t="shared" si="1035"/>
        <v>4.7937530248493419E-2</v>
      </c>
      <c r="CU565" s="139">
        <f t="shared" si="1025"/>
        <v>0.85126000000000002</v>
      </c>
      <c r="CV565" s="335">
        <f t="shared" si="1026"/>
        <v>1.037398205301105</v>
      </c>
      <c r="CW565" s="335">
        <f t="shared" si="1027"/>
        <v>0.46926837491571133</v>
      </c>
      <c r="CX565" s="335">
        <f t="shared" si="1028"/>
        <v>0.8548537519972772</v>
      </c>
      <c r="CY565" s="335">
        <f t="shared" si="1029"/>
        <v>0.41615833911547367</v>
      </c>
      <c r="CZ565" s="336">
        <f>INDEX('State Tax Lookup'!$D$7:$Z$91,MATCH(Calculation!$C565,'State Tax Lookup'!$B$7:$B$91,0),MATCH($H565,'State Tax Lookup'!$D$6:$Z$6,0))</f>
        <v>0.40200000000000002</v>
      </c>
      <c r="DA565" s="303">
        <v>0.37</v>
      </c>
      <c r="DB565" s="57">
        <f t="shared" si="1032"/>
        <v>14.431458434360989</v>
      </c>
      <c r="DC565" s="56">
        <f t="shared" si="1036"/>
        <v>1.4473323104068748E-2</v>
      </c>
      <c r="DD565" s="303">
        <f>VLOOKUP($H565,RoR!$E:$F,2,FALSE)</f>
        <v>4.9433333333333322E-2</v>
      </c>
      <c r="DE565" s="304">
        <f>HLOOKUP($H565,'GDP-PI'!$D$8:$CQ$11,3,FALSE)</f>
        <v>1.1684333519300205E-2</v>
      </c>
      <c r="DF565" s="303">
        <f>VLOOKUP(H565,'HW Dx Data'!$E:$F,2,FALSE)</f>
        <v>568.98950262971744</v>
      </c>
      <c r="DG565" s="89">
        <f ca="1">VLOOKUP(CC565,'ECI - Input Price'!M$13:N$33,2,FALSE)</f>
        <v>116.925</v>
      </c>
      <c r="DH565" s="89"/>
      <c r="DI565" s="89"/>
      <c r="DJ565" s="56">
        <f t="shared" ca="1" si="1044"/>
        <v>5.2678406346976722E-2</v>
      </c>
      <c r="DK565" s="53">
        <f>HLOOKUP(H565,'GDP-PI'!$8:$9,2,FALSE)</f>
        <v>96.108999999999995</v>
      </c>
      <c r="DL565" s="355">
        <f t="shared" si="1037"/>
        <v>1.1616598807150427E-2</v>
      </c>
      <c r="EC565"/>
    </row>
    <row r="566" spans="1:133" s="126" customFormat="1" ht="21" customHeight="1" x14ac:dyDescent="0.4">
      <c r="A566" s="233" t="s">
        <v>215</v>
      </c>
      <c r="B566" s="127" t="s">
        <v>215</v>
      </c>
      <c r="C566" s="127">
        <v>4061634</v>
      </c>
      <c r="D566" s="127" t="s">
        <v>191</v>
      </c>
      <c r="E566" s="127"/>
      <c r="F566" s="127"/>
      <c r="G566" s="127" t="s">
        <v>167</v>
      </c>
      <c r="H566" s="128">
        <v>2011</v>
      </c>
      <c r="I566" s="129"/>
      <c r="J566" s="125">
        <f>IFERROR(INDEX('Labor Expenditures'!$E$7:$W$91,MATCH($C566,'Labor Expenditures'!$C$7:$C$91,0),MATCH($G566,'Labor Expenditures'!$E$5:$W$5,0)),"NA")</f>
        <v>23572.922745313786</v>
      </c>
      <c r="K566" s="125">
        <f t="shared" ca="1" si="1038"/>
        <v>195.01900926836637</v>
      </c>
      <c r="L566" s="47"/>
      <c r="M566" s="131">
        <f t="shared" ca="1" si="1045"/>
        <v>1.8334555154192803E-2</v>
      </c>
      <c r="N566" s="131"/>
      <c r="O566" s="131"/>
      <c r="P566" s="59">
        <f t="shared" ca="1" si="1047"/>
        <v>1.4339678577071082E-4</v>
      </c>
      <c r="Q566" s="61"/>
      <c r="R566" s="387"/>
      <c r="S566" s="49">
        <f t="shared" ca="1" si="1052"/>
        <v>117.05949528269225</v>
      </c>
      <c r="T566" s="61">
        <f ca="1">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</f>
        <v>0.18332718395526473</v>
      </c>
      <c r="U566" s="61"/>
      <c r="V566" s="125">
        <f>IFERROR(INDEX('Non-Labor Expenditures'!$E$7:$AA$91,MATCH($C566,'Non-Labor Expenditures'!$C$7:$C$91,0),MATCH($G566,'Non-Labor Expenditures'!$E$5:$AA$5,0)),"NA")</f>
        <v>34137.994949861153</v>
      </c>
      <c r="W566" s="125">
        <f t="shared" si="1039"/>
        <v>347.94923097950459</v>
      </c>
      <c r="X566" s="131">
        <f t="shared" si="1048"/>
        <v>3.0932086102852047E-2</v>
      </c>
      <c r="Y566" s="131">
        <f t="shared" si="1049"/>
        <v>2.4192360747391891E-4</v>
      </c>
      <c r="Z566" s="131"/>
      <c r="AA566" s="131"/>
      <c r="AB566" s="131"/>
      <c r="AC566" s="125">
        <f t="shared" si="1019"/>
        <v>13247.629689762727</v>
      </c>
      <c r="AD566" s="129"/>
      <c r="AE566" s="133">
        <v>936.84312664836568</v>
      </c>
      <c r="AF566" s="134">
        <v>1.2946026832797669E-2</v>
      </c>
      <c r="AG566" s="59">
        <f t="shared" si="1040"/>
        <v>1.0125245039828685E-4</v>
      </c>
      <c r="AH566" s="134"/>
      <c r="AI566" s="134"/>
      <c r="AJ566" s="129">
        <f t="shared" si="1015"/>
        <v>70958.547384937672</v>
      </c>
      <c r="AK566" s="134">
        <f t="shared" si="1050"/>
        <v>5.5510094596932305E-2</v>
      </c>
      <c r="AL566" s="129"/>
      <c r="AM566" s="129"/>
      <c r="AN566" s="129"/>
      <c r="AO566" s="129"/>
      <c r="AP566" s="133">
        <f t="shared" si="1051"/>
        <v>321.69805002805248</v>
      </c>
      <c r="AQ566" s="134">
        <f>+BB566/Outputs!$B$19</f>
        <v>6.2059944490288161E-3</v>
      </c>
      <c r="AR566" s="93">
        <f t="shared" si="1041"/>
        <v>0.33220695200304506</v>
      </c>
      <c r="AS566" s="93">
        <f t="shared" si="1042"/>
        <v>0.48109771420021491</v>
      </c>
      <c r="AT566" s="93">
        <f t="shared" si="1043"/>
        <v>0.18669533379673994</v>
      </c>
      <c r="AU566" s="93">
        <f t="shared" ca="1" si="1046"/>
        <v>2.3409858189967804E-2</v>
      </c>
      <c r="AV566" s="132">
        <f t="shared" ca="1" si="1054"/>
        <v>109.12167003098776</v>
      </c>
      <c r="AW566" s="134">
        <f t="shared" ca="1" si="1055"/>
        <v>2.3409858189967804E-2</v>
      </c>
      <c r="AX566" s="56">
        <f>+AJ566/$AL$16</f>
        <v>7.8211216233363811E-3</v>
      </c>
      <c r="AY566" s="135">
        <f t="shared" ca="1" si="1053"/>
        <v>1.8309134808879547E-4</v>
      </c>
      <c r="AZ566" s="93"/>
      <c r="BA566" s="93"/>
      <c r="BB566" s="234">
        <f>IFERROR(INDEX('Total Customers'!$E$7:$AA$91,MATCH($C566,'Total Customers'!$C$7:$C$91,0),MATCH($G566,'Total Customers'!$E$5:$AA$5,0)),"NA")</f>
        <v>220575</v>
      </c>
      <c r="BC566" s="411">
        <f t="shared" si="973"/>
        <v>1.4130880830448393E-2</v>
      </c>
      <c r="BD566" s="92"/>
      <c r="BE566" s="281" t="str">
        <f t="shared" si="969"/>
        <v>MOUNTAINEER GAS COMPANY</v>
      </c>
      <c r="BF566" s="290">
        <f t="shared" si="970"/>
        <v>4061634</v>
      </c>
      <c r="BG566" s="46" t="str">
        <f t="shared" si="971"/>
        <v>WV</v>
      </c>
      <c r="BH566" s="46"/>
      <c r="BI566" s="46" t="str">
        <f t="shared" si="972"/>
        <v>2011 Y</v>
      </c>
      <c r="BJ566" s="129"/>
      <c r="BK566" s="129"/>
      <c r="BL566" s="129">
        <f>INDEX('Dist. Plant Gas Additions'!$E$7:$AD$91,MATCH($C566,'Dist. Plant Gas Additions'!$C$7:$C$91,0),MATCH(Calculation!$G566,'Dist. Plant Gas Additions'!$E$5:$AD$5,0))</f>
        <v>10551</v>
      </c>
      <c r="BM566" s="129">
        <f>INDEX('Gen. Plant Additions'!$E$7:$AD$91,MATCH($C566,'Gen. Plant Additions'!$C$7:$C$91,0),MATCH(Calculation!$G566,'Gen. Plant Additions'!$E$5:$AD$5,0))</f>
        <v>966</v>
      </c>
      <c r="BN566" s="393">
        <f t="shared" si="1020"/>
        <v>0.94031146562483048</v>
      </c>
      <c r="BO566" s="46">
        <f t="shared" si="930"/>
        <v>908.34087579358629</v>
      </c>
      <c r="BP566" s="46">
        <f t="shared" si="931"/>
        <v>-57.659124206413708</v>
      </c>
      <c r="BQ566" s="129">
        <f>INDEX('Dist Plant Depreciation'!$D$7:$AC$94,MATCH($C566,'Dist Plant Depreciation'!$C$7:$C$94,0),MATCH(Calculation!$G566,'Dist Plant Depreciation'!$D$5:$AC$5,0))</f>
        <v>210720</v>
      </c>
      <c r="BR566" s="129">
        <f>INDEX('Gen. Plant Depreciation'!$D$7:$AC$94,MATCH($C566,'Gen. Plant Depreciation'!$C$7:$C$94,0),MATCH(Calculation!$G566,'Gen. Plant Depreciation'!$D$5:$AC$5,0))</f>
        <v>19613</v>
      </c>
      <c r="BS566" s="129"/>
      <c r="BT566" s="129"/>
      <c r="BU566" s="129"/>
      <c r="BV566" s="129"/>
      <c r="BW566" s="129"/>
      <c r="BX566" s="129"/>
      <c r="BY566" s="129">
        <f>INDEX('Gross Dx Plant'!$D$7:$AC$91,MATCH($C566,'Gross Dx Plant'!$C$7:$C$91,0),MATCH(Calculation!$G566,'Gross Dx Plant'!$D$5:$AC$5,0))</f>
        <v>398567</v>
      </c>
      <c r="BZ566" s="129">
        <f>INDEX('Gross Gen Plant'!$D$7:$AC$91,MATCH($C566,'Gross Gen Plant'!$C$7:$C$91,0),MATCH(Calculation!$G566,'Gross Gen Plant'!$D$5:$AC$5,0))</f>
        <v>25300</v>
      </c>
      <c r="CA566" s="129">
        <f t="shared" si="960"/>
        <v>193534</v>
      </c>
      <c r="CB566" s="129"/>
      <c r="CC566" s="133">
        <v>2011</v>
      </c>
      <c r="CD566" s="129"/>
      <c r="CE566" s="129"/>
      <c r="CF566" s="129"/>
      <c r="CG566" s="137"/>
      <c r="CH566" s="129">
        <f t="shared" si="1021"/>
        <v>11517</v>
      </c>
      <c r="CI566" s="46">
        <f t="shared" si="1030"/>
        <v>11459.340875793587</v>
      </c>
      <c r="CJ566" s="46">
        <f t="shared" si="1022"/>
        <v>18.736319449462975</v>
      </c>
      <c r="CK566" s="443">
        <v>0.8539325842696629</v>
      </c>
      <c r="CL566" s="46">
        <f>+CL553*CK566+CJ554*CK565+CJ555*CK564+CJ556*CK563+CJ557*CK562+CJ558*CK561+CJ559*CK560+CJ560*CK559+CJ561*CK558+CJ562*CK557+CJ563*CK556+CJ564*CK555+CJ565*CK554+CJ566</f>
        <v>875.86911799263055</v>
      </c>
      <c r="CM566" s="134">
        <f t="shared" si="1023"/>
        <v>7.8164419948339049E-3</v>
      </c>
      <c r="CN566" s="135">
        <f t="shared" si="1024"/>
        <v>1.3712480580483355E-2</v>
      </c>
      <c r="CO566" s="135">
        <f t="shared" si="1033"/>
        <v>1.3352542556423258E-2</v>
      </c>
      <c r="CP566" s="134">
        <f>VLOOKUP($H566,RoR!$E:$F,2,FALSE)</f>
        <v>4.6391666666666664E-2</v>
      </c>
      <c r="CQ566" s="135">
        <v>2.0840920205183799E-2</v>
      </c>
      <c r="CR566" s="135">
        <f t="shared" si="1031"/>
        <v>2.5550746461482865E-2</v>
      </c>
      <c r="CS566" s="135">
        <f t="shared" si="1034"/>
        <v>1.7549399052110365E-2</v>
      </c>
      <c r="CT566" s="135">
        <f t="shared" si="1035"/>
        <v>2.4810540821321614E-2</v>
      </c>
      <c r="CU566" s="139">
        <f t="shared" si="1025"/>
        <v>0.85126000000000002</v>
      </c>
      <c r="CV566" s="335">
        <f t="shared" si="1026"/>
        <v>1.1054151524782025</v>
      </c>
      <c r="CW566" s="335">
        <f t="shared" si="1027"/>
        <v>0.43611011316687626</v>
      </c>
      <c r="CX566" s="335">
        <f t="shared" si="1028"/>
        <v>0.83698442246886229</v>
      </c>
      <c r="CY566" s="335">
        <f t="shared" si="1029"/>
        <v>0.40349573304423936</v>
      </c>
      <c r="CZ566" s="336">
        <f>INDEX('State Tax Lookup'!$D$7:$Z$91,MATCH(Calculation!$C566,'State Tax Lookup'!$B$7:$B$91,0),MATCH($H566,'State Tax Lookup'!$D$6:$Z$6,0))</f>
        <v>0.40200000000000002</v>
      </c>
      <c r="DA566" s="303">
        <v>0.37</v>
      </c>
      <c r="DB566" s="57">
        <f t="shared" si="1032"/>
        <v>15.243812682366258</v>
      </c>
      <c r="DC566" s="56">
        <f t="shared" si="1036"/>
        <v>5.47632576971082E-2</v>
      </c>
      <c r="DD566" s="303">
        <f>VLOOKUP($H566,RoR!$E:$F,2,FALSE)</f>
        <v>4.6391666666666664E-2</v>
      </c>
      <c r="DE566" s="304">
        <f>HLOOKUP($H566,'GDP-PI'!$D$8:$CQ$11,3,FALSE)</f>
        <v>2.0840920205183799E-2</v>
      </c>
      <c r="DF566" s="303">
        <f>VLOOKUP(H566,'HW Dx Data'!$E:$F,2,FALSE)</f>
        <v>611.61109612283201</v>
      </c>
      <c r="DG566" s="89">
        <f ca="1">VLOOKUP(CC566,'ECI - Input Price'!M$13:N$33,2,FALSE)</f>
        <v>120.875</v>
      </c>
      <c r="DH566" s="89"/>
      <c r="DI566" s="89"/>
      <c r="DJ566" s="56">
        <f t="shared" ca="1" si="1044"/>
        <v>3.3224250161508609E-2</v>
      </c>
      <c r="DK566" s="53">
        <f>HLOOKUP(H566,'GDP-PI'!$8:$9,2,FALSE)</f>
        <v>98.111999999999995</v>
      </c>
      <c r="DL566" s="355">
        <f t="shared" si="1037"/>
        <v>2.0626719212849295E-2</v>
      </c>
      <c r="EC566"/>
    </row>
    <row r="567" spans="1:133" s="126" customFormat="1" ht="21" customHeight="1" x14ac:dyDescent="0.4">
      <c r="A567" s="233" t="s">
        <v>215</v>
      </c>
      <c r="B567" s="127" t="s">
        <v>215</v>
      </c>
      <c r="C567" s="127">
        <v>4061634</v>
      </c>
      <c r="D567" s="127" t="s">
        <v>191</v>
      </c>
      <c r="E567" s="127"/>
      <c r="F567" s="127"/>
      <c r="G567" s="127" t="s">
        <v>168</v>
      </c>
      <c r="H567" s="128">
        <v>2012</v>
      </c>
      <c r="I567" s="129"/>
      <c r="J567" s="125">
        <f>IFERROR(INDEX('Labor Expenditures'!$E$7:$W$91,MATCH($C567,'Labor Expenditures'!$C$7:$C$91,0),MATCH($G567,'Labor Expenditures'!$E$5:$W$5,0)),"NA")</f>
        <v>23333.752708710697</v>
      </c>
      <c r="K567" s="125">
        <f t="shared" ca="1" si="1038"/>
        <v>186.96917234543827</v>
      </c>
      <c r="L567" s="47"/>
      <c r="M567" s="131">
        <f t="shared" ca="1" si="1045"/>
        <v>-4.2153287743065204E-2</v>
      </c>
      <c r="N567" s="131"/>
      <c r="O567" s="131"/>
      <c r="P567" s="59">
        <f t="shared" ca="1" si="1047"/>
        <v>-3.2042025855658584E-4</v>
      </c>
      <c r="Q567" s="61"/>
      <c r="R567" s="387"/>
      <c r="S567" s="49">
        <f t="shared" ca="1" si="1052"/>
        <v>115.98007470291057</v>
      </c>
      <c r="T567" s="61">
        <f ca="1">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</f>
        <v>-9.263905691972267E-3</v>
      </c>
      <c r="U567" s="61"/>
      <c r="V567" s="125">
        <f>IFERROR(INDEX('Non-Labor Expenditures'!$E$7:$AA$91,MATCH($C567,'Non-Labor Expenditures'!$C$7:$C$91,0),MATCH($G567,'Non-Labor Expenditures'!$E$5:$AA$5,0)),"NA")</f>
        <v>33791.632066058912</v>
      </c>
      <c r="W567" s="125">
        <f t="shared" si="1039"/>
        <v>337.91632066058912</v>
      </c>
      <c r="X567" s="131">
        <f t="shared" si="1048"/>
        <v>-2.9258288319938798E-2</v>
      </c>
      <c r="Y567" s="131">
        <f t="shared" si="1049"/>
        <v>-2.2240135492018019E-4</v>
      </c>
      <c r="Z567" s="131"/>
      <c r="AA567" s="131"/>
      <c r="AB567" s="131"/>
      <c r="AC567" s="125">
        <f t="shared" si="1019"/>
        <v>14238.463587776396</v>
      </c>
      <c r="AD567" s="129"/>
      <c r="AE567" s="133">
        <v>948.96788469178591</v>
      </c>
      <c r="AF567" s="134">
        <v>1.2859109471601824E-2</v>
      </c>
      <c r="AG567" s="59">
        <f t="shared" si="1040"/>
        <v>9.7746092945643311E-5</v>
      </c>
      <c r="AH567" s="134"/>
      <c r="AI567" s="134"/>
      <c r="AJ567" s="129">
        <f t="shared" si="1015"/>
        <v>71363.848362546007</v>
      </c>
      <c r="AK567" s="134">
        <f t="shared" si="1050"/>
        <v>5.6955487731674848E-3</v>
      </c>
      <c r="AL567" s="129"/>
      <c r="AM567" s="129"/>
      <c r="AN567" s="129"/>
      <c r="AO567" s="129"/>
      <c r="AP567" s="133">
        <f t="shared" si="1051"/>
        <v>326.11845084973589</v>
      </c>
      <c r="AQ567" s="134">
        <f>+BB567/Outputs!$B$20</f>
        <v>6.1273361295014232E-3</v>
      </c>
      <c r="AR567" s="93">
        <f t="shared" si="1041"/>
        <v>0.32696881185792365</v>
      </c>
      <c r="AS567" s="93">
        <f t="shared" si="1042"/>
        <v>0.47351190892045314</v>
      </c>
      <c r="AT567" s="93">
        <f t="shared" si="1043"/>
        <v>0.19951927922162321</v>
      </c>
      <c r="AU567" s="93">
        <f t="shared" ca="1" si="1046"/>
        <v>-2.5375146622601687E-2</v>
      </c>
      <c r="AV567" s="132">
        <f t="shared" ca="1" si="1054"/>
        <v>106.38752798933528</v>
      </c>
      <c r="AW567" s="134">
        <f t="shared" ca="1" si="1055"/>
        <v>-2.5375146622601662E-2</v>
      </c>
      <c r="AX567" s="56">
        <f>+AJ567/$AL$17</f>
        <v>7.6013112075534227E-3</v>
      </c>
      <c r="AY567" s="135">
        <f t="shared" ca="1" si="1053"/>
        <v>-1.9288438641569341E-4</v>
      </c>
      <c r="AZ567" s="93"/>
      <c r="BA567" s="93"/>
      <c r="BB567" s="234">
        <f>IFERROR(INDEX('Total Customers'!$E$7:$AA$91,MATCH($C567,'Total Customers'!$C$7:$C$91,0),MATCH($G567,'Total Customers'!$E$5:$AA$5,0)),"NA")</f>
        <v>218828</v>
      </c>
      <c r="BC567" s="411">
        <f t="shared" si="973"/>
        <v>-7.9517399983571688E-3</v>
      </c>
      <c r="BD567" s="92"/>
      <c r="BE567" s="281" t="str">
        <f t="shared" si="969"/>
        <v>MOUNTAINEER GAS COMPANY</v>
      </c>
      <c r="BF567" s="290">
        <f t="shared" si="970"/>
        <v>4061634</v>
      </c>
      <c r="BG567" s="46" t="str">
        <f t="shared" si="971"/>
        <v>WV</v>
      </c>
      <c r="BH567" s="46"/>
      <c r="BI567" s="46" t="str">
        <f t="shared" si="972"/>
        <v>2012 Y</v>
      </c>
      <c r="BJ567" s="129"/>
      <c r="BK567" s="129"/>
      <c r="BL567" s="129">
        <f>INDEX('Dist. Plant Gas Additions'!$E$7:$AD$91,MATCH($C567,'Dist. Plant Gas Additions'!$C$7:$C$91,0),MATCH(Calculation!$G567,'Dist. Plant Gas Additions'!$E$5:$AD$5,0))</f>
        <v>10956</v>
      </c>
      <c r="BM567" s="129">
        <f>INDEX('Gen. Plant Additions'!$E$7:$AD$91,MATCH($C567,'Gen. Plant Additions'!$C$7:$C$91,0),MATCH(Calculation!$G567,'Gen. Plant Additions'!$E$5:$AD$5,0))</f>
        <v>1916</v>
      </c>
      <c r="BN567" s="393">
        <f t="shared" si="1020"/>
        <v>0.94271580303880609</v>
      </c>
      <c r="BO567" s="46">
        <f t="shared" ref="BO567:BO630" si="1056">+BN567*BM567</f>
        <v>1806.2434786223525</v>
      </c>
      <c r="BP567" s="46">
        <f t="shared" ref="BP567:BP630" si="1057">+BO567-BM567</f>
        <v>-109.75652137764746</v>
      </c>
      <c r="BQ567" s="129">
        <f>INDEX('Dist Plant Depreciation'!$D$7:$AC$94,MATCH($C567,'Dist Plant Depreciation'!$C$7:$C$94,0),MATCH(Calculation!$G567,'Dist Plant Depreciation'!$D$5:$AC$5,0))</f>
        <v>219839</v>
      </c>
      <c r="BR567" s="129">
        <f>INDEX('Gen. Plant Depreciation'!$D$7:$AC$94,MATCH($C567,'Gen. Plant Depreciation'!$C$7:$C$94,0),MATCH(Calculation!$G567,'Gen. Plant Depreciation'!$D$5:$AC$5,0))</f>
        <v>18099</v>
      </c>
      <c r="BS567" s="129"/>
      <c r="BT567" s="129"/>
      <c r="BU567" s="129"/>
      <c r="BV567" s="129"/>
      <c r="BW567" s="129"/>
      <c r="BX567" s="129"/>
      <c r="BY567" s="129">
        <f>INDEX('Gross Dx Plant'!$D$7:$AC$91,MATCH($C567,'Gross Dx Plant'!$C$7:$C$91,0),MATCH(Calculation!$G567,'Gross Dx Plant'!$D$5:$AC$5,0))</f>
        <v>408195</v>
      </c>
      <c r="BZ567" s="129">
        <f>INDEX('Gross Gen Plant'!$D$7:$AC$91,MATCH($C567,'Gross Gen Plant'!$C$7:$C$91,0),MATCH(Calculation!$G567,'Gross Gen Plant'!$D$5:$AC$5,0))</f>
        <v>24804</v>
      </c>
      <c r="CA567" s="129">
        <f t="shared" si="960"/>
        <v>195061</v>
      </c>
      <c r="CB567" s="129"/>
      <c r="CC567" s="133">
        <v>2012</v>
      </c>
      <c r="CD567" s="129"/>
      <c r="CE567" s="129"/>
      <c r="CF567" s="129"/>
      <c r="CG567" s="137"/>
      <c r="CH567" s="129">
        <f t="shared" si="1021"/>
        <v>12872</v>
      </c>
      <c r="CI567" s="46">
        <f t="shared" si="1030"/>
        <v>12762.243478622353</v>
      </c>
      <c r="CJ567" s="46">
        <f t="shared" si="1022"/>
        <v>19.078897942902682</v>
      </c>
      <c r="CK567" s="443">
        <v>0.84090909090909094</v>
      </c>
      <c r="CL567" s="46">
        <f>+CL553*CK567+CJ554*CK566+CJ555*CK565+CJ556*CK564+CJ557*CK563+CJ558*CK562+CJ559*CK561+CJ560*CK560+CJ561*CK559+CJ562*CK558+CJ563*CK557+CJ564*CK556+CJ565*CK555+CJ566*CK554+CJ567</f>
        <v>882.58000805621737</v>
      </c>
      <c r="CM567" s="134">
        <f t="shared" si="1023"/>
        <v>7.6327742953616285E-3</v>
      </c>
      <c r="CN567" s="135">
        <f t="shared" si="1024"/>
        <v>1.4120840231999054E-2</v>
      </c>
      <c r="CO567" s="135">
        <f t="shared" si="1033"/>
        <v>1.3729410743537561E-2</v>
      </c>
      <c r="CP567" s="134">
        <f>VLOOKUP($H567,RoR!$E:$F,2,FALSE)</f>
        <v>3.6733333333333333E-2</v>
      </c>
      <c r="CQ567" s="135">
        <v>1.924331376386168E-2</v>
      </c>
      <c r="CR567" s="135">
        <f t="shared" si="1031"/>
        <v>1.7490019569471653E-2</v>
      </c>
      <c r="CS567" s="135">
        <f t="shared" si="1034"/>
        <v>1.7172530864996066E-2</v>
      </c>
      <c r="CT567" s="135">
        <f t="shared" si="1035"/>
        <v>6.7122682943869583E-2</v>
      </c>
      <c r="CU567" s="139">
        <f t="shared" si="1025"/>
        <v>0.85126000000000002</v>
      </c>
      <c r="CV567" s="335">
        <f t="shared" si="1026"/>
        <v>1.3960631020522127</v>
      </c>
      <c r="CW567" s="335">
        <f t="shared" si="1027"/>
        <v>0.29441923774954631</v>
      </c>
      <c r="CX567" s="335">
        <f t="shared" si="1028"/>
        <v>0.76377954189366437</v>
      </c>
      <c r="CY567" s="335">
        <f t="shared" si="1029"/>
        <v>0.31393465103033691</v>
      </c>
      <c r="CZ567" s="336">
        <f>INDEX('State Tax Lookup'!$D$7:$Z$91,MATCH(Calculation!$C567,'State Tax Lookup'!$B$7:$B$91,0),MATCH($H567,'State Tax Lookup'!$D$6:$Z$6,0))</f>
        <v>0.40200000000000002</v>
      </c>
      <c r="DA567" s="303">
        <v>0.37</v>
      </c>
      <c r="DB567" s="57">
        <f t="shared" si="1032"/>
        <v>16.256382712075705</v>
      </c>
      <c r="DC567" s="56">
        <f t="shared" si="1036"/>
        <v>6.4311918960575601E-2</v>
      </c>
      <c r="DD567" s="303">
        <f>VLOOKUP($H567,RoR!$E:$F,2,FALSE)</f>
        <v>3.6733333333333333E-2</v>
      </c>
      <c r="DE567" s="304">
        <f>HLOOKUP($H567,'GDP-PI'!$D$8:$CQ$11,3,FALSE)</f>
        <v>1.924331376386168E-2</v>
      </c>
      <c r="DF567" s="303">
        <f>VLOOKUP(H567,'HW Dx Data'!$E:$F,2,FALSE)</f>
        <v>668.91932211262167</v>
      </c>
      <c r="DG567" s="89">
        <f ca="1">VLOOKUP(CC567,'ECI - Input Price'!M$13:N$33,2,FALSE)</f>
        <v>124.80000000000001</v>
      </c>
      <c r="DH567" s="89"/>
      <c r="DI567" s="89"/>
      <c r="DJ567" s="56">
        <f t="shared" ca="1" si="1044"/>
        <v>3.1955502161869064E-2</v>
      </c>
      <c r="DK567" s="53">
        <f>HLOOKUP(H567,'GDP-PI'!$8:$9,2,FALSE)</f>
        <v>100</v>
      </c>
      <c r="DL567" s="355">
        <f t="shared" si="1037"/>
        <v>1.9060502738742411E-2</v>
      </c>
      <c r="EC567"/>
    </row>
    <row r="568" spans="1:133" s="126" customFormat="1" ht="21" customHeight="1" x14ac:dyDescent="0.4">
      <c r="A568" s="233" t="s">
        <v>215</v>
      </c>
      <c r="B568" s="127" t="s">
        <v>215</v>
      </c>
      <c r="C568" s="127">
        <v>4061634</v>
      </c>
      <c r="D568" s="127" t="s">
        <v>191</v>
      </c>
      <c r="E568" s="127"/>
      <c r="F568" s="127"/>
      <c r="G568" s="127" t="s">
        <v>169</v>
      </c>
      <c r="H568" s="128">
        <v>2013</v>
      </c>
      <c r="I568" s="129"/>
      <c r="J568" s="125">
        <f>IFERROR(INDEX('Labor Expenditures'!$E$7:$W$91,MATCH($C568,'Labor Expenditures'!$C$7:$C$91,0),MATCH($G568,'Labor Expenditures'!$E$5:$W$5,0)),"NA")</f>
        <v>24167.487427380493</v>
      </c>
      <c r="K568" s="125">
        <f t="shared" ca="1" si="1038"/>
        <v>190.59532671435721</v>
      </c>
      <c r="L568" s="47"/>
      <c r="M568" s="131">
        <f t="shared" ca="1" si="1045"/>
        <v>1.9208722610113263E-2</v>
      </c>
      <c r="N568" s="131"/>
      <c r="O568" s="131"/>
      <c r="P568" s="59">
        <f t="shared" ca="1" si="1047"/>
        <v>1.4426219710001313E-4</v>
      </c>
      <c r="Q568" s="61"/>
      <c r="R568" s="387"/>
      <c r="S568" s="49">
        <f t="shared" ca="1" si="1052"/>
        <v>108.51841431051864</v>
      </c>
      <c r="T568" s="61">
        <f ca="1">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</f>
        <v>-6.6498530821921822E-2</v>
      </c>
      <c r="U568" s="61"/>
      <c r="V568" s="125">
        <f>IFERROR(INDEX('Non-Labor Expenditures'!$E$7:$AA$91,MATCH($C568,'Non-Labor Expenditures'!$C$7:$C$91,0),MATCH($G568,'Non-Labor Expenditures'!$E$5:$AA$5,0)),"NA")</f>
        <v>34999.035658858265</v>
      </c>
      <c r="W568" s="125">
        <f t="shared" si="1039"/>
        <v>343.89313136940314</v>
      </c>
      <c r="X568" s="131">
        <f t="shared" si="1048"/>
        <v>1.753265166140092E-2</v>
      </c>
      <c r="Y568" s="131">
        <f t="shared" si="1049"/>
        <v>1.3167449501984236E-4</v>
      </c>
      <c r="Z568" s="131"/>
      <c r="AA568" s="131"/>
      <c r="AB568" s="131"/>
      <c r="AC568" s="125">
        <f t="shared" si="1019"/>
        <v>13912.498039240596</v>
      </c>
      <c r="AD568" s="129"/>
      <c r="AE568" s="133">
        <v>965.56286476781077</v>
      </c>
      <c r="AF568" s="134">
        <v>1.7336254022340236E-2</v>
      </c>
      <c r="AG568" s="59">
        <f t="shared" si="1040"/>
        <v>1.3019950079501907E-4</v>
      </c>
      <c r="AH568" s="134"/>
      <c r="AI568" s="134"/>
      <c r="AJ568" s="129">
        <f t="shared" si="1015"/>
        <v>73079.021125479354</v>
      </c>
      <c r="AK568" s="134">
        <f t="shared" si="1050"/>
        <v>2.374992119407672E-2</v>
      </c>
      <c r="AL568" s="129"/>
      <c r="AM568" s="129"/>
      <c r="AN568" s="129"/>
      <c r="AO568" s="129"/>
      <c r="AP568" s="133">
        <f t="shared" si="1051"/>
        <v>334.01597486838625</v>
      </c>
      <c r="AQ568" s="134">
        <f>+BB568/Outputs!$B$21</f>
        <v>6.0871995671304968E-3</v>
      </c>
      <c r="AR568" s="93">
        <f t="shared" si="1041"/>
        <v>0.33070349130544635</v>
      </c>
      <c r="AS568" s="93">
        <f t="shared" si="1042"/>
        <v>0.47892042230236831</v>
      </c>
      <c r="AT568" s="93">
        <f t="shared" si="1043"/>
        <v>0.19037608639218534</v>
      </c>
      <c r="AU568" s="93">
        <f t="shared" ca="1" si="1046"/>
        <v>1.8045517117309725E-2</v>
      </c>
      <c r="AV568" s="132">
        <f t="shared" ca="1" si="1054"/>
        <v>108.3247726675468</v>
      </c>
      <c r="AW568" s="134">
        <f t="shared" ca="1" si="1055"/>
        <v>1.8045517117309673E-2</v>
      </c>
      <c r="AX568" s="56">
        <f>+AJ568/$AL$18</f>
        <v>7.5102441754278885E-3</v>
      </c>
      <c r="AY568" s="135">
        <f t="shared" ca="1" si="1053"/>
        <v>1.3552623982285923E-4</v>
      </c>
      <c r="AZ568" s="93"/>
      <c r="BA568" s="93"/>
      <c r="BB568" s="234">
        <f>IFERROR(INDEX('Total Customers'!$E$7:$AA$91,MATCH($C568,'Total Customers'!$C$7:$C$91,0),MATCH($G568,'Total Customers'!$E$5:$AA$5,0)),"NA")</f>
        <v>218789</v>
      </c>
      <c r="BC568" s="411">
        <f t="shared" si="973"/>
        <v>-1.7823804881089895E-4</v>
      </c>
      <c r="BD568" s="92"/>
      <c r="BE568" s="281" t="str">
        <f t="shared" si="969"/>
        <v>MOUNTAINEER GAS COMPANY</v>
      </c>
      <c r="BF568" s="290">
        <f t="shared" si="970"/>
        <v>4061634</v>
      </c>
      <c r="BG568" s="46" t="str">
        <f t="shared" si="971"/>
        <v>WV</v>
      </c>
      <c r="BH568" s="46"/>
      <c r="BI568" s="46" t="str">
        <f t="shared" si="972"/>
        <v>2013 Y</v>
      </c>
      <c r="BJ568" s="129"/>
      <c r="BK568" s="129"/>
      <c r="BL568" s="129">
        <f>INDEX('Dist. Plant Gas Additions'!$E$7:$AD$91,MATCH($C568,'Dist. Plant Gas Additions'!$C$7:$C$91,0),MATCH(Calculation!$G568,'Dist. Plant Gas Additions'!$E$5:$AD$5,0))</f>
        <v>11404</v>
      </c>
      <c r="BM568" s="129">
        <f>INDEX('Gen. Plant Additions'!$E$7:$AD$91,MATCH($C568,'Gen. Plant Additions'!$C$7:$C$91,0),MATCH(Calculation!$G568,'Gen. Plant Additions'!$E$5:$AD$5,0))</f>
        <v>4560</v>
      </c>
      <c r="BN568" s="393">
        <f t="shared" si="1020"/>
        <v>0.93681177962632833</v>
      </c>
      <c r="BO568" s="46">
        <f t="shared" si="1056"/>
        <v>4271.8617150960572</v>
      </c>
      <c r="BP568" s="46">
        <f t="shared" si="1057"/>
        <v>-288.1382849039428</v>
      </c>
      <c r="BQ568" s="129">
        <f>INDEX('Dist Plant Depreciation'!$D$7:$AC$94,MATCH($C568,'Dist Plant Depreciation'!$C$7:$C$94,0),MATCH(Calculation!$G568,'Dist Plant Depreciation'!$D$5:$AC$5,0))</f>
        <v>229840</v>
      </c>
      <c r="BR568" s="129">
        <f>INDEX('Gen. Plant Depreciation'!$D$7:$AC$94,MATCH($C568,'Gen. Plant Depreciation'!$C$7:$C$94,0),MATCH(Calculation!$G568,'Gen. Plant Depreciation'!$D$5:$AC$5,0))</f>
        <v>17835</v>
      </c>
      <c r="BS568" s="129"/>
      <c r="BT568" s="129"/>
      <c r="BU568" s="129"/>
      <c r="BV568" s="129"/>
      <c r="BW568" s="129"/>
      <c r="BX568" s="129"/>
      <c r="BY568" s="129">
        <f>INDEX('Gross Dx Plant'!$D$7:$AC$91,MATCH($C568,'Gross Dx Plant'!$C$7:$C$91,0),MATCH(Calculation!$G568,'Gross Dx Plant'!$D$5:$AC$5,0))</f>
        <v>418827</v>
      </c>
      <c r="BZ568" s="129">
        <f>INDEX('Gross Gen Plant'!$D$7:$AC$91,MATCH($C568,'Gross Gen Plant'!$C$7:$C$91,0),MATCH(Calculation!$G568,'Gross Gen Plant'!$D$5:$AC$5,0))</f>
        <v>28250</v>
      </c>
      <c r="CA568" s="129">
        <f t="shared" si="960"/>
        <v>199402</v>
      </c>
      <c r="CB568" s="129"/>
      <c r="CC568" s="133">
        <v>2013</v>
      </c>
      <c r="CD568" s="129"/>
      <c r="CE568" s="129"/>
      <c r="CF568" s="129"/>
      <c r="CG568" s="137"/>
      <c r="CH568" s="129">
        <f t="shared" si="1021"/>
        <v>15964</v>
      </c>
      <c r="CI568" s="46">
        <f t="shared" si="1030"/>
        <v>15675.861715096056</v>
      </c>
      <c r="CJ568" s="46">
        <f t="shared" si="1022"/>
        <v>23.634978366147944</v>
      </c>
      <c r="CK568" s="443">
        <v>0.82758620689655171</v>
      </c>
      <c r="CL568" s="46">
        <f>+CL553*CK568+CJ554*CK567+CJ555*CK566+CJ556*CK565+CJ557*CK564+CJ558*CK563+CJ559*CK562+CJ560*CK561+CJ561*CK560+CJ562*CK559+CJ563*CK558+CJ564*CK557+CJ565*CK556+CJ566*CK555+CJ567*CK554+CJ568</f>
        <v>893.37969902251177</v>
      </c>
      <c r="CM568" s="134">
        <f t="shared" si="1023"/>
        <v>1.2162239995855488E-2</v>
      </c>
      <c r="CN568" s="135">
        <f t="shared" si="1024"/>
        <v>1.4542916543194544E-2</v>
      </c>
      <c r="CO568" s="135">
        <f t="shared" si="1033"/>
        <v>1.4125412451892319E-2</v>
      </c>
      <c r="CP568" s="134">
        <f>VLOOKUP($H568,RoR!$E:$F,2,FALSE)</f>
        <v>4.2350000000000006E-2</v>
      </c>
      <c r="CQ568" s="135">
        <v>1.7730000000000024E-2</v>
      </c>
      <c r="CR568" s="135">
        <f t="shared" si="1031"/>
        <v>2.4619999999999982E-2</v>
      </c>
      <c r="CS568" s="135">
        <f t="shared" si="1034"/>
        <v>1.6776529156641306E-2</v>
      </c>
      <c r="CT568" s="135">
        <f t="shared" si="1035"/>
        <v>5.3376742735721204E-2</v>
      </c>
      <c r="CU568" s="139">
        <f t="shared" si="1025"/>
        <v>0.85126000000000002</v>
      </c>
      <c r="CV568" s="335">
        <f t="shared" si="1026"/>
        <v>1.2109103018193925</v>
      </c>
      <c r="CW568" s="335">
        <f t="shared" si="1027"/>
        <v>0.38468122786304604</v>
      </c>
      <c r="CX568" s="335">
        <f t="shared" si="1028"/>
        <v>0.80969194503422559</v>
      </c>
      <c r="CY568" s="335">
        <f t="shared" si="1029"/>
        <v>0.37716621754800816</v>
      </c>
      <c r="CZ568" s="336">
        <f>INDEX('State Tax Lookup'!$D$7:$Z$91,MATCH(Calculation!$C568,'State Tax Lookup'!$B$7:$B$91,0),MATCH($H568,'State Tax Lookup'!$D$6:$Z$6,0))</f>
        <v>0.40200000000000002</v>
      </c>
      <c r="DA568" s="303">
        <v>0.37</v>
      </c>
      <c r="DB568" s="57">
        <f t="shared" si="1032"/>
        <v>15.763441175017434</v>
      </c>
      <c r="DC568" s="56">
        <f t="shared" si="1036"/>
        <v>-3.0792204674810413E-2</v>
      </c>
      <c r="DD568" s="303">
        <f>VLOOKUP($H568,RoR!$E:$F,2,FALSE)</f>
        <v>4.2350000000000006E-2</v>
      </c>
      <c r="DE568" s="304">
        <f>HLOOKUP($H568,'GDP-PI'!$D$8:$CQ$11,3,FALSE)</f>
        <v>1.7730000000000024E-2</v>
      </c>
      <c r="DF568" s="303">
        <f>VLOOKUP(H568,'HW Dx Data'!$E:$F,2,FALSE)</f>
        <v>663.24840548821396</v>
      </c>
      <c r="DG568" s="89">
        <f ca="1">VLOOKUP(CC568,'ECI - Input Price'!M$13:N$33,2,FALSE)</f>
        <v>126.8</v>
      </c>
      <c r="DH568" s="89"/>
      <c r="DI568" s="89"/>
      <c r="DJ568" s="56">
        <f t="shared" ca="1" si="1044"/>
        <v>1.5898586067798204E-2</v>
      </c>
      <c r="DK568" s="53">
        <f>HLOOKUP(H568,'GDP-PI'!$8:$9,2,FALSE)</f>
        <v>101.773</v>
      </c>
      <c r="DL568" s="355">
        <f t="shared" si="1037"/>
        <v>1.7574657016510519E-2</v>
      </c>
      <c r="EC568"/>
    </row>
    <row r="569" spans="1:133" s="126" customFormat="1" ht="21" customHeight="1" x14ac:dyDescent="0.4">
      <c r="A569" s="233" t="s">
        <v>215</v>
      </c>
      <c r="B569" s="127" t="s">
        <v>215</v>
      </c>
      <c r="C569" s="127">
        <v>4061634</v>
      </c>
      <c r="D569" s="127" t="s">
        <v>191</v>
      </c>
      <c r="E569" s="127"/>
      <c r="F569" s="127"/>
      <c r="G569" s="127" t="s">
        <v>170</v>
      </c>
      <c r="H569" s="128">
        <v>2014</v>
      </c>
      <c r="I569" s="129"/>
      <c r="J569" s="125">
        <f>IFERROR(INDEX('Labor Expenditures'!$E$7:$W$91,MATCH($C569,'Labor Expenditures'!$C$7:$C$91,0),MATCH($G569,'Labor Expenditures'!$E$5:$W$5,0)),"NA")</f>
        <v>24070.297402937969</v>
      </c>
      <c r="K569" s="125">
        <f t="shared" ca="1" si="1038"/>
        <v>186.01466308298276</v>
      </c>
      <c r="L569" s="47"/>
      <c r="M569" s="131">
        <f t="shared" ca="1" si="1045"/>
        <v>-2.432696772165481E-2</v>
      </c>
      <c r="N569" s="131"/>
      <c r="O569" s="131"/>
      <c r="P569" s="59">
        <f t="shared" ca="1" si="1047"/>
        <v>-1.7951231117780607E-4</v>
      </c>
      <c r="Q569" s="61"/>
      <c r="R569" s="387"/>
      <c r="S569" s="49">
        <f t="shared" ca="1" si="1052"/>
        <v>120.66340316482173</v>
      </c>
      <c r="T569" s="61">
        <f ca="1">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</f>
        <v>0.106085001468697</v>
      </c>
      <c r="U569" s="61"/>
      <c r="V569" s="125">
        <f>IFERROR(INDEX('Non-Labor Expenditures'!$E$7:$AA$91,MATCH($C569,'Non-Labor Expenditures'!$C$7:$C$91,0),MATCH($G569,'Non-Labor Expenditures'!$E$5:$AA$5,0)),"NA")</f>
        <v>34858.286350872884</v>
      </c>
      <c r="W569" s="125">
        <f t="shared" si="1039"/>
        <v>336.31736905914192</v>
      </c>
      <c r="X569" s="131">
        <f t="shared" si="1048"/>
        <v>-2.2275679556236116E-2</v>
      </c>
      <c r="Y569" s="131">
        <f t="shared" si="1049"/>
        <v>-1.6437555086804465E-4</v>
      </c>
      <c r="Z569" s="131"/>
      <c r="AA569" s="131"/>
      <c r="AB569" s="131"/>
      <c r="AC569" s="125">
        <f t="shared" si="1019"/>
        <v>14193.001650363965</v>
      </c>
      <c r="AD569" s="129"/>
      <c r="AE569" s="133">
        <v>988.40062415172724</v>
      </c>
      <c r="AF569" s="134">
        <v>2.3376894741393012E-2</v>
      </c>
      <c r="AG569" s="59">
        <f t="shared" si="1040"/>
        <v>1.7250158142201468E-4</v>
      </c>
      <c r="AH569" s="134"/>
      <c r="AI569" s="134"/>
      <c r="AJ569" s="129">
        <f t="shared" si="1015"/>
        <v>73121.585404174824</v>
      </c>
      <c r="AK569" s="134">
        <f t="shared" si="1050"/>
        <v>5.8227227517587384E-4</v>
      </c>
      <c r="AL569" s="129"/>
      <c r="AM569" s="129"/>
      <c r="AN569" s="129"/>
      <c r="AO569" s="129"/>
      <c r="AP569" s="133">
        <f t="shared" si="1051"/>
        <v>334.9637668139041</v>
      </c>
      <c r="AQ569" s="134">
        <f>+BB569/Outputs!$B$22</f>
        <v>6.0410559457066814E-3</v>
      </c>
      <c r="AR569" s="93">
        <f t="shared" si="1041"/>
        <v>0.32918183146455265</v>
      </c>
      <c r="AS569" s="93">
        <f t="shared" si="1042"/>
        <v>0.47671677464589923</v>
      </c>
      <c r="AT569" s="93">
        <f t="shared" si="1043"/>
        <v>0.19410139388954806</v>
      </c>
      <c r="AU569" s="93">
        <f t="shared" ca="1" si="1046"/>
        <v>-1.4176293665638377E-2</v>
      </c>
      <c r="AV569" s="132">
        <f t="shared" ca="1" si="1054"/>
        <v>106.7999624936827</v>
      </c>
      <c r="AW569" s="134">
        <f t="shared" ca="1" si="1055"/>
        <v>-1.4176293665638402E-2</v>
      </c>
      <c r="AX569" s="56">
        <f>+AJ569/$AL$19</f>
        <v>7.3791486564111315E-3</v>
      </c>
      <c r="AY569" s="135">
        <f t="shared" ca="1" si="1053"/>
        <v>-1.0460897835568524E-4</v>
      </c>
      <c r="AZ569" s="93"/>
      <c r="BA569" s="93"/>
      <c r="BB569" s="234">
        <f>IFERROR(INDEX('Total Customers'!$E$7:$AA$91,MATCH($C569,'Total Customers'!$C$7:$C$91,0),MATCH($G569,'Total Customers'!$E$5:$AA$5,0)),"NA")</f>
        <v>218297</v>
      </c>
      <c r="BC569" s="411">
        <f t="shared" si="973"/>
        <v>-2.2512741556472652E-3</v>
      </c>
      <c r="BD569" s="92"/>
      <c r="BE569" s="281" t="str">
        <f t="shared" si="969"/>
        <v>MOUNTAINEER GAS COMPANY</v>
      </c>
      <c r="BF569" s="290">
        <f t="shared" si="970"/>
        <v>4061634</v>
      </c>
      <c r="BG569" s="46" t="str">
        <f t="shared" si="971"/>
        <v>WV</v>
      </c>
      <c r="BH569" s="46"/>
      <c r="BI569" s="46" t="str">
        <f t="shared" si="972"/>
        <v>2014 Y</v>
      </c>
      <c r="BJ569" s="129"/>
      <c r="BK569" s="129"/>
      <c r="BL569" s="129">
        <f>INDEX('Dist. Plant Gas Additions'!$E$7:$AD$91,MATCH($C569,'Dist. Plant Gas Additions'!$C$7:$C$91,0),MATCH(Calculation!$G569,'Dist. Plant Gas Additions'!$E$5:$AD$5,0))</f>
        <v>14265</v>
      </c>
      <c r="BM569" s="129">
        <f>INDEX('Gen. Plant Additions'!$E$7:$AD$91,MATCH($C569,'Gen. Plant Additions'!$C$7:$C$91,0),MATCH(Calculation!$G569,'Gen. Plant Additions'!$E$5:$AD$5,0))</f>
        <v>6755</v>
      </c>
      <c r="BN569" s="393">
        <f t="shared" si="1020"/>
        <v>0.92631484261724195</v>
      </c>
      <c r="BO569" s="46">
        <f t="shared" si="1056"/>
        <v>6257.2567618794692</v>
      </c>
      <c r="BP569" s="46">
        <f t="shared" si="1057"/>
        <v>-497.7432381205308</v>
      </c>
      <c r="BQ569" s="129">
        <f>INDEX('Dist Plant Depreciation'!$D$7:$AC$94,MATCH($C569,'Dist Plant Depreciation'!$C$7:$C$94,0),MATCH(Calculation!$G569,'Dist Plant Depreciation'!$D$5:$AC$5,0))</f>
        <v>240343</v>
      </c>
      <c r="BR569" s="129">
        <f>INDEX('Gen. Plant Depreciation'!$D$7:$AC$94,MATCH($C569,'Gen. Plant Depreciation'!$C$7:$C$94,0),MATCH(Calculation!$G569,'Gen. Plant Depreciation'!$D$5:$AC$5,0))</f>
        <v>18360</v>
      </c>
      <c r="BS569" s="129"/>
      <c r="BT569" s="129"/>
      <c r="BU569" s="129"/>
      <c r="BV569" s="129"/>
      <c r="BW569" s="129"/>
      <c r="BX569" s="129"/>
      <c r="BY569" s="129">
        <f>INDEX('Gross Dx Plant'!$D$7:$AC$91,MATCH($C569,'Gross Dx Plant'!$C$7:$C$91,0),MATCH(Calculation!$G569,'Gross Dx Plant'!$D$5:$AC$5,0))</f>
        <v>432514</v>
      </c>
      <c r="BZ569" s="129">
        <f>INDEX('Gross Gen Plant'!$D$7:$AC$91,MATCH($C569,'Gross Gen Plant'!$C$7:$C$91,0),MATCH(Calculation!$G569,'Gross Gen Plant'!$D$5:$AC$5,0))</f>
        <v>34405</v>
      </c>
      <c r="CA569" s="129">
        <f t="shared" si="960"/>
        <v>208216</v>
      </c>
      <c r="CB569" s="129"/>
      <c r="CC569" s="133">
        <v>2014</v>
      </c>
      <c r="CD569" s="129"/>
      <c r="CE569" s="129"/>
      <c r="CF569" s="129"/>
      <c r="CG569" s="137"/>
      <c r="CH569" s="129">
        <f t="shared" si="1021"/>
        <v>21020</v>
      </c>
      <c r="CI569" s="46">
        <f t="shared" si="1030"/>
        <v>20522.256761879471</v>
      </c>
      <c r="CJ569" s="46">
        <f t="shared" si="1022"/>
        <v>29.982734760570533</v>
      </c>
      <c r="CK569" s="443">
        <v>0.81395348837209303</v>
      </c>
      <c r="CL569" s="46">
        <f>+CL553*CK569+CJ554*CK568+CJ555*CK567+CJ556*CK566+CJ557*CK565+CJ558*CK564+CJ559*CK563+CJ560*CK562+CJ561*CK561+CJ562*CK560+CJ563*CK559+CJ564*CK558+CJ565*CK557+CJ566*CK556+CJ567*CK555+CJ568*CK554+CJ569</f>
        <v>910.00145976058116</v>
      </c>
      <c r="CM569" s="134">
        <f t="shared" si="1023"/>
        <v>1.8434518261308291E-2</v>
      </c>
      <c r="CN569" s="135">
        <f t="shared" si="1024"/>
        <v>1.4955537983591985E-2</v>
      </c>
      <c r="CO569" s="135">
        <f t="shared" si="1033"/>
        <v>1.4539764919595195E-2</v>
      </c>
      <c r="CP569" s="134">
        <f>VLOOKUP($H569,RoR!$E:$F,2,FALSE)</f>
        <v>4.1625000000000002E-2</v>
      </c>
      <c r="CQ569" s="135">
        <v>1.841352814597208E-2</v>
      </c>
      <c r="CR569" s="135">
        <f t="shared" si="1031"/>
        <v>2.3211471854027922E-2</v>
      </c>
      <c r="CS569" s="135">
        <f t="shared" si="1034"/>
        <v>1.636217668893843E-2</v>
      </c>
      <c r="CT569" s="135">
        <f t="shared" si="1035"/>
        <v>3.9072621432650924E-2</v>
      </c>
      <c r="CU569" s="139">
        <f t="shared" si="1025"/>
        <v>0.85126000000000002</v>
      </c>
      <c r="CV569" s="335">
        <f t="shared" si="1026"/>
        <v>1.2320012320012319</v>
      </c>
      <c r="CW569" s="335">
        <f t="shared" si="1027"/>
        <v>0.37439939939939942</v>
      </c>
      <c r="CX569" s="335">
        <f t="shared" si="1028"/>
        <v>0.80432100613819935</v>
      </c>
      <c r="CY569" s="335">
        <f t="shared" si="1029"/>
        <v>0.37100152660040037</v>
      </c>
      <c r="CZ569" s="336">
        <f>INDEX('State Tax Lookup'!$D$7:$Z$91,MATCH(Calculation!$C569,'State Tax Lookup'!$B$7:$B$91,0),MATCH($H569,'State Tax Lookup'!$D$6:$Z$6,0))</f>
        <v>0.40200000000000002</v>
      </c>
      <c r="DA569" s="303">
        <v>0.37</v>
      </c>
      <c r="DB569" s="57">
        <f t="shared" si="1032"/>
        <v>15.886863856312369</v>
      </c>
      <c r="DC569" s="56">
        <f t="shared" si="1036"/>
        <v>7.7991859348281881E-3</v>
      </c>
      <c r="DD569" s="303">
        <f>VLOOKUP($H569,RoR!$E:$F,2,FALSE)</f>
        <v>4.1625000000000002E-2</v>
      </c>
      <c r="DE569" s="304">
        <f>HLOOKUP($H569,'GDP-PI'!$D$8:$CQ$11,3,FALSE)</f>
        <v>1.841352814597208E-2</v>
      </c>
      <c r="DF569" s="303">
        <f>VLOOKUP(H569,'HW Dx Data'!$E:$F,2,FALSE)</f>
        <v>684.46914285042885</v>
      </c>
      <c r="DG569" s="89">
        <f ca="1">VLOOKUP(CC569,'ECI - Input Price'!M$13:N$33,2,FALSE)</f>
        <v>129.4</v>
      </c>
      <c r="DH569" s="89"/>
      <c r="DI569" s="89"/>
      <c r="DJ569" s="56">
        <f t="shared" ca="1" si="1044"/>
        <v>2.0297340063674733E-2</v>
      </c>
      <c r="DK569" s="53">
        <f>HLOOKUP(H569,'GDP-PI'!$8:$9,2,FALSE)</f>
        <v>103.64700000000001</v>
      </c>
      <c r="DL569" s="355">
        <f t="shared" si="1037"/>
        <v>1.8246051898256087E-2</v>
      </c>
      <c r="EC569"/>
    </row>
    <row r="570" spans="1:133" s="126" customFormat="1" ht="21" customHeight="1" x14ac:dyDescent="0.4">
      <c r="A570" s="233" t="s">
        <v>215</v>
      </c>
      <c r="B570" s="127" t="s">
        <v>215</v>
      </c>
      <c r="C570" s="127">
        <v>4061634</v>
      </c>
      <c r="D570" s="127" t="s">
        <v>191</v>
      </c>
      <c r="E570" s="127"/>
      <c r="F570" s="127"/>
      <c r="G570" s="127" t="s">
        <v>171</v>
      </c>
      <c r="H570" s="128">
        <v>2015</v>
      </c>
      <c r="I570" s="129"/>
      <c r="J570" s="125">
        <f>IFERROR(INDEX('Labor Expenditures'!$E$7:$W$91,MATCH($C570,'Labor Expenditures'!$C$7:$C$91,0),MATCH($G570,'Labor Expenditures'!$E$5:$W$5,0)),"NA")</f>
        <v>26525.671827148006</v>
      </c>
      <c r="K570" s="125">
        <f t="shared" ca="1" si="1038"/>
        <v>198.6941709898727</v>
      </c>
      <c r="L570" s="47"/>
      <c r="M570" s="131">
        <f t="shared" ca="1" si="1045"/>
        <v>6.5941309009110508E-2</v>
      </c>
      <c r="N570" s="131"/>
      <c r="O570" s="131"/>
      <c r="P570" s="59">
        <f t="shared" ca="1" si="1047"/>
        <v>5.2232360775369231E-4</v>
      </c>
      <c r="Q570" s="61"/>
      <c r="R570" s="387"/>
      <c r="S570" s="49">
        <f t="shared" ca="1" si="1052"/>
        <v>119.11767753191403</v>
      </c>
      <c r="T570" s="61">
        <f ca="1">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</f>
        <v>-1.2892985888656066E-2</v>
      </c>
      <c r="U570" s="61"/>
      <c r="V570" s="125">
        <f>IFERROR(INDEX('Non-Labor Expenditures'!$E$7:$AA$91,MATCH($C570,'Non-Labor Expenditures'!$C$7:$C$91,0),MATCH($G570,'Non-Labor Expenditures'!$E$5:$AA$5,0)),"NA")</f>
        <v>38414.127117812313</v>
      </c>
      <c r="W570" s="125">
        <f t="shared" si="1039"/>
        <v>367.11099224775</v>
      </c>
      <c r="X570" s="131">
        <f t="shared" si="1048"/>
        <v>8.7608968597171585E-2</v>
      </c>
      <c r="Y570" s="131">
        <f t="shared" si="1049"/>
        <v>6.9395396052772211E-4</v>
      </c>
      <c r="Z570" s="131"/>
      <c r="AA570" s="131"/>
      <c r="AB570" s="131"/>
      <c r="AC570" s="125">
        <f t="shared" si="1019"/>
        <v>13958.221681259471</v>
      </c>
      <c r="AD570" s="129"/>
      <c r="AE570" s="133">
        <v>1013.0437236431599</v>
      </c>
      <c r="AF570" s="134">
        <v>2.462656025636014E-2</v>
      </c>
      <c r="AG570" s="59">
        <f t="shared" si="1040"/>
        <v>1.9506791710623389E-4</v>
      </c>
      <c r="AH570" s="134"/>
      <c r="AI570" s="134"/>
      <c r="AJ570" s="129">
        <f t="shared" si="1015"/>
        <v>78898.02062621979</v>
      </c>
      <c r="AK570" s="134">
        <f t="shared" si="1050"/>
        <v>7.6032531282750698E-2</v>
      </c>
      <c r="AL570" s="129"/>
      <c r="AM570" s="129"/>
      <c r="AN570" s="129"/>
      <c r="AO570" s="129"/>
      <c r="AP570" s="133">
        <f t="shared" si="1051"/>
        <v>362.34802185265886</v>
      </c>
      <c r="AQ570" s="134">
        <f>+BB570/Outputs!$B$23</f>
        <v>5.9766729117588678E-3</v>
      </c>
      <c r="AR570" s="93">
        <f t="shared" si="1041"/>
        <v>0.33620199361925263</v>
      </c>
      <c r="AS570" s="93">
        <f t="shared" si="1042"/>
        <v>0.48688328063133102</v>
      </c>
      <c r="AT570" s="93">
        <f t="shared" si="1043"/>
        <v>0.17691472574941638</v>
      </c>
      <c r="AU570" s="93">
        <f t="shared" ca="1" si="1046"/>
        <v>6.8716569114450357E-2</v>
      </c>
      <c r="AV570" s="132">
        <f t="shared" ca="1" si="1054"/>
        <v>114.39691873607362</v>
      </c>
      <c r="AW570" s="134">
        <f t="shared" ca="1" si="1055"/>
        <v>6.8716569114450329E-2</v>
      </c>
      <c r="AX570" s="56">
        <f>+AJ570/$AL$20</f>
        <v>7.9210378987400396E-3</v>
      </c>
      <c r="AY570" s="135">
        <f t="shared" ca="1" si="1053"/>
        <v>5.4430654822695032E-4</v>
      </c>
      <c r="AZ570" s="93"/>
      <c r="BA570" s="93"/>
      <c r="BB570" s="234">
        <f>IFERROR(INDEX('Total Customers'!$E$7:$AA$91,MATCH($C570,'Total Customers'!$C$7:$C$91,0),MATCH($G570,'Total Customers'!$E$5:$AA$5,0)),"NA")</f>
        <v>217741</v>
      </c>
      <c r="BC570" s="411">
        <f t="shared" si="973"/>
        <v>-2.5502378294491451E-3</v>
      </c>
      <c r="BD570" s="92"/>
      <c r="BE570" s="281" t="str">
        <f t="shared" si="969"/>
        <v>MOUNTAINEER GAS COMPANY</v>
      </c>
      <c r="BF570" s="290">
        <f t="shared" si="970"/>
        <v>4061634</v>
      </c>
      <c r="BG570" s="46" t="str">
        <f t="shared" si="971"/>
        <v>WV</v>
      </c>
      <c r="BH570" s="46"/>
      <c r="BI570" s="46" t="str">
        <f t="shared" si="972"/>
        <v>2015 Y</v>
      </c>
      <c r="BJ570" s="129"/>
      <c r="BK570" s="129"/>
      <c r="BL570" s="129">
        <f>INDEX('Dist. Plant Gas Additions'!$E$7:$AD$91,MATCH($C570,'Dist. Plant Gas Additions'!$C$7:$C$91,0),MATCH(Calculation!$G570,'Dist. Plant Gas Additions'!$E$5:$AD$5,0))</f>
        <v>18247</v>
      </c>
      <c r="BM570" s="129">
        <f>INDEX('Gen. Plant Additions'!$E$7:$AD$91,MATCH($C570,'Gen. Plant Additions'!$C$7:$C$91,0),MATCH(Calculation!$G570,'Gen. Plant Additions'!$E$5:$AD$5,0))</f>
        <v>4025</v>
      </c>
      <c r="BN570" s="393">
        <f t="shared" si="1020"/>
        <v>0.92800963445969076</v>
      </c>
      <c r="BO570" s="46">
        <f t="shared" si="1056"/>
        <v>3735.2387787002554</v>
      </c>
      <c r="BP570" s="46">
        <f t="shared" si="1057"/>
        <v>-289.76122129974465</v>
      </c>
      <c r="BQ570" s="129">
        <f>INDEX('Dist Plant Depreciation'!$D$7:$AC$94,MATCH($C570,'Dist Plant Depreciation'!$C$7:$C$94,0),MATCH(Calculation!$G570,'Dist Plant Depreciation'!$D$5:$AC$5,0))</f>
        <v>250736</v>
      </c>
      <c r="BR570" s="129">
        <f>INDEX('Gen. Plant Depreciation'!$D$7:$AC$94,MATCH($C570,'Gen. Plant Depreciation'!$C$7:$C$94,0),MATCH(Calculation!$G570,'Gen. Plant Depreciation'!$D$5:$AC$5,0))</f>
        <v>17518</v>
      </c>
      <c r="BS570" s="129"/>
      <c r="BT570" s="129"/>
      <c r="BU570" s="129"/>
      <c r="BV570" s="129"/>
      <c r="BW570" s="129"/>
      <c r="BX570" s="129"/>
      <c r="BY570" s="129">
        <f>INDEX('Gross Dx Plant'!$D$7:$AC$91,MATCH($C570,'Gross Dx Plant'!$C$7:$C$91,0),MATCH(Calculation!$G570,'Gross Dx Plant'!$D$5:$AC$5,0))</f>
        <v>450016</v>
      </c>
      <c r="BZ570" s="129">
        <f>INDEX('Gross Gen Plant'!$D$7:$AC$91,MATCH($C570,'Gross Gen Plant'!$C$7:$C$91,0),MATCH(Calculation!$G570,'Gross Gen Plant'!$D$5:$AC$5,0))</f>
        <v>34910</v>
      </c>
      <c r="CA570" s="129">
        <f t="shared" si="960"/>
        <v>216672</v>
      </c>
      <c r="CB570" s="129"/>
      <c r="CC570" s="133">
        <v>2015</v>
      </c>
      <c r="CD570" s="129"/>
      <c r="CE570" s="129"/>
      <c r="CF570" s="129"/>
      <c r="CG570" s="137"/>
      <c r="CH570" s="129">
        <f t="shared" si="1021"/>
        <v>22272</v>
      </c>
      <c r="CI570" s="46">
        <f t="shared" si="1030"/>
        <v>21982.238778700255</v>
      </c>
      <c r="CJ570" s="46">
        <f t="shared" si="1022"/>
        <v>32.536652852337937</v>
      </c>
      <c r="CK570" s="443">
        <v>0.8</v>
      </c>
      <c r="CL570" s="46">
        <f>+CL553*CK570+CJ554*CK569+CJ555*CK568+CJ556*CK567+CJ557*CK566+CJ558*CK565+CJ559*CK564+CJ560*CK563+CJ561*CK562+CJ562*CK561+CJ563*CK560+CJ564*CK559+CJ565*CK558+CJ566*CK557+CJ567*CK556+CJ568*CK555+CJ569*CK554+CJ570</f>
        <v>928.57384917957472</v>
      </c>
      <c r="CM570" s="134">
        <f t="shared" si="1023"/>
        <v>2.0203709991674364E-2</v>
      </c>
      <c r="CN570" s="135">
        <f t="shared" si="1024"/>
        <v>1.5345319816320218E-2</v>
      </c>
      <c r="CO570" s="135">
        <f t="shared" si="1033"/>
        <v>1.4947924781035583E-2</v>
      </c>
      <c r="CP570" s="134">
        <f>VLOOKUP($H570,RoR!$E:$F,2,FALSE)</f>
        <v>3.8866666666666674E-2</v>
      </c>
      <c r="CQ570" s="135">
        <v>9.5709475431029478E-3</v>
      </c>
      <c r="CR570" s="135">
        <f t="shared" si="1031"/>
        <v>2.9295719123563727E-2</v>
      </c>
      <c r="CS570" s="135">
        <f t="shared" si="1034"/>
        <v>1.5954016827498044E-2</v>
      </c>
      <c r="CT570" s="135">
        <f t="shared" si="1035"/>
        <v>3.5270373279175926E-3</v>
      </c>
      <c r="CU570" s="139">
        <f t="shared" si="1025"/>
        <v>0.85126000000000002</v>
      </c>
      <c r="CV570" s="335">
        <f t="shared" si="1026"/>
        <v>1.3194352816994324</v>
      </c>
      <c r="CW570" s="335">
        <f t="shared" si="1027"/>
        <v>0.33177530017152673</v>
      </c>
      <c r="CX570" s="335">
        <f t="shared" si="1028"/>
        <v>0.78242572977668579</v>
      </c>
      <c r="CY570" s="335">
        <f t="shared" si="1029"/>
        <v>0.34251158643433932</v>
      </c>
      <c r="CZ570" s="336">
        <f>INDEX('State Tax Lookup'!$D$7:$Z$91,MATCH(Calculation!$C570,'State Tax Lookup'!$B$7:$B$91,0),MATCH($H570,'State Tax Lookup'!$D$6:$Z$6,0))</f>
        <v>0.40200000000000002</v>
      </c>
      <c r="DA570" s="303">
        <v>0.37</v>
      </c>
      <c r="DB570" s="57">
        <f t="shared" si="1032"/>
        <v>15.338680538965113</v>
      </c>
      <c r="DC570" s="56">
        <f t="shared" si="1036"/>
        <v>-3.5114817367974296E-2</v>
      </c>
      <c r="DD570" s="303">
        <f>VLOOKUP($H570,RoR!$E:$F,2,FALSE)</f>
        <v>3.8866666666666674E-2</v>
      </c>
      <c r="DE570" s="304">
        <f>HLOOKUP($H570,'GDP-PI'!$D$8:$CQ$11,3,FALSE)</f>
        <v>9.5709475431029478E-3</v>
      </c>
      <c r="DF570" s="303">
        <f>VLOOKUP(H570,'HW Dx Data'!$E:$F,2,FALSE)</f>
        <v>675.61463308665782</v>
      </c>
      <c r="DG570" s="89">
        <f ca="1">VLOOKUP(CC570,'ECI - Input Price'!M$13:N$33,2,FALSE)</f>
        <v>133.5</v>
      </c>
      <c r="DH570" s="89"/>
      <c r="DI570" s="89"/>
      <c r="DJ570" s="56">
        <f t="shared" ca="1" si="1044"/>
        <v>3.1193095773504077E-2</v>
      </c>
      <c r="DK570" s="53">
        <f>HLOOKUP(H570,'GDP-PI'!$8:$9,2,FALSE)</f>
        <v>104.639</v>
      </c>
      <c r="DL570" s="355">
        <f t="shared" si="1037"/>
        <v>9.5254361854427965E-3</v>
      </c>
      <c r="EC570"/>
    </row>
    <row r="571" spans="1:133" s="126" customFormat="1" ht="21" customHeight="1" x14ac:dyDescent="0.4">
      <c r="A571" s="233" t="s">
        <v>215</v>
      </c>
      <c r="B571" s="127" t="s">
        <v>215</v>
      </c>
      <c r="C571" s="127">
        <v>4061634</v>
      </c>
      <c r="D571" s="127" t="s">
        <v>191</v>
      </c>
      <c r="E571" s="127"/>
      <c r="F571" s="127"/>
      <c r="G571" s="127" t="s">
        <v>172</v>
      </c>
      <c r="H571" s="128">
        <v>2016</v>
      </c>
      <c r="I571" s="129"/>
      <c r="J571" s="125">
        <f>IFERROR(INDEX('Labor Expenditures'!$E$7:$W$91,MATCH($C571,'Labor Expenditures'!$C$7:$C$91,0),MATCH($G571,'Labor Expenditures'!$E$5:$W$5,0)),"NA")</f>
        <v>24930.057352994634</v>
      </c>
      <c r="K571" s="125">
        <f t="shared" ca="1" si="1038"/>
        <v>182.0376586564048</v>
      </c>
      <c r="L571" s="47"/>
      <c r="M571" s="131">
        <f t="shared" ca="1" si="1045"/>
        <v>-8.7553232027342345E-2</v>
      </c>
      <c r="N571" s="131"/>
      <c r="O571" s="131"/>
      <c r="P571" s="59">
        <f t="shared" ca="1" si="1047"/>
        <v>-6.3720631213517532E-4</v>
      </c>
      <c r="Q571" s="61"/>
      <c r="R571" s="387"/>
      <c r="S571" s="49">
        <f t="shared" ca="1" si="1052"/>
        <v>299.55504863596417</v>
      </c>
      <c r="T571" s="61">
        <f ca="1">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</f>
        <v>0.92218631114768801</v>
      </c>
      <c r="U571" s="61"/>
      <c r="V571" s="125">
        <f>IFERROR(INDEX('Non-Labor Expenditures'!$E$7:$AA$91,MATCH($C571,'Non-Labor Expenditures'!$C$7:$C$91,0),MATCH($G571,'Non-Labor Expenditures'!$E$5:$AA$5,0)),"NA")</f>
        <v>36103.379339563144</v>
      </c>
      <c r="W571" s="125">
        <f t="shared" si="1039"/>
        <v>341.44831788192425</v>
      </c>
      <c r="X571" s="131">
        <f t="shared" si="1048"/>
        <v>-7.2467904525764432E-2</v>
      </c>
      <c r="Y571" s="131">
        <f t="shared" si="1049"/>
        <v>-5.2741635142156183E-4</v>
      </c>
      <c r="Z571" s="131"/>
      <c r="AA571" s="131"/>
      <c r="AB571" s="131"/>
      <c r="AC571" s="125">
        <f t="shared" si="1019"/>
        <v>13802.227800819746</v>
      </c>
      <c r="AD571" s="129"/>
      <c r="AE571" s="133">
        <v>1034.9025874280685</v>
      </c>
      <c r="AF571" s="134">
        <v>2.1347916995590795E-2</v>
      </c>
      <c r="AG571" s="59">
        <f t="shared" si="1040"/>
        <v>1.5536864996919928E-4</v>
      </c>
      <c r="AH571" s="134"/>
      <c r="AI571" s="134"/>
      <c r="AJ571" s="129">
        <f t="shared" si="1015"/>
        <v>74835.664493377524</v>
      </c>
      <c r="AK571" s="134">
        <f t="shared" si="1050"/>
        <v>-5.2861571028815779E-2</v>
      </c>
      <c r="AL571" s="129"/>
      <c r="AM571" s="129"/>
      <c r="AN571" s="129"/>
      <c r="AO571" s="129"/>
      <c r="AP571" s="133">
        <f t="shared" si="1051"/>
        <v>344.93634391176749</v>
      </c>
      <c r="AQ571" s="134">
        <f>+BB571/Outputs!$B$24</f>
        <v>5.9036379776156184E-3</v>
      </c>
      <c r="AR571" s="93">
        <f t="shared" si="1041"/>
        <v>0.33313070073962908</v>
      </c>
      <c r="AS571" s="93">
        <f t="shared" si="1042"/>
        <v>0.48243547490325367</v>
      </c>
      <c r="AT571" s="93">
        <f t="shared" si="1043"/>
        <v>0.18443382435711725</v>
      </c>
      <c r="AU571" s="93">
        <f t="shared" ca="1" si="1046"/>
        <v>-6.0566350434825542E-2</v>
      </c>
      <c r="AV571" s="132">
        <f t="shared" ca="1" si="1054"/>
        <v>107.67396234993359</v>
      </c>
      <c r="AW571" s="134">
        <f t="shared" ca="1" si="1055"/>
        <v>-6.0566350434825528E-2</v>
      </c>
      <c r="AX571" s="56">
        <f>+AJ571/$AL$21</f>
        <v>7.2779302074899941E-3</v>
      </c>
      <c r="AY571" s="135">
        <f t="shared" ca="1" si="1053"/>
        <v>-4.4079767138704144E-4</v>
      </c>
      <c r="AZ571" s="93"/>
      <c r="BA571" s="93"/>
      <c r="BB571" s="234">
        <f>IFERROR(INDEX('Total Customers'!$E$7:$AA$91,MATCH($C571,'Total Customers'!$C$7:$C$91,0),MATCH($G571,'Total Customers'!$E$5:$AA$5,0)),"NA")</f>
        <v>216955</v>
      </c>
      <c r="BC571" s="411">
        <f t="shared" si="973"/>
        <v>-3.6163243121437524E-3</v>
      </c>
      <c r="BD571" s="92"/>
      <c r="BE571" s="281" t="str">
        <f t="shared" si="969"/>
        <v>MOUNTAINEER GAS COMPANY</v>
      </c>
      <c r="BF571" s="290">
        <f t="shared" si="970"/>
        <v>4061634</v>
      </c>
      <c r="BG571" s="46" t="str">
        <f t="shared" si="971"/>
        <v>WV</v>
      </c>
      <c r="BH571" s="46"/>
      <c r="BI571" s="46" t="str">
        <f t="shared" si="972"/>
        <v>2016 Y</v>
      </c>
      <c r="BJ571" s="129"/>
      <c r="BK571" s="129"/>
      <c r="BL571" s="129">
        <f>INDEX('Dist. Plant Gas Additions'!$E$7:$AD$91,MATCH($C571,'Dist. Plant Gas Additions'!$C$7:$C$91,0),MATCH(Calculation!$G571,'Dist. Plant Gas Additions'!$E$5:$AD$5,0))</f>
        <v>18926</v>
      </c>
      <c r="BM571" s="129">
        <f>INDEX('Gen. Plant Additions'!$E$7:$AD$91,MATCH($C571,'Gen. Plant Additions'!$C$7:$C$91,0),MATCH(Calculation!$G571,'Gen. Plant Additions'!$E$5:$AD$5,0))</f>
        <v>1664</v>
      </c>
      <c r="BN571" s="393">
        <f t="shared" si="1020"/>
        <v>0.93581100685752472</v>
      </c>
      <c r="BO571" s="46">
        <f t="shared" si="1056"/>
        <v>1557.1895154109211</v>
      </c>
      <c r="BP571" s="46">
        <f t="shared" si="1057"/>
        <v>-106.8104845890789</v>
      </c>
      <c r="BQ571" s="129">
        <f>INDEX('Dist Plant Depreciation'!$D$7:$AC$94,MATCH($C571,'Dist Plant Depreciation'!$C$7:$C$94,0),MATCH(Calculation!$G571,'Dist Plant Depreciation'!$D$5:$AC$5,0))</f>
        <v>259270</v>
      </c>
      <c r="BR571" s="129">
        <f>INDEX('Gen. Plant Depreciation'!$D$7:$AC$94,MATCH($C571,'Gen. Plant Depreciation'!$C$7:$C$94,0),MATCH(Calculation!$G571,'Gen. Plant Depreciation'!$D$5:$AC$5,0))</f>
        <v>14706</v>
      </c>
      <c r="BS571" s="129"/>
      <c r="BT571" s="129"/>
      <c r="BU571" s="129"/>
      <c r="BV571" s="129"/>
      <c r="BW571" s="129"/>
      <c r="BX571" s="129"/>
      <c r="BY571" s="129">
        <f>INDEX('Gross Dx Plant'!$D$7:$AC$91,MATCH($C571,'Gross Dx Plant'!$C$7:$C$91,0),MATCH(Calculation!$G571,'Gross Dx Plant'!$D$5:$AC$5,0))</f>
        <v>467665</v>
      </c>
      <c r="BZ571" s="129">
        <f>INDEX('Gross Gen Plant'!$D$7:$AC$91,MATCH($C571,'Gross Gen Plant'!$C$7:$C$91,0),MATCH(Calculation!$G571,'Gross Gen Plant'!$D$5:$AC$5,0))</f>
        <v>32078</v>
      </c>
      <c r="CA571" s="129">
        <f t="shared" si="960"/>
        <v>225767</v>
      </c>
      <c r="CB571" s="129"/>
      <c r="CC571" s="133">
        <v>2016</v>
      </c>
      <c r="CD571" s="129"/>
      <c r="CE571" s="129"/>
      <c r="CF571" s="129"/>
      <c r="CG571" s="137"/>
      <c r="CH571" s="129">
        <f t="shared" si="1021"/>
        <v>20590</v>
      </c>
      <c r="CI571" s="46">
        <f t="shared" si="1030"/>
        <v>20483.189515410922</v>
      </c>
      <c r="CJ571" s="46">
        <f t="shared" si="1022"/>
        <v>30.505613920314367</v>
      </c>
      <c r="CK571" s="443">
        <v>0.7857142857142857</v>
      </c>
      <c r="CL571" s="46">
        <f>+CL553*CK571+CJ554*CK570+CJ555*CK569+CJ556*CK568+CJ557*CK567+CJ558*CK566+CJ559*CK565+CJ560*CK564+CJ561*CK563+CJ562*CK562+CJ563*CK561+CJ564*CK560+CJ565*CK559+CJ566*CK558+CJ567*CK557+CJ568*CK556+CJ569*CK555+CJ570*CK554+CJ571</f>
        <v>944.47000139300201</v>
      </c>
      <c r="CM571" s="134">
        <f t="shared" si="1023"/>
        <v>1.6974011440747606E-2</v>
      </c>
      <c r="CN571" s="135">
        <f t="shared" si="1024"/>
        <v>1.5733225440060603E-2</v>
      </c>
      <c r="CO571" s="135">
        <f t="shared" si="1033"/>
        <v>1.5344694413324268E-2</v>
      </c>
      <c r="CP571" s="134">
        <f>VLOOKUP($H571,RoR!$E:$F,2,FALSE)</f>
        <v>3.6658333333333334E-2</v>
      </c>
      <c r="CQ571" s="135">
        <v>1.0483662879041455E-2</v>
      </c>
      <c r="CR571" s="135">
        <f t="shared" si="1031"/>
        <v>2.6174670454291879E-2</v>
      </c>
      <c r="CS571" s="135">
        <f t="shared" si="1034"/>
        <v>1.5557247195209357E-2</v>
      </c>
      <c r="CT571" s="135">
        <f t="shared" si="1035"/>
        <v>4.301363574220729E-3</v>
      </c>
      <c r="CU571" s="139">
        <f t="shared" si="1025"/>
        <v>0.85126000000000002</v>
      </c>
      <c r="CV571" s="335">
        <f t="shared" si="1026"/>
        <v>1.3989193348138562</v>
      </c>
      <c r="CW571" s="335">
        <f t="shared" si="1027"/>
        <v>0.29302682427824522</v>
      </c>
      <c r="CX571" s="335">
        <f t="shared" si="1028"/>
        <v>0.76309497491941802</v>
      </c>
      <c r="CY571" s="335">
        <f t="shared" si="1029"/>
        <v>0.31280857135128509</v>
      </c>
      <c r="CZ571" s="336">
        <f>INDEX('State Tax Lookup'!$D$7:$Z$91,MATCH(Calculation!$C571,'State Tax Lookup'!$B$7:$B$91,0),MATCH($H571,'State Tax Lookup'!$D$6:$Z$6,0))</f>
        <v>0.40200000000000002</v>
      </c>
      <c r="DA571" s="303">
        <v>0.37</v>
      </c>
      <c r="DB571" s="57">
        <f t="shared" si="1032"/>
        <v>14.863898884310025</v>
      </c>
      <c r="DC571" s="56">
        <f t="shared" si="1036"/>
        <v>-3.1442398506290194E-2</v>
      </c>
      <c r="DD571" s="303">
        <f>VLOOKUP($H571,RoR!$E:$F,2,FALSE)</f>
        <v>3.6658333333333334E-2</v>
      </c>
      <c r="DE571" s="304">
        <f>HLOOKUP($H571,'GDP-PI'!$D$8:$CQ$11,3,FALSE)</f>
        <v>1.0483662879041455E-2</v>
      </c>
      <c r="DF571" s="303">
        <f>VLOOKUP(H571,'HW Dx Data'!$E:$F,2,FALSE)</f>
        <v>671.45639385971219</v>
      </c>
      <c r="DG571" s="89">
        <f ca="1">VLOOKUP(CC571,'ECI - Input Price'!M$13:N$33,2,FALSE)</f>
        <v>136.94999999999999</v>
      </c>
      <c r="DH571" s="89"/>
      <c r="DI571" s="89"/>
      <c r="DJ571" s="56">
        <f t="shared" ca="1" si="1044"/>
        <v>2.5514417868782811E-2</v>
      </c>
      <c r="DK571" s="53">
        <f>HLOOKUP(H571,'GDP-PI'!$8:$9,2,FALSE)</f>
        <v>105.736</v>
      </c>
      <c r="DL571" s="355">
        <f t="shared" si="1037"/>
        <v>1.0429090367205095E-2</v>
      </c>
      <c r="EC571"/>
    </row>
    <row r="572" spans="1:133" s="126" customFormat="1" ht="21" customHeight="1" x14ac:dyDescent="0.4">
      <c r="A572" s="233" t="s">
        <v>215</v>
      </c>
      <c r="B572" s="127" t="s">
        <v>215</v>
      </c>
      <c r="C572" s="127">
        <v>4061634</v>
      </c>
      <c r="D572" s="127" t="s">
        <v>191</v>
      </c>
      <c r="E572" s="127"/>
      <c r="F572" s="127"/>
      <c r="G572" s="127" t="s">
        <v>173</v>
      </c>
      <c r="H572" s="128">
        <v>2017</v>
      </c>
      <c r="I572" s="129"/>
      <c r="J572" s="125">
        <f>IFERROR(INDEX('Labor Expenditures'!$E$7:$W$91,MATCH($C572,'Labor Expenditures'!$C$7:$C$91,0),MATCH($G572,'Labor Expenditures'!$E$5:$W$5,0)),"NA")</f>
        <v>25427.765915720975</v>
      </c>
      <c r="K572" s="125">
        <f t="shared" ca="1" si="1038"/>
        <v>181.04496914005679</v>
      </c>
      <c r="L572" s="47"/>
      <c r="M572" s="131">
        <f t="shared" ca="1" si="1045"/>
        <v>-5.4681326719598303E-3</v>
      </c>
      <c r="N572" s="131"/>
      <c r="O572" s="131"/>
      <c r="P572" s="59">
        <f t="shared" ca="1" si="1047"/>
        <v>-3.9747017446785747E-5</v>
      </c>
      <c r="Q572" s="61"/>
      <c r="R572" s="387"/>
      <c r="S572" s="49">
        <f t="shared" ca="1" si="1052"/>
        <v>166.22762392567927</v>
      </c>
      <c r="T572" s="61">
        <f ca="1">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</f>
        <v>-0.58894012490627679</v>
      </c>
      <c r="U572" s="61"/>
      <c r="V572" s="125">
        <f>IFERROR(INDEX('Non-Labor Expenditures'!$E$7:$AA$91,MATCH($C572,'Non-Labor Expenditures'!$C$7:$C$91,0),MATCH($G572,'Non-Labor Expenditures'!$E$5:$AA$5,0)),"NA")</f>
        <v>36824.154297527668</v>
      </c>
      <c r="W572" s="125">
        <f t="shared" si="1039"/>
        <v>341.75232060516993</v>
      </c>
      <c r="X572" s="131">
        <f t="shared" si="1048"/>
        <v>8.8993694146058963E-4</v>
      </c>
      <c r="Y572" s="131">
        <f t="shared" si="1049"/>
        <v>6.4688150893192253E-6</v>
      </c>
      <c r="Z572" s="131"/>
      <c r="AA572" s="131"/>
      <c r="AB572" s="131"/>
      <c r="AC572" s="125">
        <f t="shared" si="1019"/>
        <v>12465.478626774206</v>
      </c>
      <c r="AD572" s="129"/>
      <c r="AE572" s="133">
        <v>1064.4048998270864</v>
      </c>
      <c r="AF572" s="134">
        <v>2.81085596199281E-2</v>
      </c>
      <c r="AG572" s="59">
        <f t="shared" si="1040"/>
        <v>2.0431680733468255E-4</v>
      </c>
      <c r="AH572" s="134"/>
      <c r="AI572" s="134"/>
      <c r="AJ572" s="129">
        <f t="shared" si="1015"/>
        <v>74717.398840022841</v>
      </c>
      <c r="AK572" s="134">
        <f t="shared" si="1050"/>
        <v>-1.5815881717342404E-3</v>
      </c>
      <c r="AL572" s="129"/>
      <c r="AM572" s="129"/>
      <c r="AN572" s="129"/>
      <c r="AO572" s="129"/>
      <c r="AP572" s="133">
        <f t="shared" si="1051"/>
        <v>344.95885853065516</v>
      </c>
      <c r="AQ572" s="134">
        <f>+BB572/Outputs!$B$25</f>
        <v>5.8496415427553867E-3</v>
      </c>
      <c r="AR572" s="93">
        <f t="shared" si="1041"/>
        <v>0.34031920691142198</v>
      </c>
      <c r="AS572" s="93">
        <f t="shared" si="1042"/>
        <v>0.49284577446776129</v>
      </c>
      <c r="AT572" s="93">
        <f t="shared" si="1043"/>
        <v>0.16683501862081679</v>
      </c>
      <c r="AU572" s="93">
        <f t="shared" ca="1" si="1046"/>
        <v>3.529543292321241E-3</v>
      </c>
      <c r="AV572" s="132">
        <f t="shared" ca="1" si="1054"/>
        <v>108.05467373492957</v>
      </c>
      <c r="AW572" s="134">
        <f t="shared" ca="1" si="1055"/>
        <v>3.5295432923212744E-3</v>
      </c>
      <c r="AX572" s="56">
        <f>+AJ572/$AL$22</f>
        <v>7.2688465754690698E-3</v>
      </c>
      <c r="AY572" s="135">
        <f t="shared" ca="1" si="1053"/>
        <v>2.5655708673359322E-5</v>
      </c>
      <c r="AZ572" s="93"/>
      <c r="BA572" s="93"/>
      <c r="BB572" s="234">
        <f>IFERROR(INDEX('Total Customers'!$E$7:$AA$91,MATCH($C572,'Total Customers'!$C$7:$C$91,0),MATCH($G572,'Total Customers'!$E$5:$AA$5,0)),"NA")</f>
        <v>216598</v>
      </c>
      <c r="BC572" s="411">
        <f t="shared" si="973"/>
        <v>-1.6468578498415589E-3</v>
      </c>
      <c r="BD572" s="92"/>
      <c r="BE572" s="281" t="str">
        <f t="shared" si="969"/>
        <v>MOUNTAINEER GAS COMPANY</v>
      </c>
      <c r="BF572" s="290">
        <f t="shared" si="970"/>
        <v>4061634</v>
      </c>
      <c r="BG572" s="46" t="str">
        <f t="shared" si="971"/>
        <v>WV</v>
      </c>
      <c r="BH572" s="46"/>
      <c r="BI572" s="46" t="str">
        <f t="shared" si="972"/>
        <v>2017 Y</v>
      </c>
      <c r="BJ572" s="129"/>
      <c r="BK572" s="129"/>
      <c r="BL572" s="129">
        <f>INDEX('Dist. Plant Gas Additions'!$E$7:$AD$91,MATCH($C572,'Dist. Plant Gas Additions'!$C$7:$C$91,0),MATCH(Calculation!$G572,'Dist. Plant Gas Additions'!$E$5:$AD$5,0))</f>
        <v>25315</v>
      </c>
      <c r="BM572" s="129">
        <f>INDEX('Gen. Plant Additions'!$E$7:$AD$91,MATCH($C572,'Gen. Plant Additions'!$C$7:$C$91,0),MATCH(Calculation!$G572,'Gen. Plant Additions'!$E$5:$AD$5,0))</f>
        <v>2330</v>
      </c>
      <c r="BN572" s="393">
        <f t="shared" si="1020"/>
        <v>0.93646072732188723</v>
      </c>
      <c r="BO572" s="46">
        <f t="shared" si="1056"/>
        <v>2181.9534946599974</v>
      </c>
      <c r="BP572" s="46">
        <f t="shared" si="1057"/>
        <v>-148.04650534000257</v>
      </c>
      <c r="BQ572" s="129">
        <f>INDEX('Dist Plant Depreciation'!$D$7:$AC$94,MATCH($C572,'Dist Plant Depreciation'!$C$7:$C$94,0),MATCH(Calculation!$G572,'Dist Plant Depreciation'!$D$5:$AC$5,0))</f>
        <v>268482</v>
      </c>
      <c r="BR572" s="129">
        <f>INDEX('Gen. Plant Depreciation'!$D$7:$AC$94,MATCH($C572,'Gen. Plant Depreciation'!$C$7:$C$94,0),MATCH(Calculation!$G572,'Gen. Plant Depreciation'!$D$5:$AC$5,0))</f>
        <v>15161</v>
      </c>
      <c r="BS572" s="129"/>
      <c r="BT572" s="129"/>
      <c r="BU572" s="129"/>
      <c r="BV572" s="129"/>
      <c r="BW572" s="129"/>
      <c r="BX572" s="129"/>
      <c r="BY572" s="129">
        <f>INDEX('Gross Dx Plant'!$D$7:$AC$91,MATCH($C572,'Gross Dx Plant'!$C$7:$C$91,0),MATCH(Calculation!$G572,'Gross Dx Plant'!$D$5:$AC$5,0))</f>
        <v>491817</v>
      </c>
      <c r="BZ572" s="129">
        <f>INDEX('Gross Gen Plant'!$D$7:$AC$91,MATCH($C572,'Gross Gen Plant'!$C$7:$C$91,0),MATCH(Calculation!$G572,'Gross Gen Plant'!$D$5:$AC$5,0))</f>
        <v>33370</v>
      </c>
      <c r="CA572" s="129">
        <f t="shared" si="960"/>
        <v>241544</v>
      </c>
      <c r="CB572" s="129"/>
      <c r="CC572" s="133">
        <v>2017</v>
      </c>
      <c r="CD572" s="129"/>
      <c r="CE572" s="129"/>
      <c r="CF572" s="129"/>
      <c r="CG572" s="137"/>
      <c r="CH572" s="129">
        <f t="shared" si="1021"/>
        <v>27645</v>
      </c>
      <c r="CI572" s="46">
        <f t="shared" si="1030"/>
        <v>27496.953494659996</v>
      </c>
      <c r="CJ572" s="46">
        <f t="shared" si="1022"/>
        <v>38.596084047843533</v>
      </c>
      <c r="CK572" s="443">
        <v>0.77108433734939763</v>
      </c>
      <c r="CL572" s="46">
        <f>+CL553*CK572+CJ554*CK571+CJ555*CK570+CJ556*CK569+CJ557*CK568+CJ558*CK567+CJ559*CK566+CJ560*CK565+CJ561*CK564+CJ562*CK563+CJ563*CK562+CJ564*CK561+CJ565*CK560+CJ566*CK559+CJ567*CK558+CJ568*CK557+CJ569*CK556+CJ570*CK555+CJ571*CK554+CJ572</f>
        <v>967.81372297852317</v>
      </c>
      <c r="CM572" s="134">
        <f t="shared" si="1023"/>
        <v>2.4415708744518372E-2</v>
      </c>
      <c r="CN572" s="135">
        <f t="shared" si="1024"/>
        <v>1.6149123254128352E-2</v>
      </c>
      <c r="CO572" s="135">
        <f t="shared" si="1033"/>
        <v>1.5742556170169723E-2</v>
      </c>
      <c r="CP572" s="134">
        <f>VLOOKUP($H572,RoR!$E:$F,2,FALSE)</f>
        <v>3.7433333333333339E-2</v>
      </c>
      <c r="CQ572" s="135">
        <v>1.9056896421275615E-2</v>
      </c>
      <c r="CR572" s="135">
        <f t="shared" si="1031"/>
        <v>1.8376436912057724E-2</v>
      </c>
      <c r="CS572" s="135">
        <f t="shared" si="1034"/>
        <v>1.5159385438363902E-2</v>
      </c>
      <c r="CT572" s="135">
        <f t="shared" si="1035"/>
        <v>1.3976271617800498E-2</v>
      </c>
      <c r="CU572" s="139">
        <f t="shared" si="1025"/>
        <v>0.90305999999999997</v>
      </c>
      <c r="CV572" s="335">
        <f t="shared" si="1026"/>
        <v>1.3699568463593395</v>
      </c>
      <c r="CW572" s="335">
        <f t="shared" si="1027"/>
        <v>0.30714603739982199</v>
      </c>
      <c r="CX572" s="335">
        <f t="shared" si="1028"/>
        <v>0.77007188472689425</v>
      </c>
      <c r="CY572" s="335">
        <f t="shared" si="1029"/>
        <v>0.32402839633793828</v>
      </c>
      <c r="CZ572" s="336">
        <f>INDEX('State Tax Lookup'!$D$7:$Z$91,MATCH(Calculation!$C572,'State Tax Lookup'!$B$7:$B$91,0),MATCH($H572,'State Tax Lookup'!$D$6:$Z$6,0))</f>
        <v>0.26200000000000001</v>
      </c>
      <c r="DA572" s="303">
        <v>0.37</v>
      </c>
      <c r="DB572" s="57">
        <f t="shared" si="1032"/>
        <v>13.198384923172604</v>
      </c>
      <c r="DC572" s="56">
        <f t="shared" si="1036"/>
        <v>-0.11884091152299373</v>
      </c>
      <c r="DD572" s="303">
        <f>VLOOKUP($H572,RoR!$E:$F,2,FALSE)</f>
        <v>3.7433333333333339E-2</v>
      </c>
      <c r="DE572" s="304">
        <f>HLOOKUP($H572,'GDP-PI'!$D$8:$CQ$11,3,FALSE)</f>
        <v>1.9056896421275615E-2</v>
      </c>
      <c r="DF572" s="303">
        <f>VLOOKUP(H572,'HW Dx Data'!$E:$F,2,FALSE)</f>
        <v>712.42858370229726</v>
      </c>
      <c r="DG572" s="89">
        <f ca="1">VLOOKUP(CC572,'ECI - Input Price'!M$13:N$33,2,FALSE)</f>
        <v>140.44999999999999</v>
      </c>
      <c r="DH572" s="89"/>
      <c r="DI572" s="89"/>
      <c r="DJ572" s="56">
        <f t="shared" ca="1" si="1044"/>
        <v>2.5235657841165486E-2</v>
      </c>
      <c r="DK572" s="53">
        <f>HLOOKUP(H572,'GDP-PI'!$8:$9,2,FALSE)</f>
        <v>107.751</v>
      </c>
      <c r="DL572" s="355">
        <f t="shared" si="1037"/>
        <v>1.8877588227745139E-2</v>
      </c>
      <c r="EC572"/>
    </row>
    <row r="573" spans="1:133" s="126" customFormat="1" ht="21" customHeight="1" x14ac:dyDescent="0.4">
      <c r="A573" s="233" t="s">
        <v>215</v>
      </c>
      <c r="B573" s="127" t="s">
        <v>215</v>
      </c>
      <c r="C573" s="127">
        <v>4061634</v>
      </c>
      <c r="D573" s="127" t="s">
        <v>191</v>
      </c>
      <c r="E573" s="127"/>
      <c r="F573" s="127"/>
      <c r="G573" s="127" t="s">
        <v>174</v>
      </c>
      <c r="H573" s="128">
        <v>2018</v>
      </c>
      <c r="I573" s="129"/>
      <c r="J573" s="125">
        <f>IFERROR(INDEX('Labor Expenditures'!$E$7:$W$91,MATCH($C573,'Labor Expenditures'!$C$7:$C$91,0),MATCH($G573,'Labor Expenditures'!$E$5:$W$5,0)),"NA")</f>
        <v>28321.855585047429</v>
      </c>
      <c r="K573" s="125">
        <f t="shared" ca="1" si="1038"/>
        <v>196.0668437871058</v>
      </c>
      <c r="L573" s="47"/>
      <c r="M573" s="131">
        <f t="shared" ca="1" si="1045"/>
        <v>7.971019212455116E-2</v>
      </c>
      <c r="N573" s="131"/>
      <c r="O573" s="131"/>
      <c r="P573" s="59">
        <f t="shared" ca="1" si="1047"/>
        <v>5.909309039175203E-4</v>
      </c>
      <c r="Q573" s="61"/>
      <c r="R573" s="387"/>
      <c r="S573" s="49">
        <f t="shared" ca="1" si="1052"/>
        <v>114.71146968320114</v>
      </c>
      <c r="T573" s="61">
        <f ca="1">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</f>
        <v>-0.37093806117532097</v>
      </c>
      <c r="U573" s="61"/>
      <c r="V573" s="125">
        <f>IFERROR(INDEX('Non-Labor Expenditures'!$E$7:$AA$91,MATCH($C573,'Non-Labor Expenditures'!$C$7:$C$91,0),MATCH($G573,'Non-Labor Expenditures'!$E$5:$AA$5,0)),"NA")</f>
        <v>41015.336680100598</v>
      </c>
      <c r="W573" s="125">
        <f t="shared" si="1039"/>
        <v>371.77840031997783</v>
      </c>
      <c r="X573" s="131">
        <f t="shared" si="1048"/>
        <v>8.4211712770034017E-2</v>
      </c>
      <c r="Y573" s="131">
        <f t="shared" si="1049"/>
        <v>6.2430289303381853E-4</v>
      </c>
      <c r="Z573" s="131"/>
      <c r="AA573" s="131"/>
      <c r="AB573" s="131"/>
      <c r="AC573" s="125">
        <f t="shared" si="1019"/>
        <v>13159.761206478554</v>
      </c>
      <c r="AD573" s="129"/>
      <c r="AE573" s="133">
        <v>1136.8594001145098</v>
      </c>
      <c r="AF573" s="134">
        <v>6.5853684990793984E-2</v>
      </c>
      <c r="AG573" s="59">
        <f t="shared" si="1040"/>
        <v>4.8820579352139726E-4</v>
      </c>
      <c r="AH573" s="134"/>
      <c r="AI573" s="134"/>
      <c r="AJ573" s="129">
        <f t="shared" si="1015"/>
        <v>82496.953471626577</v>
      </c>
      <c r="AK573" s="134">
        <f t="shared" si="1050"/>
        <v>9.9048383825709865E-2</v>
      </c>
      <c r="AL573" s="129"/>
      <c r="AM573" s="129"/>
      <c r="AN573" s="129"/>
      <c r="AO573" s="129"/>
      <c r="AP573" s="133">
        <f t="shared" si="1051"/>
        <v>381.34067447385331</v>
      </c>
      <c r="AQ573" s="134">
        <f>+BB573/Outputs!$B$26</f>
        <v>5.7913437221688421E-3</v>
      </c>
      <c r="AR573" s="93">
        <f t="shared" si="1041"/>
        <v>0.34330789675509954</v>
      </c>
      <c r="AS573" s="93">
        <f t="shared" si="1042"/>
        <v>0.49717395557166999</v>
      </c>
      <c r="AT573" s="93">
        <f t="shared" si="1043"/>
        <v>0.1595181476732305</v>
      </c>
      <c r="AU573" s="93">
        <f t="shared" ca="1" si="1046"/>
        <v>7.9677431763216247E-2</v>
      </c>
      <c r="AV573" s="132">
        <f t="shared" ca="1" si="1054"/>
        <v>117.01647877120176</v>
      </c>
      <c r="AW573" s="134">
        <f t="shared" ca="1" si="1055"/>
        <v>7.9677431763216261E-2</v>
      </c>
      <c r="AX573" s="56">
        <f>+AJ573/$AL$23</f>
        <v>7.4134924050134167E-3</v>
      </c>
      <c r="AY573" s="135">
        <f t="shared" ca="1" si="1053"/>
        <v>5.9068803522757847E-4</v>
      </c>
      <c r="AZ573" s="93"/>
      <c r="BA573" s="93"/>
      <c r="BB573" s="234">
        <f>IFERROR(INDEX('Total Customers'!$E$7:$AA$91,MATCH($C573,'Total Customers'!$C$7:$C$91,0),MATCH($G573,'Total Customers'!$E$5:$AA$5,0)),"NA")</f>
        <v>216334</v>
      </c>
      <c r="BC573" s="411">
        <f t="shared" si="973"/>
        <v>-1.219591218587966E-3</v>
      </c>
      <c r="BD573" s="92"/>
      <c r="BE573" s="281" t="str">
        <f t="shared" si="969"/>
        <v>MOUNTAINEER GAS COMPANY</v>
      </c>
      <c r="BF573" s="290">
        <f t="shared" si="970"/>
        <v>4061634</v>
      </c>
      <c r="BG573" s="46" t="str">
        <f t="shared" si="971"/>
        <v>WV</v>
      </c>
      <c r="BH573" s="46"/>
      <c r="BI573" s="46" t="str">
        <f t="shared" si="972"/>
        <v>2018 Y</v>
      </c>
      <c r="BJ573" s="129"/>
      <c r="BK573" s="129"/>
      <c r="BL573" s="129">
        <f>INDEX('Dist. Plant Gas Additions'!$E$7:$AD$91,MATCH($C573,'Dist. Plant Gas Additions'!$C$7:$C$91,0),MATCH(Calculation!$G573,'Dist. Plant Gas Additions'!$E$5:$AD$5,0))</f>
        <v>59885</v>
      </c>
      <c r="BM573" s="129">
        <f>INDEX('Gen. Plant Additions'!$E$7:$AD$91,MATCH($C573,'Gen. Plant Additions'!$C$7:$C$91,0),MATCH(Calculation!$G573,'Gen. Plant Additions'!$E$5:$AD$5,0))</f>
        <v>2276</v>
      </c>
      <c r="BN573" s="393">
        <f t="shared" si="1020"/>
        <v>0.9402706413967078</v>
      </c>
      <c r="BO573" s="46">
        <f t="shared" si="1056"/>
        <v>2140.055979818907</v>
      </c>
      <c r="BP573" s="46">
        <f t="shared" si="1057"/>
        <v>-135.94402018109304</v>
      </c>
      <c r="BQ573" s="129">
        <f>INDEX('Dist Plant Depreciation'!$D$7:$AC$94,MATCH($C573,'Dist Plant Depreciation'!$C$7:$C$94,0),MATCH(Calculation!$G573,'Dist Plant Depreciation'!$D$5:$AC$5,0))</f>
        <v>274798</v>
      </c>
      <c r="BR573" s="129">
        <f>INDEX('Gen. Plant Depreciation'!$D$7:$AC$94,MATCH($C573,'Gen. Plant Depreciation'!$C$7:$C$94,0),MATCH(Calculation!$G573,'Gen. Plant Depreciation'!$D$5:$AC$5,0))</f>
        <v>15621</v>
      </c>
      <c r="BS573" s="129"/>
      <c r="BT573" s="129"/>
      <c r="BU573" s="129"/>
      <c r="BV573" s="129"/>
      <c r="BW573" s="129"/>
      <c r="BX573" s="129"/>
      <c r="BY573" s="129">
        <f>INDEX('Gross Dx Plant'!$D$7:$AC$91,MATCH($C573,'Gross Dx Plant'!$C$7:$C$91,0),MATCH(Calculation!$G573,'Gross Dx Plant'!$D$5:$AC$5,0))</f>
        <v>546427</v>
      </c>
      <c r="BZ573" s="129">
        <f>INDEX('Gross Gen Plant'!$D$7:$AC$91,MATCH($C573,'Gross Gen Plant'!$C$7:$C$91,0),MATCH(Calculation!$G573,'Gross Gen Plant'!$D$5:$AC$5,0))</f>
        <v>34711</v>
      </c>
      <c r="CA573" s="129">
        <f t="shared" si="960"/>
        <v>290719</v>
      </c>
      <c r="CB573" s="129"/>
      <c r="CC573" s="133">
        <v>2018</v>
      </c>
      <c r="CD573" s="129"/>
      <c r="CE573" s="129"/>
      <c r="CF573" s="129"/>
      <c r="CG573" s="137"/>
      <c r="CH573" s="129">
        <f t="shared" si="1021"/>
        <v>62161</v>
      </c>
      <c r="CI573" s="46">
        <f t="shared" si="1030"/>
        <v>62025.055979818906</v>
      </c>
      <c r="CJ573" s="46">
        <f t="shared" si="1022"/>
        <v>82.137518679496409</v>
      </c>
      <c r="CK573" s="443">
        <v>0.75609756097560976</v>
      </c>
      <c r="CL573" s="46">
        <f>+CL553*CK573++CJ554*CK572+CJ555*CK571+CJ556*CK570+CJ557*CK569+CJ558*CK568+CJ559*CK567+CJ560*CK566+CJ561*CK565+CJ562*CK564+CJ563*CK563+CJ564*CK562+CJ565*CK561+CJ566*CK560+CJ567*CK559+CJ568*CK558+CJ569*CK557+CJ570*CK556+CJ571*CK555+CJ572*CK554+CJ573</f>
        <v>1033.9577289335562</v>
      </c>
      <c r="CM573" s="134">
        <f t="shared" si="1023"/>
        <v>6.6109539304916545E-2</v>
      </c>
      <c r="CN573" s="135">
        <f t="shared" si="1024"/>
        <v>1.6525403954019302E-2</v>
      </c>
      <c r="CO573" s="135">
        <f t="shared" si="1033"/>
        <v>1.6135917549402752E-2</v>
      </c>
      <c r="CP573" s="134">
        <f>VLOOKUP($H573,RoR!$E:$F,2,FALSE)</f>
        <v>3.9299999999999995E-2</v>
      </c>
      <c r="CQ573" s="135">
        <v>2.386056741932796E-2</v>
      </c>
      <c r="CR573" s="135">
        <f t="shared" si="1031"/>
        <v>1.5439432580672034E-2</v>
      </c>
      <c r="CS573" s="135">
        <f t="shared" si="1034"/>
        <v>1.4766024059130873E-2</v>
      </c>
      <c r="CT573" s="135">
        <f t="shared" si="1035"/>
        <v>3.8270792163076606E-2</v>
      </c>
      <c r="CU573" s="139">
        <f t="shared" si="1025"/>
        <v>0.90305999999999997</v>
      </c>
      <c r="CV573" s="335">
        <f t="shared" si="1026"/>
        <v>1.3048868010700074</v>
      </c>
      <c r="CW573" s="335">
        <f t="shared" si="1027"/>
        <v>0.33886768447837151</v>
      </c>
      <c r="CX573" s="335">
        <f t="shared" si="1028"/>
        <v>0.78602506232557801</v>
      </c>
      <c r="CY573" s="335">
        <f t="shared" si="1029"/>
        <v>0.34756768162358759</v>
      </c>
      <c r="CZ573" s="336">
        <f>INDEX('State Tax Lookup'!$D$7:$Z$91,MATCH(Calculation!$C573,'State Tax Lookup'!$B$7:$B$91,0),MATCH($H573,'State Tax Lookup'!$D$6:$Z$6,0))</f>
        <v>0.26200000000000001</v>
      </c>
      <c r="DA573" s="303">
        <v>0.37</v>
      </c>
      <c r="DB573" s="57">
        <f t="shared" si="1032"/>
        <v>13.597411251804065</v>
      </c>
      <c r="DC573" s="56">
        <f t="shared" si="1036"/>
        <v>2.9784957689936102E-2</v>
      </c>
      <c r="DD573" s="303">
        <f>VLOOKUP($H573,RoR!$E:$F,2,FALSE)</f>
        <v>3.9299999999999995E-2</v>
      </c>
      <c r="DE573" s="304">
        <f>HLOOKUP($H573,'GDP-PI'!$D$8:$CQ$11,3,FALSE)</f>
        <v>2.386056741932796E-2</v>
      </c>
      <c r="DF573" s="303">
        <f>VLOOKUP(H573,'HW Dx Data'!$E:$F,2,FALSE)</f>
        <v>755.13671434174842</v>
      </c>
      <c r="DG573" s="89">
        <f ca="1">VLOOKUP(CC573,'ECI - Input Price'!M$13:N$33,2,FALSE)</f>
        <v>144.44999999999999</v>
      </c>
      <c r="DH573" s="89"/>
      <c r="DI573" s="89"/>
      <c r="DJ573" s="56">
        <f t="shared" ca="1" si="1044"/>
        <v>2.80818733619915E-2</v>
      </c>
      <c r="DK573" s="53">
        <f>HLOOKUP(H573,'GDP-PI'!$8:$9,2,FALSE)</f>
        <v>110.322</v>
      </c>
      <c r="DL573" s="355">
        <f t="shared" si="1037"/>
        <v>2.3580352716508712E-2</v>
      </c>
      <c r="EC573"/>
    </row>
    <row r="574" spans="1:133" s="126" customFormat="1" ht="21" customHeight="1" x14ac:dyDescent="0.4">
      <c r="A574" s="233" t="s">
        <v>215</v>
      </c>
      <c r="B574" s="127" t="s">
        <v>215</v>
      </c>
      <c r="C574" s="127">
        <v>4061634</v>
      </c>
      <c r="D574" s="127" t="s">
        <v>191</v>
      </c>
      <c r="E574" s="127"/>
      <c r="F574" s="127"/>
      <c r="G574" s="127" t="s">
        <v>175</v>
      </c>
      <c r="H574" s="128">
        <v>2019</v>
      </c>
      <c r="I574" s="129"/>
      <c r="J574" s="125">
        <f>IFERROR(INDEX('Labor Expenditures'!$E$7:$W$91,MATCH($C574,'Labor Expenditures'!$C$7:$C$91,0),MATCH($G574,'Labor Expenditures'!$E$5:$W$5,0)),"NA")</f>
        <v>28404.912946926677</v>
      </c>
      <c r="K574" s="125">
        <f t="shared" ca="1" si="1038"/>
        <v>189.77727039870837</v>
      </c>
      <c r="L574" s="47"/>
      <c r="M574" s="131">
        <f t="shared" ca="1" si="1045"/>
        <v>-3.260451735420257E-2</v>
      </c>
      <c r="N574" s="131"/>
      <c r="O574" s="131"/>
      <c r="P574" s="59">
        <f t="shared" ca="1" si="1047"/>
        <v>-2.3936084689404473E-4</v>
      </c>
      <c r="Q574" s="61"/>
      <c r="R574" s="387"/>
      <c r="S574" s="49">
        <f t="shared" ca="1" si="1052"/>
        <v>116.31595811037759</v>
      </c>
      <c r="T574" s="61">
        <f ca="1">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</f>
        <v>1.3890248788076197E-2</v>
      </c>
      <c r="U574" s="61"/>
      <c r="V574" s="125">
        <f>IFERROR(INDEX('Non-Labor Expenditures'!$E$7:$AA$91,MATCH($C574,'Non-Labor Expenditures'!$C$7:$C$91,0),MATCH($G574,'Non-Labor Expenditures'!$E$5:$AA$5,0)),"NA")</f>
        <v>41135.619253077093</v>
      </c>
      <c r="W574" s="125">
        <f t="shared" si="1039"/>
        <v>366.24244780958611</v>
      </c>
      <c r="X574" s="131">
        <f t="shared" si="1048"/>
        <v>-1.5002438906432755E-2</v>
      </c>
      <c r="Y574" s="131">
        <f t="shared" si="1049"/>
        <v>-1.1013800459331284E-4</v>
      </c>
      <c r="Z574" s="131"/>
      <c r="AA574" s="131"/>
      <c r="AB574" s="131"/>
      <c r="AC574" s="125">
        <f t="shared" si="1019"/>
        <v>14100.182150175462</v>
      </c>
      <c r="AD574" s="129"/>
      <c r="AE574" s="133">
        <v>1197.2995610667167</v>
      </c>
      <c r="AF574" s="134">
        <v>5.1799106666351256E-2</v>
      </c>
      <c r="AG574" s="59">
        <f t="shared" si="1040"/>
        <v>3.8027485287754653E-4</v>
      </c>
      <c r="AH574" s="134"/>
      <c r="AI574" s="134"/>
      <c r="AJ574" s="129">
        <f t="shared" si="1015"/>
        <v>83640.714350179231</v>
      </c>
      <c r="AK574" s="134">
        <f t="shared" si="1050"/>
        <v>1.3769050253923431E-2</v>
      </c>
      <c r="AL574" s="129"/>
      <c r="AM574" s="129"/>
      <c r="AN574" s="129"/>
      <c r="AO574" s="129"/>
      <c r="AP574" s="133">
        <f t="shared" si="1051"/>
        <v>388.08794705910924</v>
      </c>
      <c r="AQ574" s="134">
        <f>+BB574/Outputs!$B$27</f>
        <v>5.7219700791833897E-3</v>
      </c>
      <c r="AR574" s="93">
        <f t="shared" si="1041"/>
        <v>0.33960629303097062</v>
      </c>
      <c r="AS574" s="93">
        <f t="shared" si="1042"/>
        <v>0.49181334201492199</v>
      </c>
      <c r="AT574" s="93">
        <f t="shared" si="1043"/>
        <v>0.16858036495410739</v>
      </c>
      <c r="AU574" s="93">
        <f t="shared" ca="1" si="1046"/>
        <v>-1.0054049605468662E-2</v>
      </c>
      <c r="AV574" s="132">
        <f t="shared" ca="1" si="1054"/>
        <v>115.84588375981215</v>
      </c>
      <c r="AW574" s="134">
        <f t="shared" ca="1" si="1055"/>
        <v>-1.0054049605468816E-2</v>
      </c>
      <c r="AX574" s="56">
        <f>+AJ574/$AL$24</f>
        <v>7.3413399834668077E-3</v>
      </c>
      <c r="AY574" s="135">
        <f t="shared" ca="1" si="1053"/>
        <v>-7.3810196364386909E-5</v>
      </c>
      <c r="AZ574" s="93"/>
      <c r="BA574" s="93"/>
      <c r="BB574" s="234">
        <f>IFERROR(INDEX('Total Customers'!$E$7:$AA$91,MATCH($C574,'Total Customers'!$C$7:$C$91,0),MATCH($G574,'Total Customers'!$E$5:$AA$5,0)),"NA")</f>
        <v>215520</v>
      </c>
      <c r="BC574" s="411">
        <f t="shared" si="973"/>
        <v>-3.7697970332767725E-3</v>
      </c>
      <c r="BD574" s="92"/>
      <c r="BE574" s="281" t="str">
        <f t="shared" si="969"/>
        <v>MOUNTAINEER GAS COMPANY</v>
      </c>
      <c r="BF574" s="290">
        <f t="shared" si="970"/>
        <v>4061634</v>
      </c>
      <c r="BG574" s="46" t="str">
        <f t="shared" si="971"/>
        <v>WV</v>
      </c>
      <c r="BH574" s="46"/>
      <c r="BI574" s="46" t="str">
        <f t="shared" si="972"/>
        <v>2019 Y</v>
      </c>
      <c r="BJ574" s="129"/>
      <c r="BK574" s="129"/>
      <c r="BL574" s="129">
        <f>INDEX('Dist. Plant Gas Additions'!$E$7:$AD$91,MATCH($C574,'Dist. Plant Gas Additions'!$C$7:$C$91,0),MATCH(Calculation!$G574,'Dist. Plant Gas Additions'!$E$5:$AD$5,0))</f>
        <v>53712</v>
      </c>
      <c r="BM574" s="129">
        <f>INDEX('Gen. Plant Additions'!$E$7:$AD$91,MATCH($C574,'Gen. Plant Additions'!$C$7:$C$91,0),MATCH(Calculation!$G574,'Gen. Plant Additions'!$E$5:$AD$5,0))</f>
        <v>1294</v>
      </c>
      <c r="BN574" s="393">
        <f t="shared" si="1020"/>
        <v>0.94504640294248687</v>
      </c>
      <c r="BO574" s="46">
        <f t="shared" si="1056"/>
        <v>1222.8900454075781</v>
      </c>
      <c r="BP574" s="46">
        <f t="shared" si="1057"/>
        <v>-71.1099545924219</v>
      </c>
      <c r="BQ574" s="129">
        <f>INDEX('Dist Plant Depreciation'!$D$7:$AC$94,MATCH($C574,'Dist Plant Depreciation'!$C$7:$C$94,0),MATCH(Calculation!$G574,'Dist Plant Depreciation'!$D$5:$AC$5,0))</f>
        <v>285654</v>
      </c>
      <c r="BR574" s="129">
        <f>INDEX('Gen. Plant Depreciation'!$D$7:$AC$94,MATCH($C574,'Gen. Plant Depreciation'!$C$7:$C$94,0),MATCH(Calculation!$G574,'Gen. Plant Depreciation'!$D$5:$AC$5,0))</f>
        <v>16057</v>
      </c>
      <c r="BS574" s="129"/>
      <c r="BT574" s="129"/>
      <c r="BU574" s="129"/>
      <c r="BV574" s="129"/>
      <c r="BW574" s="129"/>
      <c r="BX574" s="129"/>
      <c r="BY574" s="129">
        <f>INDEX('Gross Dx Plant'!$D$7:$AC$91,MATCH($C574,'Gross Dx Plant'!$C$7:$C$91,0),MATCH(Calculation!$G574,'Gross Dx Plant'!$D$5:$AC$5,0))</f>
        <v>598152</v>
      </c>
      <c r="BZ574" s="129">
        <f>INDEX('Gross Gen Plant'!$D$7:$AC$91,MATCH($C574,'Gross Gen Plant'!$C$7:$C$91,0),MATCH(Calculation!$G574,'Gross Gen Plant'!$D$5:$AC$5,0))</f>
        <v>34782</v>
      </c>
      <c r="CA574" s="129">
        <f t="shared" si="960"/>
        <v>331223</v>
      </c>
      <c r="CB574" s="129"/>
      <c r="CC574" s="133">
        <v>2019</v>
      </c>
      <c r="CD574" s="129"/>
      <c r="CE574" s="129"/>
      <c r="CF574" s="129"/>
      <c r="CG574" s="137"/>
      <c r="CH574" s="129">
        <f t="shared" si="1021"/>
        <v>55006</v>
      </c>
      <c r="CI574" s="46">
        <f t="shared" si="1030"/>
        <v>54934.890045407577</v>
      </c>
      <c r="CJ574" s="46">
        <f t="shared" si="1022"/>
        <v>71.01758138435541</v>
      </c>
      <c r="CK574" s="443">
        <v>0.7407407407407407</v>
      </c>
      <c r="CL574" s="46">
        <f>CL553*CK574+CJ554*CK573+CJ555*CK572+CJ556*CK571+CJ557*CK570+CJ558*CK569+CJ559*CK568+CJ560*CK567+CJ561*CK566+CJ562*CK565+CJ563*CK564+CJ564*CK563+CJ565*CK562+CJ566*CK561+CJ567*CK560+CJ568*CK559+CJ569*CK558+CJ570*CK557+CJ571*CK556+CJ572*CK555+CJ573*CK554+CJ574</f>
        <v>1087.7890314337203</v>
      </c>
      <c r="CM574" s="134">
        <f t="shared" si="1023"/>
        <v>5.0753330557680991E-2</v>
      </c>
      <c r="CN574" s="135">
        <f t="shared" si="1024"/>
        <v>1.6621838981674339E-2</v>
      </c>
      <c r="CO574" s="135">
        <f t="shared" si="1033"/>
        <v>1.6432122063273998E-2</v>
      </c>
      <c r="CP574" s="134">
        <f>VLOOKUP($H574,RoR!$E:$F,2,FALSE)</f>
        <v>3.3875000000000009E-2</v>
      </c>
      <c r="CQ574" s="135">
        <v>1.8092492884465461E-2</v>
      </c>
      <c r="CR574" s="135">
        <f t="shared" si="1031"/>
        <v>1.5782507115534548E-2</v>
      </c>
      <c r="CS574" s="135">
        <f t="shared" si="1034"/>
        <v>1.4469819545259627E-2</v>
      </c>
      <c r="CT574" s="135">
        <f t="shared" si="1035"/>
        <v>4.8445665544254078E-2</v>
      </c>
      <c r="CU574" s="139">
        <f t="shared" si="1025"/>
        <v>0.90305999999999997</v>
      </c>
      <c r="CV574" s="335">
        <f t="shared" si="1026"/>
        <v>1.513861292459078</v>
      </c>
      <c r="CW574" s="335">
        <f t="shared" si="1027"/>
        <v>0.23699261992619944</v>
      </c>
      <c r="CX574" s="335">
        <f t="shared" si="1028"/>
        <v>0.73619765810468829</v>
      </c>
      <c r="CY574" s="335">
        <f t="shared" si="1029"/>
        <v>0.26412854465362851</v>
      </c>
      <c r="CZ574" s="336">
        <f>INDEX('State Tax Lookup'!$D$7:$Z$91,MATCH(Calculation!$C574,'State Tax Lookup'!$B$7:$B$91,0),MATCH($H574,'State Tax Lookup'!$D$6:$Z$6,0))</f>
        <v>0.26200000000000001</v>
      </c>
      <c r="DA574" s="303">
        <v>0.37</v>
      </c>
      <c r="DB574" s="57">
        <f t="shared" si="1032"/>
        <v>13.637097296732488</v>
      </c>
      <c r="DC574" s="56">
        <f t="shared" si="1036"/>
        <v>2.9143961197480076E-3</v>
      </c>
      <c r="DD574" s="303">
        <f>VLOOKUP($H574,RoR!$E:$F,2,FALSE)</f>
        <v>3.3875000000000009E-2</v>
      </c>
      <c r="DE574" s="304">
        <f>HLOOKUP($H574,'GDP-PI'!$D$8:$CQ$11,3,FALSE)</f>
        <v>1.8092492884465461E-2</v>
      </c>
      <c r="DF574" s="303">
        <f>VLOOKUP(H574,'HW Dx Data'!$E:$F,2,FALSE)</f>
        <v>773.53929793938721</v>
      </c>
      <c r="DG574" s="89">
        <f ca="1">VLOOKUP(CC574,'ECI - Input Price'!M$13:N$33,2,FALSE)</f>
        <v>149.67500000000001</v>
      </c>
      <c r="DH574" s="89"/>
      <c r="DI574" s="89"/>
      <c r="DJ574" s="56">
        <f t="shared" ca="1" si="1044"/>
        <v>3.5532849899171604E-2</v>
      </c>
      <c r="DK574" s="53">
        <f>HLOOKUP(H574,'GDP-PI'!$8:$9,2,FALSE)</f>
        <v>112.318</v>
      </c>
      <c r="DL574" s="355">
        <f t="shared" si="1037"/>
        <v>1.7930771451401852E-2</v>
      </c>
      <c r="EC574"/>
    </row>
    <row r="575" spans="1:133" s="126" customFormat="1" ht="21" customHeight="1" x14ac:dyDescent="0.4">
      <c r="A575" s="233" t="s">
        <v>215</v>
      </c>
      <c r="B575" s="126" t="s">
        <v>215</v>
      </c>
      <c r="C575" s="126">
        <v>4061634</v>
      </c>
      <c r="D575" s="126" t="s">
        <v>191</v>
      </c>
      <c r="G575" s="127" t="s">
        <v>176</v>
      </c>
      <c r="H575" s="128">
        <v>2020</v>
      </c>
      <c r="I575" s="129"/>
      <c r="J575" s="125">
        <f>IFERROR(INDEX('Labor Expenditures'!$E$7:$W$91,MATCH($C575,'Labor Expenditures'!$C$7:$C$91,0),MATCH($G575,'Labor Expenditures'!$E$5:$W$5,0)),"NA")</f>
        <v>28622.795985642188</v>
      </c>
      <c r="K575" s="125">
        <f t="shared" ca="1" si="1038"/>
        <v>186.89386866237143</v>
      </c>
      <c r="L575" s="47"/>
      <c r="M575" s="131">
        <f t="shared" ca="1" si="1045"/>
        <v>-1.5310214986984984E-2</v>
      </c>
      <c r="N575" s="131"/>
      <c r="O575" s="131"/>
      <c r="P575" s="59">
        <f t="shared" ca="1" si="1047"/>
        <v>-1.1273594907124637E-4</v>
      </c>
      <c r="Q575" s="61"/>
      <c r="R575" s="387"/>
      <c r="S575" s="49">
        <f t="shared" ca="1" si="1052"/>
        <v>116.59769048596139</v>
      </c>
      <c r="T575" s="61">
        <f ca="1">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</f>
        <v>2.4192014052050259E-3</v>
      </c>
      <c r="U575" s="61"/>
      <c r="V575" s="125">
        <f>IFERROR(INDEX('Non-Labor Expenditures'!$E$7:$AA$91,MATCH($C575,'Non-Labor Expenditures'!$C$7:$C$91,0),MATCH($G575,'Non-Labor Expenditures'!$E$5:$AA$5,0)),"NA")</f>
        <v>41451.154588075347</v>
      </c>
      <c r="W575" s="125">
        <f t="shared" si="1039"/>
        <v>364.81306239120022</v>
      </c>
      <c r="X575" s="131">
        <f t="shared" si="1048"/>
        <v>-3.9104752510093124E-3</v>
      </c>
      <c r="Y575" s="131">
        <f t="shared" si="1049"/>
        <v>-2.8794575328753845E-5</v>
      </c>
      <c r="Z575" s="131"/>
      <c r="AA575" s="131"/>
      <c r="AB575" s="131"/>
      <c r="AC575" s="125">
        <f t="shared" si="1019"/>
        <v>15357.460326602566</v>
      </c>
      <c r="AD575" s="129"/>
      <c r="AE575" s="133">
        <v>1246.9399015660283</v>
      </c>
      <c r="AF575" s="134">
        <v>4.0623815984739235E-2</v>
      </c>
      <c r="AG575" s="59">
        <f t="shared" si="1040"/>
        <v>2.991312959242209E-4</v>
      </c>
      <c r="AH575" s="134"/>
      <c r="AI575" s="134"/>
      <c r="AJ575" s="129">
        <f t="shared" si="1015"/>
        <v>85431.410900320101</v>
      </c>
      <c r="AK575" s="134">
        <f t="shared" si="1050"/>
        <v>2.1183427010492833E-2</v>
      </c>
      <c r="AL575" s="129"/>
      <c r="AM575" s="129"/>
      <c r="AN575" s="129"/>
      <c r="AO575" s="129"/>
      <c r="AP575" s="133">
        <f t="shared" si="1051"/>
        <v>396.3966727000747</v>
      </c>
      <c r="AQ575" s="134">
        <f>+BB575/Outputs!$B$28</f>
        <v>5.6815639970635764E-3</v>
      </c>
      <c r="AR575" s="93">
        <f t="shared" si="1041"/>
        <v>0.33503831534561418</v>
      </c>
      <c r="AS575" s="93">
        <f t="shared" si="1042"/>
        <v>0.48519805714598158</v>
      </c>
      <c r="AT575" s="93">
        <f t="shared" si="1043"/>
        <v>0.17976362750840422</v>
      </c>
      <c r="AU575" s="93">
        <f t="shared" ca="1" si="1046"/>
        <v>7.6467937898221094E-7</v>
      </c>
      <c r="AV575" s="132">
        <f t="shared" ca="1" si="1054"/>
        <v>115.84597234480448</v>
      </c>
      <c r="AW575" s="134">
        <f t="shared" ca="1" si="1055"/>
        <v>7.6467937899382832E-7</v>
      </c>
      <c r="AX575" s="56">
        <f>+AJ575/$AL$25</f>
        <v>7.363446507255564E-3</v>
      </c>
      <c r="AY575" s="135">
        <f t="shared" ca="1" si="1053"/>
        <v>5.6306757024224589E-9</v>
      </c>
      <c r="AZ575" s="93"/>
      <c r="BA575" s="93"/>
      <c r="BB575" s="234">
        <v>215520</v>
      </c>
      <c r="BC575" s="411">
        <f t="shared" si="973"/>
        <v>0</v>
      </c>
      <c r="BD575" s="92"/>
      <c r="BE575" s="281" t="str">
        <f t="shared" si="969"/>
        <v>MOUNTAINEER GAS COMPANY</v>
      </c>
      <c r="BF575" s="290">
        <f t="shared" si="970"/>
        <v>4061634</v>
      </c>
      <c r="BG575" s="46" t="str">
        <f t="shared" si="971"/>
        <v>WV</v>
      </c>
      <c r="BH575" s="46"/>
      <c r="BI575" s="46" t="str">
        <f t="shared" si="972"/>
        <v>2020 Y</v>
      </c>
      <c r="BJ575" s="129"/>
      <c r="BK575" s="129"/>
      <c r="BL575" s="129">
        <f>INDEX('Dist. Plant Gas Additions'!$E$7:$AD$91,MATCH($C575,'Dist. Plant Gas Additions'!$C$7:$C$91,0),MATCH(Calculation!$G575,'Dist. Plant Gas Additions'!$E$5:$AD$5,0))</f>
        <v>47499</v>
      </c>
      <c r="BM575" s="129">
        <f>INDEX('Gen. Plant Additions'!$E$7:$AD$91,MATCH($C575,'Gen. Plant Additions'!$C$7:$C$91,0),MATCH(Calculation!$G575,'Gen. Plant Additions'!$E$5:$AD$5,0))</f>
        <v>2178</v>
      </c>
      <c r="BN575" s="393">
        <f t="shared" si="1020"/>
        <v>0.9464394301910406</v>
      </c>
      <c r="BO575" s="46">
        <f t="shared" si="1056"/>
        <v>2061.3450789560866</v>
      </c>
      <c r="BP575" s="46">
        <f t="shared" si="1057"/>
        <v>-116.65492104391342</v>
      </c>
      <c r="BQ575" s="129">
        <f>INDEX('Dist Plant Depreciation'!$D$7:$AC$94,MATCH($C575,'Dist Plant Depreciation'!$C$7:$C$94,0),MATCH(Calculation!$G575,'Dist Plant Depreciation'!$D$5:$AC$5,0))</f>
        <v>296436</v>
      </c>
      <c r="BR575" s="129">
        <f>INDEX('Gen. Plant Depreciation'!$D$7:$AC$94,MATCH($C575,'Gen. Plant Depreciation'!$C$7:$C$94,0),MATCH(Calculation!$G575,'Gen. Plant Depreciation'!$D$5:$AC$5,0))</f>
        <v>16969</v>
      </c>
      <c r="BS575" s="129"/>
      <c r="BT575" s="129"/>
      <c r="BU575" s="129"/>
      <c r="BV575" s="129"/>
      <c r="BW575" s="129"/>
      <c r="BX575" s="129"/>
      <c r="BY575" s="129">
        <f>INDEX('Gross Dx Plant'!$D$7:$AC$91,MATCH($C575,'Gross Dx Plant'!$C$7:$C$91,0),MATCH(Calculation!$G575,'Gross Dx Plant'!$D$5:$AC$5,0))</f>
        <v>642798</v>
      </c>
      <c r="BZ575" s="129">
        <f>INDEX('Gross Gen Plant'!$D$7:$AC$91,MATCH($C575,'Gross Gen Plant'!$C$7:$C$91,0),MATCH(Calculation!$G575,'Gross Gen Plant'!$D$5:$AC$5,0))</f>
        <v>36377</v>
      </c>
      <c r="CA575" s="129">
        <f t="shared" si="960"/>
        <v>365770</v>
      </c>
      <c r="CB575" s="129"/>
      <c r="CC575" s="133">
        <v>2020</v>
      </c>
      <c r="CD575" s="129"/>
      <c r="CE575" s="129"/>
      <c r="CF575" s="129"/>
      <c r="CG575" s="137"/>
      <c r="CH575" s="129">
        <f t="shared" si="1021"/>
        <v>49677</v>
      </c>
      <c r="CI575" s="46">
        <f t="shared" si="1030"/>
        <v>49560.345078956088</v>
      </c>
      <c r="CJ575" s="46">
        <f t="shared" si="1022"/>
        <v>60.953823949019757</v>
      </c>
      <c r="CK575" s="443">
        <v>0.72499999999999998</v>
      </c>
      <c r="CL575" s="46">
        <f>CL553*CK575+CJ554*CK574+CJ555*CK573+CJ556*CK572+CJ557*CK571+CJ558*CK570+CJ559*CK569+CJ560*CK568+CJ561*CK567+CJ562*CK566+CJ563*CK565+CJ564*CK564+CJ565*CK563+CJ566*CK562+CJ567*CK561+CJ568*CK560+CJ569*CK559+CJ570*CK558+CJ571*CK557+CJ572*CK556+CJ573*CK555+CJ574*CK554+CJ575</f>
        <v>1130.4439179441119</v>
      </c>
      <c r="CM575" s="134">
        <f t="shared" si="1023"/>
        <v>3.8463178618415521E-2</v>
      </c>
      <c r="CN575" s="135">
        <f t="shared" si="1024"/>
        <v>1.6822138217839799E-2</v>
      </c>
      <c r="CO575" s="135">
        <f t="shared" si="1033"/>
        <v>1.6656460384511147E-2</v>
      </c>
      <c r="CP575" s="134">
        <f>VLOOKUP($H575,RoR!$E:$F,2,FALSE)</f>
        <v>2.4766666666666666E-2</v>
      </c>
      <c r="CQ575" s="135">
        <v>1.1618796630994188E-2</v>
      </c>
      <c r="CR575" s="135">
        <f t="shared" si="1031"/>
        <v>1.3147870035672478E-2</v>
      </c>
      <c r="CS575" s="135">
        <f t="shared" si="1034"/>
        <v>1.4245481224022478E-2</v>
      </c>
      <c r="CT575" s="135">
        <f t="shared" si="1035"/>
        <v>4.5144642961987357E-2</v>
      </c>
      <c r="CU575" s="139">
        <f t="shared" si="1025"/>
        <v>0.90305999999999997</v>
      </c>
      <c r="CV575" s="335">
        <f t="shared" si="1026"/>
        <v>2.0706077233668081</v>
      </c>
      <c r="CW575" s="335">
        <f t="shared" si="1027"/>
        <v>-3.4421265141318998E-2</v>
      </c>
      <c r="CX575" s="335">
        <f t="shared" si="1028"/>
        <v>0.62416226176410472</v>
      </c>
      <c r="CY575" s="335">
        <f t="shared" si="1029"/>
        <v>-4.4485877841158712E-2</v>
      </c>
      <c r="CZ575" s="336">
        <f>INDEX('State Tax Lookup'!$D$7:$Z$91,MATCH(Calculation!$C575,'State Tax Lookup'!$B$7:$B$91,0),MATCH($H575,'State Tax Lookup'!$D$6:$Z$6,0))</f>
        <v>0.26200000000000001</v>
      </c>
      <c r="DA575" s="303">
        <v>0.37</v>
      </c>
      <c r="DB575" s="57">
        <f t="shared" si="1032"/>
        <v>14.11805035978459</v>
      </c>
      <c r="DC575" s="56">
        <f t="shared" si="1036"/>
        <v>3.4660324418145497E-2</v>
      </c>
      <c r="DD575" s="303">
        <f>VLOOKUP($H575,RoR!$E:$F,2,FALSE)</f>
        <v>2.4766666666666666E-2</v>
      </c>
      <c r="DE575" s="304">
        <f>HLOOKUP($H575,'GDP-PI'!$D$8:$CQ$11,3,FALSE)</f>
        <v>1.1618796630994188E-2</v>
      </c>
      <c r="DF575" s="303">
        <f>VLOOKUP(H575,'HW Dx Data'!$E:$F,2,FALSE)</f>
        <v>813.080162458833</v>
      </c>
      <c r="DG575" s="89">
        <f ca="1">VLOOKUP(CC575,'ECI - Input Price'!M$13:N$33,2,FALSE)</f>
        <v>153.15</v>
      </c>
      <c r="DH575" s="89"/>
      <c r="DI575" s="89"/>
      <c r="DJ575" s="56">
        <f t="shared" ca="1" si="1044"/>
        <v>2.2951556467368479E-2</v>
      </c>
      <c r="DK575" s="53">
        <f>HLOOKUP(H575,'GDP-PI'!$8:$9,2,FALSE)</f>
        <v>113.623</v>
      </c>
      <c r="DL575" s="355">
        <f t="shared" si="1037"/>
        <v>1.1551816731392881E-2</v>
      </c>
      <c r="EC575"/>
    </row>
    <row r="576" spans="1:133" s="126" customFormat="1" ht="21" customHeight="1" x14ac:dyDescent="0.4">
      <c r="A576" s="233" t="s">
        <v>215</v>
      </c>
      <c r="B576" s="126" t="s">
        <v>215</v>
      </c>
      <c r="C576" s="126">
        <v>4061634</v>
      </c>
      <c r="D576" s="126" t="s">
        <v>191</v>
      </c>
      <c r="G576" s="127" t="s">
        <v>177</v>
      </c>
      <c r="H576" s="128">
        <v>2021</v>
      </c>
      <c r="I576" s="129"/>
      <c r="J576" s="125">
        <v>22612.428286168732</v>
      </c>
      <c r="K576" s="125">
        <f t="shared" ca="1" si="1038"/>
        <v>143.79922598517476</v>
      </c>
      <c r="L576" s="47"/>
      <c r="M576" s="130">
        <f t="shared" ca="1" si="1045"/>
        <v>-0.26212284578492778</v>
      </c>
      <c r="N576" s="130"/>
      <c r="O576" s="130"/>
      <c r="P576" s="59">
        <f t="shared" ca="1" si="1047"/>
        <v>-1.4903977119687965E-3</v>
      </c>
      <c r="Q576" s="61"/>
      <c r="R576" s="387"/>
      <c r="S576" s="132">
        <f ca="1">+S575*EXP(T576)</f>
        <v>120.91637445547532</v>
      </c>
      <c r="T576" s="134">
        <f ca="1">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</f>
        <v>3.6369719893158271E-2</v>
      </c>
      <c r="U576" s="134"/>
      <c r="V576" s="125">
        <v>31875.350716647496</v>
      </c>
      <c r="W576" s="125">
        <f t="shared" si="1039"/>
        <v>269.0130029255422</v>
      </c>
      <c r="X576" s="131">
        <f t="shared" si="1048"/>
        <v>-0.30462534810577985</v>
      </c>
      <c r="Y576" s="131">
        <f t="shared" si="1049"/>
        <v>-1.7320616234918751E-3</v>
      </c>
      <c r="Z576" s="131"/>
      <c r="AA576" s="131"/>
      <c r="AB576" s="131"/>
      <c r="AC576" s="125">
        <f t="shared" si="1019"/>
        <v>18548.279829865296</v>
      </c>
      <c r="AD576" s="129"/>
      <c r="AE576" s="133">
        <v>1277.1866042047593</v>
      </c>
      <c r="AF576" s="134"/>
      <c r="AG576" s="59">
        <f t="shared" si="1040"/>
        <v>0</v>
      </c>
      <c r="AH576" s="134"/>
      <c r="AI576" s="134"/>
      <c r="AJ576" s="129">
        <f t="shared" si="1015"/>
        <v>73036.05883268152</v>
      </c>
      <c r="AK576" s="134">
        <f t="shared" si="1050"/>
        <v>-0.15676056650250425</v>
      </c>
      <c r="AL576" s="129"/>
      <c r="AM576" s="134"/>
      <c r="AN576" s="134"/>
      <c r="AO576" s="134"/>
      <c r="AP576" s="133">
        <f t="shared" si="1051"/>
        <v>338.07668622847109</v>
      </c>
      <c r="AQ576" s="134">
        <f>+BB576/Outputs!$B$29</f>
        <v>5.5958259815535993E-3</v>
      </c>
      <c r="AR576" s="93">
        <f t="shared" si="1041"/>
        <v>0.30960635948294524</v>
      </c>
      <c r="AS576" s="93">
        <f t="shared" si="1042"/>
        <v>0.43643306095788675</v>
      </c>
      <c r="AT576" s="93">
        <f t="shared" si="1043"/>
        <v>0.25396057955916806</v>
      </c>
      <c r="AU576" s="93">
        <f t="shared" ca="1" si="1046"/>
        <v>-0.22486414843183572</v>
      </c>
      <c r="AV576" s="132">
        <f t="shared" ca="1" si="1054"/>
        <v>92.517455583003994</v>
      </c>
      <c r="AW576" s="134">
        <f t="shared" ca="1" si="1055"/>
        <v>-0.22486414843183569</v>
      </c>
      <c r="AX576" s="56">
        <f>+AJ576/$AL$26</f>
        <v>5.6858749091701459E-3</v>
      </c>
      <c r="AY576" s="135">
        <f t="shared" ca="1" si="1053"/>
        <v>-1.278549419540486E-3</v>
      </c>
      <c r="AZ576" s="93"/>
      <c r="BA576" s="93"/>
      <c r="BB576" s="234">
        <f>INDEX('Total Customers'!$D$7:$D$91,MATCH(Calculation!$C576,'Total Customers'!$C$7:$C$91,0))</f>
        <v>216034</v>
      </c>
      <c r="BC576" s="411">
        <f t="shared" si="973"/>
        <v>2.3820900422725426E-3</v>
      </c>
      <c r="BD576" s="91"/>
      <c r="BE576" s="281" t="str">
        <f t="shared" si="969"/>
        <v>MOUNTAINEER GAS COMPANY</v>
      </c>
      <c r="BF576" s="290">
        <f t="shared" si="970"/>
        <v>4061634</v>
      </c>
      <c r="BG576" s="46" t="str">
        <f t="shared" si="971"/>
        <v>WV</v>
      </c>
      <c r="BH576" s="46"/>
      <c r="BI576" s="46" t="str">
        <f t="shared" si="972"/>
        <v>2021 Y</v>
      </c>
      <c r="BJ576" s="129"/>
      <c r="BK576" s="129"/>
      <c r="BL576" s="129">
        <f>INDEX('Dist. Plant Gas Additions'!$D$7:$AD$91,MATCH($C576,'Dist. Plant Gas Additions'!$C$7:$C$91,0),MATCH(Calculation!$G576,'Dist. Plant Gas Additions'!$D$5:$AD$5,0))</f>
        <v>34726</v>
      </c>
      <c r="BM576" s="129">
        <f>INDEX('Gen. Plant Additions'!$D$7:$AD$91,MATCH($C576,'Gen. Plant Additions'!$C$7:$C$91,0),MATCH(Calculation!$G576,'Gen. Plant Additions'!$D$5:$AD$5,0))</f>
        <v>3972</v>
      </c>
      <c r="BN576" s="343">
        <v>0.9464394301910406</v>
      </c>
      <c r="BO576" s="46">
        <f t="shared" si="1056"/>
        <v>3759.2574167188131</v>
      </c>
      <c r="BP576" s="46">
        <f t="shared" si="1057"/>
        <v>-212.74258328118685</v>
      </c>
      <c r="BQ576" s="129"/>
      <c r="BR576" s="129"/>
      <c r="BS576" s="137"/>
      <c r="BT576" s="137"/>
      <c r="BU576" s="333"/>
      <c r="BV576" s="93"/>
      <c r="BW576" s="334"/>
      <c r="BX576" s="334"/>
      <c r="BY576" s="129"/>
      <c r="BZ576" s="129"/>
      <c r="CA576" s="129"/>
      <c r="CB576" s="129"/>
      <c r="CC576" s="133">
        <v>2021</v>
      </c>
      <c r="CD576" s="129"/>
      <c r="CE576" s="129"/>
      <c r="CF576" s="129"/>
      <c r="CG576" s="137"/>
      <c r="CH576" s="129">
        <f t="shared" si="1021"/>
        <v>38698</v>
      </c>
      <c r="CI576" s="46">
        <f t="shared" si="1030"/>
        <v>38485.257416718814</v>
      </c>
      <c r="CJ576" s="46">
        <f t="shared" si="1022"/>
        <v>41.247941447319214</v>
      </c>
      <c r="CK576" s="443">
        <v>0.70886075949367089</v>
      </c>
      <c r="CL576" s="129">
        <f>CL553*CK576+CJ554*CK575+CJ555*CK574+CJ556*CK573+CJ557*CK572+CJ558*CK571+CJ559*CK570+CJ560*CK569+CJ561*CK568+CJ562*CK567+CJ563*CK566+CJ564*CK565+CJ565*CK564+CJ566*CK563+CJ567*CK562+CJ558*CK561+CJ569*CK560+CJ570*CK559+CJ571*CK558+CJ572*CK557+CJ573*CK556+CJ574*CK555+CJ576+CJ575*CK554</f>
        <v>1153.7083947498927</v>
      </c>
      <c r="CM576" s="134"/>
      <c r="CN576" s="135">
        <f t="shared" si="1024"/>
        <v>1.5908320931341893E-2</v>
      </c>
      <c r="CO576" s="135">
        <f t="shared" si="1033"/>
        <v>1.6450766043618677E-2</v>
      </c>
      <c r="CP576" s="134">
        <f>VLOOKUP($H576,RoR!$E:$F,2,FALSE)</f>
        <v>2.7033333333333336E-2</v>
      </c>
      <c r="CQ576" s="135"/>
      <c r="CR576" s="135"/>
      <c r="CS576" s="135">
        <f t="shared" si="1034"/>
        <v>1.4451175564914948E-2</v>
      </c>
      <c r="CT576" s="135">
        <f t="shared" si="1035"/>
        <v>7.433422950153494E-2</v>
      </c>
      <c r="CU576" s="139">
        <f t="shared" si="1025"/>
        <v>0.90305999999999997</v>
      </c>
      <c r="CV576" s="335">
        <f t="shared" si="1026"/>
        <v>1.8969932656739068</v>
      </c>
      <c r="CW576" s="335">
        <f t="shared" si="1027"/>
        <v>5.0215782983970621E-2</v>
      </c>
      <c r="CX576" s="335">
        <f t="shared" si="1028"/>
        <v>0.655952481704143</v>
      </c>
      <c r="CY576" s="335">
        <f t="shared" si="1029"/>
        <v>6.2485378865697057E-2</v>
      </c>
      <c r="CZ576" s="336">
        <f>CZ575</f>
        <v>0.26200000000000001</v>
      </c>
      <c r="DA576" s="303">
        <v>0.37</v>
      </c>
      <c r="DB576" s="141">
        <f t="shared" si="1032"/>
        <v>16.407961098679028</v>
      </c>
      <c r="DC576" s="135">
        <f t="shared" si="1036"/>
        <v>0.15031250386287648</v>
      </c>
      <c r="DD576" s="336">
        <f>VLOOKUP($H576,RoR!$E:$F,2,FALSE)</f>
        <v>2.7033333333333336E-2</v>
      </c>
      <c r="DE576" s="342">
        <f>HLOOKUP($H576,'GDP-PI'!$D$8:$CR$11,3,FALSE)</f>
        <v>4.2834637353352578E-2</v>
      </c>
      <c r="DF576" s="336">
        <f>VLOOKUP(H576,'HW Dx Data'!$E:$F,2,FALSE)</f>
        <v>933.02249921662576</v>
      </c>
      <c r="DG576" s="89">
        <f ca="1">VLOOKUP(CC576,'ECI - Input Price'!M$13:N$33,2,FALSE)</f>
        <v>157.25</v>
      </c>
      <c r="DH576" s="89"/>
      <c r="DI576" s="89"/>
      <c r="DJ576" s="135">
        <f t="shared" ca="1" si="1044"/>
        <v>2.6419062301765574E-2</v>
      </c>
      <c r="DK576" s="137">
        <f>HLOOKUP(H576,'GDP-PI'!$8:$9,2,FALSE)</f>
        <v>118.49</v>
      </c>
      <c r="DL576" s="356">
        <f t="shared" si="1037"/>
        <v>4.194261824609434E-2</v>
      </c>
      <c r="EC576"/>
    </row>
    <row r="577" spans="1:133" s="126" customFormat="1" ht="21" customHeight="1" thickBot="1" x14ac:dyDescent="0.45">
      <c r="A577" s="235"/>
      <c r="B577" s="236"/>
      <c r="C577" s="236"/>
      <c r="D577" s="236"/>
      <c r="E577" s="236"/>
      <c r="F577" s="236"/>
      <c r="G577" s="237" t="s">
        <v>178</v>
      </c>
      <c r="H577" s="238"/>
      <c r="I577" s="239"/>
      <c r="J577" s="240">
        <v>29776.193274120276</v>
      </c>
      <c r="K577" s="240">
        <f t="shared" ca="1" si="1038"/>
        <v>183.18174884109675</v>
      </c>
      <c r="L577" s="47"/>
      <c r="M577" s="241">
        <f t="shared" ref="M577" ca="1" si="1058">LN(K577/K576)</f>
        <v>0.24206076035368221</v>
      </c>
      <c r="N577" s="241"/>
      <c r="O577" s="241"/>
      <c r="P577" s="242">
        <f t="shared" ca="1" si="1047"/>
        <v>1.8420766536124645E-3</v>
      </c>
      <c r="Q577" s="61"/>
      <c r="R577" s="387"/>
      <c r="S577" s="206">
        <f ca="1">+S576*EXP(T577)</f>
        <v>120.01777627634569</v>
      </c>
      <c r="T577" s="243">
        <f ca="1">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</f>
        <v>-7.4593190131361188E-3</v>
      </c>
      <c r="U577" s="243"/>
      <c r="V577" s="239">
        <v>41973.670037012926</v>
      </c>
      <c r="W577" s="240">
        <f t="shared" si="1039"/>
        <v>329.85202386650627</v>
      </c>
      <c r="X577" s="244">
        <f t="shared" ref="X577" si="1059">LN(W577/W576)</f>
        <v>0.20388442492106301</v>
      </c>
      <c r="Y577" s="244">
        <f t="shared" si="1049"/>
        <v>1.5515556450931406E-3</v>
      </c>
      <c r="Z577" s="206"/>
      <c r="AA577" s="243"/>
      <c r="AB577" s="243"/>
      <c r="AC577" s="240">
        <f t="shared" si="1019"/>
        <v>28950.076905078757</v>
      </c>
      <c r="AD577" s="243"/>
      <c r="AE577" s="245">
        <v>1300.7739718275184</v>
      </c>
      <c r="AF577" s="243">
        <v>1.8299756858469365E-2</v>
      </c>
      <c r="AG577" s="242">
        <f t="shared" si="1040"/>
        <v>1.3926071630328252E-4</v>
      </c>
      <c r="AH577" s="206"/>
      <c r="AI577" s="243"/>
      <c r="AJ577" s="239">
        <f t="shared" si="1015"/>
        <v>100699.94021621195</v>
      </c>
      <c r="AK577" s="243">
        <f t="shared" si="1050"/>
        <v>0.3211919302381761</v>
      </c>
      <c r="AL577" s="239"/>
      <c r="AM577" s="243"/>
      <c r="AN577" s="243"/>
      <c r="AO577" s="243"/>
      <c r="AP577" s="245">
        <f t="shared" si="1051"/>
        <v>466.22069436003159</v>
      </c>
      <c r="AQ577" s="243"/>
      <c r="AR577" s="207">
        <f t="shared" si="1041"/>
        <v>0.29569226367153817</v>
      </c>
      <c r="AS577" s="207">
        <f t="shared" si="1042"/>
        <v>0.41681921505505992</v>
      </c>
      <c r="AT577" s="207">
        <f t="shared" si="1043"/>
        <v>0.28748852127340196</v>
      </c>
      <c r="AU577" s="207"/>
      <c r="AV577" s="206"/>
      <c r="AW577" s="243"/>
      <c r="AX577" s="248">
        <f>+AJ577/$AL$27</f>
        <v>7.6099763171897468E-3</v>
      </c>
      <c r="AY577" s="249"/>
      <c r="AZ577" s="206"/>
      <c r="BA577" s="243"/>
      <c r="BB577" s="250">
        <v>215992</v>
      </c>
      <c r="BC577" s="412">
        <f t="shared" si="973"/>
        <v>-1.9443274308638772E-4</v>
      </c>
      <c r="BD577" s="91"/>
      <c r="BE577" s="401">
        <f t="shared" si="969"/>
        <v>0</v>
      </c>
      <c r="BF577" s="402">
        <f t="shared" si="970"/>
        <v>0</v>
      </c>
      <c r="BG577" s="313">
        <f t="shared" si="971"/>
        <v>0</v>
      </c>
      <c r="BH577" s="313"/>
      <c r="BI577" s="313" t="str">
        <f t="shared" si="972"/>
        <v>2022Y</v>
      </c>
      <c r="BJ577" s="239"/>
      <c r="BK577" s="239"/>
      <c r="BL577" s="239"/>
      <c r="BM577" s="239"/>
      <c r="BN577" s="337">
        <v>0.9464394301910406</v>
      </c>
      <c r="BO577" s="313">
        <f t="shared" si="1056"/>
        <v>0</v>
      </c>
      <c r="BP577" s="313">
        <f t="shared" si="1057"/>
        <v>0</v>
      </c>
      <c r="BQ577" s="239"/>
      <c r="BR577" s="239"/>
      <c r="BS577" s="310"/>
      <c r="BT577" s="310"/>
      <c r="BU577" s="311"/>
      <c r="BV577" s="207"/>
      <c r="BW577" s="312"/>
      <c r="BX577" s="312"/>
      <c r="BY577" s="239"/>
      <c r="BZ577" s="239"/>
      <c r="CA577" s="239"/>
      <c r="CB577" s="239"/>
      <c r="CC577" s="245">
        <v>2022</v>
      </c>
      <c r="CD577" s="239"/>
      <c r="CE577" s="239"/>
      <c r="CF577" s="239"/>
      <c r="CG577" s="310"/>
      <c r="CH577" s="239">
        <v>73915</v>
      </c>
      <c r="CI577" s="313">
        <f t="shared" si="1030"/>
        <v>73915</v>
      </c>
      <c r="CJ577" s="313">
        <f t="shared" si="1022"/>
        <v>71.705745966763999</v>
      </c>
      <c r="CK577" s="443">
        <v>0.69230769230769229</v>
      </c>
      <c r="CL577" s="239">
        <f>+CL553*CK577+CJ554*CK576+CJ555*CK575+CJ556*CK574+CJ557*CK573+CJ558*CK572+CJ559*CK571+CJ560*CK570+CJ561*CK569+CJ562*CK568+CJ563*CK567+CJ564*CK566+CJ565*CK565+CJ566*CK564+CJ567*CK563+CJ568*CK562+CJ569*CK561+CJ570*CK560+CJ571*CK559+CJ572*CK558+CJ573*CK557+CJ574*CK556+CJ575*CK555+CJ576*CK554+CJ577*CK553</f>
        <v>1203.8408017832769</v>
      </c>
      <c r="CM577" s="243">
        <f t="shared" ref="CM577" si="1060">LN(CL577/CL576)</f>
        <v>4.2535668415499002E-2</v>
      </c>
      <c r="CN577" s="249"/>
      <c r="CO577" s="249">
        <f t="shared" si="1033"/>
        <v>1.091015304972723E-2</v>
      </c>
      <c r="CP577" s="243"/>
      <c r="CQ577" s="249"/>
      <c r="CR577" s="249"/>
      <c r="CS577" s="248">
        <f t="shared" si="1034"/>
        <v>1.9991788558806393E-2</v>
      </c>
      <c r="CT577" s="249">
        <f t="shared" si="1035"/>
        <v>0.10114668178709289</v>
      </c>
      <c r="CU577" s="314">
        <f t="shared" si="1025"/>
        <v>0.90305999999999997</v>
      </c>
      <c r="CV577" s="315"/>
      <c r="CW577" s="315"/>
      <c r="CX577" s="315"/>
      <c r="CY577" s="315"/>
      <c r="CZ577" s="316">
        <f>CZ576</f>
        <v>0.26200000000000001</v>
      </c>
      <c r="DA577" s="360">
        <v>0.37</v>
      </c>
      <c r="DB577" s="318">
        <f t="shared" si="1032"/>
        <v>25.09306254233741</v>
      </c>
      <c r="DC577" s="249">
        <f t="shared" si="1036"/>
        <v>0.42482476530663826</v>
      </c>
      <c r="DD577" s="316">
        <v>0.04</v>
      </c>
      <c r="DE577" s="319">
        <v>7.0000000000000001E-3</v>
      </c>
      <c r="DF577" s="316">
        <v>1030.81</v>
      </c>
      <c r="DG577" s="89">
        <f ca="1">VLOOKUP(CC577,'ECI - Input Price'!M$13:N$33,2,FALSE)</f>
        <v>162.55000000000001</v>
      </c>
      <c r="DH577" s="89"/>
      <c r="DI577" s="89"/>
      <c r="DJ577" s="249">
        <f t="shared" ca="1" si="1044"/>
        <v>3.3148751169364422E-2</v>
      </c>
      <c r="DK577" s="310">
        <v>127.25</v>
      </c>
      <c r="DL577" s="357">
        <f t="shared" si="1037"/>
        <v>7.1325086601983473E-2</v>
      </c>
      <c r="EC577"/>
    </row>
    <row r="578" spans="1:133" s="126" customFormat="1" ht="21" customHeight="1" x14ac:dyDescent="0.4">
      <c r="A578" s="251" t="s">
        <v>216</v>
      </c>
      <c r="B578" s="252" t="s">
        <v>216</v>
      </c>
      <c r="C578" s="252">
        <v>4061687</v>
      </c>
      <c r="D578" s="252" t="s">
        <v>194</v>
      </c>
      <c r="E578" s="252" t="s">
        <v>15</v>
      </c>
      <c r="F578" s="252"/>
      <c r="G578" s="252" t="s">
        <v>150</v>
      </c>
      <c r="H578" s="253">
        <v>1998</v>
      </c>
      <c r="I578" s="254"/>
      <c r="J578" s="255"/>
      <c r="K578" s="255"/>
      <c r="L578" s="47"/>
      <c r="M578" s="255"/>
      <c r="N578" s="255"/>
      <c r="O578" s="255"/>
      <c r="P578" s="219"/>
      <c r="Q578" s="218"/>
      <c r="R578" s="385"/>
      <c r="S578" s="257"/>
      <c r="T578" s="258"/>
      <c r="U578" s="258"/>
      <c r="V578" s="259"/>
      <c r="W578" s="259"/>
      <c r="X578" s="259"/>
      <c r="Y578" s="255"/>
      <c r="Z578" s="259"/>
      <c r="AA578" s="259"/>
      <c r="AB578" s="259"/>
      <c r="AC578" s="255"/>
      <c r="AD578" s="254"/>
      <c r="AE578" s="260">
        <v>4286.1412148641784</v>
      </c>
      <c r="AF578" s="256"/>
      <c r="AG578" s="225"/>
      <c r="AH578" s="256"/>
      <c r="AI578" s="256"/>
      <c r="AJ578" s="254">
        <f t="shared" si="1015"/>
        <v>0</v>
      </c>
      <c r="AK578" s="254"/>
      <c r="AL578" s="254"/>
      <c r="AM578" s="256"/>
      <c r="AN578" s="256"/>
      <c r="AO578" s="256"/>
      <c r="AP578" s="226">
        <f>+(AP575+AP576+AP577)/3</f>
        <v>400.23135109619244</v>
      </c>
      <c r="AQ578" s="256"/>
      <c r="AR578" s="261"/>
      <c r="AS578" s="261"/>
      <c r="AT578" s="261"/>
      <c r="AU578" s="261"/>
      <c r="AV578" s="261"/>
      <c r="AW578" s="256">
        <f ca="1">AVERAGE(AW587:AW601)</f>
        <v>-1.3542049997492566E-2</v>
      </c>
      <c r="AX578" s="223"/>
      <c r="AY578" s="261"/>
      <c r="AZ578" s="261"/>
      <c r="BA578" s="261"/>
      <c r="BB578" s="262">
        <f>IFERROR(INDEX('Total Customers'!$E$7:$AA$91,MATCH($C578,'Total Customers'!$C$7:$C$91,0),MATCH($G578,'Total Customers'!$E$5:$AA$5,0)),"NA")</f>
        <v>735546</v>
      </c>
      <c r="BC578" s="413"/>
      <c r="BD578" s="92"/>
      <c r="BE578" s="407" t="str">
        <f t="shared" si="969"/>
        <v>NATIONAL FUEL GAS DISTRIBUTION CORPORATION</v>
      </c>
      <c r="BF578" s="408">
        <f t="shared" si="970"/>
        <v>4061687</v>
      </c>
      <c r="BG578" s="218" t="str">
        <f t="shared" si="971"/>
        <v>NY</v>
      </c>
      <c r="BH578" s="218"/>
      <c r="BI578" s="218" t="str">
        <f t="shared" si="972"/>
        <v>1998 Y</v>
      </c>
      <c r="BJ578" s="254">
        <f>INDEX('Gross Dx Plant'!$D$7:$AC$91,MATCH($C578,'Gross Dx Plant'!$C$7:$C$91,0),MATCH(Calculation!$G578,'Gross Dx Plant'!$D$5:$AC$5,0))</f>
        <v>1102672</v>
      </c>
      <c r="BK578" s="254">
        <f>INDEX('Gross Gen Plant'!$D$7:$AC$91,MATCH($C578,'Gross Gen Plant'!$C$7:$C$91,0),MATCH(Calculation!$G578,'Gross Gen Plant'!$D$5:$AC$5,0))</f>
        <v>53228</v>
      </c>
      <c r="BL578" s="254">
        <f>INDEX('Dist. Plant Gas Additions'!$E$7:$AD$91,MATCH($C578,'Dist. Plant Gas Additions'!$C$7:$C$91,0),MATCH(Calculation!$G578,'Dist. Plant Gas Additions'!$E$5:$AD$5,0))</f>
        <v>43375</v>
      </c>
      <c r="BM578" s="254">
        <f>INDEX('Gen. Plant Additions'!$E$7:$AD$91,MATCH($C578,'Gen. Plant Additions'!$C$7:$C$91,0),MATCH(Calculation!$G578,'Gen. Plant Additions'!$E$5:$AD$5,0))</f>
        <v>2718</v>
      </c>
      <c r="BN578" s="409">
        <f>+(BY578/(BY578+BZ578))</f>
        <v>0.95395103382645563</v>
      </c>
      <c r="BO578" s="218">
        <f t="shared" si="1056"/>
        <v>2592.8389099403066</v>
      </c>
      <c r="BP578" s="218">
        <f t="shared" si="1057"/>
        <v>-125.16109005969338</v>
      </c>
      <c r="BQ578" s="254">
        <f>INDEX('Dist Plant Depreciation'!$D$7:$AC$94,MATCH($C578,'Dist Plant Depreciation'!$C$7:$C$94,0),MATCH(Calculation!$G578,'Dist Plant Depreciation'!$D$5:$AC$5,0))</f>
        <v>283296</v>
      </c>
      <c r="BR578" s="254">
        <f>INDEX('Gen. Plant Depreciation'!$D$7:$AC$94,MATCH($C578,'Gen. Plant Depreciation'!$C$7:$C$94,0),MATCH(Calculation!$G578,'Gen. Plant Depreciation'!$D$5:$AC$5,0))</f>
        <v>8006</v>
      </c>
      <c r="BS578" s="254"/>
      <c r="BT578" s="254"/>
      <c r="BU578" s="254"/>
      <c r="BV578" s="254"/>
      <c r="BW578" s="254"/>
      <c r="BX578" s="254"/>
      <c r="BY578" s="254">
        <f>INDEX('Gross Dx Plant'!$D$7:$AC$91,MATCH($C578,'Gross Dx Plant'!$C$7:$C$91,0),MATCH(Calculation!$G578,'Gross Dx Plant'!$D$5:$AC$5,0))</f>
        <v>1102672</v>
      </c>
      <c r="BZ578" s="254">
        <f>INDEX('Gross Gen Plant'!$D$7:$AC$91,MATCH($C578,'Gross Gen Plant'!$C$7:$C$91,0),MATCH(Calculation!$G578,'Gross Gen Plant'!$D$5:$AC$5,0))</f>
        <v>53228</v>
      </c>
      <c r="CA578" s="254">
        <f t="shared" si="960"/>
        <v>864598</v>
      </c>
      <c r="CB578" s="254"/>
      <c r="CC578" s="260">
        <v>1998</v>
      </c>
      <c r="CD578" s="254">
        <f>BJ578+BK578</f>
        <v>1155900</v>
      </c>
      <c r="CE578" s="254">
        <f>283296+8006</f>
        <v>291302</v>
      </c>
      <c r="CF578" s="254">
        <f>+CD578-CE578</f>
        <v>864598</v>
      </c>
      <c r="CG578" s="254">
        <f>CF578/$BX$3</f>
        <v>4286.1412148641784</v>
      </c>
      <c r="CH578" s="323"/>
      <c r="CI578" s="344"/>
      <c r="CJ578" s="344"/>
      <c r="CK578" s="443">
        <v>1</v>
      </c>
      <c r="CL578" s="254">
        <f>+CG578</f>
        <v>4286.1412148641784</v>
      </c>
      <c r="CM578" s="256"/>
      <c r="CN578" s="325"/>
      <c r="CO578" s="325"/>
      <c r="CP578" s="256" t="e">
        <f>VLOOKUP($H578,RoR!$E:$F,2,FALSE)</f>
        <v>#N/A</v>
      </c>
      <c r="CQ578" s="325">
        <v>1.1028127770464469E-2</v>
      </c>
      <c r="CR578" s="325"/>
      <c r="CS578" s="325"/>
      <c r="CT578" s="325"/>
      <c r="CU578" s="327"/>
      <c r="CV578" s="331" t="e">
        <f>2/(DD578*39)</f>
        <v>#N/A</v>
      </c>
      <c r="CW578" s="328" t="e">
        <f>+(DD578*40-(1+DD578))/(DD578*40)</f>
        <v>#N/A</v>
      </c>
      <c r="CX578" s="328" t="e">
        <f>+(1-(1/(1+DD578)^40))</f>
        <v>#N/A</v>
      </c>
      <c r="CY578" s="328" t="e">
        <f>+CX578*CW578*CV578</f>
        <v>#N/A</v>
      </c>
      <c r="CZ578" s="329">
        <f>INDEX('State Tax Lookup'!$D$7:$Z$91,MATCH(Calculation!$C578,'State Tax Lookup'!$B$7:$B$91,0),MATCH($H578,'State Tax Lookup'!$D$6:$Z$6,0))</f>
        <v>0.39649667</v>
      </c>
      <c r="DA578" s="351">
        <v>0.37</v>
      </c>
      <c r="DB578" s="344"/>
      <c r="DC578" s="326"/>
      <c r="DD578" s="351" t="e">
        <f>VLOOKUP($H578,RoR!$E:$F,2,FALSE)</f>
        <v>#N/A</v>
      </c>
      <c r="DE578" s="354">
        <f>HLOOKUP($H578,'GDP-PI'!$D$8:$CQ$11,3,FALSE)</f>
        <v>1.1028127770464469E-2</v>
      </c>
      <c r="DF578" s="351">
        <f>VLOOKUP(H578,'HW Dx Data'!$E:$F,2,FALSE)</f>
        <v>329.24564746449528</v>
      </c>
      <c r="DG578" s="351"/>
      <c r="DH578" s="351"/>
      <c r="DI578" s="351"/>
      <c r="DJ578" s="326"/>
      <c r="DK578" s="344">
        <f>HLOOKUP(H578,'GDP-PI'!$8:$9,2,FALSE)</f>
        <v>75.266999999999996</v>
      </c>
      <c r="DL578" s="292"/>
      <c r="EC578"/>
    </row>
    <row r="579" spans="1:133" s="126" customFormat="1" ht="21" customHeight="1" x14ac:dyDescent="0.4">
      <c r="A579" s="233" t="s">
        <v>216</v>
      </c>
      <c r="B579" s="127" t="s">
        <v>216</v>
      </c>
      <c r="C579" s="127">
        <v>4061687</v>
      </c>
      <c r="D579" s="127" t="s">
        <v>194</v>
      </c>
      <c r="E579" s="127" t="s">
        <v>15</v>
      </c>
      <c r="F579" s="127"/>
      <c r="G579" s="127" t="s">
        <v>155</v>
      </c>
      <c r="H579" s="128">
        <v>1999</v>
      </c>
      <c r="I579" s="129"/>
      <c r="J579" s="125"/>
      <c r="K579" s="129"/>
      <c r="L579" s="47"/>
      <c r="M579" s="129"/>
      <c r="N579" s="129"/>
      <c r="O579" s="129"/>
      <c r="P579" s="47"/>
      <c r="Q579" s="47"/>
      <c r="R579" s="386"/>
      <c r="S579" s="119"/>
      <c r="T579" s="47"/>
      <c r="U579" s="46"/>
      <c r="V579" s="135"/>
      <c r="W579" s="135"/>
      <c r="X579" s="135"/>
      <c r="Y579" s="143"/>
      <c r="Z579" s="135"/>
      <c r="AA579" s="135"/>
      <c r="AB579" s="135"/>
      <c r="AC579" s="125">
        <f t="shared" ref="AC579:AC602" si="1061">+CL578*DB579</f>
        <v>0</v>
      </c>
      <c r="AD579" s="129"/>
      <c r="AE579" s="133">
        <v>4405.1973609272891</v>
      </c>
      <c r="AF579" s="134">
        <v>2.7398217780165494E-2</v>
      </c>
      <c r="AG579" s="61"/>
      <c r="AH579" s="134"/>
      <c r="AI579" s="134"/>
      <c r="AJ579" s="129">
        <f t="shared" si="1015"/>
        <v>0</v>
      </c>
      <c r="AK579" s="134"/>
      <c r="AL579" s="129"/>
      <c r="AM579" s="134"/>
      <c r="AN579" s="134"/>
      <c r="AO579" s="134"/>
      <c r="AP579" s="133"/>
      <c r="AQ579" s="134"/>
      <c r="AR579" s="93"/>
      <c r="AS579" s="93"/>
      <c r="AT579" s="93"/>
      <c r="AU579" s="93"/>
      <c r="AV579" s="93"/>
      <c r="AW579" s="134"/>
      <c r="AX579" s="62"/>
      <c r="AY579" s="93"/>
      <c r="AZ579" s="93"/>
      <c r="BA579" s="93"/>
      <c r="BB579" s="234">
        <f>IFERROR(INDEX('Total Customers'!$E$7:$AA$91,MATCH($C579,'Total Customers'!$C$7:$C$91,0),MATCH($G579,'Total Customers'!$E$5:$AA$5,0)),"NA")</f>
        <v>745094</v>
      </c>
      <c r="BC579" s="411">
        <f t="shared" si="973"/>
        <v>1.2897304342975931E-2</v>
      </c>
      <c r="BD579" s="92"/>
      <c r="BE579" s="281" t="str">
        <f t="shared" ref="BE579:BE642" si="1062">A579</f>
        <v>NATIONAL FUEL GAS DISTRIBUTION CORPORATION</v>
      </c>
      <c r="BF579" s="290">
        <f t="shared" ref="BF579:BF642" si="1063">C579</f>
        <v>4061687</v>
      </c>
      <c r="BG579" s="46" t="str">
        <f t="shared" ref="BG579:BG642" si="1064">D579</f>
        <v>NY</v>
      </c>
      <c r="BH579" s="46"/>
      <c r="BI579" s="46" t="str">
        <f t="shared" ref="BI579:BI642" si="1065">G579</f>
        <v>1999 Y</v>
      </c>
      <c r="BJ579" s="129"/>
      <c r="BK579" s="129"/>
      <c r="BL579" s="129">
        <f>INDEX('Dist. Plant Gas Additions'!$E$7:$AD$91,MATCH($C579,'Dist. Plant Gas Additions'!$C$7:$C$91,0),MATCH(Calculation!$G579,'Dist. Plant Gas Additions'!$E$5:$AD$5,0))</f>
        <v>45387</v>
      </c>
      <c r="BM579" s="129">
        <f>INDEX('Gen. Plant Additions'!$E$7:$AD$91,MATCH($C579,'Gen. Plant Additions'!$C$7:$C$91,0),MATCH(Calculation!$G579,'Gen. Plant Additions'!$E$5:$AD$5,0))</f>
        <v>1686</v>
      </c>
      <c r="BN579" s="393">
        <f t="shared" ref="BN579:BN600" si="1066">+(BY579/(BY579+BZ579))</f>
        <v>0.95467899612999918</v>
      </c>
      <c r="BO579" s="46">
        <f t="shared" si="1056"/>
        <v>1609.5887874751786</v>
      </c>
      <c r="BP579" s="46">
        <f t="shared" si="1057"/>
        <v>-76.411212524821394</v>
      </c>
      <c r="BQ579" s="129">
        <f>INDEX('Dist Plant Depreciation'!$D$7:$AC$94,MATCH($C579,'Dist Plant Depreciation'!$C$7:$C$94,0),MATCH(Calculation!$G579,'Dist Plant Depreciation'!$D$5:$AC$5,0))</f>
        <v>302879</v>
      </c>
      <c r="BR579" s="129">
        <f>INDEX('Gen. Plant Depreciation'!$D$7:$AC$94,MATCH($C579,'Gen. Plant Depreciation'!$C$7:$C$94,0),MATCH(Calculation!$G579,'Gen. Plant Depreciation'!$D$5:$AC$5,0))</f>
        <v>9189</v>
      </c>
      <c r="BS579" s="129"/>
      <c r="BT579" s="129"/>
      <c r="BU579" s="129"/>
      <c r="BV579" s="129"/>
      <c r="BW579" s="129"/>
      <c r="BX579" s="129"/>
      <c r="BY579" s="129">
        <f>INDEX('Gross Dx Plant'!$D$7:$AC$91,MATCH($C579,'Gross Dx Plant'!$C$7:$C$91,0),MATCH(Calculation!$G579,'Gross Dx Plant'!$D$5:$AC$5,0))</f>
        <v>1138954</v>
      </c>
      <c r="BZ579" s="129">
        <f>INDEX('Gross Gen Plant'!$D$7:$AC$91,MATCH($C579,'Gross Gen Plant'!$C$7:$C$91,0),MATCH(Calculation!$G579,'Gross Gen Plant'!$D$5:$AC$5,0))</f>
        <v>54069</v>
      </c>
      <c r="CA579" s="129">
        <f t="shared" si="960"/>
        <v>880955</v>
      </c>
      <c r="CB579" s="129"/>
      <c r="CC579" s="133">
        <v>1999</v>
      </c>
      <c r="CD579" s="129"/>
      <c r="CE579" s="129"/>
      <c r="CF579" s="129"/>
      <c r="CG579" s="137"/>
      <c r="CH579" s="129">
        <f t="shared" ref="CH579:CH601" si="1067">+BM579+BL579</f>
        <v>47073</v>
      </c>
      <c r="CI579" s="46">
        <f>+CH579+BP579</f>
        <v>46996.588787475179</v>
      </c>
      <c r="CJ579" s="46">
        <f t="shared" ref="CJ579:CJ602" si="1068">+CI579/$DF579</f>
        <v>140.15235960163648</v>
      </c>
      <c r="CK579" s="443">
        <v>0.99009900990099009</v>
      </c>
      <c r="CL579" s="46">
        <f>+CL578*CK579+CJ579</f>
        <v>4383.8565327344868</v>
      </c>
      <c r="CM579" s="134">
        <f t="shared" ref="CM579:CM600" si="1069">LN(CL579/CL578)</f>
        <v>2.2541979465748315E-2</v>
      </c>
      <c r="CN579" s="135">
        <f t="shared" ref="CN579:CN601" si="1070">+(CL578-CL579+CJ579)/CL578</f>
        <v>9.9009900990098126E-3</v>
      </c>
      <c r="CO579" s="135"/>
      <c r="CP579" s="134">
        <f>VLOOKUP($H579,RoR!$E:$F,2,FALSE)</f>
        <v>7.0416666666666669E-2</v>
      </c>
      <c r="CQ579" s="135">
        <v>1.4335631817396832E-2</v>
      </c>
      <c r="CR579" s="135">
        <f>+CP579-CQ579</f>
        <v>5.6081034849269837E-2</v>
      </c>
      <c r="CS579" s="135"/>
      <c r="CT579" s="135"/>
      <c r="CU579" s="139">
        <f t="shared" ref="CU579:CU602" si="1071">1-CZ579*DA579</f>
        <v>0.85329623209999994</v>
      </c>
      <c r="CV579" s="335">
        <f t="shared" ref="CV579:CV601" si="1072">2/(DD579*39)</f>
        <v>0.72826581702321336</v>
      </c>
      <c r="CW579" s="335">
        <f t="shared" ref="CW579:CW601" si="1073">+(DD579*40-(1+DD579))/(DD579*40)</f>
        <v>0.61997041420118348</v>
      </c>
      <c r="CX579" s="335">
        <f t="shared" ref="CX579:CX601" si="1074">+(1-(1/(1+DD579)^40))</f>
        <v>0.93425155319585029</v>
      </c>
      <c r="CY579" s="335">
        <f t="shared" ref="CY579:CY601" si="1075">+CX579*CW579*CV579</f>
        <v>0.42181762214141483</v>
      </c>
      <c r="CZ579" s="336">
        <f>INDEX('State Tax Lookup'!$D$7:$Z$91,MATCH(Calculation!$C579,'State Tax Lookup'!$B$7:$B$91,0),MATCH($H579,'State Tax Lookup'!$D$6:$Z$6,0))</f>
        <v>0.39649667</v>
      </c>
      <c r="DA579" s="303">
        <v>0.37</v>
      </c>
      <c r="DB579" s="57"/>
      <c r="DC579" s="56"/>
      <c r="DD579" s="303">
        <f>VLOOKUP($H579,RoR!$E:$F,2,FALSE)</f>
        <v>7.0416666666666669E-2</v>
      </c>
      <c r="DE579" s="304">
        <f>HLOOKUP($H579,'GDP-PI'!$D$8:$CQ$11,3,FALSE)</f>
        <v>1.4335631817396832E-2</v>
      </c>
      <c r="DF579" s="303">
        <f>VLOOKUP(H579,'HW Dx Data'!$E:$F,2,FALSE)</f>
        <v>335.32499146683239</v>
      </c>
      <c r="DG579" s="89"/>
      <c r="DH579" s="89"/>
      <c r="DI579" s="89"/>
      <c r="DJ579" s="56"/>
      <c r="DK579" s="53">
        <f>HLOOKUP(H579,'GDP-PI'!$8:$9,2,FALSE)</f>
        <v>76.346000000000004</v>
      </c>
      <c r="DL579" s="298"/>
      <c r="EC579"/>
    </row>
    <row r="580" spans="1:133" s="126" customFormat="1" ht="21" customHeight="1" x14ac:dyDescent="0.4">
      <c r="A580" s="233" t="s">
        <v>216</v>
      </c>
      <c r="B580" s="127" t="s">
        <v>216</v>
      </c>
      <c r="C580" s="127">
        <v>4061687</v>
      </c>
      <c r="D580" s="127" t="s">
        <v>194</v>
      </c>
      <c r="E580" s="127" t="s">
        <v>15</v>
      </c>
      <c r="F580" s="127"/>
      <c r="G580" s="127" t="s">
        <v>156</v>
      </c>
      <c r="H580" s="128">
        <v>2000</v>
      </c>
      <c r="I580" s="129"/>
      <c r="J580" s="125"/>
      <c r="K580" s="125"/>
      <c r="L580" s="47"/>
      <c r="M580" s="125"/>
      <c r="N580" s="125"/>
      <c r="O580" s="125"/>
      <c r="P580" s="47"/>
      <c r="Q580" s="47"/>
      <c r="R580" s="386"/>
      <c r="S580" s="119"/>
      <c r="T580" s="47"/>
      <c r="U580" s="47"/>
      <c r="V580" s="125"/>
      <c r="W580" s="125"/>
      <c r="X580" s="125"/>
      <c r="Y580" s="125"/>
      <c r="Z580" s="125"/>
      <c r="AA580" s="125"/>
      <c r="AB580" s="125"/>
      <c r="AC580" s="125">
        <f t="shared" si="1061"/>
        <v>0</v>
      </c>
      <c r="AD580" s="129"/>
      <c r="AE580" s="133">
        <v>4521.6810860377327</v>
      </c>
      <c r="AF580" s="134">
        <v>2.6098784160951093E-2</v>
      </c>
      <c r="AG580" s="61"/>
      <c r="AH580" s="134"/>
      <c r="AI580" s="134"/>
      <c r="AJ580" s="129">
        <f t="shared" si="1015"/>
        <v>0</v>
      </c>
      <c r="AK580" s="134"/>
      <c r="AL580" s="129"/>
      <c r="AM580" s="129"/>
      <c r="AN580" s="129"/>
      <c r="AO580" s="129"/>
      <c r="AP580" s="133"/>
      <c r="AQ580" s="134"/>
      <c r="AR580" s="93"/>
      <c r="AS580" s="93"/>
      <c r="AT580" s="93"/>
      <c r="AU580" s="93"/>
      <c r="AV580" s="93"/>
      <c r="AW580" s="134"/>
      <c r="AX580" s="62"/>
      <c r="AY580" s="93"/>
      <c r="AZ580" s="93"/>
      <c r="BA580" s="93"/>
      <c r="BB580" s="234">
        <f>IFERROR(INDEX('Total Customers'!$E$7:$AA$91,MATCH($C580,'Total Customers'!$C$7:$C$91,0),MATCH($G580,'Total Customers'!$E$5:$AA$5,0)),"NA")</f>
        <v>736113</v>
      </c>
      <c r="BC580" s="411">
        <f t="shared" ref="BC580:BC643" si="1076">LN(BB580/BB579)</f>
        <v>-1.2126745364224353E-2</v>
      </c>
      <c r="BD580" s="92"/>
      <c r="BE580" s="281" t="str">
        <f t="shared" si="1062"/>
        <v>NATIONAL FUEL GAS DISTRIBUTION CORPORATION</v>
      </c>
      <c r="BF580" s="290">
        <f t="shared" si="1063"/>
        <v>4061687</v>
      </c>
      <c r="BG580" s="46" t="str">
        <f t="shared" si="1064"/>
        <v>NY</v>
      </c>
      <c r="BH580" s="46"/>
      <c r="BI580" s="46" t="str">
        <f t="shared" si="1065"/>
        <v>2000 Y</v>
      </c>
      <c r="BJ580" s="129"/>
      <c r="BK580" s="129"/>
      <c r="BL580" s="129">
        <f>INDEX('Dist. Plant Gas Additions'!$E$7:$AD$91,MATCH($C580,'Dist. Plant Gas Additions'!$C$7:$C$91,0),MATCH(Calculation!$G580,'Dist. Plant Gas Additions'!$E$5:$AD$5,0))</f>
        <v>45762</v>
      </c>
      <c r="BM580" s="129">
        <f>INDEX('Gen. Plant Additions'!$E$7:$AD$91,MATCH($C580,'Gen. Plant Additions'!$C$7:$C$91,0),MATCH(Calculation!$G580,'Gen. Plant Additions'!$E$5:$AD$5,0))</f>
        <v>2459</v>
      </c>
      <c r="BN580" s="393">
        <f t="shared" si="1066"/>
        <v>0.94945538738423463</v>
      </c>
      <c r="BO580" s="46">
        <f t="shared" si="1056"/>
        <v>2334.7107975778331</v>
      </c>
      <c r="BP580" s="46">
        <f t="shared" si="1057"/>
        <v>-124.28920242216691</v>
      </c>
      <c r="BQ580" s="129"/>
      <c r="BR580" s="129"/>
      <c r="BS580" s="129"/>
      <c r="BT580" s="129"/>
      <c r="BU580" s="129"/>
      <c r="BV580" s="129"/>
      <c r="BW580" s="129"/>
      <c r="BX580" s="129"/>
      <c r="BY580" s="129">
        <f>INDEX('Gross Dx Plant'!$D$7:$AC$91,MATCH($C580,'Gross Dx Plant'!$C$7:$C$91,0),MATCH(Calculation!$G580,'Gross Dx Plant'!$D$5:$AC$5,0))</f>
        <v>1215470</v>
      </c>
      <c r="BZ580" s="129">
        <f>INDEX('Gross Gen Plant'!$D$7:$AC$91,MATCH($C580,'Gross Gen Plant'!$C$7:$C$91,0),MATCH(Calculation!$G580,'Gross Gen Plant'!$D$5:$AC$5,0))</f>
        <v>64706</v>
      </c>
      <c r="CA580" s="129">
        <f t="shared" ref="CA580:CA647" si="1077">IF(OR(BQ580="NA",BR580="NA"),"NA",(SUM(BY580:BZ580)-SUM(BQ580:BR580)))</f>
        <v>1280176</v>
      </c>
      <c r="CB580" s="129"/>
      <c r="CC580" s="133">
        <v>2000</v>
      </c>
      <c r="CD580" s="129"/>
      <c r="CE580" s="129"/>
      <c r="CF580" s="129"/>
      <c r="CG580" s="137"/>
      <c r="CH580" s="129">
        <f t="shared" si="1067"/>
        <v>48221</v>
      </c>
      <c r="CI580" s="46">
        <f t="shared" ref="CI580:CI602" si="1078">+CH580+BP580</f>
        <v>48096.710797577834</v>
      </c>
      <c r="CJ580" s="46">
        <f t="shared" si="1068"/>
        <v>138.79374018764906</v>
      </c>
      <c r="CK580" s="443">
        <v>0.98</v>
      </c>
      <c r="CL580" s="46">
        <f>+CL578*CK580+CJ579*CK579+CJ580</f>
        <v>4477.9768432314122</v>
      </c>
      <c r="CM580" s="134">
        <f t="shared" si="1069"/>
        <v>2.1242523020239538E-2</v>
      </c>
      <c r="CN580" s="135">
        <f t="shared" si="1070"/>
        <v>1.0190440621663781E-2</v>
      </c>
      <c r="CO580" s="135"/>
      <c r="CP580" s="134">
        <f>VLOOKUP($H580,RoR!$E:$F,2,FALSE)</f>
        <v>7.6225000000000001E-2</v>
      </c>
      <c r="CQ580" s="135">
        <v>2.2568307442433211E-2</v>
      </c>
      <c r="CR580" s="135">
        <f t="shared" ref="CR580:CR600" si="1079">+CP580-CQ580</f>
        <v>5.365669255756679E-2</v>
      </c>
      <c r="CS580" s="135"/>
      <c r="CT580" s="135"/>
      <c r="CU580" s="139">
        <f t="shared" si="1071"/>
        <v>0.85329623209999994</v>
      </c>
      <c r="CV580" s="335">
        <f t="shared" si="1072"/>
        <v>0.67277207323124022</v>
      </c>
      <c r="CW580" s="335">
        <f t="shared" si="1073"/>
        <v>0.6470236142997704</v>
      </c>
      <c r="CX580" s="335">
        <f t="shared" si="1074"/>
        <v>0.94704866037543145</v>
      </c>
      <c r="CY580" s="335">
        <f t="shared" si="1075"/>
        <v>0.41224973107878493</v>
      </c>
      <c r="CZ580" s="336">
        <f>INDEX('State Tax Lookup'!$D$7:$Z$91,MATCH(Calculation!$C580,'State Tax Lookup'!$B$7:$B$91,0),MATCH($H580,'State Tax Lookup'!$D$6:$Z$6,0))</f>
        <v>0.39649667</v>
      </c>
      <c r="DA580" s="303">
        <v>0.37</v>
      </c>
      <c r="DB580" s="57"/>
      <c r="DC580" s="56"/>
      <c r="DD580" s="303">
        <f>VLOOKUP($H580,RoR!$E:$F,2,FALSE)</f>
        <v>7.6225000000000001E-2</v>
      </c>
      <c r="DE580" s="304">
        <f>HLOOKUP($H580,'GDP-PI'!$D$8:$CQ$11,3,FALSE)</f>
        <v>2.2568307442433211E-2</v>
      </c>
      <c r="DF580" s="303">
        <f>VLOOKUP(H580,'HW Dx Data'!$E:$F,2,FALSE)</f>
        <v>346.53371782150339</v>
      </c>
      <c r="DG580" s="89"/>
      <c r="DH580" s="89"/>
      <c r="DI580" s="89"/>
      <c r="DJ580" s="56"/>
      <c r="DK580" s="53">
        <f>HLOOKUP(H580,'GDP-PI'!$8:$9,2,FALSE)</f>
        <v>78.069000000000003</v>
      </c>
      <c r="DL580" s="298"/>
      <c r="EC580"/>
    </row>
    <row r="581" spans="1:133" s="126" customFormat="1" ht="21" customHeight="1" x14ac:dyDescent="0.4">
      <c r="A581" s="233" t="s">
        <v>216</v>
      </c>
      <c r="B581" s="127" t="s">
        <v>216</v>
      </c>
      <c r="C581" s="127">
        <v>4061687</v>
      </c>
      <c r="D581" s="127" t="s">
        <v>194</v>
      </c>
      <c r="E581" s="127" t="s">
        <v>15</v>
      </c>
      <c r="F581" s="127"/>
      <c r="G581" s="127" t="s">
        <v>157</v>
      </c>
      <c r="H581" s="128">
        <v>2001</v>
      </c>
      <c r="I581" s="129"/>
      <c r="J581" s="125"/>
      <c r="K581" s="125"/>
      <c r="L581" s="47"/>
      <c r="M581" s="125"/>
      <c r="N581" s="125"/>
      <c r="O581" s="125"/>
      <c r="P581" s="47"/>
      <c r="Q581" s="47"/>
      <c r="R581" s="386"/>
      <c r="S581" s="119"/>
      <c r="T581" s="47"/>
      <c r="U581" s="47"/>
      <c r="V581" s="125"/>
      <c r="W581" s="125"/>
      <c r="X581" s="125"/>
      <c r="Y581" s="125"/>
      <c r="Z581" s="125"/>
      <c r="AA581" s="125"/>
      <c r="AB581" s="125"/>
      <c r="AC581" s="125">
        <f t="shared" si="1061"/>
        <v>46422.557408298344</v>
      </c>
      <c r="AD581" s="129"/>
      <c r="AE581" s="133">
        <v>4535.820110173493</v>
      </c>
      <c r="AF581" s="134">
        <v>3.1220609998721927E-3</v>
      </c>
      <c r="AG581" s="61"/>
      <c r="AH581" s="134"/>
      <c r="AI581" s="134"/>
      <c r="AJ581" s="129">
        <f t="shared" si="1015"/>
        <v>46422.557408298344</v>
      </c>
      <c r="AK581" s="134"/>
      <c r="AL581" s="129"/>
      <c r="AM581" s="129"/>
      <c r="AN581" s="129"/>
      <c r="AO581" s="129"/>
      <c r="AP581" s="133"/>
      <c r="AQ581" s="134"/>
      <c r="AR581" s="93"/>
      <c r="AS581" s="93"/>
      <c r="AT581" s="93"/>
      <c r="AU581" s="93"/>
      <c r="AV581" s="93"/>
      <c r="AW581" s="134"/>
      <c r="AX581" s="62"/>
      <c r="AY581" s="93"/>
      <c r="AZ581" s="93"/>
      <c r="BA581" s="93"/>
      <c r="BB581" s="234">
        <f>IFERROR(INDEX('Total Customers'!$E$7:$AA$91,MATCH($C581,'Total Customers'!$C$7:$C$91,0),MATCH($G581,'Total Customers'!$E$5:$AA$5,0)),"NA")</f>
        <v>732604</v>
      </c>
      <c r="BC581" s="411">
        <f t="shared" si="1076"/>
        <v>-4.778329217378972E-3</v>
      </c>
      <c r="BD581" s="92"/>
      <c r="BE581" s="281" t="str">
        <f t="shared" si="1062"/>
        <v>NATIONAL FUEL GAS DISTRIBUTION CORPORATION</v>
      </c>
      <c r="BF581" s="290">
        <f t="shared" si="1063"/>
        <v>4061687</v>
      </c>
      <c r="BG581" s="46" t="str">
        <f t="shared" si="1064"/>
        <v>NY</v>
      </c>
      <c r="BH581" s="46"/>
      <c r="BI581" s="46" t="str">
        <f t="shared" si="1065"/>
        <v>2001 Y</v>
      </c>
      <c r="BJ581" s="129"/>
      <c r="BK581" s="129"/>
      <c r="BL581" s="129">
        <f>INDEX('Dist. Plant Gas Additions'!$E$7:$AD$91,MATCH($C581,'Dist. Plant Gas Additions'!$C$7:$C$91,0),MATCH(Calculation!$G581,'Dist. Plant Gas Additions'!$E$5:$AD$5,0))</f>
        <v>12458</v>
      </c>
      <c r="BM581" s="129">
        <f>INDEX('Gen. Plant Additions'!$E$7:$AD$91,MATCH($C581,'Gen. Plant Additions'!$C$7:$C$91,0),MATCH(Calculation!$G581,'Gen. Plant Additions'!$E$5:$AD$5,0))</f>
        <v>798</v>
      </c>
      <c r="BN581" s="393">
        <f t="shared" si="1066"/>
        <v>0.95736872976002907</v>
      </c>
      <c r="BO581" s="46">
        <f t="shared" si="1056"/>
        <v>763.98024634850321</v>
      </c>
      <c r="BP581" s="46">
        <f t="shared" si="1057"/>
        <v>-34.019753651496785</v>
      </c>
      <c r="BQ581" s="129">
        <f>INDEX('Dist Plant Depreciation'!$D$7:$AC$94,MATCH($C581,'Dist Plant Depreciation'!$C$7:$C$94,0),MATCH(Calculation!$G581,'Dist Plant Depreciation'!$D$5:$AC$5,0))</f>
        <v>245661</v>
      </c>
      <c r="BR581" s="129">
        <f>INDEX('Gen. Plant Depreciation'!$D$7:$AC$94,MATCH($C581,'Gen. Plant Depreciation'!$C$7:$C$94,0),MATCH(Calculation!$G581,'Gen. Plant Depreciation'!$D$5:$AC$5,0))</f>
        <v>7116</v>
      </c>
      <c r="BS581" s="129"/>
      <c r="BT581" s="129"/>
      <c r="BU581" s="129"/>
      <c r="BV581" s="129"/>
      <c r="BW581" s="129"/>
      <c r="BX581" s="129"/>
      <c r="BY581" s="129">
        <f>INDEX('Gross Dx Plant'!$D$7:$AC$91,MATCH($C581,'Gross Dx Plant'!$C$7:$C$91,0),MATCH(Calculation!$G581,'Gross Dx Plant'!$D$5:$AC$5,0))</f>
        <v>1196417</v>
      </c>
      <c r="BZ581" s="129">
        <f>INDEX('Gross Gen Plant'!$D$7:$AC$91,MATCH($C581,'Gross Gen Plant'!$C$7:$C$91,0),MATCH(Calculation!$G581,'Gross Gen Plant'!$D$5:$AC$5,0))</f>
        <v>53276</v>
      </c>
      <c r="CA581" s="129">
        <f t="shared" si="1077"/>
        <v>996916</v>
      </c>
      <c r="CB581" s="129"/>
      <c r="CC581" s="133">
        <v>2001</v>
      </c>
      <c r="CD581" s="129"/>
      <c r="CE581" s="129"/>
      <c r="CF581" s="129"/>
      <c r="CG581" s="137"/>
      <c r="CH581" s="129">
        <f t="shared" si="1067"/>
        <v>13256</v>
      </c>
      <c r="CI581" s="46">
        <f t="shared" si="1078"/>
        <v>13221.980246348503</v>
      </c>
      <c r="CJ581" s="46">
        <f t="shared" si="1068"/>
        <v>37.408624276146284</v>
      </c>
      <c r="CK581" s="443">
        <v>0.96969696969696972</v>
      </c>
      <c r="CL581" s="46">
        <f>+CL578*CK581+CJ579*CK580+CJ580*CK578+CJ581</f>
        <v>4469.8098246204809</v>
      </c>
      <c r="CM581" s="134">
        <f t="shared" si="1069"/>
        <v>-1.825484040259886E-3</v>
      </c>
      <c r="CN581" s="135">
        <f t="shared" si="1070"/>
        <v>1.0177730810726832E-2</v>
      </c>
      <c r="CO581" s="135">
        <f>+(CN581+CN580+CN579)/3</f>
        <v>1.0089720510466809E-2</v>
      </c>
      <c r="CP581" s="134">
        <f>VLOOKUP($H581,RoR!$E:$F,2,FALSE)</f>
        <v>7.0824999999999999E-2</v>
      </c>
      <c r="CQ581" s="135">
        <v>2.2454495382290052E-2</v>
      </c>
      <c r="CR581" s="135">
        <f t="shared" si="1079"/>
        <v>4.8370504617709947E-2</v>
      </c>
      <c r="CS581" s="135">
        <f>+$CR$2-CO581</f>
        <v>2.0812221098066817E-2</v>
      </c>
      <c r="CT581" s="135">
        <f>+((DF579/DF578-1)+(DF580/DF579-1)+(DF581/DF580-1))/3</f>
        <v>2.3947275901631187E-2</v>
      </c>
      <c r="CU581" s="139">
        <f t="shared" si="1071"/>
        <v>0.85329623209999994</v>
      </c>
      <c r="CV581" s="335">
        <f t="shared" si="1072"/>
        <v>0.72406708481540816</v>
      </c>
      <c r="CW581" s="335">
        <f t="shared" si="1073"/>
        <v>0.62201729615248857</v>
      </c>
      <c r="CX581" s="335">
        <f t="shared" si="1074"/>
        <v>0.9352469954311422</v>
      </c>
      <c r="CY581" s="335">
        <f t="shared" si="1075"/>
        <v>0.42121864641655071</v>
      </c>
      <c r="CZ581" s="336">
        <f>INDEX('State Tax Lookup'!$D$7:$Z$91,MATCH(Calculation!$C581,'State Tax Lookup'!$B$7:$B$91,0),MATCH($H581,'State Tax Lookup'!$D$6:$Z$6,0))</f>
        <v>0.39649667</v>
      </c>
      <c r="DA581" s="303">
        <v>0.37</v>
      </c>
      <c r="DB581" s="57">
        <f t="shared" ref="DB581:DB602" si="1080">+(DF581*CS581-CT581)*CU581/(1-CZ581)</f>
        <v>10.366859640747661</v>
      </c>
      <c r="DC581" s="56"/>
      <c r="DD581" s="303">
        <f>VLOOKUP($H581,RoR!$E:$F,2,FALSE)</f>
        <v>7.0824999999999999E-2</v>
      </c>
      <c r="DE581" s="304">
        <f>HLOOKUP($H581,'GDP-PI'!$D$8:$CQ$11,3,FALSE)</f>
        <v>2.2454495382290052E-2</v>
      </c>
      <c r="DF581" s="303">
        <f>VLOOKUP(H581,'HW Dx Data'!$E:$F,2,FALSE)</f>
        <v>353.44738017483138</v>
      </c>
      <c r="DG581" s="89"/>
      <c r="DH581" s="89"/>
      <c r="DI581" s="89"/>
      <c r="DJ581" s="56"/>
      <c r="DK581" s="53">
        <f>HLOOKUP(H581,'GDP-PI'!$8:$9,2,FALSE)</f>
        <v>79.822000000000003</v>
      </c>
      <c r="DL581" s="298"/>
      <c r="EC581"/>
    </row>
    <row r="582" spans="1:133" s="126" customFormat="1" ht="21" customHeight="1" x14ac:dyDescent="0.4">
      <c r="A582" s="233" t="s">
        <v>216</v>
      </c>
      <c r="B582" s="127" t="s">
        <v>216</v>
      </c>
      <c r="C582" s="127">
        <v>4061687</v>
      </c>
      <c r="D582" s="127" t="s">
        <v>194</v>
      </c>
      <c r="E582" s="127" t="s">
        <v>15</v>
      </c>
      <c r="F582" s="127"/>
      <c r="G582" s="127" t="s">
        <v>158</v>
      </c>
      <c r="H582" s="128">
        <v>2002</v>
      </c>
      <c r="I582" s="129"/>
      <c r="J582" s="125"/>
      <c r="K582" s="125"/>
      <c r="L582" s="47"/>
      <c r="M582" s="125"/>
      <c r="N582" s="125"/>
      <c r="O582" s="125"/>
      <c r="P582" s="47"/>
      <c r="Q582" s="47"/>
      <c r="R582" s="386"/>
      <c r="S582" s="119"/>
      <c r="T582" s="47"/>
      <c r="U582" s="47"/>
      <c r="V582" s="125"/>
      <c r="W582" s="125"/>
      <c r="X582" s="125"/>
      <c r="Y582" s="125"/>
      <c r="Z582" s="125"/>
      <c r="AA582" s="125"/>
      <c r="AB582" s="125"/>
      <c r="AC582" s="125">
        <f t="shared" si="1061"/>
        <v>46449.904416056059</v>
      </c>
      <c r="AD582" s="129"/>
      <c r="AE582" s="133">
        <v>4637.8677820912944</v>
      </c>
      <c r="AF582" s="134">
        <v>2.224882351227226E-2</v>
      </c>
      <c r="AG582" s="61"/>
      <c r="AH582" s="134"/>
      <c r="AI582" s="134"/>
      <c r="AJ582" s="129">
        <f t="shared" si="1015"/>
        <v>46449.904416056059</v>
      </c>
      <c r="AK582" s="134"/>
      <c r="AL582" s="129"/>
      <c r="AM582" s="129"/>
      <c r="AN582" s="129"/>
      <c r="AO582" s="129"/>
      <c r="AP582" s="133"/>
      <c r="AQ582" s="134"/>
      <c r="AR582" s="93"/>
      <c r="AS582" s="93"/>
      <c r="AT582" s="93"/>
      <c r="AU582" s="93"/>
      <c r="AV582" s="93"/>
      <c r="AW582" s="134"/>
      <c r="AX582" s="62"/>
      <c r="AY582" s="93"/>
      <c r="AZ582" s="93"/>
      <c r="BA582" s="93"/>
      <c r="BB582" s="234">
        <f>IFERROR(INDEX('Total Customers'!$E$7:$AA$91,MATCH($C582,'Total Customers'!$C$7:$C$91,0),MATCH($G582,'Total Customers'!$E$5:$AA$5,0)),"NA")</f>
        <v>736698</v>
      </c>
      <c r="BC582" s="411">
        <f t="shared" si="1076"/>
        <v>5.5727285405299054E-3</v>
      </c>
      <c r="BD582" s="92"/>
      <c r="BE582" s="281" t="str">
        <f t="shared" si="1062"/>
        <v>NATIONAL FUEL GAS DISTRIBUTION CORPORATION</v>
      </c>
      <c r="BF582" s="290">
        <f t="shared" si="1063"/>
        <v>4061687</v>
      </c>
      <c r="BG582" s="46" t="str">
        <f t="shared" si="1064"/>
        <v>NY</v>
      </c>
      <c r="BH582" s="46"/>
      <c r="BI582" s="46" t="str">
        <f t="shared" si="1065"/>
        <v>2002 Y</v>
      </c>
      <c r="BJ582" s="129"/>
      <c r="BK582" s="129"/>
      <c r="BL582" s="129">
        <f>INDEX('Dist. Plant Gas Additions'!$E$7:$AD$91,MATCH($C582,'Dist. Plant Gas Additions'!$C$7:$C$91,0),MATCH(Calculation!$G582,'Dist. Plant Gas Additions'!$E$5:$AD$5,0))</f>
        <v>45547</v>
      </c>
      <c r="BM582" s="129">
        <f>INDEX('Gen. Plant Additions'!$E$7:$AD$91,MATCH($C582,'Gen. Plant Additions'!$C$7:$C$91,0),MATCH(Calculation!$G582,'Gen. Plant Additions'!$E$5:$AD$5,0))</f>
        <v>610</v>
      </c>
      <c r="BN582" s="393">
        <f t="shared" si="1066"/>
        <v>0.95850799311630397</v>
      </c>
      <c r="BO582" s="46">
        <f t="shared" si="1056"/>
        <v>584.6898758009454</v>
      </c>
      <c r="BP582" s="46">
        <f t="shared" si="1057"/>
        <v>-25.310124199054599</v>
      </c>
      <c r="BQ582" s="129">
        <f>INDEX('Dist Plant Depreciation'!$D$7:$AC$94,MATCH($C582,'Dist Plant Depreciation'!$C$7:$C$94,0),MATCH(Calculation!$G582,'Dist Plant Depreciation'!$D$5:$AC$5,0))</f>
        <v>364851</v>
      </c>
      <c r="BR582" s="129">
        <f>INDEX('Gen. Plant Depreciation'!$D$7:$AC$94,MATCH($C582,'Gen. Plant Depreciation'!$C$7:$C$94,0),MATCH(Calculation!$G582,'Gen. Plant Depreciation'!$D$5:$AC$5,0))</f>
        <v>12062</v>
      </c>
      <c r="BS582" s="129"/>
      <c r="BT582" s="129"/>
      <c r="BU582" s="129"/>
      <c r="BV582" s="129"/>
      <c r="BW582" s="129"/>
      <c r="BX582" s="129"/>
      <c r="BY582" s="129">
        <f>INDEX('Gross Dx Plant'!$D$7:$AC$91,MATCH($C582,'Gross Dx Plant'!$C$7:$C$91,0),MATCH(Calculation!$G582,'Gross Dx Plant'!$D$5:$AC$5,0))</f>
        <v>1232024</v>
      </c>
      <c r="BZ582" s="129">
        <f>INDEX('Gross Gen Plant'!$D$7:$AC$91,MATCH($C582,'Gross Gen Plant'!$C$7:$C$91,0),MATCH(Calculation!$G582,'Gross Gen Plant'!$D$5:$AC$5,0))</f>
        <v>53332</v>
      </c>
      <c r="CA582" s="129">
        <f t="shared" si="1077"/>
        <v>908443</v>
      </c>
      <c r="CB582" s="129"/>
      <c r="CC582" s="133">
        <v>2002</v>
      </c>
      <c r="CD582" s="129"/>
      <c r="CE582" s="129"/>
      <c r="CF582" s="129"/>
      <c r="CG582" s="137"/>
      <c r="CH582" s="129">
        <f t="shared" si="1067"/>
        <v>46157</v>
      </c>
      <c r="CI582" s="46">
        <f t="shared" si="1078"/>
        <v>46131.689875800948</v>
      </c>
      <c r="CJ582" s="46">
        <f t="shared" si="1068"/>
        <v>127.66548788777472</v>
      </c>
      <c r="CK582" s="443">
        <v>0.95918367346938771</v>
      </c>
      <c r="CL582" s="46">
        <f>+CL578*CK582+CJ579*CK581+CJ580*CK580+CJ581*CK579+CJ582</f>
        <v>4547.8235890127944</v>
      </c>
      <c r="CM582" s="134">
        <f t="shared" si="1069"/>
        <v>1.7302923547685221E-2</v>
      </c>
      <c r="CN582" s="135">
        <f t="shared" si="1070"/>
        <v>1.1108240717976624E-2</v>
      </c>
      <c r="CO582" s="135">
        <f t="shared" ref="CO582:CO602" si="1081">+(CN582+CN581+CN580)/3</f>
        <v>1.0492137383455747E-2</v>
      </c>
      <c r="CP582" s="134">
        <f>VLOOKUP($H582,RoR!$E:$F,2,FALSE)</f>
        <v>6.4916666666666664E-2</v>
      </c>
      <c r="CQ582" s="135">
        <v>1.5246423291824351E-2</v>
      </c>
      <c r="CR582" s="135">
        <f t="shared" si="1079"/>
        <v>4.9670243374842313E-2</v>
      </c>
      <c r="CS582" s="135">
        <f t="shared" ref="CS582:CS602" si="1082">+$CR$2-CO582</f>
        <v>2.0409804225077877E-2</v>
      </c>
      <c r="CT582" s="135">
        <f t="shared" ref="CT582:CT602" si="1083">+((DF580/DF579-1)+(DF581/DF580-1)+(DF582/DF581-1))/3</f>
        <v>2.5243621214759093E-2</v>
      </c>
      <c r="CU582" s="139">
        <f t="shared" si="1071"/>
        <v>0.85329623209999994</v>
      </c>
      <c r="CV582" s="335">
        <f t="shared" si="1072"/>
        <v>0.78996741384417901</v>
      </c>
      <c r="CW582" s="335">
        <f t="shared" si="1073"/>
        <v>0.58989088575096271</v>
      </c>
      <c r="CX582" s="335">
        <f t="shared" si="1074"/>
        <v>0.91920675783645744</v>
      </c>
      <c r="CY582" s="335">
        <f t="shared" si="1075"/>
        <v>0.42834536472275586</v>
      </c>
      <c r="CZ582" s="336">
        <f>INDEX('State Tax Lookup'!$D$7:$Z$91,MATCH(Calculation!$C582,'State Tax Lookup'!$B$7:$B$91,0),MATCH($H582,'State Tax Lookup'!$D$6:$Z$6,0))</f>
        <v>0.39649667</v>
      </c>
      <c r="DA582" s="303">
        <v>0.37</v>
      </c>
      <c r="DB582" s="57">
        <f t="shared" si="1080"/>
        <v>10.391919620428144</v>
      </c>
      <c r="DC582" s="56">
        <f t="shared" ref="DC582:DC602" si="1084">LN(DB582/DB581)</f>
        <v>2.4143993766447261E-3</v>
      </c>
      <c r="DD582" s="303">
        <f>VLOOKUP($H582,RoR!$E:$F,2,FALSE)</f>
        <v>6.4916666666666664E-2</v>
      </c>
      <c r="DE582" s="304">
        <f>HLOOKUP($H582,'GDP-PI'!$D$8:$CQ$11,3,FALSE)</f>
        <v>1.5246423291824351E-2</v>
      </c>
      <c r="DF582" s="303">
        <f>VLOOKUP(H582,'HW Dx Data'!$E:$F,2,FALSE)</f>
        <v>361.34816573413599</v>
      </c>
      <c r="DG582" s="89"/>
      <c r="DH582" s="89"/>
      <c r="DI582" s="89"/>
      <c r="DJ582" s="56"/>
      <c r="DK582" s="53">
        <f>HLOOKUP(H582,'GDP-PI'!$8:$9,2,FALSE)</f>
        <v>81.039000000000001</v>
      </c>
      <c r="DL582" s="355">
        <f>LN(DK582/DK581)</f>
        <v>1.513136459537477E-2</v>
      </c>
      <c r="EC582"/>
    </row>
    <row r="583" spans="1:133" s="126" customFormat="1" ht="21" customHeight="1" x14ac:dyDescent="0.4">
      <c r="A583" s="233" t="s">
        <v>216</v>
      </c>
      <c r="B583" s="127" t="s">
        <v>216</v>
      </c>
      <c r="C583" s="127">
        <v>4061687</v>
      </c>
      <c r="D583" s="127" t="s">
        <v>194</v>
      </c>
      <c r="E583" s="127" t="s">
        <v>15</v>
      </c>
      <c r="F583" s="127"/>
      <c r="G583" s="127" t="s">
        <v>159</v>
      </c>
      <c r="H583" s="128">
        <v>2003</v>
      </c>
      <c r="I583" s="129"/>
      <c r="J583" s="125"/>
      <c r="K583" s="125"/>
      <c r="L583" s="47"/>
      <c r="M583" s="125"/>
      <c r="N583" s="125"/>
      <c r="O583" s="125"/>
      <c r="P583" s="59"/>
      <c r="Q583" s="59"/>
      <c r="R583" s="386"/>
      <c r="S583" s="119"/>
      <c r="T583" s="59"/>
      <c r="U583" s="59"/>
      <c r="V583" s="125"/>
      <c r="W583" s="125"/>
      <c r="X583" s="125"/>
      <c r="Y583" s="125"/>
      <c r="Z583" s="125"/>
      <c r="AA583" s="125"/>
      <c r="AB583" s="125"/>
      <c r="AC583" s="125">
        <f t="shared" si="1061"/>
        <v>47590.884060023258</v>
      </c>
      <c r="AD583" s="129"/>
      <c r="AE583" s="133">
        <v>4742.1777115838768</v>
      </c>
      <c r="AF583" s="134">
        <v>2.2241732123322047E-2</v>
      </c>
      <c r="AG583" s="61"/>
      <c r="AH583" s="134"/>
      <c r="AI583" s="134"/>
      <c r="AJ583" s="129">
        <f t="shared" si="1015"/>
        <v>47590.884060023258</v>
      </c>
      <c r="AK583" s="134"/>
      <c r="AL583" s="129"/>
      <c r="AM583" s="129"/>
      <c r="AN583" s="129"/>
      <c r="AO583" s="129"/>
      <c r="AP583" s="133"/>
      <c r="AQ583" s="134"/>
      <c r="AR583" s="93"/>
      <c r="AS583" s="93"/>
      <c r="AT583" s="93"/>
      <c r="AU583" s="93"/>
      <c r="AV583" s="93"/>
      <c r="AW583" s="134"/>
      <c r="AX583" s="62"/>
      <c r="AY583" s="93"/>
      <c r="AZ583" s="93"/>
      <c r="BA583" s="93"/>
      <c r="BB583" s="234">
        <f>IFERROR(INDEX('Total Customers'!$E$7:$AA$91,MATCH($C583,'Total Customers'!$C$7:$C$91,0),MATCH($G583,'Total Customers'!$E$5:$AA$5,0)),"NA")</f>
        <v>735360</v>
      </c>
      <c r="BC583" s="411">
        <f t="shared" si="1076"/>
        <v>-1.8178636554620111E-3</v>
      </c>
      <c r="BD583" s="92"/>
      <c r="BE583" s="281" t="str">
        <f t="shared" si="1062"/>
        <v>NATIONAL FUEL GAS DISTRIBUTION CORPORATION</v>
      </c>
      <c r="BF583" s="290">
        <f t="shared" si="1063"/>
        <v>4061687</v>
      </c>
      <c r="BG583" s="46" t="str">
        <f t="shared" si="1064"/>
        <v>NY</v>
      </c>
      <c r="BH583" s="46"/>
      <c r="BI583" s="46" t="str">
        <f t="shared" si="1065"/>
        <v>2003 Y</v>
      </c>
      <c r="BJ583" s="129"/>
      <c r="BK583" s="129"/>
      <c r="BL583" s="129">
        <f>INDEX('Dist. Plant Gas Additions'!$E$7:$AD$91,MATCH($C583,'Dist. Plant Gas Additions'!$C$7:$C$91,0),MATCH(Calculation!$G583,'Dist. Plant Gas Additions'!$E$5:$AD$5,0))</f>
        <v>46370</v>
      </c>
      <c r="BM583" s="129">
        <f>INDEX('Gen. Plant Additions'!$E$7:$AD$91,MATCH($C583,'Gen. Plant Additions'!$C$7:$C$91,0),MATCH(Calculation!$G583,'Gen. Plant Additions'!$E$5:$AD$5,0))</f>
        <v>1901</v>
      </c>
      <c r="BN583" s="393">
        <f t="shared" si="1066"/>
        <v>0.96047193461393843</v>
      </c>
      <c r="BO583" s="46">
        <f t="shared" si="1056"/>
        <v>1825.8571477010969</v>
      </c>
      <c r="BP583" s="46">
        <f t="shared" si="1057"/>
        <v>-75.142852298903108</v>
      </c>
      <c r="BQ583" s="129">
        <f>INDEX('Dist Plant Depreciation'!$D$7:$AC$94,MATCH($C583,'Dist Plant Depreciation'!$C$7:$C$94,0),MATCH(Calculation!$G583,'Dist Plant Depreciation'!$D$5:$AC$5,0))</f>
        <v>385956</v>
      </c>
      <c r="BR583" s="129">
        <f>INDEX('Gen. Plant Depreciation'!$D$7:$AC$94,MATCH($C583,'Gen. Plant Depreciation'!$C$7:$C$94,0),MATCH(Calculation!$G583,'Gen. Plant Depreciation'!$D$5:$AC$5,0))</f>
        <v>12420</v>
      </c>
      <c r="BS583" s="129"/>
      <c r="BT583" s="129"/>
      <c r="BU583" s="129"/>
      <c r="BV583" s="129"/>
      <c r="BW583" s="129"/>
      <c r="BX583" s="129"/>
      <c r="BY583" s="129">
        <f>INDEX('Gross Dx Plant'!$D$7:$AC$91,MATCH($C583,'Gross Dx Plant'!$C$7:$C$91,0),MATCH(Calculation!$G583,'Gross Dx Plant'!$D$5:$AC$5,0))</f>
        <v>1274674</v>
      </c>
      <c r="BZ583" s="129">
        <f>INDEX('Gross Gen Plant'!$D$7:$AC$91,MATCH($C583,'Gross Gen Plant'!$C$7:$C$91,0),MATCH(Calculation!$G583,'Gross Gen Plant'!$D$5:$AC$5,0))</f>
        <v>52459</v>
      </c>
      <c r="CA583" s="129">
        <f t="shared" si="1077"/>
        <v>928757</v>
      </c>
      <c r="CB583" s="129"/>
      <c r="CC583" s="133">
        <v>2003</v>
      </c>
      <c r="CD583" s="129"/>
      <c r="CE583" s="129"/>
      <c r="CF583" s="129"/>
      <c r="CG583" s="137"/>
      <c r="CH583" s="129">
        <f t="shared" si="1067"/>
        <v>48271</v>
      </c>
      <c r="CI583" s="46">
        <f t="shared" si="1078"/>
        <v>48195.857147701099</v>
      </c>
      <c r="CJ583" s="46">
        <f t="shared" si="1068"/>
        <v>130.52965395203077</v>
      </c>
      <c r="CK583" s="443">
        <v>0.94845360824742264</v>
      </c>
      <c r="CL583" s="46">
        <f>+CL578*CK583+CJ579*CK582+CJ580*CK581+CJ581*CK580+CJ582*CK579+CJ583</f>
        <v>4627.8174039957603</v>
      </c>
      <c r="CM583" s="134">
        <f t="shared" si="1069"/>
        <v>1.7436567487659337E-2</v>
      </c>
      <c r="CN583" s="135">
        <f t="shared" si="1070"/>
        <v>1.1112093066044984E-2</v>
      </c>
      <c r="CO583" s="135">
        <f t="shared" si="1081"/>
        <v>1.0799354864916145E-2</v>
      </c>
      <c r="CP583" s="134">
        <f>VLOOKUP($H583,RoR!$E:$F,2,FALSE)</f>
        <v>5.6666666666666671E-2</v>
      </c>
      <c r="CQ583" s="135">
        <v>1.8855119140166909E-2</v>
      </c>
      <c r="CR583" s="135">
        <f t="shared" si="1079"/>
        <v>3.7811547526499761E-2</v>
      </c>
      <c r="CS583" s="135">
        <f t="shared" si="1082"/>
        <v>2.0102586743617479E-2</v>
      </c>
      <c r="CT583" s="135">
        <f t="shared" si="1083"/>
        <v>2.1375012817671957E-2</v>
      </c>
      <c r="CU583" s="139">
        <f t="shared" si="1071"/>
        <v>0.85329623209999994</v>
      </c>
      <c r="CV583" s="335">
        <f t="shared" si="1072"/>
        <v>0.90497737556561086</v>
      </c>
      <c r="CW583" s="335">
        <f t="shared" si="1073"/>
        <v>0.5338235294117647</v>
      </c>
      <c r="CX583" s="335">
        <f t="shared" si="1074"/>
        <v>0.88972433127405692</v>
      </c>
      <c r="CY583" s="335">
        <f t="shared" si="1075"/>
        <v>0.42982423775949252</v>
      </c>
      <c r="CZ583" s="336">
        <f>INDEX('State Tax Lookup'!$D$7:$Z$91,MATCH(Calculation!$C583,'State Tax Lookup'!$B$7:$B$91,0),MATCH($H583,'State Tax Lookup'!$D$6:$Z$6,0))</f>
        <v>0.39649667</v>
      </c>
      <c r="DA583" s="303">
        <v>0.37</v>
      </c>
      <c r="DB583" s="57">
        <f t="shared" si="1080"/>
        <v>10.46454048371606</v>
      </c>
      <c r="DC583" s="56">
        <f t="shared" si="1084"/>
        <v>6.9639005286255256E-3</v>
      </c>
      <c r="DD583" s="303">
        <f>VLOOKUP($H583,RoR!$E:$F,2,FALSE)</f>
        <v>5.6666666666666671E-2</v>
      </c>
      <c r="DE583" s="304">
        <f>HLOOKUP($H583,'GDP-PI'!$D$8:$CQ$11,3,FALSE)</f>
        <v>1.8855119140166909E-2</v>
      </c>
      <c r="DF583" s="303">
        <f>VLOOKUP(H583,'HW Dx Data'!$E:$F,2,FALSE)</f>
        <v>369.23301095560191</v>
      </c>
      <c r="DG583" s="89">
        <f ca="1">VLOOKUP(CC583,'ECI - Input Price'!M$13:N$33,2,FALSE)</f>
        <v>89.25</v>
      </c>
      <c r="DH583" s="89"/>
      <c r="DI583" s="89"/>
      <c r="DJ583" s="56"/>
      <c r="DK583" s="53">
        <f>HLOOKUP(H583,'GDP-PI'!$8:$9,2,FALSE)</f>
        <v>82.566999999999993</v>
      </c>
      <c r="DL583" s="355">
        <f t="shared" ref="DL583:DL602" si="1085">LN(DK583/DK582)</f>
        <v>1.8679564681853753E-2</v>
      </c>
      <c r="EC583"/>
    </row>
    <row r="584" spans="1:133" s="126" customFormat="1" ht="21" customHeight="1" x14ac:dyDescent="0.4">
      <c r="A584" s="233" t="s">
        <v>216</v>
      </c>
      <c r="B584" s="127" t="s">
        <v>216</v>
      </c>
      <c r="C584" s="127">
        <v>4061687</v>
      </c>
      <c r="D584" s="127" t="s">
        <v>194</v>
      </c>
      <c r="E584" s="127" t="s">
        <v>15</v>
      </c>
      <c r="F584" s="127"/>
      <c r="G584" s="127" t="s">
        <v>160</v>
      </c>
      <c r="H584" s="128">
        <v>2004</v>
      </c>
      <c r="I584" s="129"/>
      <c r="J584" s="125">
        <f>IFERROR(INDEX('Labor Expenditures'!$E$7:$W$91,MATCH($C584,'Labor Expenditures'!$C$7:$C$91,0),MATCH($G584,'Labor Expenditures'!$E$5:$W$5,0)),"NA")</f>
        <v>78635.857707008021</v>
      </c>
      <c r="K584" s="125">
        <f t="shared" ref="K584:K602" ca="1" si="1086">+J584/DG584</f>
        <v>833.44841236892444</v>
      </c>
      <c r="L584" s="47"/>
      <c r="M584" s="131"/>
      <c r="N584" s="131"/>
      <c r="O584" s="131"/>
      <c r="P584" s="59"/>
      <c r="Q584" s="59"/>
      <c r="R584" s="386"/>
      <c r="S584" s="119"/>
      <c r="T584" s="59"/>
      <c r="U584" s="59"/>
      <c r="V584" s="125">
        <f>IFERROR(INDEX('Non-Labor Expenditures'!$E$7:$AA$91,MATCH($C584,'Non-Labor Expenditures'!$C$7:$C$91,0),MATCH($G584,'Non-Labor Expenditures'!$E$5:$AA$5,0)),"NA")</f>
        <v>113879.40911202892</v>
      </c>
      <c r="W584" s="125">
        <f t="shared" ref="W584:W602" si="1087">+V584/DK584</f>
        <v>1343.2660491168572</v>
      </c>
      <c r="X584" s="125"/>
      <c r="Y584" s="125"/>
      <c r="Z584" s="125"/>
      <c r="AA584" s="125"/>
      <c r="AB584" s="125"/>
      <c r="AC584" s="125">
        <f t="shared" si="1061"/>
        <v>53077.191495125604</v>
      </c>
      <c r="AD584" s="129"/>
      <c r="AE584" s="133">
        <v>4837.4179615481644</v>
      </c>
      <c r="AF584" s="134">
        <v>1.9884636335362072E-2</v>
      </c>
      <c r="AG584" s="59">
        <f t="shared" ref="AG584:AG602" si="1088">+AF584*$AX584</f>
        <v>0</v>
      </c>
      <c r="AH584" s="134"/>
      <c r="AI584" s="134"/>
      <c r="AJ584" s="129">
        <f t="shared" si="1015"/>
        <v>245592.45831416256</v>
      </c>
      <c r="AK584" s="134"/>
      <c r="AL584" s="129"/>
      <c r="AM584" s="129"/>
      <c r="AN584" s="129"/>
      <c r="AO584" s="129"/>
      <c r="AP584" s="133"/>
      <c r="AQ584" s="134"/>
      <c r="AR584" s="93">
        <f t="shared" ref="AR584:AR602" si="1089">+J584/AJ584</f>
        <v>0.3201884058117811</v>
      </c>
      <c r="AS584" s="93">
        <f t="shared" ref="AS584:AS602" si="1090">+V584/AJ584</f>
        <v>0.46369261456047672</v>
      </c>
      <c r="AT584" s="93">
        <f t="shared" ref="AT584:AT602" si="1091">+AC584/AJ584</f>
        <v>0.21611897962774212</v>
      </c>
      <c r="AU584" s="93"/>
      <c r="AV584" s="93"/>
      <c r="AW584" s="134"/>
      <c r="AX584" s="62"/>
      <c r="AY584" s="93"/>
      <c r="AZ584" s="93"/>
      <c r="BA584" s="93"/>
      <c r="BB584" s="234">
        <f>IFERROR(INDEX('Total Customers'!$E$7:$AA$91,MATCH($C584,'Total Customers'!$C$7:$C$91,0),MATCH($G584,'Total Customers'!$E$5:$AA$5,0)),"NA")</f>
        <v>734567</v>
      </c>
      <c r="BC584" s="411">
        <f t="shared" si="1076"/>
        <v>-1.0789652505627078E-3</v>
      </c>
      <c r="BD584" s="92"/>
      <c r="BE584" s="281" t="str">
        <f t="shared" si="1062"/>
        <v>NATIONAL FUEL GAS DISTRIBUTION CORPORATION</v>
      </c>
      <c r="BF584" s="290">
        <f t="shared" si="1063"/>
        <v>4061687</v>
      </c>
      <c r="BG584" s="46" t="str">
        <f t="shared" si="1064"/>
        <v>NY</v>
      </c>
      <c r="BH584" s="46"/>
      <c r="BI584" s="46" t="str">
        <f t="shared" si="1065"/>
        <v>2004 Y</v>
      </c>
      <c r="BJ584" s="129"/>
      <c r="BK584" s="129"/>
      <c r="BL584" s="129">
        <f>INDEX('Dist. Plant Gas Additions'!$E$7:$AD$91,MATCH($C584,'Dist. Plant Gas Additions'!$C$7:$C$91,0),MATCH(Calculation!$G584,'Dist. Plant Gas Additions'!$E$5:$AD$5,0))</f>
        <v>43937</v>
      </c>
      <c r="BM584" s="129">
        <f>INDEX('Gen. Plant Additions'!$E$7:$AD$91,MATCH($C584,'Gen. Plant Additions'!$C$7:$C$91,0),MATCH(Calculation!$G584,'Gen. Plant Additions'!$E$5:$AD$5,0))</f>
        <v>7162</v>
      </c>
      <c r="BN584" s="393">
        <f t="shared" si="1066"/>
        <v>0.95894246064395805</v>
      </c>
      <c r="BO584" s="46">
        <f t="shared" si="1056"/>
        <v>6867.9459031320275</v>
      </c>
      <c r="BP584" s="46">
        <f t="shared" si="1057"/>
        <v>-294.05409686797248</v>
      </c>
      <c r="BQ584" s="129">
        <f>INDEX('Dist Plant Depreciation'!$D$7:$AC$94,MATCH($C584,'Dist Plant Depreciation'!$C$7:$C$94,0),MATCH(Calculation!$G584,'Dist Plant Depreciation'!$D$5:$AC$5,0))</f>
        <v>409857</v>
      </c>
      <c r="BR584" s="129">
        <f>INDEX('Gen. Plant Depreciation'!$D$7:$AC$94,MATCH($C584,'Gen. Plant Depreciation'!$C$7:$C$94,0),MATCH(Calculation!$G584,'Gen. Plant Depreciation'!$D$5:$AC$5,0))</f>
        <v>12120</v>
      </c>
      <c r="BS584" s="129"/>
      <c r="BT584" s="129"/>
      <c r="BU584" s="129"/>
      <c r="BV584" s="129"/>
      <c r="BW584" s="129"/>
      <c r="BX584" s="129"/>
      <c r="BY584" s="129">
        <f>INDEX('Gross Dx Plant'!$D$7:$AC$91,MATCH($C584,'Gross Dx Plant'!$C$7:$C$91,0),MATCH(Calculation!$G584,'Gross Dx Plant'!$D$5:$AC$5,0))</f>
        <v>1311186</v>
      </c>
      <c r="BZ584" s="129">
        <f>INDEX('Gross Gen Plant'!$D$7:$AC$91,MATCH($C584,'Gross Gen Plant'!$C$7:$C$91,0),MATCH(Calculation!$G584,'Gross Gen Plant'!$D$5:$AC$5,0))</f>
        <v>56139</v>
      </c>
      <c r="CA584" s="129">
        <f t="shared" si="1077"/>
        <v>945348</v>
      </c>
      <c r="CB584" s="129"/>
      <c r="CC584" s="133">
        <v>2004</v>
      </c>
      <c r="CD584" s="129"/>
      <c r="CE584" s="129"/>
      <c r="CF584" s="129"/>
      <c r="CG584" s="137"/>
      <c r="CH584" s="129">
        <f t="shared" si="1067"/>
        <v>51099</v>
      </c>
      <c r="CI584" s="46">
        <f t="shared" si="1078"/>
        <v>50804.945903132029</v>
      </c>
      <c r="CJ584" s="46">
        <f t="shared" si="1068"/>
        <v>122.45484305634587</v>
      </c>
      <c r="CK584" s="443">
        <v>0.9375</v>
      </c>
      <c r="CL584" s="46">
        <f>+CL578*CK584+CJ579*CK583+CJ580*CK582+CJ581*CK581+CJ582*CK580+CJ583*CK579+CJ584</f>
        <v>4697.393421599576</v>
      </c>
      <c r="CM584" s="134">
        <f t="shared" si="1069"/>
        <v>1.4922409796300582E-2</v>
      </c>
      <c r="CN584" s="135">
        <f t="shared" si="1070"/>
        <v>1.1426299016653822E-2</v>
      </c>
      <c r="CO584" s="135">
        <f t="shared" si="1081"/>
        <v>1.1215544266891808E-2</v>
      </c>
      <c r="CP584" s="134">
        <f>VLOOKUP($H584,RoR!$E:$F,2,FALSE)</f>
        <v>5.6283333333333331E-2</v>
      </c>
      <c r="CQ584" s="135">
        <v>2.6778252812867276E-2</v>
      </c>
      <c r="CR584" s="135">
        <f t="shared" si="1079"/>
        <v>2.9505080520466055E-2</v>
      </c>
      <c r="CS584" s="135">
        <f t="shared" si="1082"/>
        <v>1.9686397341641817E-2</v>
      </c>
      <c r="CT584" s="135">
        <f t="shared" si="1083"/>
        <v>5.5940039414565046E-2</v>
      </c>
      <c r="CU584" s="139">
        <f t="shared" si="1071"/>
        <v>0.85329623209999994</v>
      </c>
      <c r="CV584" s="335">
        <f t="shared" si="1072"/>
        <v>0.91114097628755619</v>
      </c>
      <c r="CW584" s="335">
        <f t="shared" si="1073"/>
        <v>0.53081877405981637</v>
      </c>
      <c r="CX584" s="335">
        <f t="shared" si="1074"/>
        <v>0.88811215519385678</v>
      </c>
      <c r="CY584" s="335">
        <f t="shared" si="1075"/>
        <v>0.42953609753547711</v>
      </c>
      <c r="CZ584" s="336">
        <f>INDEX('State Tax Lookup'!$D$7:$Z$91,MATCH(Calculation!$C584,'State Tax Lookup'!$B$7:$B$91,0),MATCH($H584,'State Tax Lookup'!$D$6:$Z$6,0))</f>
        <v>0.39649667</v>
      </c>
      <c r="DA584" s="303">
        <v>0.37</v>
      </c>
      <c r="DB584" s="57">
        <f t="shared" si="1080"/>
        <v>11.469162860509055</v>
      </c>
      <c r="DC584" s="56">
        <f t="shared" si="1084"/>
        <v>9.1669498231176025E-2</v>
      </c>
      <c r="DD584" s="303">
        <f>VLOOKUP($H584,RoR!$E:$F,2,FALSE)</f>
        <v>5.6283333333333331E-2</v>
      </c>
      <c r="DE584" s="304">
        <f>HLOOKUP($H584,'GDP-PI'!$D$8:$CQ$11,3,FALSE)</f>
        <v>2.6778252812867276E-2</v>
      </c>
      <c r="DF584" s="303">
        <f>VLOOKUP(H584,'HW Dx Data'!$E:$F,2,FALSE)</f>
        <v>414.88719135228365</v>
      </c>
      <c r="DG584" s="89">
        <f ca="1">VLOOKUP(CC584,'ECI - Input Price'!M$13:N$33,2,FALSE)</f>
        <v>94.35</v>
      </c>
      <c r="DH584" s="89"/>
      <c r="DI584" s="89"/>
      <c r="DJ584" s="56">
        <f t="shared" ref="DJ584:DJ602" ca="1" si="1092">LN(DG584/DG583)</f>
        <v>5.5569851154810786E-2</v>
      </c>
      <c r="DK584" s="53">
        <f>HLOOKUP(H584,'GDP-PI'!$8:$9,2,FALSE)</f>
        <v>84.778000000000006</v>
      </c>
      <c r="DL584" s="355">
        <f t="shared" si="1085"/>
        <v>2.6425990216022755E-2</v>
      </c>
      <c r="EC584"/>
    </row>
    <row r="585" spans="1:133" s="126" customFormat="1" ht="21" customHeight="1" x14ac:dyDescent="0.4">
      <c r="A585" s="233" t="s">
        <v>216</v>
      </c>
      <c r="B585" s="127" t="s">
        <v>216</v>
      </c>
      <c r="C585" s="127">
        <v>4061687</v>
      </c>
      <c r="D585" s="127" t="s">
        <v>194</v>
      </c>
      <c r="E585" s="127" t="s">
        <v>15</v>
      </c>
      <c r="F585" s="127"/>
      <c r="G585" s="127" t="s">
        <v>161</v>
      </c>
      <c r="H585" s="128">
        <v>2005</v>
      </c>
      <c r="I585" s="129"/>
      <c r="J585" s="125">
        <f>IFERROR(INDEX('Labor Expenditures'!$E$7:$W$91,MATCH($C585,'Labor Expenditures'!$C$7:$C$91,0),MATCH($G585,'Labor Expenditures'!$E$5:$W$5,0)),"NA")</f>
        <v>81900.523692741204</v>
      </c>
      <c r="K585" s="125">
        <f t="shared" ca="1" si="1086"/>
        <v>825.40210322742462</v>
      </c>
      <c r="L585" s="47"/>
      <c r="M585" s="131">
        <f t="shared" ref="M585:M601" ca="1" si="1093">LN(K585/K584)</f>
        <v>-9.7011420503240013E-3</v>
      </c>
      <c r="N585" s="131"/>
      <c r="O585" s="131"/>
      <c r="P585" s="59"/>
      <c r="Q585" s="61"/>
      <c r="R585" s="387"/>
      <c r="S585" s="49">
        <v>100</v>
      </c>
      <c r="T585" s="46"/>
      <c r="U585" s="46"/>
      <c r="V585" s="125">
        <f>IFERROR(INDEX('Non-Labor Expenditures'!$E$7:$AA$91,MATCH($C585,'Non-Labor Expenditures'!$C$7:$C$91,0),MATCH($G585,'Non-Labor Expenditures'!$E$5:$AA$5,0)),"NA")</f>
        <v>118607.25521486733</v>
      </c>
      <c r="W585" s="125">
        <f t="shared" si="1087"/>
        <v>1356.9537361408964</v>
      </c>
      <c r="X585" s="131">
        <f>LN(W585/W584)</f>
        <v>1.0138288993511962E-2</v>
      </c>
      <c r="Y585" s="131"/>
      <c r="Z585" s="131"/>
      <c r="AA585" s="131"/>
      <c r="AB585" s="131"/>
      <c r="AC585" s="125">
        <f t="shared" si="1061"/>
        <v>60068.845096767749</v>
      </c>
      <c r="AD585" s="129"/>
      <c r="AE585" s="133">
        <v>4903.8307753489407</v>
      </c>
      <c r="AF585" s="134">
        <v>1.3635591205802123E-2</v>
      </c>
      <c r="AG585" s="59">
        <f t="shared" si="1088"/>
        <v>0</v>
      </c>
      <c r="AH585" s="134"/>
      <c r="AI585" s="134"/>
      <c r="AJ585" s="129">
        <f t="shared" si="1015"/>
        <v>260576.6240043763</v>
      </c>
      <c r="AK585" s="134">
        <f>LN(AJ585/AJ584)</f>
        <v>5.9223471381858031E-2</v>
      </c>
      <c r="AL585" s="129"/>
      <c r="AM585" s="129"/>
      <c r="AN585" s="129"/>
      <c r="AO585" s="129"/>
      <c r="AP585" s="133"/>
      <c r="AQ585" s="134"/>
      <c r="AR585" s="93">
        <f t="shared" si="1089"/>
        <v>0.31430495350713311</v>
      </c>
      <c r="AS585" s="93">
        <f t="shared" si="1090"/>
        <v>0.45517227674603444</v>
      </c>
      <c r="AT585" s="93">
        <f t="shared" si="1091"/>
        <v>0.23052276974683236</v>
      </c>
      <c r="AU585" s="93">
        <f t="shared" ref="AU585:AU601" ca="1" si="1094">+(((AR585+AR584)/2)*M585+((AS584+AS585)/2)*X585+((AT584+AT585)/2)*AF585)</f>
        <v>4.6253159576166679E-3</v>
      </c>
      <c r="AV585" s="132">
        <v>100</v>
      </c>
      <c r="AW585" s="134"/>
      <c r="AX585" s="15"/>
      <c r="AY585" s="93"/>
      <c r="AZ585" s="93"/>
      <c r="BA585" s="93"/>
      <c r="BB585" s="234">
        <f>IFERROR(INDEX('Total Customers'!$E$7:$AA$91,MATCH($C585,'Total Customers'!$C$7:$C$91,0),MATCH($G585,'Total Customers'!$E$5:$AA$5,0)),"NA")</f>
        <v>733212</v>
      </c>
      <c r="BC585" s="411">
        <f t="shared" si="1076"/>
        <v>-1.8463275260437444E-3</v>
      </c>
      <c r="BD585" s="92"/>
      <c r="BE585" s="281" t="str">
        <f t="shared" si="1062"/>
        <v>NATIONAL FUEL GAS DISTRIBUTION CORPORATION</v>
      </c>
      <c r="BF585" s="290">
        <f t="shared" si="1063"/>
        <v>4061687</v>
      </c>
      <c r="BG585" s="46" t="str">
        <f t="shared" si="1064"/>
        <v>NY</v>
      </c>
      <c r="BH585" s="46"/>
      <c r="BI585" s="46" t="str">
        <f t="shared" si="1065"/>
        <v>2005 Y</v>
      </c>
      <c r="BJ585" s="129"/>
      <c r="BK585" s="129"/>
      <c r="BL585" s="129">
        <f>INDEX('Dist. Plant Gas Additions'!$E$7:$AD$91,MATCH($C585,'Dist. Plant Gas Additions'!$C$7:$C$91,0),MATCH(Calculation!$G585,'Dist. Plant Gas Additions'!$E$5:$AD$5,0))</f>
        <v>40851</v>
      </c>
      <c r="BM585" s="129">
        <f>INDEX('Gen. Plant Additions'!$E$7:$AD$91,MATCH($C585,'Gen. Plant Additions'!$C$7:$C$91,0),MATCH(Calculation!$G585,'Gen. Plant Additions'!$E$5:$AD$5,0))</f>
        <v>4127</v>
      </c>
      <c r="BN585" s="393">
        <f t="shared" si="1066"/>
        <v>0.95936884952266233</v>
      </c>
      <c r="BO585" s="46">
        <f t="shared" si="1056"/>
        <v>3959.3152419800276</v>
      </c>
      <c r="BP585" s="46">
        <f t="shared" si="1057"/>
        <v>-167.68475801997238</v>
      </c>
      <c r="BQ585" s="129">
        <f>INDEX('Dist Plant Depreciation'!$D$7:$AC$94,MATCH($C585,'Dist Plant Depreciation'!$C$7:$C$94,0),MATCH(Calculation!$G585,'Dist Plant Depreciation'!$D$5:$AC$5,0))</f>
        <v>433559</v>
      </c>
      <c r="BR585" s="129">
        <f>INDEX('Gen. Plant Depreciation'!$D$7:$AC$94,MATCH($C585,'Gen. Plant Depreciation'!$C$7:$C$94,0),MATCH(Calculation!$G585,'Gen. Plant Depreciation'!$D$5:$AC$5,0))</f>
        <v>14008</v>
      </c>
      <c r="BS585" s="129"/>
      <c r="BT585" s="129"/>
      <c r="BU585" s="129"/>
      <c r="BV585" s="129"/>
      <c r="BW585" s="129"/>
      <c r="BX585" s="129"/>
      <c r="BY585" s="129">
        <f>INDEX('Gross Dx Plant'!$D$7:$AC$91,MATCH($C585,'Gross Dx Plant'!$C$7:$C$91,0),MATCH(Calculation!$G585,'Gross Dx Plant'!$D$5:$AC$5,0))</f>
        <v>1344377</v>
      </c>
      <c r="BZ585" s="129">
        <f>INDEX('Gross Gen Plant'!$D$7:$AC$91,MATCH($C585,'Gross Gen Plant'!$C$7:$C$91,0),MATCH(Calculation!$G585,'Gross Gen Plant'!$D$5:$AC$5,0))</f>
        <v>56937</v>
      </c>
      <c r="CA585" s="129">
        <f t="shared" si="1077"/>
        <v>953747</v>
      </c>
      <c r="CB585" s="129"/>
      <c r="CC585" s="133">
        <v>2005</v>
      </c>
      <c r="CD585" s="129"/>
      <c r="CE585" s="129"/>
      <c r="CF585" s="129"/>
      <c r="CG585" s="137"/>
      <c r="CH585" s="129">
        <f t="shared" si="1067"/>
        <v>44978</v>
      </c>
      <c r="CI585" s="46">
        <f t="shared" si="1078"/>
        <v>44810.315241980024</v>
      </c>
      <c r="CJ585" s="46">
        <f t="shared" si="1068"/>
        <v>95.502609388752617</v>
      </c>
      <c r="CK585" s="443">
        <v>0.9263157894736842</v>
      </c>
      <c r="CL585" s="46">
        <f>+CL578*CK585+CJ579*CK584+CJ580*CK583+CJ581*CK582+CJ582*CK581+CJ583*CK580+CJ584*CK579+CJ585</f>
        <v>4737.6952115739759</v>
      </c>
      <c r="CM585" s="134">
        <f t="shared" si="1069"/>
        <v>8.5430114444665969E-3</v>
      </c>
      <c r="CN585" s="135">
        <f t="shared" si="1070"/>
        <v>1.1751372401665992E-2</v>
      </c>
      <c r="CO585" s="135">
        <f t="shared" si="1081"/>
        <v>1.1429921494788267E-2</v>
      </c>
      <c r="CP585" s="134">
        <f>VLOOKUP($H585,RoR!$E:$F,2,FALSE)</f>
        <v>5.2350000000000001E-2</v>
      </c>
      <c r="CQ585" s="135">
        <v>3.1010403642454332E-2</v>
      </c>
      <c r="CR585" s="135">
        <f t="shared" si="1079"/>
        <v>2.1339596357545669E-2</v>
      </c>
      <c r="CS585" s="135">
        <f t="shared" si="1082"/>
        <v>1.947202011374536E-2</v>
      </c>
      <c r="CT585" s="135">
        <f t="shared" si="1083"/>
        <v>9.2129610649277341E-2</v>
      </c>
      <c r="CU585" s="139">
        <f t="shared" si="1071"/>
        <v>0.85329623209999994</v>
      </c>
      <c r="CV585" s="335">
        <f t="shared" si="1072"/>
        <v>0.97959983346802826</v>
      </c>
      <c r="CW585" s="335">
        <f t="shared" si="1073"/>
        <v>0.49744508118433622</v>
      </c>
      <c r="CX585" s="335">
        <f t="shared" si="1074"/>
        <v>0.87010519444335932</v>
      </c>
      <c r="CY585" s="335">
        <f t="shared" si="1075"/>
        <v>0.42399975420741998</v>
      </c>
      <c r="CZ585" s="336">
        <f>INDEX('State Tax Lookup'!$D$7:$Z$91,MATCH(Calculation!$C585,'State Tax Lookup'!$B$7:$B$91,0),MATCH($H585,'State Tax Lookup'!$D$6:$Z$6,0))</f>
        <v>0.39649667</v>
      </c>
      <c r="DA585" s="303">
        <v>0.37</v>
      </c>
      <c r="DB585" s="57">
        <f t="shared" si="1080"/>
        <v>12.78769728346766</v>
      </c>
      <c r="DC585" s="56">
        <f t="shared" si="1084"/>
        <v>0.10882161565250603</v>
      </c>
      <c r="DD585" s="303">
        <f>VLOOKUP($H585,RoR!$E:$F,2,FALSE)</f>
        <v>5.2350000000000001E-2</v>
      </c>
      <c r="DE585" s="304">
        <f>HLOOKUP($H585,'GDP-PI'!$D$8:$CQ$11,3,FALSE)</f>
        <v>3.1010403642454332E-2</v>
      </c>
      <c r="DF585" s="303">
        <f>VLOOKUP(H585,'HW Dx Data'!$E:$F,2,FALSE)</f>
        <v>469.20514034936258</v>
      </c>
      <c r="DG585" s="89">
        <f ca="1">VLOOKUP(CC585,'ECI - Input Price'!M$13:N$33,2,FALSE)</f>
        <v>99.224999999999994</v>
      </c>
      <c r="DH585" s="89"/>
      <c r="DI585" s="89"/>
      <c r="DJ585" s="56">
        <f t="shared" ca="1" si="1092"/>
        <v>5.0378726854569796E-2</v>
      </c>
      <c r="DK585" s="53">
        <f>HLOOKUP(H585,'GDP-PI'!$8:$9,2,FALSE)</f>
        <v>87.406999999999996</v>
      </c>
      <c r="DL585" s="355">
        <f t="shared" si="1085"/>
        <v>3.0539295810733648E-2</v>
      </c>
      <c r="EC585"/>
    </row>
    <row r="586" spans="1:133" s="126" customFormat="1" ht="21" customHeight="1" x14ac:dyDescent="0.4">
      <c r="A586" s="233" t="s">
        <v>216</v>
      </c>
      <c r="B586" s="127" t="s">
        <v>216</v>
      </c>
      <c r="C586" s="127">
        <v>4061687</v>
      </c>
      <c r="D586" s="127" t="s">
        <v>194</v>
      </c>
      <c r="E586" s="127" t="s">
        <v>15</v>
      </c>
      <c r="F586" s="127"/>
      <c r="G586" s="127" t="s">
        <v>162</v>
      </c>
      <c r="H586" s="128">
        <v>2006</v>
      </c>
      <c r="I586" s="129"/>
      <c r="J586" s="125">
        <f>IFERROR(INDEX('Labor Expenditures'!$E$7:$W$91,MATCH($C586,'Labor Expenditures'!$C$7:$C$91,0),MATCH($G586,'Labor Expenditures'!$E$5:$W$5,0)),"NA")</f>
        <v>79587.267063006031</v>
      </c>
      <c r="K586" s="125">
        <f t="shared" ca="1" si="1086"/>
        <v>727.48873000919582</v>
      </c>
      <c r="L586" s="47"/>
      <c r="M586" s="131">
        <f t="shared" ca="1" si="1093"/>
        <v>-0.12627215791699248</v>
      </c>
      <c r="N586" s="131"/>
      <c r="O586" s="131"/>
      <c r="P586" s="59">
        <f t="shared" ref="P586:P602" ca="1" si="1095">+M586*$AX586</f>
        <v>-4.375931637813849E-3</v>
      </c>
      <c r="Q586" s="61"/>
      <c r="R586" s="387"/>
      <c r="S586" s="49">
        <f ca="1">+S585*EXP(T586)</f>
        <v>107.92484757826722</v>
      </c>
      <c r="T586" s="61">
        <f ca="1">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</f>
        <v>7.6264943159352921E-2</v>
      </c>
      <c r="U586" s="61"/>
      <c r="V586" s="125">
        <f>IFERROR(INDEX('Non-Labor Expenditures'!$E$7:$AA$91,MATCH($C586,'Non-Labor Expenditures'!$C$7:$C$91,0),MATCH($G586,'Non-Labor Expenditures'!$E$5:$AA$5,0)),"NA")</f>
        <v>115257.22755827004</v>
      </c>
      <c r="W586" s="125">
        <f t="shared" si="1087"/>
        <v>1279.5837595562541</v>
      </c>
      <c r="X586" s="131">
        <f t="shared" ref="X586:X601" si="1096">LN(W586/W585)</f>
        <v>-5.8707450323695148E-2</v>
      </c>
      <c r="Y586" s="131">
        <f t="shared" ref="Y586:Y602" si="1097">+X586*AX586</f>
        <v>-2.0344927455482362E-3</v>
      </c>
      <c r="Z586" s="131"/>
      <c r="AA586" s="131"/>
      <c r="AB586" s="131"/>
      <c r="AC586" s="125">
        <f t="shared" si="1061"/>
        <v>58597.70643759003</v>
      </c>
      <c r="AD586" s="129"/>
      <c r="AE586" s="133">
        <v>4985.0236701713447</v>
      </c>
      <c r="AF586" s="134">
        <v>1.642146111682825E-2</v>
      </c>
      <c r="AG586" s="59">
        <f t="shared" si="1088"/>
        <v>5.6908183423535661E-4</v>
      </c>
      <c r="AH586" s="134"/>
      <c r="AI586" s="134"/>
      <c r="AJ586" s="129">
        <f t="shared" si="1015"/>
        <v>253442.20105886611</v>
      </c>
      <c r="AK586" s="134">
        <f t="shared" ref="AK586:AK602" si="1098">LN(AJ586/AJ585)</f>
        <v>-2.776116667159809E-2</v>
      </c>
      <c r="AL586" s="129"/>
      <c r="AM586" s="129"/>
      <c r="AN586" s="129"/>
      <c r="AO586" s="129"/>
      <c r="AP586" s="133">
        <f t="shared" ref="AP586:AP602" si="1099">+(AJ586*1000)/BB586</f>
        <v>352.37304872736667</v>
      </c>
      <c r="AQ586" s="134">
        <f>+BB586/Outputs!$B$14</f>
        <v>2.0738579867294472E-2</v>
      </c>
      <c r="AR586" s="93">
        <f t="shared" si="1089"/>
        <v>0.31402531516257065</v>
      </c>
      <c r="AS586" s="93">
        <f t="shared" si="1090"/>
        <v>0.45476730819386962</v>
      </c>
      <c r="AT586" s="93">
        <f t="shared" si="1091"/>
        <v>0.23120737664355967</v>
      </c>
      <c r="AU586" s="93">
        <f t="shared" ca="1" si="1094"/>
        <v>-6.2589284122246555E-2</v>
      </c>
      <c r="AV586" s="132">
        <f ca="1">+AV585*EXP(AU586)</f>
        <v>93.932919188696232</v>
      </c>
      <c r="AW586" s="134">
        <f ca="1">LN(AV586/AV585)</f>
        <v>-6.2589284122246541E-2</v>
      </c>
      <c r="AX586" s="56">
        <f>+AJ586/$AL$11</f>
        <v>3.4654762459119887E-2</v>
      </c>
      <c r="AY586" s="135">
        <f ca="1">+AX586*AW586</f>
        <v>-2.1690167737428178E-3</v>
      </c>
      <c r="AZ586" s="93"/>
      <c r="BA586" s="93"/>
      <c r="BB586" s="234">
        <f>IFERROR(INDEX('Total Customers'!$E$7:$AA$91,MATCH($C586,'Total Customers'!$C$7:$C$91,0),MATCH($G586,'Total Customers'!$E$5:$AA$5,0)),"NA")</f>
        <v>719244</v>
      </c>
      <c r="BC586" s="411">
        <f t="shared" si="1076"/>
        <v>-1.9234222069807884E-2</v>
      </c>
      <c r="BD586" s="92"/>
      <c r="BE586" s="281" t="str">
        <f t="shared" si="1062"/>
        <v>NATIONAL FUEL GAS DISTRIBUTION CORPORATION</v>
      </c>
      <c r="BF586" s="290">
        <f t="shared" si="1063"/>
        <v>4061687</v>
      </c>
      <c r="BG586" s="46" t="str">
        <f t="shared" si="1064"/>
        <v>NY</v>
      </c>
      <c r="BH586" s="46"/>
      <c r="BI586" s="46" t="str">
        <f t="shared" si="1065"/>
        <v>2006 Y</v>
      </c>
      <c r="BJ586" s="129"/>
      <c r="BK586" s="129"/>
      <c r="BL586" s="129">
        <f>INDEX('Dist. Plant Gas Additions'!$E$7:$AD$91,MATCH($C586,'Dist. Plant Gas Additions'!$C$7:$C$91,0),MATCH(Calculation!$G586,'Dist. Plant Gas Additions'!$E$5:$AD$5,0))</f>
        <v>46149</v>
      </c>
      <c r="BM586" s="129">
        <f>INDEX('Gen. Plant Additions'!$E$7:$AD$91,MATCH($C586,'Gen. Plant Additions'!$C$7:$C$91,0),MATCH(Calculation!$G586,'Gen. Plant Additions'!$E$5:$AD$5,0))</f>
        <v>5535</v>
      </c>
      <c r="BN586" s="393">
        <f t="shared" si="1066"/>
        <v>0.96564533049120871</v>
      </c>
      <c r="BO586" s="46">
        <f t="shared" si="1056"/>
        <v>5344.8469042688403</v>
      </c>
      <c r="BP586" s="46">
        <f t="shared" si="1057"/>
        <v>-190.15309573115974</v>
      </c>
      <c r="BQ586" s="129">
        <f>INDEX('Dist Plant Depreciation'!$D$7:$AC$94,MATCH($C586,'Dist Plant Depreciation'!$C$7:$C$94,0),MATCH(Calculation!$G586,'Dist Plant Depreciation'!$D$5:$AC$5,0))</f>
        <v>452594</v>
      </c>
      <c r="BR586" s="129">
        <f>INDEX('Gen. Plant Depreciation'!$D$7:$AC$94,MATCH($C586,'Gen. Plant Depreciation'!$C$7:$C$94,0),MATCH(Calculation!$G586,'Gen. Plant Depreciation'!$D$5:$AC$5,0))</f>
        <v>7734</v>
      </c>
      <c r="BS586" s="129"/>
      <c r="BT586" s="129"/>
      <c r="BU586" s="129"/>
      <c r="BV586" s="129"/>
      <c r="BW586" s="129"/>
      <c r="BX586" s="129"/>
      <c r="BY586" s="129">
        <f>INDEX('Gross Dx Plant'!$D$7:$AC$91,MATCH($C586,'Gross Dx Plant'!$C$7:$C$91,0),MATCH(Calculation!$G586,'Gross Dx Plant'!$D$5:$AC$5,0))</f>
        <v>1383510</v>
      </c>
      <c r="BZ586" s="129">
        <f>INDEX('Gross Gen Plant'!$D$7:$AC$91,MATCH($C586,'Gross Gen Plant'!$C$7:$C$91,0),MATCH(Calculation!$G586,'Gross Gen Plant'!$D$5:$AC$5,0))</f>
        <v>49221</v>
      </c>
      <c r="CA586" s="129">
        <f t="shared" si="1077"/>
        <v>972403</v>
      </c>
      <c r="CB586" s="134"/>
      <c r="CC586" s="133">
        <v>2006</v>
      </c>
      <c r="CD586" s="129"/>
      <c r="CE586" s="129"/>
      <c r="CF586" s="129"/>
      <c r="CG586" s="137"/>
      <c r="CH586" s="129">
        <f t="shared" si="1067"/>
        <v>51684</v>
      </c>
      <c r="CI586" s="46">
        <f t="shared" si="1078"/>
        <v>51493.846904268838</v>
      </c>
      <c r="CJ586" s="46">
        <f t="shared" si="1068"/>
        <v>111.67956401554422</v>
      </c>
      <c r="CK586" s="443">
        <v>0.91489361702127658</v>
      </c>
      <c r="CL586" s="46">
        <f>+CL578*CK586+CJ579*CK585+CJ580*CK584+CJ581*CK583+CJ582*CK582+CJ583*CK581+CJ584*CK580+CJ585*CK579+CJ586</f>
        <v>4792.0592696121157</v>
      </c>
      <c r="CM586" s="134">
        <f t="shared" si="1069"/>
        <v>1.1409454017700873E-2</v>
      </c>
      <c r="CN586" s="135">
        <f t="shared" si="1070"/>
        <v>1.2097761341292122E-2</v>
      </c>
      <c r="CO586" s="135">
        <f t="shared" si="1081"/>
        <v>1.1758477586537313E-2</v>
      </c>
      <c r="CP586" s="134">
        <f>VLOOKUP($H586,RoR!$E:$F,2,FALSE)</f>
        <v>5.5874999999999994E-2</v>
      </c>
      <c r="CQ586" s="135">
        <v>3.0512430354548314E-2</v>
      </c>
      <c r="CR586" s="135">
        <f t="shared" si="1079"/>
        <v>2.536256964545168E-2</v>
      </c>
      <c r="CS586" s="135">
        <f t="shared" si="1082"/>
        <v>1.9143464021996313E-2</v>
      </c>
      <c r="CT586" s="135">
        <f t="shared" si="1083"/>
        <v>7.9087823893859641E-2</v>
      </c>
      <c r="CU586" s="139">
        <f t="shared" si="1071"/>
        <v>0.85329623209999994</v>
      </c>
      <c r="CV586" s="335">
        <f t="shared" si="1072"/>
        <v>0.91779957551769631</v>
      </c>
      <c r="CW586" s="335">
        <f t="shared" si="1073"/>
        <v>0.52757270693512304</v>
      </c>
      <c r="CX586" s="335">
        <f t="shared" si="1074"/>
        <v>0.88636824549024895</v>
      </c>
      <c r="CY586" s="335">
        <f t="shared" si="1075"/>
        <v>0.42918482841932087</v>
      </c>
      <c r="CZ586" s="336">
        <f>INDEX('State Tax Lookup'!$D$7:$Z$91,MATCH(Calculation!$C586,'State Tax Lookup'!$B$7:$B$91,0),MATCH($H586,'State Tax Lookup'!$D$6:$Z$6,0))</f>
        <v>0.39649667</v>
      </c>
      <c r="DA586" s="303">
        <v>0.37</v>
      </c>
      <c r="DB586" s="57">
        <f t="shared" si="1080"/>
        <v>12.368399363141485</v>
      </c>
      <c r="DC586" s="56">
        <f t="shared" si="1084"/>
        <v>-3.3338777638062228E-2</v>
      </c>
      <c r="DD586" s="303">
        <f>VLOOKUP($H586,RoR!$E:$F,2,FALSE)</f>
        <v>5.5874999999999994E-2</v>
      </c>
      <c r="DE586" s="304">
        <f>HLOOKUP($H586,'GDP-PI'!$D$8:$CQ$11,3,FALSE)</f>
        <v>3.0512430354548314E-2</v>
      </c>
      <c r="DF586" s="303">
        <f>VLOOKUP(H586,'HW Dx Data'!$E:$F,2,FALSE)</f>
        <v>461.08567272971823</v>
      </c>
      <c r="DG586" s="89">
        <f ca="1">VLOOKUP(CC586,'ECI - Input Price'!M$13:N$33,2,FALSE)</f>
        <v>109.4</v>
      </c>
      <c r="DH586" s="89"/>
      <c r="DI586" s="89"/>
      <c r="DJ586" s="56">
        <f t="shared" ca="1" si="1092"/>
        <v>9.7620891318751846E-2</v>
      </c>
      <c r="DK586" s="53">
        <f>HLOOKUP(H586,'GDP-PI'!$8:$9,2,FALSE)</f>
        <v>90.073999999999998</v>
      </c>
      <c r="DL586" s="355">
        <f t="shared" si="1085"/>
        <v>3.005618372545445E-2</v>
      </c>
      <c r="EC586"/>
    </row>
    <row r="587" spans="1:133" s="126" customFormat="1" ht="21" customHeight="1" x14ac:dyDescent="0.4">
      <c r="A587" s="233" t="s">
        <v>216</v>
      </c>
      <c r="B587" s="127" t="s">
        <v>216</v>
      </c>
      <c r="C587" s="127">
        <v>4061687</v>
      </c>
      <c r="D587" s="127" t="s">
        <v>194</v>
      </c>
      <c r="E587" s="127" t="s">
        <v>15</v>
      </c>
      <c r="F587" s="127"/>
      <c r="G587" s="127" t="s">
        <v>163</v>
      </c>
      <c r="H587" s="128">
        <v>2007</v>
      </c>
      <c r="I587" s="129"/>
      <c r="J587" s="125">
        <f>IFERROR(INDEX('Labor Expenditures'!$E$7:$W$91,MATCH($C587,'Labor Expenditures'!$C$7:$C$91,0),MATCH($G587,'Labor Expenditures'!$E$5:$W$5,0)),"NA")</f>
        <v>79049.444214847972</v>
      </c>
      <c r="K587" s="125">
        <f t="shared" ca="1" si="1086"/>
        <v>756.2730850499687</v>
      </c>
      <c r="L587" s="47"/>
      <c r="M587" s="131">
        <f t="shared" ca="1" si="1093"/>
        <v>3.8804027035700732E-2</v>
      </c>
      <c r="N587" s="131"/>
      <c r="O587" s="131"/>
      <c r="P587" s="59">
        <f t="shared" ca="1" si="1095"/>
        <v>1.2986660271296746E-3</v>
      </c>
      <c r="Q587" s="61"/>
      <c r="R587" s="387"/>
      <c r="S587" s="49">
        <f t="shared" ref="S587:S600" ca="1" si="1100">+S586*EXP(T587)</f>
        <v>117.98808159618687</v>
      </c>
      <c r="T587" s="61">
        <f ca="1">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</f>
        <v>8.9148486794886211E-2</v>
      </c>
      <c r="U587" s="61"/>
      <c r="V587" s="125">
        <f>IFERROR(INDEX('Non-Labor Expenditures'!$E$7:$AA$91,MATCH($C587,'Non-Labor Expenditures'!$C$7:$C$91,0),MATCH($G587,'Non-Labor Expenditures'!$E$5:$AA$5,0)),"NA")</f>
        <v>114478.35962268537</v>
      </c>
      <c r="W587" s="125">
        <f t="shared" si="1087"/>
        <v>1237.63064739438</v>
      </c>
      <c r="X587" s="131">
        <f t="shared" si="1096"/>
        <v>-3.333605365958936E-2</v>
      </c>
      <c r="Y587" s="131">
        <f t="shared" si="1097"/>
        <v>-1.1156677199108847E-3</v>
      </c>
      <c r="Z587" s="131"/>
      <c r="AA587" s="131"/>
      <c r="AB587" s="131"/>
      <c r="AC587" s="125">
        <f t="shared" si="1061"/>
        <v>63011.285346693192</v>
      </c>
      <c r="AD587" s="129"/>
      <c r="AE587" s="133">
        <v>5054.0116406908537</v>
      </c>
      <c r="AF587" s="134">
        <v>1.3744160544646108E-2</v>
      </c>
      <c r="AG587" s="59">
        <f t="shared" si="1088"/>
        <v>4.5997994884207154E-4</v>
      </c>
      <c r="AH587" s="134"/>
      <c r="AI587" s="134"/>
      <c r="AJ587" s="129">
        <f t="shared" si="1015"/>
        <v>256539.08918422653</v>
      </c>
      <c r="AK587" s="134">
        <f t="shared" si="1098"/>
        <v>1.2145254158500405E-2</v>
      </c>
      <c r="AL587" s="129"/>
      <c r="AM587" s="129"/>
      <c r="AN587" s="129"/>
      <c r="AO587" s="129"/>
      <c r="AP587" s="133">
        <f t="shared" si="1099"/>
        <v>353.66604011495707</v>
      </c>
      <c r="AQ587" s="134">
        <f>+BB587/Outputs!$B$15</f>
        <v>2.075777254987609E-2</v>
      </c>
      <c r="AR587" s="93">
        <f t="shared" si="1089"/>
        <v>0.30813800916740908</v>
      </c>
      <c r="AS587" s="93">
        <f t="shared" si="1090"/>
        <v>0.44624138951579373</v>
      </c>
      <c r="AT587" s="93">
        <f t="shared" si="1091"/>
        <v>0.24562060131679722</v>
      </c>
      <c r="AU587" s="93">
        <f t="shared" ca="1" si="1094"/>
        <v>3.2998422229101564E-4</v>
      </c>
      <c r="AV587" s="132">
        <f ca="1">+AV586*EXP(AU587)</f>
        <v>93.963920684703197</v>
      </c>
      <c r="AW587" s="134">
        <f ca="1">LN(AV587/AV586)</f>
        <v>3.2998422229095834E-4</v>
      </c>
      <c r="AX587" s="56">
        <f>+AJ587/$AL$12</f>
        <v>3.3467300338051703E-2</v>
      </c>
      <c r="AY587" s="135">
        <f t="shared" ref="AY587:AY601" ca="1" si="1101">+AX587*AW587</f>
        <v>1.1043681074229919E-5</v>
      </c>
      <c r="AZ587" s="93"/>
      <c r="BA587" s="93"/>
      <c r="BB587" s="234">
        <f>IFERROR(INDEX('Total Customers'!$E$7:$AA$91,MATCH($C587,'Total Customers'!$C$7:$C$91,0),MATCH($G587,'Total Customers'!$E$5:$AA$5,0)),"NA")</f>
        <v>725371</v>
      </c>
      <c r="BC587" s="411">
        <f t="shared" si="1076"/>
        <v>8.4825877325371592E-3</v>
      </c>
      <c r="BD587" s="92"/>
      <c r="BE587" s="281" t="str">
        <f t="shared" si="1062"/>
        <v>NATIONAL FUEL GAS DISTRIBUTION CORPORATION</v>
      </c>
      <c r="BF587" s="290">
        <f t="shared" si="1063"/>
        <v>4061687</v>
      </c>
      <c r="BG587" s="46" t="str">
        <f t="shared" si="1064"/>
        <v>NY</v>
      </c>
      <c r="BH587" s="46"/>
      <c r="BI587" s="46" t="str">
        <f t="shared" si="1065"/>
        <v>2007 Y</v>
      </c>
      <c r="BJ587" s="129"/>
      <c r="BK587" s="129"/>
      <c r="BL587" s="129">
        <f>INDEX('Dist. Plant Gas Additions'!$E$7:$AD$91,MATCH($C587,'Dist. Plant Gas Additions'!$C$7:$C$91,0),MATCH(Calculation!$G587,'Dist. Plant Gas Additions'!$E$5:$AD$5,0))</f>
        <v>45253</v>
      </c>
      <c r="BM587" s="129">
        <f>INDEX('Gen. Plant Additions'!$E$7:$AD$91,MATCH($C587,'Gen. Plant Additions'!$C$7:$C$91,0),MATCH(Calculation!$G587,'Gen. Plant Additions'!$E$5:$AD$5,0))</f>
        <v>5288</v>
      </c>
      <c r="BN587" s="393">
        <f t="shared" si="1066"/>
        <v>0.95930524445165188</v>
      </c>
      <c r="BO587" s="46">
        <f t="shared" si="1056"/>
        <v>5072.8061326603356</v>
      </c>
      <c r="BP587" s="46">
        <f t="shared" si="1057"/>
        <v>-215.19386733966439</v>
      </c>
      <c r="BQ587" s="129">
        <f>INDEX('Dist Plant Depreciation'!$D$7:$AC$94,MATCH($C587,'Dist Plant Depreciation'!$C$7:$C$94,0),MATCH(Calculation!$G587,'Dist Plant Depreciation'!$D$5:$AC$5,0))</f>
        <v>473629</v>
      </c>
      <c r="BR587" s="129">
        <f>INDEX('Gen. Plant Depreciation'!$D$7:$AC$94,MATCH($C587,'Gen. Plant Depreciation'!$C$7:$C$94,0),MATCH(Calculation!$G587,'Gen. Plant Depreciation'!$D$5:$AC$5,0))</f>
        <v>20454</v>
      </c>
      <c r="BS587" s="129"/>
      <c r="BT587" s="129"/>
      <c r="BU587" s="129"/>
      <c r="BV587" s="129"/>
      <c r="BW587" s="129"/>
      <c r="BX587" s="129"/>
      <c r="BY587" s="129">
        <f>INDEX('Gross Dx Plant'!$D$7:$AC$91,MATCH($C587,'Gross Dx Plant'!$C$7:$C$91,0),MATCH(Calculation!$G587,'Gross Dx Plant'!$D$5:$AC$5,0))</f>
        <v>1419719</v>
      </c>
      <c r="BZ587" s="129">
        <f>INDEX('Gross Gen Plant'!$D$7:$AC$91,MATCH($C587,'Gross Gen Plant'!$C$7:$C$91,0),MATCH(Calculation!$G587,'Gross Gen Plant'!$D$5:$AC$5,0))</f>
        <v>60226</v>
      </c>
      <c r="CA587" s="129">
        <f t="shared" si="1077"/>
        <v>985862</v>
      </c>
      <c r="CB587" s="129"/>
      <c r="CC587" s="133">
        <v>2007</v>
      </c>
      <c r="CD587" s="129"/>
      <c r="CE587" s="129"/>
      <c r="CF587" s="129"/>
      <c r="CG587" s="137"/>
      <c r="CH587" s="129">
        <f t="shared" si="1067"/>
        <v>50541</v>
      </c>
      <c r="CI587" s="46">
        <f t="shared" si="1078"/>
        <v>50325.806132660335</v>
      </c>
      <c r="CJ587" s="46">
        <f t="shared" si="1068"/>
        <v>101.05130747892736</v>
      </c>
      <c r="CK587" s="443">
        <v>0.90322580645161288</v>
      </c>
      <c r="CL587" s="46">
        <f>+CL578*CK587+CJ579*CK586+CJ580*CK585+CJ581*CK584+CJ582*CK583+CJ583*CK582+CJ584*CK581+CJ585*CK580+CJ586*CK579+CJ587</f>
        <v>4833.4637591305654</v>
      </c>
      <c r="CM587" s="134">
        <f t="shared" si="1069"/>
        <v>8.6031158554428899E-3</v>
      </c>
      <c r="CN587" s="135">
        <f t="shared" si="1070"/>
        <v>1.2447011734332247E-2</v>
      </c>
      <c r="CO587" s="135">
        <f t="shared" si="1081"/>
        <v>1.2098715159096787E-2</v>
      </c>
      <c r="CP587" s="134">
        <f>VLOOKUP($H587,RoR!$E:$F,2,FALSE)</f>
        <v>5.5558333333333321E-2</v>
      </c>
      <c r="CQ587" s="135">
        <v>2.691120634145272E-2</v>
      </c>
      <c r="CR587" s="135">
        <f t="shared" si="1079"/>
        <v>2.86471269918806E-2</v>
      </c>
      <c r="CS587" s="135">
        <f t="shared" si="1082"/>
        <v>1.8803226449436838E-2</v>
      </c>
      <c r="CT587" s="135">
        <f t="shared" si="1083"/>
        <v>6.4575155250632399E-2</v>
      </c>
      <c r="CU587" s="139">
        <f t="shared" si="1071"/>
        <v>0.85329623209999994</v>
      </c>
      <c r="CV587" s="335">
        <f t="shared" si="1072"/>
        <v>0.92303077153834634</v>
      </c>
      <c r="CW587" s="335">
        <f t="shared" si="1073"/>
        <v>0.52502249887505614</v>
      </c>
      <c r="CX587" s="335">
        <f t="shared" si="1074"/>
        <v>0.88499666072084604</v>
      </c>
      <c r="CY587" s="335">
        <f t="shared" si="1075"/>
        <v>0.42887993290280618</v>
      </c>
      <c r="CZ587" s="336">
        <f>INDEX('State Tax Lookup'!$D$7:$Z$91,MATCH(Calculation!$C587,'State Tax Lookup'!$B$7:$B$91,0),MATCH($H587,'State Tax Lookup'!$D$6:$Z$6,0))</f>
        <v>0.39649667</v>
      </c>
      <c r="DA587" s="303">
        <v>0.37</v>
      </c>
      <c r="DB587" s="57">
        <f t="shared" si="1080"/>
        <v>13.149103924124361</v>
      </c>
      <c r="DC587" s="56">
        <f t="shared" si="1084"/>
        <v>6.1208832291984851E-2</v>
      </c>
      <c r="DD587" s="303">
        <f>VLOOKUP($H587,RoR!$E:$F,2,FALSE)</f>
        <v>5.5558333333333321E-2</v>
      </c>
      <c r="DE587" s="304">
        <f>HLOOKUP($H587,'GDP-PI'!$D$8:$CQ$11,3,FALSE)</f>
        <v>2.691120634145272E-2</v>
      </c>
      <c r="DF587" s="303">
        <f>VLOOKUP(H587,'HW Dx Data'!$E:$F,2,FALSE)</f>
        <v>498.0223154772637</v>
      </c>
      <c r="DG587" s="89">
        <f ca="1">VLOOKUP(CC587,'ECI - Input Price'!M$13:N$33,2,FALSE)</f>
        <v>104.52499999999999</v>
      </c>
      <c r="DH587" s="89"/>
      <c r="DI587" s="89"/>
      <c r="DJ587" s="56">
        <f t="shared" ca="1" si="1092"/>
        <v>-4.5584612745252218E-2</v>
      </c>
      <c r="DK587" s="53">
        <f>HLOOKUP(H587,'GDP-PI'!$8:$9,2,FALSE)</f>
        <v>92.498000000000005</v>
      </c>
      <c r="DL587" s="355">
        <f t="shared" si="1085"/>
        <v>2.6555467950038037E-2</v>
      </c>
      <c r="EC587"/>
    </row>
    <row r="588" spans="1:133" s="126" customFormat="1" ht="21" customHeight="1" x14ac:dyDescent="0.4">
      <c r="A588" s="233" t="s">
        <v>216</v>
      </c>
      <c r="B588" s="127" t="s">
        <v>216</v>
      </c>
      <c r="C588" s="127">
        <v>4061687</v>
      </c>
      <c r="D588" s="127" t="s">
        <v>194</v>
      </c>
      <c r="E588" s="127" t="s">
        <v>15</v>
      </c>
      <c r="F588" s="127"/>
      <c r="G588" s="127" t="s">
        <v>164</v>
      </c>
      <c r="H588" s="128">
        <v>2008</v>
      </c>
      <c r="I588" s="129"/>
      <c r="J588" s="125">
        <f>IFERROR(INDEX('Labor Expenditures'!$E$7:$W$91,MATCH($C588,'Labor Expenditures'!$C$7:$C$91,0),MATCH($G588,'Labor Expenditures'!$E$5:$W$5,0)),"NA")</f>
        <v>78282.179322125361</v>
      </c>
      <c r="K588" s="125">
        <f t="shared" ca="1" si="1086"/>
        <v>725.50675924119889</v>
      </c>
      <c r="L588" s="47"/>
      <c r="M588" s="131">
        <f t="shared" ca="1" si="1093"/>
        <v>-4.1532145618196417E-2</v>
      </c>
      <c r="N588" s="131"/>
      <c r="O588" s="131"/>
      <c r="P588" s="59">
        <f t="shared" ca="1" si="1095"/>
        <v>-1.3503822435881974E-3</v>
      </c>
      <c r="Q588" s="61"/>
      <c r="R588" s="387"/>
      <c r="S588" s="49">
        <f t="shared" ca="1" si="1100"/>
        <v>109.69410939469327</v>
      </c>
      <c r="T588" s="61">
        <f ca="1">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</f>
        <v>-7.2887947507704706E-2</v>
      </c>
      <c r="U588" s="61"/>
      <c r="V588" s="125">
        <f>IFERROR(INDEX('Non-Labor Expenditures'!$E$7:$AA$91,MATCH($C588,'Non-Labor Expenditures'!$C$7:$C$91,0),MATCH($G588,'Non-Labor Expenditures'!$E$5:$AA$5,0)),"NA")</f>
        <v>113367.21675270851</v>
      </c>
      <c r="W588" s="125">
        <f t="shared" si="1087"/>
        <v>1202.656547066839</v>
      </c>
      <c r="X588" s="131">
        <f t="shared" si="1096"/>
        <v>-2.8665884344768522E-2</v>
      </c>
      <c r="Y588" s="131">
        <f t="shared" si="1097"/>
        <v>-9.3204674691712501E-4</v>
      </c>
      <c r="Z588" s="131"/>
      <c r="AA588" s="131"/>
      <c r="AB588" s="131"/>
      <c r="AC588" s="125">
        <f t="shared" si="1061"/>
        <v>71380.134195022867</v>
      </c>
      <c r="AD588" s="129"/>
      <c r="AE588" s="133">
        <v>5115.5521836809212</v>
      </c>
      <c r="AF588" s="134">
        <v>1.210303514952827E-2</v>
      </c>
      <c r="AG588" s="59">
        <f t="shared" si="1088"/>
        <v>3.9351985109784812E-4</v>
      </c>
      <c r="AH588" s="134"/>
      <c r="AI588" s="134"/>
      <c r="AJ588" s="129">
        <f t="shared" si="1015"/>
        <v>263029.53026985674</v>
      </c>
      <c r="AK588" s="134">
        <f t="shared" si="1098"/>
        <v>2.4985260789080529E-2</v>
      </c>
      <c r="AL588" s="129"/>
      <c r="AM588" s="129"/>
      <c r="AN588" s="129"/>
      <c r="AO588" s="129"/>
      <c r="AP588" s="133">
        <f t="shared" si="1099"/>
        <v>361.43586644844174</v>
      </c>
      <c r="AQ588" s="134">
        <f>+BB588/Outputs!$B$16</f>
        <v>2.0714077867808982E-2</v>
      </c>
      <c r="AR588" s="93">
        <f t="shared" si="1089"/>
        <v>0.29761745474666396</v>
      </c>
      <c r="AS588" s="93">
        <f t="shared" si="1090"/>
        <v>0.43100566174603561</v>
      </c>
      <c r="AT588" s="93">
        <f t="shared" si="1091"/>
        <v>0.27137688350730044</v>
      </c>
      <c r="AU588" s="93">
        <f t="shared" ca="1" si="1094"/>
        <v>-2.2024073959257231E-2</v>
      </c>
      <c r="AV588" s="132">
        <f t="shared" ref="AV588:AV601" ca="1" si="1102">+AV587*EXP(AU588)</f>
        <v>91.917075022382448</v>
      </c>
      <c r="AW588" s="134">
        <f t="shared" ref="AW588:AW601" ca="1" si="1103">LN(AV588/AV587)</f>
        <v>-2.2024073959257214E-2</v>
      </c>
      <c r="AX588" s="56">
        <f>+AJ588/$AL$13</f>
        <v>3.2514145934144957E-2</v>
      </c>
      <c r="AY588" s="135">
        <f t="shared" ca="1" si="1101"/>
        <v>-7.160939547756908E-4</v>
      </c>
      <c r="AZ588" s="93"/>
      <c r="BA588" s="93"/>
      <c r="BB588" s="234">
        <f>IFERROR(INDEX('Total Customers'!$E$7:$AA$91,MATCH($C588,'Total Customers'!$C$7:$C$91,0),MATCH($G588,'Total Customers'!$E$5:$AA$5,0)),"NA")</f>
        <v>727735</v>
      </c>
      <c r="BC588" s="411">
        <f t="shared" si="1076"/>
        <v>3.2537228331338611E-3</v>
      </c>
      <c r="BD588" s="92"/>
      <c r="BE588" s="281" t="str">
        <f t="shared" si="1062"/>
        <v>NATIONAL FUEL GAS DISTRIBUTION CORPORATION</v>
      </c>
      <c r="BF588" s="290">
        <f t="shared" si="1063"/>
        <v>4061687</v>
      </c>
      <c r="BG588" s="46" t="str">
        <f t="shared" si="1064"/>
        <v>NY</v>
      </c>
      <c r="BH588" s="46"/>
      <c r="BI588" s="46" t="str">
        <f t="shared" si="1065"/>
        <v>2008 Y</v>
      </c>
      <c r="BJ588" s="129"/>
      <c r="BK588" s="129"/>
      <c r="BL588" s="129">
        <f>INDEX('Dist. Plant Gas Additions'!$E$7:$AD$91,MATCH($C588,'Dist. Plant Gas Additions'!$C$7:$C$91,0),MATCH(Calculation!$G588,'Dist. Plant Gas Additions'!$E$5:$AD$5,0))</f>
        <v>50025</v>
      </c>
      <c r="BM588" s="129">
        <f>INDEX('Gen. Plant Additions'!$E$7:$AD$91,MATCH($C588,'Gen. Plant Additions'!$C$7:$C$91,0),MATCH(Calculation!$G588,'Gen. Plant Additions'!$E$5:$AD$5,0))</f>
        <v>4484</v>
      </c>
      <c r="BN588" s="393">
        <f t="shared" si="1066"/>
        <v>0.95857305966035855</v>
      </c>
      <c r="BO588" s="46">
        <f t="shared" si="1056"/>
        <v>4298.2415995170477</v>
      </c>
      <c r="BP588" s="46">
        <f t="shared" si="1057"/>
        <v>-185.75840048295231</v>
      </c>
      <c r="BQ588" s="129">
        <f>INDEX('Dist Plant Depreciation'!$D$7:$AC$94,MATCH($C588,'Dist Plant Depreciation'!$C$7:$C$94,0),MATCH(Calculation!$G588,'Dist Plant Depreciation'!$D$5:$AC$5,0))</f>
        <v>495063</v>
      </c>
      <c r="BR588" s="129">
        <f>INDEX('Gen. Plant Depreciation'!$D$7:$AC$94,MATCH($C588,'Gen. Plant Depreciation'!$C$7:$C$94,0),MATCH(Calculation!$G588,'Gen. Plant Depreciation'!$D$5:$AC$5,0))</f>
        <v>24536</v>
      </c>
      <c r="BS588" s="129"/>
      <c r="BT588" s="129"/>
      <c r="BU588" s="129"/>
      <c r="BV588" s="129"/>
      <c r="BW588" s="129"/>
      <c r="BX588" s="129"/>
      <c r="BY588" s="129">
        <f>INDEX('Gross Dx Plant'!$D$7:$AC$91,MATCH($C588,'Gross Dx Plant'!$C$7:$C$91,0),MATCH(Calculation!$G588,'Gross Dx Plant'!$D$5:$AC$5,0))</f>
        <v>1460827</v>
      </c>
      <c r="BZ588" s="129">
        <f>INDEX('Gross Gen Plant'!$D$7:$AC$91,MATCH($C588,'Gross Gen Plant'!$C$7:$C$91,0),MATCH(Calculation!$G588,'Gross Gen Plant'!$D$5:$AC$5,0))</f>
        <v>63133</v>
      </c>
      <c r="CA588" s="129">
        <f t="shared" si="1077"/>
        <v>1004361</v>
      </c>
      <c r="CB588" s="129"/>
      <c r="CC588" s="133">
        <v>2008</v>
      </c>
      <c r="CD588" s="129"/>
      <c r="CE588" s="129"/>
      <c r="CF588" s="129"/>
      <c r="CG588" s="137"/>
      <c r="CH588" s="129">
        <f t="shared" si="1067"/>
        <v>54509</v>
      </c>
      <c r="CI588" s="46">
        <f t="shared" si="1078"/>
        <v>54323.241599517045</v>
      </c>
      <c r="CJ588" s="46">
        <f t="shared" si="1068"/>
        <v>95.323799559623666</v>
      </c>
      <c r="CK588" s="443">
        <v>0.89130434782608692</v>
      </c>
      <c r="CL588" s="46">
        <f>+CL578*CK588+CJ579*CK587+CJ580*CK586+CJ581*CK585+CJ582*CK584+CJ583*CK583+CJ584*CK582+CJ585*CK581+CJ586*CK580+CJ587*CK579+CJ588</f>
        <v>4866.8527996091379</v>
      </c>
      <c r="CM588" s="134">
        <f t="shared" si="1069"/>
        <v>6.8841407677876576E-3</v>
      </c>
      <c r="CN588" s="135">
        <f t="shared" si="1070"/>
        <v>1.2813742311412692E-2</v>
      </c>
      <c r="CO588" s="135">
        <f t="shared" si="1081"/>
        <v>1.2452838462345689E-2</v>
      </c>
      <c r="CP588" s="134">
        <f>VLOOKUP($H588,RoR!$E:$F,2,FALSE)</f>
        <v>5.6316666666666668E-2</v>
      </c>
      <c r="CQ588" s="135">
        <v>1.9092304698479889E-2</v>
      </c>
      <c r="CR588" s="135">
        <f t="shared" si="1079"/>
        <v>3.7224361968186778E-2</v>
      </c>
      <c r="CS588" s="135">
        <f t="shared" si="1082"/>
        <v>1.8449103146187938E-2</v>
      </c>
      <c r="CT588" s="135">
        <f t="shared" si="1083"/>
        <v>6.9030581091053131E-2</v>
      </c>
      <c r="CU588" s="139">
        <f t="shared" si="1071"/>
        <v>0.85329623209999994</v>
      </c>
      <c r="CV588" s="335">
        <f t="shared" si="1072"/>
        <v>0.91060168006009956</v>
      </c>
      <c r="CW588" s="335">
        <f t="shared" si="1073"/>
        <v>0.53108168097070152</v>
      </c>
      <c r="CX588" s="335">
        <f t="shared" si="1074"/>
        <v>0.88825329850328805</v>
      </c>
      <c r="CY588" s="335">
        <f t="shared" si="1075"/>
        <v>0.4295627335323573</v>
      </c>
      <c r="CZ588" s="336">
        <f>INDEX('State Tax Lookup'!$D$7:$Z$91,MATCH(Calculation!$C588,'State Tax Lookup'!$B$7:$B$91,0),MATCH($H588,'State Tax Lookup'!$D$6:$Z$6,0))</f>
        <v>0.39649667</v>
      </c>
      <c r="DA588" s="303">
        <v>0.37</v>
      </c>
      <c r="DB588" s="57">
        <f t="shared" si="1080"/>
        <v>14.767905119839483</v>
      </c>
      <c r="DC588" s="56">
        <f t="shared" si="1084"/>
        <v>0.11610263937711221</v>
      </c>
      <c r="DD588" s="303">
        <f>VLOOKUP($H588,RoR!$E:$F,2,FALSE)</f>
        <v>5.6316666666666668E-2</v>
      </c>
      <c r="DE588" s="304">
        <f>HLOOKUP($H588,'GDP-PI'!$D$8:$CQ$11,3,FALSE)</f>
        <v>1.9092304698479889E-2</v>
      </c>
      <c r="DF588" s="303">
        <f>VLOOKUP(H588,'HW Dx Data'!$E:$F,2,FALSE)</f>
        <v>569.88120333515076</v>
      </c>
      <c r="DG588" s="89">
        <f ca="1">VLOOKUP(CC588,'ECI - Input Price'!M$13:N$33,2,FALSE)</f>
        <v>107.9</v>
      </c>
      <c r="DH588" s="89"/>
      <c r="DI588" s="89"/>
      <c r="DJ588" s="56">
        <f t="shared" ca="1" si="1092"/>
        <v>3.1778595021460486E-2</v>
      </c>
      <c r="DK588" s="53">
        <f>HLOOKUP(H588,'GDP-PI'!$8:$9,2,FALSE)</f>
        <v>94.263999999999996</v>
      </c>
      <c r="DL588" s="355">
        <f t="shared" si="1085"/>
        <v>1.8912333748032254E-2</v>
      </c>
      <c r="EC588"/>
    </row>
    <row r="589" spans="1:133" s="126" customFormat="1" ht="21" customHeight="1" x14ac:dyDescent="0.4">
      <c r="A589" s="233" t="s">
        <v>216</v>
      </c>
      <c r="B589" s="127" t="s">
        <v>216</v>
      </c>
      <c r="C589" s="127">
        <v>4061687</v>
      </c>
      <c r="D589" s="127" t="s">
        <v>194</v>
      </c>
      <c r="E589" s="127" t="s">
        <v>15</v>
      </c>
      <c r="F589" s="127"/>
      <c r="G589" s="127" t="s">
        <v>165</v>
      </c>
      <c r="H589" s="128">
        <v>2009</v>
      </c>
      <c r="I589" s="129"/>
      <c r="J589" s="125">
        <f>IFERROR(INDEX('Labor Expenditures'!$E$7:$W$91,MATCH($C589,'Labor Expenditures'!$C$7:$C$91,0),MATCH($G589,'Labor Expenditures'!$E$5:$W$5,0)),"NA")</f>
        <v>73179.388002868116</v>
      </c>
      <c r="K589" s="125">
        <f t="shared" ca="1" si="1086"/>
        <v>659.7195222255408</v>
      </c>
      <c r="L589" s="47"/>
      <c r="M589" s="131">
        <f t="shared" ca="1" si="1093"/>
        <v>-9.5055610575110805E-2</v>
      </c>
      <c r="N589" s="131"/>
      <c r="O589" s="131"/>
      <c r="P589" s="59">
        <f t="shared" ca="1" si="1095"/>
        <v>-2.7793727903864585E-3</v>
      </c>
      <c r="Q589" s="61"/>
      <c r="R589" s="387"/>
      <c r="S589" s="49">
        <f t="shared" ca="1" si="1100"/>
        <v>118.06672456811216</v>
      </c>
      <c r="T589" s="61">
        <f ca="1">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</f>
        <v>7.3554258659023902E-2</v>
      </c>
      <c r="U589" s="61"/>
      <c r="V589" s="125">
        <f>IFERROR(INDEX('Non-Labor Expenditures'!$E$7:$AA$91,MATCH($C589,'Non-Labor Expenditures'!$C$7:$C$91,0),MATCH($G589,'Non-Labor Expenditures'!$E$5:$AA$5,0)),"NA")</f>
        <v>105977.42185247158</v>
      </c>
      <c r="W589" s="125">
        <f t="shared" si="1087"/>
        <v>1115.5635517476142</v>
      </c>
      <c r="X589" s="131">
        <f t="shared" si="1096"/>
        <v>-7.5173194392536086E-2</v>
      </c>
      <c r="Y589" s="131">
        <f t="shared" si="1097"/>
        <v>-2.1980220819890635E-3</v>
      </c>
      <c r="Z589" s="131"/>
      <c r="AA589" s="131"/>
      <c r="AB589" s="131"/>
      <c r="AC589" s="125">
        <f t="shared" si="1061"/>
        <v>68115.986626345155</v>
      </c>
      <c r="AD589" s="129"/>
      <c r="AE589" s="133">
        <v>5162.8521404236335</v>
      </c>
      <c r="AF589" s="134">
        <v>9.203819805136574E-3</v>
      </c>
      <c r="AG589" s="59">
        <f t="shared" si="1088"/>
        <v>2.6911453389490548E-4</v>
      </c>
      <c r="AH589" s="134"/>
      <c r="AI589" s="134"/>
      <c r="AJ589" s="129">
        <f t="shared" si="1015"/>
        <v>247272.79648168484</v>
      </c>
      <c r="AK589" s="134">
        <f t="shared" si="1098"/>
        <v>-6.1774141888660941E-2</v>
      </c>
      <c r="AL589" s="129"/>
      <c r="AM589" s="129"/>
      <c r="AN589" s="129"/>
      <c r="AO589" s="129"/>
      <c r="AP589" s="133">
        <f t="shared" si="1099"/>
        <v>339.92191312229852</v>
      </c>
      <c r="AQ589" s="134">
        <f>+BB589/Outputs!$B$17</f>
        <v>2.0679286004042955E-2</v>
      </c>
      <c r="AR589" s="93">
        <f t="shared" si="1089"/>
        <v>0.29594597159129232</v>
      </c>
      <c r="AS589" s="93">
        <f t="shared" si="1090"/>
        <v>0.42858504194706748</v>
      </c>
      <c r="AT589" s="93">
        <f t="shared" si="1091"/>
        <v>0.2754689864616402</v>
      </c>
      <c r="AU589" s="93">
        <f t="shared" ca="1" si="1094"/>
        <v>-5.8003321061985254E-2</v>
      </c>
      <c r="AV589" s="132">
        <f t="shared" ca="1" si="1102"/>
        <v>86.737254953136997</v>
      </c>
      <c r="AW589" s="134">
        <f t="shared" ca="1" si="1103"/>
        <v>-5.8003321061985309E-2</v>
      </c>
      <c r="AX589" s="56">
        <f>+AJ589/$AL$14</f>
        <v>2.9239439666638729E-2</v>
      </c>
      <c r="AY589" s="135">
        <f t="shared" ca="1" si="1101"/>
        <v>-1.695984606656595E-3</v>
      </c>
      <c r="AZ589" s="93"/>
      <c r="BA589" s="93"/>
      <c r="BB589" s="234">
        <f>IFERROR(INDEX('Total Customers'!$E$7:$AA$91,MATCH($C589,'Total Customers'!$C$7:$C$91,0),MATCH($G589,'Total Customers'!$E$5:$AA$5,0)),"NA")</f>
        <v>727440</v>
      </c>
      <c r="BC589" s="411">
        <f t="shared" si="1076"/>
        <v>-4.0544952193553705E-4</v>
      </c>
      <c r="BD589" s="92"/>
      <c r="BE589" s="281" t="str">
        <f t="shared" si="1062"/>
        <v>NATIONAL FUEL GAS DISTRIBUTION CORPORATION</v>
      </c>
      <c r="BF589" s="290">
        <f t="shared" si="1063"/>
        <v>4061687</v>
      </c>
      <c r="BG589" s="46" t="str">
        <f t="shared" si="1064"/>
        <v>NY</v>
      </c>
      <c r="BH589" s="46"/>
      <c r="BI589" s="46" t="str">
        <f t="shared" si="1065"/>
        <v>2009 Y</v>
      </c>
      <c r="BJ589" s="129"/>
      <c r="BK589" s="129"/>
      <c r="BL589" s="129">
        <f>INDEX('Dist. Plant Gas Additions'!$E$7:$AD$91,MATCH($C589,'Dist. Plant Gas Additions'!$C$7:$C$91,0),MATCH(Calculation!$G589,'Dist. Plant Gas Additions'!$E$5:$AD$5,0))</f>
        <v>41216</v>
      </c>
      <c r="BM589" s="129">
        <f>INDEX('Gen. Plant Additions'!$E$7:$AD$91,MATCH($C589,'Gen. Plant Additions'!$C$7:$C$91,0),MATCH(Calculation!$G589,'Gen. Plant Additions'!$E$5:$AD$5,0))</f>
        <v>4549</v>
      </c>
      <c r="BN589" s="393">
        <f t="shared" si="1066"/>
        <v>0.95896927256410569</v>
      </c>
      <c r="BO589" s="46">
        <f t="shared" si="1056"/>
        <v>4362.3512208941165</v>
      </c>
      <c r="BP589" s="46">
        <f t="shared" si="1057"/>
        <v>-186.64877910588348</v>
      </c>
      <c r="BQ589" s="129">
        <f>INDEX('Dist Plant Depreciation'!$D$7:$AC$94,MATCH($C589,'Dist Plant Depreciation'!$C$7:$C$94,0),MATCH(Calculation!$G589,'Dist Plant Depreciation'!$D$5:$AC$5,0))</f>
        <v>517248</v>
      </c>
      <c r="BR589" s="129">
        <f>INDEX('Gen. Plant Depreciation'!$D$7:$AC$94,MATCH($C589,'Gen. Plant Depreciation'!$C$7:$C$94,0),MATCH(Calculation!$G589,'Gen. Plant Depreciation'!$D$5:$AC$5,0))</f>
        <v>26368</v>
      </c>
      <c r="BS589" s="129"/>
      <c r="BT589" s="129"/>
      <c r="BU589" s="129"/>
      <c r="BV589" s="129"/>
      <c r="BW589" s="129"/>
      <c r="BX589" s="129"/>
      <c r="BY589" s="129">
        <f>INDEX('Gross Dx Plant'!$D$7:$AC$91,MATCH($C589,'Gross Dx Plant'!$C$7:$C$91,0),MATCH(Calculation!$G589,'Gross Dx Plant'!$D$5:$AC$5,0))</f>
        <v>1492815</v>
      </c>
      <c r="BZ589" s="129">
        <f>INDEX('Gross Gen Plant'!$D$7:$AC$91,MATCH($C589,'Gross Gen Plant'!$C$7:$C$91,0),MATCH(Calculation!$G589,'Gross Gen Plant'!$D$5:$AC$5,0))</f>
        <v>63872</v>
      </c>
      <c r="CA589" s="129">
        <f t="shared" si="1077"/>
        <v>1013071</v>
      </c>
      <c r="CB589" s="129"/>
      <c r="CC589" s="133">
        <v>2009</v>
      </c>
      <c r="CD589" s="129"/>
      <c r="CE589" s="129"/>
      <c r="CF589" s="129"/>
      <c r="CG589" s="137"/>
      <c r="CH589" s="129">
        <f t="shared" si="1067"/>
        <v>45765</v>
      </c>
      <c r="CI589" s="46">
        <f t="shared" si="1078"/>
        <v>45578.351220894117</v>
      </c>
      <c r="CJ589" s="46">
        <f t="shared" si="1068"/>
        <v>82.728243619636828</v>
      </c>
      <c r="CK589" s="443">
        <v>0.87912087912087911</v>
      </c>
      <c r="CL589" s="46">
        <f>+CL578*CK589+CJ579*CK588+CJ580*CK587+CJ581*CK586+CJ582*CK585+CJ583*CK584+CJ584*CK583+CJ585*CK582+CJ586*CK581+CJ587*CK580+CJ588*CK579+CJ589</f>
        <v>4885.352888342708</v>
      </c>
      <c r="CM589" s="134">
        <f t="shared" si="1069"/>
        <v>3.7940362452308215E-3</v>
      </c>
      <c r="CN589" s="135">
        <f t="shared" si="1070"/>
        <v>1.3197061331138894E-2</v>
      </c>
      <c r="CO589" s="135">
        <f t="shared" si="1081"/>
        <v>1.2819271792294612E-2</v>
      </c>
      <c r="CP589" s="134">
        <f>VLOOKUP($H589,RoR!$E:$F,2,FALSE)</f>
        <v>5.3133333333333324E-2</v>
      </c>
      <c r="CQ589" s="135">
        <v>7.7972502758210105E-3</v>
      </c>
      <c r="CR589" s="135">
        <f t="shared" si="1079"/>
        <v>4.5336083057512314E-2</v>
      </c>
      <c r="CS589" s="135">
        <f t="shared" si="1082"/>
        <v>1.8082669816239013E-2</v>
      </c>
      <c r="CT589" s="135">
        <f t="shared" si="1083"/>
        <v>6.3720160300892073E-2</v>
      </c>
      <c r="CU589" s="139">
        <f t="shared" si="1071"/>
        <v>0.85329623209999994</v>
      </c>
      <c r="CV589" s="335">
        <f t="shared" si="1072"/>
        <v>0.96515780330083989</v>
      </c>
      <c r="CW589" s="335">
        <f t="shared" si="1073"/>
        <v>0.50448557089084056</v>
      </c>
      <c r="CX589" s="335">
        <f t="shared" si="1074"/>
        <v>0.87391435735465484</v>
      </c>
      <c r="CY589" s="335">
        <f t="shared" si="1075"/>
        <v>0.42551605393279146</v>
      </c>
      <c r="CZ589" s="336">
        <f>INDEX('State Tax Lookup'!$D$7:$Z$91,MATCH(Calculation!$C589,'State Tax Lookup'!$B$7:$B$91,0),MATCH($H589,'State Tax Lookup'!$D$6:$Z$6,0))</f>
        <v>0.39649667</v>
      </c>
      <c r="DA589" s="303">
        <v>0.37</v>
      </c>
      <c r="DB589" s="57">
        <f t="shared" si="1080"/>
        <v>13.995900314021338</v>
      </c>
      <c r="DC589" s="56">
        <f t="shared" si="1084"/>
        <v>-5.369180100888972E-2</v>
      </c>
      <c r="DD589" s="303">
        <f>VLOOKUP($H589,RoR!$E:$F,2,FALSE)</f>
        <v>5.3133333333333324E-2</v>
      </c>
      <c r="DE589" s="304">
        <f>HLOOKUP($H589,'GDP-PI'!$D$8:$CQ$11,3,FALSE)</f>
        <v>7.7972502758210105E-3</v>
      </c>
      <c r="DF589" s="303">
        <f>VLOOKUP(H589,'HW Dx Data'!$E:$F,2,FALSE)</f>
        <v>550.94063679692806</v>
      </c>
      <c r="DG589" s="89">
        <f ca="1">VLOOKUP(CC589,'ECI - Input Price'!M$13:N$33,2,FALSE)</f>
        <v>110.925</v>
      </c>
      <c r="DH589" s="89"/>
      <c r="DI589" s="89"/>
      <c r="DJ589" s="56">
        <f t="shared" ca="1" si="1092"/>
        <v>2.7649425000884052E-2</v>
      </c>
      <c r="DK589" s="53">
        <f>HLOOKUP(H589,'GDP-PI'!$8:$9,2,FALSE)</f>
        <v>94.998999999999995</v>
      </c>
      <c r="DL589" s="355">
        <f t="shared" si="1085"/>
        <v>7.7670088183096342E-3</v>
      </c>
      <c r="EC589"/>
    </row>
    <row r="590" spans="1:133" s="126" customFormat="1" ht="21" customHeight="1" x14ac:dyDescent="0.4">
      <c r="A590" s="233" t="s">
        <v>216</v>
      </c>
      <c r="B590" s="127" t="s">
        <v>216</v>
      </c>
      <c r="C590" s="127">
        <v>4061687</v>
      </c>
      <c r="D590" s="127" t="s">
        <v>194</v>
      </c>
      <c r="E590" s="127" t="s">
        <v>15</v>
      </c>
      <c r="F590" s="127"/>
      <c r="G590" s="127" t="s">
        <v>166</v>
      </c>
      <c r="H590" s="128">
        <v>2010</v>
      </c>
      <c r="I590" s="129"/>
      <c r="J590" s="125">
        <f>IFERROR(INDEX('Labor Expenditures'!$E$7:$W$91,MATCH($C590,'Labor Expenditures'!$C$7:$C$91,0),MATCH($G590,'Labor Expenditures'!$E$5:$W$5,0)),"NA")</f>
        <v>74609.391093335405</v>
      </c>
      <c r="K590" s="125">
        <f t="shared" ca="1" si="1086"/>
        <v>638.09613934860306</v>
      </c>
      <c r="L590" s="47"/>
      <c r="M590" s="131">
        <f t="shared" ca="1" si="1093"/>
        <v>-3.3325817745181639E-2</v>
      </c>
      <c r="N590" s="131"/>
      <c r="O590" s="131"/>
      <c r="P590" s="59">
        <f t="shared" ca="1" si="1095"/>
        <v>-9.6289882310602194E-4</v>
      </c>
      <c r="Q590" s="61"/>
      <c r="R590" s="387"/>
      <c r="S590" s="49">
        <f t="shared" ca="1" si="1100"/>
        <v>97.437657176121192</v>
      </c>
      <c r="T590" s="61">
        <f ca="1">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</f>
        <v>-0.19203716718013761</v>
      </c>
      <c r="U590" s="61"/>
      <c r="V590" s="125">
        <f>IFERROR(INDEX('Non-Labor Expenditures'!$E$7:$AA$91,MATCH($C590,'Non-Labor Expenditures'!$C$7:$C$91,0),MATCH($G590,'Non-Labor Expenditures'!$E$5:$AA$5,0)),"NA")</f>
        <v>108048.33341520358</v>
      </c>
      <c r="W590" s="125">
        <f t="shared" si="1087"/>
        <v>1124.2270069941794</v>
      </c>
      <c r="X590" s="131">
        <f t="shared" si="1096"/>
        <v>7.7359897946446847E-3</v>
      </c>
      <c r="Y590" s="131">
        <f t="shared" si="1097"/>
        <v>2.2351966051607425E-4</v>
      </c>
      <c r="Z590" s="131"/>
      <c r="AA590" s="131"/>
      <c r="AB590" s="131"/>
      <c r="AC590" s="125">
        <f t="shared" si="1061"/>
        <v>69222.56582877785</v>
      </c>
      <c r="AD590" s="129"/>
      <c r="AE590" s="133">
        <v>5219.0929212916344</v>
      </c>
      <c r="AF590" s="134">
        <v>1.0834449746365793E-2</v>
      </c>
      <c r="AG590" s="59">
        <f t="shared" si="1088"/>
        <v>3.1304494880055343E-4</v>
      </c>
      <c r="AH590" s="134"/>
      <c r="AI590" s="134"/>
      <c r="AJ590" s="129">
        <f t="shared" si="1015"/>
        <v>251880.29033731684</v>
      </c>
      <c r="AK590" s="134">
        <f t="shared" si="1098"/>
        <v>1.8461769920183134E-2</v>
      </c>
      <c r="AL590" s="129"/>
      <c r="AM590" s="129"/>
      <c r="AN590" s="129"/>
      <c r="AO590" s="129"/>
      <c r="AP590" s="133">
        <f t="shared" si="1099"/>
        <v>345.3617811824347</v>
      </c>
      <c r="AQ590" s="134">
        <f>+BB590/Outputs!$B$18</f>
        <v>2.0619377170260248E-2</v>
      </c>
      <c r="AR590" s="93">
        <f t="shared" si="1089"/>
        <v>0.29620972325154493</v>
      </c>
      <c r="AS590" s="93">
        <f t="shared" si="1090"/>
        <v>0.42896700361312823</v>
      </c>
      <c r="AT590" s="93">
        <f t="shared" si="1091"/>
        <v>0.27482327313532684</v>
      </c>
      <c r="AU590" s="93">
        <f t="shared" ca="1" si="1094"/>
        <v>-3.5689725289280122E-3</v>
      </c>
      <c r="AV590" s="132">
        <f t="shared" ca="1" si="1102"/>
        <v>86.428243827088664</v>
      </c>
      <c r="AW590" s="134">
        <f t="shared" ca="1" si="1103"/>
        <v>-3.5689725289280091E-3</v>
      </c>
      <c r="AX590" s="56">
        <f>+AJ590/$AL$15</f>
        <v>2.8893479237887303E-2</v>
      </c>
      <c r="AY590" s="135">
        <f t="shared" ca="1" si="1101"/>
        <v>-1.0312003366517158E-4</v>
      </c>
      <c r="AZ590" s="93"/>
      <c r="BA590" s="93"/>
      <c r="BB590" s="234">
        <f>IFERROR(INDEX('Total Customers'!$E$7:$AA$91,MATCH($C590,'Total Customers'!$C$7:$C$91,0),MATCH($G590,'Total Customers'!$E$5:$AA$5,0)),"NA")</f>
        <v>729323</v>
      </c>
      <c r="BC590" s="411">
        <f t="shared" si="1076"/>
        <v>2.5851851656069108E-3</v>
      </c>
      <c r="BD590" s="92"/>
      <c r="BE590" s="281" t="str">
        <f t="shared" si="1062"/>
        <v>NATIONAL FUEL GAS DISTRIBUTION CORPORATION</v>
      </c>
      <c r="BF590" s="290">
        <f t="shared" si="1063"/>
        <v>4061687</v>
      </c>
      <c r="BG590" s="46" t="str">
        <f t="shared" si="1064"/>
        <v>NY</v>
      </c>
      <c r="BH590" s="46"/>
      <c r="BI590" s="46" t="str">
        <f t="shared" si="1065"/>
        <v>2010 Y</v>
      </c>
      <c r="BJ590" s="129"/>
      <c r="BK590" s="129"/>
      <c r="BL590" s="129">
        <f>INDEX('Dist. Plant Gas Additions'!$E$7:$AD$91,MATCH($C590,'Dist. Plant Gas Additions'!$C$7:$C$91,0),MATCH(Calculation!$G590,'Dist. Plant Gas Additions'!$E$5:$AD$5,0))</f>
        <v>48215</v>
      </c>
      <c r="BM590" s="129">
        <f>INDEX('Gen. Plant Additions'!$E$7:$AD$91,MATCH($C590,'Gen. Plant Additions'!$C$7:$C$91,0),MATCH(Calculation!$G590,'Gen. Plant Additions'!$E$5:$AD$5,0))</f>
        <v>5088</v>
      </c>
      <c r="BN590" s="393">
        <f t="shared" si="1066"/>
        <v>0.95858267726390101</v>
      </c>
      <c r="BO590" s="46">
        <f t="shared" si="1056"/>
        <v>4877.268661918728</v>
      </c>
      <c r="BP590" s="46">
        <f t="shared" si="1057"/>
        <v>-210.73133808127204</v>
      </c>
      <c r="BQ590" s="129">
        <f>INDEX('Dist Plant Depreciation'!$D$7:$AC$94,MATCH($C590,'Dist Plant Depreciation'!$C$7:$C$94,0),MATCH(Calculation!$G590,'Dist Plant Depreciation'!$D$5:$AC$5,0))</f>
        <v>539014</v>
      </c>
      <c r="BR590" s="129">
        <f>INDEX('Gen. Plant Depreciation'!$D$7:$AC$94,MATCH($C590,'Gen. Plant Depreciation'!$C$7:$C$94,0),MATCH(Calculation!$G590,'Gen. Plant Depreciation'!$D$5:$AC$5,0))</f>
        <v>29457</v>
      </c>
      <c r="BS590" s="129"/>
      <c r="BT590" s="129"/>
      <c r="BU590" s="129"/>
      <c r="BV590" s="129"/>
      <c r="BW590" s="129"/>
      <c r="BX590" s="129"/>
      <c r="BY590" s="129">
        <f>INDEX('Gross Dx Plant'!$D$7:$AC$91,MATCH($C590,'Gross Dx Plant'!$C$7:$C$91,0),MATCH(Calculation!$G590,'Gross Dx Plant'!$D$5:$AC$5,0))</f>
        <v>1531841</v>
      </c>
      <c r="BZ590" s="129">
        <f>INDEX('Gross Gen Plant'!$D$7:$AC$91,MATCH($C590,'Gross Gen Plant'!$C$7:$C$91,0),MATCH(Calculation!$G590,'Gross Gen Plant'!$D$5:$AC$5,0))</f>
        <v>66186</v>
      </c>
      <c r="CA590" s="129">
        <f t="shared" si="1077"/>
        <v>1029556</v>
      </c>
      <c r="CB590" s="129"/>
      <c r="CC590" s="133">
        <v>2010</v>
      </c>
      <c r="CD590" s="129"/>
      <c r="CE590" s="129"/>
      <c r="CF590" s="129"/>
      <c r="CG590" s="137"/>
      <c r="CH590" s="129">
        <f t="shared" si="1067"/>
        <v>53303</v>
      </c>
      <c r="CI590" s="46">
        <f t="shared" si="1078"/>
        <v>53092.26866191873</v>
      </c>
      <c r="CJ590" s="46">
        <f t="shared" si="1068"/>
        <v>93.309750736244609</v>
      </c>
      <c r="CK590" s="443">
        <v>0.8666666666666667</v>
      </c>
      <c r="CL590" s="46">
        <f>+CL578*CK590+CJ579*CK589+CJ580*CK588+CJ581*CK587+CJ582*CK586+CJ583*CK585+CJ584*CK584+CJ585*CK583+CJ586*CK582+CJ587*CK581+CJ588*CK580+CJ589*CK579+CJ590</f>
        <v>4912.2023008264878</v>
      </c>
      <c r="CM590" s="134">
        <f t="shared" si="1069"/>
        <v>5.4808529633790966E-3</v>
      </c>
      <c r="CN590" s="135">
        <f t="shared" si="1070"/>
        <v>1.3603999500435391E-2</v>
      </c>
      <c r="CO590" s="135">
        <f t="shared" si="1081"/>
        <v>1.3204934380995658E-2</v>
      </c>
      <c r="CP590" s="134">
        <f>VLOOKUP($H590,RoR!$E:$F,2,FALSE)</f>
        <v>4.9433333333333322E-2</v>
      </c>
      <c r="CQ590" s="135">
        <v>1.1684333519300205E-2</v>
      </c>
      <c r="CR590" s="135">
        <f t="shared" si="1079"/>
        <v>3.7748999814033117E-2</v>
      </c>
      <c r="CS590" s="135">
        <f t="shared" si="1082"/>
        <v>1.7697007227537968E-2</v>
      </c>
      <c r="CT590" s="135">
        <f t="shared" si="1083"/>
        <v>4.7937530248493419E-2</v>
      </c>
      <c r="CU590" s="139">
        <f t="shared" si="1071"/>
        <v>0.85329623209999994</v>
      </c>
      <c r="CV590" s="335">
        <f t="shared" si="1072"/>
        <v>1.037398205301105</v>
      </c>
      <c r="CW590" s="335">
        <f t="shared" si="1073"/>
        <v>0.46926837491571133</v>
      </c>
      <c r="CX590" s="335">
        <f t="shared" si="1074"/>
        <v>0.8548537519972772</v>
      </c>
      <c r="CY590" s="335">
        <f t="shared" si="1075"/>
        <v>0.41615833911547367</v>
      </c>
      <c r="CZ590" s="336">
        <f>INDEX('State Tax Lookup'!$D$7:$Z$91,MATCH(Calculation!$C590,'State Tax Lookup'!$B$7:$B$91,0),MATCH($H590,'State Tax Lookup'!$D$6:$Z$6,0))</f>
        <v>0.39649667</v>
      </c>
      <c r="DA590" s="303">
        <v>0.37</v>
      </c>
      <c r="DB590" s="57">
        <f t="shared" si="1080"/>
        <v>14.169409541315797</v>
      </c>
      <c r="DC590" s="56">
        <f t="shared" si="1084"/>
        <v>1.2320931184432801E-2</v>
      </c>
      <c r="DD590" s="303">
        <f>VLOOKUP($H590,RoR!$E:$F,2,FALSE)</f>
        <v>4.9433333333333322E-2</v>
      </c>
      <c r="DE590" s="304">
        <f>HLOOKUP($H590,'GDP-PI'!$D$8:$CQ$11,3,FALSE)</f>
        <v>1.1684333519300205E-2</v>
      </c>
      <c r="DF590" s="303">
        <f>VLOOKUP(H590,'HW Dx Data'!$E:$F,2,FALSE)</f>
        <v>568.98950262971744</v>
      </c>
      <c r="DG590" s="89">
        <f ca="1">VLOOKUP(CC590,'ECI - Input Price'!M$13:N$33,2,FALSE)</f>
        <v>116.925</v>
      </c>
      <c r="DH590" s="89"/>
      <c r="DI590" s="89"/>
      <c r="DJ590" s="56">
        <f t="shared" ca="1" si="1092"/>
        <v>5.2678406346976722E-2</v>
      </c>
      <c r="DK590" s="53">
        <f>HLOOKUP(H590,'GDP-PI'!$8:$9,2,FALSE)</f>
        <v>96.108999999999995</v>
      </c>
      <c r="DL590" s="355">
        <f t="shared" si="1085"/>
        <v>1.1616598807150427E-2</v>
      </c>
      <c r="EC590"/>
    </row>
    <row r="591" spans="1:133" s="126" customFormat="1" ht="21" customHeight="1" x14ac:dyDescent="0.4">
      <c r="A591" s="233" t="s">
        <v>216</v>
      </c>
      <c r="B591" s="127" t="s">
        <v>216</v>
      </c>
      <c r="C591" s="127">
        <v>4061687</v>
      </c>
      <c r="D591" s="127" t="s">
        <v>194</v>
      </c>
      <c r="E591" s="127" t="s">
        <v>15</v>
      </c>
      <c r="F591" s="127"/>
      <c r="G591" s="127" t="s">
        <v>167</v>
      </c>
      <c r="H591" s="128">
        <v>2011</v>
      </c>
      <c r="I591" s="129"/>
      <c r="J591" s="125">
        <f>IFERROR(INDEX('Labor Expenditures'!$E$7:$W$91,MATCH($C591,'Labor Expenditures'!$C$7:$C$91,0),MATCH($G591,'Labor Expenditures'!$E$5:$W$5,0)),"NA")</f>
        <v>75160.351402953835</v>
      </c>
      <c r="K591" s="125">
        <f t="shared" ca="1" si="1086"/>
        <v>621.80228668420955</v>
      </c>
      <c r="L591" s="47"/>
      <c r="M591" s="131">
        <f t="shared" ca="1" si="1093"/>
        <v>-2.5866785485024392E-2</v>
      </c>
      <c r="N591" s="131"/>
      <c r="O591" s="131"/>
      <c r="P591" s="59">
        <f t="shared" ca="1" si="1095"/>
        <v>-7.3358786519785375E-4</v>
      </c>
      <c r="Q591" s="61"/>
      <c r="R591" s="387"/>
      <c r="S591" s="49">
        <f t="shared" ca="1" si="1100"/>
        <v>117.02604853662881</v>
      </c>
      <c r="T591" s="61">
        <f ca="1">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</f>
        <v>0.18318378716949402</v>
      </c>
      <c r="U591" s="61"/>
      <c r="V591" s="125">
        <f>IFERROR(INDEX('Non-Labor Expenditures'!$E$7:$AA$91,MATCH($C591,'Non-Labor Expenditures'!$C$7:$C$91,0),MATCH($G591,'Non-Labor Expenditures'!$E$5:$AA$5,0)),"NA")</f>
        <v>108846.22684872222</v>
      </c>
      <c r="W591" s="125">
        <f t="shared" si="1087"/>
        <v>1109.4078894398465</v>
      </c>
      <c r="X591" s="131">
        <f t="shared" si="1096"/>
        <v>-1.3269254536364999E-2</v>
      </c>
      <c r="Y591" s="131">
        <f t="shared" si="1097"/>
        <v>-3.763190487559632E-4</v>
      </c>
      <c r="Z591" s="131"/>
      <c r="AA591" s="131"/>
      <c r="AB591" s="131"/>
      <c r="AC591" s="125">
        <f t="shared" si="1061"/>
        <v>73296.720509119521</v>
      </c>
      <c r="AD591" s="129"/>
      <c r="AE591" s="133">
        <v>5265.3453869782097</v>
      </c>
      <c r="AF591" s="134">
        <v>8.8231270726659549E-3</v>
      </c>
      <c r="AG591" s="59">
        <f t="shared" si="1088"/>
        <v>2.5022587199146528E-4</v>
      </c>
      <c r="AH591" s="134"/>
      <c r="AI591" s="134"/>
      <c r="AJ591" s="129">
        <f t="shared" si="1015"/>
        <v>257303.29876079556</v>
      </c>
      <c r="AK591" s="134">
        <f t="shared" si="1098"/>
        <v>2.1301603583876526E-2</v>
      </c>
      <c r="AL591" s="129"/>
      <c r="AM591" s="129"/>
      <c r="AN591" s="129"/>
      <c r="AO591" s="129"/>
      <c r="AP591" s="133">
        <f t="shared" si="1099"/>
        <v>351.4856310210377</v>
      </c>
      <c r="AQ591" s="134">
        <f>+BB591/Outputs!$B$19</f>
        <v>2.0596473790952283E-2</v>
      </c>
      <c r="AR591" s="93">
        <f t="shared" si="1089"/>
        <v>0.29210799770129403</v>
      </c>
      <c r="AS591" s="93">
        <f t="shared" si="1090"/>
        <v>0.42302693891970711</v>
      </c>
      <c r="AT591" s="93">
        <f t="shared" si="1091"/>
        <v>0.28486506337899892</v>
      </c>
      <c r="AU591" s="93">
        <f t="shared" ca="1" si="1094"/>
        <v>-1.0792505728839965E-2</v>
      </c>
      <c r="AV591" s="132">
        <f t="shared" ca="1" si="1102"/>
        <v>85.500481953436477</v>
      </c>
      <c r="AW591" s="134">
        <f t="shared" ca="1" si="1103"/>
        <v>-1.0792505728840052E-2</v>
      </c>
      <c r="AX591" s="56">
        <f>+AJ591/$AL$16</f>
        <v>2.836022534081652E-2</v>
      </c>
      <c r="AY591" s="135">
        <f t="shared" ca="1" si="1101"/>
        <v>-3.0607789446195712E-4</v>
      </c>
      <c r="AZ591" s="93"/>
      <c r="BA591" s="93"/>
      <c r="BB591" s="234">
        <f>IFERROR(INDEX('Total Customers'!$E$7:$AA$91,MATCH($C591,'Total Customers'!$C$7:$C$91,0),MATCH($G591,'Total Customers'!$E$5:$AA$5,0)),"NA")</f>
        <v>732045</v>
      </c>
      <c r="BC591" s="411">
        <f t="shared" si="1076"/>
        <v>3.7252808983477543E-3</v>
      </c>
      <c r="BD591" s="92"/>
      <c r="BE591" s="281" t="str">
        <f t="shared" si="1062"/>
        <v>NATIONAL FUEL GAS DISTRIBUTION CORPORATION</v>
      </c>
      <c r="BF591" s="290">
        <f t="shared" si="1063"/>
        <v>4061687</v>
      </c>
      <c r="BG591" s="46" t="str">
        <f t="shared" si="1064"/>
        <v>NY</v>
      </c>
      <c r="BH591" s="46"/>
      <c r="BI591" s="46" t="str">
        <f t="shared" si="1065"/>
        <v>2011 Y</v>
      </c>
      <c r="BJ591" s="129"/>
      <c r="BK591" s="129"/>
      <c r="BL591" s="129">
        <f>INDEX('Dist. Plant Gas Additions'!$E$7:$AD$91,MATCH($C591,'Dist. Plant Gas Additions'!$C$7:$C$91,0),MATCH(Calculation!$G591,'Dist. Plant Gas Additions'!$E$5:$AD$5,0))</f>
        <v>45129</v>
      </c>
      <c r="BM591" s="129">
        <f>INDEX('Gen. Plant Additions'!$E$7:$AD$91,MATCH($C591,'Gen. Plant Additions'!$C$7:$C$91,0),MATCH(Calculation!$G591,'Gen. Plant Additions'!$E$5:$AD$5,0))</f>
        <v>7162</v>
      </c>
      <c r="BN591" s="393">
        <f t="shared" si="1066"/>
        <v>0.95658974765523042</v>
      </c>
      <c r="BO591" s="46">
        <f t="shared" si="1056"/>
        <v>6851.0957727067598</v>
      </c>
      <c r="BP591" s="46">
        <f t="shared" si="1057"/>
        <v>-310.90422729324018</v>
      </c>
      <c r="BQ591" s="129">
        <f>INDEX('Dist Plant Depreciation'!$D$7:$AC$94,MATCH($C591,'Dist Plant Depreciation'!$C$7:$C$94,0),MATCH(Calculation!$G591,'Dist Plant Depreciation'!$D$5:$AC$5,0))</f>
        <v>562862</v>
      </c>
      <c r="BR591" s="129">
        <f>INDEX('Gen. Plant Depreciation'!$D$7:$AC$94,MATCH($C591,'Gen. Plant Depreciation'!$C$7:$C$94,0),MATCH(Calculation!$G591,'Gen. Plant Depreciation'!$D$5:$AC$5,0))</f>
        <v>32935</v>
      </c>
      <c r="BS591" s="129"/>
      <c r="BT591" s="129"/>
      <c r="BU591" s="129"/>
      <c r="BV591" s="129"/>
      <c r="BW591" s="129"/>
      <c r="BX591" s="129"/>
      <c r="BY591" s="129">
        <f>INDEX('Gross Dx Plant'!$D$7:$AC$91,MATCH($C591,'Gross Dx Plant'!$C$7:$C$91,0),MATCH(Calculation!$G591,'Gross Dx Plant'!$D$5:$AC$5,0))</f>
        <v>1568635</v>
      </c>
      <c r="BZ591" s="129">
        <f>INDEX('Gross Gen Plant'!$D$7:$AC$91,MATCH($C591,'Gross Gen Plant'!$C$7:$C$91,0),MATCH(Calculation!$G591,'Gross Gen Plant'!$D$5:$AC$5,0))</f>
        <v>71185</v>
      </c>
      <c r="CA591" s="129">
        <f t="shared" si="1077"/>
        <v>1044023</v>
      </c>
      <c r="CB591" s="129"/>
      <c r="CC591" s="133">
        <v>2011</v>
      </c>
      <c r="CD591" s="129"/>
      <c r="CE591" s="129"/>
      <c r="CF591" s="129"/>
      <c r="CG591" s="137"/>
      <c r="CH591" s="129">
        <f t="shared" si="1067"/>
        <v>52291</v>
      </c>
      <c r="CI591" s="46">
        <f t="shared" si="1078"/>
        <v>51980.095772706758</v>
      </c>
      <c r="CJ591" s="46">
        <f t="shared" si="1068"/>
        <v>84.988804327165795</v>
      </c>
      <c r="CK591" s="443">
        <v>0.8539325842696629</v>
      </c>
      <c r="CL591" s="46">
        <f>+CL578*CK591+CJ579*CK590+CJ580*CK589+CJ581*CK588+CJ582*CK587+CJ583*CK586+CJ584*CK585+CJ585*CK584+CJ586*CK583+CJ587*CK582+CJ588*CK581+CJ589*CK580+CJ590*CK579+CJ591</f>
        <v>4928.3302524776209</v>
      </c>
      <c r="CM591" s="134">
        <f t="shared" si="1069"/>
        <v>3.2778644863360553E-3</v>
      </c>
      <c r="CN591" s="135">
        <f t="shared" si="1070"/>
        <v>1.4018325887035782E-2</v>
      </c>
      <c r="CO591" s="135">
        <f t="shared" si="1081"/>
        <v>1.3606462239536689E-2</v>
      </c>
      <c r="CP591" s="134">
        <f>VLOOKUP($H591,RoR!$E:$F,2,FALSE)</f>
        <v>4.6391666666666664E-2</v>
      </c>
      <c r="CQ591" s="135">
        <v>2.0840920205183799E-2</v>
      </c>
      <c r="CR591" s="135">
        <f t="shared" si="1079"/>
        <v>2.5550746461482865E-2</v>
      </c>
      <c r="CS591" s="135">
        <f t="shared" si="1082"/>
        <v>1.7295479368996936E-2</v>
      </c>
      <c r="CT591" s="135">
        <f t="shared" si="1083"/>
        <v>2.4810540821321614E-2</v>
      </c>
      <c r="CU591" s="139">
        <f t="shared" si="1071"/>
        <v>0.85329623209999994</v>
      </c>
      <c r="CV591" s="335">
        <f t="shared" si="1072"/>
        <v>1.1054151524782025</v>
      </c>
      <c r="CW591" s="335">
        <f t="shared" si="1073"/>
        <v>0.43611011316687626</v>
      </c>
      <c r="CX591" s="335">
        <f t="shared" si="1074"/>
        <v>0.83698442246886229</v>
      </c>
      <c r="CY591" s="335">
        <f t="shared" si="1075"/>
        <v>0.40349573304423936</v>
      </c>
      <c r="CZ591" s="336">
        <f>INDEX('State Tax Lookup'!$D$7:$Z$91,MATCH(Calculation!$C591,'State Tax Lookup'!$B$7:$B$91,0),MATCH($H591,'State Tax Lookup'!$D$6:$Z$6,0))</f>
        <v>0.39649667</v>
      </c>
      <c r="DA591" s="303">
        <v>0.37</v>
      </c>
      <c r="DB591" s="57">
        <f t="shared" si="1080"/>
        <v>14.921356251306507</v>
      </c>
      <c r="DC591" s="56">
        <f t="shared" si="1084"/>
        <v>5.1708109003943348E-2</v>
      </c>
      <c r="DD591" s="303">
        <f>VLOOKUP($H591,RoR!$E:$F,2,FALSE)</f>
        <v>4.6391666666666664E-2</v>
      </c>
      <c r="DE591" s="304">
        <f>HLOOKUP($H591,'GDP-PI'!$D$8:$CQ$11,3,FALSE)</f>
        <v>2.0840920205183799E-2</v>
      </c>
      <c r="DF591" s="303">
        <f>VLOOKUP(H591,'HW Dx Data'!$E:$F,2,FALSE)</f>
        <v>611.61109612283201</v>
      </c>
      <c r="DG591" s="89">
        <f ca="1">VLOOKUP(CC591,'ECI - Input Price'!M$13:N$33,2,FALSE)</f>
        <v>120.875</v>
      </c>
      <c r="DH591" s="89"/>
      <c r="DI591" s="89"/>
      <c r="DJ591" s="56">
        <f t="shared" ca="1" si="1092"/>
        <v>3.3224250161508609E-2</v>
      </c>
      <c r="DK591" s="53">
        <f>HLOOKUP(H591,'GDP-PI'!$8:$9,2,FALSE)</f>
        <v>98.111999999999995</v>
      </c>
      <c r="DL591" s="355">
        <f t="shared" si="1085"/>
        <v>2.0626719212849295E-2</v>
      </c>
      <c r="EC591"/>
    </row>
    <row r="592" spans="1:133" s="126" customFormat="1" ht="21" customHeight="1" x14ac:dyDescent="0.4">
      <c r="A592" s="233" t="s">
        <v>216</v>
      </c>
      <c r="B592" s="127" t="s">
        <v>216</v>
      </c>
      <c r="C592" s="127">
        <v>4061687</v>
      </c>
      <c r="D592" s="127" t="s">
        <v>194</v>
      </c>
      <c r="E592" s="127" t="s">
        <v>15</v>
      </c>
      <c r="F592" s="127"/>
      <c r="G592" s="127" t="s">
        <v>168</v>
      </c>
      <c r="H592" s="128">
        <v>2012</v>
      </c>
      <c r="I592" s="129"/>
      <c r="J592" s="125">
        <f>IFERROR(INDEX('Labor Expenditures'!$E$7:$W$91,MATCH($C592,'Labor Expenditures'!$C$7:$C$91,0),MATCH($G592,'Labor Expenditures'!$E$5:$W$5,0)),"NA")</f>
        <v>75270.925039561829</v>
      </c>
      <c r="K592" s="125">
        <f t="shared" ca="1" si="1086"/>
        <v>603.13241217597613</v>
      </c>
      <c r="L592" s="47"/>
      <c r="M592" s="131">
        <f t="shared" ca="1" si="1093"/>
        <v>-3.0485413505615327E-2</v>
      </c>
      <c r="N592" s="131"/>
      <c r="O592" s="131"/>
      <c r="P592" s="59">
        <f t="shared" ca="1" si="1095"/>
        <v>-8.5227754343650557E-4</v>
      </c>
      <c r="Q592" s="61"/>
      <c r="R592" s="387"/>
      <c r="S592" s="49">
        <f t="shared" ca="1" si="1100"/>
        <v>115.98409407362463</v>
      </c>
      <c r="T592" s="61">
        <f ca="1">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</f>
        <v>-8.9434854334156828E-3</v>
      </c>
      <c r="U592" s="61"/>
      <c r="V592" s="125">
        <f>IFERROR(INDEX('Non-Labor Expenditures'!$E$7:$AA$91,MATCH($C592,'Non-Labor Expenditures'!$C$7:$C$91,0),MATCH($G592,'Non-Labor Expenditures'!$E$5:$AA$5,0)),"NA")</f>
        <v>109006.35812683713</v>
      </c>
      <c r="W592" s="125">
        <f t="shared" si="1087"/>
        <v>1090.0635812683713</v>
      </c>
      <c r="X592" s="131">
        <f t="shared" si="1096"/>
        <v>-1.7590414082489032E-2</v>
      </c>
      <c r="Y592" s="131">
        <f t="shared" si="1097"/>
        <v>-4.9177338203049788E-4</v>
      </c>
      <c r="Z592" s="131"/>
      <c r="AA592" s="131"/>
      <c r="AB592" s="131"/>
      <c r="AC592" s="125">
        <f t="shared" si="1061"/>
        <v>78192.131958644211</v>
      </c>
      <c r="AD592" s="129"/>
      <c r="AE592" s="133">
        <v>5311.5177807307828</v>
      </c>
      <c r="AF592" s="134">
        <v>8.7308848235734451E-3</v>
      </c>
      <c r="AG592" s="59">
        <f t="shared" si="1088"/>
        <v>2.4408844144730422E-4</v>
      </c>
      <c r="AH592" s="134"/>
      <c r="AI592" s="134"/>
      <c r="AJ592" s="129">
        <f t="shared" si="1015"/>
        <v>262469.41512504319</v>
      </c>
      <c r="AK592" s="134">
        <f t="shared" si="1098"/>
        <v>1.9879021549198416E-2</v>
      </c>
      <c r="AL592" s="129"/>
      <c r="AM592" s="129"/>
      <c r="AN592" s="129"/>
      <c r="AO592" s="129"/>
      <c r="AP592" s="133">
        <f t="shared" si="1099"/>
        <v>358.01454748513987</v>
      </c>
      <c r="AQ592" s="134">
        <f>+BB592/Outputs!$B$20</f>
        <v>2.0528009669424072E-2</v>
      </c>
      <c r="AR592" s="93">
        <f t="shared" si="1089"/>
        <v>0.28677979490944483</v>
      </c>
      <c r="AS592" s="93">
        <f t="shared" si="1090"/>
        <v>0.41531070610610138</v>
      </c>
      <c r="AT592" s="93">
        <f t="shared" si="1091"/>
        <v>0.29790949898445368</v>
      </c>
      <c r="AU592" s="93">
        <f t="shared" ca="1" si="1094"/>
        <v>-1.3653101232965103E-2</v>
      </c>
      <c r="AV592" s="132">
        <f t="shared" ca="1" si="1102"/>
        <v>84.341068025920663</v>
      </c>
      <c r="AW592" s="134">
        <f t="shared" ca="1" si="1103"/>
        <v>-1.3653101232965103E-2</v>
      </c>
      <c r="AX592" s="56">
        <f>+AJ592/$AL$17</f>
        <v>2.7956896280233116E-2</v>
      </c>
      <c r="AY592" s="135">
        <f t="shared" ca="1" si="1101"/>
        <v>-3.8169833507352825E-4</v>
      </c>
      <c r="AZ592" s="93"/>
      <c r="BA592" s="93"/>
      <c r="BB592" s="234">
        <f>IFERROR(INDEX('Total Customers'!$E$7:$AA$91,MATCH($C592,'Total Customers'!$C$7:$C$91,0),MATCH($G592,'Total Customers'!$E$5:$AA$5,0)),"NA")</f>
        <v>733125</v>
      </c>
      <c r="BC592" s="411">
        <f t="shared" si="1076"/>
        <v>1.474231926127875E-3</v>
      </c>
      <c r="BD592" s="92"/>
      <c r="BE592" s="281" t="str">
        <f t="shared" si="1062"/>
        <v>NATIONAL FUEL GAS DISTRIBUTION CORPORATION</v>
      </c>
      <c r="BF592" s="290">
        <f t="shared" si="1063"/>
        <v>4061687</v>
      </c>
      <c r="BG592" s="46" t="str">
        <f t="shared" si="1064"/>
        <v>NY</v>
      </c>
      <c r="BH592" s="46"/>
      <c r="BI592" s="46" t="str">
        <f t="shared" si="1065"/>
        <v>2012 Y</v>
      </c>
      <c r="BJ592" s="129"/>
      <c r="BK592" s="129"/>
      <c r="BL592" s="129">
        <f>INDEX('Dist. Plant Gas Additions'!$E$7:$AD$91,MATCH($C592,'Dist. Plant Gas Additions'!$C$7:$C$91,0),MATCH(Calculation!$G592,'Dist. Plant Gas Additions'!$E$5:$AD$5,0))</f>
        <v>51368</v>
      </c>
      <c r="BM592" s="129">
        <f>INDEX('Gen. Plant Additions'!$E$7:$AD$91,MATCH($C592,'Gen. Plant Additions'!$C$7:$C$91,0),MATCH(Calculation!$G592,'Gen. Plant Additions'!$E$5:$AD$5,0))</f>
        <v>7008</v>
      </c>
      <c r="BN592" s="393">
        <f t="shared" si="1066"/>
        <v>0.95677550930325084</v>
      </c>
      <c r="BO592" s="46">
        <f t="shared" si="1056"/>
        <v>6705.0827691971817</v>
      </c>
      <c r="BP592" s="46">
        <f t="shared" si="1057"/>
        <v>-302.91723080281827</v>
      </c>
      <c r="BQ592" s="129">
        <f>INDEX('Dist Plant Depreciation'!$D$7:$AC$94,MATCH($C592,'Dist Plant Depreciation'!$C$7:$C$94,0),MATCH(Calculation!$G592,'Dist Plant Depreciation'!$D$5:$AC$5,0))</f>
        <v>578188</v>
      </c>
      <c r="BR592" s="129">
        <f>INDEX('Gen. Plant Depreciation'!$D$7:$AC$94,MATCH($C592,'Gen. Plant Depreciation'!$C$7:$C$94,0),MATCH(Calculation!$G592,'Gen. Plant Depreciation'!$D$5:$AC$5,0))</f>
        <v>33495</v>
      </c>
      <c r="BS592" s="129"/>
      <c r="BT592" s="129"/>
      <c r="BU592" s="129"/>
      <c r="BV592" s="129"/>
      <c r="BW592" s="129"/>
      <c r="BX592" s="129"/>
      <c r="BY592" s="129">
        <f>INDEX('Gross Dx Plant'!$D$7:$AC$91,MATCH($C592,'Gross Dx Plant'!$C$7:$C$91,0),MATCH(Calculation!$G592,'Gross Dx Plant'!$D$5:$AC$5,0))</f>
        <v>1603993</v>
      </c>
      <c r="BZ592" s="129">
        <f>INDEX('Gross Gen Plant'!$D$7:$AC$91,MATCH($C592,'Gross Gen Plant'!$C$7:$C$91,0),MATCH(Calculation!$G592,'Gross Gen Plant'!$D$5:$AC$5,0))</f>
        <v>72464</v>
      </c>
      <c r="CA592" s="129">
        <f t="shared" si="1077"/>
        <v>1064774</v>
      </c>
      <c r="CB592" s="129"/>
      <c r="CC592" s="133">
        <v>2012</v>
      </c>
      <c r="CD592" s="129"/>
      <c r="CE592" s="129"/>
      <c r="CF592" s="129"/>
      <c r="CG592" s="137"/>
      <c r="CH592" s="129">
        <f t="shared" si="1067"/>
        <v>58376</v>
      </c>
      <c r="CI592" s="46">
        <f t="shared" si="1078"/>
        <v>58073.082769197179</v>
      </c>
      <c r="CJ592" s="46">
        <f t="shared" si="1068"/>
        <v>86.816273427096164</v>
      </c>
      <c r="CK592" s="443">
        <v>0.84090909090909094</v>
      </c>
      <c r="CL592" s="46">
        <f>+CL578*CK592+CJ579*CK591+CJ580*CK590+CJ581*CK589+CJ582*CK588+CJ583*CK587+CJ584*CK586+CJ585*CK585+CJ586*CK584+CJ587*CK583+CJ588*CK582+CJ589*CK581+CJ590*CK580+CJ591*CK579+CJ592</f>
        <v>4943.8992636289004</v>
      </c>
      <c r="CM592" s="134">
        <f t="shared" si="1069"/>
        <v>3.1541049634384788E-3</v>
      </c>
      <c r="CN592" s="135">
        <f t="shared" si="1070"/>
        <v>1.4456673685777962E-2</v>
      </c>
      <c r="CO592" s="135">
        <f t="shared" si="1081"/>
        <v>1.4026333024416379E-2</v>
      </c>
      <c r="CP592" s="134">
        <f>VLOOKUP($H592,RoR!$E:$F,2,FALSE)</f>
        <v>3.6733333333333333E-2</v>
      </c>
      <c r="CQ592" s="135">
        <v>1.924331376386168E-2</v>
      </c>
      <c r="CR592" s="135">
        <f t="shared" si="1079"/>
        <v>1.7490019569471653E-2</v>
      </c>
      <c r="CS592" s="135">
        <f t="shared" si="1082"/>
        <v>1.6875608584117248E-2</v>
      </c>
      <c r="CT592" s="135">
        <f t="shared" si="1083"/>
        <v>6.7122682943869583E-2</v>
      </c>
      <c r="CU592" s="139">
        <f t="shared" si="1071"/>
        <v>0.85329623209999994</v>
      </c>
      <c r="CV592" s="335">
        <f t="shared" si="1072"/>
        <v>1.3960631020522127</v>
      </c>
      <c r="CW592" s="335">
        <f t="shared" si="1073"/>
        <v>0.29441923774954631</v>
      </c>
      <c r="CX592" s="335">
        <f t="shared" si="1074"/>
        <v>0.76377954189366437</v>
      </c>
      <c r="CY592" s="335">
        <f t="shared" si="1075"/>
        <v>0.31393465103033691</v>
      </c>
      <c r="CZ592" s="336">
        <f>INDEX('State Tax Lookup'!$D$7:$Z$91,MATCH(Calculation!$C592,'State Tax Lookup'!$B$7:$B$91,0),MATCH($H592,'State Tax Lookup'!$D$6:$Z$6,0))</f>
        <v>0.39649667</v>
      </c>
      <c r="DA592" s="303">
        <v>0.37</v>
      </c>
      <c r="DB592" s="57">
        <f t="shared" si="1080"/>
        <v>15.865846636258732</v>
      </c>
      <c r="DC592" s="56">
        <f t="shared" si="1084"/>
        <v>6.1375296438521763E-2</v>
      </c>
      <c r="DD592" s="303">
        <f>VLOOKUP($H592,RoR!$E:$F,2,FALSE)</f>
        <v>3.6733333333333333E-2</v>
      </c>
      <c r="DE592" s="304">
        <f>HLOOKUP($H592,'GDP-PI'!$D$8:$CQ$11,3,FALSE)</f>
        <v>1.924331376386168E-2</v>
      </c>
      <c r="DF592" s="303">
        <f>VLOOKUP(H592,'HW Dx Data'!$E:$F,2,FALSE)</f>
        <v>668.91932211262167</v>
      </c>
      <c r="DG592" s="89">
        <f ca="1">VLOOKUP(CC592,'ECI - Input Price'!M$13:N$33,2,FALSE)</f>
        <v>124.80000000000001</v>
      </c>
      <c r="DH592" s="89"/>
      <c r="DI592" s="89"/>
      <c r="DJ592" s="56">
        <f t="shared" ca="1" si="1092"/>
        <v>3.1955502161869064E-2</v>
      </c>
      <c r="DK592" s="53">
        <f>HLOOKUP(H592,'GDP-PI'!$8:$9,2,FALSE)</f>
        <v>100</v>
      </c>
      <c r="DL592" s="355">
        <f t="shared" si="1085"/>
        <v>1.9060502738742411E-2</v>
      </c>
      <c r="EC592"/>
    </row>
    <row r="593" spans="1:133" s="126" customFormat="1" ht="21" customHeight="1" x14ac:dyDescent="0.4">
      <c r="A593" s="233" t="s">
        <v>216</v>
      </c>
      <c r="B593" s="127" t="s">
        <v>216</v>
      </c>
      <c r="C593" s="127">
        <v>4061687</v>
      </c>
      <c r="D593" s="127" t="s">
        <v>194</v>
      </c>
      <c r="E593" s="127" t="s">
        <v>15</v>
      </c>
      <c r="F593" s="127"/>
      <c r="G593" s="127" t="s">
        <v>169</v>
      </c>
      <c r="H593" s="128">
        <v>2013</v>
      </c>
      <c r="I593" s="129"/>
      <c r="J593" s="125">
        <f>IFERROR(INDEX('Labor Expenditures'!$E$7:$W$91,MATCH($C593,'Labor Expenditures'!$C$7:$C$91,0),MATCH($G593,'Labor Expenditures'!$E$5:$W$5,0)),"NA")</f>
        <v>78873.083559726889</v>
      </c>
      <c r="K593" s="125">
        <f t="shared" ca="1" si="1086"/>
        <v>622.02747286850865</v>
      </c>
      <c r="L593" s="47"/>
      <c r="M593" s="131">
        <f t="shared" ca="1" si="1093"/>
        <v>3.0847498726731822E-2</v>
      </c>
      <c r="N593" s="131"/>
      <c r="O593" s="131"/>
      <c r="P593" s="59">
        <f t="shared" ca="1" si="1095"/>
        <v>8.5258810646861587E-4</v>
      </c>
      <c r="Q593" s="61"/>
      <c r="R593" s="387"/>
      <c r="S593" s="49">
        <f t="shared" ca="1" si="1100"/>
        <v>108.506520573958</v>
      </c>
      <c r="T593" s="61">
        <f ca="1">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</f>
        <v>-6.6642793019021845E-2</v>
      </c>
      <c r="U593" s="61"/>
      <c r="V593" s="125">
        <f>IFERROR(INDEX('Non-Labor Expenditures'!$E$7:$AA$91,MATCH($C593,'Non-Labor Expenditures'!$C$7:$C$91,0),MATCH($G593,'Non-Labor Expenditures'!$E$5:$AA$5,0)),"NA")</f>
        <v>114222.95645444334</v>
      </c>
      <c r="W593" s="125">
        <f t="shared" si="1087"/>
        <v>1122.330642257213</v>
      </c>
      <c r="X593" s="131">
        <f t="shared" si="1096"/>
        <v>2.9171427778019364E-2</v>
      </c>
      <c r="Y593" s="131">
        <f t="shared" si="1097"/>
        <v>8.0626350267727284E-4</v>
      </c>
      <c r="Z593" s="131"/>
      <c r="AA593" s="131"/>
      <c r="AB593" s="131"/>
      <c r="AC593" s="125">
        <f t="shared" si="1061"/>
        <v>75845.556913969136</v>
      </c>
      <c r="AD593" s="129"/>
      <c r="AE593" s="133">
        <v>5341.8551835645367</v>
      </c>
      <c r="AF593" s="134">
        <v>5.6953764672850737E-3</v>
      </c>
      <c r="AG593" s="59">
        <f t="shared" si="1088"/>
        <v>1.5741341886045846E-4</v>
      </c>
      <c r="AH593" s="134"/>
      <c r="AI593" s="134"/>
      <c r="AJ593" s="129">
        <f t="shared" si="1015"/>
        <v>268941.59692813933</v>
      </c>
      <c r="AK593" s="134">
        <f t="shared" si="1098"/>
        <v>2.4359682804300627E-2</v>
      </c>
      <c r="AL593" s="129"/>
      <c r="AM593" s="129"/>
      <c r="AN593" s="129"/>
      <c r="AO593" s="129"/>
      <c r="AP593" s="133">
        <f t="shared" si="1099"/>
        <v>365.57965376321516</v>
      </c>
      <c r="AQ593" s="134">
        <f>+BB593/Outputs!$B$21</f>
        <v>2.0467651751944052E-2</v>
      </c>
      <c r="AR593" s="93">
        <f t="shared" si="1089"/>
        <v>0.29327216191402933</v>
      </c>
      <c r="AS593" s="93">
        <f t="shared" si="1090"/>
        <v>0.42471286613562975</v>
      </c>
      <c r="AT593" s="93">
        <f t="shared" si="1091"/>
        <v>0.28201497195034103</v>
      </c>
      <c r="AU593" s="93">
        <f t="shared" ca="1" si="1094"/>
        <v>2.2850363576799343E-2</v>
      </c>
      <c r="AV593" s="132">
        <f t="shared" ca="1" si="1102"/>
        <v>86.290479655752534</v>
      </c>
      <c r="AW593" s="134">
        <f t="shared" ca="1" si="1103"/>
        <v>2.2850363576799298E-2</v>
      </c>
      <c r="AX593" s="56">
        <f>+AJ593/$AL$18</f>
        <v>2.763880838512784E-2</v>
      </c>
      <c r="AY593" s="135">
        <f t="shared" ca="1" si="1101"/>
        <v>6.3155682042966021E-4</v>
      </c>
      <c r="AZ593" s="93"/>
      <c r="BA593" s="93"/>
      <c r="BB593" s="234">
        <f>IFERROR(INDEX('Total Customers'!$E$7:$AA$91,MATCH($C593,'Total Customers'!$C$7:$C$91,0),MATCH($G593,'Total Customers'!$E$5:$AA$5,0)),"NA")</f>
        <v>735658</v>
      </c>
      <c r="BC593" s="411">
        <f t="shared" si="1076"/>
        <v>3.4491174137140103E-3</v>
      </c>
      <c r="BD593" s="92"/>
      <c r="BE593" s="281" t="str">
        <f t="shared" si="1062"/>
        <v>NATIONAL FUEL GAS DISTRIBUTION CORPORATION</v>
      </c>
      <c r="BF593" s="290">
        <f t="shared" si="1063"/>
        <v>4061687</v>
      </c>
      <c r="BG593" s="46" t="str">
        <f t="shared" si="1064"/>
        <v>NY</v>
      </c>
      <c r="BH593" s="46"/>
      <c r="BI593" s="46" t="str">
        <f t="shared" si="1065"/>
        <v>2013 Y</v>
      </c>
      <c r="BJ593" s="129"/>
      <c r="BK593" s="129"/>
      <c r="BL593" s="129">
        <f>INDEX('Dist. Plant Gas Additions'!$E$7:$AD$91,MATCH($C593,'Dist. Plant Gas Additions'!$C$7:$C$91,0),MATCH(Calculation!$G593,'Dist. Plant Gas Additions'!$E$5:$AD$5,0))</f>
        <v>43554</v>
      </c>
      <c r="BM593" s="129">
        <f>INDEX('Gen. Plant Additions'!$E$7:$AD$91,MATCH($C593,'Gen. Plant Additions'!$C$7:$C$91,0),MATCH(Calculation!$G593,'Gen. Plant Additions'!$E$5:$AD$5,0))</f>
        <v>5120</v>
      </c>
      <c r="BN593" s="393">
        <f t="shared" si="1066"/>
        <v>0.95709607631783189</v>
      </c>
      <c r="BO593" s="46">
        <f t="shared" si="1056"/>
        <v>4900.3319107472989</v>
      </c>
      <c r="BP593" s="46">
        <f t="shared" si="1057"/>
        <v>-219.66808925270107</v>
      </c>
      <c r="BQ593" s="129">
        <f>INDEX('Dist Plant Depreciation'!$D$7:$AC$94,MATCH($C593,'Dist Plant Depreciation'!$C$7:$C$94,0),MATCH(Calculation!$G593,'Dist Plant Depreciation'!$D$5:$AC$5,0))</f>
        <v>609331</v>
      </c>
      <c r="BR593" s="129">
        <f>INDEX('Gen. Plant Depreciation'!$D$7:$AC$94,MATCH($C593,'Gen. Plant Depreciation'!$C$7:$C$94,0),MATCH(Calculation!$G593,'Gen. Plant Depreciation'!$D$5:$AC$5,0))</f>
        <v>35772</v>
      </c>
      <c r="BS593" s="129"/>
      <c r="BT593" s="129"/>
      <c r="BU593" s="129"/>
      <c r="BV593" s="129"/>
      <c r="BW593" s="129"/>
      <c r="BX593" s="129"/>
      <c r="BY593" s="129">
        <f>INDEX('Gross Dx Plant'!$D$7:$AC$91,MATCH($C593,'Gross Dx Plant'!$C$7:$C$91,0),MATCH(Calculation!$G593,'Gross Dx Plant'!$D$5:$AC$5,0))</f>
        <v>1636440</v>
      </c>
      <c r="BZ593" s="129">
        <f>INDEX('Gross Gen Plant'!$D$7:$AC$91,MATCH($C593,'Gross Gen Plant'!$C$7:$C$91,0),MATCH(Calculation!$G593,'Gross Gen Plant'!$D$5:$AC$5,0))</f>
        <v>73357</v>
      </c>
      <c r="CA593" s="129">
        <f t="shared" si="1077"/>
        <v>1064694</v>
      </c>
      <c r="CB593" s="129"/>
      <c r="CC593" s="133">
        <v>2013</v>
      </c>
      <c r="CD593" s="129"/>
      <c r="CE593" s="129"/>
      <c r="CF593" s="129"/>
      <c r="CG593" s="137"/>
      <c r="CH593" s="129">
        <f t="shared" si="1067"/>
        <v>48674</v>
      </c>
      <c r="CI593" s="46">
        <f t="shared" si="1078"/>
        <v>48454.3319107473</v>
      </c>
      <c r="CJ593" s="46">
        <f t="shared" si="1068"/>
        <v>73.056085035108822</v>
      </c>
      <c r="CK593" s="443">
        <v>0.82758620689655171</v>
      </c>
      <c r="CL593" s="46">
        <f>+CL578*CK593+CJ579*CK592+CJ580*CK591+CJ581*CK590+CJ582*CK589+CJ583*CK588+CJ584*CK587+CJ585*CK586+CJ586*CK585+CJ587*CK584+CJ588*CK583+CJ589*CK582+CJ590*CK581+CJ591*CK580+CJ592*CK579+CJ593</f>
        <v>4943.2341233246507</v>
      </c>
      <c r="CM593" s="134">
        <f t="shared" si="1069"/>
        <v>-1.3454664344488899E-4</v>
      </c>
      <c r="CN593" s="135">
        <f t="shared" si="1070"/>
        <v>1.4911554910050081E-2</v>
      </c>
      <c r="CO593" s="135">
        <f t="shared" si="1081"/>
        <v>1.4462184827621275E-2</v>
      </c>
      <c r="CP593" s="134">
        <f>VLOOKUP($H593,RoR!$E:$F,2,FALSE)</f>
        <v>4.2350000000000006E-2</v>
      </c>
      <c r="CQ593" s="135">
        <v>1.7730000000000024E-2</v>
      </c>
      <c r="CR593" s="135">
        <f t="shared" si="1079"/>
        <v>2.4619999999999982E-2</v>
      </c>
      <c r="CS593" s="135">
        <f t="shared" si="1082"/>
        <v>1.6439756780912348E-2</v>
      </c>
      <c r="CT593" s="135">
        <f t="shared" si="1083"/>
        <v>5.3376742735721204E-2</v>
      </c>
      <c r="CU593" s="139">
        <f t="shared" si="1071"/>
        <v>0.85329623209999994</v>
      </c>
      <c r="CV593" s="335">
        <f t="shared" si="1072"/>
        <v>1.2109103018193925</v>
      </c>
      <c r="CW593" s="335">
        <f t="shared" si="1073"/>
        <v>0.38468122786304604</v>
      </c>
      <c r="CX593" s="335">
        <f t="shared" si="1074"/>
        <v>0.80969194503422559</v>
      </c>
      <c r="CY593" s="335">
        <f t="shared" si="1075"/>
        <v>0.37716621754800816</v>
      </c>
      <c r="CZ593" s="336">
        <f>INDEX('State Tax Lookup'!$D$7:$Z$91,MATCH(Calculation!$C593,'State Tax Lookup'!$B$7:$B$91,0),MATCH($H593,'State Tax Lookup'!$D$6:$Z$6,0))</f>
        <v>0.39649667</v>
      </c>
      <c r="DA593" s="303">
        <v>0.37</v>
      </c>
      <c r="DB593" s="57">
        <f t="shared" si="1080"/>
        <v>15.341242381685847</v>
      </c>
      <c r="DC593" s="56">
        <f t="shared" si="1084"/>
        <v>-3.362400630566411E-2</v>
      </c>
      <c r="DD593" s="303">
        <f>VLOOKUP($H593,RoR!$E:$F,2,FALSE)</f>
        <v>4.2350000000000006E-2</v>
      </c>
      <c r="DE593" s="304">
        <f>HLOOKUP($H593,'GDP-PI'!$D$8:$CQ$11,3,FALSE)</f>
        <v>1.7730000000000024E-2</v>
      </c>
      <c r="DF593" s="303">
        <f>VLOOKUP(H593,'HW Dx Data'!$E:$F,2,FALSE)</f>
        <v>663.24840548821396</v>
      </c>
      <c r="DG593" s="89">
        <f ca="1">VLOOKUP(CC593,'ECI - Input Price'!M$13:N$33,2,FALSE)</f>
        <v>126.8</v>
      </c>
      <c r="DH593" s="89"/>
      <c r="DI593" s="89"/>
      <c r="DJ593" s="56">
        <f t="shared" ca="1" si="1092"/>
        <v>1.5898586067798204E-2</v>
      </c>
      <c r="DK593" s="53">
        <f>HLOOKUP(H593,'GDP-PI'!$8:$9,2,FALSE)</f>
        <v>101.773</v>
      </c>
      <c r="DL593" s="355">
        <f t="shared" si="1085"/>
        <v>1.7574657016510519E-2</v>
      </c>
      <c r="EC593"/>
    </row>
    <row r="594" spans="1:133" s="126" customFormat="1" ht="21" customHeight="1" x14ac:dyDescent="0.4">
      <c r="A594" s="233" t="s">
        <v>216</v>
      </c>
      <c r="B594" s="127" t="s">
        <v>216</v>
      </c>
      <c r="C594" s="127">
        <v>4061687</v>
      </c>
      <c r="D594" s="127" t="s">
        <v>194</v>
      </c>
      <c r="E594" s="127" t="s">
        <v>15</v>
      </c>
      <c r="F594" s="127"/>
      <c r="G594" s="127" t="s">
        <v>170</v>
      </c>
      <c r="H594" s="128">
        <v>2014</v>
      </c>
      <c r="I594" s="129"/>
      <c r="J594" s="125">
        <f>IFERROR(INDEX('Labor Expenditures'!$E$7:$W$91,MATCH($C594,'Labor Expenditures'!$C$7:$C$91,0),MATCH($G594,'Labor Expenditures'!$E$5:$W$5,0)),"NA")</f>
        <v>82248.839151750057</v>
      </c>
      <c r="K594" s="125">
        <f t="shared" ca="1" si="1086"/>
        <v>635.61699499034046</v>
      </c>
      <c r="L594" s="47"/>
      <c r="M594" s="131">
        <f t="shared" ca="1" si="1093"/>
        <v>2.1611912442021076E-2</v>
      </c>
      <c r="N594" s="131"/>
      <c r="O594" s="131"/>
      <c r="P594" s="59">
        <f t="shared" ca="1" si="1095"/>
        <v>6.0528816131938227E-4</v>
      </c>
      <c r="Q594" s="61"/>
      <c r="R594" s="387"/>
      <c r="S594" s="49">
        <f t="shared" ca="1" si="1100"/>
        <v>120.67183846066452</v>
      </c>
      <c r="T594" s="61">
        <f ca="1">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</f>
        <v>0.10626451377987481</v>
      </c>
      <c r="U594" s="61"/>
      <c r="V594" s="125">
        <f>IFERROR(INDEX('Non-Labor Expenditures'!$E$7:$AA$91,MATCH($C594,'Non-Labor Expenditures'!$C$7:$C$91,0),MATCH($G594,'Non-Labor Expenditures'!$E$5:$AA$5,0)),"NA")</f>
        <v>119111.68105586604</v>
      </c>
      <c r="W594" s="125">
        <f t="shared" si="1087"/>
        <v>1149.2052935045494</v>
      </c>
      <c r="X594" s="131">
        <f t="shared" si="1096"/>
        <v>2.3663200607439851E-2</v>
      </c>
      <c r="Y594" s="131">
        <f t="shared" si="1097"/>
        <v>6.6273890499204296E-4</v>
      </c>
      <c r="Z594" s="131"/>
      <c r="AA594" s="131"/>
      <c r="AB594" s="131"/>
      <c r="AC594" s="125">
        <f t="shared" si="1061"/>
        <v>76168.447287798044</v>
      </c>
      <c r="AD594" s="129"/>
      <c r="AE594" s="133">
        <v>5395.7527231223321</v>
      </c>
      <c r="AF594" s="134">
        <v>1.0039106045093549E-2</v>
      </c>
      <c r="AG594" s="59">
        <f t="shared" si="1088"/>
        <v>2.8116678964097778E-4</v>
      </c>
      <c r="AH594" s="134"/>
      <c r="AI594" s="134"/>
      <c r="AJ594" s="129">
        <f t="shared" si="1015"/>
        <v>277528.96749541414</v>
      </c>
      <c r="AK594" s="134">
        <f t="shared" si="1098"/>
        <v>3.143107087100986E-2</v>
      </c>
      <c r="AL594" s="129"/>
      <c r="AM594" s="129"/>
      <c r="AN594" s="129"/>
      <c r="AO594" s="129"/>
      <c r="AP594" s="133">
        <f t="shared" si="1099"/>
        <v>375.84823477487907</v>
      </c>
      <c r="AQ594" s="134">
        <f>+BB594/Outputs!$B$22</f>
        <v>2.0434353187178175E-2</v>
      </c>
      <c r="AR594" s="93">
        <f t="shared" si="1089"/>
        <v>0.29636127678495083</v>
      </c>
      <c r="AS594" s="93">
        <f t="shared" si="1090"/>
        <v>0.42918648143579546</v>
      </c>
      <c r="AT594" s="93">
        <f t="shared" si="1091"/>
        <v>0.2744522417792537</v>
      </c>
      <c r="AU594" s="93">
        <f t="shared" ca="1" si="1094"/>
        <v>1.9267765589721968E-2</v>
      </c>
      <c r="AV594" s="132">
        <f t="shared" ca="1" si="1102"/>
        <v>87.969225293679543</v>
      </c>
      <c r="AW594" s="134">
        <f t="shared" ca="1" si="1103"/>
        <v>1.9267765589722041E-2</v>
      </c>
      <c r="AX594" s="56">
        <f>+AJ594/$AL$19</f>
        <v>2.8007154061132116E-2</v>
      </c>
      <c r="AY594" s="135">
        <f t="shared" ca="1" si="1101"/>
        <v>5.3963527928512531E-4</v>
      </c>
      <c r="AZ594" s="93"/>
      <c r="BA594" s="93"/>
      <c r="BB594" s="234">
        <f>IFERROR(INDEX('Total Customers'!$E$7:$AA$91,MATCH($C594,'Total Customers'!$C$7:$C$91,0),MATCH($G594,'Total Customers'!$E$5:$AA$5,0)),"NA")</f>
        <v>738407</v>
      </c>
      <c r="BC594" s="411">
        <f t="shared" si="1076"/>
        <v>3.7298262789169884E-3</v>
      </c>
      <c r="BD594" s="92"/>
      <c r="BE594" s="281" t="str">
        <f t="shared" si="1062"/>
        <v>NATIONAL FUEL GAS DISTRIBUTION CORPORATION</v>
      </c>
      <c r="BF594" s="290">
        <f t="shared" si="1063"/>
        <v>4061687</v>
      </c>
      <c r="BG594" s="46" t="str">
        <f t="shared" si="1064"/>
        <v>NY</v>
      </c>
      <c r="BH594" s="46"/>
      <c r="BI594" s="46" t="str">
        <f t="shared" si="1065"/>
        <v>2014 Y</v>
      </c>
      <c r="BJ594" s="129"/>
      <c r="BK594" s="129"/>
      <c r="BL594" s="129">
        <f>INDEX('Dist. Plant Gas Additions'!$E$7:$AD$91,MATCH($C594,'Dist. Plant Gas Additions'!$C$7:$C$91,0),MATCH(Calculation!$G594,'Dist. Plant Gas Additions'!$E$5:$AD$5,0))</f>
        <v>53890</v>
      </c>
      <c r="BM594" s="129">
        <f>INDEX('Gen. Plant Additions'!$E$7:$AD$91,MATCH($C594,'Gen. Plant Additions'!$C$7:$C$91,0),MATCH(Calculation!$G594,'Gen. Plant Additions'!$E$5:$AD$5,0))</f>
        <v>13825</v>
      </c>
      <c r="BN594" s="393">
        <f t="shared" si="1066"/>
        <v>0.9529971528026161</v>
      </c>
      <c r="BO594" s="46">
        <f t="shared" si="1056"/>
        <v>13175.185637496168</v>
      </c>
      <c r="BP594" s="46">
        <f t="shared" si="1057"/>
        <v>-649.81436250383194</v>
      </c>
      <c r="BQ594" s="129">
        <f>INDEX('Dist Plant Depreciation'!$D$7:$AC$94,MATCH($C594,'Dist Plant Depreciation'!$C$7:$C$94,0),MATCH(Calculation!$G594,'Dist Plant Depreciation'!$D$5:$AC$5,0))</f>
        <v>634858</v>
      </c>
      <c r="BR594" s="129">
        <f>INDEX('Gen. Plant Depreciation'!$D$7:$AC$94,MATCH($C594,'Gen. Plant Depreciation'!$C$7:$C$94,0),MATCH(Calculation!$G594,'Gen. Plant Depreciation'!$D$5:$AC$5,0))</f>
        <v>38572</v>
      </c>
      <c r="BS594" s="129"/>
      <c r="BT594" s="129"/>
      <c r="BU594" s="129"/>
      <c r="BV594" s="129"/>
      <c r="BW594" s="129"/>
      <c r="BX594" s="129"/>
      <c r="BY594" s="129">
        <f>INDEX('Gross Dx Plant'!$D$7:$AC$91,MATCH($C594,'Gross Dx Plant'!$C$7:$C$91,0),MATCH(Calculation!$G594,'Gross Dx Plant'!$D$5:$AC$5,0))</f>
        <v>1681269</v>
      </c>
      <c r="BZ594" s="129">
        <f>INDEX('Gross Gen Plant'!$D$7:$AC$91,MATCH($C594,'Gross Gen Plant'!$C$7:$C$91,0),MATCH(Calculation!$G594,'Gross Gen Plant'!$D$5:$AC$5,0))</f>
        <v>82922</v>
      </c>
      <c r="CA594" s="129">
        <f t="shared" si="1077"/>
        <v>1090761</v>
      </c>
      <c r="CB594" s="129"/>
      <c r="CC594" s="133">
        <v>2014</v>
      </c>
      <c r="CD594" s="129"/>
      <c r="CE594" s="129"/>
      <c r="CF594" s="129"/>
      <c r="CG594" s="137"/>
      <c r="CH594" s="129">
        <f t="shared" si="1067"/>
        <v>67715</v>
      </c>
      <c r="CI594" s="46">
        <f t="shared" si="1078"/>
        <v>67065.185637496164</v>
      </c>
      <c r="CJ594" s="46">
        <f t="shared" si="1068"/>
        <v>97.981313457327531</v>
      </c>
      <c r="CK594" s="443">
        <v>0.81395348837209303</v>
      </c>
      <c r="CL594" s="46">
        <f>+CL578*CK594+CJ579*CK593+CJ580*CK592+CJ581*CK591+CJ582*CK590+CJ583*CK589+CJ584*CK588+CJ585*CK587+CJ586*CK586+CJ587*CK585+CJ588*CK584+CJ589*CK583+CJ590*CK582+CJ591*CK581+CJ592*CK580+CJ593*CK579+CJ594</f>
        <v>4965.0837361918902</v>
      </c>
      <c r="CM594" s="134">
        <f t="shared" si="1069"/>
        <v>4.410364825594074E-3</v>
      </c>
      <c r="CN594" s="135">
        <f t="shared" si="1070"/>
        <v>1.5401192557491974E-2</v>
      </c>
      <c r="CO594" s="135">
        <f t="shared" si="1081"/>
        <v>1.4923140384440004E-2</v>
      </c>
      <c r="CP594" s="134">
        <f>VLOOKUP($H594,RoR!$E:$F,2,FALSE)</f>
        <v>4.1625000000000002E-2</v>
      </c>
      <c r="CQ594" s="135">
        <v>1.841352814597208E-2</v>
      </c>
      <c r="CR594" s="135">
        <f t="shared" si="1079"/>
        <v>2.3211471854027922E-2</v>
      </c>
      <c r="CS594" s="135">
        <f t="shared" si="1082"/>
        <v>1.5978801224093619E-2</v>
      </c>
      <c r="CT594" s="135">
        <f t="shared" si="1083"/>
        <v>3.9072621432650924E-2</v>
      </c>
      <c r="CU594" s="139">
        <f t="shared" si="1071"/>
        <v>0.85329623209999994</v>
      </c>
      <c r="CV594" s="335">
        <f t="shared" si="1072"/>
        <v>1.2320012320012319</v>
      </c>
      <c r="CW594" s="335">
        <f t="shared" si="1073"/>
        <v>0.37439939939939942</v>
      </c>
      <c r="CX594" s="335">
        <f t="shared" si="1074"/>
        <v>0.80432100613819935</v>
      </c>
      <c r="CY594" s="335">
        <f t="shared" si="1075"/>
        <v>0.37100152660040037</v>
      </c>
      <c r="CZ594" s="336">
        <f>INDEX('State Tax Lookup'!$D$7:$Z$91,MATCH(Calculation!$C594,'State Tax Lookup'!$B$7:$B$91,0),MATCH($H594,'State Tax Lookup'!$D$6:$Z$6,0))</f>
        <v>0.39649667</v>
      </c>
      <c r="DA594" s="303">
        <v>0.37</v>
      </c>
      <c r="DB594" s="57">
        <f t="shared" si="1080"/>
        <v>15.408626293542767</v>
      </c>
      <c r="DC594" s="56">
        <f t="shared" si="1084"/>
        <v>4.3827191868059884E-3</v>
      </c>
      <c r="DD594" s="303">
        <f>VLOOKUP($H594,RoR!$E:$F,2,FALSE)</f>
        <v>4.1625000000000002E-2</v>
      </c>
      <c r="DE594" s="304">
        <f>HLOOKUP($H594,'GDP-PI'!$D$8:$CQ$11,3,FALSE)</f>
        <v>1.841352814597208E-2</v>
      </c>
      <c r="DF594" s="303">
        <f>VLOOKUP(H594,'HW Dx Data'!$E:$F,2,FALSE)</f>
        <v>684.46914285042885</v>
      </c>
      <c r="DG594" s="89">
        <f ca="1">VLOOKUP(CC594,'ECI - Input Price'!M$13:N$33,2,FALSE)</f>
        <v>129.4</v>
      </c>
      <c r="DH594" s="89"/>
      <c r="DI594" s="89"/>
      <c r="DJ594" s="56">
        <f t="shared" ca="1" si="1092"/>
        <v>2.0297340063674733E-2</v>
      </c>
      <c r="DK594" s="53">
        <f>HLOOKUP(H594,'GDP-PI'!$8:$9,2,FALSE)</f>
        <v>103.64700000000001</v>
      </c>
      <c r="DL594" s="355">
        <f t="shared" si="1085"/>
        <v>1.8246051898256087E-2</v>
      </c>
      <c r="EC594"/>
    </row>
    <row r="595" spans="1:133" s="126" customFormat="1" ht="21" customHeight="1" x14ac:dyDescent="0.4">
      <c r="A595" s="233" t="s">
        <v>216</v>
      </c>
      <c r="B595" s="127" t="s">
        <v>216</v>
      </c>
      <c r="C595" s="127">
        <v>4061687</v>
      </c>
      <c r="D595" s="127" t="s">
        <v>194</v>
      </c>
      <c r="E595" s="127" t="s">
        <v>15</v>
      </c>
      <c r="F595" s="127"/>
      <c r="G595" s="127" t="s">
        <v>171</v>
      </c>
      <c r="H595" s="128">
        <v>2015</v>
      </c>
      <c r="I595" s="129"/>
      <c r="J595" s="125">
        <f>IFERROR(INDEX('Labor Expenditures'!$E$7:$W$91,MATCH($C595,'Labor Expenditures'!$C$7:$C$91,0),MATCH($G595,'Labor Expenditures'!$E$5:$W$5,0)),"NA")</f>
        <v>83719.991389992079</v>
      </c>
      <c r="K595" s="125">
        <f t="shared" ca="1" si="1086"/>
        <v>627.1160403744725</v>
      </c>
      <c r="L595" s="47"/>
      <c r="M595" s="131">
        <f t="shared" ca="1" si="1093"/>
        <v>-1.3464576927962719E-2</v>
      </c>
      <c r="N595" s="131"/>
      <c r="O595" s="131"/>
      <c r="P595" s="59">
        <f t="shared" ca="1" si="1095"/>
        <v>-3.7642989512139829E-4</v>
      </c>
      <c r="Q595" s="61"/>
      <c r="R595" s="387"/>
      <c r="S595" s="49">
        <f t="shared" ca="1" si="1100"/>
        <v>119.06379869237595</v>
      </c>
      <c r="T595" s="61">
        <f ca="1">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</f>
        <v>-1.3415309496409759E-2</v>
      </c>
      <c r="U595" s="61"/>
      <c r="V595" s="125">
        <f>IFERROR(INDEX('Non-Labor Expenditures'!$E$7:$AA$91,MATCH($C595,'Non-Labor Expenditures'!$C$7:$C$91,0),MATCH($G595,'Non-Labor Expenditures'!$E$5:$AA$5,0)),"NA")</f>
        <v>121242.1842701765</v>
      </c>
      <c r="W595" s="125">
        <f t="shared" si="1087"/>
        <v>1158.6710907995728</v>
      </c>
      <c r="X595" s="131">
        <f t="shared" si="1096"/>
        <v>8.203082660098393E-3</v>
      </c>
      <c r="Y595" s="131">
        <f t="shared" si="1097"/>
        <v>2.2933401932593932E-4</v>
      </c>
      <c r="Z595" s="131"/>
      <c r="AA595" s="131"/>
      <c r="AB595" s="131"/>
      <c r="AC595" s="125">
        <f t="shared" si="1061"/>
        <v>73505.898571497775</v>
      </c>
      <c r="AD595" s="129"/>
      <c r="AE595" s="133">
        <v>5378.3162940991515</v>
      </c>
      <c r="AF595" s="134">
        <v>-3.2367426304844567E-3</v>
      </c>
      <c r="AG595" s="59">
        <f t="shared" si="1088"/>
        <v>-9.0489786307201554E-5</v>
      </c>
      <c r="AH595" s="134"/>
      <c r="AI595" s="134"/>
      <c r="AJ595" s="129">
        <f t="shared" si="1015"/>
        <v>278468.07423166634</v>
      </c>
      <c r="AK595" s="134">
        <f t="shared" si="1098"/>
        <v>3.3781029711686542E-3</v>
      </c>
      <c r="AL595" s="129"/>
      <c r="AM595" s="129"/>
      <c r="AN595" s="129"/>
      <c r="AO595" s="129"/>
      <c r="AP595" s="133">
        <f t="shared" si="1099"/>
        <v>375.97541936754135</v>
      </c>
      <c r="AQ595" s="134">
        <f>+BB595/Outputs!$B$23</f>
        <v>2.0329899630564589E-2</v>
      </c>
      <c r="AR595" s="93">
        <f t="shared" si="1089"/>
        <v>0.30064484634724337</v>
      </c>
      <c r="AS595" s="93">
        <f t="shared" si="1090"/>
        <v>0.4353898902224293</v>
      </c>
      <c r="AT595" s="93">
        <f t="shared" si="1091"/>
        <v>0.26396526343032739</v>
      </c>
      <c r="AU595" s="93">
        <f t="shared" ca="1" si="1094"/>
        <v>-1.344481160404391E-3</v>
      </c>
      <c r="AV595" s="132">
        <f t="shared" ca="1" si="1102"/>
        <v>87.851031799843867</v>
      </c>
      <c r="AW595" s="134">
        <f t="shared" ca="1" si="1103"/>
        <v>-1.3444811604043107E-3</v>
      </c>
      <c r="AX595" s="56">
        <f>+AJ595/$AL$20</f>
        <v>2.7957053321121667E-2</v>
      </c>
      <c r="AY595" s="135">
        <f t="shared" ca="1" si="1101"/>
        <v>-3.7587731490666844E-5</v>
      </c>
      <c r="AZ595" s="93"/>
      <c r="BA595" s="93"/>
      <c r="BB595" s="234">
        <f>IFERROR(INDEX('Total Customers'!$E$7:$AA$91,MATCH($C595,'Total Customers'!$C$7:$C$91,0),MATCH($G595,'Total Customers'!$E$5:$AA$5,0)),"NA")</f>
        <v>740655</v>
      </c>
      <c r="BC595" s="411">
        <f t="shared" si="1076"/>
        <v>3.0397667318798668E-3</v>
      </c>
      <c r="BD595" s="92"/>
      <c r="BE595" s="281" t="str">
        <f t="shared" si="1062"/>
        <v>NATIONAL FUEL GAS DISTRIBUTION CORPORATION</v>
      </c>
      <c r="BF595" s="290">
        <f t="shared" si="1063"/>
        <v>4061687</v>
      </c>
      <c r="BG595" s="46" t="str">
        <f t="shared" si="1064"/>
        <v>NY</v>
      </c>
      <c r="BH595" s="46"/>
      <c r="BI595" s="46" t="str">
        <f t="shared" si="1065"/>
        <v>2015 Y</v>
      </c>
      <c r="BJ595" s="129"/>
      <c r="BK595" s="129"/>
      <c r="BL595" s="129">
        <f>INDEX('Dist. Plant Gas Additions'!$E$7:$AD$91,MATCH($C595,'Dist. Plant Gas Additions'!$C$7:$C$91,0),MATCH(Calculation!$G595,'Dist. Plant Gas Additions'!$E$5:$AD$5,0))</f>
        <v>13136</v>
      </c>
      <c r="BM595" s="129">
        <f>INDEX('Gen. Plant Additions'!$E$7:$AD$91,MATCH($C595,'Gen. Plant Additions'!$C$7:$C$91,0),MATCH(Calculation!$G595,'Gen. Plant Additions'!$E$5:$AD$5,0))</f>
        <v>7005</v>
      </c>
      <c r="BN595" s="393">
        <f t="shared" si="1066"/>
        <v>0.95049956116828105</v>
      </c>
      <c r="BO595" s="46">
        <f t="shared" si="1056"/>
        <v>6658.2494259838086</v>
      </c>
      <c r="BP595" s="46">
        <f t="shared" si="1057"/>
        <v>-346.75057401619142</v>
      </c>
      <c r="BQ595" s="129">
        <f>INDEX('Dist Plant Depreciation'!$D$7:$AC$94,MATCH($C595,'Dist Plant Depreciation'!$C$7:$C$94,0),MATCH(Calculation!$G595,'Dist Plant Depreciation'!$D$5:$AC$5,0))</f>
        <v>656825</v>
      </c>
      <c r="BR595" s="129">
        <f>INDEX('Gen. Plant Depreciation'!$D$7:$AC$94,MATCH($C595,'Gen. Plant Depreciation'!$C$7:$C$94,0),MATCH(Calculation!$G595,'Gen. Plant Depreciation'!$D$5:$AC$5,0))</f>
        <v>42604</v>
      </c>
      <c r="BS595" s="129"/>
      <c r="BT595" s="129"/>
      <c r="BU595" s="129"/>
      <c r="BV595" s="129"/>
      <c r="BW595" s="129"/>
      <c r="BX595" s="129"/>
      <c r="BY595" s="129">
        <f>INDEX('Gross Dx Plant'!$D$7:$AC$91,MATCH($C595,'Gross Dx Plant'!$C$7:$C$91,0),MATCH(Calculation!$G595,'Gross Dx Plant'!$D$5:$AC$5,0))</f>
        <v>1720869</v>
      </c>
      <c r="BZ595" s="129">
        <f>INDEX('Gross Gen Plant'!$D$7:$AC$91,MATCH($C595,'Gross Gen Plant'!$C$7:$C$91,0),MATCH(Calculation!$G595,'Gross Gen Plant'!$D$5:$AC$5,0))</f>
        <v>89620</v>
      </c>
      <c r="CA595" s="129">
        <f t="shared" si="1077"/>
        <v>1111060</v>
      </c>
      <c r="CB595" s="129"/>
      <c r="CC595" s="133">
        <v>2015</v>
      </c>
      <c r="CD595" s="129"/>
      <c r="CE595" s="129"/>
      <c r="CF595" s="129"/>
      <c r="CG595" s="137"/>
      <c r="CH595" s="129">
        <f t="shared" si="1067"/>
        <v>20141</v>
      </c>
      <c r="CI595" s="46">
        <f t="shared" si="1078"/>
        <v>19794.249425983809</v>
      </c>
      <c r="CJ595" s="46">
        <f t="shared" si="1068"/>
        <v>29.298136032889769</v>
      </c>
      <c r="CK595" s="443">
        <v>0.8</v>
      </c>
      <c r="CL595" s="46">
        <f>+CL578*CK595+CJ579*CK594+CJ580*CK593+CJ581*CK592+CJ582*CK591+CJ583*CK590+CJ584*CK589+CJ585*CK588+CJ586*CK587+CJ587*CK586+CJ588*CK585+CJ589*CK584+CJ590*CK583+CJ591*CK582+CJ592*CK581+CJ593*CK580+CJ594*CK579+CJ595</f>
        <v>4915.5197823467579</v>
      </c>
      <c r="CM595" s="134">
        <f t="shared" si="1069"/>
        <v>-1.0032660350504605E-2</v>
      </c>
      <c r="CN595" s="135">
        <f t="shared" si="1070"/>
        <v>1.58833353208475E-2</v>
      </c>
      <c r="CO595" s="135">
        <f t="shared" si="1081"/>
        <v>1.539869426279652E-2</v>
      </c>
      <c r="CP595" s="134">
        <f>VLOOKUP($H595,RoR!$E:$F,2,FALSE)</f>
        <v>3.8866666666666674E-2</v>
      </c>
      <c r="CQ595" s="135">
        <v>9.5709475431029478E-3</v>
      </c>
      <c r="CR595" s="135">
        <f t="shared" si="1079"/>
        <v>2.9295719123563727E-2</v>
      </c>
      <c r="CS595" s="135">
        <f t="shared" si="1082"/>
        <v>1.5503247345737105E-2</v>
      </c>
      <c r="CT595" s="135">
        <f t="shared" si="1083"/>
        <v>3.5270373279175926E-3</v>
      </c>
      <c r="CU595" s="139">
        <f t="shared" si="1071"/>
        <v>0.85329623209999994</v>
      </c>
      <c r="CV595" s="335">
        <f t="shared" si="1072"/>
        <v>1.3194352816994324</v>
      </c>
      <c r="CW595" s="335">
        <f t="shared" si="1073"/>
        <v>0.33177530017152673</v>
      </c>
      <c r="CX595" s="335">
        <f t="shared" si="1074"/>
        <v>0.78242572977668579</v>
      </c>
      <c r="CY595" s="335">
        <f t="shared" si="1075"/>
        <v>0.34251158643433932</v>
      </c>
      <c r="CZ595" s="336">
        <f>INDEX('State Tax Lookup'!$D$7:$Z$91,MATCH(Calculation!$C595,'State Tax Lookup'!$B$7:$B$91,0),MATCH($H595,'State Tax Lookup'!$D$6:$Z$6,0))</f>
        <v>0.39649667</v>
      </c>
      <c r="DA595" s="303">
        <v>0.37</v>
      </c>
      <c r="DB595" s="57">
        <f t="shared" si="1080"/>
        <v>14.804563724815482</v>
      </c>
      <c r="DC595" s="56">
        <f t="shared" si="1084"/>
        <v>-3.9992008504287982E-2</v>
      </c>
      <c r="DD595" s="303">
        <f>VLOOKUP($H595,RoR!$E:$F,2,FALSE)</f>
        <v>3.8866666666666674E-2</v>
      </c>
      <c r="DE595" s="304">
        <f>HLOOKUP($H595,'GDP-PI'!$D$8:$CQ$11,3,FALSE)</f>
        <v>9.5709475431029478E-3</v>
      </c>
      <c r="DF595" s="303">
        <f>VLOOKUP(H595,'HW Dx Data'!$E:$F,2,FALSE)</f>
        <v>675.61463308665782</v>
      </c>
      <c r="DG595" s="89">
        <f ca="1">VLOOKUP(CC595,'ECI - Input Price'!M$13:N$33,2,FALSE)</f>
        <v>133.5</v>
      </c>
      <c r="DH595" s="89"/>
      <c r="DI595" s="89"/>
      <c r="DJ595" s="56">
        <f t="shared" ca="1" si="1092"/>
        <v>3.1193095773504077E-2</v>
      </c>
      <c r="DK595" s="53">
        <f>HLOOKUP(H595,'GDP-PI'!$8:$9,2,FALSE)</f>
        <v>104.639</v>
      </c>
      <c r="DL595" s="355">
        <f t="shared" si="1085"/>
        <v>9.5254361854427965E-3</v>
      </c>
      <c r="EC595"/>
    </row>
    <row r="596" spans="1:133" s="126" customFormat="1" ht="21" customHeight="1" x14ac:dyDescent="0.4">
      <c r="A596" s="233" t="s">
        <v>216</v>
      </c>
      <c r="B596" s="127" t="s">
        <v>216</v>
      </c>
      <c r="C596" s="127">
        <v>4061687</v>
      </c>
      <c r="D596" s="127" t="s">
        <v>194</v>
      </c>
      <c r="E596" s="127" t="s">
        <v>15</v>
      </c>
      <c r="F596" s="127"/>
      <c r="G596" s="127" t="s">
        <v>172</v>
      </c>
      <c r="H596" s="128">
        <v>2016</v>
      </c>
      <c r="I596" s="129"/>
      <c r="J596" s="125">
        <f>IFERROR(INDEX('Labor Expenditures'!$E$7:$W$91,MATCH($C596,'Labor Expenditures'!$C$7:$C$91,0),MATCH($G596,'Labor Expenditures'!$E$5:$W$5,0)),"NA")</f>
        <v>81311.941241804627</v>
      </c>
      <c r="K596" s="125">
        <f t="shared" ca="1" si="1086"/>
        <v>593.73451071051215</v>
      </c>
      <c r="L596" s="47"/>
      <c r="M596" s="131">
        <f t="shared" ca="1" si="1093"/>
        <v>-5.4699328092549709E-2</v>
      </c>
      <c r="N596" s="131"/>
      <c r="O596" s="131"/>
      <c r="P596" s="59">
        <f t="shared" ca="1" si="1095"/>
        <v>-1.4307147901556874E-3</v>
      </c>
      <c r="Q596" s="61"/>
      <c r="R596" s="387"/>
      <c r="S596" s="49">
        <f t="shared" ca="1" si="1100"/>
        <v>299.61040790452302</v>
      </c>
      <c r="T596" s="61">
        <f ca="1">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</f>
        <v>0.92282351745982316</v>
      </c>
      <c r="U596" s="61"/>
      <c r="V596" s="125">
        <f>IFERROR(INDEX('Non-Labor Expenditures'!$E$7:$AA$91,MATCH($C596,'Non-Labor Expenditures'!$C$7:$C$91,0),MATCH($G596,'Non-Labor Expenditures'!$E$5:$AA$5,0)),"NA")</f>
        <v>117754.87789387329</v>
      </c>
      <c r="W596" s="125">
        <f t="shared" si="1087"/>
        <v>1113.6687400116639</v>
      </c>
      <c r="X596" s="131">
        <f t="shared" si="1096"/>
        <v>-3.9614000590971851E-2</v>
      </c>
      <c r="Y596" s="131">
        <f t="shared" si="1097"/>
        <v>-1.0361431944254382E-3</v>
      </c>
      <c r="Z596" s="131"/>
      <c r="AA596" s="131"/>
      <c r="AB596" s="131"/>
      <c r="AC596" s="125">
        <f t="shared" si="1061"/>
        <v>69883.341377716744</v>
      </c>
      <c r="AD596" s="129"/>
      <c r="AE596" s="133">
        <v>5374.2774951066931</v>
      </c>
      <c r="AF596" s="134">
        <v>-7.5122324186556E-4</v>
      </c>
      <c r="AG596" s="59">
        <f t="shared" si="1088"/>
        <v>-1.9648983640662864E-5</v>
      </c>
      <c r="AH596" s="134"/>
      <c r="AI596" s="134"/>
      <c r="AJ596" s="129">
        <f t="shared" si="1015"/>
        <v>268950.16051339463</v>
      </c>
      <c r="AK596" s="134">
        <f t="shared" si="1098"/>
        <v>-3.4777332546462376E-2</v>
      </c>
      <c r="AL596" s="129"/>
      <c r="AM596" s="129"/>
      <c r="AN596" s="129"/>
      <c r="AO596" s="129"/>
      <c r="AP596" s="133">
        <f t="shared" si="1099"/>
        <v>362.20634034230756</v>
      </c>
      <c r="AQ596" s="134">
        <f>+BB596/Outputs!$B$24</f>
        <v>2.0205323769596727E-2</v>
      </c>
      <c r="AR596" s="93">
        <f t="shared" si="1089"/>
        <v>0.30233088943538672</v>
      </c>
      <c r="AS596" s="93">
        <f t="shared" si="1090"/>
        <v>0.43783159552347134</v>
      </c>
      <c r="AT596" s="93">
        <f t="shared" si="1091"/>
        <v>0.25983751504114205</v>
      </c>
      <c r="AU596" s="93">
        <f t="shared" ca="1" si="1094"/>
        <v>-3.3983828438574802E-2</v>
      </c>
      <c r="AV596" s="132">
        <f t="shared" ca="1" si="1102"/>
        <v>84.915677198718825</v>
      </c>
      <c r="AW596" s="134">
        <f t="shared" ca="1" si="1103"/>
        <v>-3.398382843857476E-2</v>
      </c>
      <c r="AX596" s="56">
        <f>+AJ596/$AL$21</f>
        <v>2.6155984726813439E-2</v>
      </c>
      <c r="AY596" s="135">
        <f t="shared" ca="1" si="1101"/>
        <v>-8.8888049759800966E-4</v>
      </c>
      <c r="AZ596" s="93"/>
      <c r="BA596" s="93"/>
      <c r="BB596" s="234">
        <f>IFERROR(INDEX('Total Customers'!$E$7:$AA$91,MATCH($C596,'Total Customers'!$C$7:$C$91,0),MATCH($G596,'Total Customers'!$E$5:$AA$5,0)),"NA")</f>
        <v>742533</v>
      </c>
      <c r="BC596" s="411">
        <f t="shared" si="1076"/>
        <v>2.5323843014234365E-3</v>
      </c>
      <c r="BD596" s="92"/>
      <c r="BE596" s="281" t="str">
        <f t="shared" si="1062"/>
        <v>NATIONAL FUEL GAS DISTRIBUTION CORPORATION</v>
      </c>
      <c r="BF596" s="290">
        <f t="shared" si="1063"/>
        <v>4061687</v>
      </c>
      <c r="BG596" s="46" t="str">
        <f t="shared" si="1064"/>
        <v>NY</v>
      </c>
      <c r="BH596" s="46"/>
      <c r="BI596" s="46" t="str">
        <f t="shared" si="1065"/>
        <v>2016 Y</v>
      </c>
      <c r="BJ596" s="129"/>
      <c r="BK596" s="129"/>
      <c r="BL596" s="129">
        <f>INDEX('Dist. Plant Gas Additions'!$E$7:$AD$91,MATCH($C596,'Dist. Plant Gas Additions'!$C$7:$C$91,0),MATCH(Calculation!$G596,'Dist. Plant Gas Additions'!$E$5:$AD$5,0))</f>
        <v>22866</v>
      </c>
      <c r="BM596" s="129">
        <f>INDEX('Gen. Plant Additions'!$E$7:$AD$91,MATCH($C596,'Gen. Plant Additions'!$C$7:$C$91,0),MATCH(Calculation!$G596,'Gen. Plant Additions'!$E$5:$AD$5,0))</f>
        <v>7481</v>
      </c>
      <c r="BN596" s="393">
        <f t="shared" si="1066"/>
        <v>0.94979422458243945</v>
      </c>
      <c r="BO596" s="46">
        <f t="shared" si="1056"/>
        <v>7105.4105941012294</v>
      </c>
      <c r="BP596" s="46">
        <f t="shared" si="1057"/>
        <v>-375.58940589877056</v>
      </c>
      <c r="BQ596" s="129">
        <f>INDEX('Dist Plant Depreciation'!$D$7:$AC$94,MATCH($C596,'Dist Plant Depreciation'!$C$7:$C$94,0),MATCH(Calculation!$G596,'Dist Plant Depreciation'!$D$5:$AC$5,0))</f>
        <v>679083</v>
      </c>
      <c r="BR596" s="129">
        <f>INDEX('Gen. Plant Depreciation'!$D$7:$AC$94,MATCH($C596,'Gen. Plant Depreciation'!$C$7:$C$94,0),MATCH(Calculation!$G596,'Gen. Plant Depreciation'!$D$5:$AC$5,0))</f>
        <v>46294</v>
      </c>
      <c r="BS596" s="129"/>
      <c r="BT596" s="129"/>
      <c r="BU596" s="129"/>
      <c r="BV596" s="129"/>
      <c r="BW596" s="129"/>
      <c r="BX596" s="129"/>
      <c r="BY596" s="129">
        <f>INDEX('Gross Dx Plant'!$D$7:$AC$91,MATCH($C596,'Gross Dx Plant'!$C$7:$C$91,0),MATCH(Calculation!$G596,'Gross Dx Plant'!$D$5:$AC$5,0))</f>
        <v>1774038</v>
      </c>
      <c r="BZ596" s="129">
        <f>INDEX('Gross Gen Plant'!$D$7:$AC$91,MATCH($C596,'Gross Gen Plant'!$C$7:$C$91,0),MATCH(Calculation!$G596,'Gross Gen Plant'!$D$5:$AC$5,0))</f>
        <v>93775</v>
      </c>
      <c r="CA596" s="129">
        <f t="shared" si="1077"/>
        <v>1142436</v>
      </c>
      <c r="CB596" s="129"/>
      <c r="CC596" s="133">
        <v>2016</v>
      </c>
      <c r="CD596" s="129"/>
      <c r="CE596" s="129"/>
      <c r="CF596" s="129"/>
      <c r="CG596" s="137"/>
      <c r="CH596" s="129">
        <f t="shared" si="1067"/>
        <v>30347</v>
      </c>
      <c r="CI596" s="46">
        <f t="shared" si="1078"/>
        <v>29971.410594101231</v>
      </c>
      <c r="CJ596" s="46">
        <f t="shared" si="1068"/>
        <v>44.636421468589333</v>
      </c>
      <c r="CK596" s="443">
        <v>0.7857142857142857</v>
      </c>
      <c r="CL596" s="46">
        <f>+CL578*CK596+CJ579*CK595+CJ580*CK594+CJ581*CK593+CJ582*CK592+CJ583*CK591+CJ584*CK590+CJ585*CK589+CJ586*CK588+CJ587*CK587+CJ588*CK586+CJ589*CK585+CJ590*CK584+CJ591*CK583+CJ592*CK582+CJ593*CK581+CJ594*CK580+CJ595*CK579+CJ596</f>
        <v>4879.1624975476752</v>
      </c>
      <c r="CM596" s="134">
        <f t="shared" si="1069"/>
        <v>-7.4239165180753552E-3</v>
      </c>
      <c r="CN596" s="135">
        <f t="shared" si="1070"/>
        <v>1.6477139723564318E-2</v>
      </c>
      <c r="CO596" s="135">
        <f t="shared" si="1081"/>
        <v>1.5920555867301265E-2</v>
      </c>
      <c r="CP596" s="134">
        <f>VLOOKUP($H596,RoR!$E:$F,2,FALSE)</f>
        <v>3.6658333333333334E-2</v>
      </c>
      <c r="CQ596" s="135">
        <v>1.0483662879041455E-2</v>
      </c>
      <c r="CR596" s="135">
        <f t="shared" si="1079"/>
        <v>2.6174670454291879E-2</v>
      </c>
      <c r="CS596" s="135">
        <f t="shared" si="1082"/>
        <v>1.498138574123236E-2</v>
      </c>
      <c r="CT596" s="135">
        <f t="shared" si="1083"/>
        <v>4.301363574220729E-3</v>
      </c>
      <c r="CU596" s="139">
        <f t="shared" si="1071"/>
        <v>0.85329623209999994</v>
      </c>
      <c r="CV596" s="335">
        <f t="shared" si="1072"/>
        <v>1.3989193348138562</v>
      </c>
      <c r="CW596" s="335">
        <f t="shared" si="1073"/>
        <v>0.29302682427824522</v>
      </c>
      <c r="CX596" s="335">
        <f t="shared" si="1074"/>
        <v>0.76309497491941802</v>
      </c>
      <c r="CY596" s="335">
        <f t="shared" si="1075"/>
        <v>0.31280857135128509</v>
      </c>
      <c r="CZ596" s="336">
        <f>INDEX('State Tax Lookup'!$D$7:$Z$91,MATCH(Calculation!$C596,'State Tax Lookup'!$B$7:$B$91,0),MATCH($H596,'State Tax Lookup'!$D$6:$Z$6,0))</f>
        <v>0.39649667</v>
      </c>
      <c r="DA596" s="303">
        <v>0.37</v>
      </c>
      <c r="DB596" s="57">
        <f t="shared" si="1080"/>
        <v>14.216877252470985</v>
      </c>
      <c r="DC596" s="56">
        <f t="shared" si="1084"/>
        <v>-4.0505695261380995E-2</v>
      </c>
      <c r="DD596" s="303">
        <f>VLOOKUP($H596,RoR!$E:$F,2,FALSE)</f>
        <v>3.6658333333333334E-2</v>
      </c>
      <c r="DE596" s="304">
        <f>HLOOKUP($H596,'GDP-PI'!$D$8:$CQ$11,3,FALSE)</f>
        <v>1.0483662879041455E-2</v>
      </c>
      <c r="DF596" s="303">
        <f>VLOOKUP(H596,'HW Dx Data'!$E:$F,2,FALSE)</f>
        <v>671.45639385971219</v>
      </c>
      <c r="DG596" s="89">
        <f ca="1">VLOOKUP(CC596,'ECI - Input Price'!M$13:N$33,2,FALSE)</f>
        <v>136.94999999999999</v>
      </c>
      <c r="DH596" s="89"/>
      <c r="DI596" s="89"/>
      <c r="DJ596" s="56">
        <f t="shared" ca="1" si="1092"/>
        <v>2.5514417868782811E-2</v>
      </c>
      <c r="DK596" s="53">
        <f>HLOOKUP(H596,'GDP-PI'!$8:$9,2,FALSE)</f>
        <v>105.736</v>
      </c>
      <c r="DL596" s="355">
        <f t="shared" si="1085"/>
        <v>1.0429090367205095E-2</v>
      </c>
      <c r="EC596"/>
    </row>
    <row r="597" spans="1:133" s="126" customFormat="1" ht="21" customHeight="1" x14ac:dyDescent="0.4">
      <c r="A597" s="233" t="s">
        <v>216</v>
      </c>
      <c r="B597" s="127" t="s">
        <v>216</v>
      </c>
      <c r="C597" s="127">
        <v>4061687</v>
      </c>
      <c r="D597" s="127" t="s">
        <v>194</v>
      </c>
      <c r="E597" s="127" t="s">
        <v>15</v>
      </c>
      <c r="F597" s="127"/>
      <c r="G597" s="127" t="s">
        <v>173</v>
      </c>
      <c r="H597" s="128">
        <v>2017</v>
      </c>
      <c r="I597" s="129"/>
      <c r="J597" s="125">
        <f>IFERROR(INDEX('Labor Expenditures'!$E$7:$W$91,MATCH($C597,'Labor Expenditures'!$C$7:$C$91,0),MATCH($G597,'Labor Expenditures'!$E$5:$W$5,0)),"NA")</f>
        <v>82918.365639424243</v>
      </c>
      <c r="K597" s="125">
        <f t="shared" ca="1" si="1086"/>
        <v>590.37640184709323</v>
      </c>
      <c r="L597" s="47"/>
      <c r="M597" s="131">
        <f t="shared" ca="1" si="1093"/>
        <v>-5.6719650679062528E-3</v>
      </c>
      <c r="N597" s="131"/>
      <c r="O597" s="131"/>
      <c r="P597" s="59">
        <f t="shared" ca="1" si="1095"/>
        <v>-1.4564030948839433E-4</v>
      </c>
      <c r="Q597" s="61"/>
      <c r="R597" s="387"/>
      <c r="S597" s="49">
        <f t="shared" ca="1" si="1100"/>
        <v>166.26495202511151</v>
      </c>
      <c r="T597" s="61">
        <f ca="1">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</f>
        <v>-0.58890037788882998</v>
      </c>
      <c r="U597" s="61"/>
      <c r="V597" s="125">
        <f>IFERROR(INDEX('Non-Labor Expenditures'!$E$7:$AA$91,MATCH($C597,'Non-Labor Expenditures'!$C$7:$C$91,0),MATCH($G597,'Non-Labor Expenditures'!$E$5:$AA$5,0)),"NA")</f>
        <v>120081.28046031678</v>
      </c>
      <c r="W597" s="125">
        <f t="shared" si="1087"/>
        <v>1114.4330953802448</v>
      </c>
      <c r="X597" s="131">
        <f t="shared" si="1096"/>
        <v>6.8610454551407607E-4</v>
      </c>
      <c r="Y597" s="131">
        <f t="shared" si="1097"/>
        <v>1.7617259125143073E-5</v>
      </c>
      <c r="Z597" s="131"/>
      <c r="AA597" s="131"/>
      <c r="AB597" s="131"/>
      <c r="AC597" s="125">
        <f t="shared" si="1061"/>
        <v>60939.791932035616</v>
      </c>
      <c r="AD597" s="129"/>
      <c r="AE597" s="133">
        <v>5363.8433669571768</v>
      </c>
      <c r="AF597" s="134">
        <v>-1.9433812614805016E-3</v>
      </c>
      <c r="AG597" s="59">
        <f t="shared" si="1088"/>
        <v>-4.9900633199852509E-5</v>
      </c>
      <c r="AH597" s="134"/>
      <c r="AI597" s="134"/>
      <c r="AJ597" s="129">
        <f t="shared" si="1015"/>
        <v>263939.43803177663</v>
      </c>
      <c r="AK597" s="134">
        <f t="shared" si="1098"/>
        <v>-1.8806410099068905E-2</v>
      </c>
      <c r="AL597" s="129"/>
      <c r="AM597" s="129"/>
      <c r="AN597" s="129"/>
      <c r="AO597" s="129"/>
      <c r="AP597" s="133">
        <f t="shared" si="1099"/>
        <v>354.34628654098356</v>
      </c>
      <c r="AQ597" s="134">
        <f>+BB597/Outputs!$B$25</f>
        <v>2.0116444050551741E-2</v>
      </c>
      <c r="AR597" s="93">
        <f t="shared" si="1089"/>
        <v>0.31415678633611926</v>
      </c>
      <c r="AS597" s="93">
        <f t="shared" si="1090"/>
        <v>0.45495770300859606</v>
      </c>
      <c r="AT597" s="93">
        <f t="shared" si="1091"/>
        <v>0.23088551065528468</v>
      </c>
      <c r="AU597" s="93">
        <f t="shared" ca="1" si="1094"/>
        <v>-1.9189058492884866E-3</v>
      </c>
      <c r="AV597" s="132">
        <f t="shared" ca="1" si="1102"/>
        <v>84.752888247333203</v>
      </c>
      <c r="AW597" s="134">
        <f t="shared" ca="1" si="1103"/>
        <v>-1.9189058492884929E-3</v>
      </c>
      <c r="AX597" s="56">
        <f>+AJ597/$AL$22</f>
        <v>2.5677222575377381E-2</v>
      </c>
      <c r="AY597" s="135">
        <f t="shared" ca="1" si="1101"/>
        <v>-4.9272172593374195E-5</v>
      </c>
      <c r="AZ597" s="93"/>
      <c r="BA597" s="93"/>
      <c r="BB597" s="234">
        <f>IFERROR(INDEX('Total Customers'!$E$7:$AA$91,MATCH($C597,'Total Customers'!$C$7:$C$91,0),MATCH($G597,'Total Customers'!$E$5:$AA$5,0)),"NA")</f>
        <v>744863</v>
      </c>
      <c r="BC597" s="411">
        <f t="shared" si="1076"/>
        <v>3.1329947181152991E-3</v>
      </c>
      <c r="BD597" s="92"/>
      <c r="BE597" s="281" t="str">
        <f t="shared" si="1062"/>
        <v>NATIONAL FUEL GAS DISTRIBUTION CORPORATION</v>
      </c>
      <c r="BF597" s="290">
        <f t="shared" si="1063"/>
        <v>4061687</v>
      </c>
      <c r="BG597" s="46" t="str">
        <f t="shared" si="1064"/>
        <v>NY</v>
      </c>
      <c r="BH597" s="46"/>
      <c r="BI597" s="46" t="str">
        <f t="shared" si="1065"/>
        <v>2017 Y</v>
      </c>
      <c r="BJ597" s="129"/>
      <c r="BK597" s="129"/>
      <c r="BL597" s="129">
        <f>INDEX('Dist. Plant Gas Additions'!$E$7:$AD$91,MATCH($C597,'Dist. Plant Gas Additions'!$C$7:$C$91,0),MATCH(Calculation!$G597,'Dist. Plant Gas Additions'!$E$5:$AD$5,0))</f>
        <v>23354</v>
      </c>
      <c r="BM597" s="129">
        <f>INDEX('Gen. Plant Additions'!$E$7:$AD$91,MATCH($C597,'Gen. Plant Additions'!$C$7:$C$91,0),MATCH(Calculation!$G597,'Gen. Plant Additions'!$E$5:$AD$5,0))</f>
        <v>5840</v>
      </c>
      <c r="BN597" s="393">
        <f t="shared" si="1066"/>
        <v>0.94885605159742514</v>
      </c>
      <c r="BO597" s="46">
        <f t="shared" si="1056"/>
        <v>5541.3193413289628</v>
      </c>
      <c r="BP597" s="46">
        <f t="shared" si="1057"/>
        <v>-298.68065867103724</v>
      </c>
      <c r="BQ597" s="129">
        <f>INDEX('Dist Plant Depreciation'!$D$7:$AC$94,MATCH($C597,'Dist Plant Depreciation'!$C$7:$C$94,0),MATCH(Calculation!$G597,'Dist Plant Depreciation'!$D$5:$AC$5,0))</f>
        <v>701909</v>
      </c>
      <c r="BR597" s="129">
        <f>INDEX('Gen. Plant Depreciation'!$D$7:$AC$94,MATCH($C597,'Gen. Plant Depreciation'!$C$7:$C$94,0),MATCH(Calculation!$G597,'Gen. Plant Depreciation'!$D$5:$AC$5,0))</f>
        <v>55721</v>
      </c>
      <c r="BS597" s="129"/>
      <c r="BT597" s="129"/>
      <c r="BU597" s="129"/>
      <c r="BV597" s="129"/>
      <c r="BW597" s="129"/>
      <c r="BX597" s="129"/>
      <c r="BY597" s="129">
        <f>INDEX('Gross Dx Plant'!$D$7:$AC$91,MATCH($C597,'Gross Dx Plant'!$C$7:$C$91,0),MATCH(Calculation!$G597,'Gross Dx Plant'!$D$5:$AC$5,0))</f>
        <v>1822483</v>
      </c>
      <c r="BZ597" s="129">
        <f>INDEX('Gross Gen Plant'!$D$7:$AC$91,MATCH($C597,'Gross Gen Plant'!$C$7:$C$91,0),MATCH(Calculation!$G597,'Gross Gen Plant'!$D$5:$AC$5,0))</f>
        <v>98233</v>
      </c>
      <c r="CA597" s="129">
        <f t="shared" si="1077"/>
        <v>1163086</v>
      </c>
      <c r="CB597" s="129"/>
      <c r="CC597" s="133">
        <v>2017</v>
      </c>
      <c r="CD597" s="129"/>
      <c r="CE597" s="129"/>
      <c r="CF597" s="129"/>
      <c r="CG597" s="137"/>
      <c r="CH597" s="129">
        <f t="shared" si="1067"/>
        <v>29194</v>
      </c>
      <c r="CI597" s="46">
        <f t="shared" si="1078"/>
        <v>28895.319341328963</v>
      </c>
      <c r="CJ597" s="46">
        <f t="shared" si="1068"/>
        <v>40.558899519679379</v>
      </c>
      <c r="CK597" s="443">
        <v>0.77108433734939763</v>
      </c>
      <c r="CL597" s="46">
        <f>+CL578*CK597+CJ579*CK596+CJ580*CK595+CJ581*CK594+CJ582*CK593+CJ583*CK592+CJ584*CK591+CJ585*CK590+CJ586*CK589+CJ587*CK588+CJ588*CK587+CJ589*CK586+CJ590*CK585+CJ591*CK584+CJ592*CK583+CJ593*CK582+CJ594*CK581+CJ595*CK580+CJ596*CK579+CJ597</f>
        <v>4836.3730277066825</v>
      </c>
      <c r="CM597" s="134">
        <f t="shared" si="1069"/>
        <v>-8.8085204153908279E-3</v>
      </c>
      <c r="CN597" s="135">
        <f t="shared" si="1070"/>
        <v>1.708251557568825E-2</v>
      </c>
      <c r="CO597" s="135">
        <f t="shared" si="1081"/>
        <v>1.6480996873366689E-2</v>
      </c>
      <c r="CP597" s="134">
        <f>VLOOKUP($H597,RoR!$E:$F,2,FALSE)</f>
        <v>3.7433333333333339E-2</v>
      </c>
      <c r="CQ597" s="135">
        <v>1.9056896421275615E-2</v>
      </c>
      <c r="CR597" s="135">
        <f t="shared" si="1079"/>
        <v>1.8376436912057724E-2</v>
      </c>
      <c r="CS597" s="135">
        <f t="shared" si="1082"/>
        <v>1.4420944735166936E-2</v>
      </c>
      <c r="CT597" s="135">
        <f t="shared" si="1083"/>
        <v>1.3976271617800498E-2</v>
      </c>
      <c r="CU597" s="139">
        <f t="shared" si="1071"/>
        <v>0.90509623210000001</v>
      </c>
      <c r="CV597" s="335">
        <f t="shared" si="1072"/>
        <v>1.3699568463593395</v>
      </c>
      <c r="CW597" s="335">
        <f t="shared" si="1073"/>
        <v>0.30714603739982199</v>
      </c>
      <c r="CX597" s="335">
        <f t="shared" si="1074"/>
        <v>0.77007188472689425</v>
      </c>
      <c r="CY597" s="335">
        <f t="shared" si="1075"/>
        <v>0.32402839633793828</v>
      </c>
      <c r="CZ597" s="336">
        <f>INDEX('State Tax Lookup'!$D$7:$Z$91,MATCH(Calculation!$C597,'State Tax Lookup'!$B$7:$B$91,0),MATCH($H597,'State Tax Lookup'!$D$6:$Z$6,0))</f>
        <v>0.25649666999999998</v>
      </c>
      <c r="DA597" s="303">
        <v>0.37</v>
      </c>
      <c r="DB597" s="57">
        <f t="shared" si="1080"/>
        <v>12.489805773565582</v>
      </c>
      <c r="DC597" s="56">
        <f t="shared" si="1084"/>
        <v>-0.12951702429903361</v>
      </c>
      <c r="DD597" s="303">
        <f>VLOOKUP($H597,RoR!$E:$F,2,FALSE)</f>
        <v>3.7433333333333339E-2</v>
      </c>
      <c r="DE597" s="304">
        <f>HLOOKUP($H597,'GDP-PI'!$D$8:$CQ$11,3,FALSE)</f>
        <v>1.9056896421275615E-2</v>
      </c>
      <c r="DF597" s="303">
        <f>VLOOKUP(H597,'HW Dx Data'!$E:$F,2,FALSE)</f>
        <v>712.42858370229726</v>
      </c>
      <c r="DG597" s="89">
        <f ca="1">VLOOKUP(CC597,'ECI - Input Price'!M$13:N$33,2,FALSE)</f>
        <v>140.44999999999999</v>
      </c>
      <c r="DH597" s="89"/>
      <c r="DI597" s="89"/>
      <c r="DJ597" s="56">
        <f t="shared" ca="1" si="1092"/>
        <v>2.5235657841165486E-2</v>
      </c>
      <c r="DK597" s="53">
        <f>HLOOKUP(H597,'GDP-PI'!$8:$9,2,FALSE)</f>
        <v>107.751</v>
      </c>
      <c r="DL597" s="355">
        <f t="shared" si="1085"/>
        <v>1.8877588227745139E-2</v>
      </c>
      <c r="EC597"/>
    </row>
    <row r="598" spans="1:133" s="126" customFormat="1" ht="21" customHeight="1" x14ac:dyDescent="0.4">
      <c r="A598" s="233" t="s">
        <v>216</v>
      </c>
      <c r="B598" s="127" t="s">
        <v>216</v>
      </c>
      <c r="C598" s="127">
        <v>4061687</v>
      </c>
      <c r="D598" s="127" t="s">
        <v>194</v>
      </c>
      <c r="E598" s="127" t="s">
        <v>15</v>
      </c>
      <c r="F598" s="127"/>
      <c r="G598" s="127" t="s">
        <v>174</v>
      </c>
      <c r="H598" s="128">
        <v>2018</v>
      </c>
      <c r="I598" s="129"/>
      <c r="J598" s="125">
        <f>IFERROR(INDEX('Labor Expenditures'!$E$7:$W$91,MATCH($C598,'Labor Expenditures'!$C$7:$C$91,0),MATCH($G598,'Labor Expenditures'!$E$5:$W$5,0)),"NA")</f>
        <v>82065.946569371619</v>
      </c>
      <c r="K598" s="125">
        <f t="shared" ca="1" si="1086"/>
        <v>568.12700982604099</v>
      </c>
      <c r="L598" s="47"/>
      <c r="M598" s="131">
        <f t="shared" ca="1" si="1093"/>
        <v>-3.8415300143183881E-2</v>
      </c>
      <c r="N598" s="131"/>
      <c r="O598" s="131"/>
      <c r="P598" s="59">
        <f t="shared" ca="1" si="1095"/>
        <v>-9.0469406861553312E-4</v>
      </c>
      <c r="Q598" s="61"/>
      <c r="R598" s="387"/>
      <c r="S598" s="49">
        <f t="shared" ca="1" si="1100"/>
        <v>114.66944756204452</v>
      </c>
      <c r="T598" s="61">
        <f ca="1">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</f>
        <v>-0.37152899207923845</v>
      </c>
      <c r="U598" s="61"/>
      <c r="V598" s="125">
        <f>IFERROR(INDEX('Non-Labor Expenditures'!$E$7:$AA$91,MATCH($C598,'Non-Labor Expenditures'!$C$7:$C$91,0),MATCH($G598,'Non-Labor Expenditures'!$E$5:$AA$5,0)),"NA")</f>
        <v>118846.81843695964</v>
      </c>
      <c r="W598" s="125">
        <f t="shared" si="1087"/>
        <v>1077.2721527615493</v>
      </c>
      <c r="X598" s="131">
        <f t="shared" si="1096"/>
        <v>-3.3913779497700754E-2</v>
      </c>
      <c r="Y598" s="131">
        <f t="shared" si="1097"/>
        <v>-7.9868164615521959E-4</v>
      </c>
      <c r="Z598" s="131"/>
      <c r="AA598" s="131"/>
      <c r="AB598" s="131"/>
      <c r="AC598" s="125">
        <f t="shared" si="1061"/>
        <v>61154.379167916974</v>
      </c>
      <c r="AD598" s="129"/>
      <c r="AE598" s="133">
        <v>5349.3838219334903</v>
      </c>
      <c r="AF598" s="134">
        <v>-2.6993833975334394E-3</v>
      </c>
      <c r="AG598" s="59">
        <f t="shared" si="1088"/>
        <v>-6.3571445220142551E-5</v>
      </c>
      <c r="AH598" s="134"/>
      <c r="AI598" s="134"/>
      <c r="AJ598" s="129">
        <f t="shared" si="1015"/>
        <v>262067.14417424824</v>
      </c>
      <c r="AK598" s="134">
        <f t="shared" si="1098"/>
        <v>-7.1189290326291489E-3</v>
      </c>
      <c r="AL598" s="129"/>
      <c r="AM598" s="129"/>
      <c r="AN598" s="129"/>
      <c r="AO598" s="129"/>
      <c r="AP598" s="133">
        <f t="shared" si="1099"/>
        <v>348.80570533768685</v>
      </c>
      <c r="AQ598" s="134">
        <f>+BB598/Outputs!$B$26</f>
        <v>2.0113310458577706E-2</v>
      </c>
      <c r="AR598" s="93">
        <f t="shared" si="1089"/>
        <v>0.3131485514063756</v>
      </c>
      <c r="AS598" s="93">
        <f t="shared" si="1090"/>
        <v>0.45349759051801808</v>
      </c>
      <c r="AT598" s="93">
        <f t="shared" si="1091"/>
        <v>0.23335385807560627</v>
      </c>
      <c r="AU598" s="93">
        <f t="shared" ca="1" si="1094"/>
        <v>-2.8080217691706728E-2</v>
      </c>
      <c r="AV598" s="132">
        <f t="shared" ca="1" si="1102"/>
        <v>82.406111891290749</v>
      </c>
      <c r="AW598" s="134">
        <f t="shared" ca="1" si="1103"/>
        <v>-2.8080217691706752E-2</v>
      </c>
      <c r="AX598" s="56">
        <f>+AJ598/$AL$23</f>
        <v>2.3550357936642469E-2</v>
      </c>
      <c r="AY598" s="135">
        <f t="shared" ca="1" si="1101"/>
        <v>-6.6129917757853441E-4</v>
      </c>
      <c r="AZ598" s="93"/>
      <c r="BA598" s="93"/>
      <c r="BB598" s="234">
        <f>IFERROR(INDEX('Total Customers'!$E$7:$AA$91,MATCH($C598,'Total Customers'!$C$7:$C$91,0),MATCH($G598,'Total Customers'!$E$5:$AA$5,0)),"NA")</f>
        <v>751327</v>
      </c>
      <c r="BC598" s="411">
        <f t="shared" si="1076"/>
        <v>8.6406675855545054E-3</v>
      </c>
      <c r="BD598" s="92"/>
      <c r="BE598" s="281" t="str">
        <f t="shared" si="1062"/>
        <v>NATIONAL FUEL GAS DISTRIBUTION CORPORATION</v>
      </c>
      <c r="BF598" s="290">
        <f t="shared" si="1063"/>
        <v>4061687</v>
      </c>
      <c r="BG598" s="46" t="str">
        <f t="shared" si="1064"/>
        <v>NY</v>
      </c>
      <c r="BH598" s="46"/>
      <c r="BI598" s="46" t="str">
        <f t="shared" si="1065"/>
        <v>2018 Y</v>
      </c>
      <c r="BJ598" s="129"/>
      <c r="BK598" s="129"/>
      <c r="BL598" s="129">
        <f>INDEX('Dist. Plant Gas Additions'!$E$7:$AD$91,MATCH($C598,'Dist. Plant Gas Additions'!$C$7:$C$91,0),MATCH(Calculation!$G598,'Dist. Plant Gas Additions'!$E$5:$AD$5,0))</f>
        <v>24784</v>
      </c>
      <c r="BM598" s="129">
        <f>INDEX('Gen. Plant Additions'!$E$7:$AD$91,MATCH($C598,'Gen. Plant Additions'!$C$7:$C$91,0),MATCH(Calculation!$G598,'Gen. Plant Additions'!$E$5:$AD$5,0))</f>
        <v>4844</v>
      </c>
      <c r="BN598" s="393">
        <f t="shared" si="1066"/>
        <v>0.94902765190105232</v>
      </c>
      <c r="BO598" s="46">
        <f t="shared" si="1056"/>
        <v>4597.0899458086978</v>
      </c>
      <c r="BP598" s="46">
        <f t="shared" si="1057"/>
        <v>-246.91005419130215</v>
      </c>
      <c r="BQ598" s="129">
        <f>INDEX('Dist Plant Depreciation'!$D$7:$AC$94,MATCH($C598,'Dist Plant Depreciation'!$C$7:$C$94,0),MATCH(Calculation!$G598,'Dist Plant Depreciation'!$D$5:$AC$5,0))</f>
        <v>725939</v>
      </c>
      <c r="BR598" s="129">
        <f>INDEX('Gen. Plant Depreciation'!$D$7:$AC$94,MATCH($C598,'Gen. Plant Depreciation'!$C$7:$C$94,0),MATCH(Calculation!$G598,'Gen. Plant Depreciation'!$D$5:$AC$5,0))</f>
        <v>65899</v>
      </c>
      <c r="BS598" s="129"/>
      <c r="BT598" s="129"/>
      <c r="BU598" s="129"/>
      <c r="BV598" s="129"/>
      <c r="BW598" s="129"/>
      <c r="BX598" s="129"/>
      <c r="BY598" s="129">
        <f>INDEX('Gross Dx Plant'!$D$7:$AC$91,MATCH($C598,'Gross Dx Plant'!$C$7:$C$91,0),MATCH(Calculation!$G598,'Gross Dx Plant'!$D$5:$AC$5,0))</f>
        <v>1873317</v>
      </c>
      <c r="BZ598" s="129">
        <f>INDEX('Gross Gen Plant'!$D$7:$AC$91,MATCH($C598,'Gross Gen Plant'!$C$7:$C$91,0),MATCH(Calculation!$G598,'Gross Gen Plant'!$D$5:$AC$5,0))</f>
        <v>100616</v>
      </c>
      <c r="CA598" s="129">
        <f t="shared" si="1077"/>
        <v>1182095</v>
      </c>
      <c r="CB598" s="129"/>
      <c r="CC598" s="133">
        <v>2018</v>
      </c>
      <c r="CD598" s="129"/>
      <c r="CE598" s="129"/>
      <c r="CF598" s="129"/>
      <c r="CG598" s="137"/>
      <c r="CH598" s="129">
        <f t="shared" si="1067"/>
        <v>29628</v>
      </c>
      <c r="CI598" s="46">
        <f t="shared" si="1078"/>
        <v>29381.089945808697</v>
      </c>
      <c r="CJ598" s="46">
        <f t="shared" si="1068"/>
        <v>38.908305460184323</v>
      </c>
      <c r="CK598" s="443">
        <v>0.75609756097560976</v>
      </c>
      <c r="CL598" s="46">
        <f>+CL578*CK598++CJ579*CK597+CJ580*CK596+CJ581*CK595+CJ582*CK594+CJ583*CK593+CJ584*CK592+CJ585*CK591+CJ586*CK590+CJ587*CK589+CJ588*CK588+CJ589*CK587+CJ590*CK586+CJ591*CK585+CJ592*CK584+CJ593*CK583+CJ594*CK582+CJ595*CK581+CJ596*CK580+CJ597*CK579+CJ598</f>
        <v>4789.5411394352986</v>
      </c>
      <c r="CM598" s="134">
        <f t="shared" si="1069"/>
        <v>-9.7304540572440146E-3</v>
      </c>
      <c r="CN598" s="135">
        <f t="shared" si="1070"/>
        <v>1.7728201121042259E-2</v>
      </c>
      <c r="CO598" s="135">
        <f t="shared" si="1081"/>
        <v>1.7095952140098278E-2</v>
      </c>
      <c r="CP598" s="134">
        <f>VLOOKUP($H598,RoR!$E:$F,2,FALSE)</f>
        <v>3.9299999999999995E-2</v>
      </c>
      <c r="CQ598" s="135">
        <v>2.386056741932796E-2</v>
      </c>
      <c r="CR598" s="135">
        <f t="shared" si="1079"/>
        <v>1.5439432580672034E-2</v>
      </c>
      <c r="CS598" s="135">
        <f t="shared" si="1082"/>
        <v>1.3805989468435347E-2</v>
      </c>
      <c r="CT598" s="135">
        <f t="shared" si="1083"/>
        <v>3.8270792163076606E-2</v>
      </c>
      <c r="CU598" s="139">
        <f t="shared" si="1071"/>
        <v>0.90509623210000001</v>
      </c>
      <c r="CV598" s="335">
        <f t="shared" si="1072"/>
        <v>1.3048868010700074</v>
      </c>
      <c r="CW598" s="335">
        <f t="shared" si="1073"/>
        <v>0.33886768447837151</v>
      </c>
      <c r="CX598" s="335">
        <f t="shared" si="1074"/>
        <v>0.78602506232557801</v>
      </c>
      <c r="CY598" s="335">
        <f t="shared" si="1075"/>
        <v>0.34756768162358759</v>
      </c>
      <c r="CZ598" s="336">
        <f>INDEX('State Tax Lookup'!$D$7:$Z$91,MATCH(Calculation!$C598,'State Tax Lookup'!$B$7:$B$91,0),MATCH($H598,'State Tax Lookup'!$D$6:$Z$6,0))</f>
        <v>0.25649666999999998</v>
      </c>
      <c r="DA598" s="303">
        <v>0.37</v>
      </c>
      <c r="DB598" s="57">
        <f t="shared" si="1080"/>
        <v>12.644677905855255</v>
      </c>
      <c r="DC598" s="56">
        <f t="shared" si="1084"/>
        <v>1.2323634280399419E-2</v>
      </c>
      <c r="DD598" s="303">
        <f>VLOOKUP($H598,RoR!$E:$F,2,FALSE)</f>
        <v>3.9299999999999995E-2</v>
      </c>
      <c r="DE598" s="304">
        <f>HLOOKUP($H598,'GDP-PI'!$D$8:$CQ$11,3,FALSE)</f>
        <v>2.386056741932796E-2</v>
      </c>
      <c r="DF598" s="303">
        <f>VLOOKUP(H598,'HW Dx Data'!$E:$F,2,FALSE)</f>
        <v>755.13671434174842</v>
      </c>
      <c r="DG598" s="89">
        <f ca="1">VLOOKUP(CC598,'ECI - Input Price'!M$13:N$33,2,FALSE)</f>
        <v>144.44999999999999</v>
      </c>
      <c r="DH598" s="89"/>
      <c r="DI598" s="89"/>
      <c r="DJ598" s="56">
        <f t="shared" ca="1" si="1092"/>
        <v>2.80818733619915E-2</v>
      </c>
      <c r="DK598" s="53">
        <f>HLOOKUP(H598,'GDP-PI'!$8:$9,2,FALSE)</f>
        <v>110.322</v>
      </c>
      <c r="DL598" s="355">
        <f t="shared" si="1085"/>
        <v>2.3580352716508712E-2</v>
      </c>
      <c r="EC598"/>
    </row>
    <row r="599" spans="1:133" s="126" customFormat="1" ht="21" customHeight="1" x14ac:dyDescent="0.4">
      <c r="A599" s="233" t="s">
        <v>216</v>
      </c>
      <c r="B599" s="127" t="s">
        <v>216</v>
      </c>
      <c r="C599" s="127">
        <v>4061687</v>
      </c>
      <c r="D599" s="127" t="s">
        <v>194</v>
      </c>
      <c r="E599" s="127" t="s">
        <v>15</v>
      </c>
      <c r="F599" s="127"/>
      <c r="G599" s="127" t="s">
        <v>175</v>
      </c>
      <c r="H599" s="128">
        <v>2019</v>
      </c>
      <c r="I599" s="129"/>
      <c r="J599" s="125">
        <f>IFERROR(INDEX('Labor Expenditures'!$E$7:$W$91,MATCH($C599,'Labor Expenditures'!$C$7:$C$91,0),MATCH($G599,'Labor Expenditures'!$E$5:$W$5,0)),"NA")</f>
        <v>81778.789440765991</v>
      </c>
      <c r="K599" s="125">
        <f t="shared" ca="1" si="1086"/>
        <v>546.37574371649225</v>
      </c>
      <c r="L599" s="47"/>
      <c r="M599" s="131">
        <f t="shared" ca="1" si="1093"/>
        <v>-3.9038088207291495E-2</v>
      </c>
      <c r="N599" s="131"/>
      <c r="O599" s="131"/>
      <c r="P599" s="59">
        <f t="shared" ca="1" si="1095"/>
        <v>-8.884193539410929E-4</v>
      </c>
      <c r="Q599" s="61"/>
      <c r="R599" s="387"/>
      <c r="S599" s="49">
        <f t="shared" ca="1" si="1100"/>
        <v>116.30118283704208</v>
      </c>
      <c r="T599" s="61">
        <f ca="1">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</f>
        <v>1.4129609634970239E-2</v>
      </c>
      <c r="U599" s="61"/>
      <c r="V599" s="125">
        <f>IFERROR(INDEX('Non-Labor Expenditures'!$E$7:$AA$91,MATCH($C599,'Non-Labor Expenditures'!$C$7:$C$91,0),MATCH($G599,'Non-Labor Expenditures'!$E$5:$AA$5,0)),"NA")</f>
        <v>118430.96128118526</v>
      </c>
      <c r="W599" s="125">
        <f t="shared" si="1087"/>
        <v>1054.4254819457724</v>
      </c>
      <c r="X599" s="131">
        <f t="shared" si="1096"/>
        <v>-2.1436009759521514E-2</v>
      </c>
      <c r="Y599" s="131">
        <f t="shared" si="1097"/>
        <v>-4.8783551695730877E-4</v>
      </c>
      <c r="Z599" s="131"/>
      <c r="AA599" s="131"/>
      <c r="AB599" s="131"/>
      <c r="AC599" s="125">
        <f t="shared" si="1061"/>
        <v>59071.949679629863</v>
      </c>
      <c r="AD599" s="129"/>
      <c r="AE599" s="133">
        <v>5335.1133570906459</v>
      </c>
      <c r="AF599" s="134">
        <v>-2.6712484620270032E-3</v>
      </c>
      <c r="AG599" s="59">
        <f t="shared" si="1088"/>
        <v>-6.0791625354412366E-5</v>
      </c>
      <c r="AH599" s="134"/>
      <c r="AI599" s="134"/>
      <c r="AJ599" s="129">
        <f t="shared" si="1015"/>
        <v>259281.70040158113</v>
      </c>
      <c r="AK599" s="134">
        <f t="shared" si="1098"/>
        <v>-1.0685629423430085E-2</v>
      </c>
      <c r="AL599" s="129"/>
      <c r="AM599" s="129"/>
      <c r="AN599" s="129"/>
      <c r="AO599" s="129"/>
      <c r="AP599" s="133">
        <f t="shared" si="1099"/>
        <v>348.65764781556703</v>
      </c>
      <c r="AQ599" s="134">
        <f>+BB599/Outputs!$B$27</f>
        <v>1.9743796878133268E-2</v>
      </c>
      <c r="AR599" s="93">
        <f t="shared" si="1089"/>
        <v>0.31540517249811778</v>
      </c>
      <c r="AS599" s="93">
        <f t="shared" si="1090"/>
        <v>0.45676559933754218</v>
      </c>
      <c r="AT599" s="93">
        <f t="shared" si="1091"/>
        <v>0.22782922816433995</v>
      </c>
      <c r="AU599" s="93">
        <f t="shared" ca="1" si="1094"/>
        <v>-2.2640940474056726E-2</v>
      </c>
      <c r="AV599" s="132">
        <f t="shared" ca="1" si="1102"/>
        <v>80.561322702808269</v>
      </c>
      <c r="AW599" s="134">
        <f t="shared" ca="1" si="1103"/>
        <v>-2.2640940474056671E-2</v>
      </c>
      <c r="AX599" s="56">
        <f>+AJ599/$AL$24</f>
        <v>2.2757757737100322E-2</v>
      </c>
      <c r="AY599" s="135">
        <f t="shared" ca="1" si="1101"/>
        <v>-5.1525703824869097E-4</v>
      </c>
      <c r="AZ599" s="93"/>
      <c r="BA599" s="93"/>
      <c r="BB599" s="234">
        <f>IFERROR(INDEX('Total Customers'!$E$7:$AA$91,MATCH($C599,'Total Customers'!$C$7:$C$91,0),MATCH($G599,'Total Customers'!$E$5:$AA$5,0)),"NA")</f>
        <v>743657</v>
      </c>
      <c r="BC599" s="411">
        <f t="shared" si="1076"/>
        <v>-1.0261069412715795E-2</v>
      </c>
      <c r="BD599" s="92"/>
      <c r="BE599" s="281" t="str">
        <f t="shared" si="1062"/>
        <v>NATIONAL FUEL GAS DISTRIBUTION CORPORATION</v>
      </c>
      <c r="BF599" s="290">
        <f t="shared" si="1063"/>
        <v>4061687</v>
      </c>
      <c r="BG599" s="46" t="str">
        <f t="shared" si="1064"/>
        <v>NY</v>
      </c>
      <c r="BH599" s="46"/>
      <c r="BI599" s="46" t="str">
        <f t="shared" si="1065"/>
        <v>2019 Y</v>
      </c>
      <c r="BJ599" s="129"/>
      <c r="BK599" s="129"/>
      <c r="BL599" s="129">
        <f>INDEX('Dist. Plant Gas Additions'!$E$7:$AD$91,MATCH($C599,'Dist. Plant Gas Additions'!$C$7:$C$91,0),MATCH(Calculation!$G599,'Dist. Plant Gas Additions'!$E$5:$AD$5,0))</f>
        <v>26424</v>
      </c>
      <c r="BM599" s="129">
        <f>INDEX('Gen. Plant Additions'!$E$7:$AD$91,MATCH($C599,'Gen. Plant Additions'!$C$7:$C$91,0),MATCH(Calculation!$G599,'Gen. Plant Additions'!$E$5:$AD$5,0))</f>
        <v>5936</v>
      </c>
      <c r="BN599" s="393">
        <f t="shared" si="1066"/>
        <v>0.95004002555325961</v>
      </c>
      <c r="BO599" s="46">
        <f t="shared" si="1056"/>
        <v>5639.4375916841491</v>
      </c>
      <c r="BP599" s="46">
        <f t="shared" si="1057"/>
        <v>-296.56240831585092</v>
      </c>
      <c r="BQ599" s="129">
        <f>INDEX('Dist Plant Depreciation'!$D$7:$AC$94,MATCH($C599,'Dist Plant Depreciation'!$C$7:$C$94,0),MATCH(Calculation!$G599,'Dist Plant Depreciation'!$D$5:$AC$5,0))</f>
        <v>748514</v>
      </c>
      <c r="BR599" s="129">
        <f>INDEX('Gen. Plant Depreciation'!$D$7:$AC$94,MATCH($C599,'Gen. Plant Depreciation'!$C$7:$C$94,0),MATCH(Calculation!$G599,'Gen. Plant Depreciation'!$D$5:$AC$5,0))</f>
        <v>74445</v>
      </c>
      <c r="BS599" s="129"/>
      <c r="BT599" s="129"/>
      <c r="BU599" s="129"/>
      <c r="BV599" s="129"/>
      <c r="BW599" s="129"/>
      <c r="BX599" s="129"/>
      <c r="BY599" s="129">
        <f>INDEX('Gross Dx Plant'!$D$7:$AC$91,MATCH($C599,'Gross Dx Plant'!$C$7:$C$91,0),MATCH(Calculation!$G599,'Gross Dx Plant'!$D$5:$AC$5,0))</f>
        <v>1927350</v>
      </c>
      <c r="BZ599" s="129">
        <f>INDEX('Gross Gen Plant'!$D$7:$AC$91,MATCH($C599,'Gross Gen Plant'!$C$7:$C$91,0),MATCH(Calculation!$G599,'Gross Gen Plant'!$D$5:$AC$5,0))</f>
        <v>101354</v>
      </c>
      <c r="CA599" s="129">
        <f t="shared" si="1077"/>
        <v>1205745</v>
      </c>
      <c r="CB599" s="129"/>
      <c r="CC599" s="133">
        <v>2019</v>
      </c>
      <c r="CD599" s="129"/>
      <c r="CE599" s="129"/>
      <c r="CF599" s="129"/>
      <c r="CG599" s="137"/>
      <c r="CH599" s="129">
        <f t="shared" si="1067"/>
        <v>32360</v>
      </c>
      <c r="CI599" s="46">
        <f t="shared" si="1078"/>
        <v>32063.437591684149</v>
      </c>
      <c r="CJ599" s="46">
        <f t="shared" si="1068"/>
        <v>41.450302107594496</v>
      </c>
      <c r="CK599" s="443">
        <v>0.7407407407407407</v>
      </c>
      <c r="CL599" s="46">
        <f>CL578*CK599+CJ579*CK598+CJ580*CK597+CJ581*CK596+CJ582*CK595+CJ583*CK594+CJ584*CK593+CJ585*CK592+CJ586*CK591+CJ587*CK590+CJ588*CK589+CJ589*CK588+CJ590*CK587+CJ591*CK586+CJ592*CK585+CJ593*CK584+CJ594*CK583+CJ595*CK582+CJ596*CK581+CJ597*CK580+CJ598*CK579+CJ599</f>
        <v>4742.7954376408452</v>
      </c>
      <c r="CM599" s="134">
        <f t="shared" si="1069"/>
        <v>-9.807894662619018E-3</v>
      </c>
      <c r="CN599" s="135">
        <f t="shared" si="1070"/>
        <v>1.8414290917322933E-2</v>
      </c>
      <c r="CO599" s="135">
        <f t="shared" si="1081"/>
        <v>1.7741669204684479E-2</v>
      </c>
      <c r="CP599" s="134">
        <f>VLOOKUP($H599,RoR!$E:$F,2,FALSE)</f>
        <v>3.3875000000000009E-2</v>
      </c>
      <c r="CQ599" s="135">
        <v>1.8092492884465461E-2</v>
      </c>
      <c r="CR599" s="135">
        <f t="shared" si="1079"/>
        <v>1.5782507115534548E-2</v>
      </c>
      <c r="CS599" s="135">
        <f t="shared" si="1082"/>
        <v>1.3160272403849146E-2</v>
      </c>
      <c r="CT599" s="135">
        <f t="shared" si="1083"/>
        <v>4.8445665544254078E-2</v>
      </c>
      <c r="CU599" s="139">
        <f t="shared" si="1071"/>
        <v>0.90509623210000001</v>
      </c>
      <c r="CV599" s="335">
        <f t="shared" si="1072"/>
        <v>1.513861292459078</v>
      </c>
      <c r="CW599" s="335">
        <f t="shared" si="1073"/>
        <v>0.23699261992619944</v>
      </c>
      <c r="CX599" s="335">
        <f t="shared" si="1074"/>
        <v>0.73619765810468829</v>
      </c>
      <c r="CY599" s="335">
        <f t="shared" si="1075"/>
        <v>0.26412854465362851</v>
      </c>
      <c r="CZ599" s="336">
        <f>INDEX('State Tax Lookup'!$D$7:$Z$91,MATCH(Calculation!$C599,'State Tax Lookup'!$B$7:$B$91,0),MATCH($H599,'State Tax Lookup'!$D$6:$Z$6,0))</f>
        <v>0.25649666999999998</v>
      </c>
      <c r="DA599" s="303">
        <v>0.37</v>
      </c>
      <c r="DB599" s="57">
        <f t="shared" si="1080"/>
        <v>12.333530073111476</v>
      </c>
      <c r="DC599" s="56">
        <f t="shared" si="1084"/>
        <v>-2.4914832018988704E-2</v>
      </c>
      <c r="DD599" s="303">
        <f>VLOOKUP($H599,RoR!$E:$F,2,FALSE)</f>
        <v>3.3875000000000009E-2</v>
      </c>
      <c r="DE599" s="304">
        <f>HLOOKUP($H599,'GDP-PI'!$D$8:$CQ$11,3,FALSE)</f>
        <v>1.8092492884465461E-2</v>
      </c>
      <c r="DF599" s="303">
        <f>VLOOKUP(H599,'HW Dx Data'!$E:$F,2,FALSE)</f>
        <v>773.53929793938721</v>
      </c>
      <c r="DG599" s="89">
        <f ca="1">VLOOKUP(CC599,'ECI - Input Price'!M$13:N$33,2,FALSE)</f>
        <v>149.67500000000001</v>
      </c>
      <c r="DH599" s="89"/>
      <c r="DI599" s="89"/>
      <c r="DJ599" s="56">
        <f t="shared" ca="1" si="1092"/>
        <v>3.5532849899171604E-2</v>
      </c>
      <c r="DK599" s="53">
        <f>HLOOKUP(H599,'GDP-PI'!$8:$9,2,FALSE)</f>
        <v>112.318</v>
      </c>
      <c r="DL599" s="355">
        <f t="shared" si="1085"/>
        <v>1.7930771451401852E-2</v>
      </c>
      <c r="EC599"/>
    </row>
    <row r="600" spans="1:133" s="126" customFormat="1" ht="21" customHeight="1" x14ac:dyDescent="0.4">
      <c r="A600" s="233" t="s">
        <v>216</v>
      </c>
      <c r="B600" s="126" t="s">
        <v>216</v>
      </c>
      <c r="C600" s="126">
        <v>4061687</v>
      </c>
      <c r="D600" s="126" t="s">
        <v>194</v>
      </c>
      <c r="E600" s="126" t="s">
        <v>15</v>
      </c>
      <c r="G600" s="127" t="s">
        <v>176</v>
      </c>
      <c r="H600" s="128">
        <v>2020</v>
      </c>
      <c r="I600" s="129"/>
      <c r="J600" s="125">
        <f>IFERROR(INDEX('Labor Expenditures'!$E$7:$W$91,MATCH($C600,'Labor Expenditures'!$C$7:$C$91,0),MATCH($G600,'Labor Expenditures'!$E$5:$W$5,0)),"NA")</f>
        <v>85772.629881233472</v>
      </c>
      <c r="K600" s="125">
        <f t="shared" ca="1" si="1086"/>
        <v>560.05634920818454</v>
      </c>
      <c r="L600" s="47"/>
      <c r="M600" s="131">
        <f t="shared" ca="1" si="1093"/>
        <v>2.4730487887234091E-2</v>
      </c>
      <c r="N600" s="131"/>
      <c r="O600" s="131"/>
      <c r="P600" s="59">
        <f t="shared" ca="1" si="1095"/>
        <v>5.7187901763280328E-4</v>
      </c>
      <c r="Q600" s="61"/>
      <c r="R600" s="387"/>
      <c r="S600" s="49">
        <f t="shared" ca="1" si="1100"/>
        <v>116.59602324742673</v>
      </c>
      <c r="T600" s="61">
        <f ca="1">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</f>
        <v>2.5319373542762704E-3</v>
      </c>
      <c r="U600" s="61"/>
      <c r="V600" s="125">
        <f>IFERROR(INDEX('Non-Labor Expenditures'!$E$7:$AA$91,MATCH($C600,'Non-Labor Expenditures'!$C$7:$C$91,0),MATCH($G600,'Non-Labor Expenditures'!$E$5:$AA$5,0)),"NA")</f>
        <v>124214.78818548095</v>
      </c>
      <c r="W600" s="125">
        <f t="shared" si="1087"/>
        <v>1093.2186985511819</v>
      </c>
      <c r="X600" s="131">
        <f t="shared" si="1096"/>
        <v>3.6130227623209457E-2</v>
      </c>
      <c r="Y600" s="131">
        <f t="shared" si="1097"/>
        <v>8.354917692778883E-4</v>
      </c>
      <c r="Z600" s="131"/>
      <c r="AA600" s="131"/>
      <c r="AB600" s="131"/>
      <c r="AC600" s="125">
        <f t="shared" si="1061"/>
        <v>58304.704164250288</v>
      </c>
      <c r="AD600" s="129"/>
      <c r="AE600" s="133">
        <v>5323.1542188900721</v>
      </c>
      <c r="AF600" s="134">
        <v>-2.2441063961256701E-3</v>
      </c>
      <c r="AG600" s="59">
        <f t="shared" si="1088"/>
        <v>-5.189373404728943E-5</v>
      </c>
      <c r="AH600" s="134"/>
      <c r="AI600" s="134"/>
      <c r="AJ600" s="129">
        <f t="shared" si="1015"/>
        <v>268292.12223096471</v>
      </c>
      <c r="AK600" s="134">
        <f t="shared" si="1098"/>
        <v>3.4161278228664924E-2</v>
      </c>
      <c r="AL600" s="129"/>
      <c r="AM600" s="129"/>
      <c r="AN600" s="129"/>
      <c r="AO600" s="129"/>
      <c r="AP600" s="133">
        <f t="shared" si="1099"/>
        <v>357.99777193012864</v>
      </c>
      <c r="AQ600" s="134">
        <f>+BB600/Outputs!$B$28</f>
        <v>1.975640505259546E-2</v>
      </c>
      <c r="AR600" s="93">
        <f t="shared" si="1089"/>
        <v>0.31969865223025207</v>
      </c>
      <c r="AS600" s="93">
        <f t="shared" si="1090"/>
        <v>0.46298335990107131</v>
      </c>
      <c r="AT600" s="93">
        <f t="shared" si="1091"/>
        <v>0.21731798786867659</v>
      </c>
      <c r="AU600" s="93">
        <f t="shared" ca="1" si="1094"/>
        <v>2.3969104491682432E-2</v>
      </c>
      <c r="AV600" s="132">
        <f t="shared" ca="1" si="1102"/>
        <v>82.515633439126844</v>
      </c>
      <c r="AW600" s="134">
        <f t="shared" ca="1" si="1103"/>
        <v>2.3969104491682339E-2</v>
      </c>
      <c r="AX600" s="56">
        <f>+AJ600/$AL$25</f>
        <v>2.3124453518282909E-2</v>
      </c>
      <c r="AY600" s="135">
        <f t="shared" ca="1" si="1101"/>
        <v>5.5427244269277433E-4</v>
      </c>
      <c r="AZ600" s="93"/>
      <c r="BA600" s="93"/>
      <c r="BB600" s="234">
        <f>IFERROR(INDEX('Total Customers'!$E$7:$AA$91,MATCH($C600,'Total Customers'!$C$7:$C$91,0),MATCH($G600,'Total Customers'!$E$5:$AA$5,0)),"NA")</f>
        <v>749424</v>
      </c>
      <c r="BC600" s="411">
        <f t="shared" si="1076"/>
        <v>7.7250044426461035E-3</v>
      </c>
      <c r="BD600" s="92"/>
      <c r="BE600" s="281" t="str">
        <f t="shared" si="1062"/>
        <v>NATIONAL FUEL GAS DISTRIBUTION CORPORATION</v>
      </c>
      <c r="BF600" s="290">
        <f t="shared" si="1063"/>
        <v>4061687</v>
      </c>
      <c r="BG600" s="46" t="str">
        <f t="shared" si="1064"/>
        <v>NY</v>
      </c>
      <c r="BH600" s="46"/>
      <c r="BI600" s="46" t="str">
        <f t="shared" si="1065"/>
        <v>2020 Y</v>
      </c>
      <c r="BJ600" s="129"/>
      <c r="BK600" s="129"/>
      <c r="BL600" s="129">
        <f>INDEX('Dist. Plant Gas Additions'!$E$7:$AD$91,MATCH($C600,'Dist. Plant Gas Additions'!$C$7:$C$91,0),MATCH(Calculation!$G600,'Dist. Plant Gas Additions'!$E$5:$AD$5,0))</f>
        <v>27578</v>
      </c>
      <c r="BM600" s="129">
        <f>INDEX('Gen. Plant Additions'!$E$7:$AD$91,MATCH($C600,'Gen. Plant Additions'!$C$7:$C$91,0),MATCH(Calculation!$G600,'Gen. Plant Additions'!$E$5:$AD$5,0))</f>
        <v>10404</v>
      </c>
      <c r="BN600" s="393">
        <f t="shared" si="1066"/>
        <v>0.94803473974588115</v>
      </c>
      <c r="BO600" s="46">
        <f t="shared" si="1056"/>
        <v>9863.3534323161475</v>
      </c>
      <c r="BP600" s="46">
        <f t="shared" si="1057"/>
        <v>-540.64656768385248</v>
      </c>
      <c r="BQ600" s="129">
        <f>INDEX('Dist Plant Depreciation'!$D$7:$AC$94,MATCH($C600,'Dist Plant Depreciation'!$C$7:$C$94,0),MATCH(Calculation!$G600,'Dist Plant Depreciation'!$D$5:$AC$5,0))</f>
        <v>773543</v>
      </c>
      <c r="BR600" s="129">
        <f>INDEX('Gen. Plant Depreciation'!$D$7:$AC$94,MATCH($C600,'Gen. Plant Depreciation'!$C$7:$C$94,0),MATCH(Calculation!$G600,'Gen. Plant Depreciation'!$D$5:$AC$5,0))</f>
        <v>83504</v>
      </c>
      <c r="BS600" s="129"/>
      <c r="BT600" s="129"/>
      <c r="BU600" s="129"/>
      <c r="BV600" s="129"/>
      <c r="BW600" s="129"/>
      <c r="BX600" s="129"/>
      <c r="BY600" s="129">
        <f>INDEX('Gross Dx Plant'!$D$7:$AC$91,MATCH($C600,'Gross Dx Plant'!$C$7:$C$91,0),MATCH(Calculation!$G600,'Gross Dx Plant'!$D$5:$AC$5,0))</f>
        <v>1983301</v>
      </c>
      <c r="BZ600" s="129">
        <f>INDEX('Gross Gen Plant'!$D$7:$AC$91,MATCH($C600,'Gross Gen Plant'!$C$7:$C$91,0),MATCH(Calculation!$G600,'Gross Gen Plant'!$D$5:$AC$5,0))</f>
        <v>108712</v>
      </c>
      <c r="CA600" s="129">
        <f t="shared" si="1077"/>
        <v>1234966</v>
      </c>
      <c r="CB600" s="129"/>
      <c r="CC600" s="133">
        <v>2020</v>
      </c>
      <c r="CD600" s="129"/>
      <c r="CE600" s="129"/>
      <c r="CF600" s="129"/>
      <c r="CG600" s="137"/>
      <c r="CH600" s="129">
        <f t="shared" si="1067"/>
        <v>37982</v>
      </c>
      <c r="CI600" s="46">
        <f t="shared" si="1078"/>
        <v>37441.353432316144</v>
      </c>
      <c r="CJ600" s="46">
        <f t="shared" si="1068"/>
        <v>46.048784807502706</v>
      </c>
      <c r="CK600" s="443">
        <v>0.72499999999999998</v>
      </c>
      <c r="CL600" s="46">
        <f>CL578*CK600+CJ579*CK599+CJ580*CK598+CJ581*CK597+CJ582*CK596+CJ583*CK595+CJ584*CK594+CJ585*CK593+CJ586*CK592+CJ587*CK591+CJ588*CK590+CJ589*CK589+CJ590*CK588+CJ591*CK587+CJ592*CK586+CJ593*CK585+CJ594*CK584+CJ595*CK583+CJ596*CK582+CJ597*CK581+CJ598*CK580+CJ599*CK579+CJ600</f>
        <v>4698.0834439813088</v>
      </c>
      <c r="CM600" s="134">
        <f t="shared" si="1069"/>
        <v>-9.4720689708423077E-3</v>
      </c>
      <c r="CN600" s="135">
        <f t="shared" si="1070"/>
        <v>1.9136557682147292E-2</v>
      </c>
      <c r="CO600" s="135">
        <f t="shared" si="1081"/>
        <v>1.8426349906837492E-2</v>
      </c>
      <c r="CP600" s="134">
        <f>VLOOKUP($H600,RoR!$E:$F,2,FALSE)</f>
        <v>2.4766666666666666E-2</v>
      </c>
      <c r="CQ600" s="135">
        <v>1.1618796630994188E-2</v>
      </c>
      <c r="CR600" s="135">
        <f t="shared" si="1079"/>
        <v>1.3147870035672478E-2</v>
      </c>
      <c r="CS600" s="135">
        <f t="shared" si="1082"/>
        <v>1.2475591701696133E-2</v>
      </c>
      <c r="CT600" s="135">
        <f t="shared" si="1083"/>
        <v>4.5144642961987357E-2</v>
      </c>
      <c r="CU600" s="139">
        <f t="shared" si="1071"/>
        <v>0.90509623210000001</v>
      </c>
      <c r="CV600" s="335">
        <f t="shared" si="1072"/>
        <v>2.0706077233668081</v>
      </c>
      <c r="CW600" s="335">
        <f t="shared" si="1073"/>
        <v>-3.4421265141318998E-2</v>
      </c>
      <c r="CX600" s="335">
        <f t="shared" si="1074"/>
        <v>0.62416226176410472</v>
      </c>
      <c r="CY600" s="335">
        <f t="shared" si="1075"/>
        <v>-4.4485877841158712E-2</v>
      </c>
      <c r="CZ600" s="336">
        <f>INDEX('State Tax Lookup'!$D$7:$Z$91,MATCH(Calculation!$C600,'State Tax Lookup'!$B$7:$B$91,0),MATCH($H600,'State Tax Lookup'!$D$6:$Z$6,0))</f>
        <v>0.25649666999999998</v>
      </c>
      <c r="DA600" s="303">
        <v>0.37</v>
      </c>
      <c r="DB600" s="57">
        <f t="shared" si="1080"/>
        <v>12.293320454329384</v>
      </c>
      <c r="DC600" s="56">
        <f t="shared" si="1084"/>
        <v>-3.2655133443728547E-3</v>
      </c>
      <c r="DD600" s="303">
        <f>VLOOKUP($H600,RoR!$E:$F,2,FALSE)</f>
        <v>2.4766666666666666E-2</v>
      </c>
      <c r="DE600" s="304">
        <f>HLOOKUP($H600,'GDP-PI'!$D$8:$CQ$11,3,FALSE)</f>
        <v>1.1618796630994188E-2</v>
      </c>
      <c r="DF600" s="303">
        <f>VLOOKUP(H600,'HW Dx Data'!$E:$F,2,FALSE)</f>
        <v>813.080162458833</v>
      </c>
      <c r="DG600" s="89">
        <f ca="1">VLOOKUP(CC600,'ECI - Input Price'!M$13:N$33,2,FALSE)</f>
        <v>153.15</v>
      </c>
      <c r="DH600" s="89"/>
      <c r="DI600" s="89"/>
      <c r="DJ600" s="56">
        <f t="shared" ca="1" si="1092"/>
        <v>2.2951556467368479E-2</v>
      </c>
      <c r="DK600" s="53">
        <f>HLOOKUP(H600,'GDP-PI'!$8:$9,2,FALSE)</f>
        <v>113.623</v>
      </c>
      <c r="DL600" s="355">
        <f t="shared" si="1085"/>
        <v>1.1551816731392881E-2</v>
      </c>
      <c r="EC600"/>
    </row>
    <row r="601" spans="1:133" s="126" customFormat="1" ht="21" customHeight="1" x14ac:dyDescent="0.4">
      <c r="A601" s="233" t="s">
        <v>216</v>
      </c>
      <c r="B601" s="126" t="s">
        <v>216</v>
      </c>
      <c r="C601" s="126">
        <v>4061687</v>
      </c>
      <c r="D601" s="126" t="s">
        <v>194</v>
      </c>
      <c r="E601" s="126" t="s">
        <v>15</v>
      </c>
      <c r="G601" s="127" t="s">
        <v>177</v>
      </c>
      <c r="H601" s="128">
        <v>2021</v>
      </c>
      <c r="I601" s="129"/>
      <c r="J601" s="125">
        <v>81802.975722666757</v>
      </c>
      <c r="K601" s="125">
        <f t="shared" ca="1" si="1086"/>
        <v>520.20970252888242</v>
      </c>
      <c r="L601" s="47"/>
      <c r="M601" s="130">
        <f t="shared" ca="1" si="1093"/>
        <v>-7.3805397876690118E-2</v>
      </c>
      <c r="N601" s="130"/>
      <c r="O601" s="130"/>
      <c r="P601" s="59">
        <f t="shared" ca="1" si="1095"/>
        <v>-1.6048999856374015E-3</v>
      </c>
      <c r="Q601" s="61"/>
      <c r="R601" s="387"/>
      <c r="S601" s="132">
        <f ca="1">+S600*EXP(T601)</f>
        <v>121.09499073442531</v>
      </c>
      <c r="T601" s="134">
        <f ca="1">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</f>
        <v>3.7860117605127065E-2</v>
      </c>
      <c r="U601" s="134"/>
      <c r="V601" s="125">
        <v>115312.62842833747</v>
      </c>
      <c r="W601" s="125">
        <f t="shared" si="1087"/>
        <v>973.18447487836499</v>
      </c>
      <c r="X601" s="131">
        <f t="shared" si="1096"/>
        <v>-0.11630790019754239</v>
      </c>
      <c r="Y601" s="131">
        <f t="shared" si="1097"/>
        <v>-2.5291178250731378E-3</v>
      </c>
      <c r="Z601" s="131"/>
      <c r="AA601" s="131"/>
      <c r="AB601" s="131"/>
      <c r="AC601" s="125">
        <f t="shared" si="1061"/>
        <v>82203.008503312725</v>
      </c>
      <c r="AD601" s="129"/>
      <c r="AE601" s="133">
        <v>5354.6014018279657</v>
      </c>
      <c r="AF601" s="134"/>
      <c r="AG601" s="59">
        <f t="shared" si="1088"/>
        <v>0</v>
      </c>
      <c r="AH601" s="134"/>
      <c r="AI601" s="134"/>
      <c r="AJ601" s="129">
        <f t="shared" si="1015"/>
        <v>279318.61265431694</v>
      </c>
      <c r="AK601" s="134">
        <f t="shared" si="1098"/>
        <v>4.0276715889482111E-2</v>
      </c>
      <c r="AL601" s="129"/>
      <c r="AM601" s="134"/>
      <c r="AN601" s="134"/>
      <c r="AO601" s="134"/>
      <c r="AP601" s="133">
        <f t="shared" si="1099"/>
        <v>370.24432462990222</v>
      </c>
      <c r="AQ601" s="134">
        <f>+BB601/Outputs!$B$29</f>
        <v>1.9541304838709285E-2</v>
      </c>
      <c r="AR601" s="93">
        <f t="shared" si="1089"/>
        <v>0.29286618226156536</v>
      </c>
      <c r="AS601" s="93">
        <f t="shared" si="1090"/>
        <v>0.41283546174220653</v>
      </c>
      <c r="AT601" s="93">
        <f t="shared" si="1091"/>
        <v>0.29429835599622817</v>
      </c>
      <c r="AU601" s="93">
        <f t="shared" ca="1" si="1094"/>
        <v>-7.3537619716876473E-2</v>
      </c>
      <c r="AV601" s="132">
        <f t="shared" ca="1" si="1102"/>
        <v>76.66537343728244</v>
      </c>
      <c r="AW601" s="134">
        <f t="shared" ca="1" si="1103"/>
        <v>-7.3537619716876432E-2</v>
      </c>
      <c r="AX601" s="56">
        <f>+AJ601/$AL$26</f>
        <v>2.1745021797982548E-2</v>
      </c>
      <c r="AY601" s="135">
        <f t="shared" ca="1" si="1101"/>
        <v>-1.5990771437152291E-3</v>
      </c>
      <c r="AZ601" s="93"/>
      <c r="BA601" s="93"/>
      <c r="BB601" s="234">
        <f>INDEX('Total Customers'!$D$7:$D$91,MATCH(Calculation!$C601,'Total Customers'!$C$7:$C$91,0))</f>
        <v>754417</v>
      </c>
      <c r="BC601" s="411">
        <f t="shared" si="1076"/>
        <v>6.6403540625514582E-3</v>
      </c>
      <c r="BD601" s="91"/>
      <c r="BE601" s="281" t="str">
        <f t="shared" si="1062"/>
        <v>NATIONAL FUEL GAS DISTRIBUTION CORPORATION</v>
      </c>
      <c r="BF601" s="290">
        <f t="shared" si="1063"/>
        <v>4061687</v>
      </c>
      <c r="BG601" s="46" t="str">
        <f t="shared" si="1064"/>
        <v>NY</v>
      </c>
      <c r="BH601" s="46"/>
      <c r="BI601" s="46" t="str">
        <f t="shared" si="1065"/>
        <v>2021 Y</v>
      </c>
      <c r="BJ601" s="129"/>
      <c r="BK601" s="129"/>
      <c r="BL601" s="129">
        <f>INDEX('Dist. Plant Gas Additions'!$D$7:$AD$91,MATCH($C601,'Dist. Plant Gas Additions'!$C$7:$C$91,0),MATCH(Calculation!$G601,'Dist. Plant Gas Additions'!$D$5:$AD$5,0))</f>
        <v>30339</v>
      </c>
      <c r="BM601" s="129">
        <f>INDEX('Gen. Plant Additions'!$D$7:$AD$91,MATCH($C601,'Gen. Plant Additions'!$C$7:$C$91,0),MATCH(Calculation!$G601,'Gen. Plant Additions'!$D$5:$AD$5,0))</f>
        <v>5186</v>
      </c>
      <c r="BN601" s="393">
        <v>0.94803473974588115</v>
      </c>
      <c r="BO601" s="46">
        <f t="shared" si="1056"/>
        <v>4916.5081603221397</v>
      </c>
      <c r="BP601" s="46">
        <f t="shared" si="1057"/>
        <v>-269.4918396778603</v>
      </c>
      <c r="BQ601" s="129"/>
      <c r="BR601" s="129"/>
      <c r="BS601" s="137"/>
      <c r="BT601" s="137"/>
      <c r="BU601" s="333"/>
      <c r="BV601" s="93"/>
      <c r="BW601" s="334"/>
      <c r="BX601" s="334"/>
      <c r="BY601" s="129"/>
      <c r="BZ601" s="129"/>
      <c r="CA601" s="129"/>
      <c r="CB601" s="129"/>
      <c r="CC601" s="133">
        <v>2021</v>
      </c>
      <c r="CD601" s="129"/>
      <c r="CE601" s="129"/>
      <c r="CF601" s="129"/>
      <c r="CG601" s="137"/>
      <c r="CH601" s="129">
        <f t="shared" si="1067"/>
        <v>35525</v>
      </c>
      <c r="CI601" s="46">
        <f t="shared" si="1078"/>
        <v>35255.508160322141</v>
      </c>
      <c r="CJ601" s="46">
        <f t="shared" si="1068"/>
        <v>37.78634297664096</v>
      </c>
      <c r="CK601" s="443">
        <v>0.70886075949367089</v>
      </c>
      <c r="CL601" s="129">
        <f>CL578*CK601+CJ579*CK600+CJ580*CK599+CJ581*CK598+CJ582*CK597+CJ583*CK596+CJ584*CK595+CJ585*CK594+CJ586*CK593+CJ587*CK592+CJ588*CK591+CJ589*CK590+CJ590*CK589+CJ591*CK588+CJ592*CK587+CJ583*CK586+CJ594*CK585+CJ595*CK584+CJ596*CK583+CJ597*CK582+CJ598*CK581+CJ599*CK580+CJ601+CJ600*CK579</f>
        <v>4694.9925904450756</v>
      </c>
      <c r="CM601" s="134"/>
      <c r="CN601" s="135">
        <f t="shared" si="1070"/>
        <v>8.7008238572777487E-3</v>
      </c>
      <c r="CO601" s="135">
        <f t="shared" si="1081"/>
        <v>1.5417224152249324E-2</v>
      </c>
      <c r="CP601" s="134">
        <f>VLOOKUP($H601,RoR!$E:$F,2,FALSE)</f>
        <v>2.7033333333333336E-2</v>
      </c>
      <c r="CQ601" s="135"/>
      <c r="CR601" s="135"/>
      <c r="CS601" s="135">
        <f t="shared" si="1082"/>
        <v>1.5484717456284301E-2</v>
      </c>
      <c r="CT601" s="135">
        <f t="shared" si="1083"/>
        <v>7.433422950153494E-2</v>
      </c>
      <c r="CU601" s="139">
        <f t="shared" si="1071"/>
        <v>0.90509623210000001</v>
      </c>
      <c r="CV601" s="335">
        <f t="shared" si="1072"/>
        <v>1.8969932656739068</v>
      </c>
      <c r="CW601" s="335">
        <f t="shared" si="1073"/>
        <v>5.0215782983970621E-2</v>
      </c>
      <c r="CX601" s="335">
        <f t="shared" si="1074"/>
        <v>0.655952481704143</v>
      </c>
      <c r="CY601" s="335">
        <f t="shared" si="1075"/>
        <v>6.2485378865697057E-2</v>
      </c>
      <c r="CZ601" s="336">
        <f>CZ600</f>
        <v>0.25649666999999998</v>
      </c>
      <c r="DA601" s="303">
        <v>0.37</v>
      </c>
      <c r="DB601" s="141">
        <f t="shared" si="1080"/>
        <v>17.497136754482849</v>
      </c>
      <c r="DC601" s="135">
        <f t="shared" si="1084"/>
        <v>0.35298119113526588</v>
      </c>
      <c r="DD601" s="336">
        <f>VLOOKUP($H601,RoR!$E:$F,2,FALSE)</f>
        <v>2.7033333333333336E-2</v>
      </c>
      <c r="DE601" s="342">
        <f>HLOOKUP($H601,'GDP-PI'!$D$8:$CR$11,3,FALSE)</f>
        <v>4.2834637353352578E-2</v>
      </c>
      <c r="DF601" s="336">
        <f>VLOOKUP(H601,'HW Dx Data'!$E:$F,2,FALSE)</f>
        <v>933.02249921662576</v>
      </c>
      <c r="DG601" s="89">
        <f ca="1">VLOOKUP(CC601,'ECI - Input Price'!M$13:N$33,2,FALSE)</f>
        <v>157.25</v>
      </c>
      <c r="DH601" s="89"/>
      <c r="DI601" s="89"/>
      <c r="DJ601" s="135">
        <f t="shared" ca="1" si="1092"/>
        <v>2.6419062301765574E-2</v>
      </c>
      <c r="DK601" s="137">
        <f>HLOOKUP(H601,'GDP-PI'!$8:$9,2,FALSE)</f>
        <v>118.49</v>
      </c>
      <c r="DL601" s="356">
        <f t="shared" si="1085"/>
        <v>4.194261824609434E-2</v>
      </c>
      <c r="EC601"/>
    </row>
    <row r="602" spans="1:133" s="126" customFormat="1" ht="21" customHeight="1" thickBot="1" x14ac:dyDescent="0.45">
      <c r="A602" s="235"/>
      <c r="B602" s="236"/>
      <c r="C602" s="236"/>
      <c r="D602" s="236"/>
      <c r="E602" s="236"/>
      <c r="F602" s="236"/>
      <c r="G602" s="237" t="s">
        <v>178</v>
      </c>
      <c r="H602" s="238"/>
      <c r="I602" s="239"/>
      <c r="J602" s="240">
        <v>89382.162025226426</v>
      </c>
      <c r="K602" s="240">
        <f t="shared" ca="1" si="1086"/>
        <v>549.87488173009183</v>
      </c>
      <c r="L602" s="47"/>
      <c r="M602" s="241">
        <f t="shared" ref="M602" ca="1" si="1104">LN(K602/K601)</f>
        <v>5.5458760207446035E-2</v>
      </c>
      <c r="N602" s="241"/>
      <c r="O602" s="241"/>
      <c r="P602" s="242">
        <f t="shared" ca="1" si="1095"/>
        <v>1.4341453756919749E-3</v>
      </c>
      <c r="Q602" s="61"/>
      <c r="R602" s="387"/>
      <c r="S602" s="206">
        <f ca="1">+S601*EXP(T602)</f>
        <v>119.97386043356481</v>
      </c>
      <c r="T602" s="243">
        <f ca="1">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</f>
        <v>-9.3013956667485822E-3</v>
      </c>
      <c r="U602" s="243"/>
      <c r="V602" s="239">
        <v>125996.54165001799</v>
      </c>
      <c r="W602" s="240">
        <f t="shared" si="1087"/>
        <v>990.14963968579946</v>
      </c>
      <c r="X602" s="244">
        <f t="shared" ref="X602" si="1105">LN(W602/W601)</f>
        <v>1.728242477482694E-2</v>
      </c>
      <c r="Y602" s="244">
        <f t="shared" si="1097"/>
        <v>4.4691784451818142E-4</v>
      </c>
      <c r="Z602" s="206"/>
      <c r="AA602" s="243"/>
      <c r="AB602" s="243"/>
      <c r="AC602" s="240">
        <f t="shared" si="1061"/>
        <v>126812.56805300072</v>
      </c>
      <c r="AD602" s="243"/>
      <c r="AE602" s="245">
        <v>5269.9589809263125</v>
      </c>
      <c r="AF602" s="243">
        <v>-1.5933687345752165E-2</v>
      </c>
      <c r="AG602" s="242">
        <f t="shared" si="1088"/>
        <v>-4.1203993632667142E-4</v>
      </c>
      <c r="AH602" s="206"/>
      <c r="AI602" s="243"/>
      <c r="AJ602" s="239">
        <f t="shared" si="1015"/>
        <v>342191.27172824513</v>
      </c>
      <c r="AK602" s="243">
        <f t="shared" si="1098"/>
        <v>0.20301674368925776</v>
      </c>
      <c r="AL602" s="239"/>
      <c r="AM602" s="243"/>
      <c r="AN602" s="243"/>
      <c r="AO602" s="243"/>
      <c r="AP602" s="245">
        <f t="shared" si="1099"/>
        <v>453.48934859701649</v>
      </c>
      <c r="AQ602" s="243"/>
      <c r="AR602" s="207">
        <f t="shared" si="1089"/>
        <v>0.26120526562176671</v>
      </c>
      <c r="AS602" s="207">
        <f t="shared" si="1090"/>
        <v>0.3682050129849001</v>
      </c>
      <c r="AT602" s="207">
        <f t="shared" si="1091"/>
        <v>0.37058972139333313</v>
      </c>
      <c r="AU602" s="207"/>
      <c r="AV602" s="206"/>
      <c r="AW602" s="243"/>
      <c r="AX602" s="248">
        <f>+AJ602/$AL$27</f>
        <v>2.5859672490468381E-2</v>
      </c>
      <c r="AY602" s="249"/>
      <c r="AZ602" s="206"/>
      <c r="BA602" s="243"/>
      <c r="BB602" s="250">
        <v>754574</v>
      </c>
      <c r="BC602" s="412">
        <f t="shared" si="1076"/>
        <v>2.0808606620780162E-4</v>
      </c>
      <c r="BD602" s="91"/>
      <c r="BE602" s="401">
        <f t="shared" si="1062"/>
        <v>0</v>
      </c>
      <c r="BF602" s="402">
        <f t="shared" si="1063"/>
        <v>0</v>
      </c>
      <c r="BG602" s="313">
        <f t="shared" si="1064"/>
        <v>0</v>
      </c>
      <c r="BH602" s="313"/>
      <c r="BI602" s="313" t="str">
        <f t="shared" si="1065"/>
        <v>2022Y</v>
      </c>
      <c r="BJ602" s="239"/>
      <c r="BK602" s="239"/>
      <c r="BL602" s="239"/>
      <c r="BM602" s="239"/>
      <c r="BN602" s="415">
        <v>0.94803473974588115</v>
      </c>
      <c r="BO602" s="313">
        <f t="shared" si="1056"/>
        <v>0</v>
      </c>
      <c r="BP602" s="313">
        <f t="shared" si="1057"/>
        <v>0</v>
      </c>
      <c r="BQ602" s="239"/>
      <c r="BR602" s="239"/>
      <c r="BS602" s="310"/>
      <c r="BT602" s="310"/>
      <c r="BU602" s="311"/>
      <c r="BV602" s="207"/>
      <c r="BW602" s="312"/>
      <c r="BX602" s="312"/>
      <c r="BY602" s="239"/>
      <c r="BZ602" s="239"/>
      <c r="CA602" s="239"/>
      <c r="CB602" s="239"/>
      <c r="CC602" s="245">
        <v>2022</v>
      </c>
      <c r="CD602" s="239"/>
      <c r="CE602" s="239"/>
      <c r="CF602" s="239"/>
      <c r="CG602" s="310"/>
      <c r="CH602" s="239">
        <v>40997</v>
      </c>
      <c r="CI602" s="313">
        <f t="shared" si="1078"/>
        <v>40997</v>
      </c>
      <c r="CJ602" s="313">
        <f t="shared" si="1068"/>
        <v>39.771635897983138</v>
      </c>
      <c r="CK602" s="443">
        <v>0.69230769230769229</v>
      </c>
      <c r="CL602" s="239">
        <f>+CL578*CK602+CJ579*CK601+CJ580*CK600+CJ581*CK599+CJ582*CK598+CJ583*CK597+CJ584*CK596+CJ585*CK595+CJ586*CK594+CJ587*CK593+CJ588*CK592+CJ589*CK591+CJ590*CK590+CJ591*CK589+CJ592*CK588+CJ593*CK587+CJ594*CK586+CJ595*CK585+CJ596*CK584+CJ597*CK583+CJ598*CK582+CJ599*CK581+CJ600*CK580+CJ601*CK579+CJ602*CK578</f>
        <v>4586.0123091764326</v>
      </c>
      <c r="CM602" s="243">
        <f t="shared" ref="CM602" si="1106">LN(CL602/CL601)</f>
        <v>-2.3485665970058082E-2</v>
      </c>
      <c r="CN602" s="249"/>
      <c r="CO602" s="249">
        <f t="shared" si="1081"/>
        <v>9.2791271798083469E-3</v>
      </c>
      <c r="CP602" s="243"/>
      <c r="CQ602" s="249"/>
      <c r="CR602" s="249"/>
      <c r="CS602" s="248">
        <f t="shared" si="1082"/>
        <v>2.1622814428725278E-2</v>
      </c>
      <c r="CT602" s="249">
        <f t="shared" si="1083"/>
        <v>0.10114668178709289</v>
      </c>
      <c r="CU602" s="314">
        <f t="shared" si="1071"/>
        <v>0.90509623210000001</v>
      </c>
      <c r="CV602" s="315"/>
      <c r="CW602" s="315"/>
      <c r="CX602" s="315"/>
      <c r="CY602" s="315"/>
      <c r="CZ602" s="316">
        <f>CZ601</f>
        <v>0.25649666999999998</v>
      </c>
      <c r="DA602" s="360">
        <v>0.37</v>
      </c>
      <c r="DB602" s="318">
        <f t="shared" si="1080"/>
        <v>27.010174267597545</v>
      </c>
      <c r="DC602" s="249">
        <f t="shared" si="1084"/>
        <v>0.43417636623587658</v>
      </c>
      <c r="DD602" s="316">
        <v>0.04</v>
      </c>
      <c r="DE602" s="319">
        <v>7.0000000000000001E-3</v>
      </c>
      <c r="DF602" s="316">
        <v>1030.81</v>
      </c>
      <c r="DG602" s="89">
        <f ca="1">VLOOKUP(CC602,'ECI - Input Price'!M$13:N$33,2,FALSE)</f>
        <v>162.55000000000001</v>
      </c>
      <c r="DH602" s="89"/>
      <c r="DI602" s="89"/>
      <c r="DJ602" s="249">
        <f t="shared" ca="1" si="1092"/>
        <v>3.3148751169364422E-2</v>
      </c>
      <c r="DK602" s="310">
        <v>127.25</v>
      </c>
      <c r="DL602" s="357">
        <f t="shared" si="1085"/>
        <v>7.1325086601983473E-2</v>
      </c>
      <c r="EC602"/>
    </row>
    <row r="603" spans="1:133" s="126" customFormat="1" ht="21" customHeight="1" x14ac:dyDescent="0.4">
      <c r="A603" s="251" t="s">
        <v>217</v>
      </c>
      <c r="B603" s="252" t="s">
        <v>217</v>
      </c>
      <c r="C603" s="252">
        <v>4061755</v>
      </c>
      <c r="D603" s="252" t="s">
        <v>218</v>
      </c>
      <c r="E603" s="252" t="s">
        <v>15</v>
      </c>
      <c r="F603" s="252"/>
      <c r="G603" s="252" t="s">
        <v>150</v>
      </c>
      <c r="H603" s="253">
        <v>1998</v>
      </c>
      <c r="I603" s="254"/>
      <c r="J603" s="255"/>
      <c r="K603" s="255"/>
      <c r="L603" s="47"/>
      <c r="M603" s="255"/>
      <c r="N603" s="255"/>
      <c r="O603" s="255"/>
      <c r="P603" s="219"/>
      <c r="Q603" s="218"/>
      <c r="R603" s="385"/>
      <c r="S603" s="257"/>
      <c r="T603" s="258"/>
      <c r="U603" s="258"/>
      <c r="V603" s="259"/>
      <c r="W603" s="259"/>
      <c r="X603" s="259"/>
      <c r="Y603" s="255"/>
      <c r="Z603" s="259"/>
      <c r="AA603" s="259"/>
      <c r="AB603" s="259"/>
      <c r="AC603" s="255"/>
      <c r="AD603" s="254"/>
      <c r="AE603" s="260">
        <v>2590.2263232453911</v>
      </c>
      <c r="AF603" s="256"/>
      <c r="AG603" s="225"/>
      <c r="AH603" s="256"/>
      <c r="AI603" s="256"/>
      <c r="AJ603" s="254">
        <f t="shared" si="1015"/>
        <v>0</v>
      </c>
      <c r="AK603" s="254"/>
      <c r="AL603" s="254"/>
      <c r="AM603" s="256"/>
      <c r="AN603" s="256"/>
      <c r="AO603" s="256"/>
      <c r="AP603" s="226">
        <f>+(AP600+AP601+AP602)/3</f>
        <v>393.91048171901576</v>
      </c>
      <c r="AQ603" s="256"/>
      <c r="AR603" s="261"/>
      <c r="AS603" s="261"/>
      <c r="AT603" s="261"/>
      <c r="AU603" s="261"/>
      <c r="AV603" s="261"/>
      <c r="AW603" s="256">
        <f ca="1">AVERAGE(AW612:AW626)</f>
        <v>2.4529525665498399E-2</v>
      </c>
      <c r="AX603" s="223"/>
      <c r="AY603" s="261"/>
      <c r="AZ603" s="261"/>
      <c r="BA603" s="261"/>
      <c r="BB603" s="262">
        <f>IFERROR(INDEX('Total Customers'!$E$7:$AA$91,MATCH($C603,'Total Customers'!$C$7:$C$91,0),MATCH($G603,'Total Customers'!$E$5:$AA$5,0)),"NA")</f>
        <v>388074</v>
      </c>
      <c r="BC603" s="413"/>
      <c r="BD603" s="92"/>
      <c r="BE603" s="407" t="str">
        <f t="shared" si="1062"/>
        <v>NEW JERSEY NATURAL GAS COMPANY</v>
      </c>
      <c r="BF603" s="408">
        <f t="shared" si="1063"/>
        <v>4061755</v>
      </c>
      <c r="BG603" s="218" t="str">
        <f t="shared" si="1064"/>
        <v>NJ</v>
      </c>
      <c r="BH603" s="218"/>
      <c r="BI603" s="218" t="str">
        <f t="shared" si="1065"/>
        <v>1998 Y</v>
      </c>
      <c r="BJ603" s="254">
        <f>INDEX('Gross Dx Plant'!$D$7:$AC$91,MATCH($C603,'Gross Dx Plant'!$C$7:$C$91,0),MATCH(Calculation!$G603,'Gross Dx Plant'!$D$5:$AC$5,0))</f>
        <v>675001</v>
      </c>
      <c r="BK603" s="254">
        <f>INDEX('Gross Gen Plant'!$D$7:$AC$91,MATCH($C603,'Gross Gen Plant'!$C$7:$C$91,0),MATCH(Calculation!$G603,'Gross Gen Plant'!$D$5:$AC$5,0))</f>
        <v>55873</v>
      </c>
      <c r="BL603" s="254">
        <f>INDEX('Dist. Plant Gas Additions'!$E$7:$AD$91,MATCH($C603,'Dist. Plant Gas Additions'!$C$7:$C$91,0),MATCH(Calculation!$G603,'Dist. Plant Gas Additions'!$E$5:$AD$5,0))</f>
        <v>37147</v>
      </c>
      <c r="BM603" s="254">
        <f>INDEX('Gen. Plant Additions'!$E$7:$AD$91,MATCH($C603,'Gen. Plant Additions'!$C$7:$C$91,0),MATCH(Calculation!$G603,'Gen. Plant Additions'!$E$5:$AD$5,0))</f>
        <v>5070</v>
      </c>
      <c r="BN603" s="409">
        <f>+(BY603/(BY603+BZ603))</f>
        <v>0.92355317058754316</v>
      </c>
      <c r="BO603" s="218">
        <f t="shared" si="1056"/>
        <v>4682.4145748788442</v>
      </c>
      <c r="BP603" s="218">
        <f t="shared" si="1057"/>
        <v>-387.58542512115582</v>
      </c>
      <c r="BQ603" s="254">
        <f>INDEX('Dist Plant Depreciation'!$D$7:$AC$94,MATCH($C603,'Dist Plant Depreciation'!$C$7:$C$94,0),MATCH(Calculation!$G603,'Dist Plant Depreciation'!$D$5:$AC$5,0))</f>
        <v>180295</v>
      </c>
      <c r="BR603" s="254">
        <f>INDEX('Gen. Plant Depreciation'!$D$7:$AC$94,MATCH($C603,'Gen. Plant Depreciation'!$C$7:$C$94,0),MATCH(Calculation!$G603,'Gen. Plant Depreciation'!$D$5:$AC$5,0))</f>
        <v>28080</v>
      </c>
      <c r="BS603" s="254"/>
      <c r="BT603" s="254"/>
      <c r="BU603" s="254"/>
      <c r="BV603" s="254"/>
      <c r="BW603" s="254"/>
      <c r="BX603" s="254"/>
      <c r="BY603" s="254">
        <f>INDEX('Gross Dx Plant'!$D$7:$AC$91,MATCH($C603,'Gross Dx Plant'!$C$7:$C$91,0),MATCH(Calculation!$G603,'Gross Dx Plant'!$D$5:$AC$5,0))</f>
        <v>675001</v>
      </c>
      <c r="BZ603" s="254">
        <f>INDEX('Gross Gen Plant'!$D$7:$AC$91,MATCH($C603,'Gross Gen Plant'!$C$7:$C$91,0),MATCH(Calculation!$G603,'Gross Gen Plant'!$D$5:$AC$5,0))</f>
        <v>55873</v>
      </c>
      <c r="CA603" s="254">
        <f t="shared" si="1077"/>
        <v>522499</v>
      </c>
      <c r="CB603" s="254"/>
      <c r="CC603" s="260">
        <v>1998</v>
      </c>
      <c r="CD603" s="254">
        <f>BJ603+BK603</f>
        <v>730874</v>
      </c>
      <c r="CE603" s="254">
        <f>180295+28080</f>
        <v>208375</v>
      </c>
      <c r="CF603" s="254">
        <f>+CD603-CE603</f>
        <v>522499</v>
      </c>
      <c r="CG603" s="254">
        <f>CF603/$BX$3</f>
        <v>2590.2263232453911</v>
      </c>
      <c r="CH603" s="323"/>
      <c r="CI603" s="344"/>
      <c r="CJ603" s="344"/>
      <c r="CK603" s="443">
        <v>1</v>
      </c>
      <c r="CL603" s="254">
        <f>+CG603</f>
        <v>2590.2263232453911</v>
      </c>
      <c r="CM603" s="256"/>
      <c r="CN603" s="325"/>
      <c r="CO603" s="325"/>
      <c r="CP603" s="256" t="e">
        <f>VLOOKUP($H603,RoR!$E:$F,2,FALSE)</f>
        <v>#N/A</v>
      </c>
      <c r="CQ603" s="325">
        <v>1.1028127770464469E-2</v>
      </c>
      <c r="CR603" s="325"/>
      <c r="CS603" s="325"/>
      <c r="CT603" s="325"/>
      <c r="CU603" s="327"/>
      <c r="CV603" s="331" t="e">
        <f>2/(DD603*39)</f>
        <v>#N/A</v>
      </c>
      <c r="CW603" s="328" t="e">
        <f>+(DD603*40-(1+DD603))/(DD603*40)</f>
        <v>#N/A</v>
      </c>
      <c r="CX603" s="328" t="e">
        <f>+(1-(1/(1+DD603)^40))</f>
        <v>#N/A</v>
      </c>
      <c r="CY603" s="328" t="e">
        <f>+CX603*CW603*CV603</f>
        <v>#N/A</v>
      </c>
      <c r="CZ603" s="329">
        <f>INDEX('State Tax Lookup'!$D$7:$Z$91,MATCH(Calculation!$C603,'State Tax Lookup'!$B$7:$B$91,0),MATCH($H603,'State Tax Lookup'!$D$6:$Z$6,0))</f>
        <v>0.40849999999999997</v>
      </c>
      <c r="DA603" s="351">
        <v>0.37</v>
      </c>
      <c r="DB603" s="344"/>
      <c r="DC603" s="326"/>
      <c r="DD603" s="351" t="e">
        <f>VLOOKUP($H603,RoR!$E:$F,2,FALSE)</f>
        <v>#N/A</v>
      </c>
      <c r="DE603" s="354">
        <f>HLOOKUP($H603,'GDP-PI'!$D$8:$CQ$11,3,FALSE)</f>
        <v>1.1028127770464469E-2</v>
      </c>
      <c r="DF603" s="351">
        <f>VLOOKUP(H603,'HW Dx Data'!$E:$F,2,FALSE)</f>
        <v>329.24564746449528</v>
      </c>
      <c r="DG603" s="351"/>
      <c r="DH603" s="351"/>
      <c r="DI603" s="351"/>
      <c r="DJ603" s="326"/>
      <c r="DK603" s="344">
        <f>HLOOKUP(H603,'GDP-PI'!$8:$9,2,FALSE)</f>
        <v>75.266999999999996</v>
      </c>
      <c r="DL603" s="292"/>
      <c r="EC603"/>
    </row>
    <row r="604" spans="1:133" s="126" customFormat="1" ht="21" customHeight="1" x14ac:dyDescent="0.4">
      <c r="A604" s="233" t="s">
        <v>217</v>
      </c>
      <c r="B604" s="127" t="s">
        <v>217</v>
      </c>
      <c r="C604" s="127">
        <v>4061755</v>
      </c>
      <c r="D604" s="127" t="s">
        <v>218</v>
      </c>
      <c r="E604" s="127" t="s">
        <v>15</v>
      </c>
      <c r="F604" s="127"/>
      <c r="G604" s="127" t="s">
        <v>155</v>
      </c>
      <c r="H604" s="128">
        <v>1999</v>
      </c>
      <c r="I604" s="129"/>
      <c r="J604" s="125"/>
      <c r="K604" s="129"/>
      <c r="L604" s="47"/>
      <c r="M604" s="129"/>
      <c r="N604" s="129"/>
      <c r="O604" s="129"/>
      <c r="P604" s="47"/>
      <c r="Q604" s="47"/>
      <c r="R604" s="386"/>
      <c r="S604" s="119"/>
      <c r="T604" s="47"/>
      <c r="U604" s="46"/>
      <c r="V604" s="135"/>
      <c r="W604" s="135"/>
      <c r="X604" s="135"/>
      <c r="Y604" s="143"/>
      <c r="Z604" s="135"/>
      <c r="AA604" s="135"/>
      <c r="AB604" s="135"/>
      <c r="AC604" s="125">
        <f t="shared" ref="AC604:AC627" si="1107">+CL603*DB604</f>
        <v>0</v>
      </c>
      <c r="AD604" s="129"/>
      <c r="AE604" s="133">
        <v>2704.1926813561554</v>
      </c>
      <c r="AF604" s="134">
        <v>4.3058158153820213E-2</v>
      </c>
      <c r="AG604" s="61"/>
      <c r="AH604" s="134"/>
      <c r="AI604" s="134"/>
      <c r="AJ604" s="129">
        <f t="shared" si="1015"/>
        <v>0</v>
      </c>
      <c r="AK604" s="134"/>
      <c r="AL604" s="129"/>
      <c r="AM604" s="134"/>
      <c r="AN604" s="134"/>
      <c r="AO604" s="134"/>
      <c r="AP604" s="133"/>
      <c r="AQ604" s="134"/>
      <c r="AR604" s="93"/>
      <c r="AS604" s="93"/>
      <c r="AT604" s="93"/>
      <c r="AU604" s="93"/>
      <c r="AV604" s="93"/>
      <c r="AW604" s="134"/>
      <c r="AX604" s="62"/>
      <c r="AY604" s="93"/>
      <c r="AZ604" s="93"/>
      <c r="BA604" s="93"/>
      <c r="BB604" s="234">
        <f>IFERROR(INDEX('Total Customers'!$E$7:$AA$91,MATCH($C604,'Total Customers'!$C$7:$C$91,0),MATCH($G604,'Total Customers'!$E$5:$AA$5,0)),"NA")</f>
        <v>399805</v>
      </c>
      <c r="BC604" s="411">
        <f t="shared" si="1076"/>
        <v>2.9780885153527337E-2</v>
      </c>
      <c r="BD604" s="92"/>
      <c r="BE604" s="281" t="str">
        <f t="shared" si="1062"/>
        <v>NEW JERSEY NATURAL GAS COMPANY</v>
      </c>
      <c r="BF604" s="290">
        <f t="shared" si="1063"/>
        <v>4061755</v>
      </c>
      <c r="BG604" s="46" t="str">
        <f t="shared" si="1064"/>
        <v>NJ</v>
      </c>
      <c r="BH604" s="46"/>
      <c r="BI604" s="46" t="str">
        <f t="shared" si="1065"/>
        <v>1999 Y</v>
      </c>
      <c r="BJ604" s="129"/>
      <c r="BK604" s="129"/>
      <c r="BL604" s="129">
        <f>INDEX('Dist. Plant Gas Additions'!$E$7:$AD$91,MATCH($C604,'Dist. Plant Gas Additions'!$C$7:$C$91,0),MATCH(Calculation!$G604,'Dist. Plant Gas Additions'!$E$5:$AD$5,0))</f>
        <v>39322</v>
      </c>
      <c r="BM604" s="129">
        <f>INDEX('Gen. Plant Additions'!$E$7:$AD$91,MATCH($C604,'Gen. Plant Additions'!$C$7:$C$91,0),MATCH(Calculation!$G604,'Gen. Plant Additions'!$E$5:$AD$5,0))</f>
        <v>3215</v>
      </c>
      <c r="BN604" s="393">
        <f t="shared" ref="BN604:BN625" si="1108">+(BY604/(BY604+BZ604))</f>
        <v>0.92440484838421788</v>
      </c>
      <c r="BO604" s="46">
        <f t="shared" si="1056"/>
        <v>2971.9615875552604</v>
      </c>
      <c r="BP604" s="46">
        <f t="shared" si="1057"/>
        <v>-243.03841244473961</v>
      </c>
      <c r="BQ604" s="129">
        <f>INDEX('Dist Plant Depreciation'!$D$7:$AC$94,MATCH($C604,'Dist Plant Depreciation'!$C$7:$C$94,0),MATCH(Calculation!$G604,'Dist Plant Depreciation'!$D$5:$AC$5,0))</f>
        <v>192903</v>
      </c>
      <c r="BR604" s="129">
        <f>INDEX('Gen. Plant Depreciation'!$D$7:$AC$94,MATCH($C604,'Gen. Plant Depreciation'!$C$7:$C$94,0),MATCH(Calculation!$G604,'Gen. Plant Depreciation'!$D$5:$AC$5,0))</f>
        <v>34286</v>
      </c>
      <c r="BS604" s="129"/>
      <c r="BT604" s="129"/>
      <c r="BU604" s="129"/>
      <c r="BV604" s="129"/>
      <c r="BW604" s="129"/>
      <c r="BX604" s="129"/>
      <c r="BY604" s="129">
        <f>INDEX('Gross Dx Plant'!$D$7:$AC$91,MATCH($C604,'Gross Dx Plant'!$C$7:$C$91,0),MATCH(Calculation!$G604,'Gross Dx Plant'!$D$5:$AC$5,0))</f>
        <v>712620</v>
      </c>
      <c r="BZ604" s="129">
        <f>INDEX('Gross Gen Plant'!$D$7:$AC$91,MATCH($C604,'Gross Gen Plant'!$C$7:$C$91,0),MATCH(Calculation!$G604,'Gross Gen Plant'!$D$5:$AC$5,0))</f>
        <v>58276</v>
      </c>
      <c r="CA604" s="129">
        <f t="shared" si="1077"/>
        <v>543707</v>
      </c>
      <c r="CB604" s="129"/>
      <c r="CC604" s="133">
        <v>1999</v>
      </c>
      <c r="CD604" s="129"/>
      <c r="CE604" s="129"/>
      <c r="CF604" s="129"/>
      <c r="CG604" s="137"/>
      <c r="CH604" s="129">
        <f t="shared" ref="CH604:CH626" si="1109">+BM604+BL604</f>
        <v>42537</v>
      </c>
      <c r="CI604" s="46">
        <f>+CH604+BP604</f>
        <v>42293.961587555263</v>
      </c>
      <c r="CJ604" s="46">
        <f t="shared" ref="CJ604:CJ627" si="1110">+CI604/$DF604</f>
        <v>126.12827156886289</v>
      </c>
      <c r="CK604" s="443">
        <v>0.99009900990099009</v>
      </c>
      <c r="CL604" s="46">
        <f>+CL603*CK604+CJ604</f>
        <v>2690.7087896336066</v>
      </c>
      <c r="CM604" s="134">
        <f t="shared" ref="CM604:CM625" si="1111">LN(CL604/CL603)</f>
        <v>3.8059394090157614E-2</v>
      </c>
      <c r="CN604" s="135">
        <f t="shared" ref="CN604:CN627" si="1112">+(CL603-CL604+CJ604)/CL603</f>
        <v>9.9009900990098924E-3</v>
      </c>
      <c r="CO604" s="135"/>
      <c r="CP604" s="134">
        <f>VLOOKUP($H604,RoR!$E:$F,2,FALSE)</f>
        <v>7.0416666666666669E-2</v>
      </c>
      <c r="CQ604" s="135">
        <v>1.4335631817396832E-2</v>
      </c>
      <c r="CR604" s="135">
        <f>+CP604-CQ604</f>
        <v>5.6081034849269837E-2</v>
      </c>
      <c r="CS604" s="135"/>
      <c r="CT604" s="135"/>
      <c r="CU604" s="139">
        <f t="shared" ref="CU604:CU626" si="1113">1-CZ604*DA604</f>
        <v>0.84885500000000003</v>
      </c>
      <c r="CV604" s="335">
        <f t="shared" ref="CV604:CV626" si="1114">2/(DD604*39)</f>
        <v>0.72826581702321336</v>
      </c>
      <c r="CW604" s="335">
        <f t="shared" ref="CW604:CW626" si="1115">+(DD604*40-(1+DD604))/(DD604*40)</f>
        <v>0.61997041420118348</v>
      </c>
      <c r="CX604" s="335">
        <f t="shared" ref="CX604:CX626" si="1116">+(1-(1/(1+DD604)^40))</f>
        <v>0.93425155319585029</v>
      </c>
      <c r="CY604" s="335">
        <f t="shared" ref="CY604:CY626" si="1117">+CX604*CW604*CV604</f>
        <v>0.42181762214141483</v>
      </c>
      <c r="CZ604" s="336">
        <f>INDEX('State Tax Lookup'!$D$7:$Z$91,MATCH(Calculation!$C604,'State Tax Lookup'!$B$7:$B$91,0),MATCH($H604,'State Tax Lookup'!$D$6:$Z$6,0))</f>
        <v>0.40849999999999997</v>
      </c>
      <c r="DA604" s="303">
        <v>0.37</v>
      </c>
      <c r="DB604" s="57"/>
      <c r="DC604" s="56"/>
      <c r="DD604" s="303">
        <f>VLOOKUP($H604,RoR!$E:$F,2,FALSE)</f>
        <v>7.0416666666666669E-2</v>
      </c>
      <c r="DE604" s="304">
        <f>HLOOKUP($H604,'GDP-PI'!$D$8:$CQ$11,3,FALSE)</f>
        <v>1.4335631817396832E-2</v>
      </c>
      <c r="DF604" s="303">
        <f>VLOOKUP(H604,'HW Dx Data'!$E:$F,2,FALSE)</f>
        <v>335.32499146683239</v>
      </c>
      <c r="DG604" s="89"/>
      <c r="DH604" s="89"/>
      <c r="DI604" s="89"/>
      <c r="DJ604" s="56"/>
      <c r="DK604" s="53">
        <f>HLOOKUP(H604,'GDP-PI'!$8:$9,2,FALSE)</f>
        <v>76.346000000000004</v>
      </c>
      <c r="DL604" s="298"/>
      <c r="EC604"/>
    </row>
    <row r="605" spans="1:133" s="126" customFormat="1" ht="21" customHeight="1" x14ac:dyDescent="0.4">
      <c r="A605" s="233" t="s">
        <v>217</v>
      </c>
      <c r="B605" s="127" t="s">
        <v>217</v>
      </c>
      <c r="C605" s="127">
        <v>4061755</v>
      </c>
      <c r="D605" s="127" t="s">
        <v>218</v>
      </c>
      <c r="E605" s="127" t="s">
        <v>15</v>
      </c>
      <c r="F605" s="127"/>
      <c r="G605" s="127" t="s">
        <v>156</v>
      </c>
      <c r="H605" s="128">
        <v>2000</v>
      </c>
      <c r="I605" s="129"/>
      <c r="J605" s="125"/>
      <c r="K605" s="125"/>
      <c r="L605" s="47"/>
      <c r="M605" s="125"/>
      <c r="N605" s="125"/>
      <c r="O605" s="125"/>
      <c r="P605" s="47"/>
      <c r="Q605" s="47"/>
      <c r="R605" s="386"/>
      <c r="S605" s="119"/>
      <c r="T605" s="47"/>
      <c r="U605" s="47"/>
      <c r="V605" s="125"/>
      <c r="W605" s="125"/>
      <c r="X605" s="125"/>
      <c r="Y605" s="125"/>
      <c r="Z605" s="125"/>
      <c r="AA605" s="125"/>
      <c r="AB605" s="125"/>
      <c r="AC605" s="125">
        <f t="shared" si="1107"/>
        <v>0</v>
      </c>
      <c r="AD605" s="129"/>
      <c r="AE605" s="133">
        <v>2825.7603618509534</v>
      </c>
      <c r="AF605" s="134">
        <v>4.397406948031797E-2</v>
      </c>
      <c r="AG605" s="61"/>
      <c r="AH605" s="134"/>
      <c r="AI605" s="134"/>
      <c r="AJ605" s="129">
        <f t="shared" si="1015"/>
        <v>0</v>
      </c>
      <c r="AK605" s="134"/>
      <c r="AL605" s="129"/>
      <c r="AM605" s="129"/>
      <c r="AN605" s="129"/>
      <c r="AO605" s="129"/>
      <c r="AP605" s="133"/>
      <c r="AQ605" s="134"/>
      <c r="AR605" s="93"/>
      <c r="AS605" s="93"/>
      <c r="AT605" s="93"/>
      <c r="AU605" s="93"/>
      <c r="AV605" s="93"/>
      <c r="AW605" s="134"/>
      <c r="AX605" s="62"/>
      <c r="AY605" s="93"/>
      <c r="AZ605" s="93"/>
      <c r="BA605" s="93"/>
      <c r="BB605" s="234">
        <f>IFERROR(INDEX('Total Customers'!$E$7:$AA$91,MATCH($C605,'Total Customers'!$C$7:$C$91,0),MATCH($G605,'Total Customers'!$E$5:$AA$5,0)),"NA")</f>
        <v>414353</v>
      </c>
      <c r="BC605" s="411">
        <f t="shared" si="1076"/>
        <v>3.5741339283439602E-2</v>
      </c>
      <c r="BD605" s="92"/>
      <c r="BE605" s="281" t="str">
        <f t="shared" si="1062"/>
        <v>NEW JERSEY NATURAL GAS COMPANY</v>
      </c>
      <c r="BF605" s="290">
        <f t="shared" si="1063"/>
        <v>4061755</v>
      </c>
      <c r="BG605" s="46" t="str">
        <f t="shared" si="1064"/>
        <v>NJ</v>
      </c>
      <c r="BH605" s="46"/>
      <c r="BI605" s="46" t="str">
        <f t="shared" si="1065"/>
        <v>2000 Y</v>
      </c>
      <c r="BJ605" s="129"/>
      <c r="BK605" s="129"/>
      <c r="BL605" s="129">
        <f>INDEX('Dist. Plant Gas Additions'!$E$7:$AD$91,MATCH($C605,'Dist. Plant Gas Additions'!$C$7:$C$91,0),MATCH(Calculation!$G605,'Dist. Plant Gas Additions'!$E$5:$AD$5,0))</f>
        <v>38779</v>
      </c>
      <c r="BM605" s="129">
        <f>INDEX('Gen. Plant Additions'!$E$7:$AD$91,MATCH($C605,'Gen. Plant Additions'!$C$7:$C$91,0),MATCH(Calculation!$G605,'Gen. Plant Additions'!$E$5:$AD$5,0))</f>
        <v>8168</v>
      </c>
      <c r="BN605" s="393">
        <f t="shared" si="1108"/>
        <v>0.93411377733068734</v>
      </c>
      <c r="BO605" s="46">
        <f t="shared" si="1056"/>
        <v>7629.8413332370546</v>
      </c>
      <c r="BP605" s="46">
        <f t="shared" si="1057"/>
        <v>-538.15866676294536</v>
      </c>
      <c r="BQ605" s="129">
        <f>INDEX('Dist Plant Depreciation'!$D$7:$AC$94,MATCH($C605,'Dist Plant Depreciation'!$C$7:$C$94,0),MATCH(Calculation!$G605,'Dist Plant Depreciation'!$D$5:$AC$5,0))</f>
        <v>208441</v>
      </c>
      <c r="BR605" s="129">
        <f>INDEX('Gen. Plant Depreciation'!$D$7:$AC$94,MATCH($C605,'Gen. Plant Depreciation'!$C$7:$C$94,0),MATCH(Calculation!$G605,'Gen. Plant Depreciation'!$D$5:$AC$5,0))</f>
        <v>30882</v>
      </c>
      <c r="BS605" s="129"/>
      <c r="BT605" s="129"/>
      <c r="BU605" s="129"/>
      <c r="BV605" s="129"/>
      <c r="BW605" s="129"/>
      <c r="BX605" s="129"/>
      <c r="BY605" s="129">
        <f>INDEX('Gross Dx Plant'!$D$7:$AC$91,MATCH($C605,'Gross Dx Plant'!$C$7:$C$91,0),MATCH(Calculation!$G605,'Gross Dx Plant'!$D$5:$AC$5,0))</f>
        <v>750297</v>
      </c>
      <c r="BZ605" s="129">
        <f>INDEX('Gross Gen Plant'!$D$7:$AC$91,MATCH($C605,'Gross Gen Plant'!$C$7:$C$91,0),MATCH(Calculation!$G605,'Gross Gen Plant'!$D$5:$AC$5,0))</f>
        <v>52921</v>
      </c>
      <c r="CA605" s="129">
        <f t="shared" si="1077"/>
        <v>563895</v>
      </c>
      <c r="CB605" s="129"/>
      <c r="CC605" s="133">
        <v>2000</v>
      </c>
      <c r="CD605" s="129"/>
      <c r="CE605" s="129"/>
      <c r="CF605" s="129"/>
      <c r="CG605" s="137"/>
      <c r="CH605" s="129">
        <f t="shared" si="1109"/>
        <v>46947</v>
      </c>
      <c r="CI605" s="46">
        <f t="shared" ref="CI605:CI627" si="1118">+CH605+BP605</f>
        <v>46408.841333237055</v>
      </c>
      <c r="CJ605" s="46">
        <f t="shared" si="1110"/>
        <v>133.92301801102616</v>
      </c>
      <c r="CK605" s="443">
        <v>0.98</v>
      </c>
      <c r="CL605" s="46">
        <f>+CL603*CK605+CJ604*CK604+CJ605</f>
        <v>2797.2242915923639</v>
      </c>
      <c r="CM605" s="134">
        <f t="shared" si="1111"/>
        <v>3.8822951586503208E-2</v>
      </c>
      <c r="CN605" s="135">
        <f t="shared" si="1112"/>
        <v>1.0185983766753479E-2</v>
      </c>
      <c r="CO605" s="135"/>
      <c r="CP605" s="134">
        <f>VLOOKUP($H605,RoR!$E:$F,2,FALSE)</f>
        <v>7.6225000000000001E-2</v>
      </c>
      <c r="CQ605" s="135">
        <v>2.2568307442433211E-2</v>
      </c>
      <c r="CR605" s="135">
        <f t="shared" ref="CR605:CR625" si="1119">+CP605-CQ605</f>
        <v>5.365669255756679E-2</v>
      </c>
      <c r="CS605" s="135"/>
      <c r="CT605" s="135"/>
      <c r="CU605" s="139">
        <f t="shared" si="1113"/>
        <v>0.84885500000000003</v>
      </c>
      <c r="CV605" s="335">
        <f t="shared" si="1114"/>
        <v>0.67277207323124022</v>
      </c>
      <c r="CW605" s="335">
        <f t="shared" si="1115"/>
        <v>0.6470236142997704</v>
      </c>
      <c r="CX605" s="335">
        <f t="shared" si="1116"/>
        <v>0.94704866037543145</v>
      </c>
      <c r="CY605" s="335">
        <f t="shared" si="1117"/>
        <v>0.41224973107878493</v>
      </c>
      <c r="CZ605" s="336">
        <f>INDEX('State Tax Lookup'!$D$7:$Z$91,MATCH(Calculation!$C605,'State Tax Lookup'!$B$7:$B$91,0),MATCH($H605,'State Tax Lookup'!$D$6:$Z$6,0))</f>
        <v>0.40849999999999997</v>
      </c>
      <c r="DA605" s="303">
        <v>0.37</v>
      </c>
      <c r="DB605" s="57"/>
      <c r="DC605" s="56"/>
      <c r="DD605" s="303">
        <f>VLOOKUP($H605,RoR!$E:$F,2,FALSE)</f>
        <v>7.6225000000000001E-2</v>
      </c>
      <c r="DE605" s="304">
        <f>HLOOKUP($H605,'GDP-PI'!$D$8:$CQ$11,3,FALSE)</f>
        <v>2.2568307442433211E-2</v>
      </c>
      <c r="DF605" s="303">
        <f>VLOOKUP(H605,'HW Dx Data'!$E:$F,2,FALSE)</f>
        <v>346.53371782150339</v>
      </c>
      <c r="DG605" s="89"/>
      <c r="DH605" s="89"/>
      <c r="DI605" s="89"/>
      <c r="DJ605" s="56"/>
      <c r="DK605" s="53">
        <f>HLOOKUP(H605,'GDP-PI'!$8:$9,2,FALSE)</f>
        <v>78.069000000000003</v>
      </c>
      <c r="DL605" s="298"/>
      <c r="EC605"/>
    </row>
    <row r="606" spans="1:133" s="126" customFormat="1" ht="21" customHeight="1" x14ac:dyDescent="0.4">
      <c r="A606" s="233" t="s">
        <v>217</v>
      </c>
      <c r="B606" s="127" t="s">
        <v>217</v>
      </c>
      <c r="C606" s="127">
        <v>4061755</v>
      </c>
      <c r="D606" s="127" t="s">
        <v>218</v>
      </c>
      <c r="E606" s="127" t="s">
        <v>15</v>
      </c>
      <c r="F606" s="127"/>
      <c r="G606" s="127" t="s">
        <v>157</v>
      </c>
      <c r="H606" s="128">
        <v>2001</v>
      </c>
      <c r="I606" s="129"/>
      <c r="J606" s="125"/>
      <c r="K606" s="125"/>
      <c r="L606" s="47"/>
      <c r="M606" s="125"/>
      <c r="N606" s="125"/>
      <c r="O606" s="125"/>
      <c r="P606" s="47"/>
      <c r="Q606" s="47"/>
      <c r="R606" s="386"/>
      <c r="S606" s="119"/>
      <c r="T606" s="47"/>
      <c r="U606" s="47"/>
      <c r="V606" s="125"/>
      <c r="W606" s="125"/>
      <c r="X606" s="125"/>
      <c r="Y606" s="125"/>
      <c r="Z606" s="125"/>
      <c r="AA606" s="125"/>
      <c r="AB606" s="125"/>
      <c r="AC606" s="125">
        <f t="shared" si="1107"/>
        <v>29617.108496762467</v>
      </c>
      <c r="AD606" s="129"/>
      <c r="AE606" s="133">
        <v>2919.443301975175</v>
      </c>
      <c r="AF606" s="134">
        <v>3.2615465075366931E-2</v>
      </c>
      <c r="AG606" s="61"/>
      <c r="AH606" s="134"/>
      <c r="AI606" s="134"/>
      <c r="AJ606" s="129">
        <f t="shared" ref="AJ606:AJ669" si="1120">+J606+V606+AC606</f>
        <v>29617.108496762467</v>
      </c>
      <c r="AK606" s="134"/>
      <c r="AL606" s="129"/>
      <c r="AM606" s="129"/>
      <c r="AN606" s="129"/>
      <c r="AO606" s="129"/>
      <c r="AP606" s="133"/>
      <c r="AQ606" s="134"/>
      <c r="AR606" s="93"/>
      <c r="AS606" s="93"/>
      <c r="AT606" s="93"/>
      <c r="AU606" s="93"/>
      <c r="AV606" s="93"/>
      <c r="AW606" s="134"/>
      <c r="AX606" s="62"/>
      <c r="AY606" s="93"/>
      <c r="AZ606" s="93"/>
      <c r="BA606" s="93"/>
      <c r="BB606" s="234">
        <f>IFERROR(INDEX('Total Customers'!$E$7:$AA$91,MATCH($C606,'Total Customers'!$C$7:$C$91,0),MATCH($G606,'Total Customers'!$E$5:$AA$5,0)),"NA")</f>
        <v>424076</v>
      </c>
      <c r="BC606" s="411">
        <f t="shared" si="1076"/>
        <v>2.319441692779688E-2</v>
      </c>
      <c r="BD606" s="92"/>
      <c r="BE606" s="281" t="str">
        <f t="shared" si="1062"/>
        <v>NEW JERSEY NATURAL GAS COMPANY</v>
      </c>
      <c r="BF606" s="290">
        <f t="shared" si="1063"/>
        <v>4061755</v>
      </c>
      <c r="BG606" s="46" t="str">
        <f t="shared" si="1064"/>
        <v>NJ</v>
      </c>
      <c r="BH606" s="46"/>
      <c r="BI606" s="46" t="str">
        <f t="shared" si="1065"/>
        <v>2001 Y</v>
      </c>
      <c r="BJ606" s="129"/>
      <c r="BK606" s="129"/>
      <c r="BL606" s="129">
        <f>INDEX('Dist. Plant Gas Additions'!$E$7:$AD$91,MATCH($C606,'Dist. Plant Gas Additions'!$C$7:$C$91,0),MATCH(Calculation!$G606,'Dist. Plant Gas Additions'!$E$5:$AD$5,0))</f>
        <v>35879</v>
      </c>
      <c r="BM606" s="129">
        <f>INDEX('Gen. Plant Additions'!$E$7:$AD$91,MATCH($C606,'Gen. Plant Additions'!$C$7:$C$91,0),MATCH(Calculation!$G606,'Gen. Plant Additions'!$E$5:$AD$5,0))</f>
        <v>2300</v>
      </c>
      <c r="BN606" s="393">
        <f t="shared" si="1108"/>
        <v>0.93362693786947859</v>
      </c>
      <c r="BO606" s="46">
        <f t="shared" si="1056"/>
        <v>2147.3419570998008</v>
      </c>
      <c r="BP606" s="46">
        <f t="shared" si="1057"/>
        <v>-152.65804290019923</v>
      </c>
      <c r="BQ606" s="129">
        <f>INDEX('Dist Plant Depreciation'!$D$7:$AC$94,MATCH($C606,'Dist Plant Depreciation'!$C$7:$C$94,0),MATCH(Calculation!$G606,'Dist Plant Depreciation'!$D$5:$AC$5,0))</f>
        <v>223180</v>
      </c>
      <c r="BR606" s="129">
        <f>INDEX('Gen. Plant Depreciation'!$D$7:$AC$94,MATCH($C606,'Gen. Plant Depreciation'!$C$7:$C$94,0),MATCH(Calculation!$G606,'Gen. Plant Depreciation'!$D$5:$AC$5,0))</f>
        <v>36388</v>
      </c>
      <c r="BS606" s="129"/>
      <c r="BT606" s="129"/>
      <c r="BU606" s="129"/>
      <c r="BV606" s="129"/>
      <c r="BW606" s="129"/>
      <c r="BX606" s="129"/>
      <c r="BY606" s="129">
        <f>INDEX('Gross Dx Plant'!$D$7:$AC$91,MATCH($C606,'Gross Dx Plant'!$C$7:$C$91,0),MATCH(Calculation!$G606,'Gross Dx Plant'!$D$5:$AC$5,0))</f>
        <v>762959</v>
      </c>
      <c r="BZ606" s="129">
        <f>INDEX('Gross Gen Plant'!$D$7:$AC$91,MATCH($C606,'Gross Gen Plant'!$C$7:$C$91,0),MATCH(Calculation!$G606,'Gross Gen Plant'!$D$5:$AC$5,0))</f>
        <v>54240</v>
      </c>
      <c r="CA606" s="129">
        <f t="shared" si="1077"/>
        <v>557631</v>
      </c>
      <c r="CB606" s="129"/>
      <c r="CC606" s="133">
        <v>2001</v>
      </c>
      <c r="CD606" s="129"/>
      <c r="CE606" s="129"/>
      <c r="CF606" s="129"/>
      <c r="CG606" s="137"/>
      <c r="CH606" s="129">
        <f t="shared" si="1109"/>
        <v>38179</v>
      </c>
      <c r="CI606" s="46">
        <f t="shared" si="1118"/>
        <v>38026.341957099801</v>
      </c>
      <c r="CJ606" s="46">
        <f t="shared" si="1110"/>
        <v>107.58699622639789</v>
      </c>
      <c r="CK606" s="443">
        <v>0.96969696969696972</v>
      </c>
      <c r="CL606" s="46">
        <f>+CL603*CK606+CJ604*CK605+CJ605*CK603+CJ606</f>
        <v>2876.8503368552888</v>
      </c>
      <c r="CM606" s="134">
        <f t="shared" si="1111"/>
        <v>2.8068461595701245E-2</v>
      </c>
      <c r="CN606" s="135">
        <f t="shared" si="1112"/>
        <v>9.9959631580189747E-3</v>
      </c>
      <c r="CO606" s="135">
        <f>+(CN606+CN605+CN604)/3</f>
        <v>1.0027645674594115E-2</v>
      </c>
      <c r="CP606" s="134">
        <f>VLOOKUP($H606,RoR!$E:$F,2,FALSE)</f>
        <v>7.0824999999999999E-2</v>
      </c>
      <c r="CQ606" s="135">
        <v>2.2454495382290052E-2</v>
      </c>
      <c r="CR606" s="135">
        <f t="shared" si="1119"/>
        <v>4.8370504617709947E-2</v>
      </c>
      <c r="CS606" s="135">
        <f>+$CR$2-CO606</f>
        <v>2.087429593393951E-2</v>
      </c>
      <c r="CT606" s="135">
        <v>2.3947275901631187E-2</v>
      </c>
      <c r="CU606" s="139">
        <f t="shared" si="1113"/>
        <v>0.84885500000000003</v>
      </c>
      <c r="CV606" s="335">
        <f t="shared" si="1114"/>
        <v>0.72406708481540816</v>
      </c>
      <c r="CW606" s="335">
        <f t="shared" si="1115"/>
        <v>0.62201729615248857</v>
      </c>
      <c r="CX606" s="335">
        <f t="shared" si="1116"/>
        <v>0.9352469954311422</v>
      </c>
      <c r="CY606" s="335">
        <f t="shared" si="1117"/>
        <v>0.42121864641655071</v>
      </c>
      <c r="CZ606" s="336">
        <f>INDEX('State Tax Lookup'!$D$7:$Z$91,MATCH(Calculation!$C606,'State Tax Lookup'!$B$7:$B$91,0),MATCH($H606,'State Tax Lookup'!$D$6:$Z$6,0))</f>
        <v>0.40849999999999997</v>
      </c>
      <c r="DA606" s="303">
        <v>0.37</v>
      </c>
      <c r="DB606" s="57">
        <f t="shared" ref="DB606:DB628" si="1121">+(DF606*CS606-CT605)*CU606/(1-CZ606)</f>
        <v>10.588034926545866</v>
      </c>
      <c r="DC606" s="56"/>
      <c r="DD606" s="303">
        <f>VLOOKUP($H606,RoR!$E:$F,2,FALSE)</f>
        <v>7.0824999999999999E-2</v>
      </c>
      <c r="DE606" s="304">
        <f>HLOOKUP($H606,'GDP-PI'!$D$8:$CQ$11,3,FALSE)</f>
        <v>2.2454495382290052E-2</v>
      </c>
      <c r="DF606" s="303">
        <f>VLOOKUP(H606,'HW Dx Data'!$E:$F,2,FALSE)</f>
        <v>353.44738017483138</v>
      </c>
      <c r="DG606" s="89"/>
      <c r="DH606" s="89"/>
      <c r="DI606" s="89"/>
      <c r="DJ606" s="56"/>
      <c r="DK606" s="53">
        <f>HLOOKUP(H606,'GDP-PI'!$8:$9,2,FALSE)</f>
        <v>79.822000000000003</v>
      </c>
      <c r="DL606" s="298"/>
      <c r="EC606"/>
    </row>
    <row r="607" spans="1:133" s="126" customFormat="1" ht="21" customHeight="1" x14ac:dyDescent="0.4">
      <c r="A607" s="233" t="s">
        <v>217</v>
      </c>
      <c r="B607" s="127" t="s">
        <v>217</v>
      </c>
      <c r="C607" s="127">
        <v>4061755</v>
      </c>
      <c r="D607" s="127" t="s">
        <v>218</v>
      </c>
      <c r="E607" s="127" t="s">
        <v>15</v>
      </c>
      <c r="F607" s="127"/>
      <c r="G607" s="127" t="s">
        <v>158</v>
      </c>
      <c r="H607" s="128">
        <v>2002</v>
      </c>
      <c r="I607" s="129"/>
      <c r="J607" s="125"/>
      <c r="K607" s="125"/>
      <c r="L607" s="47"/>
      <c r="M607" s="125"/>
      <c r="N607" s="125"/>
      <c r="O607" s="125"/>
      <c r="P607" s="47"/>
      <c r="Q607" s="47"/>
      <c r="R607" s="386"/>
      <c r="S607" s="119"/>
      <c r="T607" s="47"/>
      <c r="U607" s="47"/>
      <c r="V607" s="125"/>
      <c r="W607" s="125"/>
      <c r="X607" s="125"/>
      <c r="Y607" s="125"/>
      <c r="Z607" s="125"/>
      <c r="AA607" s="125"/>
      <c r="AB607" s="125"/>
      <c r="AC607" s="125">
        <f t="shared" si="1107"/>
        <v>30386.863784980302</v>
      </c>
      <c r="AD607" s="129"/>
      <c r="AE607" s="133">
        <v>3011.5989589514925</v>
      </c>
      <c r="AF607" s="134">
        <v>3.1078205218563325E-2</v>
      </c>
      <c r="AG607" s="61"/>
      <c r="AH607" s="134"/>
      <c r="AI607" s="134"/>
      <c r="AJ607" s="129">
        <f t="shared" si="1120"/>
        <v>30386.863784980302</v>
      </c>
      <c r="AK607" s="134"/>
      <c r="AL607" s="129"/>
      <c r="AM607" s="129"/>
      <c r="AN607" s="129"/>
      <c r="AO607" s="129"/>
      <c r="AP607" s="133"/>
      <c r="AQ607" s="134"/>
      <c r="AR607" s="93"/>
      <c r="AS607" s="93"/>
      <c r="AT607" s="93"/>
      <c r="AU607" s="93"/>
      <c r="AV607" s="93"/>
      <c r="AW607" s="134"/>
      <c r="AX607" s="62"/>
      <c r="AY607" s="93"/>
      <c r="AZ607" s="93"/>
      <c r="BA607" s="93"/>
      <c r="BB607" s="234">
        <f>IFERROR(INDEX('Total Customers'!$E$7:$AA$91,MATCH($C607,'Total Customers'!$C$7:$C$91,0),MATCH($G607,'Total Customers'!$E$5:$AA$5,0)),"NA")</f>
        <v>437308</v>
      </c>
      <c r="BC607" s="411">
        <f t="shared" si="1076"/>
        <v>3.0725067876372563E-2</v>
      </c>
      <c r="BD607" s="92"/>
      <c r="BE607" s="281" t="str">
        <f t="shared" si="1062"/>
        <v>NEW JERSEY NATURAL GAS COMPANY</v>
      </c>
      <c r="BF607" s="290">
        <f t="shared" si="1063"/>
        <v>4061755</v>
      </c>
      <c r="BG607" s="46" t="str">
        <f t="shared" si="1064"/>
        <v>NJ</v>
      </c>
      <c r="BH607" s="46"/>
      <c r="BI607" s="46" t="str">
        <f t="shared" si="1065"/>
        <v>2002 Y</v>
      </c>
      <c r="BJ607" s="129"/>
      <c r="BK607" s="129"/>
      <c r="BL607" s="129">
        <f>INDEX('Dist. Plant Gas Additions'!$E$7:$AD$91,MATCH($C607,'Dist. Plant Gas Additions'!$C$7:$C$91,0),MATCH(Calculation!$G607,'Dist. Plant Gas Additions'!$E$5:$AD$5,0))</f>
        <v>36913</v>
      </c>
      <c r="BM607" s="129">
        <f>INDEX('Gen. Plant Additions'!$E$7:$AD$91,MATCH($C607,'Gen. Plant Additions'!$C$7:$C$91,0),MATCH(Calculation!$G607,'Gen. Plant Additions'!$E$5:$AD$5,0))</f>
        <v>2418</v>
      </c>
      <c r="BN607" s="393">
        <f t="shared" si="1108"/>
        <v>0.93631706704019391</v>
      </c>
      <c r="BO607" s="46">
        <f t="shared" si="1056"/>
        <v>2264.0146681031888</v>
      </c>
      <c r="BP607" s="46">
        <f t="shared" si="1057"/>
        <v>-153.9853318968112</v>
      </c>
      <c r="BQ607" s="129">
        <f>INDEX('Dist Plant Depreciation'!$D$7:$AC$94,MATCH($C607,'Dist Plant Depreciation'!$C$7:$C$94,0),MATCH(Calculation!$G607,'Dist Plant Depreciation'!$D$5:$AC$5,0))</f>
        <v>239388</v>
      </c>
      <c r="BR607" s="129">
        <f>INDEX('Gen. Plant Depreciation'!$D$7:$AC$94,MATCH($C607,'Gen. Plant Depreciation'!$C$7:$C$94,0),MATCH(Calculation!$G607,'Gen. Plant Depreciation'!$D$5:$AC$5,0))</f>
        <v>40463</v>
      </c>
      <c r="BS607" s="129"/>
      <c r="BT607" s="129"/>
      <c r="BU607" s="129"/>
      <c r="BV607" s="129"/>
      <c r="BW607" s="129"/>
      <c r="BX607" s="129"/>
      <c r="BY607" s="129">
        <f>INDEX('Gross Dx Plant'!$D$7:$AC$91,MATCH($C607,'Gross Dx Plant'!$C$7:$C$91,0),MATCH(Calculation!$G607,'Gross Dx Plant'!$D$5:$AC$5,0))</f>
        <v>793451</v>
      </c>
      <c r="BZ607" s="129">
        <f>INDEX('Gross Gen Plant'!$D$7:$AC$91,MATCH($C607,'Gross Gen Plant'!$C$7:$C$91,0),MATCH(Calculation!$G607,'Gross Gen Plant'!$D$5:$AC$5,0))</f>
        <v>53966</v>
      </c>
      <c r="CA607" s="129">
        <f t="shared" si="1077"/>
        <v>567566</v>
      </c>
      <c r="CB607" s="129"/>
      <c r="CC607" s="133">
        <v>2002</v>
      </c>
      <c r="CD607" s="129"/>
      <c r="CE607" s="129"/>
      <c r="CF607" s="129"/>
      <c r="CG607" s="137"/>
      <c r="CH607" s="129">
        <f t="shared" si="1109"/>
        <v>39331</v>
      </c>
      <c r="CI607" s="46">
        <f t="shared" si="1118"/>
        <v>39177.014668103191</v>
      </c>
      <c r="CJ607" s="46">
        <f t="shared" si="1110"/>
        <v>108.41902182762955</v>
      </c>
      <c r="CK607" s="443">
        <v>0.95918367346938771</v>
      </c>
      <c r="CL607" s="46">
        <f>+CL603*CK607+CJ604*CK606+CJ605*CK605+CJ606*CK604+CJ607</f>
        <v>2952.994360501476</v>
      </c>
      <c r="CM607" s="134">
        <f t="shared" si="1111"/>
        <v>2.6123630349145843E-2</v>
      </c>
      <c r="CN607" s="135">
        <f t="shared" si="1112"/>
        <v>1.1218865913171717E-2</v>
      </c>
      <c r="CO607" s="135">
        <f t="shared" ref="CO607:CO627" si="1122">+(CN607+CN606+CN605)/3</f>
        <v>1.0466937612648058E-2</v>
      </c>
      <c r="CP607" s="134">
        <f>VLOOKUP($H607,RoR!$E:$F,2,FALSE)</f>
        <v>6.4916666666666664E-2</v>
      </c>
      <c r="CQ607" s="135">
        <v>1.5246423291824351E-2</v>
      </c>
      <c r="CR607" s="135">
        <f t="shared" si="1119"/>
        <v>4.9670243374842313E-2</v>
      </c>
      <c r="CS607" s="135">
        <f t="shared" ref="CS607:CS627" si="1123">+$CR$2-CO607</f>
        <v>2.0435003995885569E-2</v>
      </c>
      <c r="CT607" s="135">
        <v>2.5243621214759093E-2</v>
      </c>
      <c r="CU607" s="139">
        <f t="shared" si="1113"/>
        <v>0.84885500000000003</v>
      </c>
      <c r="CV607" s="335">
        <f t="shared" si="1114"/>
        <v>0.78996741384417901</v>
      </c>
      <c r="CW607" s="335">
        <f t="shared" si="1115"/>
        <v>0.58989088575096271</v>
      </c>
      <c r="CX607" s="335">
        <f t="shared" si="1116"/>
        <v>0.91920675783645744</v>
      </c>
      <c r="CY607" s="335">
        <f t="shared" si="1117"/>
        <v>0.42834536472275586</v>
      </c>
      <c r="CZ607" s="336">
        <f>INDEX('State Tax Lookup'!$D$7:$Z$91,MATCH(Calculation!$C607,'State Tax Lookup'!$B$7:$B$91,0),MATCH($H607,'State Tax Lookup'!$D$6:$Z$6,0))</f>
        <v>0.40849999999999997</v>
      </c>
      <c r="DA607" s="303">
        <v>0.37</v>
      </c>
      <c r="DB607" s="57">
        <f t="shared" si="1121"/>
        <v>10.562545918949839</v>
      </c>
      <c r="DC607" s="56">
        <f t="shared" ref="DC607:DC627" si="1124">LN(DB607/DB606)</f>
        <v>-2.410243020898832E-3</v>
      </c>
      <c r="DD607" s="303">
        <f>VLOOKUP($H607,RoR!$E:$F,2,FALSE)</f>
        <v>6.4916666666666664E-2</v>
      </c>
      <c r="DE607" s="304">
        <f>HLOOKUP($H607,'GDP-PI'!$D$8:$CQ$11,3,FALSE)</f>
        <v>1.5246423291824351E-2</v>
      </c>
      <c r="DF607" s="303">
        <f>VLOOKUP(H607,'HW Dx Data'!$E:$F,2,FALSE)</f>
        <v>361.34816573413599</v>
      </c>
      <c r="DG607" s="89"/>
      <c r="DH607" s="89"/>
      <c r="DI607" s="89"/>
      <c r="DJ607" s="56"/>
      <c r="DK607" s="53">
        <f>HLOOKUP(H607,'GDP-PI'!$8:$9,2,FALSE)</f>
        <v>81.039000000000001</v>
      </c>
      <c r="DL607" s="355">
        <f>LN(DK607/DK606)</f>
        <v>1.513136459537477E-2</v>
      </c>
      <c r="EC607"/>
    </row>
    <row r="608" spans="1:133" s="126" customFormat="1" ht="21" customHeight="1" x14ac:dyDescent="0.4">
      <c r="A608" s="233" t="s">
        <v>217</v>
      </c>
      <c r="B608" s="127" t="s">
        <v>217</v>
      </c>
      <c r="C608" s="127">
        <v>4061755</v>
      </c>
      <c r="D608" s="127" t="s">
        <v>218</v>
      </c>
      <c r="E608" s="127" t="s">
        <v>15</v>
      </c>
      <c r="F608" s="127"/>
      <c r="G608" s="127" t="s">
        <v>159</v>
      </c>
      <c r="H608" s="128">
        <v>2003</v>
      </c>
      <c r="I608" s="129"/>
      <c r="J608" s="125"/>
      <c r="K608" s="125"/>
      <c r="L608" s="47"/>
      <c r="M608" s="125"/>
      <c r="N608" s="125"/>
      <c r="O608" s="125"/>
      <c r="P608" s="59"/>
      <c r="Q608" s="59"/>
      <c r="R608" s="386"/>
      <c r="S608" s="119"/>
      <c r="T608" s="59"/>
      <c r="U608" s="59"/>
      <c r="V608" s="125"/>
      <c r="W608" s="125"/>
      <c r="X608" s="125"/>
      <c r="Y608" s="125"/>
      <c r="Z608" s="125"/>
      <c r="AA608" s="125"/>
      <c r="AB608" s="125"/>
      <c r="AC608" s="125">
        <f t="shared" si="1107"/>
        <v>31412.778190907367</v>
      </c>
      <c r="AD608" s="129"/>
      <c r="AE608" s="133">
        <v>3095.2142745181764</v>
      </c>
      <c r="AF608" s="134">
        <v>2.7385982903474691E-2</v>
      </c>
      <c r="AG608" s="61"/>
      <c r="AH608" s="134"/>
      <c r="AI608" s="134"/>
      <c r="AJ608" s="129">
        <f t="shared" si="1120"/>
        <v>31412.778190907367</v>
      </c>
      <c r="AK608" s="134"/>
      <c r="AL608" s="129"/>
      <c r="AM608" s="129"/>
      <c r="AN608" s="129"/>
      <c r="AO608" s="129"/>
      <c r="AP608" s="133"/>
      <c r="AQ608" s="134"/>
      <c r="AR608" s="93"/>
      <c r="AS608" s="93"/>
      <c r="AT608" s="93"/>
      <c r="AU608" s="93"/>
      <c r="AV608" s="93"/>
      <c r="AW608" s="134"/>
      <c r="AX608" s="62"/>
      <c r="AY608" s="93"/>
      <c r="AZ608" s="93"/>
      <c r="BA608" s="93"/>
      <c r="BB608" s="234">
        <f>IFERROR(INDEX('Total Customers'!$E$7:$AA$91,MATCH($C608,'Total Customers'!$C$7:$C$91,0),MATCH($G608,'Total Customers'!$E$5:$AA$5,0)),"NA")</f>
        <v>446837</v>
      </c>
      <c r="BC608" s="411">
        <f t="shared" si="1076"/>
        <v>2.1556122538726644E-2</v>
      </c>
      <c r="BD608" s="92"/>
      <c r="BE608" s="281" t="str">
        <f t="shared" si="1062"/>
        <v>NEW JERSEY NATURAL GAS COMPANY</v>
      </c>
      <c r="BF608" s="290">
        <f t="shared" si="1063"/>
        <v>4061755</v>
      </c>
      <c r="BG608" s="46" t="str">
        <f t="shared" si="1064"/>
        <v>NJ</v>
      </c>
      <c r="BH608" s="46"/>
      <c r="BI608" s="46" t="str">
        <f t="shared" si="1065"/>
        <v>2003 Y</v>
      </c>
      <c r="BJ608" s="129"/>
      <c r="BK608" s="129"/>
      <c r="BL608" s="129">
        <f>INDEX('Dist. Plant Gas Additions'!$E$7:$AD$91,MATCH($C608,'Dist. Plant Gas Additions'!$C$7:$C$91,0),MATCH(Calculation!$G608,'Dist. Plant Gas Additions'!$E$5:$AD$5,0))</f>
        <v>33977</v>
      </c>
      <c r="BM608" s="129">
        <f>INDEX('Gen. Plant Additions'!$E$7:$AD$91,MATCH($C608,'Gen. Plant Additions'!$C$7:$C$91,0),MATCH(Calculation!$G608,'Gen. Plant Additions'!$E$5:$AD$5,0))</f>
        <v>3197</v>
      </c>
      <c r="BN608" s="393">
        <f t="shared" si="1108"/>
        <v>0.93630423070395552</v>
      </c>
      <c r="BO608" s="46">
        <f t="shared" si="1056"/>
        <v>2993.3646255605458</v>
      </c>
      <c r="BP608" s="46">
        <f t="shared" si="1057"/>
        <v>-203.63537443945415</v>
      </c>
      <c r="BQ608" s="129">
        <f>INDEX('Dist Plant Depreciation'!$D$7:$AC$94,MATCH($C608,'Dist Plant Depreciation'!$C$7:$C$94,0),MATCH(Calculation!$G608,'Dist Plant Depreciation'!$D$5:$AC$5,0))</f>
        <v>184568</v>
      </c>
      <c r="BR608" s="129">
        <f>INDEX('Gen. Plant Depreciation'!$D$7:$AC$94,MATCH($C608,'Gen. Plant Depreciation'!$C$7:$C$94,0),MATCH(Calculation!$G608,'Gen. Plant Depreciation'!$D$5:$AC$5,0))</f>
        <v>44428</v>
      </c>
      <c r="BS608" s="129"/>
      <c r="BT608" s="129"/>
      <c r="BU608" s="129"/>
      <c r="BV608" s="129"/>
      <c r="BW608" s="129"/>
      <c r="BX608" s="129"/>
      <c r="BY608" s="129">
        <f>INDEX('Gross Dx Plant'!$D$7:$AC$91,MATCH($C608,'Gross Dx Plant'!$C$7:$C$91,0),MATCH(Calculation!$G608,'Gross Dx Plant'!$D$5:$AC$5,0))</f>
        <v>822018</v>
      </c>
      <c r="BZ608" s="129">
        <f>INDEX('Gross Gen Plant'!$D$7:$AC$91,MATCH($C608,'Gross Gen Plant'!$C$7:$C$91,0),MATCH(Calculation!$G608,'Gross Gen Plant'!$D$5:$AC$5,0))</f>
        <v>55921</v>
      </c>
      <c r="CA608" s="129">
        <f t="shared" si="1077"/>
        <v>648943</v>
      </c>
      <c r="CB608" s="129"/>
      <c r="CC608" s="133">
        <v>2003</v>
      </c>
      <c r="CD608" s="129"/>
      <c r="CE608" s="129"/>
      <c r="CF608" s="129"/>
      <c r="CG608" s="137"/>
      <c r="CH608" s="129">
        <f t="shared" si="1109"/>
        <v>37174</v>
      </c>
      <c r="CI608" s="46">
        <f t="shared" si="1118"/>
        <v>36970.364625560549</v>
      </c>
      <c r="CJ608" s="46">
        <f t="shared" si="1110"/>
        <v>100.12746295321362</v>
      </c>
      <c r="CK608" s="443">
        <v>0.94845360824742264</v>
      </c>
      <c r="CL608" s="46">
        <f>+CL603*CK608+CJ604*CK607+CJ605*CK606+CJ606*CK605+CJ607*CK604+CJ608</f>
        <v>3020.4627114703312</v>
      </c>
      <c r="CM608" s="134">
        <f t="shared" si="1111"/>
        <v>2.2590342361433351E-2</v>
      </c>
      <c r="CN608" s="135">
        <f t="shared" si="1112"/>
        <v>1.1059659449810877E-2</v>
      </c>
      <c r="CO608" s="135">
        <f t="shared" si="1122"/>
        <v>1.0758162840333858E-2</v>
      </c>
      <c r="CP608" s="134">
        <f>VLOOKUP($H608,RoR!$E:$F,2,FALSE)</f>
        <v>5.6666666666666671E-2</v>
      </c>
      <c r="CQ608" s="135">
        <v>1.8855119140166909E-2</v>
      </c>
      <c r="CR608" s="135">
        <f t="shared" si="1119"/>
        <v>3.7811547526499761E-2</v>
      </c>
      <c r="CS608" s="135">
        <f t="shared" si="1123"/>
        <v>2.0143778768199769E-2</v>
      </c>
      <c r="CT608" s="135">
        <v>2.1375012817671957E-2</v>
      </c>
      <c r="CU608" s="139">
        <f t="shared" si="1113"/>
        <v>0.84885500000000003</v>
      </c>
      <c r="CV608" s="335">
        <f t="shared" si="1114"/>
        <v>0.90497737556561086</v>
      </c>
      <c r="CW608" s="335">
        <f t="shared" si="1115"/>
        <v>0.5338235294117647</v>
      </c>
      <c r="CX608" s="335">
        <f t="shared" si="1116"/>
        <v>0.88972433127405692</v>
      </c>
      <c r="CY608" s="335">
        <f t="shared" si="1117"/>
        <v>0.42982423775949252</v>
      </c>
      <c r="CZ608" s="336">
        <f>INDEX('State Tax Lookup'!$D$7:$Z$91,MATCH(Calculation!$C608,'State Tax Lookup'!$B$7:$B$91,0),MATCH($H608,'State Tax Lookup'!$D$6:$Z$6,0))</f>
        <v>0.40849999999999997</v>
      </c>
      <c r="DA608" s="303">
        <v>0.37</v>
      </c>
      <c r="DB608" s="57">
        <f t="shared" si="1121"/>
        <v>10.637601822433846</v>
      </c>
      <c r="DC608" s="56">
        <f t="shared" si="1124"/>
        <v>7.0807258503241812E-3</v>
      </c>
      <c r="DD608" s="303">
        <f>VLOOKUP($H608,RoR!$E:$F,2,FALSE)</f>
        <v>5.6666666666666671E-2</v>
      </c>
      <c r="DE608" s="304">
        <f>HLOOKUP($H608,'GDP-PI'!$D$8:$CQ$11,3,FALSE)</f>
        <v>1.8855119140166909E-2</v>
      </c>
      <c r="DF608" s="303">
        <f>VLOOKUP(H608,'HW Dx Data'!$E:$F,2,FALSE)</f>
        <v>369.23301095560191</v>
      </c>
      <c r="DG608" s="89">
        <f ca="1">VLOOKUP(CC608,'ECI - Input Price'!M$13:N$33,2,FALSE)</f>
        <v>89.25</v>
      </c>
      <c r="DH608" s="89"/>
      <c r="DI608" s="89"/>
      <c r="DJ608" s="56"/>
      <c r="DK608" s="53">
        <f>HLOOKUP(H608,'GDP-PI'!$8:$9,2,FALSE)</f>
        <v>82.566999999999993</v>
      </c>
      <c r="DL608" s="355">
        <f t="shared" ref="DL608:DL627" si="1125">LN(DK608/DK607)</f>
        <v>1.8679564681853753E-2</v>
      </c>
      <c r="EC608"/>
    </row>
    <row r="609" spans="1:133" s="126" customFormat="1" ht="21" customHeight="1" x14ac:dyDescent="0.4">
      <c r="A609" s="233" t="s">
        <v>217</v>
      </c>
      <c r="B609" s="127" t="s">
        <v>217</v>
      </c>
      <c r="C609" s="127">
        <v>4061755</v>
      </c>
      <c r="D609" s="127" t="s">
        <v>218</v>
      </c>
      <c r="E609" s="127" t="s">
        <v>15</v>
      </c>
      <c r="F609" s="127"/>
      <c r="G609" s="127" t="s">
        <v>160</v>
      </c>
      <c r="H609" s="128">
        <v>2004</v>
      </c>
      <c r="I609" s="129"/>
      <c r="J609" s="125">
        <f>IFERROR(INDEX('Labor Expenditures'!$E$7:$W$91,MATCH($C609,'Labor Expenditures'!$C$7:$C$91,0),MATCH($G609,'Labor Expenditures'!$E$5:$W$5,0)),"NA")</f>
        <v>29959.626555087398</v>
      </c>
      <c r="K609" s="125">
        <f t="shared" ref="K609:K627" ca="1" si="1126">+J609/DG609</f>
        <v>317.53711240156224</v>
      </c>
      <c r="L609" s="47"/>
      <c r="M609" s="131"/>
      <c r="N609" s="131"/>
      <c r="O609" s="131"/>
      <c r="P609" s="59"/>
      <c r="Q609" s="59"/>
      <c r="R609" s="386"/>
      <c r="S609" s="119"/>
      <c r="T609" s="59"/>
      <c r="U609" s="59"/>
      <c r="V609" s="125">
        <f>IFERROR(INDEX('Non-Labor Expenditures'!$E$7:$AA$91,MATCH($C609,'Non-Labor Expenditures'!$C$7:$C$91,0),MATCH($G609,'Non-Labor Expenditures'!$E$5:$AA$5,0)),"NA")</f>
        <v>43387.134938140895</v>
      </c>
      <c r="W609" s="125">
        <f t="shared" ref="W609:W627" si="1127">+V609/DK609</f>
        <v>511.77351362547938</v>
      </c>
      <c r="X609" s="125"/>
      <c r="Y609" s="125"/>
      <c r="Z609" s="125"/>
      <c r="AA609" s="125"/>
      <c r="AB609" s="125"/>
      <c r="AC609" s="125">
        <f t="shared" si="1107"/>
        <v>35312.727974035741</v>
      </c>
      <c r="AD609" s="129"/>
      <c r="AE609" s="133">
        <v>3188.5855619364879</v>
      </c>
      <c r="AF609" s="134">
        <v>2.9720284737232986E-2</v>
      </c>
      <c r="AG609" s="59">
        <f t="shared" ref="AG609:AG627" si="1128">+AF609*$AX609</f>
        <v>0</v>
      </c>
      <c r="AH609" s="134"/>
      <c r="AI609" s="134"/>
      <c r="AJ609" s="129">
        <f t="shared" si="1120"/>
        <v>108659.48946726404</v>
      </c>
      <c r="AK609" s="134"/>
      <c r="AL609" s="129"/>
      <c r="AM609" s="129"/>
      <c r="AN609" s="129"/>
      <c r="AO609" s="129"/>
      <c r="AP609" s="133"/>
      <c r="AQ609" s="134"/>
      <c r="AR609" s="93">
        <f t="shared" ref="AR609:AR627" si="1129">+J609/AJ609</f>
        <v>0.27572029559473832</v>
      </c>
      <c r="AS609" s="93">
        <f t="shared" ref="AS609:AS627" si="1130">+V609/AJ609</f>
        <v>0.39929448546886631</v>
      </c>
      <c r="AT609" s="93">
        <f t="shared" ref="AT609:AT627" si="1131">+AC609/AJ609</f>
        <v>0.32498521893639531</v>
      </c>
      <c r="AU609" s="93"/>
      <c r="AV609" s="93"/>
      <c r="AW609" s="134"/>
      <c r="AX609" s="62"/>
      <c r="AY609" s="93"/>
      <c r="AZ609" s="93"/>
      <c r="BA609" s="93"/>
      <c r="BB609" s="234">
        <f>IFERROR(INDEX('Total Customers'!$E$7:$AA$91,MATCH($C609,'Total Customers'!$C$7:$C$91,0),MATCH($G609,'Total Customers'!$E$5:$AA$5,0)),"NA")</f>
        <v>453983</v>
      </c>
      <c r="BC609" s="411">
        <f t="shared" si="1076"/>
        <v>1.5865877538788768E-2</v>
      </c>
      <c r="BD609" s="92"/>
      <c r="BE609" s="281" t="str">
        <f t="shared" si="1062"/>
        <v>NEW JERSEY NATURAL GAS COMPANY</v>
      </c>
      <c r="BF609" s="290">
        <f t="shared" si="1063"/>
        <v>4061755</v>
      </c>
      <c r="BG609" s="46" t="str">
        <f t="shared" si="1064"/>
        <v>NJ</v>
      </c>
      <c r="BH609" s="46"/>
      <c r="BI609" s="46" t="str">
        <f t="shared" si="1065"/>
        <v>2004 Y</v>
      </c>
      <c r="BJ609" s="129"/>
      <c r="BK609" s="129"/>
      <c r="BL609" s="129">
        <f>INDEX('Dist. Plant Gas Additions'!$E$7:$AD$91,MATCH($C609,'Dist. Plant Gas Additions'!$C$7:$C$91,0),MATCH(Calculation!$G609,'Dist. Plant Gas Additions'!$E$5:$AD$5,0))</f>
        <v>45942</v>
      </c>
      <c r="BM609" s="129">
        <f>INDEX('Gen. Plant Additions'!$E$7:$AD$91,MATCH($C609,'Gen. Plant Additions'!$C$7:$C$91,0),MATCH(Calculation!$G609,'Gen. Plant Additions'!$E$5:$AD$5,0))</f>
        <v>311</v>
      </c>
      <c r="BN609" s="393">
        <f t="shared" si="1108"/>
        <v>0.94287519532725739</v>
      </c>
      <c r="BO609" s="46">
        <f t="shared" si="1056"/>
        <v>293.23418574677703</v>
      </c>
      <c r="BP609" s="46">
        <f t="shared" si="1057"/>
        <v>-17.76581425322297</v>
      </c>
      <c r="BQ609" s="129">
        <f>INDEX('Dist Plant Depreciation'!$D$7:$AC$94,MATCH($C609,'Dist Plant Depreciation'!$C$7:$C$94,0),MATCH(Calculation!$G609,'Dist Plant Depreciation'!$D$5:$AC$5,0))</f>
        <v>276407</v>
      </c>
      <c r="BR609" s="129">
        <f>INDEX('Gen. Plant Depreciation'!$D$7:$AC$94,MATCH($C609,'Gen. Plant Depreciation'!$C$7:$C$94,0),MATCH(Calculation!$G609,'Gen. Plant Depreciation'!$D$5:$AC$5,0))</f>
        <v>43384</v>
      </c>
      <c r="BS609" s="129"/>
      <c r="BT609" s="129"/>
      <c r="BU609" s="129"/>
      <c r="BV609" s="129"/>
      <c r="BW609" s="129"/>
      <c r="BX609" s="129"/>
      <c r="BY609" s="129">
        <f>INDEX('Gross Dx Plant'!$D$7:$AC$91,MATCH($C609,'Gross Dx Plant'!$C$7:$C$91,0),MATCH(Calculation!$G609,'Gross Dx Plant'!$D$5:$AC$5,0))</f>
        <v>861044</v>
      </c>
      <c r="BZ609" s="129">
        <f>INDEX('Gross Gen Plant'!$D$7:$AC$91,MATCH($C609,'Gross Gen Plant'!$C$7:$C$91,0),MATCH(Calculation!$G609,'Gross Gen Plant'!$D$5:$AC$5,0))</f>
        <v>52167</v>
      </c>
      <c r="CA609" s="129">
        <f t="shared" si="1077"/>
        <v>593420</v>
      </c>
      <c r="CB609" s="129"/>
      <c r="CC609" s="133">
        <v>2004</v>
      </c>
      <c r="CD609" s="129"/>
      <c r="CE609" s="129"/>
      <c r="CF609" s="129"/>
      <c r="CG609" s="137"/>
      <c r="CH609" s="129">
        <f t="shared" si="1109"/>
        <v>46253</v>
      </c>
      <c r="CI609" s="46">
        <f t="shared" si="1118"/>
        <v>46235.234185746776</v>
      </c>
      <c r="CJ609" s="46">
        <f t="shared" si="1110"/>
        <v>111.44049551167781</v>
      </c>
      <c r="CK609" s="443">
        <v>0.9375</v>
      </c>
      <c r="CL609" s="46">
        <f>+CL603*CK609+CJ604*CK608+CJ605*CK607+CJ606*CK606+CJ607*CK605+CJ608*CK604+CJ609</f>
        <v>3097.5747877481431</v>
      </c>
      <c r="CM609" s="134">
        <f t="shared" si="1111"/>
        <v>2.5209443412042495E-2</v>
      </c>
      <c r="CN609" s="135">
        <f t="shared" si="1112"/>
        <v>1.1365284896086405E-2</v>
      </c>
      <c r="CO609" s="135">
        <f t="shared" si="1122"/>
        <v>1.1214603419689667E-2</v>
      </c>
      <c r="CP609" s="134">
        <f>VLOOKUP($H609,RoR!$E:$F,2,FALSE)</f>
        <v>5.6283333333333331E-2</v>
      </c>
      <c r="CQ609" s="135">
        <v>2.6778252812867276E-2</v>
      </c>
      <c r="CR609" s="135">
        <f t="shared" si="1119"/>
        <v>2.9505080520466055E-2</v>
      </c>
      <c r="CS609" s="135">
        <f t="shared" si="1123"/>
        <v>1.968733818884396E-2</v>
      </c>
      <c r="CT609" s="135">
        <v>5.5940039414565046E-2</v>
      </c>
      <c r="CU609" s="139">
        <f t="shared" si="1113"/>
        <v>0.84885500000000003</v>
      </c>
      <c r="CV609" s="335">
        <f t="shared" si="1114"/>
        <v>0.91114097628755619</v>
      </c>
      <c r="CW609" s="335">
        <f t="shared" si="1115"/>
        <v>0.53081877405981637</v>
      </c>
      <c r="CX609" s="335">
        <f t="shared" si="1116"/>
        <v>0.88811215519385678</v>
      </c>
      <c r="CY609" s="335">
        <f t="shared" si="1117"/>
        <v>0.42953609753547711</v>
      </c>
      <c r="CZ609" s="336">
        <f>INDEX('State Tax Lookup'!$D$7:$Z$91,MATCH(Calculation!$C609,'State Tax Lookup'!$B$7:$B$91,0),MATCH($H609,'State Tax Lookup'!$D$6:$Z$6,0))</f>
        <v>0.40849999999999997</v>
      </c>
      <c r="DA609" s="303">
        <v>0.37</v>
      </c>
      <c r="DB609" s="57">
        <f t="shared" si="1121"/>
        <v>11.691165012544007</v>
      </c>
      <c r="DC609" s="56">
        <f t="shared" si="1124"/>
        <v>9.4438363538251566E-2</v>
      </c>
      <c r="DD609" s="303">
        <f>VLOOKUP($H609,RoR!$E:$F,2,FALSE)</f>
        <v>5.6283333333333331E-2</v>
      </c>
      <c r="DE609" s="304">
        <f>HLOOKUP($H609,'GDP-PI'!$D$8:$CQ$11,3,FALSE)</f>
        <v>2.6778252812867276E-2</v>
      </c>
      <c r="DF609" s="303">
        <f>VLOOKUP(H609,'HW Dx Data'!$E:$F,2,FALSE)</f>
        <v>414.88719135228365</v>
      </c>
      <c r="DG609" s="89">
        <f ca="1">VLOOKUP(CC609,'ECI - Input Price'!M$13:N$33,2,FALSE)</f>
        <v>94.35</v>
      </c>
      <c r="DH609" s="89"/>
      <c r="DI609" s="89"/>
      <c r="DJ609" s="56">
        <f t="shared" ref="DJ609:DJ627" ca="1" si="1132">LN(DG609/DG608)</f>
        <v>5.5569851154810786E-2</v>
      </c>
      <c r="DK609" s="53">
        <f>HLOOKUP(H609,'GDP-PI'!$8:$9,2,FALSE)</f>
        <v>84.778000000000006</v>
      </c>
      <c r="DL609" s="355">
        <f t="shared" si="1125"/>
        <v>2.6425990216022755E-2</v>
      </c>
      <c r="EC609"/>
    </row>
    <row r="610" spans="1:133" s="126" customFormat="1" ht="21" customHeight="1" x14ac:dyDescent="0.4">
      <c r="A610" s="233" t="s">
        <v>217</v>
      </c>
      <c r="B610" s="127" t="s">
        <v>217</v>
      </c>
      <c r="C610" s="127">
        <v>4061755</v>
      </c>
      <c r="D610" s="127" t="s">
        <v>218</v>
      </c>
      <c r="E610" s="127" t="s">
        <v>15</v>
      </c>
      <c r="F610" s="127"/>
      <c r="G610" s="127" t="s">
        <v>161</v>
      </c>
      <c r="H610" s="128">
        <v>2005</v>
      </c>
      <c r="I610" s="129"/>
      <c r="J610" s="125">
        <f>IFERROR(INDEX('Labor Expenditures'!$E$7:$W$91,MATCH($C610,'Labor Expenditures'!$C$7:$C$91,0),MATCH($G610,'Labor Expenditures'!$E$5:$W$5,0)),"NA")</f>
        <v>30125.502698628941</v>
      </c>
      <c r="K610" s="125">
        <f t="shared" ca="1" si="1126"/>
        <v>303.60798890026649</v>
      </c>
      <c r="L610" s="47"/>
      <c r="M610" s="131">
        <f t="shared" ref="M610:M626" ca="1" si="1133">LN(K610/K609)</f>
        <v>-4.4857341879429538E-2</v>
      </c>
      <c r="N610" s="131"/>
      <c r="O610" s="131"/>
      <c r="P610" s="59"/>
      <c r="Q610" s="61"/>
      <c r="R610" s="387"/>
      <c r="S610" s="49">
        <v>100</v>
      </c>
      <c r="T610" s="46"/>
      <c r="U610" s="46"/>
      <c r="V610" s="125">
        <f>IFERROR(INDEX('Non-Labor Expenditures'!$E$7:$AA$91,MATCH($C610,'Non-Labor Expenditures'!$C$7:$C$91,0),MATCH($G610,'Non-Labor Expenditures'!$E$5:$AA$5,0)),"NA")</f>
        <v>43627.354575379097</v>
      </c>
      <c r="W610" s="125">
        <f t="shared" si="1127"/>
        <v>499.12884065783174</v>
      </c>
      <c r="X610" s="131">
        <f>LN(W610/W609)</f>
        <v>-2.501791083559347E-2</v>
      </c>
      <c r="Y610" s="131"/>
      <c r="Z610" s="131"/>
      <c r="AA610" s="131"/>
      <c r="AB610" s="131"/>
      <c r="AC610" s="125">
        <f t="shared" si="1107"/>
        <v>40500.151700515024</v>
      </c>
      <c r="AD610" s="129"/>
      <c r="AE610" s="133">
        <v>3261.4490667072032</v>
      </c>
      <c r="AF610" s="134">
        <v>2.2594174653208305E-2</v>
      </c>
      <c r="AG610" s="59">
        <f t="shared" si="1128"/>
        <v>0</v>
      </c>
      <c r="AH610" s="134"/>
      <c r="AI610" s="134"/>
      <c r="AJ610" s="129">
        <f t="shared" si="1120"/>
        <v>114253.00897452307</v>
      </c>
      <c r="AK610" s="134">
        <f>LN(AJ610/AJ609)</f>
        <v>5.0196323514741827E-2</v>
      </c>
      <c r="AL610" s="129"/>
      <c r="AM610" s="129"/>
      <c r="AN610" s="129"/>
      <c r="AO610" s="129"/>
      <c r="AP610" s="133"/>
      <c r="AQ610" s="134"/>
      <c r="AR610" s="93">
        <f t="shared" si="1129"/>
        <v>0.2636736044767673</v>
      </c>
      <c r="AS610" s="93">
        <f t="shared" si="1130"/>
        <v>0.38184862671850883</v>
      </c>
      <c r="AT610" s="93">
        <f t="shared" si="1131"/>
        <v>0.35447776880472381</v>
      </c>
      <c r="AU610" s="93">
        <f t="shared" ref="AU610:AU626" ca="1" si="1134">+(((AR610+AR609)/2)*M610+((AS609+AS610)/2)*X610+((AT609+AT610)/2)*AF610)</f>
        <v>-1.4193219949157267E-2</v>
      </c>
      <c r="AV610" s="132">
        <v>100</v>
      </c>
      <c r="AW610" s="134"/>
      <c r="AX610" s="15"/>
      <c r="AY610" s="93"/>
      <c r="AZ610" s="93"/>
      <c r="BA610" s="93"/>
      <c r="BB610" s="234">
        <f>IFERROR(INDEX('Total Customers'!$E$7:$AA$91,MATCH($C610,'Total Customers'!$C$7:$C$91,0),MATCH($G610,'Total Customers'!$E$5:$AA$5,0)),"NA")</f>
        <v>465738</v>
      </c>
      <c r="BC610" s="411">
        <f t="shared" si="1076"/>
        <v>2.5563491848098831E-2</v>
      </c>
      <c r="BD610" s="92"/>
      <c r="BE610" s="281" t="str">
        <f t="shared" si="1062"/>
        <v>NEW JERSEY NATURAL GAS COMPANY</v>
      </c>
      <c r="BF610" s="290">
        <f t="shared" si="1063"/>
        <v>4061755</v>
      </c>
      <c r="BG610" s="46" t="str">
        <f t="shared" si="1064"/>
        <v>NJ</v>
      </c>
      <c r="BH610" s="46"/>
      <c r="BI610" s="46" t="str">
        <f t="shared" si="1065"/>
        <v>2005 Y</v>
      </c>
      <c r="BJ610" s="129"/>
      <c r="BK610" s="129"/>
      <c r="BL610" s="129">
        <f>INDEX('Dist. Plant Gas Additions'!$E$7:$AD$91,MATCH($C610,'Dist. Plant Gas Additions'!$C$7:$C$91,0),MATCH(Calculation!$G610,'Dist. Plant Gas Additions'!$E$5:$AD$5,0))</f>
        <v>42588</v>
      </c>
      <c r="BM610" s="129">
        <f>INDEX('Gen. Plant Additions'!$E$7:$AD$91,MATCH($C610,'Gen. Plant Additions'!$C$7:$C$91,0),MATCH(Calculation!$G610,'Gen. Plant Additions'!$E$5:$AD$5,0))</f>
        <v>635</v>
      </c>
      <c r="BN610" s="393">
        <f t="shared" si="1108"/>
        <v>0.94752452850930513</v>
      </c>
      <c r="BO610" s="46">
        <f t="shared" si="1056"/>
        <v>601.67807560340873</v>
      </c>
      <c r="BP610" s="46">
        <f t="shared" si="1057"/>
        <v>-33.321924396591271</v>
      </c>
      <c r="BQ610" s="129">
        <f>INDEX('Dist Plant Depreciation'!$D$7:$AC$94,MATCH($C610,'Dist Plant Depreciation'!$C$7:$C$94,0),MATCH(Calculation!$G610,'Dist Plant Depreciation'!$D$5:$AC$5,0))</f>
        <v>294231</v>
      </c>
      <c r="BR610" s="129">
        <f>INDEX('Gen. Plant Depreciation'!$D$7:$AC$94,MATCH($C610,'Gen. Plant Depreciation'!$C$7:$C$94,0),MATCH(Calculation!$G610,'Gen. Plant Depreciation'!$D$5:$AC$5,0))</f>
        <v>43574</v>
      </c>
      <c r="BS610" s="129"/>
      <c r="BT610" s="129"/>
      <c r="BU610" s="129"/>
      <c r="BV610" s="129"/>
      <c r="BW610" s="129"/>
      <c r="BX610" s="129"/>
      <c r="BY610" s="129">
        <f>INDEX('Gross Dx Plant'!$D$7:$AC$91,MATCH($C610,'Gross Dx Plant'!$C$7:$C$91,0),MATCH(Calculation!$G610,'Gross Dx Plant'!$D$5:$AC$5,0))</f>
        <v>896398</v>
      </c>
      <c r="BZ610" s="129">
        <f>INDEX('Gross Gen Plant'!$D$7:$AC$91,MATCH($C610,'Gross Gen Plant'!$C$7:$C$91,0),MATCH(Calculation!$G610,'Gross Gen Plant'!$D$5:$AC$5,0))</f>
        <v>49644</v>
      </c>
      <c r="CA610" s="129">
        <f t="shared" si="1077"/>
        <v>608237</v>
      </c>
      <c r="CB610" s="129"/>
      <c r="CC610" s="133">
        <v>2005</v>
      </c>
      <c r="CD610" s="129"/>
      <c r="CE610" s="129"/>
      <c r="CF610" s="129"/>
      <c r="CG610" s="137"/>
      <c r="CH610" s="129">
        <f t="shared" si="1109"/>
        <v>43223</v>
      </c>
      <c r="CI610" s="46">
        <f t="shared" si="1118"/>
        <v>43189.678075603406</v>
      </c>
      <c r="CJ610" s="46">
        <f t="shared" si="1110"/>
        <v>92.048603822722541</v>
      </c>
      <c r="CK610" s="443">
        <v>0.9263157894736842</v>
      </c>
      <c r="CL610" s="46">
        <f>+CL603*CK610+CJ604*CK609+CJ605*CK608+CJ606*CK607+CJ607*CK606+CJ608*CK605+CJ609*CK604+CJ610</f>
        <v>3153.4724947559198</v>
      </c>
      <c r="CM610" s="134">
        <f t="shared" si="1111"/>
        <v>1.788474617012728E-2</v>
      </c>
      <c r="CN610" s="135">
        <f t="shared" si="1112"/>
        <v>1.1670709923755091E-2</v>
      </c>
      <c r="CO610" s="135">
        <f t="shared" si="1122"/>
        <v>1.1365218089884124E-2</v>
      </c>
      <c r="CP610" s="134">
        <f>VLOOKUP($H610,RoR!$E:$F,2,FALSE)</f>
        <v>5.2350000000000001E-2</v>
      </c>
      <c r="CQ610" s="135">
        <v>3.1010403642454332E-2</v>
      </c>
      <c r="CR610" s="135">
        <f t="shared" si="1119"/>
        <v>2.1339596357545669E-2</v>
      </c>
      <c r="CS610" s="135">
        <f t="shared" si="1123"/>
        <v>1.9536723518649501E-2</v>
      </c>
      <c r="CT610" s="135">
        <v>9.2129610649277341E-2</v>
      </c>
      <c r="CU610" s="139">
        <f t="shared" si="1113"/>
        <v>0.84885500000000003</v>
      </c>
      <c r="CV610" s="335">
        <f t="shared" si="1114"/>
        <v>0.97959983346802826</v>
      </c>
      <c r="CW610" s="335">
        <f t="shared" si="1115"/>
        <v>0.49744508118433622</v>
      </c>
      <c r="CX610" s="335">
        <f t="shared" si="1116"/>
        <v>0.87010519444335932</v>
      </c>
      <c r="CY610" s="335">
        <f t="shared" si="1117"/>
        <v>0.42399975420741998</v>
      </c>
      <c r="CZ610" s="336">
        <f>INDEX('State Tax Lookup'!$D$7:$Z$91,MATCH(Calculation!$C610,'State Tax Lookup'!$B$7:$B$91,0),MATCH($H610,'State Tax Lookup'!$D$6:$Z$6,0))</f>
        <v>0.40849999999999997</v>
      </c>
      <c r="DA610" s="303">
        <v>0.37</v>
      </c>
      <c r="DB610" s="57">
        <f t="shared" si="1121"/>
        <v>13.074793822801478</v>
      </c>
      <c r="DC610" s="56">
        <f t="shared" si="1124"/>
        <v>0.11185281159744719</v>
      </c>
      <c r="DD610" s="303">
        <f>VLOOKUP($H610,RoR!$E:$F,2,FALSE)</f>
        <v>5.2350000000000001E-2</v>
      </c>
      <c r="DE610" s="304">
        <f>HLOOKUP($H610,'GDP-PI'!$D$8:$CQ$11,3,FALSE)</f>
        <v>3.1010403642454332E-2</v>
      </c>
      <c r="DF610" s="303">
        <f>VLOOKUP(H610,'HW Dx Data'!$E:$F,2,FALSE)</f>
        <v>469.20514034936258</v>
      </c>
      <c r="DG610" s="89">
        <f ca="1">VLOOKUP(CC610,'ECI - Input Price'!M$13:N$33,2,FALSE)</f>
        <v>99.224999999999994</v>
      </c>
      <c r="DH610" s="89"/>
      <c r="DI610" s="89"/>
      <c r="DJ610" s="56">
        <f t="shared" ca="1" si="1132"/>
        <v>5.0378726854569796E-2</v>
      </c>
      <c r="DK610" s="53">
        <f>HLOOKUP(H610,'GDP-PI'!$8:$9,2,FALSE)</f>
        <v>87.406999999999996</v>
      </c>
      <c r="DL610" s="355">
        <f t="shared" si="1125"/>
        <v>3.0539295810733648E-2</v>
      </c>
      <c r="EC610"/>
    </row>
    <row r="611" spans="1:133" s="126" customFormat="1" ht="21" customHeight="1" x14ac:dyDescent="0.4">
      <c r="A611" s="233" t="s">
        <v>217</v>
      </c>
      <c r="B611" s="127" t="s">
        <v>217</v>
      </c>
      <c r="C611" s="127">
        <v>4061755</v>
      </c>
      <c r="D611" s="127" t="s">
        <v>218</v>
      </c>
      <c r="E611" s="127" t="s">
        <v>15</v>
      </c>
      <c r="F611" s="127"/>
      <c r="G611" s="127" t="s">
        <v>162</v>
      </c>
      <c r="H611" s="128">
        <v>2006</v>
      </c>
      <c r="I611" s="129"/>
      <c r="J611" s="125">
        <f>IFERROR(INDEX('Labor Expenditures'!$E$7:$W$91,MATCH($C611,'Labor Expenditures'!$C$7:$C$91,0),MATCH($G611,'Labor Expenditures'!$E$5:$W$5,0)),"NA")</f>
        <v>33465.531109782722</v>
      </c>
      <c r="K611" s="125">
        <f t="shared" ca="1" si="1126"/>
        <v>305.90064999801388</v>
      </c>
      <c r="L611" s="47"/>
      <c r="M611" s="131">
        <f t="shared" ca="1" si="1133"/>
        <v>7.5230169495021509E-3</v>
      </c>
      <c r="N611" s="131"/>
      <c r="O611" s="131"/>
      <c r="P611" s="59">
        <f t="shared" ref="P611:P627" ca="1" si="1135">+M611*$AX611</f>
        <v>1.2511564511398881E-4</v>
      </c>
      <c r="Q611" s="61"/>
      <c r="R611" s="387"/>
      <c r="S611" s="49">
        <f ca="1">+S610*EXP(T611)</f>
        <v>108.39815415663656</v>
      </c>
      <c r="T611" s="61">
        <f ca="1">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</f>
        <v>8.0640874797166764E-2</v>
      </c>
      <c r="U611" s="61"/>
      <c r="V611" s="125">
        <f>IFERROR(INDEX('Non-Labor Expenditures'!$E$7:$AA$91,MATCH($C611,'Non-Labor Expenditures'!$C$7:$C$91,0),MATCH($G611,'Non-Labor Expenditures'!$E$5:$AA$5,0)),"NA")</f>
        <v>48464.339545986004</v>
      </c>
      <c r="W611" s="125">
        <f t="shared" si="1127"/>
        <v>538.05026473772682</v>
      </c>
      <c r="X611" s="131">
        <f t="shared" ref="X611:X626" si="1136">LN(W611/W610)</f>
        <v>7.5087724542799578E-2</v>
      </c>
      <c r="Y611" s="131">
        <f t="shared" ref="Y611:Y627" si="1137">+X611*AX611</f>
        <v>1.2487874425080973E-3</v>
      </c>
      <c r="Z611" s="131"/>
      <c r="AA611" s="131"/>
      <c r="AB611" s="131"/>
      <c r="AC611" s="125">
        <f t="shared" si="1107"/>
        <v>39698.694813121852</v>
      </c>
      <c r="AD611" s="129"/>
      <c r="AE611" s="133">
        <v>3323.2075153664919</v>
      </c>
      <c r="AF611" s="134">
        <v>1.875884001387049E-2</v>
      </c>
      <c r="AG611" s="59">
        <f t="shared" si="1128"/>
        <v>3.1197914157043494E-4</v>
      </c>
      <c r="AH611" s="134"/>
      <c r="AI611" s="134"/>
      <c r="AJ611" s="129">
        <f t="shared" si="1120"/>
        <v>121628.56546889058</v>
      </c>
      <c r="AK611" s="134">
        <f t="shared" ref="AK611:AK627" si="1138">LN(AJ611/AJ610)</f>
        <v>6.2556489154895895E-2</v>
      </c>
      <c r="AL611" s="129"/>
      <c r="AM611" s="129"/>
      <c r="AN611" s="129"/>
      <c r="AO611" s="129"/>
      <c r="AP611" s="133">
        <f t="shared" ref="AP611:AP627" si="1139">+(AJ611*1000)/BB611</f>
        <v>256.38831487227986</v>
      </c>
      <c r="AQ611" s="134">
        <f>+BB611/Outputs!$B$14</f>
        <v>1.3678551896721501E-2</v>
      </c>
      <c r="AR611" s="93">
        <f t="shared" si="1129"/>
        <v>0.27514532446197709</v>
      </c>
      <c r="AS611" s="93">
        <f t="shared" si="1130"/>
        <v>0.39846181987883367</v>
      </c>
      <c r="AT611" s="93">
        <f t="shared" si="1131"/>
        <v>0.32639285565918924</v>
      </c>
      <c r="AU611" s="93">
        <f t="shared" ca="1" si="1134"/>
        <v>3.7708811460775794E-2</v>
      </c>
      <c r="AV611" s="132">
        <f ca="1">+AV610*EXP(AU611)</f>
        <v>103.84288102812833</v>
      </c>
      <c r="AW611" s="134">
        <f ca="1">LN(AV611/AV610)</f>
        <v>3.770881146077578E-2</v>
      </c>
      <c r="AX611" s="56">
        <f>+AJ611/$AL$11</f>
        <v>1.6631046554038211E-2</v>
      </c>
      <c r="AY611" s="135">
        <f ca="1">+AX611*AW611</f>
        <v>6.2713699890161163E-4</v>
      </c>
      <c r="AZ611" s="93"/>
      <c r="BA611" s="93"/>
      <c r="BB611" s="234">
        <f>IFERROR(INDEX('Total Customers'!$E$7:$AA$91,MATCH($C611,'Total Customers'!$C$7:$C$91,0),MATCH($G611,'Total Customers'!$E$5:$AA$5,0)),"NA")</f>
        <v>474392</v>
      </c>
      <c r="BC611" s="411">
        <f t="shared" si="1076"/>
        <v>1.8410739880471656E-2</v>
      </c>
      <c r="BD611" s="92"/>
      <c r="BE611" s="281" t="str">
        <f t="shared" si="1062"/>
        <v>NEW JERSEY NATURAL GAS COMPANY</v>
      </c>
      <c r="BF611" s="290">
        <f t="shared" si="1063"/>
        <v>4061755</v>
      </c>
      <c r="BG611" s="46" t="str">
        <f t="shared" si="1064"/>
        <v>NJ</v>
      </c>
      <c r="BH611" s="46"/>
      <c r="BI611" s="46" t="str">
        <f t="shared" si="1065"/>
        <v>2006 Y</v>
      </c>
      <c r="BJ611" s="129"/>
      <c r="BK611" s="129"/>
      <c r="BL611" s="129">
        <f>INDEX('Dist. Plant Gas Additions'!$E$7:$AD$91,MATCH($C611,'Dist. Plant Gas Additions'!$C$7:$C$91,0),MATCH(Calculation!$G611,'Dist. Plant Gas Additions'!$E$5:$AD$5,0))</f>
        <v>36902</v>
      </c>
      <c r="BM611" s="129">
        <f>INDEX('Gen. Plant Additions'!$E$7:$AD$91,MATCH($C611,'Gen. Plant Additions'!$C$7:$C$91,0),MATCH(Calculation!$G611,'Gen. Plant Additions'!$E$5:$AD$5,0))</f>
        <v>957</v>
      </c>
      <c r="BN611" s="393">
        <f t="shared" si="1108"/>
        <v>0.94860415204750359</v>
      </c>
      <c r="BO611" s="46">
        <f t="shared" si="1056"/>
        <v>907.81417350946094</v>
      </c>
      <c r="BP611" s="46">
        <f t="shared" si="1057"/>
        <v>-49.185826490539057</v>
      </c>
      <c r="BQ611" s="129">
        <f>INDEX('Dist Plant Depreciation'!$D$7:$AC$94,MATCH($C611,'Dist Plant Depreciation'!$C$7:$C$94,0),MATCH(Calculation!$G611,'Dist Plant Depreciation'!$D$5:$AC$5,0))</f>
        <v>298826</v>
      </c>
      <c r="BR611" s="129">
        <f>INDEX('Gen. Plant Depreciation'!$D$7:$AC$94,MATCH($C611,'Gen. Plant Depreciation'!$C$7:$C$94,0),MATCH(Calculation!$G611,'Gen. Plant Depreciation'!$D$5:$AC$5,0))</f>
        <v>40666</v>
      </c>
      <c r="BS611" s="129"/>
      <c r="BT611" s="129"/>
      <c r="BU611" s="129"/>
      <c r="BV611" s="129"/>
      <c r="BW611" s="129"/>
      <c r="BX611" s="129"/>
      <c r="BY611" s="129">
        <f>INDEX('Gross Dx Plant'!$D$7:$AC$91,MATCH($C611,'Gross Dx Plant'!$C$7:$C$91,0),MATCH(Calculation!$G611,'Gross Dx Plant'!$D$5:$AC$5,0))</f>
        <v>924650</v>
      </c>
      <c r="BZ611" s="129">
        <f>INDEX('Gross Gen Plant'!$D$7:$AC$91,MATCH($C611,'Gross Gen Plant'!$C$7:$C$91,0),MATCH(Calculation!$G611,'Gross Gen Plant'!$D$5:$AC$5,0))</f>
        <v>50098</v>
      </c>
      <c r="CA611" s="129">
        <f t="shared" si="1077"/>
        <v>635256</v>
      </c>
      <c r="CB611" s="134"/>
      <c r="CC611" s="133">
        <v>2006</v>
      </c>
      <c r="CD611" s="129"/>
      <c r="CE611" s="129"/>
      <c r="CF611" s="129"/>
      <c r="CG611" s="137"/>
      <c r="CH611" s="129">
        <f t="shared" si="1109"/>
        <v>37859</v>
      </c>
      <c r="CI611" s="46">
        <f t="shared" si="1118"/>
        <v>37809.814173509461</v>
      </c>
      <c r="CJ611" s="46">
        <f t="shared" si="1110"/>
        <v>82.001711199716738</v>
      </c>
      <c r="CK611" s="443">
        <v>0.91489361702127658</v>
      </c>
      <c r="CL611" s="46">
        <f>+CL603*CK611+CJ604*CK610+CJ605*CK609+CJ606*CK608+CJ607*CK607+CJ608*CK606+CJ609*CK605+CJ610*CK604+CJ611</f>
        <v>3197.6479247362945</v>
      </c>
      <c r="CM611" s="134">
        <f t="shared" si="1111"/>
        <v>1.3911291072273194E-2</v>
      </c>
      <c r="CN611" s="135">
        <f t="shared" si="1112"/>
        <v>1.1995120072315648E-2</v>
      </c>
      <c r="CO611" s="135">
        <f t="shared" si="1122"/>
        <v>1.1677038297385714E-2</v>
      </c>
      <c r="CP611" s="134">
        <f>VLOOKUP($H611,RoR!$E:$F,2,FALSE)</f>
        <v>5.5874999999999994E-2</v>
      </c>
      <c r="CQ611" s="135">
        <v>3.0512430354548314E-2</v>
      </c>
      <c r="CR611" s="135">
        <f t="shared" si="1119"/>
        <v>2.536256964545168E-2</v>
      </c>
      <c r="CS611" s="135">
        <f t="shared" si="1123"/>
        <v>1.9224903311147911E-2</v>
      </c>
      <c r="CT611" s="135">
        <v>7.9087823893859641E-2</v>
      </c>
      <c r="CU611" s="139">
        <f t="shared" si="1113"/>
        <v>0.84885500000000003</v>
      </c>
      <c r="CV611" s="335">
        <f t="shared" si="1114"/>
        <v>0.91779957551769631</v>
      </c>
      <c r="CW611" s="335">
        <f t="shared" si="1115"/>
        <v>0.52757270693512304</v>
      </c>
      <c r="CX611" s="335">
        <f t="shared" si="1116"/>
        <v>0.88636824549024895</v>
      </c>
      <c r="CY611" s="335">
        <f t="shared" si="1117"/>
        <v>0.42918482841932087</v>
      </c>
      <c r="CZ611" s="336">
        <f>INDEX('State Tax Lookup'!$D$7:$Z$91,MATCH(Calculation!$C611,'State Tax Lookup'!$B$7:$B$91,0),MATCH($H611,'State Tax Lookup'!$D$6:$Z$6,0))</f>
        <v>0.40849999999999997</v>
      </c>
      <c r="DA611" s="303">
        <v>0.37</v>
      </c>
      <c r="DB611" s="57">
        <f t="shared" si="1121"/>
        <v>12.588882534773639</v>
      </c>
      <c r="DC611" s="56">
        <f t="shared" si="1124"/>
        <v>-3.7872155058407374E-2</v>
      </c>
      <c r="DD611" s="303">
        <f>VLOOKUP($H611,RoR!$E:$F,2,FALSE)</f>
        <v>5.5874999999999994E-2</v>
      </c>
      <c r="DE611" s="304">
        <f>HLOOKUP($H611,'GDP-PI'!$D$8:$CQ$11,3,FALSE)</f>
        <v>3.0512430354548314E-2</v>
      </c>
      <c r="DF611" s="303">
        <f>VLOOKUP(H611,'HW Dx Data'!$E:$F,2,FALSE)</f>
        <v>461.08567272971823</v>
      </c>
      <c r="DG611" s="89">
        <f ca="1">VLOOKUP(CC611,'ECI - Input Price'!M$13:N$33,2,FALSE)</f>
        <v>109.4</v>
      </c>
      <c r="DH611" s="89"/>
      <c r="DI611" s="89"/>
      <c r="DJ611" s="56">
        <f t="shared" ca="1" si="1132"/>
        <v>9.7620891318751846E-2</v>
      </c>
      <c r="DK611" s="53">
        <f>HLOOKUP(H611,'GDP-PI'!$8:$9,2,FALSE)</f>
        <v>90.073999999999998</v>
      </c>
      <c r="DL611" s="355">
        <f t="shared" si="1125"/>
        <v>3.005618372545445E-2</v>
      </c>
      <c r="EC611"/>
    </row>
    <row r="612" spans="1:133" s="126" customFormat="1" ht="21" customHeight="1" x14ac:dyDescent="0.4">
      <c r="A612" s="233" t="s">
        <v>217</v>
      </c>
      <c r="B612" s="127" t="s">
        <v>217</v>
      </c>
      <c r="C612" s="127">
        <v>4061755</v>
      </c>
      <c r="D612" s="127" t="s">
        <v>218</v>
      </c>
      <c r="E612" s="127" t="s">
        <v>15</v>
      </c>
      <c r="F612" s="127"/>
      <c r="G612" s="127" t="s">
        <v>163</v>
      </c>
      <c r="H612" s="128">
        <v>2007</v>
      </c>
      <c r="I612" s="129"/>
      <c r="J612" s="125">
        <f>IFERROR(INDEX('Labor Expenditures'!$E$7:$W$91,MATCH($C612,'Labor Expenditures'!$C$7:$C$91,0),MATCH($G612,'Labor Expenditures'!$E$5:$W$5,0)),"NA")</f>
        <v>40731.88348343064</v>
      </c>
      <c r="K612" s="125">
        <f t="shared" ca="1" si="1126"/>
        <v>389.68556310385691</v>
      </c>
      <c r="L612" s="47"/>
      <c r="M612" s="131">
        <f t="shared" ca="1" si="1133"/>
        <v>0.24207978945343916</v>
      </c>
      <c r="N612" s="131"/>
      <c r="O612" s="131"/>
      <c r="P612" s="59">
        <f t="shared" ca="1" si="1135"/>
        <v>4.5019748621675168E-3</v>
      </c>
      <c r="Q612" s="61"/>
      <c r="R612" s="387"/>
      <c r="S612" s="49">
        <f t="shared" ref="S612:S625" ca="1" si="1140">+S611*EXP(T612)</f>
        <v>118.35172148345407</v>
      </c>
      <c r="T612" s="61">
        <f ca="1">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</f>
        <v>8.7849820767756534E-2</v>
      </c>
      <c r="U612" s="61"/>
      <c r="V612" s="125">
        <f>IFERROR(INDEX('Non-Labor Expenditures'!$E$7:$AA$91,MATCH($C612,'Non-Labor Expenditures'!$C$7:$C$91,0),MATCH($G612,'Non-Labor Expenditures'!$E$5:$AA$5,0)),"NA")</f>
        <v>58987.374950444595</v>
      </c>
      <c r="W612" s="125">
        <f t="shared" si="1127"/>
        <v>637.71513925106046</v>
      </c>
      <c r="X612" s="131">
        <f t="shared" si="1136"/>
        <v>0.16993970875814882</v>
      </c>
      <c r="Y612" s="131">
        <f t="shared" si="1137"/>
        <v>3.1603807101807024E-3</v>
      </c>
      <c r="Z612" s="131"/>
      <c r="AA612" s="131"/>
      <c r="AB612" s="131"/>
      <c r="AC612" s="125">
        <f t="shared" si="1107"/>
        <v>42834.082514723588</v>
      </c>
      <c r="AD612" s="129"/>
      <c r="AE612" s="133">
        <v>3392.4764582112443</v>
      </c>
      <c r="AF612" s="134">
        <v>2.0629737717859954E-2</v>
      </c>
      <c r="AG612" s="59">
        <f t="shared" si="1128"/>
        <v>3.8365268256637251E-4</v>
      </c>
      <c r="AH612" s="134"/>
      <c r="AI612" s="134"/>
      <c r="AJ612" s="129">
        <f t="shared" si="1120"/>
        <v>142553.34094859881</v>
      </c>
      <c r="AK612" s="134">
        <f t="shared" si="1138"/>
        <v>0.15874439677412672</v>
      </c>
      <c r="AL612" s="129"/>
      <c r="AM612" s="129"/>
      <c r="AN612" s="129"/>
      <c r="AO612" s="129"/>
      <c r="AP612" s="133">
        <f t="shared" si="1139"/>
        <v>298.34983434406183</v>
      </c>
      <c r="AQ612" s="134">
        <f>+BB612/Outputs!$B$15</f>
        <v>1.3673262745500021E-2</v>
      </c>
      <c r="AR612" s="93">
        <f t="shared" si="1129"/>
        <v>0.28573082337030281</v>
      </c>
      <c r="AS612" s="93">
        <f t="shared" si="1130"/>
        <v>0.41379159939656535</v>
      </c>
      <c r="AT612" s="93">
        <f t="shared" si="1131"/>
        <v>0.30047757723313195</v>
      </c>
      <c r="AU612" s="93">
        <f t="shared" ca="1" si="1134"/>
        <v>0.14337153094990804</v>
      </c>
      <c r="AV612" s="132">
        <f ca="1">+AV611*EXP(AU612)</f>
        <v>119.85114667256346</v>
      </c>
      <c r="AW612" s="134">
        <f ca="1">LN(AV612/AV611)</f>
        <v>0.14337153094990798</v>
      </c>
      <c r="AX612" s="56">
        <f>+AJ612/$AL$12</f>
        <v>1.8597070297904451E-2</v>
      </c>
      <c r="AY612" s="135">
        <f t="shared" ref="AY612:AY626" ca="1" si="1141">+AX612*AW612</f>
        <v>2.6662904397936225E-3</v>
      </c>
      <c r="AZ612" s="93"/>
      <c r="BA612" s="93"/>
      <c r="BB612" s="234">
        <f>IFERROR(INDEX('Total Customers'!$E$7:$AA$91,MATCH($C612,'Total Customers'!$C$7:$C$91,0),MATCH($G612,'Total Customers'!$E$5:$AA$5,0)),"NA")</f>
        <v>477806</v>
      </c>
      <c r="BC612" s="411">
        <f t="shared" si="1076"/>
        <v>7.1708082334074842E-3</v>
      </c>
      <c r="BD612" s="92"/>
      <c r="BE612" s="281" t="str">
        <f t="shared" si="1062"/>
        <v>NEW JERSEY NATURAL GAS COMPANY</v>
      </c>
      <c r="BF612" s="290">
        <f t="shared" si="1063"/>
        <v>4061755</v>
      </c>
      <c r="BG612" s="46" t="str">
        <f t="shared" si="1064"/>
        <v>NJ</v>
      </c>
      <c r="BH612" s="46"/>
      <c r="BI612" s="46" t="str">
        <f t="shared" si="1065"/>
        <v>2007 Y</v>
      </c>
      <c r="BJ612" s="129"/>
      <c r="BK612" s="129"/>
      <c r="BL612" s="129">
        <f>INDEX('Dist. Plant Gas Additions'!$E$7:$AD$91,MATCH($C612,'Dist. Plant Gas Additions'!$C$7:$C$91,0),MATCH(Calculation!$G612,'Dist. Plant Gas Additions'!$E$5:$AD$5,0))</f>
        <v>41352</v>
      </c>
      <c r="BM612" s="129">
        <f>INDEX('Gen. Plant Additions'!$E$7:$AD$91,MATCH($C612,'Gen. Plant Additions'!$C$7:$C$91,0),MATCH(Calculation!$G612,'Gen. Plant Additions'!$E$5:$AD$5,0))</f>
        <v>3823</v>
      </c>
      <c r="BN612" s="393">
        <f t="shared" si="1108"/>
        <v>0.94694578587608913</v>
      </c>
      <c r="BO612" s="46">
        <f t="shared" si="1056"/>
        <v>3620.1737394042889</v>
      </c>
      <c r="BP612" s="46">
        <f t="shared" si="1057"/>
        <v>-202.82626059571112</v>
      </c>
      <c r="BQ612" s="129">
        <f>INDEX('Dist Plant Depreciation'!$D$7:$AC$94,MATCH($C612,'Dist Plant Depreciation'!$C$7:$C$94,0),MATCH(Calculation!$G612,'Dist Plant Depreciation'!$D$5:$AC$5,0))</f>
        <v>317443</v>
      </c>
      <c r="BR612" s="129">
        <f>INDEX('Gen. Plant Depreciation'!$D$7:$AC$94,MATCH($C612,'Gen. Plant Depreciation'!$C$7:$C$94,0),MATCH(Calculation!$G612,'Gen. Plant Depreciation'!$D$5:$AC$5,0))</f>
        <v>43212</v>
      </c>
      <c r="BS612" s="129"/>
      <c r="BT612" s="129"/>
      <c r="BU612" s="129"/>
      <c r="BV612" s="129"/>
      <c r="BW612" s="129"/>
      <c r="BX612" s="129"/>
      <c r="BY612" s="129">
        <f>INDEX('Gross Dx Plant'!$D$7:$AC$91,MATCH($C612,'Gross Dx Plant'!$C$7:$C$91,0),MATCH(Calculation!$G612,'Gross Dx Plant'!$D$5:$AC$5,0))</f>
        <v>954367</v>
      </c>
      <c r="BZ612" s="129">
        <f>INDEX('Gross Gen Plant'!$D$7:$AC$91,MATCH($C612,'Gross Gen Plant'!$C$7:$C$91,0),MATCH(Calculation!$G612,'Gross Gen Plant'!$D$5:$AC$5,0))</f>
        <v>53470</v>
      </c>
      <c r="CA612" s="129">
        <f t="shared" si="1077"/>
        <v>647182</v>
      </c>
      <c r="CB612" s="129"/>
      <c r="CC612" s="133">
        <v>2007</v>
      </c>
      <c r="CD612" s="129"/>
      <c r="CE612" s="129"/>
      <c r="CF612" s="129"/>
      <c r="CG612" s="137"/>
      <c r="CH612" s="129">
        <f t="shared" si="1109"/>
        <v>45175</v>
      </c>
      <c r="CI612" s="46">
        <f t="shared" si="1118"/>
        <v>44972.173739404287</v>
      </c>
      <c r="CJ612" s="46">
        <f t="shared" si="1110"/>
        <v>90.301523328942892</v>
      </c>
      <c r="CK612" s="443">
        <v>0.90322580645161288</v>
      </c>
      <c r="CL612" s="46">
        <f>+CL603*CK612+CJ604*CK611+CJ605*CK610+CJ606*CK609+CJ607*CK608+CJ608*CK607+CJ609*CK606+CJ610*CK605+CJ611*CK604+CJ612</f>
        <v>3248.5045445387677</v>
      </c>
      <c r="CM612" s="134">
        <f t="shared" si="1111"/>
        <v>1.5779234279222624E-2</v>
      </c>
      <c r="CN612" s="135">
        <f t="shared" si="1112"/>
        <v>1.2335599307645048E-2</v>
      </c>
      <c r="CO612" s="135">
        <f t="shared" si="1122"/>
        <v>1.200047643457193E-2</v>
      </c>
      <c r="CP612" s="134">
        <f>VLOOKUP($H612,RoR!$E:$F,2,FALSE)</f>
        <v>5.5558333333333321E-2</v>
      </c>
      <c r="CQ612" s="135">
        <v>2.691120634145272E-2</v>
      </c>
      <c r="CR612" s="135">
        <f t="shared" si="1119"/>
        <v>2.86471269918806E-2</v>
      </c>
      <c r="CS612" s="135">
        <f t="shared" si="1123"/>
        <v>1.8901465173961695E-2</v>
      </c>
      <c r="CT612" s="135">
        <v>6.4575155250632399E-2</v>
      </c>
      <c r="CU612" s="139">
        <f t="shared" si="1113"/>
        <v>0.84885500000000003</v>
      </c>
      <c r="CV612" s="335">
        <f t="shared" si="1114"/>
        <v>0.92303077153834634</v>
      </c>
      <c r="CW612" s="335">
        <f t="shared" si="1115"/>
        <v>0.52502249887505614</v>
      </c>
      <c r="CX612" s="335">
        <f t="shared" si="1116"/>
        <v>0.88499666072084604</v>
      </c>
      <c r="CY612" s="335">
        <f t="shared" si="1117"/>
        <v>0.42887993290280618</v>
      </c>
      <c r="CZ612" s="336">
        <f>INDEX('State Tax Lookup'!$D$7:$Z$91,MATCH(Calculation!$C612,'State Tax Lookup'!$B$7:$B$91,0),MATCH($H612,'State Tax Lookup'!$D$6:$Z$6,0))</f>
        <v>0.40849999999999997</v>
      </c>
      <c r="DA612" s="303">
        <v>0.37</v>
      </c>
      <c r="DB612" s="57">
        <f t="shared" si="1121"/>
        <v>13.395496791053398</v>
      </c>
      <c r="DC612" s="56">
        <f t="shared" si="1124"/>
        <v>6.2104504149120283E-2</v>
      </c>
      <c r="DD612" s="303">
        <f>VLOOKUP($H612,RoR!$E:$F,2,FALSE)</f>
        <v>5.5558333333333321E-2</v>
      </c>
      <c r="DE612" s="304">
        <f>HLOOKUP($H612,'GDP-PI'!$D$8:$CQ$11,3,FALSE)</f>
        <v>2.691120634145272E-2</v>
      </c>
      <c r="DF612" s="303">
        <f>VLOOKUP(H612,'HW Dx Data'!$E:$F,2,FALSE)</f>
        <v>498.0223154772637</v>
      </c>
      <c r="DG612" s="89">
        <f ca="1">VLOOKUP(CC612,'ECI - Input Price'!M$13:N$33,2,FALSE)</f>
        <v>104.52499999999999</v>
      </c>
      <c r="DH612" s="89"/>
      <c r="DI612" s="89"/>
      <c r="DJ612" s="56">
        <f t="shared" ca="1" si="1132"/>
        <v>-4.5584612745252218E-2</v>
      </c>
      <c r="DK612" s="53">
        <f>HLOOKUP(H612,'GDP-PI'!$8:$9,2,FALSE)</f>
        <v>92.498000000000005</v>
      </c>
      <c r="DL612" s="355">
        <f t="shared" si="1125"/>
        <v>2.6555467950038037E-2</v>
      </c>
      <c r="EC612"/>
    </row>
    <row r="613" spans="1:133" s="126" customFormat="1" ht="21" customHeight="1" x14ac:dyDescent="0.4">
      <c r="A613" s="233" t="s">
        <v>217</v>
      </c>
      <c r="B613" s="127" t="s">
        <v>217</v>
      </c>
      <c r="C613" s="127">
        <v>4061755</v>
      </c>
      <c r="D613" s="127" t="s">
        <v>218</v>
      </c>
      <c r="E613" s="127" t="s">
        <v>15</v>
      </c>
      <c r="F613" s="127"/>
      <c r="G613" s="127" t="s">
        <v>164</v>
      </c>
      <c r="H613" s="128">
        <v>2008</v>
      </c>
      <c r="I613" s="129"/>
      <c r="J613" s="125">
        <f>IFERROR(INDEX('Labor Expenditures'!$E$7:$W$91,MATCH($C613,'Labor Expenditures'!$C$7:$C$91,0),MATCH($G613,'Labor Expenditures'!$E$5:$W$5,0)),"NA")</f>
        <v>39111.738669383827</v>
      </c>
      <c r="K613" s="125">
        <f t="shared" ca="1" si="1126"/>
        <v>362.48135930846917</v>
      </c>
      <c r="L613" s="47"/>
      <c r="M613" s="131">
        <f t="shared" ca="1" si="1133"/>
        <v>-7.236711510374165E-2</v>
      </c>
      <c r="N613" s="131"/>
      <c r="O613" s="131"/>
      <c r="P613" s="59">
        <f t="shared" ca="1" si="1135"/>
        <v>-1.2950964007006828E-3</v>
      </c>
      <c r="Q613" s="61"/>
      <c r="R613" s="387"/>
      <c r="S613" s="49">
        <f t="shared" ca="1" si="1140"/>
        <v>110.18087309669933</v>
      </c>
      <c r="T613" s="61">
        <f ca="1">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</f>
        <v>-7.1537565264116504E-2</v>
      </c>
      <c r="U613" s="61"/>
      <c r="V613" s="125">
        <f>IFERROR(INDEX('Non-Labor Expenditures'!$E$7:$AA$91,MATCH($C613,'Non-Labor Expenditures'!$C$7:$C$91,0),MATCH($G613,'Non-Labor Expenditures'!$E$5:$AA$5,0)),"NA")</f>
        <v>56641.102658394222</v>
      </c>
      <c r="W613" s="125">
        <f t="shared" si="1127"/>
        <v>600.87735146391231</v>
      </c>
      <c r="X613" s="131">
        <f t="shared" si="1136"/>
        <v>-5.950085383031322E-2</v>
      </c>
      <c r="Y613" s="131">
        <f t="shared" si="1137"/>
        <v>-1.0648392094086921E-3</v>
      </c>
      <c r="Z613" s="131"/>
      <c r="AA613" s="131"/>
      <c r="AB613" s="131"/>
      <c r="AC613" s="125">
        <f t="shared" si="1107"/>
        <v>49021.96585146249</v>
      </c>
      <c r="AD613" s="129"/>
      <c r="AE613" s="133">
        <v>3452.7634577437207</v>
      </c>
      <c r="AF613" s="134">
        <v>1.7614739316858263E-2</v>
      </c>
      <c r="AG613" s="59">
        <f t="shared" si="1128"/>
        <v>3.1523690637440423E-4</v>
      </c>
      <c r="AH613" s="134"/>
      <c r="AI613" s="134"/>
      <c r="AJ613" s="129">
        <f t="shared" si="1120"/>
        <v>144774.80717924054</v>
      </c>
      <c r="AK613" s="134">
        <f t="shared" si="1138"/>
        <v>1.5463229132094398E-2</v>
      </c>
      <c r="AL613" s="129"/>
      <c r="AM613" s="129"/>
      <c r="AN613" s="129"/>
      <c r="AO613" s="129"/>
      <c r="AP613" s="133">
        <f t="shared" si="1139"/>
        <v>299.56651964227962</v>
      </c>
      <c r="AQ613" s="134">
        <f>+BB613/Outputs!$B$16</f>
        <v>1.3755996710385776E-2</v>
      </c>
      <c r="AR613" s="93">
        <f t="shared" si="1129"/>
        <v>0.27015569512008381</v>
      </c>
      <c r="AS613" s="93">
        <f t="shared" si="1130"/>
        <v>0.39123590465756164</v>
      </c>
      <c r="AT613" s="93">
        <f t="shared" si="1131"/>
        <v>0.33860840022235456</v>
      </c>
      <c r="AU613" s="93">
        <f t="shared" ca="1" si="1134"/>
        <v>-3.8435197311190279E-2</v>
      </c>
      <c r="AV613" s="132">
        <f t="shared" ref="AV613:AV626" ca="1" si="1142">+AV612*EXP(AU613)</f>
        <v>115.33204676234197</v>
      </c>
      <c r="AW613" s="134">
        <f t="shared" ref="AW613:AW626" ca="1" si="1143">LN(AV613/AV612)</f>
        <v>-3.8435197311190279E-2</v>
      </c>
      <c r="AX613" s="56">
        <f>+AJ613/$AL$13</f>
        <v>1.7896200488911315E-2</v>
      </c>
      <c r="AY613" s="135">
        <f t="shared" ca="1" si="1141"/>
        <v>-6.8784399691192632E-4</v>
      </c>
      <c r="AZ613" s="93"/>
      <c r="BA613" s="93"/>
      <c r="BB613" s="234">
        <f>IFERROR(INDEX('Total Customers'!$E$7:$AA$91,MATCH($C613,'Total Customers'!$C$7:$C$91,0),MATCH($G613,'Total Customers'!$E$5:$AA$5,0)),"NA")</f>
        <v>483281</v>
      </c>
      <c r="BC613" s="411">
        <f t="shared" si="1076"/>
        <v>1.1393472653860761E-2</v>
      </c>
      <c r="BD613" s="92"/>
      <c r="BE613" s="281" t="str">
        <f t="shared" si="1062"/>
        <v>NEW JERSEY NATURAL GAS COMPANY</v>
      </c>
      <c r="BF613" s="290">
        <f t="shared" si="1063"/>
        <v>4061755</v>
      </c>
      <c r="BG613" s="46" t="str">
        <f t="shared" si="1064"/>
        <v>NJ</v>
      </c>
      <c r="BH613" s="46"/>
      <c r="BI613" s="46" t="str">
        <f t="shared" si="1065"/>
        <v>2008 Y</v>
      </c>
      <c r="BJ613" s="129"/>
      <c r="BK613" s="129"/>
      <c r="BL613" s="129">
        <f>INDEX('Dist. Plant Gas Additions'!$E$7:$AD$91,MATCH($C613,'Dist. Plant Gas Additions'!$C$7:$C$91,0),MATCH(Calculation!$G613,'Dist. Plant Gas Additions'!$E$5:$AD$5,0))</f>
        <v>45068</v>
      </c>
      <c r="BM613" s="129">
        <f>INDEX('Gen. Plant Additions'!$E$7:$AD$91,MATCH($C613,'Gen. Plant Additions'!$C$7:$C$91,0),MATCH(Calculation!$G613,'Gen. Plant Additions'!$E$5:$AD$5,0))</f>
        <v>2179</v>
      </c>
      <c r="BN613" s="393">
        <f t="shared" si="1108"/>
        <v>0.94719388878148869</v>
      </c>
      <c r="BO613" s="46">
        <f t="shared" si="1056"/>
        <v>2063.9354836548637</v>
      </c>
      <c r="BP613" s="46">
        <f t="shared" si="1057"/>
        <v>-115.06451634513633</v>
      </c>
      <c r="BQ613" s="129">
        <f>INDEX('Dist Plant Depreciation'!$D$7:$AC$94,MATCH($C613,'Dist Plant Depreciation'!$C$7:$C$94,0),MATCH(Calculation!$G613,'Dist Plant Depreciation'!$D$5:$AC$5,0))</f>
        <v>335143</v>
      </c>
      <c r="BR613" s="129">
        <f>INDEX('Gen. Plant Depreciation'!$D$7:$AC$94,MATCH($C613,'Gen. Plant Depreciation'!$C$7:$C$94,0),MATCH(Calculation!$G613,'Gen. Plant Depreciation'!$D$5:$AC$5,0))</f>
        <v>45525</v>
      </c>
      <c r="BS613" s="129"/>
      <c r="BT613" s="129"/>
      <c r="BU613" s="129"/>
      <c r="BV613" s="129"/>
      <c r="BW613" s="129"/>
      <c r="BX613" s="129"/>
      <c r="BY613" s="129">
        <f>INDEX('Gross Dx Plant'!$D$7:$AC$91,MATCH($C613,'Gross Dx Plant'!$C$7:$C$91,0),MATCH(Calculation!$G613,'Gross Dx Plant'!$D$5:$AC$5,0))</f>
        <v>989721</v>
      </c>
      <c r="BZ613" s="129">
        <f>INDEX('Gross Gen Plant'!$D$7:$AC$91,MATCH($C613,'Gross Gen Plant'!$C$7:$C$91,0),MATCH(Calculation!$G613,'Gross Gen Plant'!$D$5:$AC$5,0))</f>
        <v>55177</v>
      </c>
      <c r="CA613" s="129">
        <f t="shared" si="1077"/>
        <v>664230</v>
      </c>
      <c r="CB613" s="129"/>
      <c r="CC613" s="133">
        <v>2008</v>
      </c>
      <c r="CD613" s="129"/>
      <c r="CE613" s="129"/>
      <c r="CF613" s="129"/>
      <c r="CG613" s="137"/>
      <c r="CH613" s="129">
        <f t="shared" si="1109"/>
        <v>47247</v>
      </c>
      <c r="CI613" s="46">
        <f t="shared" si="1118"/>
        <v>47131.935483654866</v>
      </c>
      <c r="CJ613" s="46">
        <f t="shared" si="1110"/>
        <v>82.70484305820537</v>
      </c>
      <c r="CK613" s="443">
        <v>0.89130434782608692</v>
      </c>
      <c r="CL613" s="46">
        <f>+CL603*CK613+CJ604*CK612+CJ605*CK611+CJ606*CK610+CJ607*CK609+CJ608*CK608+CJ609*CK607+CJ610*CK606+CJ611*CK605+CJ612*CK604+CJ613</f>
        <v>3290.0213526737762</v>
      </c>
      <c r="CM613" s="134">
        <f t="shared" si="1111"/>
        <v>1.2699304627852305E-2</v>
      </c>
      <c r="CN613" s="135">
        <f t="shared" si="1112"/>
        <v>1.2679075666506397E-2</v>
      </c>
      <c r="CO613" s="135">
        <f t="shared" si="1122"/>
        <v>1.2336598348822364E-2</v>
      </c>
      <c r="CP613" s="134">
        <f>VLOOKUP($H613,RoR!$E:$F,2,FALSE)</f>
        <v>5.6316666666666668E-2</v>
      </c>
      <c r="CQ613" s="135">
        <v>1.9092304698479889E-2</v>
      </c>
      <c r="CR613" s="135">
        <f t="shared" si="1119"/>
        <v>3.7224361968186778E-2</v>
      </c>
      <c r="CS613" s="135">
        <f t="shared" si="1123"/>
        <v>1.8565343259711261E-2</v>
      </c>
      <c r="CT613" s="135">
        <v>6.9030581091053131E-2</v>
      </c>
      <c r="CU613" s="139">
        <f t="shared" si="1113"/>
        <v>0.84885500000000003</v>
      </c>
      <c r="CV613" s="335">
        <f t="shared" si="1114"/>
        <v>0.91060168006009956</v>
      </c>
      <c r="CW613" s="335">
        <f t="shared" si="1115"/>
        <v>0.53108168097070152</v>
      </c>
      <c r="CX613" s="335">
        <f t="shared" si="1116"/>
        <v>0.88825329850328805</v>
      </c>
      <c r="CY613" s="335">
        <f t="shared" si="1117"/>
        <v>0.4295627335323573</v>
      </c>
      <c r="CZ613" s="336">
        <f>INDEX('State Tax Lookup'!$D$7:$Z$91,MATCH(Calculation!$C613,'State Tax Lookup'!$B$7:$B$91,0),MATCH($H613,'State Tax Lookup'!$D$6:$Z$6,0))</f>
        <v>0.40849999999999997</v>
      </c>
      <c r="DA613" s="303">
        <v>0.37</v>
      </c>
      <c r="DB613" s="57">
        <f t="shared" si="1121"/>
        <v>15.090625603056612</v>
      </c>
      <c r="DC613" s="56">
        <f t="shared" si="1124"/>
        <v>0.11915513993532777</v>
      </c>
      <c r="DD613" s="303">
        <f>VLOOKUP($H613,RoR!$E:$F,2,FALSE)</f>
        <v>5.6316666666666668E-2</v>
      </c>
      <c r="DE613" s="304">
        <f>HLOOKUP($H613,'GDP-PI'!$D$8:$CQ$11,3,FALSE)</f>
        <v>1.9092304698479889E-2</v>
      </c>
      <c r="DF613" s="303">
        <f>VLOOKUP(H613,'HW Dx Data'!$E:$F,2,FALSE)</f>
        <v>569.88120333515076</v>
      </c>
      <c r="DG613" s="89">
        <f ca="1">VLOOKUP(CC613,'ECI - Input Price'!M$13:N$33,2,FALSE)</f>
        <v>107.9</v>
      </c>
      <c r="DH613" s="89"/>
      <c r="DI613" s="89"/>
      <c r="DJ613" s="56">
        <f t="shared" ca="1" si="1132"/>
        <v>3.1778595021460486E-2</v>
      </c>
      <c r="DK613" s="53">
        <f>HLOOKUP(H613,'GDP-PI'!$8:$9,2,FALSE)</f>
        <v>94.263999999999996</v>
      </c>
      <c r="DL613" s="355">
        <f t="shared" si="1125"/>
        <v>1.8912333748032254E-2</v>
      </c>
      <c r="EC613"/>
    </row>
    <row r="614" spans="1:133" s="126" customFormat="1" ht="21" customHeight="1" x14ac:dyDescent="0.4">
      <c r="A614" s="233" t="s">
        <v>217</v>
      </c>
      <c r="B614" s="127" t="s">
        <v>217</v>
      </c>
      <c r="C614" s="127">
        <v>4061755</v>
      </c>
      <c r="D614" s="127" t="s">
        <v>218</v>
      </c>
      <c r="E614" s="127" t="s">
        <v>15</v>
      </c>
      <c r="F614" s="127"/>
      <c r="G614" s="127" t="s">
        <v>165</v>
      </c>
      <c r="H614" s="128">
        <v>2009</v>
      </c>
      <c r="I614" s="129"/>
      <c r="J614" s="125">
        <f>IFERROR(INDEX('Labor Expenditures'!$E$7:$W$91,MATCH($C614,'Labor Expenditures'!$C$7:$C$91,0),MATCH($G614,'Labor Expenditures'!$E$5:$W$5,0)),"NA")</f>
        <v>42409.044467067964</v>
      </c>
      <c r="K614" s="125">
        <f t="shared" ca="1" si="1126"/>
        <v>382.32178920052257</v>
      </c>
      <c r="L614" s="47"/>
      <c r="M614" s="131">
        <f t="shared" ca="1" si="1133"/>
        <v>5.3289583734444028E-2</v>
      </c>
      <c r="N614" s="131"/>
      <c r="O614" s="131"/>
      <c r="P614" s="59">
        <f t="shared" ca="1" si="1135"/>
        <v>9.5079204546008763E-4</v>
      </c>
      <c r="Q614" s="61"/>
      <c r="R614" s="387"/>
      <c r="S614" s="49">
        <f t="shared" ca="1" si="1140"/>
        <v>118.92070752953705</v>
      </c>
      <c r="T614" s="61">
        <f ca="1">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</f>
        <v>7.6333631449410369E-2</v>
      </c>
      <c r="U614" s="61"/>
      <c r="V614" s="125">
        <f>IFERROR(INDEX('Non-Labor Expenditures'!$E$7:$AA$91,MATCH($C614,'Non-Labor Expenditures'!$C$7:$C$91,0),MATCH($G614,'Non-Labor Expenditures'!$E$5:$AA$5,0)),"NA")</f>
        <v>61416.217305213584</v>
      </c>
      <c r="W614" s="125">
        <f t="shared" si="1127"/>
        <v>646.49330314228132</v>
      </c>
      <c r="X614" s="131">
        <f t="shared" si="1136"/>
        <v>7.3171999917018379E-2</v>
      </c>
      <c r="Y614" s="131">
        <f t="shared" si="1137"/>
        <v>1.3055338510092249E-3</v>
      </c>
      <c r="Z614" s="131"/>
      <c r="AA614" s="131"/>
      <c r="AB614" s="131"/>
      <c r="AC614" s="125">
        <f t="shared" si="1107"/>
        <v>47061.280585102693</v>
      </c>
      <c r="AD614" s="129"/>
      <c r="AE614" s="133">
        <v>3517.5232680786635</v>
      </c>
      <c r="AF614" s="134">
        <v>1.8582212275531754E-2</v>
      </c>
      <c r="AG614" s="59">
        <f t="shared" si="1128"/>
        <v>3.3154358470258963E-4</v>
      </c>
      <c r="AH614" s="134"/>
      <c r="AI614" s="134"/>
      <c r="AJ614" s="129">
        <f t="shared" si="1120"/>
        <v>150886.54235738423</v>
      </c>
      <c r="AK614" s="134">
        <f t="shared" si="1138"/>
        <v>4.1348698028562662E-2</v>
      </c>
      <c r="AL614" s="129"/>
      <c r="AM614" s="129"/>
      <c r="AN614" s="129"/>
      <c r="AO614" s="129"/>
      <c r="AP614" s="133">
        <f t="shared" si="1139"/>
        <v>309.70334866057107</v>
      </c>
      <c r="AQ614" s="134">
        <f>+BB614/Outputs!$B$17</f>
        <v>1.3849782941976954E-2</v>
      </c>
      <c r="AR614" s="93">
        <f t="shared" si="1129"/>
        <v>0.28106578495661649</v>
      </c>
      <c r="AS614" s="93">
        <f t="shared" si="1130"/>
        <v>0.40703575246455992</v>
      </c>
      <c r="AT614" s="93">
        <f t="shared" si="1131"/>
        <v>0.31189846257882364</v>
      </c>
      <c r="AU614" s="93">
        <f t="shared" ca="1" si="1134"/>
        <v>4.9936676729365602E-2</v>
      </c>
      <c r="AV614" s="132">
        <f t="shared" ca="1" si="1142"/>
        <v>121.23756984461525</v>
      </c>
      <c r="AW614" s="134">
        <f t="shared" ca="1" si="1143"/>
        <v>4.9936676729365706E-2</v>
      </c>
      <c r="AX614" s="56">
        <f>+AJ614/$AL$14</f>
        <v>1.7841986722923822E-2</v>
      </c>
      <c r="AY614" s="135">
        <f t="shared" ca="1" si="1141"/>
        <v>8.9096952319228195E-4</v>
      </c>
      <c r="AZ614" s="93"/>
      <c r="BA614" s="93"/>
      <c r="BB614" s="234">
        <f>IFERROR(INDEX('Total Customers'!$E$7:$AA$91,MATCH($C614,'Total Customers'!$C$7:$C$91,0),MATCH($G614,'Total Customers'!$E$5:$AA$5,0)),"NA")</f>
        <v>487197</v>
      </c>
      <c r="BC614" s="411">
        <f t="shared" si="1076"/>
        <v>8.0702937190738327E-3</v>
      </c>
      <c r="BD614" s="92"/>
      <c r="BE614" s="281" t="str">
        <f t="shared" si="1062"/>
        <v>NEW JERSEY NATURAL GAS COMPANY</v>
      </c>
      <c r="BF614" s="290">
        <f t="shared" si="1063"/>
        <v>4061755</v>
      </c>
      <c r="BG614" s="46" t="str">
        <f t="shared" si="1064"/>
        <v>NJ</v>
      </c>
      <c r="BH614" s="46"/>
      <c r="BI614" s="46" t="str">
        <f t="shared" si="1065"/>
        <v>2009 Y</v>
      </c>
      <c r="BJ614" s="129"/>
      <c r="BK614" s="129"/>
      <c r="BL614" s="129">
        <f>INDEX('Dist. Plant Gas Additions'!$E$7:$AD$91,MATCH($C614,'Dist. Plant Gas Additions'!$C$7:$C$91,0),MATCH(Calculation!$G614,'Dist. Plant Gas Additions'!$E$5:$AD$5,0))</f>
        <v>45492</v>
      </c>
      <c r="BM614" s="129">
        <f>INDEX('Gen. Plant Additions'!$E$7:$AD$91,MATCH($C614,'Gen. Plant Additions'!$C$7:$C$91,0),MATCH(Calculation!$G614,'Gen. Plant Additions'!$E$5:$AD$5,0))</f>
        <v>3306</v>
      </c>
      <c r="BN614" s="393">
        <f t="shared" si="1108"/>
        <v>0.94612185711600894</v>
      </c>
      <c r="BO614" s="46">
        <f t="shared" si="1056"/>
        <v>3127.8788596255254</v>
      </c>
      <c r="BP614" s="46">
        <f t="shared" si="1057"/>
        <v>-178.12114037447463</v>
      </c>
      <c r="BQ614" s="129">
        <f>INDEX('Dist Plant Depreciation'!$D$7:$AC$94,MATCH($C614,'Dist Plant Depreciation'!$C$7:$C$94,0),MATCH(Calculation!$G614,'Dist Plant Depreciation'!$D$5:$AC$5,0))</f>
        <v>348492</v>
      </c>
      <c r="BR614" s="129">
        <f>INDEX('Gen. Plant Depreciation'!$D$7:$AC$94,MATCH($C614,'Gen. Plant Depreciation'!$C$7:$C$94,0),MATCH(Calculation!$G614,'Gen. Plant Depreciation'!$D$5:$AC$5,0))</f>
        <v>47079</v>
      </c>
      <c r="BS614" s="129"/>
      <c r="BT614" s="129"/>
      <c r="BU614" s="129"/>
      <c r="BV614" s="129"/>
      <c r="BW614" s="129"/>
      <c r="BX614" s="129"/>
      <c r="BY614" s="129">
        <f>INDEX('Gross Dx Plant'!$D$7:$AC$91,MATCH($C614,'Gross Dx Plant'!$C$7:$C$91,0),MATCH(Calculation!$G614,'Gross Dx Plant'!$D$5:$AC$5,0))</f>
        <v>1026985</v>
      </c>
      <c r="BZ614" s="129">
        <f>INDEX('Gross Gen Plant'!$D$7:$AC$91,MATCH($C614,'Gross Gen Plant'!$C$7:$C$91,0),MATCH(Calculation!$G614,'Gross Gen Plant'!$D$5:$AC$5,0))</f>
        <v>58483</v>
      </c>
      <c r="CA614" s="129">
        <f t="shared" si="1077"/>
        <v>689897</v>
      </c>
      <c r="CB614" s="129"/>
      <c r="CC614" s="133">
        <v>2009</v>
      </c>
      <c r="CD614" s="129"/>
      <c r="CE614" s="129"/>
      <c r="CF614" s="129"/>
      <c r="CG614" s="137"/>
      <c r="CH614" s="129">
        <f t="shared" si="1109"/>
        <v>48798</v>
      </c>
      <c r="CI614" s="46">
        <f t="shared" si="1118"/>
        <v>48619.878859625525</v>
      </c>
      <c r="CJ614" s="46">
        <f t="shared" si="1110"/>
        <v>88.248852258009038</v>
      </c>
      <c r="CK614" s="443">
        <v>0.87912087912087911</v>
      </c>
      <c r="CL614" s="46">
        <f>+CL603*CK614+CJ604*CK613+CJ605*CK612+CJ606*CK611+CJ607*CK610+CJ608*CK609+CJ609*CK608+CJ610*CK607+CJ611*CK606+CJ612*CK605+CJ613*CK604+CJ614</f>
        <v>3335.3686468629667</v>
      </c>
      <c r="CM614" s="134">
        <f t="shared" si="1111"/>
        <v>1.3689157117501074E-2</v>
      </c>
      <c r="CN614" s="135">
        <f t="shared" si="1112"/>
        <v>1.3039902623717852E-2</v>
      </c>
      <c r="CO614" s="135">
        <f t="shared" si="1122"/>
        <v>1.2684859199289767E-2</v>
      </c>
      <c r="CP614" s="134">
        <f>VLOOKUP($H614,RoR!$E:$F,2,FALSE)</f>
        <v>5.3133333333333324E-2</v>
      </c>
      <c r="CQ614" s="135">
        <v>7.7972502758210105E-3</v>
      </c>
      <c r="CR614" s="135">
        <f t="shared" si="1119"/>
        <v>4.5336083057512314E-2</v>
      </c>
      <c r="CS614" s="135">
        <f t="shared" si="1123"/>
        <v>1.8217082409243857E-2</v>
      </c>
      <c r="CT614" s="135">
        <v>6.3720160300892073E-2</v>
      </c>
      <c r="CU614" s="139">
        <f t="shared" si="1113"/>
        <v>0.84885500000000003</v>
      </c>
      <c r="CV614" s="335">
        <f t="shared" si="1114"/>
        <v>0.96515780330083989</v>
      </c>
      <c r="CW614" s="335">
        <f t="shared" si="1115"/>
        <v>0.50448557089084056</v>
      </c>
      <c r="CX614" s="335">
        <f t="shared" si="1116"/>
        <v>0.87391435735465484</v>
      </c>
      <c r="CY614" s="335">
        <f t="shared" si="1117"/>
        <v>0.42551605393279146</v>
      </c>
      <c r="CZ614" s="336">
        <f>INDEX('State Tax Lookup'!$D$7:$Z$91,MATCH(Calculation!$C614,'State Tax Lookup'!$B$7:$B$91,0),MATCH($H614,'State Tax Lookup'!$D$6:$Z$6,0))</f>
        <v>0.40849999999999997</v>
      </c>
      <c r="DA614" s="303">
        <v>0.37</v>
      </c>
      <c r="DB614" s="57">
        <f t="shared" si="1121"/>
        <v>14.304247766312015</v>
      </c>
      <c r="DC614" s="56">
        <f t="shared" si="1124"/>
        <v>-5.3517190290601466E-2</v>
      </c>
      <c r="DD614" s="303">
        <f>VLOOKUP($H614,RoR!$E:$F,2,FALSE)</f>
        <v>5.3133333333333324E-2</v>
      </c>
      <c r="DE614" s="304">
        <f>HLOOKUP($H614,'GDP-PI'!$D$8:$CQ$11,3,FALSE)</f>
        <v>7.7972502758210105E-3</v>
      </c>
      <c r="DF614" s="303">
        <f>VLOOKUP(H614,'HW Dx Data'!$E:$F,2,FALSE)</f>
        <v>550.94063679692806</v>
      </c>
      <c r="DG614" s="89">
        <f ca="1">VLOOKUP(CC614,'ECI - Input Price'!M$13:N$33,2,FALSE)</f>
        <v>110.925</v>
      </c>
      <c r="DH614" s="89"/>
      <c r="DI614" s="89"/>
      <c r="DJ614" s="56">
        <f t="shared" ca="1" si="1132"/>
        <v>2.7649425000884052E-2</v>
      </c>
      <c r="DK614" s="53">
        <f>HLOOKUP(H614,'GDP-PI'!$8:$9,2,FALSE)</f>
        <v>94.998999999999995</v>
      </c>
      <c r="DL614" s="355">
        <f t="shared" si="1125"/>
        <v>7.7670088183096342E-3</v>
      </c>
      <c r="EC614"/>
    </row>
    <row r="615" spans="1:133" s="126" customFormat="1" ht="21" customHeight="1" x14ac:dyDescent="0.4">
      <c r="A615" s="233" t="s">
        <v>217</v>
      </c>
      <c r="B615" s="127" t="s">
        <v>217</v>
      </c>
      <c r="C615" s="127">
        <v>4061755</v>
      </c>
      <c r="D615" s="127" t="s">
        <v>218</v>
      </c>
      <c r="E615" s="127" t="s">
        <v>15</v>
      </c>
      <c r="F615" s="127"/>
      <c r="G615" s="127" t="s">
        <v>166</v>
      </c>
      <c r="H615" s="128">
        <v>2010</v>
      </c>
      <c r="I615" s="129"/>
      <c r="J615" s="125">
        <f>IFERROR(INDEX('Labor Expenditures'!$E$7:$W$91,MATCH($C615,'Labor Expenditures'!$C$7:$C$91,0),MATCH($G615,'Labor Expenditures'!$E$5:$W$5,0)),"NA")</f>
        <v>42327.98517830253</v>
      </c>
      <c r="K615" s="125">
        <f t="shared" ca="1" si="1126"/>
        <v>362.00970860211703</v>
      </c>
      <c r="L615" s="47"/>
      <c r="M615" s="131">
        <f t="shared" ca="1" si="1133"/>
        <v>-5.4591603300656426E-2</v>
      </c>
      <c r="N615" s="131"/>
      <c r="O615" s="131"/>
      <c r="P615" s="59">
        <f t="shared" ca="1" si="1135"/>
        <v>-9.5163722860070452E-4</v>
      </c>
      <c r="Q615" s="61"/>
      <c r="R615" s="387"/>
      <c r="S615" s="49">
        <f t="shared" ca="1" si="1140"/>
        <v>98.236975726426735</v>
      </c>
      <c r="T615" s="61">
        <f ca="1">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</f>
        <v>-0.19107426835703159</v>
      </c>
      <c r="U615" s="61"/>
      <c r="V615" s="125">
        <f>IFERROR(INDEX('Non-Labor Expenditures'!$E$7:$AA$91,MATCH($C615,'Non-Labor Expenditures'!$C$7:$C$91,0),MATCH($G615,'Non-Labor Expenditures'!$E$5:$AA$5,0)),"NA")</f>
        <v>61298.828315294471</v>
      </c>
      <c r="W615" s="125">
        <f t="shared" si="1127"/>
        <v>637.80528686485627</v>
      </c>
      <c r="X615" s="131">
        <f t="shared" si="1136"/>
        <v>-1.3529795760830103E-2</v>
      </c>
      <c r="Y615" s="131">
        <f t="shared" si="1137"/>
        <v>-2.3585050745734558E-4</v>
      </c>
      <c r="Z615" s="131"/>
      <c r="AA615" s="131"/>
      <c r="AB615" s="131"/>
      <c r="AC615" s="125">
        <f t="shared" si="1107"/>
        <v>48336.907259267617</v>
      </c>
      <c r="AD615" s="129"/>
      <c r="AE615" s="133">
        <v>3571.852750938298</v>
      </c>
      <c r="AF615" s="134">
        <v>1.5327314090716663E-2</v>
      </c>
      <c r="AG615" s="59">
        <f t="shared" si="1128"/>
        <v>2.671847284435177E-4</v>
      </c>
      <c r="AH615" s="134"/>
      <c r="AI615" s="134"/>
      <c r="AJ615" s="129">
        <f t="shared" si="1120"/>
        <v>151963.72075286461</v>
      </c>
      <c r="AK615" s="134">
        <f t="shared" si="1138"/>
        <v>7.113633825878582E-3</v>
      </c>
      <c r="AL615" s="129"/>
      <c r="AM615" s="129"/>
      <c r="AN615" s="129"/>
      <c r="AO615" s="129"/>
      <c r="AP615" s="133">
        <f t="shared" si="1139"/>
        <v>309.61380871661862</v>
      </c>
      <c r="AQ615" s="134">
        <f>+BB615/Outputs!$B$18</f>
        <v>1.3876349497514302E-2</v>
      </c>
      <c r="AR615" s="93">
        <f t="shared" si="1129"/>
        <v>0.2785400684360686</v>
      </c>
      <c r="AS615" s="93">
        <f t="shared" si="1130"/>
        <v>0.40337804320403198</v>
      </c>
      <c r="AT615" s="93">
        <f t="shared" si="1131"/>
        <v>0.31808188835989948</v>
      </c>
      <c r="AU615" s="93">
        <f t="shared" ca="1" si="1134"/>
        <v>-1.5929303590238093E-2</v>
      </c>
      <c r="AV615" s="132">
        <f t="shared" ca="1" si="1142"/>
        <v>119.32164001457589</v>
      </c>
      <c r="AW615" s="134">
        <f t="shared" ca="1" si="1143"/>
        <v>-1.5929303590238083E-2</v>
      </c>
      <c r="AX615" s="56">
        <f>+AJ615/$AL$15</f>
        <v>1.7431934053295368E-2</v>
      </c>
      <c r="AY615" s="135">
        <f t="shared" ca="1" si="1141"/>
        <v>-2.7767856969995139E-4</v>
      </c>
      <c r="AZ615" s="93"/>
      <c r="BA615" s="93"/>
      <c r="BB615" s="234">
        <f>IFERROR(INDEX('Total Customers'!$E$7:$AA$91,MATCH($C615,'Total Customers'!$C$7:$C$91,0),MATCH($G615,'Total Customers'!$E$5:$AA$5,0)),"NA")</f>
        <v>490817</v>
      </c>
      <c r="BC615" s="411">
        <f t="shared" si="1076"/>
        <v>7.4027908224504326E-3</v>
      </c>
      <c r="BD615" s="92"/>
      <c r="BE615" s="281" t="str">
        <f t="shared" si="1062"/>
        <v>NEW JERSEY NATURAL GAS COMPANY</v>
      </c>
      <c r="BF615" s="290">
        <f t="shared" si="1063"/>
        <v>4061755</v>
      </c>
      <c r="BG615" s="46" t="str">
        <f t="shared" si="1064"/>
        <v>NJ</v>
      </c>
      <c r="BH615" s="46"/>
      <c r="BI615" s="46" t="str">
        <f t="shared" si="1065"/>
        <v>2010 Y</v>
      </c>
      <c r="BJ615" s="129"/>
      <c r="BK615" s="129"/>
      <c r="BL615" s="129">
        <f>INDEX('Dist. Plant Gas Additions'!$E$7:$AD$91,MATCH($C615,'Dist. Plant Gas Additions'!$C$7:$C$91,0),MATCH(Calculation!$G615,'Dist. Plant Gas Additions'!$E$5:$AD$5,0))</f>
        <v>35802</v>
      </c>
      <c r="BM615" s="129">
        <f>INDEX('Gen. Plant Additions'!$E$7:$AD$91,MATCH($C615,'Gen. Plant Additions'!$C$7:$C$91,0),MATCH(Calculation!$G615,'Gen. Plant Additions'!$E$5:$AD$5,0))</f>
        <v>9385</v>
      </c>
      <c r="BN615" s="393">
        <f t="shared" si="1108"/>
        <v>0.93942140516908057</v>
      </c>
      <c r="BO615" s="46">
        <f t="shared" si="1056"/>
        <v>8816.4698875118211</v>
      </c>
      <c r="BP615" s="46">
        <f t="shared" si="1057"/>
        <v>-568.53011248817893</v>
      </c>
      <c r="BQ615" s="129">
        <f>INDEX('Dist Plant Depreciation'!$D$7:$AC$94,MATCH($C615,'Dist Plant Depreciation'!$C$7:$C$94,0),MATCH(Calculation!$G615,'Dist Plant Depreciation'!$D$5:$AC$5,0))</f>
        <v>348492</v>
      </c>
      <c r="BR615" s="129">
        <f>INDEX('Gen. Plant Depreciation'!$D$7:$AC$94,MATCH($C615,'Gen. Plant Depreciation'!$C$7:$C$94,0),MATCH(Calculation!$G615,'Gen. Plant Depreciation'!$D$5:$AC$5,0))</f>
        <v>47079</v>
      </c>
      <c r="BS615" s="129"/>
      <c r="BT615" s="129"/>
      <c r="BU615" s="129"/>
      <c r="BV615" s="129"/>
      <c r="BW615" s="129"/>
      <c r="BX615" s="129"/>
      <c r="BY615" s="129">
        <f>INDEX('Gross Dx Plant'!$D$7:$AC$91,MATCH($C615,'Gross Dx Plant'!$C$7:$C$91,0),MATCH(Calculation!$G615,'Gross Dx Plant'!$D$5:$AC$5,0))</f>
        <v>1052012</v>
      </c>
      <c r="BZ615" s="129">
        <f>INDEX('Gross Gen Plant'!$D$7:$AC$91,MATCH($C615,'Gross Gen Plant'!$C$7:$C$91,0),MATCH(Calculation!$G615,'Gross Gen Plant'!$D$5:$AC$5,0))</f>
        <v>67839</v>
      </c>
      <c r="CA615" s="129">
        <f t="shared" si="1077"/>
        <v>724280</v>
      </c>
      <c r="CB615" s="129"/>
      <c r="CC615" s="133">
        <v>2010</v>
      </c>
      <c r="CD615" s="129"/>
      <c r="CE615" s="129"/>
      <c r="CF615" s="129"/>
      <c r="CG615" s="137"/>
      <c r="CH615" s="129">
        <f t="shared" si="1109"/>
        <v>45187</v>
      </c>
      <c r="CI615" s="46">
        <f t="shared" si="1118"/>
        <v>44618.469887511819</v>
      </c>
      <c r="CJ615" s="46">
        <f t="shared" si="1110"/>
        <v>78.417035255127161</v>
      </c>
      <c r="CK615" s="443">
        <v>0.8666666666666667</v>
      </c>
      <c r="CL615" s="46">
        <f>+CL603*CK615+CJ604*CK614+CJ605*CK613+CJ606*CK612+CJ607*CK611+CJ608*CK610+CJ609*CK609+CJ610*CK608+CJ611*CK607+CJ612*CK606+CJ613*CK605+CJ614*CK604+CJ615</f>
        <v>3369.0698448278968</v>
      </c>
      <c r="CM615" s="134">
        <f t="shared" si="1111"/>
        <v>1.0053483781432936E-2</v>
      </c>
      <c r="CN615" s="135">
        <f t="shared" si="1112"/>
        <v>1.3406565217986898E-2</v>
      </c>
      <c r="CO615" s="135">
        <f t="shared" si="1122"/>
        <v>1.3041847836070382E-2</v>
      </c>
      <c r="CP615" s="134">
        <f>VLOOKUP($H615,RoR!$E:$F,2,FALSE)</f>
        <v>4.9433333333333322E-2</v>
      </c>
      <c r="CQ615" s="135">
        <v>1.1684333519300205E-2</v>
      </c>
      <c r="CR615" s="135">
        <f t="shared" si="1119"/>
        <v>3.7748999814033117E-2</v>
      </c>
      <c r="CS615" s="135">
        <f t="shared" si="1123"/>
        <v>1.7860093772463243E-2</v>
      </c>
      <c r="CT615" s="135">
        <v>4.7937530248493419E-2</v>
      </c>
      <c r="CU615" s="139">
        <f t="shared" si="1113"/>
        <v>0.84885500000000003</v>
      </c>
      <c r="CV615" s="335">
        <f t="shared" si="1114"/>
        <v>1.037398205301105</v>
      </c>
      <c r="CW615" s="335">
        <f t="shared" si="1115"/>
        <v>0.46926837491571133</v>
      </c>
      <c r="CX615" s="335">
        <f t="shared" si="1116"/>
        <v>0.8548537519972772</v>
      </c>
      <c r="CY615" s="335">
        <f t="shared" si="1117"/>
        <v>0.41615833911547367</v>
      </c>
      <c r="CZ615" s="336">
        <f>INDEX('State Tax Lookup'!$D$7:$Z$91,MATCH(Calculation!$C615,'State Tax Lookup'!$B$7:$B$91,0),MATCH($H615,'State Tax Lookup'!$D$6:$Z$6,0))</f>
        <v>0.40849999999999997</v>
      </c>
      <c r="DA615" s="303">
        <v>0.37</v>
      </c>
      <c r="DB615" s="57">
        <f t="shared" si="1121"/>
        <v>14.492223312325672</v>
      </c>
      <c r="DC615" s="56">
        <f t="shared" si="1124"/>
        <v>1.305564251436327E-2</v>
      </c>
      <c r="DD615" s="303">
        <f>VLOOKUP($H615,RoR!$E:$F,2,FALSE)</f>
        <v>4.9433333333333322E-2</v>
      </c>
      <c r="DE615" s="304">
        <f>HLOOKUP($H615,'GDP-PI'!$D$8:$CQ$11,3,FALSE)</f>
        <v>1.1684333519300205E-2</v>
      </c>
      <c r="DF615" s="303">
        <f>VLOOKUP(H615,'HW Dx Data'!$E:$F,2,FALSE)</f>
        <v>568.98950262971744</v>
      </c>
      <c r="DG615" s="89">
        <f ca="1">VLOOKUP(CC615,'ECI - Input Price'!M$13:N$33,2,FALSE)</f>
        <v>116.925</v>
      </c>
      <c r="DH615" s="89"/>
      <c r="DI615" s="89"/>
      <c r="DJ615" s="56">
        <f t="shared" ca="1" si="1132"/>
        <v>5.2678406346976722E-2</v>
      </c>
      <c r="DK615" s="53">
        <f>HLOOKUP(H615,'GDP-PI'!$8:$9,2,FALSE)</f>
        <v>96.108999999999995</v>
      </c>
      <c r="DL615" s="355">
        <f t="shared" si="1125"/>
        <v>1.1616598807150427E-2</v>
      </c>
      <c r="EC615"/>
    </row>
    <row r="616" spans="1:133" s="126" customFormat="1" ht="21" customHeight="1" x14ac:dyDescent="0.4">
      <c r="A616" s="233" t="s">
        <v>217</v>
      </c>
      <c r="B616" s="127" t="s">
        <v>217</v>
      </c>
      <c r="C616" s="127">
        <v>4061755</v>
      </c>
      <c r="D616" s="127" t="s">
        <v>218</v>
      </c>
      <c r="E616" s="127" t="s">
        <v>15</v>
      </c>
      <c r="F616" s="127"/>
      <c r="G616" s="127" t="s">
        <v>167</v>
      </c>
      <c r="H616" s="128">
        <v>2011</v>
      </c>
      <c r="I616" s="129"/>
      <c r="J616" s="125">
        <f>IFERROR(INDEX('Labor Expenditures'!$E$7:$W$91,MATCH($C616,'Labor Expenditures'!$C$7:$C$91,0),MATCH($G616,'Labor Expenditures'!$E$5:$W$5,0)),"NA")</f>
        <v>43145.493623284121</v>
      </c>
      <c r="K616" s="125">
        <f t="shared" ca="1" si="1126"/>
        <v>356.94307030638362</v>
      </c>
      <c r="L616" s="47"/>
      <c r="M616" s="131">
        <f t="shared" ca="1" si="1133"/>
        <v>-1.4094728674464613E-2</v>
      </c>
      <c r="N616" s="131"/>
      <c r="O616" s="131"/>
      <c r="P616" s="59">
        <f t="shared" ca="1" si="1135"/>
        <v>-2.4407404791798533E-4</v>
      </c>
      <c r="Q616" s="61"/>
      <c r="R616" s="387"/>
      <c r="S616" s="49">
        <f t="shared" ca="1" si="1140"/>
        <v>118.07264308520818</v>
      </c>
      <c r="T616" s="61">
        <f ca="1">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</f>
        <v>0.18391737503469185</v>
      </c>
      <c r="U616" s="61"/>
      <c r="V616" s="125">
        <f>IFERROR(INDEX('Non-Labor Expenditures'!$E$7:$AA$91,MATCH($C616,'Non-Labor Expenditures'!$C$7:$C$91,0),MATCH($G616,'Non-Labor Expenditures'!$E$5:$AA$5,0)),"NA")</f>
        <v>62482.733233143408</v>
      </c>
      <c r="W616" s="125">
        <f t="shared" si="1127"/>
        <v>636.85108073572462</v>
      </c>
      <c r="X616" s="131">
        <f t="shared" si="1136"/>
        <v>-1.4971977258053089E-3</v>
      </c>
      <c r="Y616" s="131">
        <f t="shared" si="1137"/>
        <v>-2.5926508974447094E-5</v>
      </c>
      <c r="Z616" s="131"/>
      <c r="AA616" s="131"/>
      <c r="AB616" s="131"/>
      <c r="AC616" s="125">
        <f t="shared" si="1107"/>
        <v>51480.590940021313</v>
      </c>
      <c r="AD616" s="129"/>
      <c r="AE616" s="133">
        <v>3663.0064595887943</v>
      </c>
      <c r="AF616" s="134">
        <v>2.5199808241645034E-2</v>
      </c>
      <c r="AG616" s="59">
        <f t="shared" si="1128"/>
        <v>4.363772688606893E-4</v>
      </c>
      <c r="AH616" s="134"/>
      <c r="AI616" s="134"/>
      <c r="AJ616" s="129">
        <f t="shared" si="1120"/>
        <v>157108.81779644883</v>
      </c>
      <c r="AK616" s="134">
        <f t="shared" si="1138"/>
        <v>3.3296859143964845E-2</v>
      </c>
      <c r="AL616" s="129"/>
      <c r="AM616" s="129"/>
      <c r="AN616" s="129"/>
      <c r="AO616" s="129"/>
      <c r="AP616" s="133">
        <f t="shared" si="1139"/>
        <v>317.14616326448186</v>
      </c>
      <c r="AQ616" s="134">
        <f>+BB616/Outputs!$B$19</f>
        <v>1.3937863076700634E-2</v>
      </c>
      <c r="AR616" s="93">
        <f t="shared" si="1129"/>
        <v>0.27462171906343091</v>
      </c>
      <c r="AS616" s="93">
        <f t="shared" si="1130"/>
        <v>0.39770354146574022</v>
      </c>
      <c r="AT616" s="93">
        <f t="shared" si="1131"/>
        <v>0.32767473947082898</v>
      </c>
      <c r="AU616" s="93">
        <f t="shared" ca="1" si="1134"/>
        <v>3.6384501787331521E-3</v>
      </c>
      <c r="AV616" s="132">
        <f t="shared" ca="1" si="1142"/>
        <v>119.75657662478818</v>
      </c>
      <c r="AW616" s="134">
        <f t="shared" ca="1" si="1143"/>
        <v>3.638450178733123E-3</v>
      </c>
      <c r="AX616" s="56">
        <f>+AJ616/$AL$16</f>
        <v>1.7316690058757477E-2</v>
      </c>
      <c r="AY616" s="135">
        <f t="shared" ca="1" si="1141"/>
        <v>6.3005914039352233E-5</v>
      </c>
      <c r="AZ616" s="93"/>
      <c r="BA616" s="93"/>
      <c r="BB616" s="234">
        <f>IFERROR(INDEX('Total Customers'!$E$7:$AA$91,MATCH($C616,'Total Customers'!$C$7:$C$91,0),MATCH($G616,'Total Customers'!$E$5:$AA$5,0)),"NA")</f>
        <v>495383</v>
      </c>
      <c r="BC616" s="411">
        <f t="shared" si="1076"/>
        <v>9.259851198269305E-3</v>
      </c>
      <c r="BD616" s="92"/>
      <c r="BE616" s="281" t="str">
        <f t="shared" si="1062"/>
        <v>NEW JERSEY NATURAL GAS COMPANY</v>
      </c>
      <c r="BF616" s="290">
        <f t="shared" si="1063"/>
        <v>4061755</v>
      </c>
      <c r="BG616" s="46" t="str">
        <f t="shared" si="1064"/>
        <v>NJ</v>
      </c>
      <c r="BH616" s="46"/>
      <c r="BI616" s="46" t="str">
        <f t="shared" si="1065"/>
        <v>2011 Y</v>
      </c>
      <c r="BJ616" s="129"/>
      <c r="BK616" s="129"/>
      <c r="BL616" s="129">
        <f>INDEX('Dist. Plant Gas Additions'!$E$7:$AD$91,MATCH($C616,'Dist. Plant Gas Additions'!$C$7:$C$91,0),MATCH(Calculation!$G616,'Dist. Plant Gas Additions'!$E$5:$AD$5,0))</f>
        <v>63151</v>
      </c>
      <c r="BM616" s="129">
        <f>INDEX('Gen. Plant Additions'!$E$7:$AD$91,MATCH($C616,'Gen. Plant Additions'!$C$7:$C$91,0),MATCH(Calculation!$G616,'Gen. Plant Additions'!$E$5:$AD$5,0))</f>
        <v>8730</v>
      </c>
      <c r="BN616" s="393">
        <f t="shared" si="1108"/>
        <v>0.959612574497548</v>
      </c>
      <c r="BO616" s="46">
        <f t="shared" si="1056"/>
        <v>8377.417775363594</v>
      </c>
      <c r="BP616" s="46">
        <f t="shared" si="1057"/>
        <v>-352.58222463640595</v>
      </c>
      <c r="BQ616" s="129">
        <f>INDEX('Dist Plant Depreciation'!$D$7:$AC$94,MATCH($C616,'Dist Plant Depreciation'!$C$7:$C$94,0),MATCH(Calculation!$G616,'Dist Plant Depreciation'!$D$5:$AC$5,0))</f>
        <v>367819</v>
      </c>
      <c r="BR616" s="129">
        <f>INDEX('Gen. Plant Depreciation'!$D$7:$AC$94,MATCH($C616,'Gen. Plant Depreciation'!$C$7:$C$94,0),MATCH(Calculation!$G616,'Gen. Plant Depreciation'!$D$5:$AC$5,0))</f>
        <v>23779</v>
      </c>
      <c r="BS616" s="129"/>
      <c r="BT616" s="129"/>
      <c r="BU616" s="129"/>
      <c r="BV616" s="129"/>
      <c r="BW616" s="129"/>
      <c r="BX616" s="129"/>
      <c r="BY616" s="129">
        <f>INDEX('Gross Dx Plant'!$D$7:$AC$91,MATCH($C616,'Gross Dx Plant'!$C$7:$C$91,0),MATCH(Calculation!$G616,'Gross Dx Plant'!$D$5:$AC$5,0))</f>
        <v>1128870</v>
      </c>
      <c r="BZ616" s="129">
        <f>INDEX('Gross Gen Plant'!$D$7:$AC$91,MATCH($C616,'Gross Gen Plant'!$C$7:$C$91,0),MATCH(Calculation!$G616,'Gross Gen Plant'!$D$5:$AC$5,0))</f>
        <v>47511</v>
      </c>
      <c r="CA616" s="129">
        <f t="shared" si="1077"/>
        <v>784783</v>
      </c>
      <c r="CB616" s="129"/>
      <c r="CC616" s="133">
        <v>2011</v>
      </c>
      <c r="CD616" s="129"/>
      <c r="CE616" s="129"/>
      <c r="CF616" s="129"/>
      <c r="CG616" s="137"/>
      <c r="CH616" s="129">
        <f t="shared" si="1109"/>
        <v>71881</v>
      </c>
      <c r="CI616" s="46">
        <f t="shared" si="1118"/>
        <v>71528.417775363589</v>
      </c>
      <c r="CJ616" s="46">
        <f t="shared" si="1110"/>
        <v>116.95081764997653</v>
      </c>
      <c r="CK616" s="443">
        <v>0.8539325842696629</v>
      </c>
      <c r="CL616" s="46">
        <f>+CL603*CK616+CJ604*CK615+CJ605*CK614+CJ606*CK613+CJ607*CK612+CJ608*CK611+CJ609*CK610+CJ610*CK609+CJ611*CK608+CJ612*CK607+CJ613*CK606+CJ614*CK605+CJ615*CK604+CJ616</f>
        <v>3439.5391206696709</v>
      </c>
      <c r="CM616" s="134">
        <f t="shared" si="1111"/>
        <v>2.0700790030579629E-2</v>
      </c>
      <c r="CN616" s="135">
        <f t="shared" si="1112"/>
        <v>1.3796550368215015E-2</v>
      </c>
      <c r="CO616" s="135">
        <f t="shared" si="1122"/>
        <v>1.3414339403306589E-2</v>
      </c>
      <c r="CP616" s="134">
        <f>VLOOKUP($H616,RoR!$E:$F,2,FALSE)</f>
        <v>4.6391666666666664E-2</v>
      </c>
      <c r="CQ616" s="135">
        <v>2.0840920205183799E-2</v>
      </c>
      <c r="CR616" s="135">
        <f t="shared" si="1119"/>
        <v>2.5550746461482865E-2</v>
      </c>
      <c r="CS616" s="135">
        <f t="shared" si="1123"/>
        <v>1.7487602205227035E-2</v>
      </c>
      <c r="CT616" s="135">
        <v>2.4810540821321614E-2</v>
      </c>
      <c r="CU616" s="139">
        <f t="shared" si="1113"/>
        <v>0.84885500000000003</v>
      </c>
      <c r="CV616" s="335">
        <f t="shared" si="1114"/>
        <v>1.1054151524782025</v>
      </c>
      <c r="CW616" s="335">
        <f t="shared" si="1115"/>
        <v>0.43611011316687626</v>
      </c>
      <c r="CX616" s="335">
        <f t="shared" si="1116"/>
        <v>0.83698442246886229</v>
      </c>
      <c r="CY616" s="335">
        <f t="shared" si="1117"/>
        <v>0.40349573304423936</v>
      </c>
      <c r="CZ616" s="336">
        <f>INDEX('State Tax Lookup'!$D$7:$Z$91,MATCH(Calculation!$C616,'State Tax Lookup'!$B$7:$B$91,0),MATCH($H616,'State Tax Lookup'!$D$6:$Z$6,0))</f>
        <v>0.40849999999999997</v>
      </c>
      <c r="DA616" s="303">
        <v>0.37</v>
      </c>
      <c r="DB616" s="57">
        <f t="shared" si="1121"/>
        <v>15.280357282901955</v>
      </c>
      <c r="DC616" s="56">
        <f t="shared" si="1124"/>
        <v>5.2955983588016294E-2</v>
      </c>
      <c r="DD616" s="303">
        <f>VLOOKUP($H616,RoR!$E:$F,2,FALSE)</f>
        <v>4.6391666666666664E-2</v>
      </c>
      <c r="DE616" s="304">
        <f>HLOOKUP($H616,'GDP-PI'!$D$8:$CQ$11,3,FALSE)</f>
        <v>2.0840920205183799E-2</v>
      </c>
      <c r="DF616" s="303">
        <f>VLOOKUP(H616,'HW Dx Data'!$E:$F,2,FALSE)</f>
        <v>611.61109612283201</v>
      </c>
      <c r="DG616" s="89">
        <f ca="1">VLOOKUP(CC616,'ECI - Input Price'!M$13:N$33,2,FALSE)</f>
        <v>120.875</v>
      </c>
      <c r="DH616" s="89"/>
      <c r="DI616" s="89"/>
      <c r="DJ616" s="56">
        <f t="shared" ca="1" si="1132"/>
        <v>3.3224250161508609E-2</v>
      </c>
      <c r="DK616" s="53">
        <f>HLOOKUP(H616,'GDP-PI'!$8:$9,2,FALSE)</f>
        <v>98.111999999999995</v>
      </c>
      <c r="DL616" s="355">
        <f t="shared" si="1125"/>
        <v>2.0626719212849295E-2</v>
      </c>
      <c r="EC616"/>
    </row>
    <row r="617" spans="1:133" s="126" customFormat="1" ht="21" customHeight="1" x14ac:dyDescent="0.4">
      <c r="A617" s="233" t="s">
        <v>217</v>
      </c>
      <c r="B617" s="127" t="s">
        <v>217</v>
      </c>
      <c r="C617" s="127">
        <v>4061755</v>
      </c>
      <c r="D617" s="127" t="s">
        <v>218</v>
      </c>
      <c r="E617" s="127" t="s">
        <v>15</v>
      </c>
      <c r="F617" s="127"/>
      <c r="G617" s="127" t="s">
        <v>168</v>
      </c>
      <c r="H617" s="128">
        <v>2012</v>
      </c>
      <c r="I617" s="129"/>
      <c r="J617" s="125">
        <f>IFERROR(INDEX('Labor Expenditures'!$E$7:$W$91,MATCH($C617,'Labor Expenditures'!$C$7:$C$91,0),MATCH($G617,'Labor Expenditures'!$E$5:$W$5,0)),"NA")</f>
        <v>42477.713210836744</v>
      </c>
      <c r="K617" s="125">
        <f t="shared" ca="1" si="1126"/>
        <v>340.36629175349952</v>
      </c>
      <c r="L617" s="47"/>
      <c r="M617" s="131">
        <f t="shared" ca="1" si="1133"/>
        <v>-4.7553935739658902E-2</v>
      </c>
      <c r="N617" s="131"/>
      <c r="O617" s="131"/>
      <c r="P617" s="59">
        <f t="shared" ca="1" si="1135"/>
        <v>-8.1239441075453154E-4</v>
      </c>
      <c r="Q617" s="61"/>
      <c r="R617" s="387"/>
      <c r="S617" s="49">
        <f t="shared" ca="1" si="1140"/>
        <v>117.12114734979704</v>
      </c>
      <c r="T617" s="61">
        <f ca="1">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</f>
        <v>-8.0912078899791733E-3</v>
      </c>
      <c r="U617" s="61"/>
      <c r="V617" s="125">
        <f>IFERROR(INDEX('Non-Labor Expenditures'!$E$7:$AA$91,MATCH($C617,'Non-Labor Expenditures'!$C$7:$C$91,0),MATCH($G617,'Non-Labor Expenditures'!$E$5:$AA$5,0)),"NA")</f>
        <v>61515.662471742959</v>
      </c>
      <c r="W617" s="125">
        <f t="shared" si="1127"/>
        <v>615.15662471742962</v>
      </c>
      <c r="X617" s="131">
        <f t="shared" si="1136"/>
        <v>-3.4658936316532385E-2</v>
      </c>
      <c r="Y617" s="131">
        <f t="shared" si="1137"/>
        <v>-5.9210085786371813E-4</v>
      </c>
      <c r="Z617" s="131"/>
      <c r="AA617" s="131"/>
      <c r="AB617" s="131"/>
      <c r="AC617" s="125">
        <f t="shared" si="1107"/>
        <v>56394.010020716109</v>
      </c>
      <c r="AD617" s="129"/>
      <c r="AE617" s="133">
        <v>3701.9171453010249</v>
      </c>
      <c r="AF617" s="134">
        <v>1.0566585572206456E-2</v>
      </c>
      <c r="AG617" s="59">
        <f t="shared" si="1128"/>
        <v>1.8051576438626806E-4</v>
      </c>
      <c r="AH617" s="134"/>
      <c r="AI617" s="134"/>
      <c r="AJ617" s="129">
        <f t="shared" si="1120"/>
        <v>160387.38570329582</v>
      </c>
      <c r="AK617" s="134">
        <f t="shared" si="1138"/>
        <v>2.0653377348034411E-2</v>
      </c>
      <c r="AL617" s="129"/>
      <c r="AM617" s="129"/>
      <c r="AN617" s="129"/>
      <c r="AO617" s="129"/>
      <c r="AP617" s="133">
        <f t="shared" si="1139"/>
        <v>322.66364438079682</v>
      </c>
      <c r="AQ617" s="134">
        <f>+BB617/Outputs!$B$20</f>
        <v>1.3918389565776139E-2</v>
      </c>
      <c r="AR617" s="93">
        <f t="shared" si="1129"/>
        <v>0.2648444765439173</v>
      </c>
      <c r="AS617" s="93">
        <f t="shared" si="1130"/>
        <v>0.38354426816047832</v>
      </c>
      <c r="AT617" s="93">
        <f t="shared" si="1131"/>
        <v>0.35161125529560433</v>
      </c>
      <c r="AU617" s="93">
        <f t="shared" ca="1" si="1134"/>
        <v>-2.277661264459736E-2</v>
      </c>
      <c r="AV617" s="132">
        <f t="shared" ca="1" si="1142"/>
        <v>117.05975626936709</v>
      </c>
      <c r="AW617" s="134">
        <f t="shared" ca="1" si="1143"/>
        <v>-2.2776612644597412E-2</v>
      </c>
      <c r="AX617" s="56">
        <f>+AJ617/$AL$17</f>
        <v>1.7083641934541562E-2</v>
      </c>
      <c r="AY617" s="135">
        <f t="shared" ca="1" si="1141"/>
        <v>-3.8910749490205394E-4</v>
      </c>
      <c r="AZ617" s="93"/>
      <c r="BA617" s="93"/>
      <c r="BB617" s="234">
        <f>IFERROR(INDEX('Total Customers'!$E$7:$AA$91,MATCH($C617,'Total Customers'!$C$7:$C$91,0),MATCH($G617,'Total Customers'!$E$5:$AA$5,0)),"NA")</f>
        <v>497073</v>
      </c>
      <c r="BC617" s="411">
        <f t="shared" si="1076"/>
        <v>3.405695836374316E-3</v>
      </c>
      <c r="BD617" s="92"/>
      <c r="BE617" s="281" t="str">
        <f t="shared" si="1062"/>
        <v>NEW JERSEY NATURAL GAS COMPANY</v>
      </c>
      <c r="BF617" s="290">
        <f t="shared" si="1063"/>
        <v>4061755</v>
      </c>
      <c r="BG617" s="46" t="str">
        <f t="shared" si="1064"/>
        <v>NJ</v>
      </c>
      <c r="BH617" s="46"/>
      <c r="BI617" s="46" t="str">
        <f t="shared" si="1065"/>
        <v>2012 Y</v>
      </c>
      <c r="BJ617" s="129"/>
      <c r="BK617" s="129"/>
      <c r="BL617" s="129">
        <f>INDEX('Dist. Plant Gas Additions'!$E$7:$AD$91,MATCH($C617,'Dist. Plant Gas Additions'!$C$7:$C$91,0),MATCH(Calculation!$G617,'Dist. Plant Gas Additions'!$E$5:$AD$5,0))</f>
        <v>38735</v>
      </c>
      <c r="BM617" s="129">
        <f>INDEX('Gen. Plant Additions'!$E$7:$AD$91,MATCH($C617,'Gen. Plant Additions'!$C$7:$C$91,0),MATCH(Calculation!$G617,'Gen. Plant Additions'!$E$5:$AD$5,0))</f>
        <v>5963</v>
      </c>
      <c r="BN617" s="393">
        <f t="shared" si="1108"/>
        <v>0.95689801849905021</v>
      </c>
      <c r="BO617" s="46">
        <f t="shared" si="1056"/>
        <v>5705.9828843098367</v>
      </c>
      <c r="BP617" s="46">
        <f t="shared" si="1057"/>
        <v>-257.01711569016334</v>
      </c>
      <c r="BQ617" s="129">
        <f>INDEX('Dist Plant Depreciation'!$D$7:$AC$94,MATCH($C617,'Dist Plant Depreciation'!$C$7:$C$94,0),MATCH(Calculation!$G617,'Dist Plant Depreciation'!$D$5:$AC$5,0))</f>
        <v>366751</v>
      </c>
      <c r="BR617" s="129">
        <f>INDEX('Gen. Plant Depreciation'!$D$7:$AC$94,MATCH($C617,'Gen. Plant Depreciation'!$C$7:$C$94,0),MATCH(Calculation!$G617,'Gen. Plant Depreciation'!$D$5:$AC$5,0))</f>
        <v>26187</v>
      </c>
      <c r="BS617" s="129"/>
      <c r="BT617" s="129"/>
      <c r="BU617" s="129"/>
      <c r="BV617" s="129"/>
      <c r="BW617" s="129"/>
      <c r="BX617" s="129"/>
      <c r="BY617" s="129">
        <f>INDEX('Gross Dx Plant'!$D$7:$AC$91,MATCH($C617,'Gross Dx Plant'!$C$7:$C$91,0),MATCH(Calculation!$G617,'Gross Dx Plant'!$D$5:$AC$5,0))</f>
        <v>1164165</v>
      </c>
      <c r="BZ617" s="129">
        <f>INDEX('Gross Gen Plant'!$D$7:$AC$91,MATCH($C617,'Gross Gen Plant'!$C$7:$C$91,0),MATCH(Calculation!$G617,'Gross Gen Plant'!$D$5:$AC$5,0))</f>
        <v>52438</v>
      </c>
      <c r="CA617" s="129">
        <f t="shared" si="1077"/>
        <v>823665</v>
      </c>
      <c r="CB617" s="129"/>
      <c r="CC617" s="133">
        <v>2012</v>
      </c>
      <c r="CD617" s="129"/>
      <c r="CE617" s="129"/>
      <c r="CF617" s="129"/>
      <c r="CG617" s="137"/>
      <c r="CH617" s="129">
        <f t="shared" si="1109"/>
        <v>44698</v>
      </c>
      <c r="CI617" s="46">
        <f t="shared" si="1118"/>
        <v>44440.982884309837</v>
      </c>
      <c r="CJ617" s="46">
        <f t="shared" si="1110"/>
        <v>66.43698487278499</v>
      </c>
      <c r="CK617" s="443">
        <v>0.84090909090909094</v>
      </c>
      <c r="CL617" s="46">
        <f>+CL603*CK617+CJ604*CK616+CJ605*CK615+CJ606*CK614+CJ607*CK613+CJ608*CK612+CJ609*CK611+CJ610*CK610+CJ611*CK609+CJ612*CK608+CJ613*CK607+CJ614*CK606+CJ615*CK605+CJ616*CK604+CJ617</f>
        <v>3457.2985789492086</v>
      </c>
      <c r="CM617" s="134">
        <f t="shared" si="1111"/>
        <v>5.1500407304713967E-3</v>
      </c>
      <c r="CN617" s="135">
        <f t="shared" si="1112"/>
        <v>1.4152339858768591E-2</v>
      </c>
      <c r="CO617" s="135">
        <f t="shared" si="1122"/>
        <v>1.3785151814990168E-2</v>
      </c>
      <c r="CP617" s="134">
        <f>VLOOKUP($H617,RoR!$E:$F,2,FALSE)</f>
        <v>3.6733333333333333E-2</v>
      </c>
      <c r="CQ617" s="135">
        <v>1.924331376386168E-2</v>
      </c>
      <c r="CR617" s="135">
        <f t="shared" si="1119"/>
        <v>1.7490019569471653E-2</v>
      </c>
      <c r="CS617" s="135">
        <f t="shared" si="1123"/>
        <v>1.7116789793543457E-2</v>
      </c>
      <c r="CT617" s="135">
        <v>6.7122682943869583E-2</v>
      </c>
      <c r="CU617" s="139">
        <f t="shared" si="1113"/>
        <v>0.84885500000000003</v>
      </c>
      <c r="CV617" s="335">
        <f t="shared" si="1114"/>
        <v>1.3960631020522127</v>
      </c>
      <c r="CW617" s="335">
        <f t="shared" si="1115"/>
        <v>0.29441923774954631</v>
      </c>
      <c r="CX617" s="335">
        <f t="shared" si="1116"/>
        <v>0.76377954189366437</v>
      </c>
      <c r="CY617" s="335">
        <f t="shared" si="1117"/>
        <v>0.31393465103033691</v>
      </c>
      <c r="CZ617" s="336">
        <f>INDEX('State Tax Lookup'!$D$7:$Z$91,MATCH(Calculation!$C617,'State Tax Lookup'!$B$7:$B$91,0),MATCH($H617,'State Tax Lookup'!$D$6:$Z$6,0))</f>
        <v>0.40849999999999997</v>
      </c>
      <c r="DA617" s="303">
        <v>0.37</v>
      </c>
      <c r="DB617" s="57">
        <f t="shared" si="1121"/>
        <v>16.395804217437224</v>
      </c>
      <c r="DC617" s="56">
        <f t="shared" si="1124"/>
        <v>7.0457295843363257E-2</v>
      </c>
      <c r="DD617" s="303">
        <f>VLOOKUP($H617,RoR!$E:$F,2,FALSE)</f>
        <v>3.6733333333333333E-2</v>
      </c>
      <c r="DE617" s="304">
        <f>HLOOKUP($H617,'GDP-PI'!$D$8:$CQ$11,3,FALSE)</f>
        <v>1.924331376386168E-2</v>
      </c>
      <c r="DF617" s="303">
        <f>VLOOKUP(H617,'HW Dx Data'!$E:$F,2,FALSE)</f>
        <v>668.91932211262167</v>
      </c>
      <c r="DG617" s="89">
        <f ca="1">VLOOKUP(CC617,'ECI - Input Price'!M$13:N$33,2,FALSE)</f>
        <v>124.80000000000001</v>
      </c>
      <c r="DH617" s="89"/>
      <c r="DI617" s="89"/>
      <c r="DJ617" s="56">
        <f t="shared" ca="1" si="1132"/>
        <v>3.1955502161869064E-2</v>
      </c>
      <c r="DK617" s="53">
        <f>HLOOKUP(H617,'GDP-PI'!$8:$9,2,FALSE)</f>
        <v>100</v>
      </c>
      <c r="DL617" s="355">
        <f t="shared" si="1125"/>
        <v>1.9060502738742411E-2</v>
      </c>
      <c r="EC617"/>
    </row>
    <row r="618" spans="1:133" s="126" customFormat="1" ht="21" customHeight="1" x14ac:dyDescent="0.4">
      <c r="A618" s="233" t="s">
        <v>217</v>
      </c>
      <c r="B618" s="127" t="s">
        <v>217</v>
      </c>
      <c r="C618" s="127">
        <v>4061755</v>
      </c>
      <c r="D618" s="127" t="s">
        <v>218</v>
      </c>
      <c r="E618" s="127" t="s">
        <v>15</v>
      </c>
      <c r="F618" s="127"/>
      <c r="G618" s="127" t="s">
        <v>169</v>
      </c>
      <c r="H618" s="128">
        <v>2013</v>
      </c>
      <c r="I618" s="129"/>
      <c r="J618" s="125">
        <f>IFERROR(INDEX('Labor Expenditures'!$E$7:$W$91,MATCH($C618,'Labor Expenditures'!$C$7:$C$91,0),MATCH($G618,'Labor Expenditures'!$E$5:$W$5,0)),"NA")</f>
        <v>46363.346695503147</v>
      </c>
      <c r="K618" s="125">
        <f t="shared" ca="1" si="1126"/>
        <v>365.64153545349484</v>
      </c>
      <c r="L618" s="47"/>
      <c r="M618" s="131">
        <f t="shared" ca="1" si="1133"/>
        <v>7.1631075740565334E-2</v>
      </c>
      <c r="N618" s="131"/>
      <c r="O618" s="131"/>
      <c r="P618" s="59">
        <f t="shared" ca="1" si="1135"/>
        <v>1.2382304839545532E-3</v>
      </c>
      <c r="Q618" s="61"/>
      <c r="R618" s="387"/>
      <c r="S618" s="49">
        <f t="shared" ca="1" si="1140"/>
        <v>109.47688875705276</v>
      </c>
      <c r="T618" s="61">
        <f ca="1">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</f>
        <v>-6.7495381125490445E-2</v>
      </c>
      <c r="U618" s="61"/>
      <c r="V618" s="125">
        <f>IFERROR(INDEX('Non-Labor Expenditures'!$E$7:$AA$91,MATCH($C618,'Non-Labor Expenditures'!$C$7:$C$91,0),MATCH($G618,'Non-Labor Expenditures'!$E$5:$AA$5,0)),"NA")</f>
        <v>67142.785493767165</v>
      </c>
      <c r="W618" s="125">
        <f t="shared" si="1127"/>
        <v>659.73082736842946</v>
      </c>
      <c r="X618" s="131">
        <f t="shared" si="1136"/>
        <v>6.9955004791853098E-2</v>
      </c>
      <c r="Y618" s="131">
        <f t="shared" si="1137"/>
        <v>1.2092575539725619E-3</v>
      </c>
      <c r="Z618" s="131"/>
      <c r="AA618" s="131"/>
      <c r="AB618" s="131"/>
      <c r="AC618" s="125">
        <f t="shared" si="1107"/>
        <v>54698.783111075871</v>
      </c>
      <c r="AD618" s="129"/>
      <c r="AE618" s="133">
        <v>3803.9824630340781</v>
      </c>
      <c r="AF618" s="134">
        <v>2.7197701697428883E-2</v>
      </c>
      <c r="AG618" s="59">
        <f t="shared" si="1128"/>
        <v>4.7014543600086312E-4</v>
      </c>
      <c r="AH618" s="134"/>
      <c r="AI618" s="134"/>
      <c r="AJ618" s="129">
        <f t="shared" si="1120"/>
        <v>168204.91530034618</v>
      </c>
      <c r="AK618" s="134">
        <f t="shared" si="1138"/>
        <v>4.7590920470415292E-2</v>
      </c>
      <c r="AL618" s="129"/>
      <c r="AM618" s="129"/>
      <c r="AN618" s="129"/>
      <c r="AO618" s="129"/>
      <c r="AP618" s="133">
        <f t="shared" si="1139"/>
        <v>337.27122129989232</v>
      </c>
      <c r="AQ618" s="134">
        <f>+BB618/Outputs!$B$21</f>
        <v>1.3875589859261767E-2</v>
      </c>
      <c r="AR618" s="93">
        <f t="shared" si="1129"/>
        <v>0.27563609905642111</v>
      </c>
      <c r="AS618" s="93">
        <f t="shared" si="1130"/>
        <v>0.39917255315563882</v>
      </c>
      <c r="AT618" s="93">
        <f t="shared" si="1131"/>
        <v>0.32519134778794001</v>
      </c>
      <c r="AU618" s="93">
        <f t="shared" ca="1" si="1134"/>
        <v>5.5938819669837395E-2</v>
      </c>
      <c r="AV618" s="132">
        <f t="shared" ca="1" si="1142"/>
        <v>123.79455306593771</v>
      </c>
      <c r="AW618" s="134">
        <f t="shared" ca="1" si="1143"/>
        <v>5.5938819669837291E-2</v>
      </c>
      <c r="AX618" s="56">
        <f>+AJ618/$AL$18</f>
        <v>1.7286219300114907E-2</v>
      </c>
      <c r="AY618" s="135">
        <f t="shared" ca="1" si="1141"/>
        <v>9.6697070420238872E-4</v>
      </c>
      <c r="AZ618" s="93"/>
      <c r="BA618" s="93"/>
      <c r="BB618" s="234">
        <f>IFERROR(INDEX('Total Customers'!$E$7:$AA$91,MATCH($C618,'Total Customers'!$C$7:$C$91,0),MATCH($G618,'Total Customers'!$E$5:$AA$5,0)),"NA")</f>
        <v>498723</v>
      </c>
      <c r="BC618" s="411">
        <f t="shared" si="1076"/>
        <v>3.3139348020020895E-3</v>
      </c>
      <c r="BD618" s="92"/>
      <c r="BE618" s="281" t="str">
        <f t="shared" si="1062"/>
        <v>NEW JERSEY NATURAL GAS COMPANY</v>
      </c>
      <c r="BF618" s="290">
        <f t="shared" si="1063"/>
        <v>4061755</v>
      </c>
      <c r="BG618" s="46" t="str">
        <f t="shared" si="1064"/>
        <v>NJ</v>
      </c>
      <c r="BH618" s="46"/>
      <c r="BI618" s="46" t="str">
        <f t="shared" si="1065"/>
        <v>2013 Y</v>
      </c>
      <c r="BJ618" s="129"/>
      <c r="BK618" s="129"/>
      <c r="BL618" s="129">
        <f>INDEX('Dist. Plant Gas Additions'!$E$7:$AD$91,MATCH($C618,'Dist. Plant Gas Additions'!$C$7:$C$91,0),MATCH(Calculation!$G618,'Dist. Plant Gas Additions'!$E$5:$AD$5,0))</f>
        <v>81631</v>
      </c>
      <c r="BM618" s="129">
        <f>INDEX('Gen. Plant Additions'!$E$7:$AD$91,MATCH($C618,'Gen. Plant Additions'!$C$7:$C$91,0),MATCH(Calculation!$G618,'Gen. Plant Additions'!$E$5:$AD$5,0))</f>
        <v>5474</v>
      </c>
      <c r="BN618" s="393">
        <f t="shared" si="1108"/>
        <v>0.95490591910397071</v>
      </c>
      <c r="BO618" s="46">
        <f t="shared" si="1056"/>
        <v>5227.155001175136</v>
      </c>
      <c r="BP618" s="46">
        <f t="shared" si="1057"/>
        <v>-246.84499882486398</v>
      </c>
      <c r="BQ618" s="129">
        <f>INDEX('Dist Plant Depreciation'!$D$7:$AC$94,MATCH($C618,'Dist Plant Depreciation'!$C$7:$C$94,0),MATCH(Calculation!$G618,'Dist Plant Depreciation'!$D$5:$AC$5,0))</f>
        <v>356226</v>
      </c>
      <c r="BR618" s="129">
        <f>INDEX('Gen. Plant Depreciation'!$D$7:$AC$94,MATCH($C618,'Gen. Plant Depreciation'!$C$7:$C$94,0),MATCH(Calculation!$G618,'Gen. Plant Depreciation'!$D$5:$AC$5,0))</f>
        <v>30468</v>
      </c>
      <c r="BS618" s="129"/>
      <c r="BT618" s="129"/>
      <c r="BU618" s="129"/>
      <c r="BV618" s="129"/>
      <c r="BW618" s="129"/>
      <c r="BX618" s="129"/>
      <c r="BY618" s="129">
        <f>INDEX('Gross Dx Plant'!$D$7:$AC$91,MATCH($C618,'Gross Dx Plant'!$C$7:$C$91,0),MATCH(Calculation!$G618,'Gross Dx Plant'!$D$5:$AC$5,0))</f>
        <v>1227014</v>
      </c>
      <c r="BZ618" s="129">
        <f>INDEX('Gross Gen Plant'!$D$7:$AC$91,MATCH($C618,'Gross Gen Plant'!$C$7:$C$91,0),MATCH(Calculation!$G618,'Gross Gen Plant'!$D$5:$AC$5,0))</f>
        <v>57944</v>
      </c>
      <c r="CA618" s="129">
        <f t="shared" si="1077"/>
        <v>898264</v>
      </c>
      <c r="CB618" s="129"/>
      <c r="CC618" s="133">
        <v>2013</v>
      </c>
      <c r="CD618" s="129"/>
      <c r="CE618" s="129"/>
      <c r="CF618" s="129"/>
      <c r="CG618" s="137"/>
      <c r="CH618" s="129">
        <f t="shared" si="1109"/>
        <v>87105</v>
      </c>
      <c r="CI618" s="46">
        <f t="shared" si="1118"/>
        <v>86858.155001175139</v>
      </c>
      <c r="CJ618" s="46">
        <f t="shared" si="1110"/>
        <v>130.9587091087528</v>
      </c>
      <c r="CK618" s="443">
        <v>0.82758620689655171</v>
      </c>
      <c r="CL618" s="46">
        <f>+CL603*CK618+CJ604*CK617+CJ605*CK616+CJ606*CK615+CJ607*CK614+CJ608*CK613+CJ609*CK612+CJ610*CK611+CJ611*CK610+CJ612*CK609+CJ613*CK608+CJ614*CK607+CJ615*CK606+CJ616*CK605+CJ617*CK604+CJ618</f>
        <v>3537.8255485573068</v>
      </c>
      <c r="CM618" s="134">
        <f t="shared" si="1111"/>
        <v>2.3024760005170473E-2</v>
      </c>
      <c r="CN618" s="135">
        <f t="shared" si="1112"/>
        <v>1.4587036192859733E-2</v>
      </c>
      <c r="CO618" s="135">
        <f t="shared" si="1122"/>
        <v>1.4178642139947781E-2</v>
      </c>
      <c r="CP618" s="134">
        <f>VLOOKUP($H618,RoR!$E:$F,2,FALSE)</f>
        <v>4.2350000000000006E-2</v>
      </c>
      <c r="CQ618" s="135">
        <v>1.7730000000000024E-2</v>
      </c>
      <c r="CR618" s="135">
        <f t="shared" si="1119"/>
        <v>2.4619999999999982E-2</v>
      </c>
      <c r="CS618" s="135">
        <f t="shared" si="1123"/>
        <v>1.6723299468585844E-2</v>
      </c>
      <c r="CT618" s="135">
        <v>5.3376742735721204E-2</v>
      </c>
      <c r="CU618" s="139">
        <f t="shared" si="1113"/>
        <v>0.84885500000000003</v>
      </c>
      <c r="CV618" s="335">
        <f t="shared" si="1114"/>
        <v>1.2109103018193925</v>
      </c>
      <c r="CW618" s="335">
        <f t="shared" si="1115"/>
        <v>0.38468122786304604</v>
      </c>
      <c r="CX618" s="335">
        <f t="shared" si="1116"/>
        <v>0.80969194503422559</v>
      </c>
      <c r="CY618" s="335">
        <f t="shared" si="1117"/>
        <v>0.37716621754800816</v>
      </c>
      <c r="CZ618" s="336">
        <f>INDEX('State Tax Lookup'!$D$7:$Z$91,MATCH(Calculation!$C618,'State Tax Lookup'!$B$7:$B$91,0),MATCH($H618,'State Tax Lookup'!$D$6:$Z$6,0))</f>
        <v>0.40849999999999997</v>
      </c>
      <c r="DA618" s="303">
        <v>0.37</v>
      </c>
      <c r="DB618" s="57">
        <f t="shared" si="1121"/>
        <v>15.82124941251117</v>
      </c>
      <c r="DC618" s="56">
        <f t="shared" si="1124"/>
        <v>-3.5671525705620828E-2</v>
      </c>
      <c r="DD618" s="303">
        <f>VLOOKUP($H618,RoR!$E:$F,2,FALSE)</f>
        <v>4.2350000000000006E-2</v>
      </c>
      <c r="DE618" s="304">
        <f>HLOOKUP($H618,'GDP-PI'!$D$8:$CQ$11,3,FALSE)</f>
        <v>1.7730000000000024E-2</v>
      </c>
      <c r="DF618" s="303">
        <f>VLOOKUP(H618,'HW Dx Data'!$E:$F,2,FALSE)</f>
        <v>663.24840548821396</v>
      </c>
      <c r="DG618" s="89">
        <f ca="1">VLOOKUP(CC618,'ECI - Input Price'!M$13:N$33,2,FALSE)</f>
        <v>126.8</v>
      </c>
      <c r="DH618" s="89"/>
      <c r="DI618" s="89"/>
      <c r="DJ618" s="56">
        <f t="shared" ca="1" si="1132"/>
        <v>1.5898586067798204E-2</v>
      </c>
      <c r="DK618" s="53">
        <f>HLOOKUP(H618,'GDP-PI'!$8:$9,2,FALSE)</f>
        <v>101.773</v>
      </c>
      <c r="DL618" s="355">
        <f t="shared" si="1125"/>
        <v>1.7574657016510519E-2</v>
      </c>
      <c r="EC618"/>
    </row>
    <row r="619" spans="1:133" s="126" customFormat="1" ht="21" customHeight="1" x14ac:dyDescent="0.4">
      <c r="A619" s="233" t="s">
        <v>217</v>
      </c>
      <c r="B619" s="127" t="s">
        <v>217</v>
      </c>
      <c r="C619" s="127">
        <v>4061755</v>
      </c>
      <c r="D619" s="127" t="s">
        <v>218</v>
      </c>
      <c r="E619" s="127" t="s">
        <v>15</v>
      </c>
      <c r="F619" s="127"/>
      <c r="G619" s="127" t="s">
        <v>170</v>
      </c>
      <c r="H619" s="128">
        <v>2014</v>
      </c>
      <c r="I619" s="129"/>
      <c r="J619" s="125">
        <f>IFERROR(INDEX('Labor Expenditures'!$E$7:$W$91,MATCH($C619,'Labor Expenditures'!$C$7:$C$91,0),MATCH($G619,'Labor Expenditures'!$E$5:$W$5,0)),"NA")</f>
        <v>53782.709430029819</v>
      </c>
      <c r="K619" s="125">
        <f t="shared" ca="1" si="1126"/>
        <v>415.63144845463535</v>
      </c>
      <c r="L619" s="47"/>
      <c r="M619" s="131">
        <f t="shared" ca="1" si="1133"/>
        <v>0.12814548423313757</v>
      </c>
      <c r="N619" s="131"/>
      <c r="O619" s="131"/>
      <c r="P619" s="59">
        <f t="shared" ca="1" si="1135"/>
        <v>2.4335766200751976E-3</v>
      </c>
      <c r="Q619" s="61"/>
      <c r="R619" s="387"/>
      <c r="S619" s="49">
        <f t="shared" ca="1" si="1140"/>
        <v>121.67732830984747</v>
      </c>
      <c r="T619" s="61">
        <f ca="1">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</f>
        <v>0.10565922561855542</v>
      </c>
      <c r="U619" s="61"/>
      <c r="V619" s="125">
        <f>IFERROR(INDEX('Non-Labor Expenditures'!$E$7:$AA$91,MATCH($C619,'Non-Labor Expenditures'!$C$7:$C$91,0),MATCH($G619,'Non-Labor Expenditures'!$E$5:$AA$5,0)),"NA")</f>
        <v>77887.408479171514</v>
      </c>
      <c r="W619" s="125">
        <f t="shared" si="1127"/>
        <v>751.46804518385977</v>
      </c>
      <c r="X619" s="131">
        <f t="shared" si="1136"/>
        <v>0.13019677239855618</v>
      </c>
      <c r="Y619" s="131">
        <f t="shared" si="1137"/>
        <v>2.4725320850318686E-3</v>
      </c>
      <c r="Z619" s="131"/>
      <c r="AA619" s="131"/>
      <c r="AB619" s="131"/>
      <c r="AC619" s="125">
        <f t="shared" si="1107"/>
        <v>56513.172272897071</v>
      </c>
      <c r="AD619" s="129"/>
      <c r="AE619" s="133">
        <v>3932.8695786148382</v>
      </c>
      <c r="AF619" s="134">
        <v>3.3320797576064438E-2</v>
      </c>
      <c r="AG619" s="59">
        <f t="shared" si="1128"/>
        <v>6.327863555132576E-4</v>
      </c>
      <c r="AH619" s="134"/>
      <c r="AI619" s="134"/>
      <c r="AJ619" s="129">
        <f t="shared" si="1120"/>
        <v>188183.2901820984</v>
      </c>
      <c r="AK619" s="134">
        <f t="shared" si="1138"/>
        <v>0.11223346559136795</v>
      </c>
      <c r="AL619" s="129"/>
      <c r="AM619" s="129"/>
      <c r="AN619" s="129"/>
      <c r="AO619" s="129"/>
      <c r="AP619" s="133">
        <f t="shared" si="1139"/>
        <v>372.89049516823843</v>
      </c>
      <c r="AQ619" s="134">
        <f>+BB619/Outputs!$B$22</f>
        <v>1.3965768355113812E-2</v>
      </c>
      <c r="AR619" s="93">
        <f t="shared" si="1129"/>
        <v>0.28579960196245996</v>
      </c>
      <c r="AS619" s="93">
        <f t="shared" si="1130"/>
        <v>0.413891203644078</v>
      </c>
      <c r="AT619" s="93">
        <f t="shared" si="1131"/>
        <v>0.3003091943934621</v>
      </c>
      <c r="AU619" s="93">
        <f t="shared" ca="1" si="1134"/>
        <v>9.9322951806074186E-2</v>
      </c>
      <c r="AV619" s="132">
        <f t="shared" ca="1" si="1142"/>
        <v>136.72154144868031</v>
      </c>
      <c r="AW619" s="134">
        <f t="shared" ca="1" si="1143"/>
        <v>9.9322951806073881E-2</v>
      </c>
      <c r="AX619" s="56">
        <f>+AJ619/$AL$19</f>
        <v>1.8990732561810327E-2</v>
      </c>
      <c r="AY619" s="135">
        <f t="shared" ca="1" si="1141"/>
        <v>1.886215614998725E-3</v>
      </c>
      <c r="AZ619" s="93"/>
      <c r="BA619" s="93"/>
      <c r="BB619" s="234">
        <f>IFERROR(INDEX('Total Customers'!$E$7:$AA$91,MATCH($C619,'Total Customers'!$C$7:$C$91,0),MATCH($G619,'Total Customers'!$E$5:$AA$5,0)),"NA")</f>
        <v>504661</v>
      </c>
      <c r="BC619" s="411">
        <f t="shared" si="1076"/>
        <v>1.1836085332201219E-2</v>
      </c>
      <c r="BD619" s="92"/>
      <c r="BE619" s="281" t="str">
        <f t="shared" si="1062"/>
        <v>NEW JERSEY NATURAL GAS COMPANY</v>
      </c>
      <c r="BF619" s="290">
        <f t="shared" si="1063"/>
        <v>4061755</v>
      </c>
      <c r="BG619" s="46" t="str">
        <f t="shared" si="1064"/>
        <v>NJ</v>
      </c>
      <c r="BH619" s="46"/>
      <c r="BI619" s="46" t="str">
        <f t="shared" si="1065"/>
        <v>2014 Y</v>
      </c>
      <c r="BJ619" s="129"/>
      <c r="BK619" s="129"/>
      <c r="BL619" s="129">
        <f>INDEX('Dist. Plant Gas Additions'!$E$7:$AD$91,MATCH($C619,'Dist. Plant Gas Additions'!$C$7:$C$91,0),MATCH(Calculation!$G619,'Dist. Plant Gas Additions'!$E$5:$AD$5,0))</f>
        <v>103472</v>
      </c>
      <c r="BM619" s="129">
        <f>INDEX('Gen. Plant Additions'!$E$7:$AD$91,MATCH($C619,'Gen. Plant Additions'!$C$7:$C$91,0),MATCH(Calculation!$G619,'Gen. Plant Additions'!$E$5:$AD$5,0))</f>
        <v>5972</v>
      </c>
      <c r="BN619" s="393">
        <f t="shared" si="1108"/>
        <v>0.95566178567722182</v>
      </c>
      <c r="BO619" s="46">
        <f t="shared" si="1056"/>
        <v>5707.2121840643686</v>
      </c>
      <c r="BP619" s="46">
        <f t="shared" si="1057"/>
        <v>-264.78781593563144</v>
      </c>
      <c r="BQ619" s="129">
        <f>INDEX('Dist Plant Depreciation'!$D$7:$AC$94,MATCH($C619,'Dist Plant Depreciation'!$C$7:$C$94,0),MATCH(Calculation!$G619,'Dist Plant Depreciation'!$D$5:$AC$5,0))</f>
        <v>354004</v>
      </c>
      <c r="BR619" s="129">
        <f>INDEX('Gen. Plant Depreciation'!$D$7:$AC$94,MATCH($C619,'Gen. Plant Depreciation'!$C$7:$C$94,0),MATCH(Calculation!$G619,'Gen. Plant Depreciation'!$D$5:$AC$5,0))</f>
        <v>32063</v>
      </c>
      <c r="BS619" s="129"/>
      <c r="BT619" s="129"/>
      <c r="BU619" s="129"/>
      <c r="BV619" s="129"/>
      <c r="BW619" s="129"/>
      <c r="BX619" s="129"/>
      <c r="BY619" s="129">
        <f>INDEX('Gross Dx Plant'!$D$7:$AC$91,MATCH($C619,'Gross Dx Plant'!$C$7:$C$91,0),MATCH(Calculation!$G619,'Gross Dx Plant'!$D$5:$AC$5,0))</f>
        <v>1316836</v>
      </c>
      <c r="BZ619" s="129">
        <f>INDEX('Gross Gen Plant'!$D$7:$AC$91,MATCH($C619,'Gross Gen Plant'!$C$7:$C$91,0),MATCH(Calculation!$G619,'Gross Gen Plant'!$D$5:$AC$5,0))</f>
        <v>61095</v>
      </c>
      <c r="CA619" s="129">
        <f t="shared" si="1077"/>
        <v>991864</v>
      </c>
      <c r="CB619" s="129"/>
      <c r="CC619" s="133">
        <v>2014</v>
      </c>
      <c r="CD619" s="129"/>
      <c r="CE619" s="129"/>
      <c r="CF619" s="129"/>
      <c r="CG619" s="137"/>
      <c r="CH619" s="129">
        <f t="shared" si="1109"/>
        <v>109444</v>
      </c>
      <c r="CI619" s="46">
        <f t="shared" si="1118"/>
        <v>109179.21218406437</v>
      </c>
      <c r="CJ619" s="46">
        <f t="shared" si="1110"/>
        <v>159.50932678921708</v>
      </c>
      <c r="CK619" s="443">
        <v>0.81395348837209303</v>
      </c>
      <c r="CL619" s="46">
        <f>+CL603*CK619+CJ604*CK618+CJ605*CK617+CJ606*CK616+CJ607*CK615+CJ608*CK614+CJ609*CK613+CJ610*CK612+CJ611*CK611+CJ612*CK610+CJ613*CK609+CJ614*CK608+CJ615*CK607+CJ616*CK606+CJ617*CK605+CJ618*CK604+CJ619</f>
        <v>3644.4594178357615</v>
      </c>
      <c r="CM619" s="134">
        <f t="shared" si="1111"/>
        <v>2.9695760002159202E-2</v>
      </c>
      <c r="CN619" s="135">
        <f t="shared" si="1112"/>
        <v>1.4945750372661663E-2</v>
      </c>
      <c r="CO619" s="135">
        <f t="shared" si="1122"/>
        <v>1.456170880809666E-2</v>
      </c>
      <c r="CP619" s="134">
        <f>VLOOKUP($H619,RoR!$E:$F,2,FALSE)</f>
        <v>4.1625000000000002E-2</v>
      </c>
      <c r="CQ619" s="135">
        <v>1.841352814597208E-2</v>
      </c>
      <c r="CR619" s="135">
        <f t="shared" si="1119"/>
        <v>2.3211471854027922E-2</v>
      </c>
      <c r="CS619" s="135">
        <f t="shared" si="1123"/>
        <v>1.6340232800436963E-2</v>
      </c>
      <c r="CT619" s="135">
        <v>3.9072621432650924E-2</v>
      </c>
      <c r="CU619" s="139">
        <f t="shared" si="1113"/>
        <v>0.84885500000000003</v>
      </c>
      <c r="CV619" s="335">
        <f t="shared" si="1114"/>
        <v>1.2320012320012319</v>
      </c>
      <c r="CW619" s="335">
        <f t="shared" si="1115"/>
        <v>0.37439939939939942</v>
      </c>
      <c r="CX619" s="335">
        <f t="shared" si="1116"/>
        <v>0.80432100613819935</v>
      </c>
      <c r="CY619" s="335">
        <f t="shared" si="1117"/>
        <v>0.37100152660040037</v>
      </c>
      <c r="CZ619" s="336">
        <f>INDEX('State Tax Lookup'!$D$7:$Z$91,MATCH(Calculation!$C619,'State Tax Lookup'!$B$7:$B$91,0),MATCH($H619,'State Tax Lookup'!$D$6:$Z$6,0))</f>
        <v>0.40849999999999997</v>
      </c>
      <c r="DA619" s="303">
        <v>0.37</v>
      </c>
      <c r="DB619" s="57">
        <f t="shared" si="1121"/>
        <v>15.973985007808718</v>
      </c>
      <c r="DC619" s="56">
        <f t="shared" si="1124"/>
        <v>9.6075259660543949E-3</v>
      </c>
      <c r="DD619" s="303">
        <f>VLOOKUP($H619,RoR!$E:$F,2,FALSE)</f>
        <v>4.1625000000000002E-2</v>
      </c>
      <c r="DE619" s="304">
        <f>HLOOKUP($H619,'GDP-PI'!$D$8:$CQ$11,3,FALSE)</f>
        <v>1.841352814597208E-2</v>
      </c>
      <c r="DF619" s="303">
        <f>VLOOKUP(H619,'HW Dx Data'!$E:$F,2,FALSE)</f>
        <v>684.46914285042885</v>
      </c>
      <c r="DG619" s="89">
        <f ca="1">VLOOKUP(CC619,'ECI - Input Price'!M$13:N$33,2,FALSE)</f>
        <v>129.4</v>
      </c>
      <c r="DH619" s="89"/>
      <c r="DI619" s="89"/>
      <c r="DJ619" s="56">
        <f t="shared" ca="1" si="1132"/>
        <v>2.0297340063674733E-2</v>
      </c>
      <c r="DK619" s="53">
        <f>HLOOKUP(H619,'GDP-PI'!$8:$9,2,FALSE)</f>
        <v>103.64700000000001</v>
      </c>
      <c r="DL619" s="355">
        <f t="shared" si="1125"/>
        <v>1.8246051898256087E-2</v>
      </c>
      <c r="EC619"/>
    </row>
    <row r="620" spans="1:133" s="126" customFormat="1" ht="21" customHeight="1" x14ac:dyDescent="0.4">
      <c r="A620" s="233" t="s">
        <v>217</v>
      </c>
      <c r="B620" s="127" t="s">
        <v>217</v>
      </c>
      <c r="C620" s="127">
        <v>4061755</v>
      </c>
      <c r="D620" s="127" t="s">
        <v>218</v>
      </c>
      <c r="E620" s="127" t="s">
        <v>15</v>
      </c>
      <c r="F620" s="127"/>
      <c r="G620" s="127" t="s">
        <v>171</v>
      </c>
      <c r="H620" s="128">
        <v>2015</v>
      </c>
      <c r="I620" s="129"/>
      <c r="J620" s="125">
        <f>IFERROR(INDEX('Labor Expenditures'!$E$7:$W$91,MATCH($C620,'Labor Expenditures'!$C$7:$C$91,0),MATCH($G620,'Labor Expenditures'!$E$5:$W$5,0)),"NA")</f>
        <v>54056.383793694418</v>
      </c>
      <c r="K620" s="125">
        <f t="shared" ca="1" si="1126"/>
        <v>404.91673253703686</v>
      </c>
      <c r="L620" s="47"/>
      <c r="M620" s="131">
        <f t="shared" ca="1" si="1133"/>
        <v>-2.6117479074331509E-2</v>
      </c>
      <c r="N620" s="131"/>
      <c r="O620" s="131"/>
      <c r="P620" s="59">
        <f t="shared" ca="1" si="1135"/>
        <v>-4.9440246561956354E-4</v>
      </c>
      <c r="Q620" s="61"/>
      <c r="R620" s="387"/>
      <c r="S620" s="49">
        <f t="shared" ca="1" si="1140"/>
        <v>120.10109079300602</v>
      </c>
      <c r="T620" s="61">
        <f ca="1">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</f>
        <v>-1.3038879601288357E-2</v>
      </c>
      <c r="U620" s="61"/>
      <c r="V620" s="125">
        <f>IFERROR(INDEX('Non-Labor Expenditures'!$E$7:$AA$91,MATCH($C620,'Non-Labor Expenditures'!$C$7:$C$91,0),MATCH($G620,'Non-Labor Expenditures'!$E$5:$AA$5,0)),"NA")</f>
        <v>78283.740073078152</v>
      </c>
      <c r="W620" s="125">
        <f t="shared" si="1127"/>
        <v>748.13157687934859</v>
      </c>
      <c r="X620" s="131">
        <f t="shared" si="1136"/>
        <v>-4.4498194862706529E-3</v>
      </c>
      <c r="Y620" s="131">
        <f t="shared" si="1137"/>
        <v>-8.4234842088430026E-5</v>
      </c>
      <c r="Z620" s="131"/>
      <c r="AA620" s="131"/>
      <c r="AB620" s="131"/>
      <c r="AC620" s="125">
        <f t="shared" si="1107"/>
        <v>56212.851166580724</v>
      </c>
      <c r="AD620" s="129"/>
      <c r="AE620" s="133">
        <v>4092.3042692869158</v>
      </c>
      <c r="AF620" s="134">
        <v>3.9738870322940156E-2</v>
      </c>
      <c r="AG620" s="59">
        <f t="shared" si="1128"/>
        <v>7.5225466488099753E-4</v>
      </c>
      <c r="AH620" s="134"/>
      <c r="AI620" s="134"/>
      <c r="AJ620" s="129">
        <f t="shared" si="1120"/>
        <v>188552.97503335329</v>
      </c>
      <c r="AK620" s="134">
        <f t="shared" si="1138"/>
        <v>1.9625664107597971E-3</v>
      </c>
      <c r="AL620" s="129"/>
      <c r="AM620" s="129"/>
      <c r="AN620" s="129"/>
      <c r="AO620" s="129"/>
      <c r="AP620" s="133">
        <f t="shared" si="1139"/>
        <v>367.79700779930619</v>
      </c>
      <c r="AQ620" s="134">
        <f>+BB620/Outputs!$B$23</f>
        <v>1.4071632129813596E-2</v>
      </c>
      <c r="AR620" s="93">
        <f t="shared" si="1129"/>
        <v>0.28669069678763937</v>
      </c>
      <c r="AS620" s="93">
        <f t="shared" si="1130"/>
        <v>0.4151816753844933</v>
      </c>
      <c r="AT620" s="93">
        <f t="shared" si="1131"/>
        <v>0.29812762782786739</v>
      </c>
      <c r="AU620" s="93">
        <f t="shared" ca="1" si="1134"/>
        <v>2.5699876121112204E-3</v>
      </c>
      <c r="AV620" s="132">
        <f t="shared" ca="1" si="1142"/>
        <v>137.07336601525577</v>
      </c>
      <c r="AW620" s="134">
        <f t="shared" ca="1" si="1143"/>
        <v>2.5699876121113227E-3</v>
      </c>
      <c r="AX620" s="56">
        <f>+AJ620/$AL$20</f>
        <v>1.8929945888440155E-2</v>
      </c>
      <c r="AY620" s="135">
        <f t="shared" ca="1" si="1141"/>
        <v>4.8649726431228865E-5</v>
      </c>
      <c r="AZ620" s="93"/>
      <c r="BA620" s="93"/>
      <c r="BB620" s="234">
        <f>IFERROR(INDEX('Total Customers'!$E$7:$AA$91,MATCH($C620,'Total Customers'!$C$7:$C$91,0),MATCH($G620,'Total Customers'!$E$5:$AA$5,0)),"NA")</f>
        <v>512655</v>
      </c>
      <c r="BC620" s="411">
        <f t="shared" si="1076"/>
        <v>1.5716187578932707E-2</v>
      </c>
      <c r="BD620" s="92"/>
      <c r="BE620" s="281" t="str">
        <f t="shared" si="1062"/>
        <v>NEW JERSEY NATURAL GAS COMPANY</v>
      </c>
      <c r="BF620" s="290">
        <f t="shared" si="1063"/>
        <v>4061755</v>
      </c>
      <c r="BG620" s="46" t="str">
        <f t="shared" si="1064"/>
        <v>NJ</v>
      </c>
      <c r="BH620" s="46"/>
      <c r="BI620" s="46" t="str">
        <f t="shared" si="1065"/>
        <v>2015 Y</v>
      </c>
      <c r="BJ620" s="129"/>
      <c r="BK620" s="129"/>
      <c r="BL620" s="129">
        <f>INDEX('Dist. Plant Gas Additions'!$E$7:$AD$91,MATCH($C620,'Dist. Plant Gas Additions'!$C$7:$C$91,0),MATCH(Calculation!$G620,'Dist. Plant Gas Additions'!$E$5:$AD$5,0))</f>
        <v>120059</v>
      </c>
      <c r="BM620" s="129">
        <f>INDEX('Gen. Plant Additions'!$E$7:$AD$91,MATCH($C620,'Gen. Plant Additions'!$C$7:$C$91,0),MATCH(Calculation!$G620,'Gen. Plant Additions'!$E$5:$AD$5,0))</f>
        <v>9937</v>
      </c>
      <c r="BN620" s="393">
        <f t="shared" si="1108"/>
        <v>0.95293979688712194</v>
      </c>
      <c r="BO620" s="46">
        <f t="shared" si="1056"/>
        <v>9469.3627616673311</v>
      </c>
      <c r="BP620" s="46">
        <f t="shared" si="1057"/>
        <v>-467.63723833266886</v>
      </c>
      <c r="BQ620" s="129">
        <f>INDEX('Dist Plant Depreciation'!$D$7:$AC$94,MATCH($C620,'Dist Plant Depreciation'!$C$7:$C$94,0),MATCH(Calculation!$G620,'Dist Plant Depreciation'!$D$5:$AC$5,0))</f>
        <v>363585</v>
      </c>
      <c r="BR620" s="129">
        <f>INDEX('Gen. Plant Depreciation'!$D$7:$AC$94,MATCH($C620,'Gen. Plant Depreciation'!$C$7:$C$94,0),MATCH(Calculation!$G620,'Gen. Plant Depreciation'!$D$5:$AC$5,0))</f>
        <v>37325</v>
      </c>
      <c r="BS620" s="129"/>
      <c r="BT620" s="129"/>
      <c r="BU620" s="129"/>
      <c r="BV620" s="129"/>
      <c r="BW620" s="129"/>
      <c r="BX620" s="129"/>
      <c r="BY620" s="129">
        <f>INDEX('Gross Dx Plant'!$D$7:$AC$91,MATCH($C620,'Gross Dx Plant'!$C$7:$C$91,0),MATCH(Calculation!$G620,'Gross Dx Plant'!$D$5:$AC$5,0))</f>
        <v>1438374</v>
      </c>
      <c r="BZ620" s="129">
        <f>INDEX('Gross Gen Plant'!$D$7:$AC$91,MATCH($C620,'Gross Gen Plant'!$C$7:$C$91,0),MATCH(Calculation!$G620,'Gross Gen Plant'!$D$5:$AC$5,0))</f>
        <v>71033</v>
      </c>
      <c r="CA620" s="129">
        <f t="shared" si="1077"/>
        <v>1108497</v>
      </c>
      <c r="CB620" s="129"/>
      <c r="CC620" s="133">
        <v>2015</v>
      </c>
      <c r="CD620" s="129"/>
      <c r="CE620" s="129"/>
      <c r="CF620" s="129"/>
      <c r="CG620" s="137"/>
      <c r="CH620" s="129">
        <f t="shared" si="1109"/>
        <v>129996</v>
      </c>
      <c r="CI620" s="46">
        <f t="shared" si="1118"/>
        <v>129528.36276166733</v>
      </c>
      <c r="CJ620" s="46">
        <f t="shared" si="1110"/>
        <v>191.71929738983815</v>
      </c>
      <c r="CK620" s="443">
        <v>0.8</v>
      </c>
      <c r="CL620" s="46">
        <f>+CL603*CK620+CJ604*CK619+CJ605*CK618+CJ606*CK617+CJ607*CK616+CJ608*CK615+CJ609*CK614+CJ610*CK613+CJ611*CK612+CJ612*CK611+CJ613*CK610+CJ614*CK609+CJ615*CK608+CJ616*CK607+CJ617*CK606+CJ618*CK605+CJ619*CK604+CJ620</f>
        <v>3780.5112748237561</v>
      </c>
      <c r="CM620" s="134">
        <f t="shared" si="1111"/>
        <v>3.6651211776921024E-2</v>
      </c>
      <c r="CN620" s="135">
        <f t="shared" si="1112"/>
        <v>1.5274539793037755E-2</v>
      </c>
      <c r="CO620" s="135">
        <f t="shared" si="1122"/>
        <v>1.493577545285305E-2</v>
      </c>
      <c r="CP620" s="134">
        <f>VLOOKUP($H620,RoR!$E:$F,2,FALSE)</f>
        <v>3.8866666666666674E-2</v>
      </c>
      <c r="CQ620" s="135">
        <v>9.5709475431029478E-3</v>
      </c>
      <c r="CR620" s="135">
        <f t="shared" si="1119"/>
        <v>2.9295719123563727E-2</v>
      </c>
      <c r="CS620" s="135">
        <f t="shared" si="1123"/>
        <v>1.5966166155680576E-2</v>
      </c>
      <c r="CT620" s="135">
        <v>3.5270373279175926E-3</v>
      </c>
      <c r="CU620" s="139">
        <f t="shared" si="1113"/>
        <v>0.84885500000000003</v>
      </c>
      <c r="CV620" s="335">
        <f t="shared" si="1114"/>
        <v>1.3194352816994324</v>
      </c>
      <c r="CW620" s="335">
        <f t="shared" si="1115"/>
        <v>0.33177530017152673</v>
      </c>
      <c r="CX620" s="335">
        <f t="shared" si="1116"/>
        <v>0.78242572977668579</v>
      </c>
      <c r="CY620" s="335">
        <f t="shared" si="1117"/>
        <v>0.34251158643433932</v>
      </c>
      <c r="CZ620" s="336">
        <f>INDEX('State Tax Lookup'!$D$7:$Z$91,MATCH(Calculation!$C620,'State Tax Lookup'!$B$7:$B$91,0),MATCH($H620,'State Tax Lookup'!$D$6:$Z$6,0))</f>
        <v>0.40849999999999997</v>
      </c>
      <c r="DA620" s="303">
        <v>0.37</v>
      </c>
      <c r="DB620" s="57">
        <f t="shared" si="1121"/>
        <v>15.424194570936493</v>
      </c>
      <c r="DC620" s="56">
        <f t="shared" si="1124"/>
        <v>-3.5024109352114578E-2</v>
      </c>
      <c r="DD620" s="303">
        <f>VLOOKUP($H620,RoR!$E:$F,2,FALSE)</f>
        <v>3.8866666666666674E-2</v>
      </c>
      <c r="DE620" s="304">
        <f>HLOOKUP($H620,'GDP-PI'!$D$8:$CQ$11,3,FALSE)</f>
        <v>9.5709475431029478E-3</v>
      </c>
      <c r="DF620" s="303">
        <f>VLOOKUP(H620,'HW Dx Data'!$E:$F,2,FALSE)</f>
        <v>675.61463308665782</v>
      </c>
      <c r="DG620" s="89">
        <f ca="1">VLOOKUP(CC620,'ECI - Input Price'!M$13:N$33,2,FALSE)</f>
        <v>133.5</v>
      </c>
      <c r="DH620" s="89"/>
      <c r="DI620" s="89"/>
      <c r="DJ620" s="56">
        <f t="shared" ca="1" si="1132"/>
        <v>3.1193095773504077E-2</v>
      </c>
      <c r="DK620" s="53">
        <f>HLOOKUP(H620,'GDP-PI'!$8:$9,2,FALSE)</f>
        <v>104.639</v>
      </c>
      <c r="DL620" s="355">
        <f t="shared" si="1125"/>
        <v>9.5254361854427965E-3</v>
      </c>
      <c r="EC620"/>
    </row>
    <row r="621" spans="1:133" s="126" customFormat="1" ht="21" customHeight="1" x14ac:dyDescent="0.4">
      <c r="A621" s="233" t="s">
        <v>217</v>
      </c>
      <c r="B621" s="127" t="s">
        <v>217</v>
      </c>
      <c r="C621" s="127">
        <v>4061755</v>
      </c>
      <c r="D621" s="127" t="s">
        <v>218</v>
      </c>
      <c r="E621" s="127" t="s">
        <v>15</v>
      </c>
      <c r="F621" s="127"/>
      <c r="G621" s="127" t="s">
        <v>172</v>
      </c>
      <c r="H621" s="128">
        <v>2016</v>
      </c>
      <c r="I621" s="129"/>
      <c r="J621" s="125">
        <f>IFERROR(INDEX('Labor Expenditures'!$E$7:$W$91,MATCH($C621,'Labor Expenditures'!$C$7:$C$91,0),MATCH($G621,'Labor Expenditures'!$E$5:$W$5,0)),"NA")</f>
        <v>53805.595754100235</v>
      </c>
      <c r="K621" s="125">
        <f t="shared" ca="1" si="1126"/>
        <v>392.88496352026465</v>
      </c>
      <c r="L621" s="47"/>
      <c r="M621" s="131">
        <f t="shared" ca="1" si="1133"/>
        <v>-3.0164591962897808E-2</v>
      </c>
      <c r="N621" s="131"/>
      <c r="O621" s="131"/>
      <c r="P621" s="59">
        <f t="shared" ca="1" si="1135"/>
        <v>-5.5350589513727662E-4</v>
      </c>
      <c r="Q621" s="61"/>
      <c r="R621" s="387"/>
      <c r="S621" s="49">
        <f t="shared" ca="1" si="1140"/>
        <v>302.65333562392067</v>
      </c>
      <c r="T621" s="61">
        <f ca="1">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</f>
        <v>0.92425423224997882</v>
      </c>
      <c r="U621" s="61"/>
      <c r="V621" s="125">
        <f>IFERROR(INDEX('Non-Labor Expenditures'!$E$7:$AA$91,MATCH($C621,'Non-Labor Expenditures'!$C$7:$C$91,0),MATCH($G621,'Non-Labor Expenditures'!$E$5:$AA$5,0)),"NA")</f>
        <v>77920.552151001175</v>
      </c>
      <c r="W621" s="125">
        <f t="shared" si="1127"/>
        <v>736.93493371227555</v>
      </c>
      <c r="X621" s="131">
        <f t="shared" si="1136"/>
        <v>-1.5079264461319993E-2</v>
      </c>
      <c r="Y621" s="131">
        <f t="shared" si="1137"/>
        <v>-2.7669732061818452E-4</v>
      </c>
      <c r="Z621" s="131"/>
      <c r="AA621" s="131"/>
      <c r="AB621" s="131"/>
      <c r="AC621" s="125">
        <f t="shared" si="1107"/>
        <v>56953.704760447639</v>
      </c>
      <c r="AD621" s="129"/>
      <c r="AE621" s="133">
        <v>4293.6826371538255</v>
      </c>
      <c r="AF621" s="134">
        <v>4.8036585850837886E-2</v>
      </c>
      <c r="AG621" s="59">
        <f t="shared" si="1128"/>
        <v>8.8144847055814091E-4</v>
      </c>
      <c r="AH621" s="134"/>
      <c r="AI621" s="134"/>
      <c r="AJ621" s="129">
        <f t="shared" si="1120"/>
        <v>188679.85266554906</v>
      </c>
      <c r="AK621" s="134">
        <f t="shared" si="1138"/>
        <v>6.7267548136762194E-4</v>
      </c>
      <c r="AL621" s="129"/>
      <c r="AM621" s="129"/>
      <c r="AN621" s="129"/>
      <c r="AO621" s="129"/>
      <c r="AP621" s="133">
        <f t="shared" si="1139"/>
        <v>362.41724242587912</v>
      </c>
      <c r="AQ621" s="134">
        <f>+BB621/Outputs!$B$24</f>
        <v>1.4166635872491324E-2</v>
      </c>
      <c r="AR621" s="93">
        <f t="shared" si="1129"/>
        <v>0.28516873950222543</v>
      </c>
      <c r="AS621" s="93">
        <f t="shared" si="1130"/>
        <v>0.41297759697280412</v>
      </c>
      <c r="AT621" s="93">
        <f t="shared" si="1131"/>
        <v>0.30185366352497045</v>
      </c>
      <c r="AU621" s="93">
        <f t="shared" ca="1" si="1134"/>
        <v>-4.5844321440968727E-4</v>
      </c>
      <c r="AV621" s="132">
        <f t="shared" ca="1" si="1142"/>
        <v>137.0105400628959</v>
      </c>
      <c r="AW621" s="134">
        <f t="shared" ca="1" si="1143"/>
        <v>-4.5844321440973552E-4</v>
      </c>
      <c r="AX621" s="56">
        <f>+AJ621/$AL$21</f>
        <v>1.8349523700439383E-2</v>
      </c>
      <c r="AY621" s="135">
        <f t="shared" ca="1" si="1141"/>
        <v>-8.4122146281170555E-6</v>
      </c>
      <c r="AZ621" s="93"/>
      <c r="BA621" s="93"/>
      <c r="BB621" s="234">
        <f>IFERROR(INDEX('Total Customers'!$E$7:$AA$91,MATCH($C621,'Total Customers'!$C$7:$C$91,0),MATCH($G621,'Total Customers'!$E$5:$AA$5,0)),"NA")</f>
        <v>520615</v>
      </c>
      <c r="BC621" s="411">
        <f t="shared" si="1076"/>
        <v>1.5407700742073017E-2</v>
      </c>
      <c r="BD621" s="92"/>
      <c r="BE621" s="281" t="str">
        <f t="shared" si="1062"/>
        <v>NEW JERSEY NATURAL GAS COMPANY</v>
      </c>
      <c r="BF621" s="290">
        <f t="shared" si="1063"/>
        <v>4061755</v>
      </c>
      <c r="BG621" s="46" t="str">
        <f t="shared" si="1064"/>
        <v>NJ</v>
      </c>
      <c r="BH621" s="46"/>
      <c r="BI621" s="46" t="str">
        <f t="shared" si="1065"/>
        <v>2016 Y</v>
      </c>
      <c r="BJ621" s="129"/>
      <c r="BK621" s="129"/>
      <c r="BL621" s="129">
        <f>INDEX('Dist. Plant Gas Additions'!$E$7:$AD$91,MATCH($C621,'Dist. Plant Gas Additions'!$C$7:$C$91,0),MATCH(Calculation!$G621,'Dist. Plant Gas Additions'!$E$5:$AD$5,0))</f>
        <v>127654</v>
      </c>
      <c r="BM621" s="129">
        <f>INDEX('Gen. Plant Additions'!$E$7:$AD$91,MATCH($C621,'Gen. Plant Additions'!$C$7:$C$91,0),MATCH(Calculation!$G621,'Gen. Plant Additions'!$E$5:$AD$5,0))</f>
        <v>31197</v>
      </c>
      <c r="BN621" s="393">
        <f t="shared" si="1108"/>
        <v>0.93835736208341625</v>
      </c>
      <c r="BO621" s="46">
        <f t="shared" si="1056"/>
        <v>29273.934624916335</v>
      </c>
      <c r="BP621" s="46">
        <f t="shared" si="1057"/>
        <v>-1923.0653750836645</v>
      </c>
      <c r="BQ621" s="129">
        <f>INDEX('Dist Plant Depreciation'!$D$7:$AC$94,MATCH($C621,'Dist Plant Depreciation'!$C$7:$C$94,0),MATCH(Calculation!$G621,'Dist Plant Depreciation'!$D$5:$AC$5,0))</f>
        <v>347931</v>
      </c>
      <c r="BR621" s="129">
        <f>INDEX('Gen. Plant Depreciation'!$D$7:$AC$94,MATCH($C621,'Gen. Plant Depreciation'!$C$7:$C$94,0),MATCH(Calculation!$G621,'Gen. Plant Depreciation'!$D$5:$AC$5,0))</f>
        <v>45913</v>
      </c>
      <c r="BS621" s="129"/>
      <c r="BT621" s="129"/>
      <c r="BU621" s="129"/>
      <c r="BV621" s="129"/>
      <c r="BW621" s="129"/>
      <c r="BX621" s="129"/>
      <c r="BY621" s="129">
        <f>INDEX('Gross Dx Plant'!$D$7:$AC$91,MATCH($C621,'Gross Dx Plant'!$C$7:$C$91,0),MATCH(Calculation!$G621,'Gross Dx Plant'!$D$5:$AC$5,0))</f>
        <v>1556200</v>
      </c>
      <c r="BZ621" s="129">
        <f>INDEX('Gross Gen Plant'!$D$7:$AC$91,MATCH($C621,'Gross Gen Plant'!$C$7:$C$91,0),MATCH(Calculation!$G621,'Gross Gen Plant'!$D$5:$AC$5,0))</f>
        <v>102230</v>
      </c>
      <c r="CA621" s="129">
        <f t="shared" si="1077"/>
        <v>1264586</v>
      </c>
      <c r="CB621" s="129"/>
      <c r="CC621" s="133">
        <v>2016</v>
      </c>
      <c r="CD621" s="129"/>
      <c r="CE621" s="129"/>
      <c r="CF621" s="129"/>
      <c r="CG621" s="137"/>
      <c r="CH621" s="129">
        <f t="shared" si="1109"/>
        <v>158851</v>
      </c>
      <c r="CI621" s="46">
        <f t="shared" si="1118"/>
        <v>156927.93462491635</v>
      </c>
      <c r="CJ621" s="46">
        <f t="shared" si="1110"/>
        <v>233.71277131319329</v>
      </c>
      <c r="CK621" s="443">
        <v>0.7857142857142857</v>
      </c>
      <c r="CL621" s="46">
        <f>+CL603*CK621+CJ604*CK620+CJ605*CK619+CJ606*CK618+CJ607*CK617+CJ608*CK616+CJ609*CK615+CJ610*CK614+CJ611*CK613+CJ612*CK612+CJ613*CK611+CJ614*CK610+CJ615*CK609+CJ616*CK608+CJ617*CK607+CJ618*CK606+CJ619*CK605+CJ620*CK604+CJ621</f>
        <v>3955.3718354610724</v>
      </c>
      <c r="CM621" s="134">
        <f t="shared" si="1111"/>
        <v>4.5215354976955079E-2</v>
      </c>
      <c r="CN621" s="135">
        <f t="shared" si="1112"/>
        <v>1.5567262308620071E-2</v>
      </c>
      <c r="CO621" s="135">
        <f t="shared" si="1122"/>
        <v>1.526251749143983E-2</v>
      </c>
      <c r="CP621" s="134">
        <f>VLOOKUP($H621,RoR!$E:$F,2,FALSE)</f>
        <v>3.6658333333333334E-2</v>
      </c>
      <c r="CQ621" s="135">
        <v>1.0483662879041455E-2</v>
      </c>
      <c r="CR621" s="135">
        <f t="shared" si="1119"/>
        <v>2.6174670454291879E-2</v>
      </c>
      <c r="CS621" s="135">
        <f t="shared" si="1123"/>
        <v>1.5639424117093795E-2</v>
      </c>
      <c r="CT621" s="135">
        <v>4.301363574220729E-3</v>
      </c>
      <c r="CU621" s="139">
        <f t="shared" si="1113"/>
        <v>0.84885500000000003</v>
      </c>
      <c r="CV621" s="335">
        <f t="shared" si="1114"/>
        <v>1.3989193348138562</v>
      </c>
      <c r="CW621" s="335">
        <f t="shared" si="1115"/>
        <v>0.29302682427824522</v>
      </c>
      <c r="CX621" s="335">
        <f t="shared" si="1116"/>
        <v>0.76309497491941802</v>
      </c>
      <c r="CY621" s="335">
        <f t="shared" si="1117"/>
        <v>0.31280857135128509</v>
      </c>
      <c r="CZ621" s="336">
        <f>INDEX('State Tax Lookup'!$D$7:$Z$91,MATCH(Calculation!$C621,'State Tax Lookup'!$B$7:$B$91,0),MATCH($H621,'State Tax Lookup'!$D$6:$Z$6,0))</f>
        <v>0.40849999999999997</v>
      </c>
      <c r="DA621" s="303">
        <v>0.37</v>
      </c>
      <c r="DB621" s="57">
        <f t="shared" si="1121"/>
        <v>15.065079990563648</v>
      </c>
      <c r="DC621" s="56">
        <f t="shared" si="1124"/>
        <v>-2.3557870341833743E-2</v>
      </c>
      <c r="DD621" s="303">
        <f>VLOOKUP($H621,RoR!$E:$F,2,FALSE)</f>
        <v>3.6658333333333334E-2</v>
      </c>
      <c r="DE621" s="304">
        <f>HLOOKUP($H621,'GDP-PI'!$D$8:$CQ$11,3,FALSE)</f>
        <v>1.0483662879041455E-2</v>
      </c>
      <c r="DF621" s="303">
        <f>VLOOKUP(H621,'HW Dx Data'!$E:$F,2,FALSE)</f>
        <v>671.45639385971219</v>
      </c>
      <c r="DG621" s="89">
        <f ca="1">VLOOKUP(CC621,'ECI - Input Price'!M$13:N$33,2,FALSE)</f>
        <v>136.94999999999999</v>
      </c>
      <c r="DH621" s="89"/>
      <c r="DI621" s="89"/>
      <c r="DJ621" s="56">
        <f t="shared" ca="1" si="1132"/>
        <v>2.5514417868782811E-2</v>
      </c>
      <c r="DK621" s="53">
        <f>HLOOKUP(H621,'GDP-PI'!$8:$9,2,FALSE)</f>
        <v>105.736</v>
      </c>
      <c r="DL621" s="355">
        <f t="shared" si="1125"/>
        <v>1.0429090367205095E-2</v>
      </c>
      <c r="EC621"/>
    </row>
    <row r="622" spans="1:133" s="126" customFormat="1" ht="21" customHeight="1" x14ac:dyDescent="0.4">
      <c r="A622" s="233" t="s">
        <v>217</v>
      </c>
      <c r="B622" s="127" t="s">
        <v>217</v>
      </c>
      <c r="C622" s="127">
        <v>4061755</v>
      </c>
      <c r="D622" s="127" t="s">
        <v>218</v>
      </c>
      <c r="E622" s="127" t="s">
        <v>15</v>
      </c>
      <c r="F622" s="127"/>
      <c r="G622" s="127" t="s">
        <v>173</v>
      </c>
      <c r="H622" s="128">
        <v>2017</v>
      </c>
      <c r="I622" s="129"/>
      <c r="J622" s="125">
        <f>IFERROR(INDEX('Labor Expenditures'!$E$7:$W$91,MATCH($C622,'Labor Expenditures'!$C$7:$C$91,0),MATCH($G622,'Labor Expenditures'!$E$5:$W$5,0)),"NA")</f>
        <v>57278.321985684808</v>
      </c>
      <c r="K622" s="125">
        <f t="shared" ca="1" si="1126"/>
        <v>407.82002125799085</v>
      </c>
      <c r="L622" s="47"/>
      <c r="M622" s="131">
        <f t="shared" ca="1" si="1133"/>
        <v>3.7309097381162462E-2</v>
      </c>
      <c r="N622" s="131"/>
      <c r="O622" s="131"/>
      <c r="P622" s="59">
        <f t="shared" ca="1" si="1135"/>
        <v>7.0221404976340937E-4</v>
      </c>
      <c r="Q622" s="61"/>
      <c r="R622" s="387"/>
      <c r="S622" s="49">
        <f t="shared" ca="1" si="1140"/>
        <v>167.97804831738503</v>
      </c>
      <c r="T622" s="61">
        <f ca="1">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</f>
        <v>-0.5887547375793416</v>
      </c>
      <c r="U622" s="61"/>
      <c r="V622" s="125">
        <f>IFERROR(INDEX('Non-Labor Expenditures'!$E$7:$AA$91,MATCH($C622,'Non-Labor Expenditures'!$C$7:$C$91,0),MATCH($G622,'Non-Labor Expenditures'!$E$5:$AA$5,0)),"NA")</f>
        <v>82949.708350125962</v>
      </c>
      <c r="W622" s="125">
        <f t="shared" si="1127"/>
        <v>769.82773570663812</v>
      </c>
      <c r="X622" s="131">
        <f t="shared" si="1136"/>
        <v>4.3667166994582909E-2</v>
      </c>
      <c r="Y622" s="131">
        <f t="shared" si="1137"/>
        <v>8.218826058344525E-4</v>
      </c>
      <c r="Z622" s="131"/>
      <c r="AA622" s="131"/>
      <c r="AB622" s="131"/>
      <c r="AC622" s="125">
        <f t="shared" si="1107"/>
        <v>53240.803652726361</v>
      </c>
      <c r="AD622" s="129"/>
      <c r="AE622" s="133">
        <v>4481.1028668568324</v>
      </c>
      <c r="AF622" s="134">
        <v>4.2724403484224606E-2</v>
      </c>
      <c r="AG622" s="59">
        <f t="shared" si="1128"/>
        <v>8.0413836035420321E-4</v>
      </c>
      <c r="AH622" s="134"/>
      <c r="AI622" s="134"/>
      <c r="AJ622" s="129">
        <f t="shared" si="1120"/>
        <v>193468.83398853714</v>
      </c>
      <c r="AK622" s="134">
        <f t="shared" si="1138"/>
        <v>2.5064757292519026E-2</v>
      </c>
      <c r="AL622" s="129"/>
      <c r="AM622" s="129"/>
      <c r="AN622" s="129"/>
      <c r="AO622" s="129"/>
      <c r="AP622" s="133">
        <f t="shared" si="1139"/>
        <v>365.3491846557651</v>
      </c>
      <c r="AQ622" s="134">
        <f>+BB622/Outputs!$B$25</f>
        <v>1.4301371345803754E-2</v>
      </c>
      <c r="AR622" s="93">
        <f t="shared" si="1129"/>
        <v>0.29605968467809396</v>
      </c>
      <c r="AS622" s="93">
        <f t="shared" si="1130"/>
        <v>0.42874971973543119</v>
      </c>
      <c r="AT622" s="93">
        <f t="shared" si="1131"/>
        <v>0.27519059558647485</v>
      </c>
      <c r="AU622" s="93">
        <f t="shared" ca="1" si="1134"/>
        <v>4.1547413467788334E-2</v>
      </c>
      <c r="AV622" s="132">
        <f t="shared" ca="1" si="1142"/>
        <v>142.82288141989341</v>
      </c>
      <c r="AW622" s="134">
        <f t="shared" ca="1" si="1143"/>
        <v>4.1547413467788355E-2</v>
      </c>
      <c r="AX622" s="56">
        <f>+AJ622/$AL$22</f>
        <v>1.8821523409943457E-2</v>
      </c>
      <c r="AY622" s="135">
        <f t="shared" ca="1" si="1141"/>
        <v>7.8198561520657862E-4</v>
      </c>
      <c r="AZ622" s="93"/>
      <c r="BA622" s="93"/>
      <c r="BB622" s="234">
        <f>IFERROR(INDEX('Total Customers'!$E$7:$AA$91,MATCH($C622,'Total Customers'!$C$7:$C$91,0),MATCH($G622,'Total Customers'!$E$5:$AA$5,0)),"NA")</f>
        <v>529545</v>
      </c>
      <c r="BC622" s="411">
        <f t="shared" si="1076"/>
        <v>1.7007342212499714E-2</v>
      </c>
      <c r="BD622" s="92"/>
      <c r="BE622" s="281" t="str">
        <f t="shared" si="1062"/>
        <v>NEW JERSEY NATURAL GAS COMPANY</v>
      </c>
      <c r="BF622" s="290">
        <f t="shared" si="1063"/>
        <v>4061755</v>
      </c>
      <c r="BG622" s="46" t="str">
        <f t="shared" si="1064"/>
        <v>NJ</v>
      </c>
      <c r="BH622" s="46"/>
      <c r="BI622" s="46" t="str">
        <f t="shared" si="1065"/>
        <v>2017 Y</v>
      </c>
      <c r="BJ622" s="129"/>
      <c r="BK622" s="129"/>
      <c r="BL622" s="129">
        <f>INDEX('Dist. Plant Gas Additions'!$E$7:$AD$91,MATCH($C622,'Dist. Plant Gas Additions'!$C$7:$C$91,0),MATCH(Calculation!$G622,'Dist. Plant Gas Additions'!$E$5:$AD$5,0))</f>
        <v>150679</v>
      </c>
      <c r="BM622" s="129">
        <f>INDEX('Gen. Plant Additions'!$E$7:$AD$91,MATCH($C622,'Gen. Plant Additions'!$C$7:$C$91,0),MATCH(Calculation!$G622,'Gen. Plant Additions'!$E$5:$AD$5,0))</f>
        <v>9734</v>
      </c>
      <c r="BN622" s="393">
        <f t="shared" si="1108"/>
        <v>0.93820483625363371</v>
      </c>
      <c r="BO622" s="46">
        <f t="shared" si="1056"/>
        <v>9132.485876092871</v>
      </c>
      <c r="BP622" s="46">
        <f t="shared" si="1057"/>
        <v>-601.51412390712903</v>
      </c>
      <c r="BQ622" s="129">
        <f>INDEX('Dist Plant Depreciation'!$D$7:$AC$94,MATCH($C622,'Dist Plant Depreciation'!$C$7:$C$94,0),MATCH(Calculation!$G622,'Dist Plant Depreciation'!$D$5:$AC$5,0))</f>
        <v>334259</v>
      </c>
      <c r="BR622" s="129">
        <f>INDEX('Gen. Plant Depreciation'!$D$7:$AC$94,MATCH($C622,'Gen. Plant Depreciation'!$C$7:$C$94,0),MATCH(Calculation!$G622,'Gen. Plant Depreciation'!$D$5:$AC$5,0))</f>
        <v>57941</v>
      </c>
      <c r="BS622" s="129"/>
      <c r="BT622" s="129"/>
      <c r="BU622" s="129"/>
      <c r="BV622" s="129"/>
      <c r="BW622" s="129"/>
      <c r="BX622" s="129"/>
      <c r="BY622" s="129">
        <f>INDEX('Gross Dx Plant'!$D$7:$AC$91,MATCH($C622,'Gross Dx Plant'!$C$7:$C$91,0),MATCH(Calculation!$G622,'Gross Dx Plant'!$D$5:$AC$5,0))</f>
        <v>1699893</v>
      </c>
      <c r="BZ622" s="129">
        <f>INDEX('Gross Gen Plant'!$D$7:$AC$91,MATCH($C622,'Gross Gen Plant'!$C$7:$C$91,0),MATCH(Calculation!$G622,'Gross Gen Plant'!$D$5:$AC$5,0))</f>
        <v>111964</v>
      </c>
      <c r="CA622" s="129">
        <f t="shared" si="1077"/>
        <v>1419657</v>
      </c>
      <c r="CB622" s="129"/>
      <c r="CC622" s="133">
        <v>2017</v>
      </c>
      <c r="CD622" s="129"/>
      <c r="CE622" s="129"/>
      <c r="CF622" s="129"/>
      <c r="CG622" s="137"/>
      <c r="CH622" s="129">
        <f t="shared" si="1109"/>
        <v>160413</v>
      </c>
      <c r="CI622" s="46">
        <f t="shared" si="1118"/>
        <v>159811.48587609286</v>
      </c>
      <c r="CJ622" s="46">
        <f t="shared" si="1110"/>
        <v>224.3193065690825</v>
      </c>
      <c r="CK622" s="443">
        <v>0.77108433734939763</v>
      </c>
      <c r="CL622" s="46">
        <f>+CL603*CK622+CJ604*CK621+CJ605*CK620+CJ606*CK619+CJ607*CK618+CJ608*CK617+CJ609*CK616+CJ610*CK615+CJ611*CK614+CJ612*CK613+CJ613*CK612+CJ614*CK611+CJ615*CK610+CJ616*CK609+CJ617*CK608+CJ618*CK607+CJ619*CK606+CJ620*CK605+CJ621*CK604+CJ622</f>
        <v>4117.1551784762114</v>
      </c>
      <c r="CM622" s="134">
        <f t="shared" si="1111"/>
        <v>4.0087820850040715E-2</v>
      </c>
      <c r="CN622" s="135">
        <f t="shared" si="1112"/>
        <v>1.5810388038183954E-2</v>
      </c>
      <c r="CO622" s="135">
        <f t="shared" si="1122"/>
        <v>1.5550730046613927E-2</v>
      </c>
      <c r="CP622" s="134">
        <f>VLOOKUP($H622,RoR!$E:$F,2,FALSE)</f>
        <v>3.7433333333333339E-2</v>
      </c>
      <c r="CQ622" s="135">
        <v>1.9056896421275615E-2</v>
      </c>
      <c r="CR622" s="135">
        <f t="shared" si="1119"/>
        <v>1.8376436912057724E-2</v>
      </c>
      <c r="CS622" s="135">
        <f t="shared" si="1123"/>
        <v>1.5351211561919698E-2</v>
      </c>
      <c r="CT622" s="135">
        <v>1.3976271617800498E-2</v>
      </c>
      <c r="CU622" s="139">
        <f t="shared" si="1113"/>
        <v>0.90065499999999998</v>
      </c>
      <c r="CV622" s="335">
        <f t="shared" si="1114"/>
        <v>1.3699568463593395</v>
      </c>
      <c r="CW622" s="335">
        <f t="shared" si="1115"/>
        <v>0.30714603739982199</v>
      </c>
      <c r="CX622" s="335">
        <f t="shared" si="1116"/>
        <v>0.77007188472689425</v>
      </c>
      <c r="CY622" s="335">
        <f t="shared" si="1117"/>
        <v>0.32402839633793828</v>
      </c>
      <c r="CZ622" s="336">
        <f>INDEX('State Tax Lookup'!$D$7:$Z$91,MATCH(Calculation!$C622,'State Tax Lookup'!$B$7:$B$91,0),MATCH($H622,'State Tax Lookup'!$D$6:$Z$6,0))</f>
        <v>0.26849999999999996</v>
      </c>
      <c r="DA622" s="303">
        <v>0.37</v>
      </c>
      <c r="DB622" s="57">
        <f t="shared" si="1121"/>
        <v>13.46037891441884</v>
      </c>
      <c r="DC622" s="56">
        <f t="shared" si="1124"/>
        <v>-0.11262900729785451</v>
      </c>
      <c r="DD622" s="303">
        <f>VLOOKUP($H622,RoR!$E:$F,2,FALSE)</f>
        <v>3.7433333333333339E-2</v>
      </c>
      <c r="DE622" s="304">
        <f>HLOOKUP($H622,'GDP-PI'!$D$8:$CQ$11,3,FALSE)</f>
        <v>1.9056896421275615E-2</v>
      </c>
      <c r="DF622" s="303">
        <f>VLOOKUP(H622,'HW Dx Data'!$E:$F,2,FALSE)</f>
        <v>712.42858370229726</v>
      </c>
      <c r="DG622" s="89">
        <f ca="1">VLOOKUP(CC622,'ECI - Input Price'!M$13:N$33,2,FALSE)</f>
        <v>140.44999999999999</v>
      </c>
      <c r="DH622" s="89"/>
      <c r="DI622" s="89"/>
      <c r="DJ622" s="56">
        <f t="shared" ca="1" si="1132"/>
        <v>2.5235657841165486E-2</v>
      </c>
      <c r="DK622" s="53">
        <f>HLOOKUP(H622,'GDP-PI'!$8:$9,2,FALSE)</f>
        <v>107.751</v>
      </c>
      <c r="DL622" s="355">
        <f t="shared" si="1125"/>
        <v>1.8877588227745139E-2</v>
      </c>
      <c r="EC622"/>
    </row>
    <row r="623" spans="1:133" s="126" customFormat="1" ht="21" customHeight="1" x14ac:dyDescent="0.4">
      <c r="A623" s="233" t="s">
        <v>217</v>
      </c>
      <c r="B623" s="127" t="s">
        <v>217</v>
      </c>
      <c r="C623" s="127">
        <v>4061755</v>
      </c>
      <c r="D623" s="127" t="s">
        <v>218</v>
      </c>
      <c r="E623" s="127" t="s">
        <v>15</v>
      </c>
      <c r="F623" s="127"/>
      <c r="G623" s="127" t="s">
        <v>174</v>
      </c>
      <c r="H623" s="128">
        <v>2018</v>
      </c>
      <c r="I623" s="129"/>
      <c r="J623" s="125">
        <f>IFERROR(INDEX('Labor Expenditures'!$E$7:$W$91,MATCH($C623,'Labor Expenditures'!$C$7:$C$91,0),MATCH($G623,'Labor Expenditures'!$E$5:$W$5,0)),"NA")</f>
        <v>64369.223821553016</v>
      </c>
      <c r="K623" s="125">
        <f t="shared" ca="1" si="1126"/>
        <v>445.61594892040858</v>
      </c>
      <c r="L623" s="47"/>
      <c r="M623" s="131">
        <f t="shared" ca="1" si="1133"/>
        <v>8.8631527271728433E-2</v>
      </c>
      <c r="N623" s="131"/>
      <c r="O623" s="131"/>
      <c r="P623" s="59">
        <f t="shared" ca="1" si="1135"/>
        <v>1.7143970624644038E-3</v>
      </c>
      <c r="Q623" s="61"/>
      <c r="R623" s="387"/>
      <c r="S623" s="49">
        <f t="shared" ca="1" si="1140"/>
        <v>115.95579119504259</v>
      </c>
      <c r="T623" s="61">
        <f ca="1">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</f>
        <v>-0.37062429801062291</v>
      </c>
      <c r="U623" s="61"/>
      <c r="V623" s="125">
        <f>IFERROR(INDEX('Non-Labor Expenditures'!$E$7:$AA$91,MATCH($C623,'Non-Labor Expenditures'!$C$7:$C$91,0),MATCH($G623,'Non-Labor Expenditures'!$E$5:$AA$5,0)),"NA")</f>
        <v>93218.658606239303</v>
      </c>
      <c r="W623" s="125">
        <f t="shared" si="1127"/>
        <v>844.96889655951941</v>
      </c>
      <c r="X623" s="131">
        <f t="shared" si="1136"/>
        <v>9.3133047917211359E-2</v>
      </c>
      <c r="Y623" s="131">
        <f t="shared" si="1137"/>
        <v>1.8014698458045648E-3</v>
      </c>
      <c r="Z623" s="131"/>
      <c r="AA623" s="131"/>
      <c r="AB623" s="131"/>
      <c r="AC623" s="125">
        <f t="shared" si="1107"/>
        <v>57659.681354674183</v>
      </c>
      <c r="AD623" s="129"/>
      <c r="AE623" s="133">
        <v>4620.9859555374196</v>
      </c>
      <c r="AF623" s="134">
        <v>3.0738900846066373E-2</v>
      </c>
      <c r="AG623" s="59">
        <f t="shared" si="1128"/>
        <v>5.9458166790149079E-4</v>
      </c>
      <c r="AH623" s="134"/>
      <c r="AI623" s="134"/>
      <c r="AJ623" s="129">
        <f t="shared" si="1120"/>
        <v>215247.56378246652</v>
      </c>
      <c r="AK623" s="134">
        <f t="shared" si="1138"/>
        <v>0.10667239032120222</v>
      </c>
      <c r="AL623" s="129"/>
      <c r="AM623" s="129"/>
      <c r="AN623" s="129"/>
      <c r="AO623" s="129"/>
      <c r="AP623" s="133">
        <f t="shared" si="1139"/>
        <v>400.94694174601847</v>
      </c>
      <c r="AQ623" s="134">
        <f>+BB623/Outputs!$B$26</f>
        <v>1.4371625794183523E-2</v>
      </c>
      <c r="AR623" s="93">
        <f t="shared" si="1129"/>
        <v>0.29904739775176198</v>
      </c>
      <c r="AS623" s="93">
        <f t="shared" si="1130"/>
        <v>0.43307648629393053</v>
      </c>
      <c r="AT623" s="93">
        <f t="shared" si="1131"/>
        <v>0.26787611595430744</v>
      </c>
      <c r="AU623" s="93">
        <f t="shared" ca="1" si="1134"/>
        <v>7.4851512373636492E-2</v>
      </c>
      <c r="AV623" s="132">
        <f t="shared" ca="1" si="1142"/>
        <v>153.92366280986369</v>
      </c>
      <c r="AW623" s="134">
        <f t="shared" ca="1" si="1143"/>
        <v>7.4851512373636436E-2</v>
      </c>
      <c r="AX623" s="56">
        <f>+AJ623/$AL$23</f>
        <v>1.934297100859346E-2</v>
      </c>
      <c r="AY623" s="135">
        <f t="shared" ca="1" si="1141"/>
        <v>1.4478506337926242E-3</v>
      </c>
      <c r="AZ623" s="93"/>
      <c r="BA623" s="93"/>
      <c r="BB623" s="234">
        <f>IFERROR(INDEX('Total Customers'!$E$7:$AA$91,MATCH($C623,'Total Customers'!$C$7:$C$91,0),MATCH($G623,'Total Customers'!$E$5:$AA$5,0)),"NA")</f>
        <v>536848</v>
      </c>
      <c r="BC623" s="411">
        <f t="shared" si="1076"/>
        <v>1.3696853171731135E-2</v>
      </c>
      <c r="BD623" s="92"/>
      <c r="BE623" s="281" t="str">
        <f t="shared" si="1062"/>
        <v>NEW JERSEY NATURAL GAS COMPANY</v>
      </c>
      <c r="BF623" s="290">
        <f t="shared" si="1063"/>
        <v>4061755</v>
      </c>
      <c r="BG623" s="46" t="str">
        <f t="shared" si="1064"/>
        <v>NJ</v>
      </c>
      <c r="BH623" s="46"/>
      <c r="BI623" s="46" t="str">
        <f t="shared" si="1065"/>
        <v>2018 Y</v>
      </c>
      <c r="BJ623" s="129"/>
      <c r="BK623" s="129"/>
      <c r="BL623" s="129">
        <f>INDEX('Dist. Plant Gas Additions'!$E$7:$AD$91,MATCH($C623,'Dist. Plant Gas Additions'!$C$7:$C$91,0),MATCH(Calculation!$G623,'Dist. Plant Gas Additions'!$E$5:$AD$5,0))</f>
        <v>131089</v>
      </c>
      <c r="BM623" s="129">
        <f>INDEX('Gen. Plant Additions'!$E$7:$AD$91,MATCH($C623,'Gen. Plant Additions'!$C$7:$C$91,0),MATCH(Calculation!$G623,'Gen. Plant Additions'!$E$5:$AD$5,0))</f>
        <v>5011</v>
      </c>
      <c r="BN623" s="393">
        <f t="shared" si="1108"/>
        <v>0.93995802997461497</v>
      </c>
      <c r="BO623" s="46">
        <f t="shared" si="1056"/>
        <v>4710.1296882027955</v>
      </c>
      <c r="BP623" s="46">
        <f t="shared" si="1057"/>
        <v>-300.87031179720452</v>
      </c>
      <c r="BQ623" s="129">
        <f>INDEX('Dist Plant Depreciation'!$D$7:$AC$94,MATCH($C623,'Dist Plant Depreciation'!$C$7:$C$94,0),MATCH(Calculation!$G623,'Dist Plant Depreciation'!$D$5:$AC$5,0))</f>
        <v>326661</v>
      </c>
      <c r="BR623" s="129">
        <f>INDEX('Gen. Plant Depreciation'!$D$7:$AC$94,MATCH($C623,'Gen. Plant Depreciation'!$C$7:$C$94,0),MATCH(Calculation!$G623,'Gen. Plant Depreciation'!$D$5:$AC$5,0))</f>
        <v>70191</v>
      </c>
      <c r="BS623" s="129"/>
      <c r="BT623" s="129"/>
      <c r="BU623" s="129"/>
      <c r="BV623" s="129"/>
      <c r="BW623" s="129"/>
      <c r="BX623" s="129"/>
      <c r="BY623" s="129">
        <f>INDEX('Gross Dx Plant'!$D$7:$AC$91,MATCH($C623,'Gross Dx Plant'!$C$7:$C$91,0),MATCH(Calculation!$G623,'Gross Dx Plant'!$D$5:$AC$5,0))</f>
        <v>1824373</v>
      </c>
      <c r="BZ623" s="129">
        <f>INDEX('Gross Gen Plant'!$D$7:$AC$91,MATCH($C623,'Gross Gen Plant'!$C$7:$C$91,0),MATCH(Calculation!$G623,'Gross Gen Plant'!$D$5:$AC$5,0))</f>
        <v>116536</v>
      </c>
      <c r="CA623" s="129">
        <f t="shared" si="1077"/>
        <v>1544057</v>
      </c>
      <c r="CB623" s="129"/>
      <c r="CC623" s="133">
        <v>2018</v>
      </c>
      <c r="CD623" s="129"/>
      <c r="CE623" s="129"/>
      <c r="CF623" s="129"/>
      <c r="CG623" s="137"/>
      <c r="CH623" s="129">
        <f t="shared" si="1109"/>
        <v>136100</v>
      </c>
      <c r="CI623" s="46">
        <f t="shared" si="1118"/>
        <v>135799.12968820278</v>
      </c>
      <c r="CJ623" s="46">
        <f t="shared" si="1110"/>
        <v>179.83383287962457</v>
      </c>
      <c r="CK623" s="443">
        <v>0.75609756097560976</v>
      </c>
      <c r="CL623" s="46">
        <f>+CL603*CK623++CJ604*CK622+CJ605*CK621+CJ606*CK620+CJ607*CK619+CJ608*CK618+CJ609*CK617+CJ610*CK616+CJ611*CK615+CJ612*CK614+CJ613*CK613+CJ614*CK612+CJ615*CK611+CJ616*CK610+CJ617*CK609+CJ618*CK608+CJ619*CK607+CJ620*CK606+CJ621*CK605+CJ622*CK604+CJ623</f>
        <v>4230.7674762847882</v>
      </c>
      <c r="CM623" s="134">
        <f t="shared" si="1111"/>
        <v>2.7220978872674332E-2</v>
      </c>
      <c r="CN623" s="135">
        <f t="shared" si="1112"/>
        <v>1.6084294178961889E-2</v>
      </c>
      <c r="CO623" s="135">
        <f t="shared" si="1122"/>
        <v>1.5820648175255306E-2</v>
      </c>
      <c r="CP623" s="134">
        <f>VLOOKUP($H623,RoR!$E:$F,2,FALSE)</f>
        <v>3.9299999999999995E-2</v>
      </c>
      <c r="CQ623" s="135">
        <v>2.386056741932796E-2</v>
      </c>
      <c r="CR623" s="135">
        <f t="shared" si="1119"/>
        <v>1.5439432580672034E-2</v>
      </c>
      <c r="CS623" s="135">
        <f t="shared" si="1123"/>
        <v>1.5081293433278319E-2</v>
      </c>
      <c r="CT623" s="135">
        <v>3.8270792163076606E-2</v>
      </c>
      <c r="CU623" s="139">
        <f t="shared" si="1113"/>
        <v>0.90065499999999998</v>
      </c>
      <c r="CV623" s="335">
        <f t="shared" si="1114"/>
        <v>1.3048868010700074</v>
      </c>
      <c r="CW623" s="335">
        <f t="shared" si="1115"/>
        <v>0.33886768447837151</v>
      </c>
      <c r="CX623" s="335">
        <f t="shared" si="1116"/>
        <v>0.78602506232557801</v>
      </c>
      <c r="CY623" s="335">
        <f t="shared" si="1117"/>
        <v>0.34756768162358759</v>
      </c>
      <c r="CZ623" s="336">
        <f>INDEX('State Tax Lookup'!$D$7:$Z$91,MATCH(Calculation!$C623,'State Tax Lookup'!$B$7:$B$91,0),MATCH($H623,'State Tax Lookup'!$D$6:$Z$6,0))</f>
        <v>0.26849999999999996</v>
      </c>
      <c r="DA623" s="303">
        <v>0.37</v>
      </c>
      <c r="DB623" s="57">
        <f t="shared" si="1121"/>
        <v>14.004738431067455</v>
      </c>
      <c r="DC623" s="56">
        <f t="shared" si="1124"/>
        <v>3.9645256746894564E-2</v>
      </c>
      <c r="DD623" s="303">
        <f>VLOOKUP($H623,RoR!$E:$F,2,FALSE)</f>
        <v>3.9299999999999995E-2</v>
      </c>
      <c r="DE623" s="304">
        <f>HLOOKUP($H623,'GDP-PI'!$D$8:$CQ$11,3,FALSE)</f>
        <v>2.386056741932796E-2</v>
      </c>
      <c r="DF623" s="303">
        <f>VLOOKUP(H623,'HW Dx Data'!$E:$F,2,FALSE)</f>
        <v>755.13671434174842</v>
      </c>
      <c r="DG623" s="89">
        <f ca="1">VLOOKUP(CC623,'ECI - Input Price'!M$13:N$33,2,FALSE)</f>
        <v>144.44999999999999</v>
      </c>
      <c r="DH623" s="89"/>
      <c r="DI623" s="89"/>
      <c r="DJ623" s="56">
        <f t="shared" ca="1" si="1132"/>
        <v>2.80818733619915E-2</v>
      </c>
      <c r="DK623" s="53">
        <f>HLOOKUP(H623,'GDP-PI'!$8:$9,2,FALSE)</f>
        <v>110.322</v>
      </c>
      <c r="DL623" s="355">
        <f t="shared" si="1125"/>
        <v>2.3580352716508712E-2</v>
      </c>
      <c r="EC623"/>
    </row>
    <row r="624" spans="1:133" s="126" customFormat="1" ht="21" customHeight="1" x14ac:dyDescent="0.4">
      <c r="A624" s="233" t="s">
        <v>217</v>
      </c>
      <c r="B624" s="127" t="s">
        <v>217</v>
      </c>
      <c r="C624" s="127">
        <v>4061755</v>
      </c>
      <c r="D624" s="127" t="s">
        <v>218</v>
      </c>
      <c r="E624" s="127" t="s">
        <v>15</v>
      </c>
      <c r="F624" s="127"/>
      <c r="G624" s="127" t="s">
        <v>175</v>
      </c>
      <c r="H624" s="128">
        <v>2019</v>
      </c>
      <c r="I624" s="129"/>
      <c r="J624" s="125">
        <f>IFERROR(INDEX('Labor Expenditures'!$E$7:$W$91,MATCH($C624,'Labor Expenditures'!$C$7:$C$91,0),MATCH($G624,'Labor Expenditures'!$E$5:$W$5,0)),"NA")</f>
        <v>59035.025587897428</v>
      </c>
      <c r="K624" s="125">
        <f t="shared" ca="1" si="1126"/>
        <v>394.42141698946</v>
      </c>
      <c r="L624" s="47"/>
      <c r="M624" s="131">
        <f t="shared" ca="1" si="1133"/>
        <v>-0.12203755601849031</v>
      </c>
      <c r="N624" s="131"/>
      <c r="O624" s="131"/>
      <c r="P624" s="59">
        <f t="shared" ca="1" si="1135"/>
        <v>-2.1843303658974334E-3</v>
      </c>
      <c r="Q624" s="61"/>
      <c r="R624" s="387"/>
      <c r="S624" s="49">
        <f t="shared" ca="1" si="1140"/>
        <v>117.71036073959817</v>
      </c>
      <c r="T624" s="61">
        <f ca="1">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</f>
        <v>1.5018028988911339E-2</v>
      </c>
      <c r="U624" s="61"/>
      <c r="V624" s="125">
        <f>IFERROR(INDEX('Non-Labor Expenditures'!$E$7:$AA$91,MATCH($C624,'Non-Labor Expenditures'!$C$7:$C$91,0),MATCH($G624,'Non-Labor Expenditures'!$E$5:$AA$5,0)),"NA")</f>
        <v>85493.743273103813</v>
      </c>
      <c r="W624" s="125">
        <f t="shared" si="1127"/>
        <v>761.17579794070241</v>
      </c>
      <c r="X624" s="131">
        <f t="shared" si="1136"/>
        <v>-0.10443547757072065</v>
      </c>
      <c r="Y624" s="131">
        <f t="shared" si="1137"/>
        <v>-1.8692736267199744E-3</v>
      </c>
      <c r="Z624" s="131"/>
      <c r="AA624" s="131"/>
      <c r="AB624" s="131"/>
      <c r="AC624" s="125">
        <f t="shared" si="1107"/>
        <v>59394.70361853682</v>
      </c>
      <c r="AD624" s="129"/>
      <c r="AE624" s="133">
        <v>4880.6617853575881</v>
      </c>
      <c r="AF624" s="134">
        <v>5.467272980982147E-2</v>
      </c>
      <c r="AG624" s="59">
        <f t="shared" si="1128"/>
        <v>9.785782984051616E-4</v>
      </c>
      <c r="AH624" s="134"/>
      <c r="AI624" s="134"/>
      <c r="AJ624" s="129">
        <f t="shared" si="1120"/>
        <v>203923.47247953806</v>
      </c>
      <c r="AK624" s="134">
        <f t="shared" si="1138"/>
        <v>-5.4044036600720005E-2</v>
      </c>
      <c r="AL624" s="129"/>
      <c r="AM624" s="129"/>
      <c r="AN624" s="129"/>
      <c r="AO624" s="129"/>
      <c r="AP624" s="133">
        <f t="shared" si="1139"/>
        <v>372.51467323233555</v>
      </c>
      <c r="AQ624" s="134">
        <f>+BB624/Outputs!$B$27</f>
        <v>1.4533888959850073E-2</v>
      </c>
      <c r="AR624" s="93">
        <f t="shared" si="1129"/>
        <v>0.28949598037970387</v>
      </c>
      <c r="AS624" s="93">
        <f t="shared" si="1130"/>
        <v>0.41924424998050364</v>
      </c>
      <c r="AT624" s="93">
        <f t="shared" si="1131"/>
        <v>0.2912597696397925</v>
      </c>
      <c r="AU624" s="93">
        <f t="shared" ca="1" si="1134"/>
        <v>-6.5133716707108796E-2</v>
      </c>
      <c r="AV624" s="132">
        <f t="shared" ca="1" si="1142"/>
        <v>144.21757067496591</v>
      </c>
      <c r="AW624" s="134">
        <f t="shared" ca="1" si="1143"/>
        <v>-6.5133716707108824E-2</v>
      </c>
      <c r="AX624" s="56">
        <f>+AJ624/$AL$24</f>
        <v>1.7898837351073126E-2</v>
      </c>
      <c r="AY624" s="135">
        <f t="shared" ca="1" si="1141"/>
        <v>-1.1658178014114151E-3</v>
      </c>
      <c r="AZ624" s="93"/>
      <c r="BA624" s="93"/>
      <c r="BB624" s="234">
        <v>547424</v>
      </c>
      <c r="BC624" s="411">
        <f t="shared" si="1076"/>
        <v>1.9508638832086676E-2</v>
      </c>
      <c r="BD624" s="92"/>
      <c r="BE624" s="281" t="str">
        <f t="shared" si="1062"/>
        <v>NEW JERSEY NATURAL GAS COMPANY</v>
      </c>
      <c r="BF624" s="290">
        <f t="shared" si="1063"/>
        <v>4061755</v>
      </c>
      <c r="BG624" s="46" t="str">
        <f t="shared" si="1064"/>
        <v>NJ</v>
      </c>
      <c r="BH624" s="46"/>
      <c r="BI624" s="46" t="str">
        <f t="shared" si="1065"/>
        <v>2019 Y</v>
      </c>
      <c r="BJ624" s="129"/>
      <c r="BK624" s="129"/>
      <c r="BL624" s="129">
        <f>INDEX('Dist. Plant Gas Additions'!$E$7:$AD$91,MATCH($C624,'Dist. Plant Gas Additions'!$C$7:$C$91,0),MATCH(Calculation!$G624,'Dist. Plant Gas Additions'!$E$5:$AD$5,0))</f>
        <v>204775</v>
      </c>
      <c r="BM624" s="129">
        <f>INDEX('Gen. Plant Additions'!$E$7:$AD$91,MATCH($C624,'Gen. Plant Additions'!$C$7:$C$91,0),MATCH(Calculation!$G624,'Gen. Plant Additions'!$E$5:$AD$5,0))</f>
        <v>29245</v>
      </c>
      <c r="BN624" s="393">
        <f t="shared" si="1108"/>
        <v>0.94121261071922313</v>
      </c>
      <c r="BO624" s="46">
        <f t="shared" si="1056"/>
        <v>27525.762800483681</v>
      </c>
      <c r="BP624" s="46">
        <f t="shared" si="1057"/>
        <v>-1719.2371995163194</v>
      </c>
      <c r="BQ624" s="129">
        <f>INDEX('Dist Plant Depreciation'!$D$7:$AC$94,MATCH($C624,'Dist Plant Depreciation'!$C$7:$C$94,0),MATCH(Calculation!$G624,'Dist Plant Depreciation'!$D$5:$AC$5,0))</f>
        <v>319038</v>
      </c>
      <c r="BR624" s="129">
        <f>INDEX('Gen. Plant Depreciation'!$D$7:$AC$94,MATCH($C624,'Gen. Plant Depreciation'!$C$7:$C$94,0),MATCH(Calculation!$G624,'Gen. Plant Depreciation'!$D$5:$AC$5,0))</f>
        <v>64304</v>
      </c>
      <c r="BS624" s="129"/>
      <c r="BT624" s="129"/>
      <c r="BU624" s="129"/>
      <c r="BV624" s="129"/>
      <c r="BW624" s="129"/>
      <c r="BX624" s="129"/>
      <c r="BY624" s="129">
        <f>INDEX('Gross Dx Plant'!$D$7:$AC$91,MATCH($C624,'Gross Dx Plant'!$C$7:$C$91,0),MATCH(Calculation!$G624,'Gross Dx Plant'!$D$5:$AC$5,0))</f>
        <v>2020663</v>
      </c>
      <c r="BZ624" s="129">
        <f>INDEX('Gross Gen Plant'!$D$7:$AC$91,MATCH($C624,'Gross Gen Plant'!$C$7:$C$91,0),MATCH(Calculation!$G624,'Gross Gen Plant'!$D$5:$AC$5,0))</f>
        <v>126209</v>
      </c>
      <c r="CA624" s="129">
        <f t="shared" si="1077"/>
        <v>1763530</v>
      </c>
      <c r="CB624" s="129"/>
      <c r="CC624" s="133">
        <v>2019</v>
      </c>
      <c r="CD624" s="129"/>
      <c r="CE624" s="129"/>
      <c r="CF624" s="129"/>
      <c r="CG624" s="137"/>
      <c r="CH624" s="129">
        <f t="shared" si="1109"/>
        <v>234020</v>
      </c>
      <c r="CI624" s="46">
        <f t="shared" si="1118"/>
        <v>232300.76280048367</v>
      </c>
      <c r="CJ624" s="46">
        <f t="shared" si="1110"/>
        <v>300.30893507195316</v>
      </c>
      <c r="CK624" s="443">
        <v>0.7407407407407407</v>
      </c>
      <c r="CL624" s="46">
        <f>CL603*CK624+CJ604*CK623+CJ605*CK622+CJ606*CK621+CJ607*CK620+CJ608*CK619+CJ609*CK618+CJ610*CK617+CJ611*CK616+CJ612*CK615+CJ613*CK614+CJ614*CK613+CJ615*CK612+CJ616*CK611+CJ617*CK610+CJ618*CK609+CJ619*CK608+CJ620*CK607+CJ621*CK606+CJ622*CK605+CJ623*CK604+CJ624</f>
        <v>4461.5130610974693</v>
      </c>
      <c r="CM624" s="134">
        <f t="shared" si="1111"/>
        <v>5.3104546791859546E-2</v>
      </c>
      <c r="CN624" s="135">
        <f t="shared" si="1112"/>
        <v>1.6442253243460821E-2</v>
      </c>
      <c r="CO624" s="135">
        <f t="shared" si="1122"/>
        <v>1.6112311820202219E-2</v>
      </c>
      <c r="CP624" s="134">
        <f>VLOOKUP($H624,RoR!$E:$F,2,FALSE)</f>
        <v>3.3875000000000009E-2</v>
      </c>
      <c r="CQ624" s="135">
        <v>1.8092492884465461E-2</v>
      </c>
      <c r="CR624" s="135">
        <f t="shared" si="1119"/>
        <v>1.5782507115534548E-2</v>
      </c>
      <c r="CS624" s="135">
        <f t="shared" si="1123"/>
        <v>1.4789629788331406E-2</v>
      </c>
      <c r="CT624" s="135">
        <v>4.8445665544254078E-2</v>
      </c>
      <c r="CU624" s="139">
        <f t="shared" si="1113"/>
        <v>0.90065499999999998</v>
      </c>
      <c r="CV624" s="335">
        <f t="shared" si="1114"/>
        <v>1.513861292459078</v>
      </c>
      <c r="CW624" s="335">
        <f t="shared" si="1115"/>
        <v>0.23699261992619944</v>
      </c>
      <c r="CX624" s="335">
        <f t="shared" si="1116"/>
        <v>0.73619765810468829</v>
      </c>
      <c r="CY624" s="335">
        <f t="shared" si="1117"/>
        <v>0.26412854465362851</v>
      </c>
      <c r="CZ624" s="336">
        <f>INDEX('State Tax Lookup'!$D$7:$Z$91,MATCH(Calculation!$C624,'State Tax Lookup'!$B$7:$B$91,0),MATCH($H624,'State Tax Lookup'!$D$6:$Z$6,0))</f>
        <v>0.26849999999999996</v>
      </c>
      <c r="DA624" s="303">
        <v>0.37</v>
      </c>
      <c r="DB624" s="57">
        <f t="shared" si="1121"/>
        <v>14.038753949837433</v>
      </c>
      <c r="DC624" s="56">
        <f t="shared" si="1124"/>
        <v>2.425912934800282E-3</v>
      </c>
      <c r="DD624" s="303">
        <f>VLOOKUP($H624,RoR!$E:$F,2,FALSE)</f>
        <v>3.3875000000000009E-2</v>
      </c>
      <c r="DE624" s="304">
        <f>HLOOKUP($H624,'GDP-PI'!$D$8:$CQ$11,3,FALSE)</f>
        <v>1.8092492884465461E-2</v>
      </c>
      <c r="DF624" s="303">
        <f>VLOOKUP(H624,'HW Dx Data'!$E:$F,2,FALSE)</f>
        <v>773.53929793938721</v>
      </c>
      <c r="DG624" s="89">
        <f ca="1">VLOOKUP(CC624,'ECI - Input Price'!M$13:N$33,2,FALSE)</f>
        <v>149.67500000000001</v>
      </c>
      <c r="DH624" s="89"/>
      <c r="DI624" s="89"/>
      <c r="DJ624" s="56">
        <f t="shared" ca="1" si="1132"/>
        <v>3.5532849899171604E-2</v>
      </c>
      <c r="DK624" s="53">
        <f>HLOOKUP(H624,'GDP-PI'!$8:$9,2,FALSE)</f>
        <v>112.318</v>
      </c>
      <c r="DL624" s="355">
        <f t="shared" si="1125"/>
        <v>1.7930771451401852E-2</v>
      </c>
      <c r="EC624"/>
    </row>
    <row r="625" spans="1:133" s="126" customFormat="1" ht="21" customHeight="1" x14ac:dyDescent="0.4">
      <c r="A625" s="233" t="s">
        <v>217</v>
      </c>
      <c r="B625" s="126" t="s">
        <v>217</v>
      </c>
      <c r="C625" s="126">
        <v>4061755</v>
      </c>
      <c r="D625" s="126" t="s">
        <v>218</v>
      </c>
      <c r="E625" s="126" t="s">
        <v>15</v>
      </c>
      <c r="G625" s="127" t="s">
        <v>176</v>
      </c>
      <c r="H625" s="128">
        <v>2020</v>
      </c>
      <c r="I625" s="129"/>
      <c r="J625" s="125">
        <f>IFERROR(INDEX('Labor Expenditures'!$E$7:$W$91,MATCH($C625,'Labor Expenditures'!$C$7:$C$91,0),MATCH($G625,'Labor Expenditures'!$E$5:$W$5,0)),"NA")</f>
        <v>56772.532396469564</v>
      </c>
      <c r="K625" s="125">
        <f t="shared" ca="1" si="1126"/>
        <v>370.69887297727433</v>
      </c>
      <c r="L625" s="47"/>
      <c r="M625" s="131">
        <f t="shared" ca="1" si="1133"/>
        <v>-6.2029854069220958E-2</v>
      </c>
      <c r="N625" s="131"/>
      <c r="O625" s="131"/>
      <c r="P625" s="59">
        <f t="shared" ca="1" si="1135"/>
        <v>-1.0883302737189451E-3</v>
      </c>
      <c r="Q625" s="61"/>
      <c r="R625" s="387"/>
      <c r="S625" s="49">
        <f t="shared" ca="1" si="1140"/>
        <v>117.94130617279822</v>
      </c>
      <c r="T625" s="61">
        <f ca="1">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</f>
        <v>1.9600583366434681E-3</v>
      </c>
      <c r="U625" s="61"/>
      <c r="V625" s="125">
        <f>IFERROR(INDEX('Non-Labor Expenditures'!$E$7:$AA$91,MATCH($C625,'Non-Labor Expenditures'!$C$7:$C$91,0),MATCH($G625,'Non-Labor Expenditures'!$E$5:$AA$5,0)),"NA")</f>
        <v>82217.230556477967</v>
      </c>
      <c r="W625" s="125">
        <f t="shared" si="1127"/>
        <v>723.59672387173339</v>
      </c>
      <c r="X625" s="131">
        <f t="shared" si="1136"/>
        <v>-5.0630114333245158E-2</v>
      </c>
      <c r="Y625" s="131">
        <f t="shared" si="1137"/>
        <v>-8.8831881063643821E-4</v>
      </c>
      <c r="Z625" s="131"/>
      <c r="AA625" s="131"/>
      <c r="AB625" s="131"/>
      <c r="AC625" s="125">
        <f t="shared" si="1107"/>
        <v>64572.088915171247</v>
      </c>
      <c r="AD625" s="129"/>
      <c r="AE625" s="133">
        <v>5043.9929147943221</v>
      </c>
      <c r="AF625" s="134">
        <v>3.2917190997517345E-2</v>
      </c>
      <c r="AG625" s="59">
        <f t="shared" si="1128"/>
        <v>5.7754086360430436E-4</v>
      </c>
      <c r="AH625" s="134"/>
      <c r="AI625" s="134"/>
      <c r="AJ625" s="129">
        <f t="shared" si="1120"/>
        <v>203561.85186811877</v>
      </c>
      <c r="AK625" s="134">
        <f t="shared" si="1138"/>
        <v>-1.7748894732865777E-3</v>
      </c>
      <c r="AL625" s="129"/>
      <c r="AM625" s="129"/>
      <c r="AN625" s="129"/>
      <c r="AO625" s="129"/>
      <c r="AP625" s="133">
        <f t="shared" si="1139"/>
        <v>366.26533999809055</v>
      </c>
      <c r="AQ625" s="134">
        <f>+BB625/Outputs!$B$28</f>
        <v>1.4651459695601351E-2</v>
      </c>
      <c r="AR625" s="93">
        <f t="shared" si="1129"/>
        <v>0.27889573549984542</v>
      </c>
      <c r="AS625" s="93">
        <f t="shared" si="1130"/>
        <v>0.40389311554182505</v>
      </c>
      <c r="AT625" s="93">
        <f t="shared" si="1131"/>
        <v>0.31721114895832958</v>
      </c>
      <c r="AU625" s="93">
        <f t="shared" ca="1" si="1134"/>
        <v>-2.8451820337297516E-2</v>
      </c>
      <c r="AV625" s="132">
        <f t="shared" ca="1" si="1142"/>
        <v>140.17214107897266</v>
      </c>
      <c r="AW625" s="134">
        <f t="shared" ca="1" si="1143"/>
        <v>-2.8451820337297457E-2</v>
      </c>
      <c r="AX625" s="56">
        <f>+AJ625/$AL$25</f>
        <v>1.7545265744208345E-2</v>
      </c>
      <c r="AY625" s="135">
        <f t="shared" ca="1" si="1141"/>
        <v>-4.9919474872435541E-4</v>
      </c>
      <c r="AZ625" s="93"/>
      <c r="BA625" s="93"/>
      <c r="BB625" s="234">
        <v>555777</v>
      </c>
      <c r="BC625" s="411">
        <f t="shared" si="1076"/>
        <v>1.5143495390260497E-2</v>
      </c>
      <c r="BD625" s="92"/>
      <c r="BE625" s="281" t="str">
        <f t="shared" si="1062"/>
        <v>NEW JERSEY NATURAL GAS COMPANY</v>
      </c>
      <c r="BF625" s="290">
        <f t="shared" si="1063"/>
        <v>4061755</v>
      </c>
      <c r="BG625" s="46" t="str">
        <f t="shared" si="1064"/>
        <v>NJ</v>
      </c>
      <c r="BH625" s="46"/>
      <c r="BI625" s="46" t="str">
        <f t="shared" si="1065"/>
        <v>2020 Y</v>
      </c>
      <c r="BJ625" s="129"/>
      <c r="BK625" s="129"/>
      <c r="BL625" s="129">
        <f>INDEX('Dist. Plant Gas Additions'!$E$7:$AD$91,MATCH($C625,'Dist. Plant Gas Additions'!$C$7:$C$91,0),MATCH(Calculation!$G625,'Dist. Plant Gas Additions'!$E$5:$AD$5,0))</f>
        <v>143086</v>
      </c>
      <c r="BM625" s="129">
        <f>INDEX('Gen. Plant Additions'!$E$7:$AD$91,MATCH($C625,'Gen. Plant Additions'!$C$7:$C$91,0),MATCH(Calculation!$G625,'Gen. Plant Additions'!$E$5:$AD$5,0))</f>
        <v>27196</v>
      </c>
      <c r="BN625" s="393">
        <f t="shared" si="1108"/>
        <v>0.93353460183325332</v>
      </c>
      <c r="BO625" s="46">
        <f t="shared" si="1056"/>
        <v>25388.407031457158</v>
      </c>
      <c r="BP625" s="46">
        <f t="shared" si="1057"/>
        <v>-1807.5929685428418</v>
      </c>
      <c r="BQ625" s="129">
        <f>INDEX('Dist Plant Depreciation'!$D$7:$AC$94,MATCH($C625,'Dist Plant Depreciation'!$C$7:$C$94,0),MATCH(Calculation!$G625,'Dist Plant Depreciation'!$D$5:$AC$5,0))</f>
        <v>325629</v>
      </c>
      <c r="BR625" s="129">
        <f>INDEX('Gen. Plant Depreciation'!$D$7:$AC$94,MATCH($C625,'Gen. Plant Depreciation'!$C$7:$C$94,0),MATCH(Calculation!$G625,'Gen. Plant Depreciation'!$D$5:$AC$5,0))</f>
        <v>71238</v>
      </c>
      <c r="BS625" s="129"/>
      <c r="BT625" s="129"/>
      <c r="BU625" s="129"/>
      <c r="BV625" s="129"/>
      <c r="BW625" s="129"/>
      <c r="BX625" s="129"/>
      <c r="BY625" s="129">
        <f>INDEX('Gross Dx Plant'!$D$7:$AC$91,MATCH($C625,'Gross Dx Plant'!$C$7:$C$91,0),MATCH(Calculation!$G625,'Gross Dx Plant'!$D$5:$AC$5,0))</f>
        <v>2154624</v>
      </c>
      <c r="BZ625" s="129">
        <f>INDEX('Gross Gen Plant'!$D$7:$AC$91,MATCH($C625,'Gross Gen Plant'!$C$7:$C$91,0),MATCH(Calculation!$G625,'Gross Gen Plant'!$D$5:$AC$5,0))</f>
        <v>153404</v>
      </c>
      <c r="CA625" s="129">
        <f t="shared" si="1077"/>
        <v>1911161</v>
      </c>
      <c r="CB625" s="129"/>
      <c r="CC625" s="133">
        <v>2020</v>
      </c>
      <c r="CD625" s="129"/>
      <c r="CE625" s="129"/>
      <c r="CF625" s="129"/>
      <c r="CG625" s="137"/>
      <c r="CH625" s="129">
        <f t="shared" si="1109"/>
        <v>170282</v>
      </c>
      <c r="CI625" s="46">
        <f t="shared" si="1118"/>
        <v>168474.40703145717</v>
      </c>
      <c r="CJ625" s="46">
        <f t="shared" si="1110"/>
        <v>207.20516230770443</v>
      </c>
      <c r="CK625" s="443">
        <v>0.72499999999999998</v>
      </c>
      <c r="CL625" s="46">
        <f>CL603*CK625+CJ604*CK624+CJ605*CK623+CJ606*CK622+CJ607*CK621+CJ608*CK620+CJ609*CK619+CJ610*CK618+CJ611*CK617+CJ612*CK616+CJ613*CK615+CJ614*CK614+CJ615*CK613+CJ616*CK612+CJ617*CK611+CJ618*CK610+CJ619*CK609+CJ620*CK608+CJ621*CK607+CJ622*CK606+CJ623*CK605+CJ624*CK604+CJ625</f>
        <v>4594.5284769378904</v>
      </c>
      <c r="CM625" s="134">
        <f t="shared" si="1111"/>
        <v>2.9378174122592797E-2</v>
      </c>
      <c r="CN625" s="135">
        <f t="shared" si="1112"/>
        <v>1.6628830948448158E-2</v>
      </c>
      <c r="CO625" s="135">
        <f t="shared" si="1122"/>
        <v>1.6385126123623622E-2</v>
      </c>
      <c r="CP625" s="134">
        <f>VLOOKUP($H625,RoR!$E:$F,2,FALSE)</f>
        <v>2.4766666666666666E-2</v>
      </c>
      <c r="CQ625" s="135">
        <v>1.1618796630994188E-2</v>
      </c>
      <c r="CR625" s="135">
        <f t="shared" si="1119"/>
        <v>1.3147870035672478E-2</v>
      </c>
      <c r="CS625" s="135">
        <f t="shared" si="1123"/>
        <v>1.4516815484910003E-2</v>
      </c>
      <c r="CT625" s="135">
        <v>4.5144642961987357E-2</v>
      </c>
      <c r="CU625" s="139">
        <f t="shared" si="1113"/>
        <v>0.90065499999999998</v>
      </c>
      <c r="CV625" s="335">
        <f t="shared" si="1114"/>
        <v>2.0706077233668081</v>
      </c>
      <c r="CW625" s="335">
        <f t="shared" si="1115"/>
        <v>-3.4421265141318998E-2</v>
      </c>
      <c r="CX625" s="335">
        <f t="shared" si="1116"/>
        <v>0.62416226176410472</v>
      </c>
      <c r="CY625" s="335">
        <f t="shared" si="1117"/>
        <v>-4.4485877841158712E-2</v>
      </c>
      <c r="CZ625" s="336">
        <f>INDEX('State Tax Lookup'!$D$7:$Z$91,MATCH(Calculation!$C625,'State Tax Lookup'!$B$7:$B$91,0),MATCH($H625,'State Tax Lookup'!$D$6:$Z$6,0))</f>
        <v>0.26849999999999996</v>
      </c>
      <c r="DA625" s="303">
        <v>0.37</v>
      </c>
      <c r="DB625" s="57">
        <f t="shared" si="1121"/>
        <v>14.473136810516795</v>
      </c>
      <c r="DC625" s="56">
        <f t="shared" si="1124"/>
        <v>3.0472652773057763E-2</v>
      </c>
      <c r="DD625" s="303">
        <f>VLOOKUP($H625,RoR!$E:$F,2,FALSE)</f>
        <v>2.4766666666666666E-2</v>
      </c>
      <c r="DE625" s="304">
        <f>HLOOKUP($H625,'GDP-PI'!$D$8:$CQ$11,3,FALSE)</f>
        <v>1.1618796630994188E-2</v>
      </c>
      <c r="DF625" s="303">
        <f>VLOOKUP(H625,'HW Dx Data'!$E:$F,2,FALSE)</f>
        <v>813.080162458833</v>
      </c>
      <c r="DG625" s="89">
        <f ca="1">VLOOKUP(CC625,'ECI - Input Price'!M$13:N$33,2,FALSE)</f>
        <v>153.15</v>
      </c>
      <c r="DH625" s="89"/>
      <c r="DI625" s="89"/>
      <c r="DJ625" s="56">
        <f t="shared" ca="1" si="1132"/>
        <v>2.2951556467368479E-2</v>
      </c>
      <c r="DK625" s="53">
        <f>HLOOKUP(H625,'GDP-PI'!$8:$9,2,FALSE)</f>
        <v>113.623</v>
      </c>
      <c r="DL625" s="355">
        <f t="shared" si="1125"/>
        <v>1.1551816731392881E-2</v>
      </c>
      <c r="EC625"/>
    </row>
    <row r="626" spans="1:133" s="126" customFormat="1" ht="21" customHeight="1" x14ac:dyDescent="0.4">
      <c r="A626" s="233" t="s">
        <v>217</v>
      </c>
      <c r="B626" s="126" t="s">
        <v>217</v>
      </c>
      <c r="C626" s="126">
        <v>4061755</v>
      </c>
      <c r="D626" s="126" t="s">
        <v>218</v>
      </c>
      <c r="E626" s="126" t="s">
        <v>15</v>
      </c>
      <c r="G626" s="127" t="s">
        <v>177</v>
      </c>
      <c r="H626" s="128">
        <v>2021</v>
      </c>
      <c r="I626" s="129"/>
      <c r="J626" s="125">
        <v>65881.418031203386</v>
      </c>
      <c r="K626" s="125">
        <f t="shared" ca="1" si="1126"/>
        <v>418.9597331078117</v>
      </c>
      <c r="L626" s="47"/>
      <c r="M626" s="130">
        <f t="shared" ca="1" si="1133"/>
        <v>0.12238474303948504</v>
      </c>
      <c r="N626" s="130"/>
      <c r="O626" s="130"/>
      <c r="P626" s="59">
        <f t="shared" ca="1" si="1135"/>
        <v>2.1221908865290064E-3</v>
      </c>
      <c r="Q626" s="61"/>
      <c r="R626" s="387"/>
      <c r="S626" s="132">
        <f ca="1">+S625*EXP(T626)</f>
        <v>122.68892820827625</v>
      </c>
      <c r="T626" s="134">
        <f ca="1">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</f>
        <v>3.946501759076447E-2</v>
      </c>
      <c r="U626" s="134"/>
      <c r="V626" s="125">
        <v>92868.986863262602</v>
      </c>
      <c r="W626" s="125">
        <f t="shared" si="1127"/>
        <v>783.77067147660227</v>
      </c>
      <c r="X626" s="131">
        <f t="shared" si="1136"/>
        <v>7.9882240718632633E-2</v>
      </c>
      <c r="Y626" s="131">
        <f t="shared" si="1137"/>
        <v>1.3851837985548938E-3</v>
      </c>
      <c r="Z626" s="131"/>
      <c r="AA626" s="131"/>
      <c r="AB626" s="131"/>
      <c r="AC626" s="125">
        <f t="shared" si="1107"/>
        <v>63989.071174304074</v>
      </c>
      <c r="AD626" s="129"/>
      <c r="AE626" s="133">
        <v>5312.745940947415</v>
      </c>
      <c r="AF626" s="134"/>
      <c r="AG626" s="59">
        <f t="shared" si="1128"/>
        <v>0</v>
      </c>
      <c r="AH626" s="134"/>
      <c r="AI626" s="134"/>
      <c r="AJ626" s="129">
        <f t="shared" si="1120"/>
        <v>222739.47606877005</v>
      </c>
      <c r="AK626" s="134">
        <f t="shared" si="1138"/>
        <v>9.003292066629752E-2</v>
      </c>
      <c r="AL626" s="129"/>
      <c r="AM626" s="134"/>
      <c r="AN626" s="134"/>
      <c r="AO626" s="134"/>
      <c r="AP626" s="133">
        <f t="shared" si="1139"/>
        <v>391.63811116677635</v>
      </c>
      <c r="AQ626" s="134">
        <f>+BB626/Outputs!$B$29</f>
        <v>1.473174998887597E-2</v>
      </c>
      <c r="AR626" s="93">
        <f t="shared" si="1129"/>
        <v>0.29577791594904679</v>
      </c>
      <c r="AS626" s="93">
        <f t="shared" si="1130"/>
        <v>0.41693995380769244</v>
      </c>
      <c r="AT626" s="93">
        <f t="shared" si="1131"/>
        <v>0.28728213024326082</v>
      </c>
      <c r="AU626" s="93">
        <f t="shared" ca="1" si="1134"/>
        <v>6.7950635999863743E-2</v>
      </c>
      <c r="AV626" s="132">
        <f t="shared" ca="1" si="1142"/>
        <v>150.02799086156608</v>
      </c>
      <c r="AW626" s="134">
        <f t="shared" ca="1" si="1143"/>
        <v>6.7950635999863784E-2</v>
      </c>
      <c r="AX626" s="56">
        <f>+AJ626/$AL$26</f>
        <v>1.7340322280566648E-2</v>
      </c>
      <c r="AY626" s="135">
        <f t="shared" ca="1" si="1141"/>
        <v>1.1782859274071121E-3</v>
      </c>
      <c r="AZ626" s="93"/>
      <c r="BA626" s="93"/>
      <c r="BB626" s="234">
        <v>568738</v>
      </c>
      <c r="BC626" s="411">
        <f t="shared" si="1076"/>
        <v>2.3052736481334369E-2</v>
      </c>
      <c r="BD626" s="91"/>
      <c r="BE626" s="281" t="str">
        <f t="shared" si="1062"/>
        <v>NEW JERSEY NATURAL GAS COMPANY</v>
      </c>
      <c r="BF626" s="290">
        <f t="shared" si="1063"/>
        <v>4061755</v>
      </c>
      <c r="BG626" s="46" t="str">
        <f t="shared" si="1064"/>
        <v>NJ</v>
      </c>
      <c r="BH626" s="46"/>
      <c r="BI626" s="46" t="str">
        <f t="shared" si="1065"/>
        <v>2021 Y</v>
      </c>
      <c r="BJ626" s="129"/>
      <c r="BK626" s="129"/>
      <c r="BL626" s="129">
        <f>INDEX('Dist. Plant Gas Additions'!$D$7:$AD$91,MATCH($C626,'Dist. Plant Gas Additions'!$C$7:$C$91,0),MATCH(Calculation!$G626,'Dist. Plant Gas Additions'!$D$5:$AD$5,0))</f>
        <v>270229.40100000001</v>
      </c>
      <c r="BM626" s="129">
        <f>INDEX('Gen. Plant Additions'!$D$7:$AD$91,MATCH($C626,'Gen. Plant Additions'!$C$7:$C$91,0),MATCH(Calculation!$G626,'Gen. Plant Additions'!$D$5:$AD$5,0))</f>
        <v>53597.341999999997</v>
      </c>
      <c r="BN626" s="343">
        <v>0.93353460183325332</v>
      </c>
      <c r="BO626" s="46">
        <f t="shared" si="1056"/>
        <v>50034.973323290702</v>
      </c>
      <c r="BP626" s="46">
        <f t="shared" si="1057"/>
        <v>-3562.368676709295</v>
      </c>
      <c r="BQ626" s="129"/>
      <c r="BR626" s="129"/>
      <c r="BS626" s="137"/>
      <c r="BT626" s="137"/>
      <c r="BU626" s="333"/>
      <c r="BV626" s="93"/>
      <c r="BW626" s="334"/>
      <c r="BX626" s="334"/>
      <c r="BY626" s="129"/>
      <c r="BZ626" s="129"/>
      <c r="CA626" s="129"/>
      <c r="CB626" s="129"/>
      <c r="CC626" s="133">
        <v>2021</v>
      </c>
      <c r="CD626" s="129"/>
      <c r="CE626" s="129"/>
      <c r="CF626" s="129"/>
      <c r="CG626" s="137"/>
      <c r="CH626" s="129">
        <f t="shared" si="1109"/>
        <v>323826.74300000002</v>
      </c>
      <c r="CI626" s="46">
        <f t="shared" si="1118"/>
        <v>320264.37432329071</v>
      </c>
      <c r="CJ626" s="46">
        <f t="shared" si="1110"/>
        <v>343.25471742877329</v>
      </c>
      <c r="CK626" s="443">
        <v>0.70886075949367089</v>
      </c>
      <c r="CL626" s="129">
        <f>CL603*CK626+CJ604*CK625+CJ605*CK624+CJ606*CK623+CJ607*CK622+CJ608*CK621+CJ609*CK620+CJ610*CK619+CJ611*CK618+CJ612*CK617+CJ613*CK616+CJ614*CK615+CJ615*CK614+CJ616*CK613+CJ617*CK612+CJ608*CK611+CJ619*CK610+CJ620*CK609+CJ621*CK608+CJ622*CK607+CJ623*CK606+CJ624*CK605+CJ626+CJ625*CK604</f>
        <v>4831.5621297578455</v>
      </c>
      <c r="CM626" s="134"/>
      <c r="CN626" s="135">
        <f t="shared" si="1112"/>
        <v>2.3119034987375088E-2</v>
      </c>
      <c r="CO626" s="135">
        <f t="shared" si="1122"/>
        <v>1.8730039726428022E-2</v>
      </c>
      <c r="CP626" s="134">
        <f>VLOOKUP($H626,RoR!$E:$F,2,FALSE)</f>
        <v>2.7033333333333336E-2</v>
      </c>
      <c r="CQ626" s="135"/>
      <c r="CR626" s="135"/>
      <c r="CS626" s="135">
        <f t="shared" si="1123"/>
        <v>1.2171901882105603E-2</v>
      </c>
      <c r="CT626" s="135">
        <v>7.433422950153494E-2</v>
      </c>
      <c r="CU626" s="139">
        <f t="shared" si="1113"/>
        <v>0.90065499999999998</v>
      </c>
      <c r="CV626" s="335">
        <f t="shared" si="1114"/>
        <v>1.8969932656739068</v>
      </c>
      <c r="CW626" s="335">
        <f t="shared" si="1115"/>
        <v>5.0215782983970621E-2</v>
      </c>
      <c r="CX626" s="335">
        <f t="shared" si="1116"/>
        <v>0.655952481704143</v>
      </c>
      <c r="CY626" s="335">
        <f t="shared" si="1117"/>
        <v>6.2485378865697057E-2</v>
      </c>
      <c r="CZ626" s="336">
        <f>CZ625</f>
        <v>0.26849999999999996</v>
      </c>
      <c r="DA626" s="303">
        <v>0.37</v>
      </c>
      <c r="DB626" s="141">
        <f t="shared" si="1121"/>
        <v>13.927233555194066</v>
      </c>
      <c r="DC626" s="135">
        <f t="shared" si="1124"/>
        <v>-3.8448125533077783E-2</v>
      </c>
      <c r="DD626" s="336">
        <f>VLOOKUP($H626,RoR!$E:$F,2,FALSE)</f>
        <v>2.7033333333333336E-2</v>
      </c>
      <c r="DE626" s="342">
        <f>HLOOKUP($H626,'GDP-PI'!$D$8:$CR$11,3,FALSE)</f>
        <v>4.2834637353352578E-2</v>
      </c>
      <c r="DF626" s="336">
        <f>VLOOKUP(H626,'HW Dx Data'!$E:$F,2,FALSE)</f>
        <v>933.02249921662576</v>
      </c>
      <c r="DG626" s="89">
        <f ca="1">VLOOKUP(CC626,'ECI - Input Price'!M$13:N$33,2,FALSE)</f>
        <v>157.25</v>
      </c>
      <c r="DH626" s="89"/>
      <c r="DI626" s="89"/>
      <c r="DJ626" s="135">
        <f t="shared" ca="1" si="1132"/>
        <v>2.6419062301765574E-2</v>
      </c>
      <c r="DK626" s="137">
        <f>HLOOKUP(H626,'GDP-PI'!$8:$9,2,FALSE)</f>
        <v>118.49</v>
      </c>
      <c r="DL626" s="356">
        <f t="shared" si="1125"/>
        <v>4.194261824609434E-2</v>
      </c>
      <c r="EC626"/>
    </row>
    <row r="627" spans="1:133" s="126" customFormat="1" ht="21" customHeight="1" thickBot="1" x14ac:dyDescent="0.45">
      <c r="A627" s="235"/>
      <c r="B627" s="236"/>
      <c r="C627" s="236"/>
      <c r="D627" s="236"/>
      <c r="E627" s="236"/>
      <c r="F627" s="236"/>
      <c r="G627" s="237" t="s">
        <v>178</v>
      </c>
      <c r="H627" s="238"/>
      <c r="I627" s="239"/>
      <c r="J627" s="240">
        <v>68603.946555376329</v>
      </c>
      <c r="K627" s="240">
        <f t="shared" ca="1" si="1126"/>
        <v>422.04827164181069</v>
      </c>
      <c r="L627" s="47"/>
      <c r="M627" s="241">
        <f t="shared" ref="M627" ca="1" si="1144">LN(K627/K626)</f>
        <v>7.3448823350133049E-3</v>
      </c>
      <c r="N627" s="241"/>
      <c r="O627" s="241"/>
      <c r="P627" s="242">
        <f t="shared" ca="1" si="1135"/>
        <v>1.3866096075315214E-4</v>
      </c>
      <c r="Q627" s="61"/>
      <c r="R627" s="387"/>
      <c r="S627" s="206">
        <f ca="1">+S626*EXP(T627)</f>
        <v>121.37884101393789</v>
      </c>
      <c r="T627" s="243">
        <f ca="1">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</f>
        <v>-1.0735541042440557E-2</v>
      </c>
      <c r="U627" s="243"/>
      <c r="V627" s="239">
        <v>96706.768035891946</v>
      </c>
      <c r="W627" s="240">
        <f t="shared" si="1127"/>
        <v>759.9746014608404</v>
      </c>
      <c r="X627" s="244">
        <f t="shared" ref="X627" si="1145">LN(W627/W626)</f>
        <v>-3.0831453097605505E-2</v>
      </c>
      <c r="Y627" s="244">
        <f t="shared" si="1137"/>
        <v>-5.8205410419580046E-4</v>
      </c>
      <c r="Z627" s="206"/>
      <c r="AA627" s="243"/>
      <c r="AB627" s="243"/>
      <c r="AC627" s="240">
        <f t="shared" si="1107"/>
        <v>84502.420517878985</v>
      </c>
      <c r="AD627" s="243"/>
      <c r="AE627" s="245">
        <v>5603.3832095860889</v>
      </c>
      <c r="AF627" s="243">
        <v>5.3261731942649188E-2</v>
      </c>
      <c r="AG627" s="242">
        <f t="shared" si="1128"/>
        <v>1.0055059544437496E-3</v>
      </c>
      <c r="AH627" s="206"/>
      <c r="AI627" s="243"/>
      <c r="AJ627" s="239">
        <f t="shared" si="1120"/>
        <v>249813.13510914726</v>
      </c>
      <c r="AK627" s="243">
        <f t="shared" si="1138"/>
        <v>0.11471035905935512</v>
      </c>
      <c r="AL627" s="239"/>
      <c r="AM627" s="243"/>
      <c r="AN627" s="243"/>
      <c r="AO627" s="243"/>
      <c r="AP627" s="245">
        <f t="shared" si="1139"/>
        <v>438.91008282129366</v>
      </c>
      <c r="AQ627" s="243"/>
      <c r="AR627" s="207">
        <f t="shared" si="1129"/>
        <v>0.27462105435489687</v>
      </c>
      <c r="AS627" s="207">
        <f t="shared" si="1130"/>
        <v>0.38711642601834867</v>
      </c>
      <c r="AT627" s="207">
        <f t="shared" si="1131"/>
        <v>0.33826251962675447</v>
      </c>
      <c r="AU627" s="207"/>
      <c r="AV627" s="206"/>
      <c r="AW627" s="243"/>
      <c r="AX627" s="248">
        <f>+AJ627/$AL$27</f>
        <v>1.8878581633929057E-2</v>
      </c>
      <c r="AY627" s="249"/>
      <c r="AZ627" s="206"/>
      <c r="BA627" s="243"/>
      <c r="BB627" s="250">
        <v>569167</v>
      </c>
      <c r="BC627" s="412">
        <f t="shared" si="1076"/>
        <v>7.5401728672506378E-4</v>
      </c>
      <c r="BD627" s="91"/>
      <c r="BE627" s="401">
        <f t="shared" si="1062"/>
        <v>0</v>
      </c>
      <c r="BF627" s="402">
        <f t="shared" si="1063"/>
        <v>0</v>
      </c>
      <c r="BG627" s="313">
        <f t="shared" si="1064"/>
        <v>0</v>
      </c>
      <c r="BH627" s="313"/>
      <c r="BI627" s="313" t="str">
        <f t="shared" si="1065"/>
        <v>2022Y</v>
      </c>
      <c r="BJ627" s="239"/>
      <c r="BK627" s="239"/>
      <c r="BL627" s="239"/>
      <c r="BM627" s="239"/>
      <c r="BN627" s="337">
        <v>0.93353460183325332</v>
      </c>
      <c r="BO627" s="313">
        <f t="shared" si="1056"/>
        <v>0</v>
      </c>
      <c r="BP627" s="313">
        <f t="shared" si="1057"/>
        <v>0</v>
      </c>
      <c r="BQ627" s="239"/>
      <c r="BR627" s="239"/>
      <c r="BS627" s="310"/>
      <c r="BT627" s="310"/>
      <c r="BU627" s="311"/>
      <c r="BV627" s="207"/>
      <c r="BW627" s="312"/>
      <c r="BX627" s="312"/>
      <c r="BY627" s="239"/>
      <c r="BZ627" s="239"/>
      <c r="CA627" s="239"/>
      <c r="CB627" s="239"/>
      <c r="CC627" s="245">
        <v>2022</v>
      </c>
      <c r="CD627" s="239"/>
      <c r="CE627" s="239"/>
      <c r="CF627" s="239"/>
      <c r="CG627" s="310"/>
      <c r="CH627" s="239">
        <v>238046</v>
      </c>
      <c r="CI627" s="313">
        <f t="shared" si="1118"/>
        <v>238046</v>
      </c>
      <c r="CJ627" s="313">
        <f t="shared" si="1110"/>
        <v>230.93101541506195</v>
      </c>
      <c r="CK627" s="443">
        <v>0.69230769230769229</v>
      </c>
      <c r="CL627" s="239">
        <f>+CL603*CK627+CJ604*CK626+CJ605*CK625+CJ606*CK624+CJ607*CK623+CJ608*CK622+CJ609*CK621+CJ610*CK620+CJ611*CK619+CJ612*CK618+CJ613*CK617+CJ614*CK616+CJ615*CK615+CJ616*CK614+CJ617*CK613+CJ618*CK612+CJ619*CK611+CJ620*CK610+CJ621*CK609+CJ622*CK608+CJ623*CK607+CJ624*CK606+CJ625*CK605+CJ626*CK604+CJ627*CK603</f>
        <v>5007.4099202731686</v>
      </c>
      <c r="CM627" s="243">
        <f t="shared" ref="CM627" si="1146">LN(CL627/CL626)</f>
        <v>3.5748961749236419E-2</v>
      </c>
      <c r="CN627" s="249">
        <f t="shared" si="1112"/>
        <v>1.1400707146137752E-2</v>
      </c>
      <c r="CO627" s="249">
        <f t="shared" si="1122"/>
        <v>1.7049524360653667E-2</v>
      </c>
      <c r="CP627" s="243"/>
      <c r="CQ627" s="249"/>
      <c r="CR627" s="249"/>
      <c r="CS627" s="248">
        <f t="shared" si="1123"/>
        <v>1.3852417247879958E-2</v>
      </c>
      <c r="CT627" s="249">
        <v>0.10114668178709289</v>
      </c>
      <c r="CU627" s="314">
        <f t="shared" ref="CU627" si="1147">1-CZ627*DA627</f>
        <v>0.90065499999999998</v>
      </c>
      <c r="CV627" s="315">
        <f t="shared" ref="CV627" si="1148">2/(DD627*39)</f>
        <v>1.2820512820512819</v>
      </c>
      <c r="CW627" s="315">
        <f t="shared" ref="CW627" si="1149">+(DD627*40-(1+DD627))/(DD627*40)</f>
        <v>0.35000000000000003</v>
      </c>
      <c r="CX627" s="315">
        <f t="shared" ref="CX627" si="1150">+(1-(1/(1+DD627)^40))</f>
        <v>0.79171095533705893</v>
      </c>
      <c r="CY627" s="315">
        <f t="shared" ref="CY627" si="1151">+CX627*CW627*CV627</f>
        <v>0.35525491585637264</v>
      </c>
      <c r="CZ627" s="316">
        <f>CZ626</f>
        <v>0.26849999999999996</v>
      </c>
      <c r="DA627" s="360">
        <v>0.37</v>
      </c>
      <c r="DB627" s="318">
        <f t="shared" si="1121"/>
        <v>17.489668609956215</v>
      </c>
      <c r="DC627" s="249">
        <f t="shared" si="1124"/>
        <v>0.22776416956243867</v>
      </c>
      <c r="DD627" s="316">
        <v>0.04</v>
      </c>
      <c r="DE627" s="319">
        <v>7.0000000000000001E-3</v>
      </c>
      <c r="DF627" s="316">
        <v>1030.81</v>
      </c>
      <c r="DG627" s="89">
        <f ca="1">VLOOKUP(CC627,'ECI - Input Price'!M$13:N$33,2,FALSE)</f>
        <v>162.55000000000001</v>
      </c>
      <c r="DH627" s="89"/>
      <c r="DI627" s="89"/>
      <c r="DJ627" s="249">
        <f t="shared" ca="1" si="1132"/>
        <v>3.3148751169364422E-2</v>
      </c>
      <c r="DK627" s="310">
        <v>127.25</v>
      </c>
      <c r="DL627" s="357">
        <f t="shared" si="1125"/>
        <v>7.1325086601983473E-2</v>
      </c>
      <c r="EC627"/>
    </row>
    <row r="628" spans="1:133" s="126" customFormat="1" ht="21" customHeight="1" x14ac:dyDescent="0.4">
      <c r="A628" s="251" t="s">
        <v>219</v>
      </c>
      <c r="B628" s="252" t="s">
        <v>219</v>
      </c>
      <c r="C628" s="252">
        <v>4004389</v>
      </c>
      <c r="D628" s="252" t="s">
        <v>194</v>
      </c>
      <c r="E628" s="252" t="s">
        <v>15</v>
      </c>
      <c r="F628" s="252"/>
      <c r="G628" s="252" t="s">
        <v>150</v>
      </c>
      <c r="H628" s="253">
        <v>1998</v>
      </c>
      <c r="I628" s="254"/>
      <c r="J628" s="255"/>
      <c r="K628" s="255"/>
      <c r="L628" s="47"/>
      <c r="M628" s="255"/>
      <c r="N628" s="255"/>
      <c r="O628" s="255"/>
      <c r="P628" s="219"/>
      <c r="Q628" s="218"/>
      <c r="R628" s="385"/>
      <c r="S628" s="257"/>
      <c r="T628" s="258"/>
      <c r="U628" s="258"/>
      <c r="V628" s="259"/>
      <c r="W628" s="259"/>
      <c r="X628" s="259"/>
      <c r="Y628" s="255"/>
      <c r="Z628" s="259"/>
      <c r="AA628" s="259"/>
      <c r="AB628" s="259"/>
      <c r="AC628" s="255"/>
      <c r="AD628" s="254"/>
      <c r="AE628" s="260">
        <v>1837.8744379384075</v>
      </c>
      <c r="AF628" s="256"/>
      <c r="AG628" s="225"/>
      <c r="AH628" s="256"/>
      <c r="AI628" s="256"/>
      <c r="AJ628" s="254">
        <f t="shared" si="1120"/>
        <v>0</v>
      </c>
      <c r="AK628" s="254"/>
      <c r="AL628" s="254"/>
      <c r="AM628" s="256"/>
      <c r="AN628" s="256"/>
      <c r="AO628" s="256"/>
      <c r="AP628" s="226">
        <f>+(AP625+AP626+AP627)/3</f>
        <v>398.93784466205352</v>
      </c>
      <c r="AQ628" s="256"/>
      <c r="AR628" s="261"/>
      <c r="AS628" s="261"/>
      <c r="AT628" s="261"/>
      <c r="AU628" s="261"/>
      <c r="AV628" s="261"/>
      <c r="AW628" s="256">
        <f ca="1">AVERAGE(AW637:AW651)</f>
        <v>2.2580645012734608E-2</v>
      </c>
      <c r="AX628" s="223"/>
      <c r="AY628" s="261"/>
      <c r="AZ628" s="261"/>
      <c r="BA628" s="261"/>
      <c r="BB628" s="262">
        <f>IFERROR(INDEX('Total Customers'!$E$7:$AA$91,MATCH($C628,'Total Customers'!$C$7:$C$91,0),MATCH($G628,'Total Customers'!$E$5:$AA$5,0)),"NA")</f>
        <v>242508</v>
      </c>
      <c r="BC628" s="413"/>
      <c r="BD628" s="92"/>
      <c r="BE628" s="407" t="str">
        <f t="shared" si="1062"/>
        <v>NEW YORK STATE ELECTRIC &amp; GAS CORPORATION</v>
      </c>
      <c r="BF628" s="408">
        <f t="shared" si="1063"/>
        <v>4004389</v>
      </c>
      <c r="BG628" s="218" t="str">
        <f t="shared" si="1064"/>
        <v>NY</v>
      </c>
      <c r="BH628" s="218"/>
      <c r="BI628" s="218" t="str">
        <f t="shared" si="1065"/>
        <v>1998 Y</v>
      </c>
      <c r="BJ628" s="254">
        <f>INDEX('Gross Dx Plant'!$D$7:$AC$91,MATCH($C628,'Gross Dx Plant'!$C$7:$C$91,0),MATCH(Calculation!$G628,'Gross Dx Plant'!$D$5:$AC$5,0))</f>
        <v>480249</v>
      </c>
      <c r="BK628" s="254">
        <f>INDEX('Gross Gen Plant'!$D$7:$AC$91,MATCH($C628,'Gross Gen Plant'!$C$7:$C$91,0),MATCH(Calculation!$G628,'Gross Gen Plant'!$D$5:$AC$5,0))</f>
        <v>23912</v>
      </c>
      <c r="BL628" s="254">
        <f>INDEX('Dist. Plant Gas Additions'!$E$7:$AD$91,MATCH($C628,'Dist. Plant Gas Additions'!$C$7:$C$91,0),MATCH(Calculation!$G628,'Dist. Plant Gas Additions'!$E$5:$AD$5,0))</f>
        <v>31449</v>
      </c>
      <c r="BM628" s="254">
        <f>INDEX('Gen. Plant Additions'!$E$7:$AD$91,MATCH($C628,'Gen. Plant Additions'!$C$7:$C$91,0),MATCH(Calculation!$G628,'Gen. Plant Additions'!$E$5:$AD$5,0))</f>
        <v>1506</v>
      </c>
      <c r="BN628" s="409">
        <f>+(BY628/(BY628+BZ628))</f>
        <v>0.95257070657984255</v>
      </c>
      <c r="BO628" s="218">
        <f t="shared" si="1056"/>
        <v>1434.5714841092429</v>
      </c>
      <c r="BP628" s="218">
        <f t="shared" si="1057"/>
        <v>-71.428515890757126</v>
      </c>
      <c r="BQ628" s="254">
        <f>INDEX('Dist Plant Depreciation'!$D$7:$AC$94,MATCH($C628,'Dist Plant Depreciation'!$C$7:$C$94,0),MATCH(Calculation!$G628,'Dist Plant Depreciation'!$D$5:$AC$5,0))</f>
        <v>126733</v>
      </c>
      <c r="BR628" s="254">
        <f>INDEX('Gen. Plant Depreciation'!$D$7:$AC$94,MATCH($C628,'Gen. Plant Depreciation'!$C$7:$C$94,0),MATCH(Calculation!$G628,'Gen. Plant Depreciation'!$D$5:$AC$5,0))</f>
        <v>6693</v>
      </c>
      <c r="BS628" s="254"/>
      <c r="BT628" s="254"/>
      <c r="BU628" s="254"/>
      <c r="BV628" s="254"/>
      <c r="BW628" s="254"/>
      <c r="BX628" s="254"/>
      <c r="BY628" s="254">
        <f>INDEX('Gross Dx Plant'!$D$7:$AC$91,MATCH($C628,'Gross Dx Plant'!$C$7:$C$91,0),MATCH(Calculation!$G628,'Gross Dx Plant'!$D$5:$AC$5,0))</f>
        <v>480249</v>
      </c>
      <c r="BZ628" s="254">
        <f>INDEX('Gross Gen Plant'!$D$7:$AC$91,MATCH($C628,'Gross Gen Plant'!$C$7:$C$91,0),MATCH(Calculation!$G628,'Gross Gen Plant'!$D$5:$AC$5,0))</f>
        <v>23912</v>
      </c>
      <c r="CA628" s="254">
        <f t="shared" si="1077"/>
        <v>370735</v>
      </c>
      <c r="CB628" s="254"/>
      <c r="CC628" s="260">
        <v>1998</v>
      </c>
      <c r="CD628" s="254">
        <f>BJ628+BK628</f>
        <v>504161</v>
      </c>
      <c r="CE628" s="254">
        <f>126733+6693</f>
        <v>133426</v>
      </c>
      <c r="CF628" s="254">
        <f>+CD628-CE628</f>
        <v>370735</v>
      </c>
      <c r="CG628" s="254">
        <f>CF628/$BX$3</f>
        <v>1837.8744379384075</v>
      </c>
      <c r="CH628" s="323"/>
      <c r="CI628" s="344"/>
      <c r="CJ628" s="344"/>
      <c r="CK628" s="443">
        <v>1</v>
      </c>
      <c r="CL628" s="254">
        <f>+CG628</f>
        <v>1837.8744379384075</v>
      </c>
      <c r="CM628" s="256"/>
      <c r="CN628" s="325"/>
      <c r="CO628" s="325"/>
      <c r="CP628" s="256" t="e">
        <f>VLOOKUP($H628,RoR!$E:$F,2,FALSE)</f>
        <v>#N/A</v>
      </c>
      <c r="CQ628" s="325">
        <v>1.1028127770464469E-2</v>
      </c>
      <c r="CR628" s="325"/>
      <c r="CS628" s="326"/>
      <c r="CT628" s="265"/>
      <c r="CU628" s="327">
        <f t="shared" ref="CU628" si="1152">1-CZ628*DA628</f>
        <v>0.90065499999999998</v>
      </c>
      <c r="CV628" s="328"/>
      <c r="CW628" s="328"/>
      <c r="CX628" s="328"/>
      <c r="CY628" s="328"/>
      <c r="CZ628" s="329">
        <f>CZ627</f>
        <v>0.26849999999999996</v>
      </c>
      <c r="DA628" s="351">
        <v>0.37</v>
      </c>
      <c r="DB628" s="331">
        <f t="shared" si="1121"/>
        <v>-0.12453624700608905</v>
      </c>
      <c r="DC628" s="326"/>
      <c r="DD628" s="351" t="e">
        <f>VLOOKUP($H628,RoR!$E:$F,2,FALSE)</f>
        <v>#N/A</v>
      </c>
      <c r="DE628" s="354">
        <f>HLOOKUP($H628,'GDP-PI'!$D$8:$CQ$11,3,FALSE)</f>
        <v>1.1028127770464469E-2</v>
      </c>
      <c r="DF628" s="351">
        <f>VLOOKUP(H628,'HW Dx Data'!$E:$F,2,FALSE)</f>
        <v>329.24564746449528</v>
      </c>
      <c r="DG628" s="351"/>
      <c r="DH628" s="351"/>
      <c r="DI628" s="351"/>
      <c r="DJ628" s="326"/>
      <c r="DK628" s="344">
        <f>HLOOKUP(H628,'GDP-PI'!$8:$9,2,FALSE)</f>
        <v>75.266999999999996</v>
      </c>
      <c r="DL628" s="292"/>
      <c r="EC628"/>
    </row>
    <row r="629" spans="1:133" s="126" customFormat="1" ht="21" customHeight="1" x14ac:dyDescent="0.4">
      <c r="A629" s="233" t="s">
        <v>219</v>
      </c>
      <c r="B629" s="127" t="s">
        <v>219</v>
      </c>
      <c r="C629" s="127">
        <v>4004389</v>
      </c>
      <c r="D629" s="127" t="s">
        <v>194</v>
      </c>
      <c r="E629" s="127" t="s">
        <v>15</v>
      </c>
      <c r="F629" s="127"/>
      <c r="G629" s="127" t="s">
        <v>155</v>
      </c>
      <c r="H629" s="128">
        <v>1999</v>
      </c>
      <c r="I629" s="129"/>
      <c r="J629" s="125"/>
      <c r="K629" s="129"/>
      <c r="L629" s="47"/>
      <c r="M629" s="129"/>
      <c r="N629" s="129"/>
      <c r="O629" s="129"/>
      <c r="P629" s="47"/>
      <c r="Q629" s="47"/>
      <c r="R629" s="386"/>
      <c r="S629" s="119"/>
      <c r="T629" s="47"/>
      <c r="U629" s="46"/>
      <c r="V629" s="135"/>
      <c r="W629" s="135"/>
      <c r="X629" s="135"/>
      <c r="Y629" s="143"/>
      <c r="Z629" s="135"/>
      <c r="AA629" s="135"/>
      <c r="AB629" s="135"/>
      <c r="AC629" s="125">
        <f t="shared" ref="AC629:AC652" si="1153">+CL628*DB629</f>
        <v>0</v>
      </c>
      <c r="AD629" s="129"/>
      <c r="AE629" s="133">
        <v>1912.1483661008217</v>
      </c>
      <c r="AF629" s="134">
        <v>3.961770185756789E-2</v>
      </c>
      <c r="AG629" s="61"/>
      <c r="AH629" s="134"/>
      <c r="AI629" s="134"/>
      <c r="AJ629" s="129">
        <f t="shared" si="1120"/>
        <v>0</v>
      </c>
      <c r="AK629" s="134"/>
      <c r="AL629" s="129"/>
      <c r="AM629" s="134"/>
      <c r="AN629" s="134"/>
      <c r="AO629" s="134"/>
      <c r="AP629" s="133"/>
      <c r="AQ629" s="134"/>
      <c r="AR629" s="93"/>
      <c r="AS629" s="93"/>
      <c r="AT629" s="93"/>
      <c r="AU629" s="93"/>
      <c r="AV629" s="93"/>
      <c r="AW629" s="134"/>
      <c r="AX629" s="62"/>
      <c r="AY629" s="93"/>
      <c r="AZ629" s="93"/>
      <c r="BA629" s="93"/>
      <c r="BB629" s="234">
        <f>IFERROR(INDEX('Total Customers'!$E$7:$AA$91,MATCH($C629,'Total Customers'!$C$7:$C$91,0),MATCH($G629,'Total Customers'!$E$5:$AA$5,0)),"NA")</f>
        <v>243879</v>
      </c>
      <c r="BC629" s="411">
        <f t="shared" si="1076"/>
        <v>5.6375011298624858E-3</v>
      </c>
      <c r="BD629" s="92"/>
      <c r="BE629" s="281" t="str">
        <f t="shared" si="1062"/>
        <v>NEW YORK STATE ELECTRIC &amp; GAS CORPORATION</v>
      </c>
      <c r="BF629" s="290">
        <f t="shared" si="1063"/>
        <v>4004389</v>
      </c>
      <c r="BG629" s="46" t="str">
        <f t="shared" si="1064"/>
        <v>NY</v>
      </c>
      <c r="BH629" s="46"/>
      <c r="BI629" s="46" t="str">
        <f t="shared" si="1065"/>
        <v>1999 Y</v>
      </c>
      <c r="BJ629" s="129"/>
      <c r="BK629" s="129"/>
      <c r="BL629" s="129">
        <f>INDEX('Dist. Plant Gas Additions'!$E$7:$AD$91,MATCH($C629,'Dist. Plant Gas Additions'!$C$7:$C$91,0),MATCH(Calculation!$G629,'Dist. Plant Gas Additions'!$E$5:$AD$5,0))</f>
        <v>26200</v>
      </c>
      <c r="BM629" s="129">
        <f>INDEX('Gen. Plant Additions'!$E$7:$AD$91,MATCH($C629,'Gen. Plant Additions'!$C$7:$C$91,0),MATCH(Calculation!$G629,'Gen. Plant Additions'!$E$5:$AD$5,0))</f>
        <v>1772</v>
      </c>
      <c r="BN629" s="393">
        <f t="shared" ref="BN629:BN650" si="1154">+(BY629/(BY629+BZ629))</f>
        <v>0.95389916342257586</v>
      </c>
      <c r="BO629" s="46">
        <f t="shared" si="1056"/>
        <v>1690.3093175848044</v>
      </c>
      <c r="BP629" s="46">
        <f t="shared" si="1057"/>
        <v>-81.690682415195624</v>
      </c>
      <c r="BQ629" s="129">
        <f>INDEX('Dist Plant Depreciation'!$D$7:$AC$94,MATCH($C629,'Dist Plant Depreciation'!$C$7:$C$94,0),MATCH(Calculation!$G629,'Dist Plant Depreciation'!$D$5:$AC$5,0))</f>
        <v>134578</v>
      </c>
      <c r="BR629" s="129">
        <f>INDEX('Gen. Plant Depreciation'!$D$7:$AC$94,MATCH($C629,'Gen. Plant Depreciation'!$C$7:$C$94,0),MATCH(Calculation!$G629,'Gen. Plant Depreciation'!$D$5:$AC$5,0))</f>
        <v>7229</v>
      </c>
      <c r="BS629" s="129"/>
      <c r="BT629" s="129"/>
      <c r="BU629" s="129"/>
      <c r="BV629" s="129"/>
      <c r="BW629" s="129"/>
      <c r="BX629" s="129"/>
      <c r="BY629" s="129">
        <f>INDEX('Gross Dx Plant'!$D$7:$AC$91,MATCH($C629,'Gross Dx Plant'!$C$7:$C$91,0),MATCH(Calculation!$G629,'Gross Dx Plant'!$D$5:$AC$5,0))</f>
        <v>503302</v>
      </c>
      <c r="BZ629" s="129">
        <f>INDEX('Gross Gen Plant'!$D$7:$AC$91,MATCH($C629,'Gross Gen Plant'!$C$7:$C$91,0),MATCH(Calculation!$G629,'Gross Gen Plant'!$D$5:$AC$5,0))</f>
        <v>24324</v>
      </c>
      <c r="CA629" s="129">
        <f t="shared" si="1077"/>
        <v>385819</v>
      </c>
      <c r="CB629" s="129"/>
      <c r="CC629" s="133">
        <v>1999</v>
      </c>
      <c r="CD629" s="129"/>
      <c r="CE629" s="129"/>
      <c r="CF629" s="129"/>
      <c r="CG629" s="137"/>
      <c r="CH629" s="129">
        <f t="shared" ref="CH629:CH651" si="1155">+BM629+BL629</f>
        <v>27972</v>
      </c>
      <c r="CI629" s="46">
        <f>+CH629+BP629</f>
        <v>27890.309317584804</v>
      </c>
      <c r="CJ629" s="46">
        <f t="shared" ref="CJ629:CJ652" si="1156">+CI629/$DF629</f>
        <v>83.173965637283814</v>
      </c>
      <c r="CK629" s="443">
        <v>0.99009900990099009</v>
      </c>
      <c r="CL629" s="46">
        <f>+CL628*CK629+CJ629</f>
        <v>1902.8516269624397</v>
      </c>
      <c r="CM629" s="134">
        <f t="shared" ref="CM629:CM650" si="1157">LN(CL629/CL628)</f>
        <v>3.474391021507571E-2</v>
      </c>
      <c r="CN629" s="135">
        <f t="shared" ref="CN629:CN652" si="1158">+(CL628-CL629+CJ629)/CL628</f>
        <v>9.9009900990099237E-3</v>
      </c>
      <c r="CO629" s="135"/>
      <c r="CP629" s="134">
        <f>VLOOKUP($H629,RoR!$E:$F,2,FALSE)</f>
        <v>7.0416666666666669E-2</v>
      </c>
      <c r="CQ629" s="135">
        <v>1.4335631817396832E-2</v>
      </c>
      <c r="CR629" s="135">
        <f>+CP629-CQ629</f>
        <v>5.6081034849269837E-2</v>
      </c>
      <c r="CS629" s="135"/>
      <c r="CT629" s="135"/>
      <c r="CU629" s="139">
        <f t="shared" ref="CU629:CU652" si="1159">1-CZ629*DA629</f>
        <v>0.85329623209999994</v>
      </c>
      <c r="CV629" s="335">
        <f t="shared" ref="CV629:CV651" si="1160">2/(DD629*39)</f>
        <v>0.72826581702321336</v>
      </c>
      <c r="CW629" s="335">
        <f t="shared" ref="CW629:CW651" si="1161">+(DD629*40-(1+DD629))/(DD629*40)</f>
        <v>0.61997041420118348</v>
      </c>
      <c r="CX629" s="335">
        <f t="shared" ref="CX629:CX651" si="1162">+(1-(1/(1+DD629)^40))</f>
        <v>0.93425155319585029</v>
      </c>
      <c r="CY629" s="335">
        <f t="shared" ref="CY629:CY651" si="1163">+CX629*CW629*CV629</f>
        <v>0.42181762214141483</v>
      </c>
      <c r="CZ629" s="336">
        <f>INDEX('State Tax Lookup'!$D$7:$Z$91,MATCH(Calculation!$C629,'State Tax Lookup'!$B$7:$B$91,0),MATCH($H629,'State Tax Lookup'!$D$6:$Z$6,0))</f>
        <v>0.39649667</v>
      </c>
      <c r="DA629" s="303">
        <v>0.37</v>
      </c>
      <c r="DB629" s="57"/>
      <c r="DC629" s="56"/>
      <c r="DD629" s="303">
        <f>VLOOKUP($H629,RoR!$E:$F,2,FALSE)</f>
        <v>7.0416666666666669E-2</v>
      </c>
      <c r="DE629" s="304">
        <f>HLOOKUP($H629,'GDP-PI'!$D$8:$CQ$11,3,FALSE)</f>
        <v>1.4335631817396832E-2</v>
      </c>
      <c r="DF629" s="303">
        <f>VLOOKUP(H629,'HW Dx Data'!$E:$F,2,FALSE)</f>
        <v>335.32499146683239</v>
      </c>
      <c r="DG629" s="89"/>
      <c r="DH629" s="89"/>
      <c r="DI629" s="89"/>
      <c r="DJ629" s="56"/>
      <c r="DK629" s="53">
        <f>HLOOKUP(H629,'GDP-PI'!$8:$9,2,FALSE)</f>
        <v>76.346000000000004</v>
      </c>
      <c r="DL629" s="298"/>
      <c r="EC629"/>
    </row>
    <row r="630" spans="1:133" s="126" customFormat="1" ht="21" customHeight="1" x14ac:dyDescent="0.4">
      <c r="A630" s="233" t="s">
        <v>219</v>
      </c>
      <c r="B630" s="127" t="s">
        <v>219</v>
      </c>
      <c r="C630" s="127">
        <v>4004389</v>
      </c>
      <c r="D630" s="127" t="s">
        <v>194</v>
      </c>
      <c r="E630" s="127" t="s">
        <v>15</v>
      </c>
      <c r="F630" s="127"/>
      <c r="G630" s="127" t="s">
        <v>156</v>
      </c>
      <c r="H630" s="128">
        <v>2000</v>
      </c>
      <c r="I630" s="129"/>
      <c r="J630" s="125"/>
      <c r="K630" s="125"/>
      <c r="L630" s="47"/>
      <c r="M630" s="125"/>
      <c r="N630" s="125"/>
      <c r="O630" s="125"/>
      <c r="P630" s="47"/>
      <c r="Q630" s="47"/>
      <c r="R630" s="386"/>
      <c r="S630" s="119"/>
      <c r="T630" s="47"/>
      <c r="U630" s="47"/>
      <c r="V630" s="125"/>
      <c r="W630" s="125"/>
      <c r="X630" s="125"/>
      <c r="Y630" s="125"/>
      <c r="Z630" s="125"/>
      <c r="AA630" s="125"/>
      <c r="AB630" s="125"/>
      <c r="AC630" s="125">
        <f t="shared" si="1153"/>
        <v>0</v>
      </c>
      <c r="AD630" s="129"/>
      <c r="AE630" s="133">
        <v>1962.9185539773723</v>
      </c>
      <c r="AF630" s="134">
        <v>2.6205014894631125E-2</v>
      </c>
      <c r="AG630" s="61"/>
      <c r="AH630" s="134"/>
      <c r="AI630" s="134"/>
      <c r="AJ630" s="129">
        <f t="shared" si="1120"/>
        <v>0</v>
      </c>
      <c r="AK630" s="134"/>
      <c r="AL630" s="129"/>
      <c r="AM630" s="129"/>
      <c r="AN630" s="129"/>
      <c r="AO630" s="129"/>
      <c r="AP630" s="133"/>
      <c r="AQ630" s="134"/>
      <c r="AR630" s="93"/>
      <c r="AS630" s="93"/>
      <c r="AT630" s="93"/>
      <c r="AU630" s="93"/>
      <c r="AV630" s="93"/>
      <c r="AW630" s="134"/>
      <c r="AX630" s="62"/>
      <c r="AY630" s="93"/>
      <c r="AZ630" s="93"/>
      <c r="BA630" s="93"/>
      <c r="BB630" s="234">
        <f>IFERROR(INDEX('Total Customers'!$E$7:$AA$91,MATCH($C630,'Total Customers'!$C$7:$C$91,0),MATCH($G630,'Total Customers'!$E$5:$AA$5,0)),"NA")</f>
        <v>246475</v>
      </c>
      <c r="BC630" s="411">
        <f t="shared" si="1076"/>
        <v>1.0588367807130922E-2</v>
      </c>
      <c r="BD630" s="92"/>
      <c r="BE630" s="281" t="str">
        <f t="shared" si="1062"/>
        <v>NEW YORK STATE ELECTRIC &amp; GAS CORPORATION</v>
      </c>
      <c r="BF630" s="290">
        <f t="shared" si="1063"/>
        <v>4004389</v>
      </c>
      <c r="BG630" s="46" t="str">
        <f t="shared" si="1064"/>
        <v>NY</v>
      </c>
      <c r="BH630" s="46"/>
      <c r="BI630" s="46" t="str">
        <f t="shared" si="1065"/>
        <v>2000 Y</v>
      </c>
      <c r="BJ630" s="129"/>
      <c r="BK630" s="129"/>
      <c r="BL630" s="129">
        <f>INDEX('Dist. Plant Gas Additions'!$E$7:$AD$91,MATCH($C630,'Dist. Plant Gas Additions'!$C$7:$C$91,0),MATCH(Calculation!$G630,'Dist. Plant Gas Additions'!$E$5:$AD$5,0))</f>
        <v>20185</v>
      </c>
      <c r="BM630" s="129">
        <f>INDEX('Gen. Plant Additions'!$E$7:$AD$91,MATCH($C630,'Gen. Plant Additions'!$C$7:$C$91,0),MATCH(Calculation!$G630,'Gen. Plant Additions'!$E$5:$AD$5,0))</f>
        <v>817</v>
      </c>
      <c r="BN630" s="393">
        <f t="shared" si="1154"/>
        <v>0.95231465558246919</v>
      </c>
      <c r="BO630" s="46">
        <f t="shared" si="1056"/>
        <v>778.04107361087733</v>
      </c>
      <c r="BP630" s="46">
        <f t="shared" si="1057"/>
        <v>-38.958926389122666</v>
      </c>
      <c r="BQ630" s="129" t="str">
        <f>INDEX('Dist Plant Depreciation'!$D$7:$AC$94,MATCH($C630,'Dist Plant Depreciation'!$C$7:$C$94,0),MATCH(Calculation!$G630,'Dist Plant Depreciation'!$D$5:$AC$5,0))</f>
        <v>NA</v>
      </c>
      <c r="BR630" s="129" t="str">
        <f>INDEX('Gen. Plant Depreciation'!$D$7:$AC$94,MATCH($C630,'Gen. Plant Depreciation'!$C$7:$C$94,0),MATCH(Calculation!$G630,'Gen. Plant Depreciation'!$D$5:$AC$5,0))</f>
        <v>NA</v>
      </c>
      <c r="BS630" s="129"/>
      <c r="BT630" s="129"/>
      <c r="BU630" s="129"/>
      <c r="BV630" s="129"/>
      <c r="BW630" s="129"/>
      <c r="BX630" s="129"/>
      <c r="BY630" s="129">
        <f>INDEX('Gross Dx Plant'!$D$7:$AC$91,MATCH($C630,'Gross Dx Plant'!$C$7:$C$91,0),MATCH(Calculation!$G630,'Gross Dx Plant'!$D$5:$AC$5,0))</f>
        <v>520539</v>
      </c>
      <c r="BZ630" s="129">
        <f>INDEX('Gross Gen Plant'!$D$7:$AC$91,MATCH($C630,'Gross Gen Plant'!$C$7:$C$91,0),MATCH(Calculation!$G630,'Gross Gen Plant'!$D$5:$AC$5,0))</f>
        <v>26065</v>
      </c>
      <c r="CA630" s="129" t="str">
        <f t="shared" si="1077"/>
        <v>NA</v>
      </c>
      <c r="CB630" s="129"/>
      <c r="CC630" s="133">
        <v>2000</v>
      </c>
      <c r="CD630" s="129"/>
      <c r="CE630" s="129"/>
      <c r="CF630" s="129"/>
      <c r="CG630" s="137"/>
      <c r="CH630" s="129">
        <f t="shared" si="1155"/>
        <v>21002</v>
      </c>
      <c r="CI630" s="46">
        <f t="shared" ref="CI630:CI652" si="1164">+CH630+BP630</f>
        <v>20963.041073610879</v>
      </c>
      <c r="CJ630" s="46">
        <f t="shared" si="1156"/>
        <v>60.493510430661082</v>
      </c>
      <c r="CK630" s="443">
        <v>0.98</v>
      </c>
      <c r="CL630" s="46">
        <f>+CL628*CK630+CJ629*CK629+CJ630</f>
        <v>1943.9609206373138</v>
      </c>
      <c r="CM630" s="134">
        <f t="shared" si="1157"/>
        <v>2.1373985974100417E-2</v>
      </c>
      <c r="CN630" s="135">
        <f t="shared" si="1158"/>
        <v>1.0186930226783023E-2</v>
      </c>
      <c r="CO630" s="135"/>
      <c r="CP630" s="134">
        <f>VLOOKUP($H630,RoR!$E:$F,2,FALSE)</f>
        <v>7.6225000000000001E-2</v>
      </c>
      <c r="CQ630" s="135">
        <v>2.2568307442433211E-2</v>
      </c>
      <c r="CR630" s="135">
        <f t="shared" ref="CR630:CR650" si="1165">+CP630-CQ630</f>
        <v>5.365669255756679E-2</v>
      </c>
      <c r="CS630" s="135"/>
      <c r="CT630" s="135"/>
      <c r="CU630" s="139">
        <f t="shared" si="1159"/>
        <v>0.85329623209999994</v>
      </c>
      <c r="CV630" s="335">
        <f t="shared" si="1160"/>
        <v>0.67277207323124022</v>
      </c>
      <c r="CW630" s="335">
        <f t="shared" si="1161"/>
        <v>0.6470236142997704</v>
      </c>
      <c r="CX630" s="335">
        <f t="shared" si="1162"/>
        <v>0.94704866037543145</v>
      </c>
      <c r="CY630" s="335">
        <f t="shared" si="1163"/>
        <v>0.41224973107878493</v>
      </c>
      <c r="CZ630" s="336">
        <f>INDEX('State Tax Lookup'!$D$7:$Z$91,MATCH(Calculation!$C630,'State Tax Lookup'!$B$7:$B$91,0),MATCH($H630,'State Tax Lookup'!$D$6:$Z$6,0))</f>
        <v>0.39649667</v>
      </c>
      <c r="DA630" s="303">
        <v>0.37</v>
      </c>
      <c r="DB630" s="57"/>
      <c r="DC630" s="56"/>
      <c r="DD630" s="303">
        <f>VLOOKUP($H630,RoR!$E:$F,2,FALSE)</f>
        <v>7.6225000000000001E-2</v>
      </c>
      <c r="DE630" s="304">
        <f>HLOOKUP($H630,'GDP-PI'!$D$8:$CQ$11,3,FALSE)</f>
        <v>2.2568307442433211E-2</v>
      </c>
      <c r="DF630" s="303">
        <f>VLOOKUP(H630,'HW Dx Data'!$E:$F,2,FALSE)</f>
        <v>346.53371782150339</v>
      </c>
      <c r="DG630" s="89"/>
      <c r="DH630" s="89"/>
      <c r="DI630" s="89"/>
      <c r="DJ630" s="56"/>
      <c r="DK630" s="53">
        <f>HLOOKUP(H630,'GDP-PI'!$8:$9,2,FALSE)</f>
        <v>78.069000000000003</v>
      </c>
      <c r="DL630" s="298"/>
      <c r="EC630"/>
    </row>
    <row r="631" spans="1:133" s="126" customFormat="1" ht="21" customHeight="1" x14ac:dyDescent="0.4">
      <c r="A631" s="233" t="s">
        <v>219</v>
      </c>
      <c r="B631" s="127" t="s">
        <v>219</v>
      </c>
      <c r="C631" s="127">
        <v>4004389</v>
      </c>
      <c r="D631" s="127" t="s">
        <v>194</v>
      </c>
      <c r="E631" s="127" t="s">
        <v>15</v>
      </c>
      <c r="F631" s="127"/>
      <c r="G631" s="127" t="s">
        <v>157</v>
      </c>
      <c r="H631" s="128">
        <v>2001</v>
      </c>
      <c r="I631" s="129"/>
      <c r="J631" s="125"/>
      <c r="K631" s="125"/>
      <c r="L631" s="47"/>
      <c r="M631" s="125"/>
      <c r="N631" s="125"/>
      <c r="O631" s="125"/>
      <c r="P631" s="47"/>
      <c r="Q631" s="47"/>
      <c r="R631" s="386"/>
      <c r="S631" s="119"/>
      <c r="T631" s="47"/>
      <c r="U631" s="47"/>
      <c r="V631" s="125"/>
      <c r="W631" s="125"/>
      <c r="X631" s="125"/>
      <c r="Y631" s="125"/>
      <c r="Z631" s="125"/>
      <c r="AA631" s="125"/>
      <c r="AB631" s="125"/>
      <c r="AC631" s="125">
        <f t="shared" si="1153"/>
        <v>20155.482654703112</v>
      </c>
      <c r="AD631" s="129"/>
      <c r="AE631" s="133">
        <v>2017.8565268055222</v>
      </c>
      <c r="AF631" s="134">
        <v>2.7603398830837376E-2</v>
      </c>
      <c r="AG631" s="61"/>
      <c r="AH631" s="134"/>
      <c r="AI631" s="134"/>
      <c r="AJ631" s="129">
        <f t="shared" si="1120"/>
        <v>20155.482654703112</v>
      </c>
      <c r="AK631" s="134"/>
      <c r="AL631" s="129"/>
      <c r="AM631" s="129"/>
      <c r="AN631" s="129"/>
      <c r="AO631" s="129"/>
      <c r="AP631" s="133"/>
      <c r="AQ631" s="134"/>
      <c r="AR631" s="93"/>
      <c r="AS631" s="93"/>
      <c r="AT631" s="93"/>
      <c r="AU631" s="93"/>
      <c r="AV631" s="93"/>
      <c r="AW631" s="134"/>
      <c r="AX631" s="62"/>
      <c r="AY631" s="93"/>
      <c r="AZ631" s="93"/>
      <c r="BA631" s="93"/>
      <c r="BB631" s="234">
        <f>IFERROR(INDEX('Total Customers'!$E$7:$AA$91,MATCH($C631,'Total Customers'!$C$7:$C$91,0),MATCH($G631,'Total Customers'!$E$5:$AA$5,0)),"NA")</f>
        <v>249639</v>
      </c>
      <c r="BC631" s="411">
        <f t="shared" si="1076"/>
        <v>1.2755305828407823E-2</v>
      </c>
      <c r="BD631" s="92"/>
      <c r="BE631" s="281" t="str">
        <f t="shared" si="1062"/>
        <v>NEW YORK STATE ELECTRIC &amp; GAS CORPORATION</v>
      </c>
      <c r="BF631" s="290">
        <f t="shared" si="1063"/>
        <v>4004389</v>
      </c>
      <c r="BG631" s="46" t="str">
        <f t="shared" si="1064"/>
        <v>NY</v>
      </c>
      <c r="BH631" s="46"/>
      <c r="BI631" s="46" t="str">
        <f t="shared" si="1065"/>
        <v>2001 Y</v>
      </c>
      <c r="BJ631" s="129"/>
      <c r="BK631" s="129"/>
      <c r="BL631" s="129">
        <f>INDEX('Dist. Plant Gas Additions'!$E$7:$AD$91,MATCH($C631,'Dist. Plant Gas Additions'!$C$7:$C$91,0),MATCH(Calculation!$G631,'Dist. Plant Gas Additions'!$E$5:$AD$5,0))</f>
        <v>22013</v>
      </c>
      <c r="BM631" s="129">
        <f>INDEX('Gen. Plant Additions'!$E$7:$AD$91,MATCH($C631,'Gen. Plant Additions'!$C$7:$C$91,0),MATCH(Calculation!$G631,'Gen. Plant Additions'!$E$5:$AD$5,0))</f>
        <v>988</v>
      </c>
      <c r="BN631" s="393">
        <f t="shared" si="1154"/>
        <v>0.95559340840486873</v>
      </c>
      <c r="BO631" s="46">
        <f t="shared" ref="BO631:BO694" si="1166">+BN631*BM631</f>
        <v>944.12628750401029</v>
      </c>
      <c r="BP631" s="46">
        <f t="shared" ref="BP631:BP694" si="1167">+BO631-BM631</f>
        <v>-43.873712495989707</v>
      </c>
      <c r="BQ631" s="129">
        <f>INDEX('Dist Plant Depreciation'!$D$7:$AC$94,MATCH($C631,'Dist Plant Depreciation'!$C$7:$C$94,0),MATCH(Calculation!$G631,'Dist Plant Depreciation'!$D$5:$AC$5,0))</f>
        <v>152464</v>
      </c>
      <c r="BR631" s="129">
        <f>INDEX('Gen. Plant Depreciation'!$D$7:$AC$94,MATCH($C631,'Gen. Plant Depreciation'!$C$7:$C$94,0),MATCH(Calculation!$G631,'Gen. Plant Depreciation'!$D$5:$AC$5,0))</f>
        <v>9968</v>
      </c>
      <c r="BS631" s="129"/>
      <c r="BT631" s="129"/>
      <c r="BU631" s="129"/>
      <c r="BV631" s="129"/>
      <c r="BW631" s="129"/>
      <c r="BX631" s="129"/>
      <c r="BY631" s="129">
        <f>INDEX('Gross Dx Plant'!$D$7:$AC$91,MATCH($C631,'Gross Dx Plant'!$C$7:$C$91,0),MATCH(Calculation!$G631,'Gross Dx Plant'!$D$5:$AC$5,0))</f>
        <v>539120</v>
      </c>
      <c r="BZ631" s="129">
        <f>INDEX('Gross Gen Plant'!$D$7:$AC$91,MATCH($C631,'Gross Gen Plant'!$C$7:$C$91,0),MATCH(Calculation!$G631,'Gross Gen Plant'!$D$5:$AC$5,0))</f>
        <v>25053</v>
      </c>
      <c r="CA631" s="129">
        <f t="shared" si="1077"/>
        <v>401741</v>
      </c>
      <c r="CB631" s="129"/>
      <c r="CC631" s="133">
        <v>2001</v>
      </c>
      <c r="CD631" s="129"/>
      <c r="CE631" s="129"/>
      <c r="CF631" s="129"/>
      <c r="CG631" s="137"/>
      <c r="CH631" s="129">
        <f t="shared" si="1155"/>
        <v>23001</v>
      </c>
      <c r="CI631" s="46">
        <f t="shared" si="1164"/>
        <v>22957.126287504012</v>
      </c>
      <c r="CJ631" s="46">
        <f t="shared" si="1156"/>
        <v>64.952034093868107</v>
      </c>
      <c r="CK631" s="443">
        <v>0.96969696969696972</v>
      </c>
      <c r="CL631" s="46">
        <f>+CL628*CK631+CJ629*CK630+CJ630*CK628+CJ631</f>
        <v>1989.1373040014623</v>
      </c>
      <c r="CM631" s="134">
        <f t="shared" si="1157"/>
        <v>2.2973425880835927E-2</v>
      </c>
      <c r="CN631" s="135">
        <f t="shared" si="1158"/>
        <v>1.0172864340933521E-2</v>
      </c>
      <c r="CO631" s="135">
        <f>+(CN631+CN630+CN629)/3</f>
        <v>1.0086928222242155E-2</v>
      </c>
      <c r="CP631" s="134">
        <f>VLOOKUP($H631,RoR!$E:$F,2,FALSE)</f>
        <v>7.0824999999999999E-2</v>
      </c>
      <c r="CQ631" s="135">
        <v>2.2454495382290052E-2</v>
      </c>
      <c r="CR631" s="135">
        <f t="shared" si="1165"/>
        <v>4.8370504617709947E-2</v>
      </c>
      <c r="CS631" s="135">
        <f>+$CR$2-CO631</f>
        <v>2.0815013386291471E-2</v>
      </c>
      <c r="CT631" s="135">
        <f>+((DF629/DF628-1)+(DF630/DF629-1)+(DF631/DF630-1))/3</f>
        <v>2.3947275901631187E-2</v>
      </c>
      <c r="CU631" s="139">
        <f t="shared" si="1159"/>
        <v>0.85329623209999994</v>
      </c>
      <c r="CV631" s="335">
        <f t="shared" si="1160"/>
        <v>0.72406708481540816</v>
      </c>
      <c r="CW631" s="335">
        <f t="shared" si="1161"/>
        <v>0.62201729615248857</v>
      </c>
      <c r="CX631" s="335">
        <f t="shared" si="1162"/>
        <v>0.9352469954311422</v>
      </c>
      <c r="CY631" s="335">
        <f t="shared" si="1163"/>
        <v>0.42121864641655071</v>
      </c>
      <c r="CZ631" s="336">
        <f>INDEX('State Tax Lookup'!$D$7:$Z$91,MATCH(Calculation!$C631,'State Tax Lookup'!$B$7:$B$91,0),MATCH($H631,'State Tax Lookup'!$D$6:$Z$6,0))</f>
        <v>0.39649667</v>
      </c>
      <c r="DA631" s="303">
        <v>0.37</v>
      </c>
      <c r="DB631" s="57">
        <f t="shared" ref="DB631:DB652" si="1168">+(DF631*CS631-CT631)*CU631/(1-CZ631)</f>
        <v>10.368255061472778</v>
      </c>
      <c r="DC631" s="56"/>
      <c r="DD631" s="303">
        <f>VLOOKUP($H631,RoR!$E:$F,2,FALSE)</f>
        <v>7.0824999999999999E-2</v>
      </c>
      <c r="DE631" s="304">
        <f>HLOOKUP($H631,'GDP-PI'!$D$8:$CQ$11,3,FALSE)</f>
        <v>2.2454495382290052E-2</v>
      </c>
      <c r="DF631" s="303">
        <f>VLOOKUP(H631,'HW Dx Data'!$E:$F,2,FALSE)</f>
        <v>353.44738017483138</v>
      </c>
      <c r="DG631" s="89"/>
      <c r="DH631" s="89"/>
      <c r="DI631" s="89"/>
      <c r="DJ631" s="56"/>
      <c r="DK631" s="53">
        <f>HLOOKUP(H631,'GDP-PI'!$8:$9,2,FALSE)</f>
        <v>79.822000000000003</v>
      </c>
      <c r="DL631" s="298"/>
      <c r="EC631"/>
    </row>
    <row r="632" spans="1:133" s="126" customFormat="1" ht="21" customHeight="1" x14ac:dyDescent="0.4">
      <c r="A632" s="233" t="s">
        <v>219</v>
      </c>
      <c r="B632" s="127" t="s">
        <v>219</v>
      </c>
      <c r="C632" s="127">
        <v>4004389</v>
      </c>
      <c r="D632" s="127" t="s">
        <v>194</v>
      </c>
      <c r="E632" s="127" t="s">
        <v>15</v>
      </c>
      <c r="F632" s="127"/>
      <c r="G632" s="127" t="s">
        <v>158</v>
      </c>
      <c r="H632" s="128">
        <v>2002</v>
      </c>
      <c r="I632" s="129"/>
      <c r="J632" s="125"/>
      <c r="K632" s="125"/>
      <c r="L632" s="47"/>
      <c r="M632" s="125"/>
      <c r="N632" s="125"/>
      <c r="O632" s="125"/>
      <c r="P632" s="47"/>
      <c r="Q632" s="47"/>
      <c r="R632" s="386"/>
      <c r="S632" s="119"/>
      <c r="T632" s="47"/>
      <c r="U632" s="47"/>
      <c r="V632" s="125"/>
      <c r="W632" s="125"/>
      <c r="X632" s="125"/>
      <c r="Y632" s="125"/>
      <c r="Z632" s="125"/>
      <c r="AA632" s="125"/>
      <c r="AB632" s="125"/>
      <c r="AC632" s="125">
        <f t="shared" si="1153"/>
        <v>20684.657087341588</v>
      </c>
      <c r="AD632" s="129"/>
      <c r="AE632" s="133">
        <v>2069.2639388145399</v>
      </c>
      <c r="AF632" s="134">
        <v>2.5157136250925003E-2</v>
      </c>
      <c r="AG632" s="61"/>
      <c r="AH632" s="134"/>
      <c r="AI632" s="134"/>
      <c r="AJ632" s="129">
        <f t="shared" si="1120"/>
        <v>20684.657087341588</v>
      </c>
      <c r="AK632" s="134"/>
      <c r="AL632" s="129"/>
      <c r="AM632" s="129"/>
      <c r="AN632" s="129"/>
      <c r="AO632" s="129"/>
      <c r="AP632" s="133"/>
      <c r="AQ632" s="134"/>
      <c r="AR632" s="93"/>
      <c r="AS632" s="93"/>
      <c r="AT632" s="93"/>
      <c r="AU632" s="93"/>
      <c r="AV632" s="93"/>
      <c r="AW632" s="134"/>
      <c r="AX632" s="62"/>
      <c r="AY632" s="93"/>
      <c r="AZ632" s="93"/>
      <c r="BA632" s="93"/>
      <c r="BB632" s="234">
        <f>IFERROR(INDEX('Total Customers'!$E$7:$AA$91,MATCH($C632,'Total Customers'!$C$7:$C$91,0),MATCH($G632,'Total Customers'!$E$5:$AA$5,0)),"NA")</f>
        <v>251533</v>
      </c>
      <c r="BC632" s="411">
        <f t="shared" si="1076"/>
        <v>7.5583193663026791E-3</v>
      </c>
      <c r="BD632" s="92"/>
      <c r="BE632" s="281" t="str">
        <f t="shared" si="1062"/>
        <v>NEW YORK STATE ELECTRIC &amp; GAS CORPORATION</v>
      </c>
      <c r="BF632" s="290">
        <f t="shared" si="1063"/>
        <v>4004389</v>
      </c>
      <c r="BG632" s="46" t="str">
        <f t="shared" si="1064"/>
        <v>NY</v>
      </c>
      <c r="BH632" s="46"/>
      <c r="BI632" s="46" t="str">
        <f t="shared" si="1065"/>
        <v>2002 Y</v>
      </c>
      <c r="BJ632" s="129"/>
      <c r="BK632" s="129"/>
      <c r="BL632" s="129">
        <f>INDEX('Dist. Plant Gas Additions'!$E$7:$AD$91,MATCH($C632,'Dist. Plant Gas Additions'!$C$7:$C$91,0),MATCH(Calculation!$G632,'Dist. Plant Gas Additions'!$E$5:$AD$5,0))</f>
        <v>21493</v>
      </c>
      <c r="BM632" s="129">
        <f>INDEX('Gen. Plant Additions'!$E$7:$AD$91,MATCH($C632,'Gen. Plant Additions'!$C$7:$C$91,0),MATCH(Calculation!$G632,'Gen. Plant Additions'!$E$5:$AD$5,0))</f>
        <v>1199</v>
      </c>
      <c r="BN632" s="393">
        <f t="shared" si="1154"/>
        <v>0.95617429210377491</v>
      </c>
      <c r="BO632" s="46">
        <f t="shared" si="1166"/>
        <v>1146.4529762324262</v>
      </c>
      <c r="BP632" s="46">
        <f t="shared" si="1167"/>
        <v>-52.547023767573819</v>
      </c>
      <c r="BQ632" s="129">
        <f>INDEX('Dist Plant Depreciation'!$D$7:$AC$94,MATCH($C632,'Dist Plant Depreciation'!$C$7:$C$94,0),MATCH(Calculation!$G632,'Dist Plant Depreciation'!$D$5:$AC$5,0))</f>
        <v>161184</v>
      </c>
      <c r="BR632" s="129">
        <f>INDEX('Gen. Plant Depreciation'!$D$7:$AC$94,MATCH($C632,'Gen. Plant Depreciation'!$C$7:$C$94,0),MATCH(Calculation!$G632,'Gen. Plant Depreciation'!$D$5:$AC$5,0))</f>
        <v>11028</v>
      </c>
      <c r="BS632" s="129"/>
      <c r="BT632" s="129"/>
      <c r="BU632" s="129"/>
      <c r="BV632" s="129"/>
      <c r="BW632" s="129"/>
      <c r="BX632" s="129"/>
      <c r="BY632" s="129">
        <f>INDEX('Gross Dx Plant'!$D$7:$AC$91,MATCH($C632,'Gross Dx Plant'!$C$7:$C$91,0),MATCH(Calculation!$G632,'Gross Dx Plant'!$D$5:$AC$5,0))</f>
        <v>556263</v>
      </c>
      <c r="BZ632" s="129">
        <f>INDEX('Gross Gen Plant'!$D$7:$AC$91,MATCH($C632,'Gross Gen Plant'!$C$7:$C$91,0),MATCH(Calculation!$G632,'Gross Gen Plant'!$D$5:$AC$5,0))</f>
        <v>25496</v>
      </c>
      <c r="CA632" s="129">
        <f t="shared" si="1077"/>
        <v>409547</v>
      </c>
      <c r="CB632" s="129"/>
      <c r="CC632" s="133">
        <v>2002</v>
      </c>
      <c r="CD632" s="129"/>
      <c r="CE632" s="129"/>
      <c r="CF632" s="129"/>
      <c r="CG632" s="137"/>
      <c r="CH632" s="129">
        <f t="shared" si="1155"/>
        <v>22692</v>
      </c>
      <c r="CI632" s="46">
        <f t="shared" si="1164"/>
        <v>22639.452976232427</v>
      </c>
      <c r="CJ632" s="46">
        <f t="shared" si="1156"/>
        <v>62.652740827497482</v>
      </c>
      <c r="CK632" s="443">
        <v>0.95918367346938771</v>
      </c>
      <c r="CL632" s="46">
        <f>+CL628*CK632+CJ629*CK631+CJ630*CK630+CJ631*CK629+CJ632</f>
        <v>2029.7580228903412</v>
      </c>
      <c r="CM632" s="134">
        <f t="shared" si="1157"/>
        <v>2.021555623791426E-2</v>
      </c>
      <c r="CN632" s="135">
        <f t="shared" si="1158"/>
        <v>1.1076169500364682E-2</v>
      </c>
      <c r="CO632" s="135">
        <f t="shared" ref="CO632:CO652" si="1169">+(CN632+CN631+CN630)/3</f>
        <v>1.0478654689360411E-2</v>
      </c>
      <c r="CP632" s="134">
        <f>VLOOKUP($H632,RoR!$E:$F,2,FALSE)</f>
        <v>6.4916666666666664E-2</v>
      </c>
      <c r="CQ632" s="135">
        <v>1.5246423291824351E-2</v>
      </c>
      <c r="CR632" s="135">
        <f t="shared" si="1165"/>
        <v>4.9670243374842313E-2</v>
      </c>
      <c r="CS632" s="135">
        <f t="shared" ref="CS632:CS652" si="1170">+$CR$2-CO632</f>
        <v>2.0423286919173216E-2</v>
      </c>
      <c r="CT632" s="135">
        <f t="shared" ref="CT632:CT652" si="1171">+((DF630/DF629-1)+(DF631/DF630-1)+(DF632/DF631-1))/3</f>
        <v>2.5243621214759093E-2</v>
      </c>
      <c r="CU632" s="139">
        <f t="shared" si="1159"/>
        <v>0.85329623209999994</v>
      </c>
      <c r="CV632" s="335">
        <f t="shared" si="1160"/>
        <v>0.78996741384417901</v>
      </c>
      <c r="CW632" s="335">
        <f t="shared" si="1161"/>
        <v>0.58989088575096271</v>
      </c>
      <c r="CX632" s="335">
        <f t="shared" si="1162"/>
        <v>0.91920675783645744</v>
      </c>
      <c r="CY632" s="335">
        <f t="shared" si="1163"/>
        <v>0.42834536472275586</v>
      </c>
      <c r="CZ632" s="336">
        <f>INDEX('State Tax Lookup'!$D$7:$Z$91,MATCH(Calculation!$C632,'State Tax Lookup'!$B$7:$B$91,0),MATCH($H632,'State Tax Lookup'!$D$6:$Z$6,0))</f>
        <v>0.39649667</v>
      </c>
      <c r="DA632" s="303">
        <v>0.37</v>
      </c>
      <c r="DB632" s="57">
        <f t="shared" si="1168"/>
        <v>10.398808089180747</v>
      </c>
      <c r="DC632" s="56">
        <f t="shared" ref="DC632:DC652" si="1172">LN(DB632/DB631)</f>
        <v>2.9424526261031146E-3</v>
      </c>
      <c r="DD632" s="303">
        <f>VLOOKUP($H632,RoR!$E:$F,2,FALSE)</f>
        <v>6.4916666666666664E-2</v>
      </c>
      <c r="DE632" s="304">
        <f>HLOOKUP($H632,'GDP-PI'!$D$8:$CQ$11,3,FALSE)</f>
        <v>1.5246423291824351E-2</v>
      </c>
      <c r="DF632" s="303">
        <f>VLOOKUP(H632,'HW Dx Data'!$E:$F,2,FALSE)</f>
        <v>361.34816573413599</v>
      </c>
      <c r="DG632" s="89"/>
      <c r="DH632" s="89"/>
      <c r="DI632" s="89"/>
      <c r="DJ632" s="56"/>
      <c r="DK632" s="53">
        <f>HLOOKUP(H632,'GDP-PI'!$8:$9,2,FALSE)</f>
        <v>81.039000000000001</v>
      </c>
      <c r="DL632" s="355">
        <f>LN(DK632/DK631)</f>
        <v>1.513136459537477E-2</v>
      </c>
      <c r="EC632"/>
    </row>
    <row r="633" spans="1:133" s="126" customFormat="1" ht="21" customHeight="1" x14ac:dyDescent="0.4">
      <c r="A633" s="233" t="s">
        <v>219</v>
      </c>
      <c r="B633" s="127" t="s">
        <v>219</v>
      </c>
      <c r="C633" s="127">
        <v>4004389</v>
      </c>
      <c r="D633" s="127" t="s">
        <v>194</v>
      </c>
      <c r="E633" s="127" t="s">
        <v>15</v>
      </c>
      <c r="F633" s="127"/>
      <c r="G633" s="127" t="s">
        <v>159</v>
      </c>
      <c r="H633" s="128">
        <v>2003</v>
      </c>
      <c r="I633" s="129"/>
      <c r="J633" s="125"/>
      <c r="K633" s="125"/>
      <c r="L633" s="47"/>
      <c r="M633" s="125"/>
      <c r="N633" s="125"/>
      <c r="O633" s="125"/>
      <c r="P633" s="59"/>
      <c r="Q633" s="59"/>
      <c r="R633" s="386"/>
      <c r="S633" s="119"/>
      <c r="T633" s="59"/>
      <c r="U633" s="59"/>
      <c r="V633" s="125"/>
      <c r="W633" s="125"/>
      <c r="X633" s="125"/>
      <c r="Y633" s="125"/>
      <c r="Z633" s="125"/>
      <c r="AA633" s="125"/>
      <c r="AB633" s="125"/>
      <c r="AC633" s="125">
        <f t="shared" si="1153"/>
        <v>21264.038209284823</v>
      </c>
      <c r="AD633" s="129"/>
      <c r="AE633" s="133">
        <v>2119.6535654166819</v>
      </c>
      <c r="AF633" s="134">
        <v>2.4059703863184793E-2</v>
      </c>
      <c r="AG633" s="61"/>
      <c r="AH633" s="134"/>
      <c r="AI633" s="134"/>
      <c r="AJ633" s="129">
        <f t="shared" si="1120"/>
        <v>21264.038209284823</v>
      </c>
      <c r="AK633" s="134"/>
      <c r="AL633" s="129"/>
      <c r="AM633" s="129"/>
      <c r="AN633" s="129"/>
      <c r="AO633" s="129"/>
      <c r="AP633" s="133"/>
      <c r="AQ633" s="134"/>
      <c r="AR633" s="93"/>
      <c r="AS633" s="93"/>
      <c r="AT633" s="93"/>
      <c r="AU633" s="93"/>
      <c r="AV633" s="93"/>
      <c r="AW633" s="134"/>
      <c r="AX633" s="62"/>
      <c r="AY633" s="93"/>
      <c r="AZ633" s="93"/>
      <c r="BA633" s="93"/>
      <c r="BB633" s="234">
        <f>IFERROR(INDEX('Total Customers'!$E$7:$AA$91,MATCH($C633,'Total Customers'!$C$7:$C$91,0),MATCH($G633,'Total Customers'!$E$5:$AA$5,0)),"NA")</f>
        <v>252691</v>
      </c>
      <c r="BC633" s="411">
        <f t="shared" si="1076"/>
        <v>4.5932047499164649E-3</v>
      </c>
      <c r="BD633" s="92"/>
      <c r="BE633" s="281" t="str">
        <f t="shared" si="1062"/>
        <v>NEW YORK STATE ELECTRIC &amp; GAS CORPORATION</v>
      </c>
      <c r="BF633" s="290">
        <f t="shared" si="1063"/>
        <v>4004389</v>
      </c>
      <c r="BG633" s="46" t="str">
        <f t="shared" si="1064"/>
        <v>NY</v>
      </c>
      <c r="BH633" s="46"/>
      <c r="BI633" s="46" t="str">
        <f t="shared" si="1065"/>
        <v>2003 Y</v>
      </c>
      <c r="BJ633" s="129"/>
      <c r="BK633" s="129"/>
      <c r="BL633" s="129">
        <f>INDEX('Dist. Plant Gas Additions'!$E$7:$AD$91,MATCH($C633,'Dist. Plant Gas Additions'!$C$7:$C$91,0),MATCH(Calculation!$G633,'Dist. Plant Gas Additions'!$E$5:$AD$5,0))</f>
        <v>22051</v>
      </c>
      <c r="BM633" s="129">
        <f>INDEX('Gen. Plant Additions'!$E$7:$AD$91,MATCH($C633,'Gen. Plant Additions'!$C$7:$C$91,0),MATCH(Calculation!$G633,'Gen. Plant Additions'!$E$5:$AD$5,0))</f>
        <v>894</v>
      </c>
      <c r="BN633" s="393">
        <f t="shared" si="1154"/>
        <v>0.95912694705089363</v>
      </c>
      <c r="BO633" s="46">
        <f t="shared" si="1166"/>
        <v>857.45949066349885</v>
      </c>
      <c r="BP633" s="46">
        <f t="shared" si="1167"/>
        <v>-36.540509336501145</v>
      </c>
      <c r="BQ633" s="129">
        <f>INDEX('Dist Plant Depreciation'!$D$7:$AC$94,MATCH($C633,'Dist Plant Depreciation'!$C$7:$C$94,0),MATCH(Calculation!$G633,'Dist Plant Depreciation'!$D$5:$AC$5,0))</f>
        <v>165793</v>
      </c>
      <c r="BR633" s="129">
        <f>INDEX('Gen. Plant Depreciation'!$D$7:$AC$94,MATCH($C633,'Gen. Plant Depreciation'!$C$7:$C$94,0),MATCH(Calculation!$G633,'Gen. Plant Depreciation'!$D$5:$AC$5,0))</f>
        <v>11105</v>
      </c>
      <c r="BS633" s="129"/>
      <c r="BT633" s="129"/>
      <c r="BU633" s="129"/>
      <c r="BV633" s="129"/>
      <c r="BW633" s="129"/>
      <c r="BX633" s="129"/>
      <c r="BY633" s="129">
        <f>INDEX('Gross Dx Plant'!$D$7:$AC$91,MATCH($C633,'Gross Dx Plant'!$C$7:$C$91,0),MATCH(Calculation!$G633,'Gross Dx Plant'!$D$5:$AC$5,0))</f>
        <v>574870</v>
      </c>
      <c r="BZ633" s="129">
        <f>INDEX('Gross Gen Plant'!$D$7:$AC$91,MATCH($C633,'Gross Gen Plant'!$C$7:$C$91,0),MATCH(Calculation!$G633,'Gross Gen Plant'!$D$5:$AC$5,0))</f>
        <v>24498</v>
      </c>
      <c r="CA633" s="129">
        <f t="shared" si="1077"/>
        <v>422470</v>
      </c>
      <c r="CB633" s="129"/>
      <c r="CC633" s="133">
        <v>2003</v>
      </c>
      <c r="CD633" s="129"/>
      <c r="CE633" s="129"/>
      <c r="CF633" s="129"/>
      <c r="CG633" s="137"/>
      <c r="CH633" s="129">
        <f t="shared" si="1155"/>
        <v>22945</v>
      </c>
      <c r="CI633" s="46">
        <f t="shared" si="1164"/>
        <v>22908.459490663499</v>
      </c>
      <c r="CJ633" s="46">
        <f t="shared" si="1156"/>
        <v>62.043367767618442</v>
      </c>
      <c r="CK633" s="443">
        <v>0.94845360824742264</v>
      </c>
      <c r="CL633" s="46">
        <f>+CL628*CK633+CJ629*CK632+CJ630*CK631+CJ631*CK630+CJ632*CK629+CJ633</f>
        <v>2069.3069036568149</v>
      </c>
      <c r="CM633" s="134">
        <f t="shared" si="1157"/>
        <v>1.9297136656068345E-2</v>
      </c>
      <c r="CN633" s="135">
        <f t="shared" si="1158"/>
        <v>1.1082349101452454E-2</v>
      </c>
      <c r="CO633" s="135">
        <f t="shared" si="1169"/>
        <v>1.0777127647583554E-2</v>
      </c>
      <c r="CP633" s="134">
        <f>VLOOKUP($H633,RoR!$E:$F,2,FALSE)</f>
        <v>5.6666666666666671E-2</v>
      </c>
      <c r="CQ633" s="135">
        <v>1.8855119140166909E-2</v>
      </c>
      <c r="CR633" s="135">
        <f t="shared" si="1165"/>
        <v>3.7811547526499761E-2</v>
      </c>
      <c r="CS633" s="135">
        <f t="shared" si="1170"/>
        <v>2.0124813960950071E-2</v>
      </c>
      <c r="CT633" s="135">
        <f t="shared" si="1171"/>
        <v>2.1375012817671957E-2</v>
      </c>
      <c r="CU633" s="139">
        <f t="shared" si="1159"/>
        <v>0.85329623209999994</v>
      </c>
      <c r="CV633" s="335">
        <f t="shared" si="1160"/>
        <v>0.90497737556561086</v>
      </c>
      <c r="CW633" s="335">
        <f t="shared" si="1161"/>
        <v>0.5338235294117647</v>
      </c>
      <c r="CX633" s="335">
        <f t="shared" si="1162"/>
        <v>0.88972433127405692</v>
      </c>
      <c r="CY633" s="335">
        <f t="shared" si="1163"/>
        <v>0.42982423775949252</v>
      </c>
      <c r="CZ633" s="336">
        <f>INDEX('State Tax Lookup'!$D$7:$Z$91,MATCH(Calculation!$C633,'State Tax Lookup'!$B$7:$B$91,0),MATCH($H633,'State Tax Lookup'!$D$6:$Z$6,0))</f>
        <v>0.39649667</v>
      </c>
      <c r="DA633" s="303">
        <v>0.37</v>
      </c>
      <c r="DB633" s="57">
        <f t="shared" si="1168"/>
        <v>10.476144431741274</v>
      </c>
      <c r="DC633" s="56">
        <f t="shared" si="1172"/>
        <v>7.4095206973893253E-3</v>
      </c>
      <c r="DD633" s="303">
        <f>VLOOKUP($H633,RoR!$E:$F,2,FALSE)</f>
        <v>5.6666666666666671E-2</v>
      </c>
      <c r="DE633" s="304">
        <f>HLOOKUP($H633,'GDP-PI'!$D$8:$CQ$11,3,FALSE)</f>
        <v>1.8855119140166909E-2</v>
      </c>
      <c r="DF633" s="303">
        <f>VLOOKUP(H633,'HW Dx Data'!$E:$F,2,FALSE)</f>
        <v>369.23301095560191</v>
      </c>
      <c r="DG633" s="89">
        <f ca="1">VLOOKUP(CC633,'ECI - Input Price'!M$13:N$33,2,FALSE)</f>
        <v>89.25</v>
      </c>
      <c r="DH633" s="89"/>
      <c r="DI633" s="89"/>
      <c r="DJ633" s="56"/>
      <c r="DK633" s="53">
        <f>HLOOKUP(H633,'GDP-PI'!$8:$9,2,FALSE)</f>
        <v>82.566999999999993</v>
      </c>
      <c r="DL633" s="355">
        <f t="shared" ref="DL633:DL652" si="1173">LN(DK633/DK632)</f>
        <v>1.8679564681853753E-2</v>
      </c>
      <c r="EC633"/>
    </row>
    <row r="634" spans="1:133" s="126" customFormat="1" ht="21" customHeight="1" x14ac:dyDescent="0.4">
      <c r="A634" s="233" t="s">
        <v>219</v>
      </c>
      <c r="B634" s="127" t="s">
        <v>219</v>
      </c>
      <c r="C634" s="127">
        <v>4004389</v>
      </c>
      <c r="D634" s="127" t="s">
        <v>194</v>
      </c>
      <c r="E634" s="127" t="s">
        <v>15</v>
      </c>
      <c r="F634" s="127"/>
      <c r="G634" s="127" t="s">
        <v>160</v>
      </c>
      <c r="H634" s="128">
        <v>2004</v>
      </c>
      <c r="I634" s="129"/>
      <c r="J634" s="125">
        <f>IFERROR(INDEX('Labor Expenditures'!$E$7:$W$91,MATCH($C634,'Labor Expenditures'!$C$7:$C$91,0),MATCH($G634,'Labor Expenditures'!$E$5:$W$5,0)),"NA")</f>
        <v>19608.150257914411</v>
      </c>
      <c r="K634" s="125">
        <f t="shared" ref="K634:K652" ca="1" si="1174">+J634/DG634</f>
        <v>207.82353214535678</v>
      </c>
      <c r="L634" s="47"/>
      <c r="M634" s="131"/>
      <c r="N634" s="131"/>
      <c r="O634" s="131"/>
      <c r="P634" s="59"/>
      <c r="Q634" s="59"/>
      <c r="R634" s="386"/>
      <c r="S634" s="119"/>
      <c r="T634" s="59"/>
      <c r="U634" s="59"/>
      <c r="V634" s="125">
        <f>IFERROR(INDEX('Non-Labor Expenditures'!$E$7:$AA$91,MATCH($C634,'Non-Labor Expenditures'!$C$7:$C$91,0),MATCH($G634,'Non-Labor Expenditures'!$E$5:$AA$5,0)),"NA")</f>
        <v>28396.263870752806</v>
      </c>
      <c r="W634" s="125">
        <f t="shared" ref="W634:W652" si="1175">+V634/DK634</f>
        <v>334.94849926576239</v>
      </c>
      <c r="X634" s="125"/>
      <c r="Y634" s="125"/>
      <c r="Z634" s="125"/>
      <c r="AA634" s="125"/>
      <c r="AB634" s="125"/>
      <c r="AC634" s="125">
        <f t="shared" si="1153"/>
        <v>23771.622320316426</v>
      </c>
      <c r="AD634" s="129"/>
      <c r="AE634" s="133">
        <v>2143.5012108717783</v>
      </c>
      <c r="AF634" s="134">
        <v>1.1187909168424163E-2</v>
      </c>
      <c r="AG634" s="59">
        <f t="shared" ref="AG634:AG652" si="1176">+AF634*$AX634</f>
        <v>0</v>
      </c>
      <c r="AH634" s="134"/>
      <c r="AI634" s="134"/>
      <c r="AJ634" s="129">
        <f t="shared" si="1120"/>
        <v>71776.03644898365</v>
      </c>
      <c r="AK634" s="134"/>
      <c r="AL634" s="129"/>
      <c r="AM634" s="129"/>
      <c r="AN634" s="129"/>
      <c r="AO634" s="129"/>
      <c r="AP634" s="133"/>
      <c r="AQ634" s="134"/>
      <c r="AR634" s="93">
        <f t="shared" ref="AR634:AR652" si="1177">+J634/AJ634</f>
        <v>0.27318519143713543</v>
      </c>
      <c r="AS634" s="93">
        <f t="shared" ref="AS634:AS652" si="1178">+V634/AJ634</f>
        <v>0.39562318115651396</v>
      </c>
      <c r="AT634" s="93">
        <f t="shared" ref="AT634:AT652" si="1179">+AC634/AJ634</f>
        <v>0.3311916274063505</v>
      </c>
      <c r="AU634" s="93"/>
      <c r="AV634" s="93"/>
      <c r="AW634" s="134"/>
      <c r="AX634" s="62"/>
      <c r="AY634" s="93"/>
      <c r="AZ634" s="93"/>
      <c r="BA634" s="93"/>
      <c r="BB634" s="234">
        <f>IFERROR(INDEX('Total Customers'!$E$7:$AA$91,MATCH($C634,'Total Customers'!$C$7:$C$91,0),MATCH($G634,'Total Customers'!$E$5:$AA$5,0)),"NA")</f>
        <v>253468</v>
      </c>
      <c r="BC634" s="411">
        <f t="shared" si="1076"/>
        <v>3.0701839158655928E-3</v>
      </c>
      <c r="BD634" s="92"/>
      <c r="BE634" s="281" t="str">
        <f t="shared" si="1062"/>
        <v>NEW YORK STATE ELECTRIC &amp; GAS CORPORATION</v>
      </c>
      <c r="BF634" s="290">
        <f t="shared" si="1063"/>
        <v>4004389</v>
      </c>
      <c r="BG634" s="46" t="str">
        <f t="shared" si="1064"/>
        <v>NY</v>
      </c>
      <c r="BH634" s="46"/>
      <c r="BI634" s="46" t="str">
        <f t="shared" si="1065"/>
        <v>2004 Y</v>
      </c>
      <c r="BJ634" s="129"/>
      <c r="BK634" s="129"/>
      <c r="BL634" s="129">
        <f>INDEX('Dist. Plant Gas Additions'!$E$7:$AD$91,MATCH($C634,'Dist. Plant Gas Additions'!$C$7:$C$91,0),MATCH(Calculation!$G634,'Dist. Plant Gas Additions'!$E$5:$AD$5,0))</f>
        <v>19542</v>
      </c>
      <c r="BM634" s="129">
        <f>INDEX('Gen. Plant Additions'!$E$7:$AD$91,MATCH($C634,'Gen. Plant Additions'!$C$7:$C$91,0),MATCH(Calculation!$G634,'Gen. Plant Additions'!$E$5:$AD$5,0))</f>
        <v>-4487</v>
      </c>
      <c r="BN634" s="393">
        <f t="shared" si="1154"/>
        <v>0.9672646048335064</v>
      </c>
      <c r="BO634" s="46">
        <f t="shared" si="1166"/>
        <v>-4340.1162818879429</v>
      </c>
      <c r="BP634" s="46">
        <f t="shared" si="1167"/>
        <v>146.88371811205707</v>
      </c>
      <c r="BQ634" s="129">
        <f>INDEX('Dist Plant Depreciation'!$D$7:$AC$94,MATCH($C634,'Dist Plant Depreciation'!$C$7:$C$94,0),MATCH(Calculation!$G634,'Dist Plant Depreciation'!$D$5:$AC$5,0))</f>
        <v>175327</v>
      </c>
      <c r="BR634" s="129">
        <f>INDEX('Gen. Plant Depreciation'!$D$7:$AC$94,MATCH($C634,'Gen. Plant Depreciation'!$C$7:$C$94,0),MATCH(Calculation!$G634,'Gen. Plant Depreciation'!$D$5:$AC$5,0))</f>
        <v>7708</v>
      </c>
      <c r="BS634" s="129"/>
      <c r="BT634" s="129"/>
      <c r="BU634" s="129"/>
      <c r="BV634" s="129"/>
      <c r="BW634" s="129"/>
      <c r="BX634" s="129"/>
      <c r="BY634" s="129">
        <f>INDEX('Gross Dx Plant'!$D$7:$AC$91,MATCH($C634,'Gross Dx Plant'!$C$7:$C$91,0),MATCH(Calculation!$G634,'Gross Dx Plant'!$D$5:$AC$5,0))</f>
        <v>590664</v>
      </c>
      <c r="BZ634" s="129">
        <f>INDEX('Gross Gen Plant'!$D$7:$AC$91,MATCH($C634,'Gross Gen Plant'!$C$7:$C$91,0),MATCH(Calculation!$G634,'Gross Gen Plant'!$D$5:$AC$5,0))</f>
        <v>19990</v>
      </c>
      <c r="CA634" s="129">
        <f t="shared" si="1077"/>
        <v>427619</v>
      </c>
      <c r="CB634" s="129"/>
      <c r="CC634" s="133">
        <v>2004</v>
      </c>
      <c r="CD634" s="129"/>
      <c r="CE634" s="129"/>
      <c r="CF634" s="129"/>
      <c r="CG634" s="137"/>
      <c r="CH634" s="129">
        <f t="shared" si="1155"/>
        <v>15055</v>
      </c>
      <c r="CI634" s="46">
        <f t="shared" si="1164"/>
        <v>15201.883718112058</v>
      </c>
      <c r="CJ634" s="46">
        <f t="shared" si="1156"/>
        <v>36.641005157481544</v>
      </c>
      <c r="CK634" s="443">
        <v>0.9375</v>
      </c>
      <c r="CL634" s="46">
        <f>+CL628*CK634+CJ629*CK633+CJ630*CK632+CJ631*CK631+CJ632*CK630+CJ633*CK629+CJ634</f>
        <v>2082.3718797466754</v>
      </c>
      <c r="CM634" s="134">
        <f t="shared" si="1157"/>
        <v>6.2938487775720088E-3</v>
      </c>
      <c r="CN634" s="135">
        <f t="shared" si="1158"/>
        <v>1.1393200798759358E-2</v>
      </c>
      <c r="CO634" s="135">
        <f t="shared" si="1169"/>
        <v>1.1183906466858832E-2</v>
      </c>
      <c r="CP634" s="134">
        <f>VLOOKUP($H634,RoR!$E:$F,2,FALSE)</f>
        <v>5.6283333333333331E-2</v>
      </c>
      <c r="CQ634" s="135">
        <v>2.6778252812867276E-2</v>
      </c>
      <c r="CR634" s="135">
        <f t="shared" si="1165"/>
        <v>2.9505080520466055E-2</v>
      </c>
      <c r="CS634" s="135">
        <f t="shared" si="1170"/>
        <v>1.9718035141674792E-2</v>
      </c>
      <c r="CT634" s="135">
        <f t="shared" si="1171"/>
        <v>5.5940039414565046E-2</v>
      </c>
      <c r="CU634" s="139">
        <f t="shared" si="1159"/>
        <v>0.85329623209999994</v>
      </c>
      <c r="CV634" s="335">
        <f t="shared" si="1160"/>
        <v>0.91114097628755619</v>
      </c>
      <c r="CW634" s="335">
        <f t="shared" si="1161"/>
        <v>0.53081877405981637</v>
      </c>
      <c r="CX634" s="335">
        <f t="shared" si="1162"/>
        <v>0.88811215519385678</v>
      </c>
      <c r="CY634" s="335">
        <f t="shared" si="1163"/>
        <v>0.42953609753547711</v>
      </c>
      <c r="CZ634" s="336">
        <f>INDEX('State Tax Lookup'!$D$7:$Z$91,MATCH(Calculation!$C634,'State Tax Lookup'!$B$7:$B$91,0),MATCH($H634,'State Tax Lookup'!$D$6:$Z$6,0))</f>
        <v>0.39649667</v>
      </c>
      <c r="DA634" s="303">
        <v>0.37</v>
      </c>
      <c r="DB634" s="57">
        <f t="shared" si="1168"/>
        <v>11.487721941249001</v>
      </c>
      <c r="DC634" s="56">
        <f t="shared" si="1172"/>
        <v>9.2178094267165223E-2</v>
      </c>
      <c r="DD634" s="303">
        <f>VLOOKUP($H634,RoR!$E:$F,2,FALSE)</f>
        <v>5.6283333333333331E-2</v>
      </c>
      <c r="DE634" s="304">
        <f>HLOOKUP($H634,'GDP-PI'!$D$8:$CQ$11,3,FALSE)</f>
        <v>2.6778252812867276E-2</v>
      </c>
      <c r="DF634" s="303">
        <f>VLOOKUP(H634,'HW Dx Data'!$E:$F,2,FALSE)</f>
        <v>414.88719135228365</v>
      </c>
      <c r="DG634" s="89">
        <f ca="1">VLOOKUP(CC634,'ECI - Input Price'!M$13:N$33,2,FALSE)</f>
        <v>94.35</v>
      </c>
      <c r="DH634" s="89"/>
      <c r="DI634" s="89"/>
      <c r="DJ634" s="56">
        <f t="shared" ref="DJ634:DJ652" ca="1" si="1180">LN(DG634/DG633)</f>
        <v>5.5569851154810786E-2</v>
      </c>
      <c r="DK634" s="53">
        <f>HLOOKUP(H634,'GDP-PI'!$8:$9,2,FALSE)</f>
        <v>84.778000000000006</v>
      </c>
      <c r="DL634" s="355">
        <f t="shared" si="1173"/>
        <v>2.6425990216022755E-2</v>
      </c>
      <c r="EC634"/>
    </row>
    <row r="635" spans="1:133" s="126" customFormat="1" ht="21" customHeight="1" x14ac:dyDescent="0.4">
      <c r="A635" s="233" t="s">
        <v>219</v>
      </c>
      <c r="B635" s="127" t="s">
        <v>219</v>
      </c>
      <c r="C635" s="127">
        <v>4004389</v>
      </c>
      <c r="D635" s="127" t="s">
        <v>194</v>
      </c>
      <c r="E635" s="127" t="s">
        <v>15</v>
      </c>
      <c r="F635" s="127"/>
      <c r="G635" s="127" t="s">
        <v>161</v>
      </c>
      <c r="H635" s="128">
        <v>2005</v>
      </c>
      <c r="I635" s="129"/>
      <c r="J635" s="125">
        <f>IFERROR(INDEX('Labor Expenditures'!$E$7:$W$91,MATCH($C635,'Labor Expenditures'!$C$7:$C$91,0),MATCH($G635,'Labor Expenditures'!$E$5:$W$5,0)),"NA")</f>
        <v>19297.46800562353</v>
      </c>
      <c r="K635" s="125">
        <f t="shared" ca="1" si="1174"/>
        <v>194.48191489668463</v>
      </c>
      <c r="L635" s="47"/>
      <c r="M635" s="131">
        <f t="shared" ref="M635:M651" ca="1" si="1181">LN(K635/K634)</f>
        <v>-6.6350140257327009E-2</v>
      </c>
      <c r="N635" s="131"/>
      <c r="O635" s="131"/>
      <c r="P635" s="59"/>
      <c r="Q635" s="61"/>
      <c r="R635" s="387"/>
      <c r="S635" s="49">
        <v>100</v>
      </c>
      <c r="T635" s="46"/>
      <c r="U635" s="46"/>
      <c r="V635" s="125">
        <f>IFERROR(INDEX('Non-Labor Expenditures'!$E$7:$AA$91,MATCH($C635,'Non-Labor Expenditures'!$C$7:$C$91,0),MATCH($G635,'Non-Labor Expenditures'!$E$5:$AA$5,0)),"NA")</f>
        <v>27946.33794199516</v>
      </c>
      <c r="W635" s="125">
        <f t="shared" si="1175"/>
        <v>319.72654297705174</v>
      </c>
      <c r="X635" s="131">
        <f>LN(W635/W634)</f>
        <v>-4.6510709213490799E-2</v>
      </c>
      <c r="Y635" s="131"/>
      <c r="Z635" s="131"/>
      <c r="AA635" s="131"/>
      <c r="AB635" s="131"/>
      <c r="AC635" s="125">
        <f t="shared" si="1153"/>
        <v>26666.008888543667</v>
      </c>
      <c r="AD635" s="129"/>
      <c r="AE635" s="133">
        <v>2166.3132459273611</v>
      </c>
      <c r="AF635" s="134">
        <v>1.0586185704358514E-2</v>
      </c>
      <c r="AG635" s="59">
        <f t="shared" si="1176"/>
        <v>0</v>
      </c>
      <c r="AH635" s="134"/>
      <c r="AI635" s="134"/>
      <c r="AJ635" s="129">
        <f t="shared" si="1120"/>
        <v>73909.814836162361</v>
      </c>
      <c r="AK635" s="134">
        <f>LN(AJ635/AJ634)</f>
        <v>2.9294965379271974E-2</v>
      </c>
      <c r="AL635" s="129"/>
      <c r="AM635" s="129"/>
      <c r="AN635" s="129"/>
      <c r="AO635" s="129"/>
      <c r="AP635" s="133"/>
      <c r="AQ635" s="134"/>
      <c r="AR635" s="93">
        <f t="shared" si="1177"/>
        <v>0.26109479571015953</v>
      </c>
      <c r="AS635" s="93">
        <f t="shared" si="1178"/>
        <v>0.37811402996942245</v>
      </c>
      <c r="AT635" s="93">
        <f t="shared" si="1179"/>
        <v>0.36079117432041796</v>
      </c>
      <c r="AU635" s="93">
        <f t="shared" ref="AU635:AU651" ca="1" si="1182">+(((AR635+AR634)/2)*M635+((AS634+AS635)/2)*X635+((AT634+AT635)/2)*AF635)</f>
        <v>-3.2055580037469888E-2</v>
      </c>
      <c r="AV635" s="132">
        <v>100</v>
      </c>
      <c r="AW635" s="134"/>
      <c r="AX635" s="15"/>
      <c r="AY635" s="93"/>
      <c r="AZ635" s="93"/>
      <c r="BA635" s="93"/>
      <c r="BB635" s="234">
        <f>IFERROR(INDEX('Total Customers'!$E$7:$AA$91,MATCH($C635,'Total Customers'!$C$7:$C$91,0),MATCH($G635,'Total Customers'!$E$5:$AA$5,0)),"NA")</f>
        <v>254413</v>
      </c>
      <c r="BC635" s="411">
        <f t="shared" si="1076"/>
        <v>3.7213484677078744E-3</v>
      </c>
      <c r="BD635" s="92"/>
      <c r="BE635" s="281" t="str">
        <f t="shared" si="1062"/>
        <v>NEW YORK STATE ELECTRIC &amp; GAS CORPORATION</v>
      </c>
      <c r="BF635" s="290">
        <f t="shared" si="1063"/>
        <v>4004389</v>
      </c>
      <c r="BG635" s="46" t="str">
        <f t="shared" si="1064"/>
        <v>NY</v>
      </c>
      <c r="BH635" s="46"/>
      <c r="BI635" s="46" t="str">
        <f t="shared" si="1065"/>
        <v>2005 Y</v>
      </c>
      <c r="BJ635" s="129"/>
      <c r="BK635" s="129"/>
      <c r="BL635" s="129">
        <f>INDEX('Dist. Plant Gas Additions'!$E$7:$AD$91,MATCH($C635,'Dist. Plant Gas Additions'!$C$7:$C$91,0),MATCH(Calculation!$G635,'Dist. Plant Gas Additions'!$E$5:$AD$5,0))</f>
        <v>15345</v>
      </c>
      <c r="BM635" s="129">
        <f>INDEX('Gen. Plant Additions'!$E$7:$AD$91,MATCH($C635,'Gen. Plant Additions'!$C$7:$C$91,0),MATCH(Calculation!$G635,'Gen. Plant Additions'!$E$5:$AD$5,0))</f>
        <v>1470</v>
      </c>
      <c r="BN635" s="393">
        <f t="shared" si="1154"/>
        <v>0.96831811941520751</v>
      </c>
      <c r="BO635" s="46">
        <f t="shared" si="1166"/>
        <v>1423.4276355403551</v>
      </c>
      <c r="BP635" s="46">
        <f t="shared" si="1167"/>
        <v>-46.572364459644859</v>
      </c>
      <c r="BQ635" s="129">
        <f>INDEX('Dist Plant Depreciation'!$D$7:$AC$94,MATCH($C635,'Dist Plant Depreciation'!$C$7:$C$94,0),MATCH(Calculation!$G635,'Dist Plant Depreciation'!$D$5:$AC$5,0))</f>
        <v>186576</v>
      </c>
      <c r="BR635" s="129">
        <f>INDEX('Gen. Plant Depreciation'!$D$7:$AC$94,MATCH($C635,'Gen. Plant Depreciation'!$C$7:$C$94,0),MATCH(Calculation!$G635,'Gen. Plant Depreciation'!$D$5:$AC$5,0))</f>
        <v>7606</v>
      </c>
      <c r="BS635" s="129"/>
      <c r="BT635" s="129"/>
      <c r="BU635" s="129"/>
      <c r="BV635" s="129"/>
      <c r="BW635" s="129"/>
      <c r="BX635" s="129"/>
      <c r="BY635" s="129">
        <f>INDEX('Gross Dx Plant'!$D$7:$AC$91,MATCH($C635,'Gross Dx Plant'!$C$7:$C$91,0),MATCH(Calculation!$G635,'Gross Dx Plant'!$D$5:$AC$5,0))</f>
        <v>603054</v>
      </c>
      <c r="BZ635" s="129">
        <f>INDEX('Gross Gen Plant'!$D$7:$AC$91,MATCH($C635,'Gross Gen Plant'!$C$7:$C$91,0),MATCH(Calculation!$G635,'Gross Gen Plant'!$D$5:$AC$5,0))</f>
        <v>19731</v>
      </c>
      <c r="CA635" s="129">
        <f t="shared" si="1077"/>
        <v>428603</v>
      </c>
      <c r="CB635" s="129"/>
      <c r="CC635" s="133">
        <v>2005</v>
      </c>
      <c r="CD635" s="129"/>
      <c r="CE635" s="129"/>
      <c r="CF635" s="129"/>
      <c r="CG635" s="137"/>
      <c r="CH635" s="129">
        <f t="shared" si="1155"/>
        <v>16815</v>
      </c>
      <c r="CI635" s="46">
        <f t="shared" si="1164"/>
        <v>16768.427635540356</v>
      </c>
      <c r="CJ635" s="46">
        <f t="shared" si="1156"/>
        <v>35.737945289889311</v>
      </c>
      <c r="CK635" s="443">
        <v>0.9263157894736842</v>
      </c>
      <c r="CL635" s="46">
        <f>+CL628*CK635+CJ629*CK634+CJ630*CK633+CJ631*CK632+CJ632*CK631+CJ633*CK630+CJ634*CK629+CJ635</f>
        <v>2093.6767641763408</v>
      </c>
      <c r="CM635" s="134">
        <f t="shared" si="1157"/>
        <v>5.4141668398906637E-3</v>
      </c>
      <c r="CN635" s="135">
        <f t="shared" si="1158"/>
        <v>1.1733284096784962E-2</v>
      </c>
      <c r="CO635" s="135">
        <f t="shared" si="1169"/>
        <v>1.1402944665665592E-2</v>
      </c>
      <c r="CP635" s="134">
        <f>VLOOKUP($H635,RoR!$E:$F,2,FALSE)</f>
        <v>5.2350000000000001E-2</v>
      </c>
      <c r="CQ635" s="135">
        <v>3.1010403642454332E-2</v>
      </c>
      <c r="CR635" s="135">
        <f t="shared" si="1165"/>
        <v>2.1339596357545669E-2</v>
      </c>
      <c r="CS635" s="135">
        <f t="shared" si="1170"/>
        <v>1.9498996942868031E-2</v>
      </c>
      <c r="CT635" s="135">
        <f t="shared" si="1171"/>
        <v>9.2129610649277341E-2</v>
      </c>
      <c r="CU635" s="139">
        <f t="shared" si="1159"/>
        <v>0.85329623209999994</v>
      </c>
      <c r="CV635" s="335">
        <f t="shared" si="1160"/>
        <v>0.97959983346802826</v>
      </c>
      <c r="CW635" s="335">
        <f t="shared" si="1161"/>
        <v>0.49744508118433622</v>
      </c>
      <c r="CX635" s="335">
        <f t="shared" si="1162"/>
        <v>0.87010519444335932</v>
      </c>
      <c r="CY635" s="335">
        <f t="shared" si="1163"/>
        <v>0.42399975420741998</v>
      </c>
      <c r="CZ635" s="336">
        <f>INDEX('State Tax Lookup'!$D$7:$Z$91,MATCH(Calculation!$C635,'State Tax Lookup'!$B$7:$B$91,0),MATCH($H635,'State Tax Lookup'!$D$6:$Z$6,0))</f>
        <v>0.39649667</v>
      </c>
      <c r="DA635" s="303">
        <v>0.37</v>
      </c>
      <c r="DB635" s="57">
        <f t="shared" si="1168"/>
        <v>12.805594018964394</v>
      </c>
      <c r="DC635" s="56">
        <f t="shared" si="1172"/>
        <v>0.10860330045169977</v>
      </c>
      <c r="DD635" s="303">
        <f>VLOOKUP($H635,RoR!$E:$F,2,FALSE)</f>
        <v>5.2350000000000001E-2</v>
      </c>
      <c r="DE635" s="304">
        <f>HLOOKUP($H635,'GDP-PI'!$D$8:$CQ$11,3,FALSE)</f>
        <v>3.1010403642454332E-2</v>
      </c>
      <c r="DF635" s="303">
        <f>VLOOKUP(H635,'HW Dx Data'!$E:$F,2,FALSE)</f>
        <v>469.20514034936258</v>
      </c>
      <c r="DG635" s="89">
        <f ca="1">VLOOKUP(CC635,'ECI - Input Price'!M$13:N$33,2,FALSE)</f>
        <v>99.224999999999994</v>
      </c>
      <c r="DH635" s="89"/>
      <c r="DI635" s="89"/>
      <c r="DJ635" s="56">
        <f t="shared" ca="1" si="1180"/>
        <v>5.0378726854569796E-2</v>
      </c>
      <c r="DK635" s="53">
        <f>HLOOKUP(H635,'GDP-PI'!$8:$9,2,FALSE)</f>
        <v>87.406999999999996</v>
      </c>
      <c r="DL635" s="355">
        <f t="shared" si="1173"/>
        <v>3.0539295810733648E-2</v>
      </c>
      <c r="EC635"/>
    </row>
    <row r="636" spans="1:133" s="126" customFormat="1" ht="21" customHeight="1" x14ac:dyDescent="0.4">
      <c r="A636" s="233" t="s">
        <v>219</v>
      </c>
      <c r="B636" s="127" t="s">
        <v>219</v>
      </c>
      <c r="C636" s="127">
        <v>4004389</v>
      </c>
      <c r="D636" s="127" t="s">
        <v>194</v>
      </c>
      <c r="E636" s="127" t="s">
        <v>15</v>
      </c>
      <c r="F636" s="127"/>
      <c r="G636" s="127" t="s">
        <v>162</v>
      </c>
      <c r="H636" s="128">
        <v>2006</v>
      </c>
      <c r="I636" s="129"/>
      <c r="J636" s="125">
        <f>IFERROR(INDEX('Labor Expenditures'!$E$7:$W$91,MATCH($C636,'Labor Expenditures'!$C$7:$C$91,0),MATCH($G636,'Labor Expenditures'!$E$5:$W$5,0)),"NA")</f>
        <v>17794.728842877343</v>
      </c>
      <c r="K636" s="125">
        <f t="shared" ca="1" si="1174"/>
        <v>162.65748485262654</v>
      </c>
      <c r="L636" s="47"/>
      <c r="M636" s="131">
        <f t="shared" ca="1" si="1181"/>
        <v>-0.17869250618522076</v>
      </c>
      <c r="N636" s="131"/>
      <c r="O636" s="131"/>
      <c r="P636" s="59">
        <f t="shared" ref="P636:P652" ca="1" si="1183">+M636*$AX636</f>
        <v>-1.6978753078178853E-3</v>
      </c>
      <c r="Q636" s="61"/>
      <c r="R636" s="387"/>
      <c r="S636" s="49">
        <f ca="1">+S635*EXP(T636)</f>
        <v>108.38459270004299</v>
      </c>
      <c r="T636" s="61">
        <f ca="1">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</f>
        <v>8.0515759152052779E-2</v>
      </c>
      <c r="U636" s="61"/>
      <c r="V636" s="125">
        <f>IFERROR(INDEX('Non-Labor Expenditures'!$E$7:$AA$91,MATCH($C636,'Non-Labor Expenditures'!$C$7:$C$91,0),MATCH($G636,'Non-Labor Expenditures'!$E$5:$AA$5,0)),"NA")</f>
        <v>25770.090961378959</v>
      </c>
      <c r="W636" s="125">
        <f t="shared" si="1175"/>
        <v>286.09910697181164</v>
      </c>
      <c r="X636" s="131">
        <f t="shared" ref="X636:X651" si="1184">LN(W636/W635)</f>
        <v>-0.11112779859192363</v>
      </c>
      <c r="Y636" s="131">
        <f t="shared" ref="Y636:Y652" si="1185">+X636*AX636</f>
        <v>-1.0558984776105384E-3</v>
      </c>
      <c r="Z636" s="131"/>
      <c r="AA636" s="131"/>
      <c r="AB636" s="131"/>
      <c r="AC636" s="125">
        <f t="shared" si="1153"/>
        <v>25924.083542313449</v>
      </c>
      <c r="AD636" s="129"/>
      <c r="AE636" s="133">
        <v>2191.5111224136804</v>
      </c>
      <c r="AF636" s="134">
        <v>1.156455845123709E-2</v>
      </c>
      <c r="AG636" s="59">
        <f t="shared" si="1176"/>
        <v>1.0988249400800044E-4</v>
      </c>
      <c r="AH636" s="134"/>
      <c r="AI636" s="134"/>
      <c r="AJ636" s="129">
        <f t="shared" si="1120"/>
        <v>69488.903346569743</v>
      </c>
      <c r="AK636" s="134">
        <f t="shared" ref="AK636:AK652" si="1186">LN(AJ636/AJ635)</f>
        <v>-6.1678555787748647E-2</v>
      </c>
      <c r="AL636" s="129"/>
      <c r="AM636" s="129"/>
      <c r="AN636" s="129"/>
      <c r="AO636" s="129"/>
      <c r="AP636" s="133">
        <f t="shared" ref="AP636:AP652" si="1187">+(AJ636*1000)/BB636</f>
        <v>271.21642759343723</v>
      </c>
      <c r="AQ636" s="134">
        <f>+BB636/Outputs!$B$14</f>
        <v>7.3875806054124211E-3</v>
      </c>
      <c r="AR636" s="93">
        <f t="shared" si="1177"/>
        <v>0.2560801507274868</v>
      </c>
      <c r="AS636" s="93">
        <f t="shared" si="1178"/>
        <v>0.37085188742802455</v>
      </c>
      <c r="AT636" s="93">
        <f t="shared" si="1179"/>
        <v>0.37306796184448876</v>
      </c>
      <c r="AU636" s="93">
        <f t="shared" ca="1" si="1182"/>
        <v>-8.3579732030377843E-2</v>
      </c>
      <c r="AV636" s="132">
        <f ca="1">+AV635*EXP(AU636)</f>
        <v>91.981774481105631</v>
      </c>
      <c r="AW636" s="134">
        <f ca="1">LN(AV636/AV635)</f>
        <v>-8.3579732030377815E-2</v>
      </c>
      <c r="AX636" s="56">
        <f>+AJ636/$AL$11</f>
        <v>9.5016592696840953E-3</v>
      </c>
      <c r="AY636" s="135">
        <f ca="1">+AX636*AW636</f>
        <v>-7.9414613560415206E-4</v>
      </c>
      <c r="AZ636" s="93"/>
      <c r="BA636" s="93"/>
      <c r="BB636" s="234">
        <f>IFERROR(INDEX('Total Customers'!$E$7:$AA$91,MATCH($C636,'Total Customers'!$C$7:$C$91,0),MATCH($G636,'Total Customers'!$E$5:$AA$5,0)),"NA")</f>
        <v>256212</v>
      </c>
      <c r="BC636" s="411">
        <f t="shared" si="1076"/>
        <v>7.0462959839388394E-3</v>
      </c>
      <c r="BD636" s="92"/>
      <c r="BE636" s="281" t="str">
        <f t="shared" si="1062"/>
        <v>NEW YORK STATE ELECTRIC &amp; GAS CORPORATION</v>
      </c>
      <c r="BF636" s="290">
        <f t="shared" si="1063"/>
        <v>4004389</v>
      </c>
      <c r="BG636" s="46" t="str">
        <f t="shared" si="1064"/>
        <v>NY</v>
      </c>
      <c r="BH636" s="46"/>
      <c r="BI636" s="46" t="str">
        <f t="shared" si="1065"/>
        <v>2006 Y</v>
      </c>
      <c r="BJ636" s="129"/>
      <c r="BK636" s="129"/>
      <c r="BL636" s="129">
        <f>INDEX('Dist. Plant Gas Additions'!$E$7:$AD$91,MATCH($C636,'Dist. Plant Gas Additions'!$C$7:$C$91,0),MATCH(Calculation!$G636,'Dist. Plant Gas Additions'!$E$5:$AD$5,0))</f>
        <v>16310</v>
      </c>
      <c r="BM636" s="129">
        <f>INDEX('Gen. Plant Additions'!$E$7:$AD$91,MATCH($C636,'Gen. Plant Additions'!$C$7:$C$91,0),MATCH(Calculation!$G636,'Gen. Plant Additions'!$E$5:$AD$5,0))</f>
        <v>1595</v>
      </c>
      <c r="BN636" s="393">
        <f t="shared" si="1154"/>
        <v>0.96665463618246583</v>
      </c>
      <c r="BO636" s="46">
        <f t="shared" si="1166"/>
        <v>1541.8141447110329</v>
      </c>
      <c r="BP636" s="46">
        <f t="shared" si="1167"/>
        <v>-53.185855288967105</v>
      </c>
      <c r="BQ636" s="129">
        <f>INDEX('Dist Plant Depreciation'!$D$7:$AC$94,MATCH($C636,'Dist Plant Depreciation'!$C$7:$C$94,0),MATCH(Calculation!$G636,'Dist Plant Depreciation'!$D$5:$AC$5,0))</f>
        <v>197519</v>
      </c>
      <c r="BR636" s="129">
        <f>INDEX('Gen. Plant Depreciation'!$D$7:$AC$94,MATCH($C636,'Gen. Plant Depreciation'!$C$7:$C$94,0),MATCH(Calculation!$G636,'Gen. Plant Depreciation'!$D$5:$AC$5,0))</f>
        <v>8699</v>
      </c>
      <c r="BS636" s="129"/>
      <c r="BT636" s="129"/>
      <c r="BU636" s="129"/>
      <c r="BV636" s="129"/>
      <c r="BW636" s="129"/>
      <c r="BX636" s="129"/>
      <c r="BY636" s="129">
        <f>INDEX('Gross Dx Plant'!$D$7:$AC$91,MATCH($C636,'Gross Dx Plant'!$C$7:$C$91,0),MATCH(Calculation!$G636,'Gross Dx Plant'!$D$5:$AC$5,0))</f>
        <v>616020</v>
      </c>
      <c r="BZ636" s="129">
        <f>INDEX('Gross Gen Plant'!$D$7:$AC$91,MATCH($C636,'Gross Gen Plant'!$C$7:$C$91,0),MATCH(Calculation!$G636,'Gross Gen Plant'!$D$5:$AC$5,0))</f>
        <v>21250</v>
      </c>
      <c r="CA636" s="129">
        <f t="shared" si="1077"/>
        <v>431052</v>
      </c>
      <c r="CB636" s="134"/>
      <c r="CC636" s="133">
        <v>2006</v>
      </c>
      <c r="CD636" s="129"/>
      <c r="CE636" s="129"/>
      <c r="CF636" s="129"/>
      <c r="CG636" s="137"/>
      <c r="CH636" s="129">
        <f t="shared" si="1155"/>
        <v>17905</v>
      </c>
      <c r="CI636" s="46">
        <f t="shared" si="1164"/>
        <v>17851.814144711032</v>
      </c>
      <c r="CJ636" s="46">
        <f t="shared" si="1156"/>
        <v>38.716913581427868</v>
      </c>
      <c r="CK636" s="443">
        <v>0.91489361702127658</v>
      </c>
      <c r="CL636" s="46">
        <f>+CL628*CK636+CJ629*CK635+CJ630*CK634+CJ631*CK633+CJ632*CK632+CJ633*CK631+CJ634*CK630+CJ635*CK629+CJ636</f>
        <v>2107.0895616245302</v>
      </c>
      <c r="CM636" s="134">
        <f t="shared" si="1157"/>
        <v>6.385902946641848E-3</v>
      </c>
      <c r="CN636" s="135">
        <f t="shared" si="1158"/>
        <v>1.2085970750691878E-2</v>
      </c>
      <c r="CO636" s="135">
        <f t="shared" si="1169"/>
        <v>1.1737485215412067E-2</v>
      </c>
      <c r="CP636" s="134">
        <f>VLOOKUP($H636,RoR!$E:$F,2,FALSE)</f>
        <v>5.5874999999999994E-2</v>
      </c>
      <c r="CQ636" s="135">
        <v>3.0512430354548314E-2</v>
      </c>
      <c r="CR636" s="135">
        <f t="shared" si="1165"/>
        <v>2.536256964545168E-2</v>
      </c>
      <c r="CS636" s="135">
        <f t="shared" si="1170"/>
        <v>1.9164456393121559E-2</v>
      </c>
      <c r="CT636" s="135">
        <f t="shared" si="1171"/>
        <v>7.9087823893859641E-2</v>
      </c>
      <c r="CU636" s="139">
        <f t="shared" si="1159"/>
        <v>0.85329623209999994</v>
      </c>
      <c r="CV636" s="335">
        <f t="shared" si="1160"/>
        <v>0.91779957551769631</v>
      </c>
      <c r="CW636" s="335">
        <f t="shared" si="1161"/>
        <v>0.52757270693512304</v>
      </c>
      <c r="CX636" s="335">
        <f t="shared" si="1162"/>
        <v>0.88636824549024895</v>
      </c>
      <c r="CY636" s="335">
        <f t="shared" si="1163"/>
        <v>0.42918482841932087</v>
      </c>
      <c r="CZ636" s="336">
        <f>INDEX('State Tax Lookup'!$D$7:$Z$91,MATCH(Calculation!$C636,'State Tax Lookup'!$B$7:$B$91,0),MATCH($H636,'State Tax Lookup'!$D$6:$Z$6,0))</f>
        <v>0.39649667</v>
      </c>
      <c r="DA636" s="303">
        <v>0.37</v>
      </c>
      <c r="DB636" s="57">
        <f t="shared" si="1168"/>
        <v>12.38208494543429</v>
      </c>
      <c r="DC636" s="56">
        <f t="shared" si="1172"/>
        <v>-3.3631442715777608E-2</v>
      </c>
      <c r="DD636" s="303">
        <f>VLOOKUP($H636,RoR!$E:$F,2,FALSE)</f>
        <v>5.5874999999999994E-2</v>
      </c>
      <c r="DE636" s="304">
        <f>HLOOKUP($H636,'GDP-PI'!$D$8:$CQ$11,3,FALSE)</f>
        <v>3.0512430354548314E-2</v>
      </c>
      <c r="DF636" s="303">
        <f>VLOOKUP(H636,'HW Dx Data'!$E:$F,2,FALSE)</f>
        <v>461.08567272971823</v>
      </c>
      <c r="DG636" s="89">
        <f ca="1">VLOOKUP(CC636,'ECI - Input Price'!M$13:N$33,2,FALSE)</f>
        <v>109.4</v>
      </c>
      <c r="DH636" s="89"/>
      <c r="DI636" s="89"/>
      <c r="DJ636" s="56">
        <f t="shared" ca="1" si="1180"/>
        <v>9.7620891318751846E-2</v>
      </c>
      <c r="DK636" s="53">
        <f>HLOOKUP(H636,'GDP-PI'!$8:$9,2,FALSE)</f>
        <v>90.073999999999998</v>
      </c>
      <c r="DL636" s="355">
        <f t="shared" si="1173"/>
        <v>3.005618372545445E-2</v>
      </c>
      <c r="EC636"/>
    </row>
    <row r="637" spans="1:133" s="126" customFormat="1" ht="21" customHeight="1" x14ac:dyDescent="0.4">
      <c r="A637" s="233" t="s">
        <v>219</v>
      </c>
      <c r="B637" s="127" t="s">
        <v>219</v>
      </c>
      <c r="C637" s="127">
        <v>4004389</v>
      </c>
      <c r="D637" s="127" t="s">
        <v>194</v>
      </c>
      <c r="E637" s="127" t="s">
        <v>15</v>
      </c>
      <c r="F637" s="127"/>
      <c r="G637" s="127" t="s">
        <v>163</v>
      </c>
      <c r="H637" s="128">
        <v>2007</v>
      </c>
      <c r="I637" s="129"/>
      <c r="J637" s="125">
        <f>IFERROR(INDEX('Labor Expenditures'!$E$7:$W$91,MATCH($C637,'Labor Expenditures'!$C$7:$C$91,0),MATCH($G637,'Labor Expenditures'!$E$5:$W$5,0)),"NA")</f>
        <v>18562.49925443601</v>
      </c>
      <c r="K637" s="125">
        <f t="shared" ca="1" si="1174"/>
        <v>177.58908638541988</v>
      </c>
      <c r="L637" s="47"/>
      <c r="M637" s="131">
        <f t="shared" ca="1" si="1181"/>
        <v>8.7825708123552337E-2</v>
      </c>
      <c r="N637" s="131"/>
      <c r="O637" s="131"/>
      <c r="P637" s="59">
        <f t="shared" ca="1" si="1183"/>
        <v>8.382888841978513E-4</v>
      </c>
      <c r="Q637" s="61"/>
      <c r="R637" s="387"/>
      <c r="S637" s="49">
        <f t="shared" ref="S637:S650" ca="1" si="1188">+S636*EXP(T637)</f>
        <v>117.80536235781335</v>
      </c>
      <c r="T637" s="61">
        <f ca="1">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</f>
        <v>8.3347845905589024E-2</v>
      </c>
      <c r="U637" s="61"/>
      <c r="V637" s="125">
        <f>IFERROR(INDEX('Non-Labor Expenditures'!$E$7:$AA$91,MATCH($C637,'Non-Labor Expenditures'!$C$7:$C$91,0),MATCH($G637,'Non-Labor Expenditures'!$E$5:$AA$5,0)),"NA")</f>
        <v>26881.96591704831</v>
      </c>
      <c r="W637" s="125">
        <f t="shared" si="1175"/>
        <v>290.62213147363519</v>
      </c>
      <c r="X637" s="131">
        <f t="shared" si="1184"/>
        <v>1.5685627428262315E-2</v>
      </c>
      <c r="Y637" s="131">
        <f t="shared" si="1185"/>
        <v>1.4971797433484081E-4</v>
      </c>
      <c r="Z637" s="131"/>
      <c r="AA637" s="131"/>
      <c r="AB637" s="131"/>
      <c r="AC637" s="125">
        <f t="shared" si="1153"/>
        <v>27720.793886646843</v>
      </c>
      <c r="AD637" s="129"/>
      <c r="AE637" s="133">
        <v>2214.0531276404886</v>
      </c>
      <c r="AF637" s="134">
        <v>1.0233514107433814E-2</v>
      </c>
      <c r="AG637" s="59">
        <f t="shared" si="1176"/>
        <v>9.7678018268583907E-5</v>
      </c>
      <c r="AH637" s="134"/>
      <c r="AI637" s="134"/>
      <c r="AJ637" s="129">
        <f t="shared" si="1120"/>
        <v>73165.259058131167</v>
      </c>
      <c r="AK637" s="134">
        <f t="shared" si="1186"/>
        <v>5.1553629531657749E-2</v>
      </c>
      <c r="AL637" s="129"/>
      <c r="AM637" s="129"/>
      <c r="AN637" s="129"/>
      <c r="AO637" s="129"/>
      <c r="AP637" s="133">
        <f t="shared" si="1187"/>
        <v>287.013753616369</v>
      </c>
      <c r="AQ637" s="134">
        <f>+BB637/Outputs!$B$15</f>
        <v>7.2949575053894676E-3</v>
      </c>
      <c r="AR637" s="93">
        <f t="shared" si="1177"/>
        <v>0.25370646524585877</v>
      </c>
      <c r="AS637" s="93">
        <f t="shared" si="1178"/>
        <v>0.36741434750733387</v>
      </c>
      <c r="AT637" s="93">
        <f t="shared" si="1179"/>
        <v>0.3788791872468073</v>
      </c>
      <c r="AU637" s="93">
        <f t="shared" ca="1" si="1182"/>
        <v>3.2023800701050466E-2</v>
      </c>
      <c r="AV637" s="132">
        <f ca="1">+AV636*EXP(AU637)</f>
        <v>94.975052766707137</v>
      </c>
      <c r="AW637" s="134">
        <f ca="1">LN(AV637/AV636)</f>
        <v>3.202380070105048E-2</v>
      </c>
      <c r="AX637" s="56">
        <f>+AJ637/$AL$12</f>
        <v>9.5449146053972582E-3</v>
      </c>
      <c r="AY637" s="135">
        <f t="shared" ref="AY637:AY651" ca="1" si="1189">+AX637*AW637</f>
        <v>3.0566444303178767E-4</v>
      </c>
      <c r="AZ637" s="93"/>
      <c r="BA637" s="93"/>
      <c r="BB637" s="234">
        <f>IFERROR(INDEX('Total Customers'!$E$7:$AA$91,MATCH($C637,'Total Customers'!$C$7:$C$91,0),MATCH($G637,'Total Customers'!$E$5:$AA$5,0)),"NA")</f>
        <v>254919</v>
      </c>
      <c r="BC637" s="411">
        <f t="shared" si="1076"/>
        <v>-5.0593791341544863E-3</v>
      </c>
      <c r="BD637" s="92"/>
      <c r="BE637" s="281" t="str">
        <f t="shared" si="1062"/>
        <v>NEW YORK STATE ELECTRIC &amp; GAS CORPORATION</v>
      </c>
      <c r="BF637" s="290">
        <f t="shared" si="1063"/>
        <v>4004389</v>
      </c>
      <c r="BG637" s="46" t="str">
        <f t="shared" si="1064"/>
        <v>NY</v>
      </c>
      <c r="BH637" s="46"/>
      <c r="BI637" s="46" t="str">
        <f t="shared" si="1065"/>
        <v>2007 Y</v>
      </c>
      <c r="BJ637" s="129"/>
      <c r="BK637" s="129"/>
      <c r="BL637" s="129">
        <f>INDEX('Dist. Plant Gas Additions'!$E$7:$AD$91,MATCH($C637,'Dist. Plant Gas Additions'!$C$7:$C$91,0),MATCH(Calculation!$G637,'Dist. Plant Gas Additions'!$E$5:$AD$5,0))</f>
        <v>17520</v>
      </c>
      <c r="BM637" s="129">
        <f>INDEX('Gen. Plant Additions'!$E$7:$AD$91,MATCH($C637,'Gen. Plant Additions'!$C$7:$C$91,0),MATCH(Calculation!$G637,'Gen. Plant Additions'!$E$5:$AD$5,0))</f>
        <v>821</v>
      </c>
      <c r="BN637" s="393">
        <f t="shared" si="1154"/>
        <v>0.96641114748286094</v>
      </c>
      <c r="BO637" s="46">
        <f t="shared" si="1166"/>
        <v>793.42355208342883</v>
      </c>
      <c r="BP637" s="46">
        <f t="shared" si="1167"/>
        <v>-27.576447916571169</v>
      </c>
      <c r="BQ637" s="129">
        <f>INDEX('Dist Plant Depreciation'!$D$7:$AC$94,MATCH($C637,'Dist Plant Depreciation'!$C$7:$C$94,0),MATCH(Calculation!$G637,'Dist Plant Depreciation'!$D$5:$AC$5,0))</f>
        <v>210758</v>
      </c>
      <c r="BR637" s="129">
        <f>INDEX('Gen. Plant Depreciation'!$D$7:$AC$94,MATCH($C637,'Gen. Plant Depreciation'!$C$7:$C$94,0),MATCH(Calculation!$G637,'Gen. Plant Depreciation'!$D$5:$AC$5,0))</f>
        <v>9922</v>
      </c>
      <c r="BS637" s="129"/>
      <c r="BT637" s="129"/>
      <c r="BU637" s="129"/>
      <c r="BV637" s="129"/>
      <c r="BW637" s="129"/>
      <c r="BX637" s="129"/>
      <c r="BY637" s="129">
        <f>INDEX('Gross Dx Plant'!$D$7:$AC$91,MATCH($C637,'Gross Dx Plant'!$C$7:$C$91,0),MATCH(Calculation!$G637,'Gross Dx Plant'!$D$5:$AC$5,0))</f>
        <v>632375</v>
      </c>
      <c r="BZ637" s="129">
        <f>INDEX('Gross Gen Plant'!$D$7:$AC$91,MATCH($C637,'Gross Gen Plant'!$C$7:$C$91,0),MATCH(Calculation!$G637,'Gross Gen Plant'!$D$5:$AC$5,0))</f>
        <v>21979</v>
      </c>
      <c r="CA637" s="129">
        <f t="shared" si="1077"/>
        <v>433674</v>
      </c>
      <c r="CB637" s="129"/>
      <c r="CC637" s="133">
        <v>2007</v>
      </c>
      <c r="CD637" s="129"/>
      <c r="CE637" s="129"/>
      <c r="CF637" s="129"/>
      <c r="CG637" s="137"/>
      <c r="CH637" s="129">
        <f t="shared" si="1155"/>
        <v>18341</v>
      </c>
      <c r="CI637" s="46">
        <f t="shared" si="1164"/>
        <v>18313.42355208343</v>
      </c>
      <c r="CJ637" s="46">
        <f t="shared" si="1156"/>
        <v>36.772295101944074</v>
      </c>
      <c r="CK637" s="443">
        <v>0.90322580645161288</v>
      </c>
      <c r="CL637" s="46">
        <f>+CL628*CK637+CJ629*CK636+CJ630*CK635+CJ631*CK634+CJ632*CK633+CJ633*CK632+CJ634*CK631+CJ635*CK630+CJ636*CK629+CJ637</f>
        <v>2117.6335119347118</v>
      </c>
      <c r="CM637" s="134">
        <f t="shared" si="1157"/>
        <v>4.9915566152014456E-3</v>
      </c>
      <c r="CN637" s="135">
        <f t="shared" si="1158"/>
        <v>1.2447664906820996E-2</v>
      </c>
      <c r="CO637" s="135">
        <f t="shared" si="1169"/>
        <v>1.2088973251432614E-2</v>
      </c>
      <c r="CP637" s="134">
        <f>VLOOKUP($H637,RoR!$E:$F,2,FALSE)</f>
        <v>5.5558333333333321E-2</v>
      </c>
      <c r="CQ637" s="135">
        <v>2.691120634145272E-2</v>
      </c>
      <c r="CR637" s="135">
        <f t="shared" si="1165"/>
        <v>2.86471269918806E-2</v>
      </c>
      <c r="CS637" s="135">
        <f t="shared" si="1170"/>
        <v>1.8812968357101011E-2</v>
      </c>
      <c r="CT637" s="135">
        <f t="shared" si="1171"/>
        <v>6.4575155250632399E-2</v>
      </c>
      <c r="CU637" s="139">
        <f t="shared" si="1159"/>
        <v>0.85329623209999994</v>
      </c>
      <c r="CV637" s="335">
        <f t="shared" si="1160"/>
        <v>0.92303077153834634</v>
      </c>
      <c r="CW637" s="335">
        <f t="shared" si="1161"/>
        <v>0.52502249887505614</v>
      </c>
      <c r="CX637" s="335">
        <f t="shared" si="1162"/>
        <v>0.88499666072084604</v>
      </c>
      <c r="CY637" s="335">
        <f t="shared" si="1163"/>
        <v>0.42887993290280618</v>
      </c>
      <c r="CZ637" s="336">
        <f>INDEX('State Tax Lookup'!$D$7:$Z$91,MATCH(Calculation!$C637,'State Tax Lookup'!$B$7:$B$91,0),MATCH($H637,'State Tax Lookup'!$D$6:$Z$6,0))</f>
        <v>0.39649667</v>
      </c>
      <c r="DA637" s="303">
        <v>0.37</v>
      </c>
      <c r="DB637" s="57">
        <f t="shared" si="1168"/>
        <v>13.155963748059472</v>
      </c>
      <c r="DC637" s="56">
        <f t="shared" si="1172"/>
        <v>6.0624507308337745E-2</v>
      </c>
      <c r="DD637" s="303">
        <f>VLOOKUP($H637,RoR!$E:$F,2,FALSE)</f>
        <v>5.5558333333333321E-2</v>
      </c>
      <c r="DE637" s="304">
        <f>HLOOKUP($H637,'GDP-PI'!$D$8:$CQ$11,3,FALSE)</f>
        <v>2.691120634145272E-2</v>
      </c>
      <c r="DF637" s="303">
        <f>VLOOKUP(H637,'HW Dx Data'!$E:$F,2,FALSE)</f>
        <v>498.0223154772637</v>
      </c>
      <c r="DG637" s="89">
        <f ca="1">VLOOKUP(CC637,'ECI - Input Price'!M$13:N$33,2,FALSE)</f>
        <v>104.52499999999999</v>
      </c>
      <c r="DH637" s="89"/>
      <c r="DI637" s="89"/>
      <c r="DJ637" s="56">
        <f t="shared" ca="1" si="1180"/>
        <v>-4.5584612745252218E-2</v>
      </c>
      <c r="DK637" s="53">
        <f>HLOOKUP(H637,'GDP-PI'!$8:$9,2,FALSE)</f>
        <v>92.498000000000005</v>
      </c>
      <c r="DL637" s="355">
        <f t="shared" si="1173"/>
        <v>2.6555467950038037E-2</v>
      </c>
      <c r="EC637"/>
    </row>
    <row r="638" spans="1:133" s="126" customFormat="1" ht="21" customHeight="1" x14ac:dyDescent="0.4">
      <c r="A638" s="233" t="s">
        <v>219</v>
      </c>
      <c r="B638" s="127" t="s">
        <v>219</v>
      </c>
      <c r="C638" s="127">
        <v>4004389</v>
      </c>
      <c r="D638" s="127" t="s">
        <v>194</v>
      </c>
      <c r="E638" s="127" t="s">
        <v>15</v>
      </c>
      <c r="F638" s="127"/>
      <c r="G638" s="127" t="s">
        <v>164</v>
      </c>
      <c r="H638" s="128">
        <v>2008</v>
      </c>
      <c r="I638" s="129"/>
      <c r="J638" s="125">
        <f>IFERROR(INDEX('Labor Expenditures'!$E$7:$W$91,MATCH($C638,'Labor Expenditures'!$C$7:$C$91,0),MATCH($G638,'Labor Expenditures'!$E$5:$W$5,0)),"NA")</f>
        <v>18461.18990733126</v>
      </c>
      <c r="K638" s="125">
        <f t="shared" ca="1" si="1174"/>
        <v>171.09536522086429</v>
      </c>
      <c r="L638" s="47"/>
      <c r="M638" s="131">
        <f t="shared" ca="1" si="1181"/>
        <v>-3.7251285736646725E-2</v>
      </c>
      <c r="N638" s="131"/>
      <c r="O638" s="131"/>
      <c r="P638" s="59">
        <f t="shared" ca="1" si="1183"/>
        <v>-3.5212502648546525E-4</v>
      </c>
      <c r="Q638" s="61"/>
      <c r="R638" s="387"/>
      <c r="S638" s="49">
        <f t="shared" ca="1" si="1188"/>
        <v>109.81436202234248</v>
      </c>
      <c r="T638" s="61">
        <f ca="1">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</f>
        <v>-7.0242468863415827E-2</v>
      </c>
      <c r="U638" s="61"/>
      <c r="V638" s="125">
        <f>IFERROR(INDEX('Non-Labor Expenditures'!$E$7:$AA$91,MATCH($C638,'Non-Labor Expenditures'!$C$7:$C$91,0),MATCH($G638,'Non-Labor Expenditures'!$E$5:$AA$5,0)),"NA")</f>
        <v>26735.251060464674</v>
      </c>
      <c r="W638" s="125">
        <f t="shared" si="1175"/>
        <v>283.62101184401973</v>
      </c>
      <c r="X638" s="131">
        <f t="shared" si="1184"/>
        <v>-2.438502446321859E-2</v>
      </c>
      <c r="Y638" s="131">
        <f t="shared" si="1185"/>
        <v>-2.3050418838328418E-4</v>
      </c>
      <c r="Z638" s="131"/>
      <c r="AA638" s="131"/>
      <c r="AB638" s="131"/>
      <c r="AC638" s="125">
        <f t="shared" si="1153"/>
        <v>31272.976931482379</v>
      </c>
      <c r="AD638" s="129"/>
      <c r="AE638" s="133">
        <v>2244.3378238392602</v>
      </c>
      <c r="AF638" s="134">
        <v>1.3585691489755528E-2</v>
      </c>
      <c r="AG638" s="59">
        <f t="shared" si="1176"/>
        <v>1.2842139220304284E-4</v>
      </c>
      <c r="AH638" s="134"/>
      <c r="AI638" s="134"/>
      <c r="AJ638" s="129">
        <f t="shared" si="1120"/>
        <v>76469.417899278313</v>
      </c>
      <c r="AK638" s="134">
        <f t="shared" si="1186"/>
        <v>4.4170189605640439E-2</v>
      </c>
      <c r="AL638" s="129"/>
      <c r="AM638" s="129"/>
      <c r="AN638" s="129"/>
      <c r="AO638" s="129"/>
      <c r="AP638" s="133">
        <f t="shared" si="1187"/>
        <v>298.8008717505727</v>
      </c>
      <c r="AQ638" s="134">
        <f>+BB638/Outputs!$B$16</f>
        <v>7.2844751482442679E-3</v>
      </c>
      <c r="AR638" s="93">
        <f t="shared" si="1177"/>
        <v>0.24141925510205156</v>
      </c>
      <c r="AS638" s="93">
        <f t="shared" si="1178"/>
        <v>0.34962017228480813</v>
      </c>
      <c r="AT638" s="93">
        <f t="shared" si="1179"/>
        <v>0.40896057261314028</v>
      </c>
      <c r="AU638" s="93">
        <f t="shared" ca="1" si="1182"/>
        <v>-1.2612813034763149E-2</v>
      </c>
      <c r="AV638" s="132">
        <f t="shared" ref="AV638:AV651" ca="1" si="1190">+AV637*EXP(AU638)</f>
        <v>93.784672982750578</v>
      </c>
      <c r="AW638" s="134">
        <f t="shared" ref="AW638:AW651" ca="1" si="1191">LN(AV638/AV637)</f>
        <v>-1.2612813034763106E-2</v>
      </c>
      <c r="AX638" s="56">
        <f>+AJ638/$AL$13</f>
        <v>9.4526945720709698E-3</v>
      </c>
      <c r="AY638" s="135">
        <f t="shared" ca="1" si="1189"/>
        <v>-1.1922506931225119E-4</v>
      </c>
      <c r="AZ638" s="93"/>
      <c r="BA638" s="93"/>
      <c r="BB638" s="234">
        <f>IFERROR(INDEX('Total Customers'!$E$7:$AA$91,MATCH($C638,'Total Customers'!$C$7:$C$91,0),MATCH($G638,'Total Customers'!$E$5:$AA$5,0)),"NA")</f>
        <v>255921</v>
      </c>
      <c r="BC638" s="411">
        <f t="shared" si="1076"/>
        <v>3.9229554656235134E-3</v>
      </c>
      <c r="BD638" s="92"/>
      <c r="BE638" s="281" t="str">
        <f t="shared" si="1062"/>
        <v>NEW YORK STATE ELECTRIC &amp; GAS CORPORATION</v>
      </c>
      <c r="BF638" s="290">
        <f t="shared" si="1063"/>
        <v>4004389</v>
      </c>
      <c r="BG638" s="46" t="str">
        <f t="shared" si="1064"/>
        <v>NY</v>
      </c>
      <c r="BH638" s="46"/>
      <c r="BI638" s="46" t="str">
        <f t="shared" si="1065"/>
        <v>2008 Y</v>
      </c>
      <c r="BJ638" s="129"/>
      <c r="BK638" s="129"/>
      <c r="BL638" s="129">
        <f>INDEX('Dist. Plant Gas Additions'!$E$7:$AD$91,MATCH($C638,'Dist. Plant Gas Additions'!$C$7:$C$91,0),MATCH(Calculation!$G638,'Dist. Plant Gas Additions'!$E$5:$AD$5,0))</f>
        <v>24819</v>
      </c>
      <c r="BM638" s="129">
        <f>INDEX('Gen. Plant Additions'!$E$7:$AD$91,MATCH($C638,'Gen. Plant Additions'!$C$7:$C$91,0),MATCH(Calculation!$G638,'Gen. Plant Additions'!$E$5:$AD$5,0))</f>
        <v>963</v>
      </c>
      <c r="BN638" s="393">
        <f t="shared" si="1154"/>
        <v>0.96684769058041253</v>
      </c>
      <c r="BO638" s="46">
        <f t="shared" si="1166"/>
        <v>931.07432602893732</v>
      </c>
      <c r="BP638" s="46">
        <f t="shared" si="1167"/>
        <v>-31.925673971062679</v>
      </c>
      <c r="BQ638" s="129">
        <f>INDEX('Dist Plant Depreciation'!$D$7:$AC$94,MATCH($C638,'Dist Plant Depreciation'!$C$7:$C$94,0),MATCH(Calculation!$G638,'Dist Plant Depreciation'!$D$5:$AC$5,0))</f>
        <v>223428</v>
      </c>
      <c r="BR638" s="129">
        <f>INDEX('Gen. Plant Depreciation'!$D$7:$AC$94,MATCH($C638,'Gen. Plant Depreciation'!$C$7:$C$94,0),MATCH(Calculation!$G638,'Gen. Plant Depreciation'!$D$5:$AC$5,0))</f>
        <v>10858</v>
      </c>
      <c r="BS638" s="129"/>
      <c r="BT638" s="129"/>
      <c r="BU638" s="129"/>
      <c r="BV638" s="129"/>
      <c r="BW638" s="129"/>
      <c r="BX638" s="129"/>
      <c r="BY638" s="129">
        <f>INDEX('Gross Dx Plant'!$D$7:$AC$91,MATCH($C638,'Gross Dx Plant'!$C$7:$C$91,0),MATCH(Calculation!$G638,'Gross Dx Plant'!$D$5:$AC$5,0))</f>
        <v>655340</v>
      </c>
      <c r="BZ638" s="129">
        <f>INDEX('Gross Gen Plant'!$D$7:$AC$91,MATCH($C638,'Gross Gen Plant'!$C$7:$C$91,0),MATCH(Calculation!$G638,'Gross Gen Plant'!$D$5:$AC$5,0))</f>
        <v>22471</v>
      </c>
      <c r="CA638" s="129">
        <f t="shared" si="1077"/>
        <v>443525</v>
      </c>
      <c r="CB638" s="129"/>
      <c r="CC638" s="133">
        <v>2008</v>
      </c>
      <c r="CD638" s="129"/>
      <c r="CE638" s="129"/>
      <c r="CF638" s="129"/>
      <c r="CG638" s="137"/>
      <c r="CH638" s="129">
        <f t="shared" si="1155"/>
        <v>25782</v>
      </c>
      <c r="CI638" s="46">
        <f t="shared" si="1164"/>
        <v>25750.074326028938</v>
      </c>
      <c r="CJ638" s="46">
        <f t="shared" si="1156"/>
        <v>45.184986231042885</v>
      </c>
      <c r="CK638" s="443">
        <v>0.89130434782608692</v>
      </c>
      <c r="CL638" s="46">
        <f>+CL628*CK638+CJ629*CK637+CJ630*CK636+CJ631*CK635+CJ632*CK634+CJ633*CK633+CJ634*CK632+CJ635*CK631+CJ636*CK630+CJ637*CK629+CJ638</f>
        <v>2135.6599770284756</v>
      </c>
      <c r="CM638" s="134">
        <f t="shared" si="1157"/>
        <v>8.4765244044755494E-3</v>
      </c>
      <c r="CN638" s="135">
        <f t="shared" si="1158"/>
        <v>1.2824939246671869E-2</v>
      </c>
      <c r="CO638" s="135">
        <f t="shared" si="1169"/>
        <v>1.2452858301394915E-2</v>
      </c>
      <c r="CP638" s="134">
        <f>VLOOKUP($H638,RoR!$E:$F,2,FALSE)</f>
        <v>5.6316666666666668E-2</v>
      </c>
      <c r="CQ638" s="135">
        <v>1.9092304698479889E-2</v>
      </c>
      <c r="CR638" s="135">
        <f t="shared" si="1165"/>
        <v>3.7224361968186778E-2</v>
      </c>
      <c r="CS638" s="135">
        <f t="shared" si="1170"/>
        <v>1.8449083307138708E-2</v>
      </c>
      <c r="CT638" s="135">
        <f t="shared" si="1171"/>
        <v>6.9030581091053131E-2</v>
      </c>
      <c r="CU638" s="139">
        <f t="shared" si="1159"/>
        <v>0.85329623209999994</v>
      </c>
      <c r="CV638" s="335">
        <f t="shared" si="1160"/>
        <v>0.91060168006009956</v>
      </c>
      <c r="CW638" s="335">
        <f t="shared" si="1161"/>
        <v>0.53108168097070152</v>
      </c>
      <c r="CX638" s="335">
        <f t="shared" si="1162"/>
        <v>0.88825329850328805</v>
      </c>
      <c r="CY638" s="335">
        <f t="shared" si="1163"/>
        <v>0.4295627335323573</v>
      </c>
      <c r="CZ638" s="336">
        <f>INDEX('State Tax Lookup'!$D$7:$Z$91,MATCH(Calculation!$C638,'State Tax Lookup'!$B$7:$B$91,0),MATCH($H638,'State Tax Lookup'!$D$6:$Z$6,0))</f>
        <v>0.39649667</v>
      </c>
      <c r="DA638" s="303">
        <v>0.37</v>
      </c>
      <c r="DB638" s="57">
        <f t="shared" si="1168"/>
        <v>14.767889134371872</v>
      </c>
      <c r="DC638" s="56">
        <f t="shared" si="1172"/>
        <v>0.11557999780108143</v>
      </c>
      <c r="DD638" s="303">
        <f>VLOOKUP($H638,RoR!$E:$F,2,FALSE)</f>
        <v>5.6316666666666668E-2</v>
      </c>
      <c r="DE638" s="304">
        <f>HLOOKUP($H638,'GDP-PI'!$D$8:$CQ$11,3,FALSE)</f>
        <v>1.9092304698479889E-2</v>
      </c>
      <c r="DF638" s="303">
        <f>VLOOKUP(H638,'HW Dx Data'!$E:$F,2,FALSE)</f>
        <v>569.88120333515076</v>
      </c>
      <c r="DG638" s="89">
        <f ca="1">VLOOKUP(CC638,'ECI - Input Price'!M$13:N$33,2,FALSE)</f>
        <v>107.9</v>
      </c>
      <c r="DH638" s="89"/>
      <c r="DI638" s="89"/>
      <c r="DJ638" s="56">
        <f t="shared" ca="1" si="1180"/>
        <v>3.1778595021460486E-2</v>
      </c>
      <c r="DK638" s="53">
        <f>HLOOKUP(H638,'GDP-PI'!$8:$9,2,FALSE)</f>
        <v>94.263999999999996</v>
      </c>
      <c r="DL638" s="355">
        <f t="shared" si="1173"/>
        <v>1.8912333748032254E-2</v>
      </c>
      <c r="EC638"/>
    </row>
    <row r="639" spans="1:133" s="126" customFormat="1" ht="21" customHeight="1" x14ac:dyDescent="0.4">
      <c r="A639" s="233" t="s">
        <v>219</v>
      </c>
      <c r="B639" s="127" t="s">
        <v>219</v>
      </c>
      <c r="C639" s="127">
        <v>4004389</v>
      </c>
      <c r="D639" s="127" t="s">
        <v>194</v>
      </c>
      <c r="E639" s="127" t="s">
        <v>15</v>
      </c>
      <c r="F639" s="127"/>
      <c r="G639" s="127" t="s">
        <v>165</v>
      </c>
      <c r="H639" s="128">
        <v>2009</v>
      </c>
      <c r="I639" s="129"/>
      <c r="J639" s="125">
        <f>IFERROR(INDEX('Labor Expenditures'!$E$7:$W$91,MATCH($C639,'Labor Expenditures'!$C$7:$C$91,0),MATCH($G639,'Labor Expenditures'!$E$5:$W$5,0)),"NA")</f>
        <v>24106.468372736996</v>
      </c>
      <c r="K639" s="125">
        <f t="shared" ca="1" si="1174"/>
        <v>217.32223009003377</v>
      </c>
      <c r="L639" s="47"/>
      <c r="M639" s="131">
        <f t="shared" ca="1" si="1181"/>
        <v>0.23916009100997379</v>
      </c>
      <c r="N639" s="131"/>
      <c r="O639" s="131"/>
      <c r="P639" s="59">
        <f t="shared" ca="1" si="1183"/>
        <v>2.5140351409305519E-3</v>
      </c>
      <c r="Q639" s="61"/>
      <c r="R639" s="387"/>
      <c r="S639" s="49">
        <f t="shared" ca="1" si="1188"/>
        <v>118.41248465191917</v>
      </c>
      <c r="T639" s="61">
        <f ca="1">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</f>
        <v>7.5382839403950283E-2</v>
      </c>
      <c r="U639" s="61"/>
      <c r="V639" s="125">
        <f>IFERROR(INDEX('Non-Labor Expenditures'!$E$7:$AA$91,MATCH($C639,'Non-Labor Expenditures'!$C$7:$C$91,0),MATCH($G639,'Non-Labor Expenditures'!$E$5:$AA$5,0)),"NA")</f>
        <v>34910.66867094714</v>
      </c>
      <c r="W639" s="125">
        <f t="shared" si="1175"/>
        <v>367.48459111092899</v>
      </c>
      <c r="X639" s="131">
        <f t="shared" si="1184"/>
        <v>0.2590425071925484</v>
      </c>
      <c r="Y639" s="131">
        <f t="shared" si="1185"/>
        <v>2.7230377916592401E-3</v>
      </c>
      <c r="Z639" s="131"/>
      <c r="AA639" s="131"/>
      <c r="AB639" s="131"/>
      <c r="AC639" s="125">
        <f t="shared" si="1153"/>
        <v>29880.440909279179</v>
      </c>
      <c r="AD639" s="129"/>
      <c r="AE639" s="133">
        <v>2267.3100971119466</v>
      </c>
      <c r="AF639" s="134">
        <v>1.0183627891887688E-2</v>
      </c>
      <c r="AG639" s="59">
        <f t="shared" si="1176"/>
        <v>1.0704962635801335E-4</v>
      </c>
      <c r="AH639" s="134"/>
      <c r="AI639" s="134"/>
      <c r="AJ639" s="129">
        <f t="shared" si="1120"/>
        <v>88897.577952963315</v>
      </c>
      <c r="AK639" s="134">
        <f t="shared" si="1186"/>
        <v>0.15059400264288697</v>
      </c>
      <c r="AL639" s="129"/>
      <c r="AM639" s="129"/>
      <c r="AN639" s="129"/>
      <c r="AO639" s="129"/>
      <c r="AP639" s="133">
        <f t="shared" si="1187"/>
        <v>344.77539715392879</v>
      </c>
      <c r="AQ639" s="134">
        <f>+BB639/Outputs!$B$17</f>
        <v>7.3297982814451278E-3</v>
      </c>
      <c r="AR639" s="93">
        <f t="shared" si="1177"/>
        <v>0.27117126166802874</v>
      </c>
      <c r="AS639" s="93">
        <f t="shared" si="1178"/>
        <v>0.39270663470065248</v>
      </c>
      <c r="AT639" s="93">
        <f t="shared" si="1179"/>
        <v>0.33612210363131884</v>
      </c>
      <c r="AU639" s="93">
        <f t="shared" ca="1" si="1182"/>
        <v>0.16123651830144997</v>
      </c>
      <c r="AV639" s="132">
        <f t="shared" ca="1" si="1190"/>
        <v>110.19350535675999</v>
      </c>
      <c r="AW639" s="134">
        <f t="shared" ca="1" si="1191"/>
        <v>0.16123651830145003</v>
      </c>
      <c r="AX639" s="56">
        <f>+AJ639/$AL$14</f>
        <v>1.0511934204046227E-2</v>
      </c>
      <c r="AY639" s="135">
        <f t="shared" ca="1" si="1189"/>
        <v>1.6949076716743379E-3</v>
      </c>
      <c r="AZ639" s="93"/>
      <c r="BA639" s="93"/>
      <c r="BB639" s="234">
        <f>IFERROR(INDEX('Total Customers'!$E$7:$AA$91,MATCH($C639,'Total Customers'!$C$7:$C$91,0),MATCH($G639,'Total Customers'!$E$5:$AA$5,0)),"NA")</f>
        <v>257842</v>
      </c>
      <c r="BC639" s="411">
        <f t="shared" si="1076"/>
        <v>7.4781911207569933E-3</v>
      </c>
      <c r="BD639" s="92"/>
      <c r="BE639" s="281" t="str">
        <f t="shared" si="1062"/>
        <v>NEW YORK STATE ELECTRIC &amp; GAS CORPORATION</v>
      </c>
      <c r="BF639" s="290">
        <f t="shared" si="1063"/>
        <v>4004389</v>
      </c>
      <c r="BG639" s="46" t="str">
        <f t="shared" si="1064"/>
        <v>NY</v>
      </c>
      <c r="BH639" s="46"/>
      <c r="BI639" s="46" t="str">
        <f t="shared" si="1065"/>
        <v>2009 Y</v>
      </c>
      <c r="BJ639" s="129"/>
      <c r="BK639" s="129"/>
      <c r="BL639" s="129">
        <f>INDEX('Dist. Plant Gas Additions'!$E$7:$AD$91,MATCH($C639,'Dist. Plant Gas Additions'!$C$7:$C$91,0),MATCH(Calculation!$G639,'Dist. Plant Gas Additions'!$E$5:$AD$5,0))</f>
        <v>19528</v>
      </c>
      <c r="BM639" s="129">
        <f>INDEX('Gen. Plant Additions'!$E$7:$AD$91,MATCH($C639,'Gen. Plant Additions'!$C$7:$C$91,0),MATCH(Calculation!$G639,'Gen. Plant Additions'!$E$5:$AD$5,0))</f>
        <v>1778</v>
      </c>
      <c r="BN639" s="393">
        <f t="shared" si="1154"/>
        <v>0.96662662324051063</v>
      </c>
      <c r="BO639" s="46">
        <f t="shared" si="1166"/>
        <v>1718.662136121628</v>
      </c>
      <c r="BP639" s="46">
        <f t="shared" si="1167"/>
        <v>-59.337863878371991</v>
      </c>
      <c r="BQ639" s="129">
        <f>INDEX('Dist Plant Depreciation'!$D$7:$AC$94,MATCH($C639,'Dist Plant Depreciation'!$C$7:$C$94,0),MATCH(Calculation!$G639,'Dist Plant Depreciation'!$D$5:$AC$5,0))</f>
        <v>237049</v>
      </c>
      <c r="BR639" s="129">
        <f>INDEX('Gen. Plant Depreciation'!$D$7:$AC$94,MATCH($C639,'Gen. Plant Depreciation'!$C$7:$C$94,0),MATCH(Calculation!$G639,'Gen. Plant Depreciation'!$D$5:$AC$5,0))</f>
        <v>11642</v>
      </c>
      <c r="BS639" s="129"/>
      <c r="BT639" s="129"/>
      <c r="BU639" s="129"/>
      <c r="BV639" s="129"/>
      <c r="BW639" s="129"/>
      <c r="BX639" s="129"/>
      <c r="BY639" s="129">
        <f>INDEX('Gross Dx Plant'!$D$7:$AC$91,MATCH($C639,'Gross Dx Plant'!$C$7:$C$91,0),MATCH(Calculation!$G639,'Gross Dx Plant'!$D$5:$AC$5,0))</f>
        <v>668663</v>
      </c>
      <c r="BZ639" s="129">
        <f>INDEX('Gross Gen Plant'!$D$7:$AC$91,MATCH($C639,'Gross Gen Plant'!$C$7:$C$91,0),MATCH(Calculation!$G639,'Gross Gen Plant'!$D$5:$AC$5,0))</f>
        <v>23086</v>
      </c>
      <c r="CA639" s="129">
        <f t="shared" si="1077"/>
        <v>443058</v>
      </c>
      <c r="CB639" s="129"/>
      <c r="CC639" s="133">
        <v>2009</v>
      </c>
      <c r="CD639" s="129"/>
      <c r="CE639" s="129"/>
      <c r="CF639" s="129"/>
      <c r="CG639" s="137"/>
      <c r="CH639" s="129">
        <f t="shared" si="1155"/>
        <v>21306</v>
      </c>
      <c r="CI639" s="46">
        <f t="shared" si="1164"/>
        <v>21246.662136121628</v>
      </c>
      <c r="CJ639" s="46">
        <f t="shared" si="1156"/>
        <v>38.564340179453787</v>
      </c>
      <c r="CK639" s="443">
        <v>0.87912087912087911</v>
      </c>
      <c r="CL639" s="46">
        <f>+CL628*CK639+CJ629*CK638+CJ630*CK637+CJ631*CK636+CJ632*CK635+CJ633*CK634+CJ634*CK633+CJ635*CK632+CJ636*CK631+CJ637*CK630+CJ638*CK629+CJ639</f>
        <v>2146.026510787824</v>
      </c>
      <c r="CM639" s="134">
        <f t="shared" si="1157"/>
        <v>4.8422760726329625E-3</v>
      </c>
      <c r="CN639" s="135">
        <f t="shared" si="1158"/>
        <v>1.3203322028509143E-2</v>
      </c>
      <c r="CO639" s="135">
        <f t="shared" si="1169"/>
        <v>1.2825308727334004E-2</v>
      </c>
      <c r="CP639" s="134">
        <f>VLOOKUP($H639,RoR!$E:$F,2,FALSE)</f>
        <v>5.3133333333333324E-2</v>
      </c>
      <c r="CQ639" s="135">
        <v>7.7972502758210105E-3</v>
      </c>
      <c r="CR639" s="135">
        <f t="shared" si="1165"/>
        <v>4.5336083057512314E-2</v>
      </c>
      <c r="CS639" s="135">
        <f t="shared" si="1170"/>
        <v>1.8076632881199622E-2</v>
      </c>
      <c r="CT639" s="135">
        <f t="shared" si="1171"/>
        <v>6.3720160300892073E-2</v>
      </c>
      <c r="CU639" s="139">
        <f t="shared" si="1159"/>
        <v>0.85329623209999994</v>
      </c>
      <c r="CV639" s="335">
        <f t="shared" si="1160"/>
        <v>0.96515780330083989</v>
      </c>
      <c r="CW639" s="335">
        <f t="shared" si="1161"/>
        <v>0.50448557089084056</v>
      </c>
      <c r="CX639" s="335">
        <f t="shared" si="1162"/>
        <v>0.87391435735465484</v>
      </c>
      <c r="CY639" s="335">
        <f t="shared" si="1163"/>
        <v>0.42551605393279146</v>
      </c>
      <c r="CZ639" s="336">
        <f>INDEX('State Tax Lookup'!$D$7:$Z$91,MATCH(Calculation!$C639,'State Tax Lookup'!$B$7:$B$91,0),MATCH($H639,'State Tax Lookup'!$D$6:$Z$6,0))</f>
        <v>0.39649667</v>
      </c>
      <c r="DA639" s="303">
        <v>0.37</v>
      </c>
      <c r="DB639" s="57">
        <f t="shared" si="1168"/>
        <v>13.991197676914076</v>
      </c>
      <c r="DC639" s="56">
        <f t="shared" si="1172"/>
        <v>-5.4026776066062578E-2</v>
      </c>
      <c r="DD639" s="303">
        <f>VLOOKUP($H639,RoR!$E:$F,2,FALSE)</f>
        <v>5.3133333333333324E-2</v>
      </c>
      <c r="DE639" s="304">
        <f>HLOOKUP($H639,'GDP-PI'!$D$8:$CQ$11,3,FALSE)</f>
        <v>7.7972502758210105E-3</v>
      </c>
      <c r="DF639" s="303">
        <f>VLOOKUP(H639,'HW Dx Data'!$E:$F,2,FALSE)</f>
        <v>550.94063679692806</v>
      </c>
      <c r="DG639" s="89">
        <f ca="1">VLOOKUP(CC639,'ECI - Input Price'!M$13:N$33,2,FALSE)</f>
        <v>110.925</v>
      </c>
      <c r="DH639" s="89"/>
      <c r="DI639" s="89"/>
      <c r="DJ639" s="56">
        <f t="shared" ca="1" si="1180"/>
        <v>2.7649425000884052E-2</v>
      </c>
      <c r="DK639" s="53">
        <f>HLOOKUP(H639,'GDP-PI'!$8:$9,2,FALSE)</f>
        <v>94.998999999999995</v>
      </c>
      <c r="DL639" s="355">
        <f t="shared" si="1173"/>
        <v>7.7670088183096342E-3</v>
      </c>
      <c r="EC639"/>
    </row>
    <row r="640" spans="1:133" s="126" customFormat="1" ht="21" customHeight="1" x14ac:dyDescent="0.4">
      <c r="A640" s="233" t="s">
        <v>219</v>
      </c>
      <c r="B640" s="127" t="s">
        <v>219</v>
      </c>
      <c r="C640" s="127">
        <v>4004389</v>
      </c>
      <c r="D640" s="127" t="s">
        <v>194</v>
      </c>
      <c r="E640" s="127" t="s">
        <v>15</v>
      </c>
      <c r="F640" s="127"/>
      <c r="G640" s="127" t="s">
        <v>166</v>
      </c>
      <c r="H640" s="128">
        <v>2010</v>
      </c>
      <c r="I640" s="129"/>
      <c r="J640" s="125">
        <f>IFERROR(INDEX('Labor Expenditures'!$E$7:$W$91,MATCH($C640,'Labor Expenditures'!$C$7:$C$91,0),MATCH($G640,'Labor Expenditures'!$E$5:$W$5,0)),"NA")</f>
        <v>27798.46521047701</v>
      </c>
      <c r="K640" s="125">
        <f t="shared" ca="1" si="1174"/>
        <v>237.74612110735097</v>
      </c>
      <c r="L640" s="47"/>
      <c r="M640" s="131">
        <f t="shared" ca="1" si="1181"/>
        <v>8.9822202875834214E-2</v>
      </c>
      <c r="N640" s="131"/>
      <c r="O640" s="131"/>
      <c r="P640" s="59">
        <f t="shared" ca="1" si="1183"/>
        <v>1.0144133294425865E-3</v>
      </c>
      <c r="Q640" s="61"/>
      <c r="R640" s="387"/>
      <c r="S640" s="49">
        <f t="shared" ca="1" si="1188"/>
        <v>97.910278171698835</v>
      </c>
      <c r="T640" s="61">
        <f ca="1">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</f>
        <v>-0.19012263112843089</v>
      </c>
      <c r="U640" s="61"/>
      <c r="V640" s="125">
        <f>IFERROR(INDEX('Non-Labor Expenditures'!$E$7:$AA$91,MATCH($C640,'Non-Labor Expenditures'!$C$7:$C$91,0),MATCH($G640,'Non-Labor Expenditures'!$E$5:$AA$5,0)),"NA")</f>
        <v>40257.369661885052</v>
      </c>
      <c r="W640" s="125">
        <f t="shared" si="1175"/>
        <v>418.87200638738364</v>
      </c>
      <c r="X640" s="131">
        <f t="shared" si="1184"/>
        <v>0.13088401041566056</v>
      </c>
      <c r="Y640" s="131">
        <f t="shared" si="1185"/>
        <v>1.4781477243447677E-3</v>
      </c>
      <c r="Z640" s="131"/>
      <c r="AA640" s="131"/>
      <c r="AB640" s="131"/>
      <c r="AC640" s="125">
        <f t="shared" si="1153"/>
        <v>30396.402377649265</v>
      </c>
      <c r="AD640" s="129"/>
      <c r="AE640" s="133">
        <v>2286.2701493028239</v>
      </c>
      <c r="AF640" s="134">
        <v>8.3275843340477589E-3</v>
      </c>
      <c r="AG640" s="59">
        <f t="shared" si="1176"/>
        <v>9.4048156024328133E-5</v>
      </c>
      <c r="AH640" s="134"/>
      <c r="AI640" s="134"/>
      <c r="AJ640" s="129">
        <f t="shared" si="1120"/>
        <v>98452.237250011327</v>
      </c>
      <c r="AK640" s="134">
        <f t="shared" si="1186"/>
        <v>0.10208663203528132</v>
      </c>
      <c r="AL640" s="129"/>
      <c r="AM640" s="129"/>
      <c r="AN640" s="129"/>
      <c r="AO640" s="129"/>
      <c r="AP640" s="133">
        <f t="shared" si="1187"/>
        <v>379.99389109538163</v>
      </c>
      <c r="AQ640" s="134">
        <f>+BB640/Outputs!$B$18</f>
        <v>7.3249490440662878E-3</v>
      </c>
      <c r="AR640" s="93">
        <f t="shared" si="1177"/>
        <v>0.28235483506469339</v>
      </c>
      <c r="AS640" s="93">
        <f t="shared" si="1178"/>
        <v>0.40890253778240493</v>
      </c>
      <c r="AT640" s="93">
        <f t="shared" si="1179"/>
        <v>0.30874262715290168</v>
      </c>
      <c r="AU640" s="93">
        <f t="shared" ca="1" si="1182"/>
        <v>8.000346103400767E-2</v>
      </c>
      <c r="AV640" s="132">
        <f t="shared" ca="1" si="1190"/>
        <v>119.37161244324462</v>
      </c>
      <c r="AW640" s="134">
        <f t="shared" ca="1" si="1191"/>
        <v>8.0003461034007697E-2</v>
      </c>
      <c r="AX640" s="56">
        <f>+AJ640/$AL$15</f>
        <v>1.1293569929974457E-2</v>
      </c>
      <c r="AY640" s="135">
        <f t="shared" ca="1" si="1189"/>
        <v>9.0352468182755248E-4</v>
      </c>
      <c r="AZ640" s="93"/>
      <c r="BA640" s="93"/>
      <c r="BB640" s="234">
        <f>IFERROR(INDEX('Total Customers'!$E$7:$AA$91,MATCH($C640,'Total Customers'!$C$7:$C$91,0),MATCH($G640,'Total Customers'!$E$5:$AA$5,0)),"NA")</f>
        <v>259089</v>
      </c>
      <c r="BC640" s="411">
        <f t="shared" si="1076"/>
        <v>4.8246377906561036E-3</v>
      </c>
      <c r="BD640" s="92"/>
      <c r="BE640" s="281" t="str">
        <f t="shared" si="1062"/>
        <v>NEW YORK STATE ELECTRIC &amp; GAS CORPORATION</v>
      </c>
      <c r="BF640" s="290">
        <f t="shared" si="1063"/>
        <v>4004389</v>
      </c>
      <c r="BG640" s="46" t="str">
        <f t="shared" si="1064"/>
        <v>NY</v>
      </c>
      <c r="BH640" s="46"/>
      <c r="BI640" s="46" t="str">
        <f t="shared" si="1065"/>
        <v>2010 Y</v>
      </c>
      <c r="BJ640" s="129"/>
      <c r="BK640" s="129"/>
      <c r="BL640" s="129">
        <f>INDEX('Dist. Plant Gas Additions'!$E$7:$AD$91,MATCH($C640,'Dist. Plant Gas Additions'!$C$7:$C$91,0),MATCH(Calculation!$G640,'Dist. Plant Gas Additions'!$E$5:$AD$5,0))</f>
        <v>20137</v>
      </c>
      <c r="BM640" s="129">
        <f>INDEX('Gen. Plant Additions'!$E$7:$AD$91,MATCH($C640,'Gen. Plant Additions'!$C$7:$C$91,0),MATCH(Calculation!$G640,'Gen. Plant Additions'!$E$5:$AD$5,0))</f>
        <v>8</v>
      </c>
      <c r="BN640" s="393">
        <f t="shared" si="1154"/>
        <v>0.96752631801462818</v>
      </c>
      <c r="BO640" s="46">
        <f t="shared" si="1166"/>
        <v>7.7402105441170255</v>
      </c>
      <c r="BP640" s="46">
        <f t="shared" si="1167"/>
        <v>-0.25978945588297453</v>
      </c>
      <c r="BQ640" s="129">
        <f>INDEX('Dist Plant Depreciation'!$D$7:$AC$94,MATCH($C640,'Dist Plant Depreciation'!$C$7:$C$94,0),MATCH(Calculation!$G640,'Dist Plant Depreciation'!$D$5:$AC$5,0))</f>
        <v>248677</v>
      </c>
      <c r="BR640" s="129">
        <f>INDEX('Gen. Plant Depreciation'!$D$7:$AC$94,MATCH($C640,'Gen. Plant Depreciation'!$C$7:$C$94,0),MATCH(Calculation!$G640,'Gen. Plant Depreciation'!$D$5:$AC$5,0))</f>
        <v>12960</v>
      </c>
      <c r="BS640" s="129"/>
      <c r="BT640" s="129"/>
      <c r="BU640" s="129"/>
      <c r="BV640" s="129"/>
      <c r="BW640" s="129"/>
      <c r="BX640" s="129"/>
      <c r="BY640" s="129">
        <f>INDEX('Gross Dx Plant'!$D$7:$AC$91,MATCH($C640,'Gross Dx Plant'!$C$7:$C$91,0),MATCH(Calculation!$G640,'Gross Dx Plant'!$D$5:$AC$5,0))</f>
        <v>686547</v>
      </c>
      <c r="BZ640" s="129">
        <f>INDEX('Gross Gen Plant'!$D$7:$AC$91,MATCH($C640,'Gross Gen Plant'!$C$7:$C$91,0),MATCH(Calculation!$G640,'Gross Gen Plant'!$D$5:$AC$5,0))</f>
        <v>23043</v>
      </c>
      <c r="CA640" s="129">
        <f t="shared" si="1077"/>
        <v>447953</v>
      </c>
      <c r="CB640" s="129"/>
      <c r="CC640" s="133">
        <v>2010</v>
      </c>
      <c r="CD640" s="129"/>
      <c r="CE640" s="129"/>
      <c r="CF640" s="129"/>
      <c r="CG640" s="137"/>
      <c r="CH640" s="129">
        <f t="shared" si="1155"/>
        <v>20145</v>
      </c>
      <c r="CI640" s="46">
        <f t="shared" si="1164"/>
        <v>20144.740210544118</v>
      </c>
      <c r="CJ640" s="46">
        <f t="shared" si="1156"/>
        <v>35.40441452336205</v>
      </c>
      <c r="CK640" s="443">
        <v>0.8666666666666667</v>
      </c>
      <c r="CL640" s="46">
        <f>+CL628*CK640+CJ629*CK639+CJ630*CK638+CJ631*CK637+CJ632*CK636+CJ633*CK635+CJ634*CK634+CJ635*CK633+CJ636*CK632+CJ637*CK631+CJ638*CK630+CJ639*CK629+CJ640</f>
        <v>2152.2308648546414</v>
      </c>
      <c r="CM640" s="134">
        <f t="shared" si="1157"/>
        <v>2.8869180384834504E-3</v>
      </c>
      <c r="CN640" s="135">
        <f t="shared" si="1158"/>
        <v>1.3606570240283335E-2</v>
      </c>
      <c r="CO640" s="135">
        <f t="shared" si="1169"/>
        <v>1.3211610505154783E-2</v>
      </c>
      <c r="CP640" s="134">
        <f>VLOOKUP($H640,RoR!$E:$F,2,FALSE)</f>
        <v>4.9433333333333322E-2</v>
      </c>
      <c r="CQ640" s="135">
        <v>1.1684333519300205E-2</v>
      </c>
      <c r="CR640" s="135">
        <f t="shared" si="1165"/>
        <v>3.7748999814033117E-2</v>
      </c>
      <c r="CS640" s="135">
        <f t="shared" si="1170"/>
        <v>1.7690331103378844E-2</v>
      </c>
      <c r="CT640" s="135">
        <f t="shared" si="1171"/>
        <v>4.7937530248493419E-2</v>
      </c>
      <c r="CU640" s="139">
        <f t="shared" si="1159"/>
        <v>0.85329623209999994</v>
      </c>
      <c r="CV640" s="335">
        <f t="shared" si="1160"/>
        <v>1.037398205301105</v>
      </c>
      <c r="CW640" s="335">
        <f t="shared" si="1161"/>
        <v>0.46926837491571133</v>
      </c>
      <c r="CX640" s="335">
        <f t="shared" si="1162"/>
        <v>0.8548537519972772</v>
      </c>
      <c r="CY640" s="335">
        <f t="shared" si="1163"/>
        <v>0.41615833911547367</v>
      </c>
      <c r="CZ640" s="336">
        <f>INDEX('State Tax Lookup'!$D$7:$Z$91,MATCH(Calculation!$C640,'State Tax Lookup'!$B$7:$B$91,0),MATCH($H640,'State Tax Lookup'!$D$6:$Z$6,0))</f>
        <v>0.39649667</v>
      </c>
      <c r="DA640" s="303">
        <v>0.37</v>
      </c>
      <c r="DB640" s="57">
        <f t="shared" si="1168"/>
        <v>14.164038619676928</v>
      </c>
      <c r="DC640" s="56">
        <f t="shared" si="1172"/>
        <v>1.2277866340271644E-2</v>
      </c>
      <c r="DD640" s="303">
        <f>VLOOKUP($H640,RoR!$E:$F,2,FALSE)</f>
        <v>4.9433333333333322E-2</v>
      </c>
      <c r="DE640" s="304">
        <f>HLOOKUP($H640,'GDP-PI'!$D$8:$CQ$11,3,FALSE)</f>
        <v>1.1684333519300205E-2</v>
      </c>
      <c r="DF640" s="303">
        <f>VLOOKUP(H640,'HW Dx Data'!$E:$F,2,FALSE)</f>
        <v>568.98950262971744</v>
      </c>
      <c r="DG640" s="89">
        <f ca="1">VLOOKUP(CC640,'ECI - Input Price'!M$13:N$33,2,FALSE)</f>
        <v>116.925</v>
      </c>
      <c r="DH640" s="89"/>
      <c r="DI640" s="89"/>
      <c r="DJ640" s="56">
        <f t="shared" ca="1" si="1180"/>
        <v>5.2678406346976722E-2</v>
      </c>
      <c r="DK640" s="53">
        <f>HLOOKUP(H640,'GDP-PI'!$8:$9,2,FALSE)</f>
        <v>96.108999999999995</v>
      </c>
      <c r="DL640" s="355">
        <f t="shared" si="1173"/>
        <v>1.1616598807150427E-2</v>
      </c>
      <c r="EC640"/>
    </row>
    <row r="641" spans="1:133" s="126" customFormat="1" ht="21" customHeight="1" x14ac:dyDescent="0.4">
      <c r="A641" s="233" t="s">
        <v>219</v>
      </c>
      <c r="B641" s="127" t="s">
        <v>219</v>
      </c>
      <c r="C641" s="127">
        <v>4004389</v>
      </c>
      <c r="D641" s="127" t="s">
        <v>194</v>
      </c>
      <c r="E641" s="127" t="s">
        <v>15</v>
      </c>
      <c r="F641" s="127"/>
      <c r="G641" s="127" t="s">
        <v>167</v>
      </c>
      <c r="H641" s="128">
        <v>2011</v>
      </c>
      <c r="I641" s="129"/>
      <c r="J641" s="125">
        <f>IFERROR(INDEX('Labor Expenditures'!$E$7:$W$91,MATCH($C641,'Labor Expenditures'!$C$7:$C$91,0),MATCH($G641,'Labor Expenditures'!$E$5:$W$5,0)),"NA")</f>
        <v>35834.166209675255</v>
      </c>
      <c r="K641" s="125">
        <f t="shared" ca="1" si="1174"/>
        <v>296.45639056608275</v>
      </c>
      <c r="L641" s="47"/>
      <c r="M641" s="131">
        <f t="shared" ca="1" si="1181"/>
        <v>0.22069674061235134</v>
      </c>
      <c r="N641" s="131"/>
      <c r="O641" s="131"/>
      <c r="P641" s="59">
        <f t="shared" ca="1" si="1183"/>
        <v>2.9148944608215419E-3</v>
      </c>
      <c r="Q641" s="61"/>
      <c r="R641" s="387"/>
      <c r="S641" s="49">
        <f t="shared" ca="1" si="1188"/>
        <v>117.7087060347433</v>
      </c>
      <c r="T641" s="61">
        <f ca="1">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</f>
        <v>0.18416144908260984</v>
      </c>
      <c r="U641" s="61"/>
      <c r="V641" s="125">
        <f>IFERROR(INDEX('Non-Labor Expenditures'!$E$7:$AA$91,MATCH($C641,'Non-Labor Expenditures'!$C$7:$C$91,0),MATCH($G641,'Non-Labor Expenditures'!$E$5:$AA$5,0)),"NA")</f>
        <v>51894.565570642619</v>
      </c>
      <c r="W641" s="125">
        <f t="shared" si="1175"/>
        <v>528.93188978557794</v>
      </c>
      <c r="X641" s="131">
        <f t="shared" si="1184"/>
        <v>0.23329427156101076</v>
      </c>
      <c r="Y641" s="131">
        <f t="shared" si="1185"/>
        <v>3.0812787630110062E-3</v>
      </c>
      <c r="Z641" s="131"/>
      <c r="AA641" s="131"/>
      <c r="AB641" s="131"/>
      <c r="AC641" s="125">
        <f t="shared" si="1153"/>
        <v>32100.449623554647</v>
      </c>
      <c r="AD641" s="129"/>
      <c r="AE641" s="133">
        <v>2322.2156567231009</v>
      </c>
      <c r="AF641" s="134">
        <v>1.5600020443643021E-2</v>
      </c>
      <c r="AG641" s="59">
        <f t="shared" si="1176"/>
        <v>2.0604025711348897E-4</v>
      </c>
      <c r="AH641" s="134"/>
      <c r="AI641" s="134"/>
      <c r="AJ641" s="129">
        <f t="shared" si="1120"/>
        <v>119829.18140387253</v>
      </c>
      <c r="AK641" s="134">
        <f t="shared" si="1186"/>
        <v>0.19649571079859013</v>
      </c>
      <c r="AL641" s="129"/>
      <c r="AM641" s="129"/>
      <c r="AN641" s="129"/>
      <c r="AO641" s="129"/>
      <c r="AP641" s="133">
        <f t="shared" si="1187"/>
        <v>461.14928825538112</v>
      </c>
      <c r="AQ641" s="134">
        <f>+BB641/Outputs!$B$19</f>
        <v>7.3109892398761827E-3</v>
      </c>
      <c r="AR641" s="93">
        <f t="shared" si="1177"/>
        <v>0.29904373700843123</v>
      </c>
      <c r="AS641" s="93">
        <f t="shared" si="1178"/>
        <v>0.43307118485385515</v>
      </c>
      <c r="AT641" s="93">
        <f t="shared" si="1179"/>
        <v>0.26788507813771356</v>
      </c>
      <c r="AU641" s="93">
        <f t="shared" ca="1" si="1182"/>
        <v>0.16686791007002857</v>
      </c>
      <c r="AV641" s="132">
        <f t="shared" ca="1" si="1190"/>
        <v>141.04927974150701</v>
      </c>
      <c r="AW641" s="134">
        <f t="shared" ca="1" si="1191"/>
        <v>0.16686791007002863</v>
      </c>
      <c r="AX641" s="56">
        <f>+AJ641/$AL$16</f>
        <v>1.3207691480779436E-2</v>
      </c>
      <c r="AY641" s="135">
        <f t="shared" ca="1" si="1189"/>
        <v>2.2039398742473861E-3</v>
      </c>
      <c r="AZ641" s="93"/>
      <c r="BA641" s="93"/>
      <c r="BB641" s="234">
        <f>IFERROR(INDEX('Total Customers'!$E$7:$AA$91,MATCH($C641,'Total Customers'!$C$7:$C$91,0),MATCH($G641,'Total Customers'!$E$5:$AA$5,0)),"NA")</f>
        <v>259849</v>
      </c>
      <c r="BC641" s="411">
        <f t="shared" si="1076"/>
        <v>2.9290610568577903E-3</v>
      </c>
      <c r="BD641" s="92"/>
      <c r="BE641" s="281" t="str">
        <f t="shared" si="1062"/>
        <v>NEW YORK STATE ELECTRIC &amp; GAS CORPORATION</v>
      </c>
      <c r="BF641" s="290">
        <f t="shared" si="1063"/>
        <v>4004389</v>
      </c>
      <c r="BG641" s="46" t="str">
        <f t="shared" si="1064"/>
        <v>NY</v>
      </c>
      <c r="BH641" s="46"/>
      <c r="BI641" s="46" t="str">
        <f t="shared" si="1065"/>
        <v>2011 Y</v>
      </c>
      <c r="BJ641" s="129"/>
      <c r="BK641" s="129"/>
      <c r="BL641" s="129">
        <f>INDEX('Dist. Plant Gas Additions'!$E$7:$AD$91,MATCH($C641,'Dist. Plant Gas Additions'!$C$7:$C$91,0),MATCH(Calculation!$G641,'Dist. Plant Gas Additions'!$E$5:$AD$5,0))</f>
        <v>30900</v>
      </c>
      <c r="BM641" s="129">
        <f>INDEX('Gen. Plant Additions'!$E$7:$AD$91,MATCH($C641,'Gen. Plant Additions'!$C$7:$C$91,0),MATCH(Calculation!$G641,'Gen. Plant Additions'!$E$5:$AD$5,0))</f>
        <v>1610</v>
      </c>
      <c r="BN641" s="393">
        <f t="shared" si="1154"/>
        <v>0.97083186177293601</v>
      </c>
      <c r="BO641" s="46">
        <f t="shared" si="1166"/>
        <v>1563.039297454427</v>
      </c>
      <c r="BP641" s="46">
        <f t="shared" si="1167"/>
        <v>-46.960702545572985</v>
      </c>
      <c r="BQ641" s="129">
        <f>INDEX('Dist Plant Depreciation'!$D$7:$AC$94,MATCH($C641,'Dist Plant Depreciation'!$C$7:$C$94,0),MATCH(Calculation!$G641,'Dist Plant Depreciation'!$D$5:$AC$5,0))</f>
        <v>260806</v>
      </c>
      <c r="BR641" s="129">
        <f>INDEX('Gen. Plant Depreciation'!$D$7:$AC$94,MATCH($C641,'Gen. Plant Depreciation'!$C$7:$C$94,0),MATCH(Calculation!$G641,'Gen. Plant Depreciation'!$D$5:$AC$5,0))</f>
        <v>11237</v>
      </c>
      <c r="BS641" s="129"/>
      <c r="BT641" s="129"/>
      <c r="BU641" s="129"/>
      <c r="BV641" s="129"/>
      <c r="BW641" s="129"/>
      <c r="BX641" s="129"/>
      <c r="BY641" s="129">
        <f>INDEX('Gross Dx Plant'!$D$7:$AC$91,MATCH($C641,'Gross Dx Plant'!$C$7:$C$91,0),MATCH(Calculation!$G641,'Gross Dx Plant'!$D$5:$AC$5,0))</f>
        <v>714707</v>
      </c>
      <c r="BZ641" s="129">
        <f>INDEX('Gross Gen Plant'!$D$7:$AC$91,MATCH($C641,'Gross Gen Plant'!$C$7:$C$91,0),MATCH(Calculation!$G641,'Gross Gen Plant'!$D$5:$AC$5,0))</f>
        <v>21473</v>
      </c>
      <c r="CA641" s="129">
        <f t="shared" si="1077"/>
        <v>464137</v>
      </c>
      <c r="CB641" s="129"/>
      <c r="CC641" s="133">
        <v>2011</v>
      </c>
      <c r="CD641" s="129"/>
      <c r="CE641" s="129"/>
      <c r="CF641" s="129"/>
      <c r="CG641" s="137"/>
      <c r="CH641" s="129">
        <f t="shared" si="1155"/>
        <v>32510</v>
      </c>
      <c r="CI641" s="46">
        <f t="shared" si="1164"/>
        <v>32463.039297454427</v>
      </c>
      <c r="CJ641" s="46">
        <f t="shared" si="1156"/>
        <v>53.077910952313331</v>
      </c>
      <c r="CK641" s="443">
        <v>0.8539325842696629</v>
      </c>
      <c r="CL641" s="46">
        <f>+CL628*CK641+CJ629*CK640+CJ630*CK639+CJ631*CK638+CJ632*CK637+CJ633*CK636+CJ634*CK635+CJ635*CK634+CJ636*CK633+CJ637*CK632+CJ638*CK631+CJ639*CK630+CJ640*CK629+CJ641</f>
        <v>2175.1093950036025</v>
      </c>
      <c r="CM641" s="134">
        <f t="shared" si="1157"/>
        <v>1.0574044076116177E-2</v>
      </c>
      <c r="CN641" s="135">
        <f t="shared" si="1158"/>
        <v>1.4031664212469076E-2</v>
      </c>
      <c r="CO641" s="135">
        <f t="shared" si="1169"/>
        <v>1.3613852160420518E-2</v>
      </c>
      <c r="CP641" s="134">
        <f>VLOOKUP($H641,RoR!$E:$F,2,FALSE)</f>
        <v>4.6391666666666664E-2</v>
      </c>
      <c r="CQ641" s="135">
        <v>2.0840920205183799E-2</v>
      </c>
      <c r="CR641" s="135">
        <f t="shared" si="1165"/>
        <v>2.5550746461482865E-2</v>
      </c>
      <c r="CS641" s="135">
        <f t="shared" si="1170"/>
        <v>1.7288089448113109E-2</v>
      </c>
      <c r="CT641" s="135">
        <f t="shared" si="1171"/>
        <v>2.4810540821321614E-2</v>
      </c>
      <c r="CU641" s="139">
        <f t="shared" si="1159"/>
        <v>0.85329623209999994</v>
      </c>
      <c r="CV641" s="335">
        <f t="shared" si="1160"/>
        <v>1.1054151524782025</v>
      </c>
      <c r="CW641" s="335">
        <f t="shared" si="1161"/>
        <v>0.43611011316687626</v>
      </c>
      <c r="CX641" s="335">
        <f t="shared" si="1162"/>
        <v>0.83698442246886229</v>
      </c>
      <c r="CY641" s="335">
        <f t="shared" si="1163"/>
        <v>0.40349573304423936</v>
      </c>
      <c r="CZ641" s="336">
        <f>INDEX('State Tax Lookup'!$D$7:$Z$91,MATCH(Calculation!$C641,'State Tax Lookup'!$B$7:$B$91,0),MATCH($H641,'State Tax Lookup'!$D$6:$Z$6,0))</f>
        <v>0.39649667</v>
      </c>
      <c r="DA641" s="303">
        <v>0.37</v>
      </c>
      <c r="DB641" s="57">
        <f t="shared" si="1168"/>
        <v>14.914965744496312</v>
      </c>
      <c r="DC641" s="56">
        <f t="shared" si="1172"/>
        <v>5.1658860395084348E-2</v>
      </c>
      <c r="DD641" s="303">
        <f>VLOOKUP($H641,RoR!$E:$F,2,FALSE)</f>
        <v>4.6391666666666664E-2</v>
      </c>
      <c r="DE641" s="304">
        <f>HLOOKUP($H641,'GDP-PI'!$D$8:$CQ$11,3,FALSE)</f>
        <v>2.0840920205183799E-2</v>
      </c>
      <c r="DF641" s="303">
        <f>VLOOKUP(H641,'HW Dx Data'!$E:$F,2,FALSE)</f>
        <v>611.61109612283201</v>
      </c>
      <c r="DG641" s="89">
        <f ca="1">VLOOKUP(CC641,'ECI - Input Price'!M$13:N$33,2,FALSE)</f>
        <v>120.875</v>
      </c>
      <c r="DH641" s="89"/>
      <c r="DI641" s="89"/>
      <c r="DJ641" s="56">
        <f t="shared" ca="1" si="1180"/>
        <v>3.3224250161508609E-2</v>
      </c>
      <c r="DK641" s="53">
        <f>HLOOKUP(H641,'GDP-PI'!$8:$9,2,FALSE)</f>
        <v>98.111999999999995</v>
      </c>
      <c r="DL641" s="355">
        <f t="shared" si="1173"/>
        <v>2.0626719212849295E-2</v>
      </c>
      <c r="EC641"/>
    </row>
    <row r="642" spans="1:133" s="126" customFormat="1" ht="21" customHeight="1" x14ac:dyDescent="0.4">
      <c r="A642" s="233" t="s">
        <v>219</v>
      </c>
      <c r="B642" s="127" t="s">
        <v>219</v>
      </c>
      <c r="C642" s="127">
        <v>4004389</v>
      </c>
      <c r="D642" s="127" t="s">
        <v>194</v>
      </c>
      <c r="E642" s="127" t="s">
        <v>15</v>
      </c>
      <c r="F642" s="127"/>
      <c r="G642" s="127" t="s">
        <v>168</v>
      </c>
      <c r="H642" s="128">
        <v>2012</v>
      </c>
      <c r="I642" s="129"/>
      <c r="J642" s="125">
        <f>IFERROR(INDEX('Labor Expenditures'!$E$7:$W$91,MATCH($C642,'Labor Expenditures'!$C$7:$C$91,0),MATCH($G642,'Labor Expenditures'!$E$5:$W$5,0)),"NA")</f>
        <v>33777.018674359446</v>
      </c>
      <c r="K642" s="125">
        <f t="shared" ca="1" si="1174"/>
        <v>270.64918809582889</v>
      </c>
      <c r="L642" s="47"/>
      <c r="M642" s="131">
        <f t="shared" ca="1" si="1181"/>
        <v>-9.1076653491058965E-2</v>
      </c>
      <c r="N642" s="131"/>
      <c r="O642" s="131"/>
      <c r="P642" s="59">
        <f t="shared" ca="1" si="1183"/>
        <v>-1.1370060737843888E-3</v>
      </c>
      <c r="Q642" s="61"/>
      <c r="R642" s="387"/>
      <c r="S642" s="49">
        <f t="shared" ca="1" si="1188"/>
        <v>116.85503693673004</v>
      </c>
      <c r="T642" s="61">
        <f ca="1">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</f>
        <v>-7.2788134792246438E-3</v>
      </c>
      <c r="U642" s="61"/>
      <c r="V642" s="125">
        <f>IFERROR(INDEX('Non-Labor Expenditures'!$E$7:$AA$91,MATCH($C642,'Non-Labor Expenditures'!$C$7:$C$91,0),MATCH($G642,'Non-Labor Expenditures'!$E$5:$AA$5,0)),"NA")</f>
        <v>48915.431717345149</v>
      </c>
      <c r="W642" s="125">
        <f t="shared" si="1175"/>
        <v>489.15431717345149</v>
      </c>
      <c r="X642" s="131">
        <f t="shared" si="1184"/>
        <v>-7.8181654067932538E-2</v>
      </c>
      <c r="Y642" s="131">
        <f t="shared" si="1185"/>
        <v>-9.7602417443319806E-4</v>
      </c>
      <c r="Z642" s="131"/>
      <c r="AA642" s="131"/>
      <c r="AB642" s="131"/>
      <c r="AC642" s="125">
        <f t="shared" si="1153"/>
        <v>34512.368558607428</v>
      </c>
      <c r="AD642" s="129"/>
      <c r="AE642" s="133">
        <v>2359.6326838166897</v>
      </c>
      <c r="AF642" s="134">
        <v>1.5984210091296577E-2</v>
      </c>
      <c r="AG642" s="59">
        <f t="shared" si="1176"/>
        <v>1.995477793904021E-4</v>
      </c>
      <c r="AH642" s="134"/>
      <c r="AI642" s="134"/>
      <c r="AJ642" s="129">
        <f t="shared" si="1120"/>
        <v>117204.81895031202</v>
      </c>
      <c r="AK642" s="134">
        <f t="shared" si="1186"/>
        <v>-2.2144246737904258E-2</v>
      </c>
      <c r="AL642" s="129"/>
      <c r="AM642" s="129"/>
      <c r="AN642" s="129"/>
      <c r="AO642" s="129"/>
      <c r="AP642" s="133">
        <f t="shared" si="1187"/>
        <v>450.53477259043774</v>
      </c>
      <c r="AQ642" s="134">
        <f>+BB642/Outputs!$B$20</f>
        <v>7.2842688538271028E-3</v>
      </c>
      <c r="AR642" s="93">
        <f t="shared" si="1177"/>
        <v>0.28818796852268441</v>
      </c>
      <c r="AS642" s="93">
        <f t="shared" si="1178"/>
        <v>0.4173500045086237</v>
      </c>
      <c r="AT642" s="93">
        <f t="shared" si="1179"/>
        <v>0.29446202696869189</v>
      </c>
      <c r="AU642" s="93">
        <f t="shared" ca="1" si="1182"/>
        <v>-5.5490879765072422E-2</v>
      </c>
      <c r="AV642" s="132">
        <f t="shared" ca="1" si="1190"/>
        <v>133.435531523366</v>
      </c>
      <c r="AW642" s="134">
        <f t="shared" ca="1" si="1191"/>
        <v>-5.5490879765072366E-2</v>
      </c>
      <c r="AX642" s="56">
        <f>+AJ642/$AL$17</f>
        <v>1.2484056343769914E-2</v>
      </c>
      <c r="AY642" s="135">
        <f t="shared" ca="1" si="1189"/>
        <v>-6.9275126955252518E-4</v>
      </c>
      <c r="AZ642" s="93"/>
      <c r="BA642" s="93"/>
      <c r="BB642" s="234">
        <f>IFERROR(INDEX('Total Customers'!$E$7:$AA$91,MATCH($C642,'Total Customers'!$C$7:$C$91,0),MATCH($G642,'Total Customers'!$E$5:$AA$5,0)),"NA")</f>
        <v>260146</v>
      </c>
      <c r="BC642" s="411">
        <f t="shared" si="1076"/>
        <v>1.142318800357934E-3</v>
      </c>
      <c r="BD642" s="92"/>
      <c r="BE642" s="281" t="str">
        <f t="shared" si="1062"/>
        <v>NEW YORK STATE ELECTRIC &amp; GAS CORPORATION</v>
      </c>
      <c r="BF642" s="290">
        <f t="shared" si="1063"/>
        <v>4004389</v>
      </c>
      <c r="BG642" s="46" t="str">
        <f t="shared" si="1064"/>
        <v>NY</v>
      </c>
      <c r="BH642" s="46"/>
      <c r="BI642" s="46" t="str">
        <f t="shared" si="1065"/>
        <v>2012 Y</v>
      </c>
      <c r="BJ642" s="129"/>
      <c r="BK642" s="129"/>
      <c r="BL642" s="129">
        <f>INDEX('Dist. Plant Gas Additions'!$E$7:$AD$91,MATCH($C642,'Dist. Plant Gas Additions'!$C$7:$C$91,0),MATCH(Calculation!$G642,'Dist. Plant Gas Additions'!$E$5:$AD$5,0))</f>
        <v>35356</v>
      </c>
      <c r="BM642" s="129">
        <f>INDEX('Gen. Plant Additions'!$E$7:$AD$91,MATCH($C642,'Gen. Plant Additions'!$C$7:$C$91,0),MATCH(Calculation!$G642,'Gen. Plant Additions'!$E$5:$AD$5,0))</f>
        <v>1780</v>
      </c>
      <c r="BN642" s="393">
        <f t="shared" si="1154"/>
        <v>0.96988914728984144</v>
      </c>
      <c r="BO642" s="46">
        <f t="shared" si="1166"/>
        <v>1726.4026821759178</v>
      </c>
      <c r="BP642" s="46">
        <f t="shared" si="1167"/>
        <v>-53.597317824082211</v>
      </c>
      <c r="BQ642" s="129">
        <f>INDEX('Dist Plant Depreciation'!$D$7:$AC$94,MATCH($C642,'Dist Plant Depreciation'!$C$7:$C$94,0),MATCH(Calculation!$G642,'Dist Plant Depreciation'!$D$5:$AC$5,0))</f>
        <v>272699</v>
      </c>
      <c r="BR642" s="129">
        <f>INDEX('Gen. Plant Depreciation'!$D$7:$AC$94,MATCH($C642,'Gen. Plant Depreciation'!$C$7:$C$94,0),MATCH(Calculation!$G642,'Gen. Plant Depreciation'!$D$5:$AC$5,0))</f>
        <v>12438</v>
      </c>
      <c r="BS642" s="129"/>
      <c r="BT642" s="129"/>
      <c r="BU642" s="129"/>
      <c r="BV642" s="129"/>
      <c r="BW642" s="129"/>
      <c r="BX642" s="129"/>
      <c r="BY642" s="129">
        <f>INDEX('Gross Dx Plant'!$D$7:$AC$91,MATCH($C642,'Gross Dx Plant'!$C$7:$C$91,0),MATCH(Calculation!$G642,'Gross Dx Plant'!$D$5:$AC$5,0))</f>
        <v>746932</v>
      </c>
      <c r="BZ642" s="129">
        <f>INDEX('Gross Gen Plant'!$D$7:$AC$91,MATCH($C642,'Gross Gen Plant'!$C$7:$C$91,0),MATCH(Calculation!$G642,'Gross Gen Plant'!$D$5:$AC$5,0))</f>
        <v>23189</v>
      </c>
      <c r="CA642" s="129">
        <f t="shared" si="1077"/>
        <v>484984</v>
      </c>
      <c r="CB642" s="129"/>
      <c r="CC642" s="133">
        <v>2012</v>
      </c>
      <c r="CD642" s="129"/>
      <c r="CE642" s="129"/>
      <c r="CF642" s="129"/>
      <c r="CG642" s="137"/>
      <c r="CH642" s="129">
        <f t="shared" si="1155"/>
        <v>37136</v>
      </c>
      <c r="CI642" s="46">
        <f t="shared" si="1164"/>
        <v>37082.402682175918</v>
      </c>
      <c r="CJ642" s="46">
        <f t="shared" si="1156"/>
        <v>55.436285746777386</v>
      </c>
      <c r="CK642" s="443">
        <v>0.84090909090909094</v>
      </c>
      <c r="CL642" s="46">
        <f>+CL628*CK642+CJ629*CK641+CJ630*CK640+CJ631*CK639+CJ632*CK638+CJ633*CK637+CJ634*CK636+CJ635*CK635+CJ636*CK634+CJ637*CK633+CJ638*CK632+CJ639*CK631+CJ640*CK630+CJ641*CK629+CJ642</f>
        <v>2199.1431029263586</v>
      </c>
      <c r="CM642" s="134">
        <f t="shared" si="1157"/>
        <v>1.0988825990924919E-2</v>
      </c>
      <c r="CN642" s="135">
        <f t="shared" si="1158"/>
        <v>1.4437240672195838E-2</v>
      </c>
      <c r="CO642" s="135">
        <f t="shared" si="1169"/>
        <v>1.4025158374982749E-2</v>
      </c>
      <c r="CP642" s="134">
        <f>VLOOKUP($H642,RoR!$E:$F,2,FALSE)</f>
        <v>3.6733333333333333E-2</v>
      </c>
      <c r="CQ642" s="135">
        <v>1.924331376386168E-2</v>
      </c>
      <c r="CR642" s="135">
        <f t="shared" si="1165"/>
        <v>1.7490019569471653E-2</v>
      </c>
      <c r="CS642" s="135">
        <f t="shared" si="1170"/>
        <v>1.6876783233550876E-2</v>
      </c>
      <c r="CT642" s="135">
        <f t="shared" si="1171"/>
        <v>6.7122682943869583E-2</v>
      </c>
      <c r="CU642" s="139">
        <f t="shared" si="1159"/>
        <v>0.85329623209999994</v>
      </c>
      <c r="CV642" s="335">
        <f t="shared" si="1160"/>
        <v>1.3960631020522127</v>
      </c>
      <c r="CW642" s="335">
        <f t="shared" si="1161"/>
        <v>0.29441923774954631</v>
      </c>
      <c r="CX642" s="335">
        <f t="shared" si="1162"/>
        <v>0.76377954189366437</v>
      </c>
      <c r="CY642" s="335">
        <f t="shared" si="1163"/>
        <v>0.31393465103033691</v>
      </c>
      <c r="CZ642" s="336">
        <f>INDEX('State Tax Lookup'!$D$7:$Z$91,MATCH(Calculation!$C642,'State Tax Lookup'!$B$7:$B$91,0),MATCH($H642,'State Tax Lookup'!$D$6:$Z$6,0))</f>
        <v>0.39649667</v>
      </c>
      <c r="DA642" s="303">
        <v>0.37</v>
      </c>
      <c r="DB642" s="57">
        <f t="shared" si="1168"/>
        <v>15.866957605849644</v>
      </c>
      <c r="DC642" s="56">
        <f t="shared" si="1172"/>
        <v>6.1873687655171386E-2</v>
      </c>
      <c r="DD642" s="303">
        <f>VLOOKUP($H642,RoR!$E:$F,2,FALSE)</f>
        <v>3.6733333333333333E-2</v>
      </c>
      <c r="DE642" s="304">
        <f>HLOOKUP($H642,'GDP-PI'!$D$8:$CQ$11,3,FALSE)</f>
        <v>1.924331376386168E-2</v>
      </c>
      <c r="DF642" s="303">
        <f>VLOOKUP(H642,'HW Dx Data'!$E:$F,2,FALSE)</f>
        <v>668.91932211262167</v>
      </c>
      <c r="DG642" s="89">
        <f ca="1">VLOOKUP(CC642,'ECI - Input Price'!M$13:N$33,2,FALSE)</f>
        <v>124.80000000000001</v>
      </c>
      <c r="DH642" s="89"/>
      <c r="DI642" s="89"/>
      <c r="DJ642" s="56">
        <f t="shared" ca="1" si="1180"/>
        <v>3.1955502161869064E-2</v>
      </c>
      <c r="DK642" s="53">
        <f>HLOOKUP(H642,'GDP-PI'!$8:$9,2,FALSE)</f>
        <v>100</v>
      </c>
      <c r="DL642" s="355">
        <f t="shared" si="1173"/>
        <v>1.9060502738742411E-2</v>
      </c>
      <c r="EC642"/>
    </row>
    <row r="643" spans="1:133" s="126" customFormat="1" ht="21" customHeight="1" x14ac:dyDescent="0.4">
      <c r="A643" s="233" t="s">
        <v>219</v>
      </c>
      <c r="B643" s="127" t="s">
        <v>219</v>
      </c>
      <c r="C643" s="127">
        <v>4004389</v>
      </c>
      <c r="D643" s="127" t="s">
        <v>194</v>
      </c>
      <c r="E643" s="127" t="s">
        <v>15</v>
      </c>
      <c r="F643" s="127"/>
      <c r="G643" s="127" t="s">
        <v>169</v>
      </c>
      <c r="H643" s="128">
        <v>2013</v>
      </c>
      <c r="I643" s="129"/>
      <c r="J643" s="125">
        <f>IFERROR(INDEX('Labor Expenditures'!$E$7:$W$91,MATCH($C643,'Labor Expenditures'!$C$7:$C$91,0),MATCH($G643,'Labor Expenditures'!$E$5:$W$5,0)),"NA")</f>
        <v>34781.393269766566</v>
      </c>
      <c r="K643" s="125">
        <f t="shared" ca="1" si="1174"/>
        <v>274.30120875210224</v>
      </c>
      <c r="L643" s="47"/>
      <c r="M643" s="131">
        <f t="shared" ca="1" si="1181"/>
        <v>1.3403331205223263E-2</v>
      </c>
      <c r="N643" s="131"/>
      <c r="O643" s="131"/>
      <c r="P643" s="59">
        <f t="shared" ca="1" si="1183"/>
        <v>1.6382461041242367E-4</v>
      </c>
      <c r="Q643" s="61"/>
      <c r="R643" s="387"/>
      <c r="S643" s="49">
        <f t="shared" ca="1" si="1188"/>
        <v>109.09298090775216</v>
      </c>
      <c r="T643" s="61">
        <f ca="1">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</f>
        <v>-6.8733611609445008E-2</v>
      </c>
      <c r="U643" s="61"/>
      <c r="V643" s="125">
        <f>IFERROR(INDEX('Non-Labor Expenditures'!$E$7:$AA$91,MATCH($C643,'Non-Labor Expenditures'!$C$7:$C$91,0),MATCH($G643,'Non-Labor Expenditures'!$E$5:$AA$5,0)),"NA")</f>
        <v>50369.95372279283</v>
      </c>
      <c r="W643" s="125">
        <f t="shared" si="1175"/>
        <v>494.92452539271545</v>
      </c>
      <c r="X643" s="131">
        <f t="shared" si="1184"/>
        <v>1.1727260256510988E-2</v>
      </c>
      <c r="Y643" s="131">
        <f t="shared" si="1185"/>
        <v>1.433385337802678E-4</v>
      </c>
      <c r="Z643" s="131"/>
      <c r="AA643" s="131"/>
      <c r="AB643" s="131"/>
      <c r="AC643" s="125">
        <f t="shared" si="1153"/>
        <v>33782.388286887086</v>
      </c>
      <c r="AD643" s="129"/>
      <c r="AE643" s="133">
        <v>2393.1103095480726</v>
      </c>
      <c r="AF643" s="134">
        <v>1.4087940150974866E-2</v>
      </c>
      <c r="AG643" s="59">
        <f t="shared" si="1176"/>
        <v>1.7219236557010489E-4</v>
      </c>
      <c r="AH643" s="134"/>
      <c r="AI643" s="134"/>
      <c r="AJ643" s="129">
        <f t="shared" si="1120"/>
        <v>118933.73527944648</v>
      </c>
      <c r="AK643" s="134">
        <f t="shared" si="1186"/>
        <v>1.464349800269267E-2</v>
      </c>
      <c r="AL643" s="129"/>
      <c r="AM643" s="129"/>
      <c r="AN643" s="129"/>
      <c r="AO643" s="129"/>
      <c r="AP643" s="133">
        <f t="shared" si="1187"/>
        <v>454.6188067804477</v>
      </c>
      <c r="AQ643" s="134">
        <f>+BB643/Outputs!$B$21</f>
        <v>7.2786312527418819E-3</v>
      </c>
      <c r="AR643" s="93">
        <f t="shared" si="1177"/>
        <v>0.29244346179865849</v>
      </c>
      <c r="AS643" s="93">
        <f t="shared" si="1178"/>
        <v>0.42351275358874152</v>
      </c>
      <c r="AT643" s="93">
        <f t="shared" si="1179"/>
        <v>0.28404378461260005</v>
      </c>
      <c r="AU643" s="93">
        <f t="shared" ca="1" si="1182"/>
        <v>1.2896683511761651E-2</v>
      </c>
      <c r="AV643" s="132">
        <f t="shared" ca="1" si="1190"/>
        <v>135.16755199620474</v>
      </c>
      <c r="AW643" s="134">
        <f t="shared" ca="1" si="1191"/>
        <v>1.2896683511761734E-2</v>
      </c>
      <c r="AX643" s="56">
        <f>+AJ643/$AL$18</f>
        <v>1.2222678668761196E-2</v>
      </c>
      <c r="AY643" s="135">
        <f t="shared" ca="1" si="1189"/>
        <v>1.5763201845697439E-4</v>
      </c>
      <c r="AZ643" s="93"/>
      <c r="BA643" s="93"/>
      <c r="BB643" s="234">
        <f>IFERROR(INDEX('Total Customers'!$E$7:$AA$91,MATCH($C643,'Total Customers'!$C$7:$C$91,0),MATCH($G643,'Total Customers'!$E$5:$AA$5,0)),"NA")</f>
        <v>261612</v>
      </c>
      <c r="BC643" s="411">
        <f t="shared" si="1076"/>
        <v>5.61947821726689E-3</v>
      </c>
      <c r="BD643" s="92"/>
      <c r="BE643" s="281" t="str">
        <f t="shared" ref="BE643:BE706" si="1192">A643</f>
        <v>NEW YORK STATE ELECTRIC &amp; GAS CORPORATION</v>
      </c>
      <c r="BF643" s="290">
        <f t="shared" ref="BF643:BF706" si="1193">C643</f>
        <v>4004389</v>
      </c>
      <c r="BG643" s="46" t="str">
        <f t="shared" ref="BG643:BG706" si="1194">D643</f>
        <v>NY</v>
      </c>
      <c r="BH643" s="46"/>
      <c r="BI643" s="46" t="str">
        <f t="shared" ref="BI643:BI706" si="1195">G643</f>
        <v>2013 Y</v>
      </c>
      <c r="BJ643" s="129"/>
      <c r="BK643" s="129"/>
      <c r="BL643" s="129">
        <f>INDEX('Dist. Plant Gas Additions'!$E$7:$AD$91,MATCH($C643,'Dist. Plant Gas Additions'!$C$7:$C$91,0),MATCH(Calculation!$G643,'Dist. Plant Gas Additions'!$E$5:$AD$5,0))</f>
        <v>33014</v>
      </c>
      <c r="BM643" s="129">
        <f>INDEX('Gen. Plant Additions'!$E$7:$AD$91,MATCH($C643,'Gen. Plant Additions'!$C$7:$C$91,0),MATCH(Calculation!$G643,'Gen. Plant Additions'!$E$5:$AD$5,0))</f>
        <v>1821</v>
      </c>
      <c r="BN643" s="393">
        <f t="shared" si="1154"/>
        <v>0.96886556840151628</v>
      </c>
      <c r="BO643" s="46">
        <f t="shared" si="1166"/>
        <v>1764.3042000591611</v>
      </c>
      <c r="BP643" s="46">
        <f t="shared" si="1167"/>
        <v>-56.695799940838924</v>
      </c>
      <c r="BQ643" s="129">
        <f>INDEX('Dist Plant Depreciation'!$D$7:$AC$94,MATCH($C643,'Dist Plant Depreciation'!$C$7:$C$94,0),MATCH(Calculation!$G643,'Dist Plant Depreciation'!$D$5:$AC$5,0))</f>
        <v>283876</v>
      </c>
      <c r="BR643" s="129">
        <f>INDEX('Gen. Plant Depreciation'!$D$7:$AC$94,MATCH($C643,'Gen. Plant Depreciation'!$C$7:$C$94,0),MATCH(Calculation!$G643,'Gen. Plant Depreciation'!$D$5:$AC$5,0))</f>
        <v>13684</v>
      </c>
      <c r="BS643" s="129"/>
      <c r="BT643" s="129"/>
      <c r="BU643" s="129"/>
      <c r="BV643" s="129"/>
      <c r="BW643" s="129"/>
      <c r="BX643" s="129"/>
      <c r="BY643" s="129">
        <f>INDEX('Gross Dx Plant'!$D$7:$AC$91,MATCH($C643,'Gross Dx Plant'!$C$7:$C$91,0),MATCH(Calculation!$G643,'Gross Dx Plant'!$D$5:$AC$5,0))</f>
        <v>776258</v>
      </c>
      <c r="BZ643" s="129">
        <f>INDEX('Gross Gen Plant'!$D$7:$AC$91,MATCH($C643,'Gross Gen Plant'!$C$7:$C$91,0),MATCH(Calculation!$G643,'Gross Gen Plant'!$D$5:$AC$5,0))</f>
        <v>24945</v>
      </c>
      <c r="CA643" s="129">
        <f t="shared" si="1077"/>
        <v>503643</v>
      </c>
      <c r="CB643" s="129"/>
      <c r="CC643" s="133">
        <v>2013</v>
      </c>
      <c r="CD643" s="129"/>
      <c r="CE643" s="129"/>
      <c r="CF643" s="129"/>
      <c r="CG643" s="137"/>
      <c r="CH643" s="129">
        <f t="shared" si="1155"/>
        <v>34835</v>
      </c>
      <c r="CI643" s="46">
        <f t="shared" si="1164"/>
        <v>34778.304200059159</v>
      </c>
      <c r="CJ643" s="46">
        <f t="shared" si="1156"/>
        <v>52.436317844532198</v>
      </c>
      <c r="CK643" s="443">
        <v>0.82758620689655171</v>
      </c>
      <c r="CL643" s="46">
        <f>+CL628*CK643+CJ629*CK642+CJ630*CK641+CJ631*CK640+CJ632*CK639+CJ633*CK638+CJ634*CK637+CJ635*CK636+CJ636*CK635+CJ637*CK634+CJ638*CK633+CJ639*CK632+CJ640*CK631+CJ641*CK630+CJ642*CK629+CJ643</f>
        <v>2218.9166961776773</v>
      </c>
      <c r="CM643" s="134">
        <f t="shared" si="1157"/>
        <v>8.9513162709268096E-3</v>
      </c>
      <c r="CN643" s="135">
        <f t="shared" si="1158"/>
        <v>1.4852478017346746E-2</v>
      </c>
      <c r="CO643" s="135">
        <f t="shared" si="1169"/>
        <v>1.4440460967337219E-2</v>
      </c>
      <c r="CP643" s="134">
        <f>VLOOKUP($H643,RoR!$E:$F,2,FALSE)</f>
        <v>4.2350000000000006E-2</v>
      </c>
      <c r="CQ643" s="135">
        <v>1.7730000000000024E-2</v>
      </c>
      <c r="CR643" s="135">
        <f t="shared" si="1165"/>
        <v>2.4619999999999982E-2</v>
      </c>
      <c r="CS643" s="135">
        <f t="shared" si="1170"/>
        <v>1.6461480641196406E-2</v>
      </c>
      <c r="CT643" s="135">
        <f t="shared" si="1171"/>
        <v>5.3376742735721204E-2</v>
      </c>
      <c r="CU643" s="139">
        <f t="shared" si="1159"/>
        <v>0.85329623209999994</v>
      </c>
      <c r="CV643" s="335">
        <f t="shared" si="1160"/>
        <v>1.2109103018193925</v>
      </c>
      <c r="CW643" s="335">
        <f t="shared" si="1161"/>
        <v>0.38468122786304604</v>
      </c>
      <c r="CX643" s="335">
        <f t="shared" si="1162"/>
        <v>0.80969194503422559</v>
      </c>
      <c r="CY643" s="335">
        <f t="shared" si="1163"/>
        <v>0.37716621754800816</v>
      </c>
      <c r="CZ643" s="336">
        <f>INDEX('State Tax Lookup'!$D$7:$Z$91,MATCH(Calculation!$C643,'State Tax Lookup'!$B$7:$B$91,0),MATCH($H643,'State Tax Lookup'!$D$6:$Z$6,0))</f>
        <v>0.39649667</v>
      </c>
      <c r="DA643" s="303">
        <v>0.37</v>
      </c>
      <c r="DB643" s="57">
        <f t="shared" si="1168"/>
        <v>15.361614367856959</v>
      </c>
      <c r="DC643" s="56">
        <f t="shared" si="1172"/>
        <v>-3.2366984633570926E-2</v>
      </c>
      <c r="DD643" s="303">
        <f>VLOOKUP($H643,RoR!$E:$F,2,FALSE)</f>
        <v>4.2350000000000006E-2</v>
      </c>
      <c r="DE643" s="304">
        <f>HLOOKUP($H643,'GDP-PI'!$D$8:$CQ$11,3,FALSE)</f>
        <v>1.7730000000000024E-2</v>
      </c>
      <c r="DF643" s="303">
        <f>VLOOKUP(H643,'HW Dx Data'!$E:$F,2,FALSE)</f>
        <v>663.24840548821396</v>
      </c>
      <c r="DG643" s="89">
        <f ca="1">VLOOKUP(CC643,'ECI - Input Price'!M$13:N$33,2,FALSE)</f>
        <v>126.8</v>
      </c>
      <c r="DH643" s="89"/>
      <c r="DI643" s="89"/>
      <c r="DJ643" s="56">
        <f t="shared" ca="1" si="1180"/>
        <v>1.5898586067798204E-2</v>
      </c>
      <c r="DK643" s="53">
        <f>HLOOKUP(H643,'GDP-PI'!$8:$9,2,FALSE)</f>
        <v>101.773</v>
      </c>
      <c r="DL643" s="355">
        <f t="shared" si="1173"/>
        <v>1.7574657016510519E-2</v>
      </c>
      <c r="EC643"/>
    </row>
    <row r="644" spans="1:133" s="126" customFormat="1" ht="21" customHeight="1" x14ac:dyDescent="0.4">
      <c r="A644" s="233" t="s">
        <v>219</v>
      </c>
      <c r="B644" s="127" t="s">
        <v>219</v>
      </c>
      <c r="C644" s="127">
        <v>4004389</v>
      </c>
      <c r="D644" s="127" t="s">
        <v>194</v>
      </c>
      <c r="E644" s="127" t="s">
        <v>15</v>
      </c>
      <c r="F644" s="127"/>
      <c r="G644" s="127" t="s">
        <v>170</v>
      </c>
      <c r="H644" s="128">
        <v>2014</v>
      </c>
      <c r="I644" s="129"/>
      <c r="J644" s="125">
        <f>IFERROR(INDEX('Labor Expenditures'!$E$7:$W$91,MATCH($C644,'Labor Expenditures'!$C$7:$C$91,0),MATCH($G644,'Labor Expenditures'!$E$5:$W$5,0)),"NA")</f>
        <v>32932.47249775564</v>
      </c>
      <c r="K644" s="125">
        <f t="shared" ca="1" si="1174"/>
        <v>254.50133305838978</v>
      </c>
      <c r="L644" s="47"/>
      <c r="M644" s="131">
        <f t="shared" ca="1" si="1181"/>
        <v>-7.4920730685729353E-2</v>
      </c>
      <c r="N644" s="131"/>
      <c r="O644" s="131"/>
      <c r="P644" s="59">
        <f t="shared" ca="1" si="1183"/>
        <v>-8.6910867105494181E-4</v>
      </c>
      <c r="Q644" s="61"/>
      <c r="R644" s="387"/>
      <c r="S644" s="49">
        <f t="shared" ca="1" si="1188"/>
        <v>120.95592263038473</v>
      </c>
      <c r="T644" s="61">
        <f ca="1">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</f>
        <v>0.10322564899848023</v>
      </c>
      <c r="U644" s="61"/>
      <c r="V644" s="125">
        <f>IFERROR(INDEX('Non-Labor Expenditures'!$E$7:$AA$91,MATCH($C644,'Non-Labor Expenditures'!$C$7:$C$91,0),MATCH($G644,'Non-Labor Expenditures'!$E$5:$AA$5,0)),"NA")</f>
        <v>47692.371114155547</v>
      </c>
      <c r="W644" s="125">
        <f t="shared" si="1175"/>
        <v>460.14232070542846</v>
      </c>
      <c r="X644" s="131">
        <f t="shared" si="1184"/>
        <v>-7.2869442520310648E-2</v>
      </c>
      <c r="Y644" s="131">
        <f t="shared" si="1185"/>
        <v>-8.4531295636982922E-4</v>
      </c>
      <c r="Z644" s="131"/>
      <c r="AA644" s="131"/>
      <c r="AB644" s="131"/>
      <c r="AC644" s="125">
        <f t="shared" si="1153"/>
        <v>34325.802893256252</v>
      </c>
      <c r="AD644" s="129"/>
      <c r="AE644" s="133">
        <v>2465.4287510489012</v>
      </c>
      <c r="AF644" s="134">
        <v>2.9771823262025654E-2</v>
      </c>
      <c r="AG644" s="59">
        <f t="shared" si="1176"/>
        <v>3.4536435394202973E-4</v>
      </c>
      <c r="AH644" s="134"/>
      <c r="AI644" s="134"/>
      <c r="AJ644" s="129">
        <f t="shared" si="1120"/>
        <v>114950.64650516745</v>
      </c>
      <c r="AK644" s="134">
        <f t="shared" si="1186"/>
        <v>-3.4063616201035866E-2</v>
      </c>
      <c r="AL644" s="129"/>
      <c r="AM644" s="129"/>
      <c r="AN644" s="129"/>
      <c r="AO644" s="129"/>
      <c r="AP644" s="133">
        <f t="shared" si="1187"/>
        <v>437.62547733142259</v>
      </c>
      <c r="AQ644" s="134">
        <f>+BB644/Outputs!$B$22</f>
        <v>7.2689873163755267E-3</v>
      </c>
      <c r="AR644" s="93">
        <f t="shared" si="1177"/>
        <v>0.28649227732942945</v>
      </c>
      <c r="AS644" s="93">
        <f t="shared" si="1178"/>
        <v>0.41489432694936257</v>
      </c>
      <c r="AT644" s="93">
        <f t="shared" si="1179"/>
        <v>0.29861339572120793</v>
      </c>
      <c r="AU644" s="93">
        <f t="shared" ca="1" si="1182"/>
        <v>-4.356088928210182E-2</v>
      </c>
      <c r="AV644" s="132">
        <f t="shared" ca="1" si="1190"/>
        <v>129.40593486358489</v>
      </c>
      <c r="AW644" s="134">
        <f t="shared" ca="1" si="1191"/>
        <v>-4.3560889282101826E-2</v>
      </c>
      <c r="AX644" s="56">
        <f>+AJ644/$AL$19</f>
        <v>1.1600376332427931E-2</v>
      </c>
      <c r="AY644" s="135">
        <f t="shared" ca="1" si="1189"/>
        <v>-5.0532270904760763E-4</v>
      </c>
      <c r="AZ644" s="93"/>
      <c r="BA644" s="93"/>
      <c r="BB644" s="234">
        <f>IFERROR(INDEX('Total Customers'!$E$7:$AA$91,MATCH($C644,'Total Customers'!$C$7:$C$91,0),MATCH($G644,'Total Customers'!$E$5:$AA$5,0)),"NA")</f>
        <v>262669</v>
      </c>
      <c r="BC644" s="411">
        <f t="shared" ref="BC644:BC707" si="1196">LN(BB644/BB643)</f>
        <v>4.0321943084357225E-3</v>
      </c>
      <c r="BD644" s="92"/>
      <c r="BE644" s="281" t="str">
        <f t="shared" si="1192"/>
        <v>NEW YORK STATE ELECTRIC &amp; GAS CORPORATION</v>
      </c>
      <c r="BF644" s="290">
        <f t="shared" si="1193"/>
        <v>4004389</v>
      </c>
      <c r="BG644" s="46" t="str">
        <f t="shared" si="1194"/>
        <v>NY</v>
      </c>
      <c r="BH644" s="46"/>
      <c r="BI644" s="46" t="str">
        <f t="shared" si="1195"/>
        <v>2014 Y</v>
      </c>
      <c r="BJ644" s="129"/>
      <c r="BK644" s="129"/>
      <c r="BL644" s="129">
        <f>INDEX('Dist. Plant Gas Additions'!$E$7:$AD$91,MATCH($C644,'Dist. Plant Gas Additions'!$C$7:$C$91,0),MATCH(Calculation!$G644,'Dist. Plant Gas Additions'!$E$5:$AD$5,0))</f>
        <v>66849</v>
      </c>
      <c r="BM644" s="129">
        <f>INDEX('Gen. Plant Additions'!$E$7:$AD$91,MATCH($C644,'Gen. Plant Additions'!$C$7:$C$91,0),MATCH(Calculation!$G644,'Gen. Plant Additions'!$E$5:$AD$5,0))</f>
        <v>-3646</v>
      </c>
      <c r="BN644" s="393">
        <f t="shared" si="1154"/>
        <v>0.97535995816780541</v>
      </c>
      <c r="BO644" s="46">
        <f t="shared" si="1166"/>
        <v>-3556.1624074798187</v>
      </c>
      <c r="BP644" s="46">
        <f t="shared" si="1167"/>
        <v>89.837592520181261</v>
      </c>
      <c r="BQ644" s="129">
        <f>INDEX('Dist Plant Depreciation'!$D$7:$AC$94,MATCH($C644,'Dist Plant Depreciation'!$C$7:$C$94,0),MATCH(Calculation!$G644,'Dist Plant Depreciation'!$D$5:$AC$5,0))</f>
        <v>305419</v>
      </c>
      <c r="BR644" s="129">
        <f>INDEX('Gen. Plant Depreciation'!$D$7:$AC$94,MATCH($C644,'Gen. Plant Depreciation'!$C$7:$C$94,0),MATCH(Calculation!$G644,'Gen. Plant Depreciation'!$D$5:$AC$5,0))</f>
        <v>10517</v>
      </c>
      <c r="BS644" s="129"/>
      <c r="BT644" s="129"/>
      <c r="BU644" s="129"/>
      <c r="BV644" s="129"/>
      <c r="BW644" s="129"/>
      <c r="BX644" s="129"/>
      <c r="BY644" s="129">
        <f>INDEX('Gross Dx Plant'!$D$7:$AC$91,MATCH($C644,'Gross Dx Plant'!$C$7:$C$91,0),MATCH(Calculation!$G644,'Gross Dx Plant'!$D$5:$AC$5,0))</f>
        <v>843107</v>
      </c>
      <c r="BZ644" s="129">
        <f>INDEX('Gross Gen Plant'!$D$7:$AC$91,MATCH($C644,'Gross Gen Plant'!$C$7:$C$91,0),MATCH(Calculation!$G644,'Gross Gen Plant'!$D$5:$AC$5,0))</f>
        <v>21299</v>
      </c>
      <c r="CA644" s="129">
        <f t="shared" si="1077"/>
        <v>548470</v>
      </c>
      <c r="CB644" s="129"/>
      <c r="CC644" s="133">
        <v>2014</v>
      </c>
      <c r="CD644" s="129"/>
      <c r="CE644" s="129"/>
      <c r="CF644" s="129"/>
      <c r="CG644" s="137"/>
      <c r="CH644" s="129">
        <f t="shared" si="1155"/>
        <v>63203</v>
      </c>
      <c r="CI644" s="46">
        <f t="shared" si="1164"/>
        <v>63292.837592520184</v>
      </c>
      <c r="CJ644" s="46">
        <f t="shared" si="1156"/>
        <v>92.469964867869905</v>
      </c>
      <c r="CK644" s="443">
        <v>0.81395348837209303</v>
      </c>
      <c r="CL644" s="46">
        <f>+CL628*CK644+CJ629*CK643+CJ630*CK642+CJ631*CK641+CJ632*CK640+CJ633*CK639+CJ634*CK638+CJ635*CK637+CJ636*CK636+CJ637*CK635+CJ638*CK634+CJ639*CK633+CJ640*CK632+CJ641*CK631+CJ642*CK630+CJ643*CK629+CJ644</f>
        <v>2277.4580455279252</v>
      </c>
      <c r="CM644" s="134">
        <f t="shared" si="1157"/>
        <v>2.6040826608233252E-2</v>
      </c>
      <c r="CN644" s="135">
        <f t="shared" si="1158"/>
        <v>1.5290621579470622E-2</v>
      </c>
      <c r="CO644" s="135">
        <f t="shared" si="1169"/>
        <v>1.4860113423004402E-2</v>
      </c>
      <c r="CP644" s="134">
        <f>VLOOKUP($H644,RoR!$E:$F,2,FALSE)</f>
        <v>4.1625000000000002E-2</v>
      </c>
      <c r="CQ644" s="135">
        <v>1.841352814597208E-2</v>
      </c>
      <c r="CR644" s="135">
        <f t="shared" si="1165"/>
        <v>2.3211471854027922E-2</v>
      </c>
      <c r="CS644" s="135">
        <f t="shared" si="1170"/>
        <v>1.6041828185529225E-2</v>
      </c>
      <c r="CT644" s="135">
        <f t="shared" si="1171"/>
        <v>3.9072621432650924E-2</v>
      </c>
      <c r="CU644" s="139">
        <f t="shared" si="1159"/>
        <v>0.85329623209999994</v>
      </c>
      <c r="CV644" s="335">
        <f t="shared" si="1160"/>
        <v>1.2320012320012319</v>
      </c>
      <c r="CW644" s="335">
        <f t="shared" si="1161"/>
        <v>0.37439939939939942</v>
      </c>
      <c r="CX644" s="335">
        <f t="shared" si="1162"/>
        <v>0.80432100613819935</v>
      </c>
      <c r="CY644" s="335">
        <f t="shared" si="1163"/>
        <v>0.37100152660040037</v>
      </c>
      <c r="CZ644" s="336">
        <f>INDEX('State Tax Lookup'!$D$7:$Z$91,MATCH(Calculation!$C644,'State Tax Lookup'!$B$7:$B$91,0),MATCH($H644,'State Tax Lookup'!$D$6:$Z$6,0))</f>
        <v>0.39649667</v>
      </c>
      <c r="DA644" s="303">
        <v>0.37</v>
      </c>
      <c r="DB644" s="57">
        <f t="shared" si="1168"/>
        <v>15.469622159491674</v>
      </c>
      <c r="DC644" s="56">
        <f t="shared" si="1172"/>
        <v>7.0064159365907088E-3</v>
      </c>
      <c r="DD644" s="303">
        <f>VLOOKUP($H644,RoR!$E:$F,2,FALSE)</f>
        <v>4.1625000000000002E-2</v>
      </c>
      <c r="DE644" s="304">
        <f>HLOOKUP($H644,'GDP-PI'!$D$8:$CQ$11,3,FALSE)</f>
        <v>1.841352814597208E-2</v>
      </c>
      <c r="DF644" s="303">
        <f>VLOOKUP(H644,'HW Dx Data'!$E:$F,2,FALSE)</f>
        <v>684.46914285042885</v>
      </c>
      <c r="DG644" s="89">
        <f ca="1">VLOOKUP(CC644,'ECI - Input Price'!M$13:N$33,2,FALSE)</f>
        <v>129.4</v>
      </c>
      <c r="DH644" s="89"/>
      <c r="DI644" s="89"/>
      <c r="DJ644" s="56">
        <f t="shared" ca="1" si="1180"/>
        <v>2.0297340063674733E-2</v>
      </c>
      <c r="DK644" s="53">
        <f>HLOOKUP(H644,'GDP-PI'!$8:$9,2,FALSE)</f>
        <v>103.64700000000001</v>
      </c>
      <c r="DL644" s="355">
        <f t="shared" si="1173"/>
        <v>1.8246051898256087E-2</v>
      </c>
      <c r="EC644"/>
    </row>
    <row r="645" spans="1:133" s="126" customFormat="1" ht="21" customHeight="1" x14ac:dyDescent="0.4">
      <c r="A645" s="233" t="s">
        <v>219</v>
      </c>
      <c r="B645" s="127" t="s">
        <v>219</v>
      </c>
      <c r="C645" s="127">
        <v>4004389</v>
      </c>
      <c r="D645" s="127" t="s">
        <v>194</v>
      </c>
      <c r="E645" s="127" t="s">
        <v>15</v>
      </c>
      <c r="F645" s="127"/>
      <c r="G645" s="127" t="s">
        <v>171</v>
      </c>
      <c r="H645" s="128">
        <v>2015</v>
      </c>
      <c r="I645" s="129"/>
      <c r="J645" s="125">
        <f>IFERROR(INDEX('Labor Expenditures'!$E$7:$W$91,MATCH($C645,'Labor Expenditures'!$C$7:$C$91,0),MATCH($G645,'Labor Expenditures'!$E$5:$W$5,0)),"NA")</f>
        <v>32941.724118960781</v>
      </c>
      <c r="K645" s="125">
        <f t="shared" ca="1" si="1174"/>
        <v>246.75448778247775</v>
      </c>
      <c r="L645" s="47"/>
      <c r="M645" s="131">
        <f t="shared" ca="1" si="1181"/>
        <v>-3.0912208210812388E-2</v>
      </c>
      <c r="N645" s="131"/>
      <c r="O645" s="131"/>
      <c r="P645" s="59">
        <f t="shared" ca="1" si="1183"/>
        <v>-3.5584659734496206E-4</v>
      </c>
      <c r="Q645" s="61"/>
      <c r="R645" s="387"/>
      <c r="S645" s="49">
        <f t="shared" ca="1" si="1188"/>
        <v>119.44807120180647</v>
      </c>
      <c r="T645" s="61">
        <f ca="1">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</f>
        <v>-1.2544477135668792E-2</v>
      </c>
      <c r="U645" s="61"/>
      <c r="V645" s="125">
        <f>IFERROR(INDEX('Non-Labor Expenditures'!$E$7:$AA$91,MATCH($C645,'Non-Labor Expenditures'!$C$7:$C$91,0),MATCH($G645,'Non-Labor Expenditures'!$E$5:$AA$5,0)),"NA")</f>
        <v>47705.769189625069</v>
      </c>
      <c r="W645" s="125">
        <f t="shared" si="1175"/>
        <v>455.90811446616527</v>
      </c>
      <c r="X645" s="131">
        <f t="shared" si="1184"/>
        <v>-9.2445486227513852E-3</v>
      </c>
      <c r="Y645" s="131">
        <f t="shared" si="1185"/>
        <v>-1.0641883455758733E-4</v>
      </c>
      <c r="Z645" s="131"/>
      <c r="AA645" s="131"/>
      <c r="AB645" s="131"/>
      <c r="AC645" s="125">
        <f t="shared" si="1153"/>
        <v>34013.791569504741</v>
      </c>
      <c r="AD645" s="129"/>
      <c r="AE645" s="133">
        <v>2493.8274348552613</v>
      </c>
      <c r="AF645" s="134">
        <v>1.1452924858557794E-2</v>
      </c>
      <c r="AG645" s="59">
        <f t="shared" si="1176"/>
        <v>1.3184060849913046E-4</v>
      </c>
      <c r="AH645" s="134"/>
      <c r="AI645" s="134"/>
      <c r="AJ645" s="129">
        <f t="shared" si="1120"/>
        <v>114661.28487809059</v>
      </c>
      <c r="AK645" s="134">
        <f t="shared" si="1186"/>
        <v>-2.520442021610318E-3</v>
      </c>
      <c r="AL645" s="129"/>
      <c r="AM645" s="129"/>
      <c r="AN645" s="129"/>
      <c r="AO645" s="129"/>
      <c r="AP645" s="133">
        <f t="shared" si="1187"/>
        <v>435.11911898697463</v>
      </c>
      <c r="AQ645" s="134">
        <f>+BB645/Outputs!$B$23</f>
        <v>7.2331573552429787E-3</v>
      </c>
      <c r="AR645" s="93">
        <f t="shared" si="1177"/>
        <v>0.28729596178853972</v>
      </c>
      <c r="AS645" s="93">
        <f t="shared" si="1178"/>
        <v>0.41605821215370542</v>
      </c>
      <c r="AT645" s="93">
        <f t="shared" si="1179"/>
        <v>0.29664582605775486</v>
      </c>
      <c r="AU645" s="93">
        <f t="shared" ca="1" si="1182"/>
        <v>-9.3006917645345258E-3</v>
      </c>
      <c r="AV645" s="132">
        <f t="shared" ca="1" si="1190"/>
        <v>128.20794983142781</v>
      </c>
      <c r="AW645" s="134">
        <f t="shared" ca="1" si="1191"/>
        <v>-9.3006917645344373E-3</v>
      </c>
      <c r="AX645" s="56">
        <f>+AJ645/$AL$20</f>
        <v>1.1511523049993401E-2</v>
      </c>
      <c r="AY645" s="135">
        <f t="shared" ca="1" si="1189"/>
        <v>-1.0706512762832197E-4</v>
      </c>
      <c r="AZ645" s="93"/>
      <c r="BA645" s="93"/>
      <c r="BB645" s="234">
        <f>IFERROR(INDEX('Total Customers'!$E$7:$AA$91,MATCH($C645,'Total Customers'!$C$7:$C$91,0),MATCH($G645,'Total Customers'!$E$5:$AA$5,0)),"NA")</f>
        <v>263517</v>
      </c>
      <c r="BC645" s="411">
        <f t="shared" si="1196"/>
        <v>3.2231976303287099E-3</v>
      </c>
      <c r="BD645" s="92"/>
      <c r="BE645" s="281" t="str">
        <f t="shared" si="1192"/>
        <v>NEW YORK STATE ELECTRIC &amp; GAS CORPORATION</v>
      </c>
      <c r="BF645" s="290">
        <f t="shared" si="1193"/>
        <v>4004389</v>
      </c>
      <c r="BG645" s="46" t="str">
        <f t="shared" si="1194"/>
        <v>NY</v>
      </c>
      <c r="BH645" s="46"/>
      <c r="BI645" s="46" t="str">
        <f t="shared" si="1195"/>
        <v>2015 Y</v>
      </c>
      <c r="BJ645" s="129"/>
      <c r="BK645" s="129"/>
      <c r="BL645" s="129">
        <f>INDEX('Dist. Plant Gas Additions'!$E$7:$AD$91,MATCH($C645,'Dist. Plant Gas Additions'!$C$7:$C$91,0),MATCH(Calculation!$G645,'Dist. Plant Gas Additions'!$E$5:$AD$5,0))</f>
        <v>32774</v>
      </c>
      <c r="BM645" s="129">
        <f>INDEX('Gen. Plant Additions'!$E$7:$AD$91,MATCH($C645,'Gen. Plant Additions'!$C$7:$C$91,0),MATCH(Calculation!$G645,'Gen. Plant Additions'!$E$5:$AD$5,0))</f>
        <v>765</v>
      </c>
      <c r="BN645" s="393">
        <f t="shared" si="1154"/>
        <v>0.97639919007380993</v>
      </c>
      <c r="BO645" s="46">
        <f t="shared" si="1166"/>
        <v>746.94538040646455</v>
      </c>
      <c r="BP645" s="46">
        <f t="shared" si="1167"/>
        <v>-18.054619593535449</v>
      </c>
      <c r="BQ645" s="129">
        <f>INDEX('Dist Plant Depreciation'!$D$7:$AC$94,MATCH($C645,'Dist Plant Depreciation'!$C$7:$C$94,0),MATCH(Calculation!$G645,'Dist Plant Depreciation'!$D$5:$AC$5,0))</f>
        <v>316925</v>
      </c>
      <c r="BR645" s="129">
        <f>INDEX('Gen. Plant Depreciation'!$D$7:$AC$94,MATCH($C645,'Gen. Plant Depreciation'!$C$7:$C$94,0),MATCH(Calculation!$G645,'Gen. Plant Depreciation'!$D$5:$AC$5,0))</f>
        <v>10763</v>
      </c>
      <c r="BS645" s="129"/>
      <c r="BT645" s="129"/>
      <c r="BU645" s="129"/>
      <c r="BV645" s="129"/>
      <c r="BW645" s="129"/>
      <c r="BX645" s="129"/>
      <c r="BY645" s="129">
        <f>INDEX('Gross Dx Plant'!$D$7:$AC$91,MATCH($C645,'Gross Dx Plant'!$C$7:$C$91,0),MATCH(Calculation!$G645,'Gross Dx Plant'!$D$5:$AC$5,0))</f>
        <v>871365</v>
      </c>
      <c r="BZ645" s="129">
        <f>INDEX('Gross Gen Plant'!$D$7:$AC$91,MATCH($C645,'Gross Gen Plant'!$C$7:$C$91,0),MATCH(Calculation!$G645,'Gross Gen Plant'!$D$5:$AC$5,0))</f>
        <v>21062</v>
      </c>
      <c r="CA645" s="129">
        <f t="shared" si="1077"/>
        <v>564739</v>
      </c>
      <c r="CB645" s="129"/>
      <c r="CC645" s="133">
        <v>2015</v>
      </c>
      <c r="CD645" s="129"/>
      <c r="CE645" s="129"/>
      <c r="CF645" s="129"/>
      <c r="CG645" s="137"/>
      <c r="CH645" s="129">
        <f t="shared" si="1155"/>
        <v>33539</v>
      </c>
      <c r="CI645" s="46">
        <f t="shared" si="1164"/>
        <v>33520.945380406461</v>
      </c>
      <c r="CJ645" s="46">
        <f t="shared" si="1156"/>
        <v>49.615481576028699</v>
      </c>
      <c r="CK645" s="443">
        <v>0.8</v>
      </c>
      <c r="CL645" s="46">
        <f>+CL628*CK645+CJ629*CK644+CJ630*CK643+CJ631*CK642+CJ632*CK641+CJ633*CK640+CJ634*CK639+CJ635*CK638+CJ636*CK637+CJ637*CK636+CJ638*CK635+CJ639*CK634+CJ640*CK633+CJ641*CK632+CJ642*CK631+CJ643*CK630+CJ644*CK629+CJ645</f>
        <v>2291.4463259189997</v>
      </c>
      <c r="CM645" s="134">
        <f t="shared" si="1157"/>
        <v>6.1232728727687868E-3</v>
      </c>
      <c r="CN645" s="135">
        <f t="shared" si="1158"/>
        <v>1.564340614524716E-2</v>
      </c>
      <c r="CO645" s="135">
        <f t="shared" si="1169"/>
        <v>1.5262168580688176E-2</v>
      </c>
      <c r="CP645" s="134">
        <f>VLOOKUP($H645,RoR!$E:$F,2,FALSE)</f>
        <v>3.8866666666666674E-2</v>
      </c>
      <c r="CQ645" s="135">
        <v>9.5709475431029478E-3</v>
      </c>
      <c r="CR645" s="135">
        <f t="shared" si="1165"/>
        <v>2.9295719123563727E-2</v>
      </c>
      <c r="CS645" s="135">
        <f t="shared" si="1170"/>
        <v>1.5639773027845451E-2</v>
      </c>
      <c r="CT645" s="135">
        <f t="shared" si="1171"/>
        <v>3.5270373279175926E-3</v>
      </c>
      <c r="CU645" s="139">
        <f t="shared" si="1159"/>
        <v>0.85329623209999994</v>
      </c>
      <c r="CV645" s="335">
        <f t="shared" si="1160"/>
        <v>1.3194352816994324</v>
      </c>
      <c r="CW645" s="335">
        <f t="shared" si="1161"/>
        <v>0.33177530017152673</v>
      </c>
      <c r="CX645" s="335">
        <f t="shared" si="1162"/>
        <v>0.78242572977668579</v>
      </c>
      <c r="CY645" s="335">
        <f t="shared" si="1163"/>
        <v>0.34251158643433932</v>
      </c>
      <c r="CZ645" s="336">
        <f>INDEX('State Tax Lookup'!$D$7:$Z$91,MATCH(Calculation!$C645,'State Tax Lookup'!$B$7:$B$91,0),MATCH($H645,'State Tax Lookup'!$D$6:$Z$6,0))</f>
        <v>0.39649667</v>
      </c>
      <c r="DA645" s="303">
        <v>0.37</v>
      </c>
      <c r="DB645" s="57">
        <f t="shared" si="1168"/>
        <v>14.934980530725953</v>
      </c>
      <c r="DC645" s="56">
        <f t="shared" si="1172"/>
        <v>-3.5172092140616958E-2</v>
      </c>
      <c r="DD645" s="303">
        <f>VLOOKUP($H645,RoR!$E:$F,2,FALSE)</f>
        <v>3.8866666666666674E-2</v>
      </c>
      <c r="DE645" s="304">
        <f>HLOOKUP($H645,'GDP-PI'!$D$8:$CQ$11,3,FALSE)</f>
        <v>9.5709475431029478E-3</v>
      </c>
      <c r="DF645" s="303">
        <f>VLOOKUP(H645,'HW Dx Data'!$E:$F,2,FALSE)</f>
        <v>675.61463308665782</v>
      </c>
      <c r="DG645" s="89">
        <f ca="1">VLOOKUP(CC645,'ECI - Input Price'!M$13:N$33,2,FALSE)</f>
        <v>133.5</v>
      </c>
      <c r="DH645" s="89"/>
      <c r="DI645" s="89"/>
      <c r="DJ645" s="56">
        <f t="shared" ca="1" si="1180"/>
        <v>3.1193095773504077E-2</v>
      </c>
      <c r="DK645" s="53">
        <f>HLOOKUP(H645,'GDP-PI'!$8:$9,2,FALSE)</f>
        <v>104.639</v>
      </c>
      <c r="DL645" s="355">
        <f t="shared" si="1173"/>
        <v>9.5254361854427965E-3</v>
      </c>
      <c r="EC645"/>
    </row>
    <row r="646" spans="1:133" s="126" customFormat="1" ht="21" customHeight="1" x14ac:dyDescent="0.4">
      <c r="A646" s="233" t="s">
        <v>219</v>
      </c>
      <c r="B646" s="127" t="s">
        <v>219</v>
      </c>
      <c r="C646" s="127">
        <v>4004389</v>
      </c>
      <c r="D646" s="127" t="s">
        <v>194</v>
      </c>
      <c r="E646" s="127" t="s">
        <v>15</v>
      </c>
      <c r="F646" s="127"/>
      <c r="G646" s="127" t="s">
        <v>172</v>
      </c>
      <c r="H646" s="128">
        <v>2016</v>
      </c>
      <c r="I646" s="129"/>
      <c r="J646" s="125">
        <f>IFERROR(INDEX('Labor Expenditures'!$E$7:$W$91,MATCH($C646,'Labor Expenditures'!$C$7:$C$91,0),MATCH($G646,'Labor Expenditures'!$E$5:$W$5,0)),"NA")</f>
        <v>36901.742106000733</v>
      </c>
      <c r="K646" s="125">
        <f t="shared" ca="1" si="1174"/>
        <v>269.45412271632517</v>
      </c>
      <c r="L646" s="47"/>
      <c r="M646" s="131">
        <f t="shared" ca="1" si="1181"/>
        <v>8.8004279033338836E-2</v>
      </c>
      <c r="N646" s="131"/>
      <c r="O646" s="131"/>
      <c r="P646" s="59">
        <f t="shared" ca="1" si="1183"/>
        <v>1.056387214407212E-3</v>
      </c>
      <c r="Q646" s="61"/>
      <c r="R646" s="387"/>
      <c r="S646" s="49">
        <f t="shared" ca="1" si="1188"/>
        <v>301.17438961129039</v>
      </c>
      <c r="T646" s="61">
        <f ca="1">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</f>
        <v>0.92480773814511619</v>
      </c>
      <c r="U646" s="61"/>
      <c r="V646" s="125">
        <f>IFERROR(INDEX('Non-Labor Expenditures'!$E$7:$AA$91,MATCH($C646,'Non-Labor Expenditures'!$C$7:$C$91,0),MATCH($G646,'Non-Labor Expenditures'!$E$5:$AA$5,0)),"NA")</f>
        <v>53440.614864194809</v>
      </c>
      <c r="W646" s="125">
        <f t="shared" si="1175"/>
        <v>505.41551471773857</v>
      </c>
      <c r="X646" s="131">
        <f t="shared" si="1184"/>
        <v>0.10308960653491697</v>
      </c>
      <c r="Y646" s="131">
        <f t="shared" si="1185"/>
        <v>1.237468717180226E-3</v>
      </c>
      <c r="Z646" s="131"/>
      <c r="AA646" s="131"/>
      <c r="AB646" s="131"/>
      <c r="AC646" s="125">
        <f t="shared" si="1153"/>
        <v>33087.458464626579</v>
      </c>
      <c r="AD646" s="129"/>
      <c r="AE646" s="133">
        <v>2546.5096222235056</v>
      </c>
      <c r="AF646" s="134">
        <v>2.0904993197711049E-2</v>
      </c>
      <c r="AG646" s="59">
        <f t="shared" si="1176"/>
        <v>2.5093970172706777E-4</v>
      </c>
      <c r="AH646" s="134"/>
      <c r="AI646" s="134"/>
      <c r="AJ646" s="129">
        <f t="shared" si="1120"/>
        <v>123429.81543482211</v>
      </c>
      <c r="AK646" s="134">
        <f t="shared" si="1186"/>
        <v>7.3690265051151588E-2</v>
      </c>
      <c r="AL646" s="129"/>
      <c r="AM646" s="129"/>
      <c r="AN646" s="129"/>
      <c r="AO646" s="129"/>
      <c r="AP646" s="133">
        <f t="shared" si="1187"/>
        <v>466.06835818489498</v>
      </c>
      <c r="AQ646" s="134">
        <f>+BB646/Outputs!$B$24</f>
        <v>7.2064356796934827E-3</v>
      </c>
      <c r="AR646" s="93">
        <f t="shared" si="1177"/>
        <v>0.29896943437857548</v>
      </c>
      <c r="AS646" s="93">
        <f t="shared" si="1178"/>
        <v>0.43296358076800706</v>
      </c>
      <c r="AT646" s="93">
        <f t="shared" si="1179"/>
        <v>0.26806698485341751</v>
      </c>
      <c r="AU646" s="93">
        <f t="shared" ca="1" si="1182"/>
        <v>7.5462251777254588E-2</v>
      </c>
      <c r="AV646" s="132">
        <f t="shared" ca="1" si="1190"/>
        <v>138.25721201378258</v>
      </c>
      <c r="AW646" s="134">
        <f t="shared" ca="1" si="1191"/>
        <v>7.5462251777254505E-2</v>
      </c>
      <c r="AX646" s="56">
        <f>+AJ646/$AL$21</f>
        <v>1.200381647359464E-2</v>
      </c>
      <c r="AY646" s="135">
        <f t="shared" ca="1" si="1189"/>
        <v>9.0583502101835396E-4</v>
      </c>
      <c r="AZ646" s="93"/>
      <c r="BA646" s="93"/>
      <c r="BB646" s="234">
        <f>IFERROR(INDEX('Total Customers'!$E$7:$AA$91,MATCH($C646,'Total Customers'!$C$7:$C$91,0),MATCH($G646,'Total Customers'!$E$5:$AA$5,0)),"NA")</f>
        <v>264832</v>
      </c>
      <c r="BC646" s="411">
        <f t="shared" si="1196"/>
        <v>4.9777806536498992E-3</v>
      </c>
      <c r="BD646" s="92"/>
      <c r="BE646" s="281" t="str">
        <f t="shared" si="1192"/>
        <v>NEW YORK STATE ELECTRIC &amp; GAS CORPORATION</v>
      </c>
      <c r="BF646" s="290">
        <f t="shared" si="1193"/>
        <v>4004389</v>
      </c>
      <c r="BG646" s="46" t="str">
        <f t="shared" si="1194"/>
        <v>NY</v>
      </c>
      <c r="BH646" s="46"/>
      <c r="BI646" s="46" t="str">
        <f t="shared" si="1195"/>
        <v>2016 Y</v>
      </c>
      <c r="BJ646" s="129"/>
      <c r="BK646" s="129"/>
      <c r="BL646" s="129">
        <f>INDEX('Dist. Plant Gas Additions'!$E$7:$AD$91,MATCH($C646,'Dist. Plant Gas Additions'!$C$7:$C$91,0),MATCH(Calculation!$G646,'Dist. Plant Gas Additions'!$E$5:$AD$5,0))</f>
        <v>49602</v>
      </c>
      <c r="BM646" s="129">
        <f>INDEX('Gen. Plant Additions'!$E$7:$AD$91,MATCH($C646,'Gen. Plant Additions'!$C$7:$C$91,0),MATCH(Calculation!$G646,'Gen. Plant Additions'!$E$5:$AD$5,0))</f>
        <v>754</v>
      </c>
      <c r="BN646" s="393">
        <f t="shared" si="1154"/>
        <v>0.97662871081886282</v>
      </c>
      <c r="BO646" s="46">
        <f t="shared" si="1166"/>
        <v>736.37804795742261</v>
      </c>
      <c r="BP646" s="46">
        <f t="shared" si="1167"/>
        <v>-17.621952042577391</v>
      </c>
      <c r="BQ646" s="129">
        <f>INDEX('Dist Plant Depreciation'!$D$7:$AC$94,MATCH($C646,'Dist Plant Depreciation'!$C$7:$C$94,0),MATCH(Calculation!$G646,'Dist Plant Depreciation'!$D$5:$AC$5,0))</f>
        <v>321680</v>
      </c>
      <c r="BR646" s="129">
        <f>INDEX('Gen. Plant Depreciation'!$D$7:$AC$94,MATCH($C646,'Gen. Plant Depreciation'!$C$7:$C$94,0),MATCH(Calculation!$G646,'Gen. Plant Depreciation'!$D$5:$AC$5,0))</f>
        <v>11713</v>
      </c>
      <c r="BS646" s="129"/>
      <c r="BT646" s="129"/>
      <c r="BU646" s="129"/>
      <c r="BV646" s="129"/>
      <c r="BW646" s="129"/>
      <c r="BX646" s="129"/>
      <c r="BY646" s="129">
        <f>INDEX('Gross Dx Plant'!$D$7:$AC$91,MATCH($C646,'Gross Dx Plant'!$C$7:$C$91,0),MATCH(Calculation!$G646,'Gross Dx Plant'!$D$5:$AC$5,0))</f>
        <v>911637</v>
      </c>
      <c r="BZ646" s="129">
        <f>INDEX('Gross Gen Plant'!$D$7:$AC$91,MATCH($C646,'Gross Gen Plant'!$C$7:$C$91,0),MATCH(Calculation!$G646,'Gross Gen Plant'!$D$5:$AC$5,0))</f>
        <v>21816</v>
      </c>
      <c r="CA646" s="129">
        <f t="shared" si="1077"/>
        <v>600060</v>
      </c>
      <c r="CB646" s="129"/>
      <c r="CC646" s="133">
        <v>2016</v>
      </c>
      <c r="CD646" s="129"/>
      <c r="CE646" s="129"/>
      <c r="CF646" s="129"/>
      <c r="CG646" s="137"/>
      <c r="CH646" s="129">
        <f t="shared" si="1155"/>
        <v>50356</v>
      </c>
      <c r="CI646" s="46">
        <f t="shared" si="1164"/>
        <v>50338.37804795742</v>
      </c>
      <c r="CJ646" s="46">
        <f t="shared" si="1156"/>
        <v>74.968945873906819</v>
      </c>
      <c r="CK646" s="443">
        <v>0.7857142857142857</v>
      </c>
      <c r="CL646" s="46">
        <f>+CL628*CK646+CJ629*CK645+CJ630*CK644+CJ631*CK643+CJ632*CK642+CJ633*CK641+CJ634*CK640+CJ635*CK639+CJ636*CK638+CJ637*CK637+CJ638*CK636+CJ639*CK635+CJ640*CK634+CJ641*CK633+CJ642*CK632+CJ643*CK631+CJ644*CK630+CJ645*CK629+CJ646</f>
        <v>2329.4680056453176</v>
      </c>
      <c r="CM646" s="134">
        <f t="shared" si="1157"/>
        <v>1.6456716178344696E-2</v>
      </c>
      <c r="CN646" s="135">
        <f t="shared" si="1158"/>
        <v>1.6123993710728094E-2</v>
      </c>
      <c r="CO646" s="135">
        <f t="shared" si="1169"/>
        <v>1.5686007145148624E-2</v>
      </c>
      <c r="CP646" s="134">
        <f>VLOOKUP($H646,RoR!$E:$F,2,FALSE)</f>
        <v>3.6658333333333334E-2</v>
      </c>
      <c r="CQ646" s="135">
        <v>1.0483662879041455E-2</v>
      </c>
      <c r="CR646" s="135">
        <f t="shared" si="1165"/>
        <v>2.6174670454291879E-2</v>
      </c>
      <c r="CS646" s="135">
        <f t="shared" si="1170"/>
        <v>1.5215934463385001E-2</v>
      </c>
      <c r="CT646" s="135">
        <f t="shared" si="1171"/>
        <v>4.301363574220729E-3</v>
      </c>
      <c r="CU646" s="139">
        <f t="shared" si="1159"/>
        <v>0.85329623209999994</v>
      </c>
      <c r="CV646" s="335">
        <f t="shared" si="1160"/>
        <v>1.3989193348138562</v>
      </c>
      <c r="CW646" s="335">
        <f t="shared" si="1161"/>
        <v>0.29302682427824522</v>
      </c>
      <c r="CX646" s="335">
        <f t="shared" si="1162"/>
        <v>0.76309497491941802</v>
      </c>
      <c r="CY646" s="335">
        <f t="shared" si="1163"/>
        <v>0.31280857135128509</v>
      </c>
      <c r="CZ646" s="336">
        <f>INDEX('State Tax Lookup'!$D$7:$Z$91,MATCH(Calculation!$C646,'State Tax Lookup'!$B$7:$B$91,0),MATCH($H646,'State Tax Lookup'!$D$6:$Z$6,0))</f>
        <v>0.39649667</v>
      </c>
      <c r="DA646" s="303">
        <v>0.37</v>
      </c>
      <c r="DB646" s="57">
        <f t="shared" si="1168"/>
        <v>14.439552037666269</v>
      </c>
      <c r="DC646" s="56">
        <f t="shared" si="1172"/>
        <v>-3.3735037405487257E-2</v>
      </c>
      <c r="DD646" s="303">
        <f>VLOOKUP($H646,RoR!$E:$F,2,FALSE)</f>
        <v>3.6658333333333334E-2</v>
      </c>
      <c r="DE646" s="304">
        <f>HLOOKUP($H646,'GDP-PI'!$D$8:$CQ$11,3,FALSE)</f>
        <v>1.0483662879041455E-2</v>
      </c>
      <c r="DF646" s="303">
        <f>VLOOKUP(H646,'HW Dx Data'!$E:$F,2,FALSE)</f>
        <v>671.45639385971219</v>
      </c>
      <c r="DG646" s="89">
        <f ca="1">VLOOKUP(CC646,'ECI - Input Price'!M$13:N$33,2,FALSE)</f>
        <v>136.94999999999999</v>
      </c>
      <c r="DH646" s="89"/>
      <c r="DI646" s="89"/>
      <c r="DJ646" s="56">
        <f t="shared" ca="1" si="1180"/>
        <v>2.5514417868782811E-2</v>
      </c>
      <c r="DK646" s="53">
        <f>HLOOKUP(H646,'GDP-PI'!$8:$9,2,FALSE)</f>
        <v>105.736</v>
      </c>
      <c r="DL646" s="355">
        <f t="shared" si="1173"/>
        <v>1.0429090367205095E-2</v>
      </c>
      <c r="EC646"/>
    </row>
    <row r="647" spans="1:133" s="126" customFormat="1" ht="21" customHeight="1" x14ac:dyDescent="0.4">
      <c r="A647" s="233" t="s">
        <v>219</v>
      </c>
      <c r="B647" s="127" t="s">
        <v>219</v>
      </c>
      <c r="C647" s="127">
        <v>4004389</v>
      </c>
      <c r="D647" s="127" t="s">
        <v>194</v>
      </c>
      <c r="E647" s="127" t="s">
        <v>15</v>
      </c>
      <c r="F647" s="127"/>
      <c r="G647" s="127" t="s">
        <v>173</v>
      </c>
      <c r="H647" s="128">
        <v>2017</v>
      </c>
      <c r="I647" s="129"/>
      <c r="J647" s="125">
        <f>IFERROR(INDEX('Labor Expenditures'!$E$7:$W$91,MATCH($C647,'Labor Expenditures'!$C$7:$C$91,0),MATCH($G647,'Labor Expenditures'!$E$5:$W$5,0)),"NA")</f>
        <v>34157.610818352863</v>
      </c>
      <c r="K647" s="125">
        <f t="shared" ca="1" si="1174"/>
        <v>243.20121622180753</v>
      </c>
      <c r="L647" s="47"/>
      <c r="M647" s="131">
        <f t="shared" ca="1" si="1181"/>
        <v>-0.10250899375829177</v>
      </c>
      <c r="N647" s="131"/>
      <c r="O647" s="131"/>
      <c r="P647" s="59">
        <f t="shared" ca="1" si="1183"/>
        <v>-1.1316380407415717E-3</v>
      </c>
      <c r="Q647" s="61"/>
      <c r="R647" s="387"/>
      <c r="S647" s="49">
        <f t="shared" ca="1" si="1188"/>
        <v>167.03986772714416</v>
      </c>
      <c r="T647" s="61">
        <f ca="1">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</f>
        <v>-0.58945695162910505</v>
      </c>
      <c r="U647" s="61"/>
      <c r="V647" s="125">
        <f>IFERROR(INDEX('Non-Labor Expenditures'!$E$7:$AA$91,MATCH($C647,'Non-Labor Expenditures'!$C$7:$C$91,0),MATCH($G647,'Non-Labor Expenditures'!$E$5:$AA$5,0)),"NA")</f>
        <v>49466.600226654708</v>
      </c>
      <c r="W647" s="125">
        <f t="shared" si="1175"/>
        <v>459.08251641891684</v>
      </c>
      <c r="X647" s="131">
        <f t="shared" si="1184"/>
        <v>-9.6150924144871586E-2</v>
      </c>
      <c r="Y647" s="131">
        <f t="shared" si="1185"/>
        <v>-1.0614487512320614E-3</v>
      </c>
      <c r="Z647" s="131"/>
      <c r="AA647" s="131"/>
      <c r="AB647" s="131"/>
      <c r="AC647" s="125">
        <f t="shared" si="1153"/>
        <v>29851.211787267279</v>
      </c>
      <c r="AD647" s="129"/>
      <c r="AE647" s="133">
        <v>2612.3865180004332</v>
      </c>
      <c r="AF647" s="134">
        <v>2.5540532318820128E-2</v>
      </c>
      <c r="AG647" s="59">
        <f t="shared" si="1176"/>
        <v>2.8195221602620129E-4</v>
      </c>
      <c r="AH647" s="134"/>
      <c r="AI647" s="134"/>
      <c r="AJ647" s="129">
        <f t="shared" si="1120"/>
        <v>113475.42283227485</v>
      </c>
      <c r="AK647" s="134">
        <f t="shared" si="1186"/>
        <v>-8.4086423901466548E-2</v>
      </c>
      <c r="AL647" s="129"/>
      <c r="AM647" s="129"/>
      <c r="AN647" s="129"/>
      <c r="AO647" s="129"/>
      <c r="AP647" s="133">
        <f t="shared" si="1187"/>
        <v>426.02436122779727</v>
      </c>
      <c r="AQ647" s="134">
        <f>+BB647/Outputs!$B$25</f>
        <v>7.1935321271977678E-3</v>
      </c>
      <c r="AR647" s="93">
        <f t="shared" si="1177"/>
        <v>0.30101329403143412</v>
      </c>
      <c r="AS647" s="93">
        <f t="shared" si="1178"/>
        <v>0.43592347128567244</v>
      </c>
      <c r="AT647" s="93">
        <f t="shared" si="1179"/>
        <v>0.26306323468289339</v>
      </c>
      <c r="AU647" s="93">
        <f t="shared" ca="1" si="1182"/>
        <v>-6.5741285128284893E-2</v>
      </c>
      <c r="AV647" s="132">
        <f t="shared" ca="1" si="1190"/>
        <v>129.46033235805459</v>
      </c>
      <c r="AW647" s="134">
        <f t="shared" ca="1" si="1191"/>
        <v>-6.5741285128284727E-2</v>
      </c>
      <c r="AX647" s="56">
        <f>+AJ647/$AL$22</f>
        <v>1.1039402488038134E-2</v>
      </c>
      <c r="AY647" s="135">
        <f t="shared" ca="1" si="1189"/>
        <v>-7.2574450661201087E-4</v>
      </c>
      <c r="AZ647" s="93"/>
      <c r="BA647" s="93"/>
      <c r="BB647" s="234">
        <f>IFERROR(INDEX('Total Customers'!$E$7:$AA$91,MATCH($C647,'Total Customers'!$C$7:$C$91,0),MATCH($G647,'Total Customers'!$E$5:$AA$5,0)),"NA")</f>
        <v>266359</v>
      </c>
      <c r="BC647" s="411">
        <f t="shared" si="1196"/>
        <v>5.7493602348860041E-3</v>
      </c>
      <c r="BD647" s="92"/>
      <c r="BE647" s="281" t="str">
        <f t="shared" si="1192"/>
        <v>NEW YORK STATE ELECTRIC &amp; GAS CORPORATION</v>
      </c>
      <c r="BF647" s="290">
        <f t="shared" si="1193"/>
        <v>4004389</v>
      </c>
      <c r="BG647" s="46" t="str">
        <f t="shared" si="1194"/>
        <v>NY</v>
      </c>
      <c r="BH647" s="46"/>
      <c r="BI647" s="46" t="str">
        <f t="shared" si="1195"/>
        <v>2017 Y</v>
      </c>
      <c r="BJ647" s="129"/>
      <c r="BK647" s="129"/>
      <c r="BL647" s="129">
        <f>INDEX('Dist. Plant Gas Additions'!$E$7:$AD$91,MATCH($C647,'Dist. Plant Gas Additions'!$C$7:$C$91,0),MATCH(Calculation!$G647,'Dist. Plant Gas Additions'!$E$5:$AD$5,0))</f>
        <v>63067</v>
      </c>
      <c r="BM647" s="129">
        <f>INDEX('Gen. Plant Additions'!$E$7:$AD$91,MATCH($C647,'Gen. Plant Additions'!$C$7:$C$91,0),MATCH(Calculation!$G647,'Gen. Plant Additions'!$E$5:$AD$5,0))</f>
        <v>654</v>
      </c>
      <c r="BN647" s="393">
        <f t="shared" si="1154"/>
        <v>0.97732860840103197</v>
      </c>
      <c r="BO647" s="46">
        <f t="shared" si="1166"/>
        <v>639.17290989427488</v>
      </c>
      <c r="BP647" s="46">
        <f t="shared" si="1167"/>
        <v>-14.827090105725119</v>
      </c>
      <c r="BQ647" s="129">
        <f>INDEX('Dist Plant Depreciation'!$D$7:$AC$94,MATCH($C647,'Dist Plant Depreciation'!$C$7:$C$94,0),MATCH(Calculation!$G647,'Dist Plant Depreciation'!$D$5:$AC$5,0))</f>
        <v>333524</v>
      </c>
      <c r="BR647" s="129">
        <f>INDEX('Gen. Plant Depreciation'!$D$7:$AC$94,MATCH($C647,'Gen. Plant Depreciation'!$C$7:$C$94,0),MATCH(Calculation!$G647,'Gen. Plant Depreciation'!$D$5:$AC$5,0))</f>
        <v>12394</v>
      </c>
      <c r="BS647" s="129"/>
      <c r="BT647" s="129"/>
      <c r="BU647" s="129"/>
      <c r="BV647" s="129"/>
      <c r="BW647" s="129"/>
      <c r="BX647" s="129"/>
      <c r="BY647" s="129">
        <f>INDEX('Gross Dx Plant'!$D$7:$AC$91,MATCH($C647,'Gross Dx Plant'!$C$7:$C$91,0),MATCH(Calculation!$G647,'Gross Dx Plant'!$D$5:$AC$5,0))</f>
        <v>967483</v>
      </c>
      <c r="BZ647" s="129">
        <f>INDEX('Gross Gen Plant'!$D$7:$AC$91,MATCH($C647,'Gross Gen Plant'!$C$7:$C$91,0),MATCH(Calculation!$G647,'Gross Gen Plant'!$D$5:$AC$5,0))</f>
        <v>22443</v>
      </c>
      <c r="CA647" s="129">
        <f t="shared" si="1077"/>
        <v>644008</v>
      </c>
      <c r="CB647" s="129"/>
      <c r="CC647" s="133">
        <v>2017</v>
      </c>
      <c r="CD647" s="129"/>
      <c r="CE647" s="129"/>
      <c r="CF647" s="129"/>
      <c r="CG647" s="137"/>
      <c r="CH647" s="129">
        <f t="shared" si="1155"/>
        <v>63721</v>
      </c>
      <c r="CI647" s="46">
        <f t="shared" si="1164"/>
        <v>63706.172909894274</v>
      </c>
      <c r="CJ647" s="46">
        <f t="shared" si="1156"/>
        <v>89.421135489582198</v>
      </c>
      <c r="CK647" s="443">
        <v>0.77108433734939763</v>
      </c>
      <c r="CL647" s="46">
        <f>+CL628*CK647+CJ629*CK646+CJ630*CK645+CJ631*CK644+CJ632*CK643+CJ633*CK642+CJ634*CK641+CJ635*CK640+CJ636*CK639+CJ637*CK638+CJ638*CK637+CJ639*CK636+CJ640*CK635+CJ641*CK634+CJ642*CK633+CJ643*CK632+CJ644*CK631+CJ645*CK630+CJ646*CK629+CJ647</f>
        <v>2380.3316335181203</v>
      </c>
      <c r="CM647" s="134">
        <f t="shared" si="1157"/>
        <v>2.1599902040153315E-2</v>
      </c>
      <c r="CN647" s="135">
        <f t="shared" si="1158"/>
        <v>1.6552065760653441E-2</v>
      </c>
      <c r="CO647" s="135">
        <f t="shared" si="1169"/>
        <v>1.6106488538876234E-2</v>
      </c>
      <c r="CP647" s="134">
        <f>VLOOKUP($H647,RoR!$E:$F,2,FALSE)</f>
        <v>3.7433333333333339E-2</v>
      </c>
      <c r="CQ647" s="135">
        <v>1.9056896421275615E-2</v>
      </c>
      <c r="CR647" s="135">
        <f t="shared" si="1165"/>
        <v>1.8376436912057724E-2</v>
      </c>
      <c r="CS647" s="135">
        <f t="shared" si="1170"/>
        <v>1.4795453069657391E-2</v>
      </c>
      <c r="CT647" s="135">
        <f t="shared" si="1171"/>
        <v>1.3976271617800498E-2</v>
      </c>
      <c r="CU647" s="139">
        <f t="shared" si="1159"/>
        <v>0.90509623210000001</v>
      </c>
      <c r="CV647" s="335">
        <f t="shared" si="1160"/>
        <v>1.3699568463593395</v>
      </c>
      <c r="CW647" s="335">
        <f t="shared" si="1161"/>
        <v>0.30714603739982199</v>
      </c>
      <c r="CX647" s="335">
        <f t="shared" si="1162"/>
        <v>0.77007188472689425</v>
      </c>
      <c r="CY647" s="335">
        <f t="shared" si="1163"/>
        <v>0.32402839633793828</v>
      </c>
      <c r="CZ647" s="336">
        <f>INDEX('State Tax Lookup'!$D$7:$Z$91,MATCH(Calculation!$C647,'State Tax Lookup'!$B$7:$B$91,0),MATCH($H647,'State Tax Lookup'!$D$6:$Z$6,0))</f>
        <v>0.25649666999999998</v>
      </c>
      <c r="DA647" s="303">
        <v>0.37</v>
      </c>
      <c r="DB647" s="57">
        <f t="shared" si="1168"/>
        <v>12.814604757362954</v>
      </c>
      <c r="DC647" s="56">
        <f t="shared" si="1172"/>
        <v>-0.11938559350862341</v>
      </c>
      <c r="DD647" s="303">
        <f>VLOOKUP($H647,RoR!$E:$F,2,FALSE)</f>
        <v>3.7433333333333339E-2</v>
      </c>
      <c r="DE647" s="304">
        <f>HLOOKUP($H647,'GDP-PI'!$D$8:$CQ$11,3,FALSE)</f>
        <v>1.9056896421275615E-2</v>
      </c>
      <c r="DF647" s="303">
        <f>VLOOKUP(H647,'HW Dx Data'!$E:$F,2,FALSE)</f>
        <v>712.42858370229726</v>
      </c>
      <c r="DG647" s="89">
        <f ca="1">VLOOKUP(CC647,'ECI - Input Price'!M$13:N$33,2,FALSE)</f>
        <v>140.44999999999999</v>
      </c>
      <c r="DH647" s="89"/>
      <c r="DI647" s="89"/>
      <c r="DJ647" s="56">
        <f t="shared" ca="1" si="1180"/>
        <v>2.5235657841165486E-2</v>
      </c>
      <c r="DK647" s="53">
        <f>HLOOKUP(H647,'GDP-PI'!$8:$9,2,FALSE)</f>
        <v>107.751</v>
      </c>
      <c r="DL647" s="355">
        <f t="shared" si="1173"/>
        <v>1.8877588227745139E-2</v>
      </c>
      <c r="EC647"/>
    </row>
    <row r="648" spans="1:133" s="126" customFormat="1" ht="21" customHeight="1" x14ac:dyDescent="0.4">
      <c r="A648" s="233" t="s">
        <v>219</v>
      </c>
      <c r="B648" s="127" t="s">
        <v>219</v>
      </c>
      <c r="C648" s="127">
        <v>4004389</v>
      </c>
      <c r="D648" s="127" t="s">
        <v>194</v>
      </c>
      <c r="E648" s="127" t="s">
        <v>15</v>
      </c>
      <c r="F648" s="127"/>
      <c r="G648" s="127" t="s">
        <v>174</v>
      </c>
      <c r="H648" s="128">
        <v>2018</v>
      </c>
      <c r="I648" s="129"/>
      <c r="J648" s="125">
        <f>IFERROR(INDEX('Labor Expenditures'!$E$7:$W$91,MATCH($C648,'Labor Expenditures'!$C$7:$C$91,0),MATCH($G648,'Labor Expenditures'!$E$5:$W$5,0)),"NA")</f>
        <v>38116.509935167553</v>
      </c>
      <c r="K648" s="125">
        <f t="shared" ca="1" si="1174"/>
        <v>263.87338134418525</v>
      </c>
      <c r="L648" s="47"/>
      <c r="M648" s="131">
        <f t="shared" ca="1" si="1181"/>
        <v>8.1580220981660498E-2</v>
      </c>
      <c r="N648" s="131"/>
      <c r="O648" s="131"/>
      <c r="P648" s="59">
        <f t="shared" ca="1" si="1183"/>
        <v>9.1363132165871717E-4</v>
      </c>
      <c r="Q648" s="61"/>
      <c r="R648" s="387"/>
      <c r="S648" s="49">
        <f t="shared" ca="1" si="1188"/>
        <v>115.11064747606457</v>
      </c>
      <c r="T648" s="61">
        <f ca="1">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</f>
        <v>-0.37233869507308731</v>
      </c>
      <c r="U648" s="61"/>
      <c r="V648" s="125">
        <f>IFERROR(INDEX('Non-Labor Expenditures'!$E$7:$AA$91,MATCH($C648,'Non-Labor Expenditures'!$C$7:$C$91,0),MATCH($G648,'Non-Labor Expenditures'!$E$5:$AA$5,0)),"NA")</f>
        <v>55199.82556816213</v>
      </c>
      <c r="W648" s="125">
        <f t="shared" si="1175"/>
        <v>500.35192951688811</v>
      </c>
      <c r="X648" s="131">
        <f t="shared" si="1184"/>
        <v>8.6081741627143285E-2</v>
      </c>
      <c r="Y648" s="131">
        <f t="shared" si="1185"/>
        <v>9.6404464742956791E-4</v>
      </c>
      <c r="Z648" s="131"/>
      <c r="AA648" s="131"/>
      <c r="AB648" s="131"/>
      <c r="AC648" s="125">
        <f t="shared" si="1153"/>
        <v>31307.51523491527</v>
      </c>
      <c r="AD648" s="129"/>
      <c r="AE648" s="133">
        <v>2644.9298363235234</v>
      </c>
      <c r="AF648" s="134">
        <v>1.238035978708708E-2</v>
      </c>
      <c r="AG648" s="59">
        <f t="shared" si="1176"/>
        <v>1.3864983863465596E-4</v>
      </c>
      <c r="AH648" s="134"/>
      <c r="AI648" s="134"/>
      <c r="AJ648" s="129">
        <f t="shared" si="1120"/>
        <v>124623.85073824495</v>
      </c>
      <c r="AK648" s="134">
        <f t="shared" si="1186"/>
        <v>9.3713731929331925E-2</v>
      </c>
      <c r="AL648" s="129"/>
      <c r="AM648" s="129"/>
      <c r="AN648" s="129"/>
      <c r="AO648" s="129"/>
      <c r="AP648" s="133">
        <f t="shared" si="1187"/>
        <v>467.8792559599824</v>
      </c>
      <c r="AQ648" s="134">
        <f>+BB648/Outputs!$B$26</f>
        <v>7.1305320591916691E-3</v>
      </c>
      <c r="AR648" s="93">
        <f t="shared" si="1177"/>
        <v>0.30585244886411012</v>
      </c>
      <c r="AS648" s="93">
        <f t="shared" si="1178"/>
        <v>0.44293147131283628</v>
      </c>
      <c r="AT648" s="93">
        <f t="shared" si="1179"/>
        <v>0.25121607982305366</v>
      </c>
      <c r="AU648" s="93">
        <f t="shared" ca="1" si="1182"/>
        <v>6.5764284226380434E-2</v>
      </c>
      <c r="AV648" s="132">
        <f t="shared" ca="1" si="1190"/>
        <v>138.26039184153058</v>
      </c>
      <c r="AW648" s="134">
        <f t="shared" ca="1" si="1191"/>
        <v>6.5764284226380532E-2</v>
      </c>
      <c r="AX648" s="56">
        <f>+AJ648/$AL$23</f>
        <v>1.119917684292746E-2</v>
      </c>
      <c r="AY648" s="135">
        <f t="shared" ca="1" si="1189"/>
        <v>7.3650584899978045E-4</v>
      </c>
      <c r="AZ648" s="93"/>
      <c r="BA648" s="93"/>
      <c r="BB648" s="234">
        <f>IFERROR(INDEX('Total Customers'!$E$7:$AA$91,MATCH($C648,'Total Customers'!$C$7:$C$91,0),MATCH($G648,'Total Customers'!$E$5:$AA$5,0)),"NA")</f>
        <v>266359</v>
      </c>
      <c r="BC648" s="411">
        <f t="shared" si="1196"/>
        <v>0</v>
      </c>
      <c r="BD648" s="92"/>
      <c r="BE648" s="281" t="str">
        <f t="shared" si="1192"/>
        <v>NEW YORK STATE ELECTRIC &amp; GAS CORPORATION</v>
      </c>
      <c r="BF648" s="290">
        <f t="shared" si="1193"/>
        <v>4004389</v>
      </c>
      <c r="BG648" s="46" t="str">
        <f t="shared" si="1194"/>
        <v>NY</v>
      </c>
      <c r="BH648" s="46"/>
      <c r="BI648" s="46" t="str">
        <f t="shared" si="1195"/>
        <v>2018 Y</v>
      </c>
      <c r="BJ648" s="129"/>
      <c r="BK648" s="129"/>
      <c r="BL648" s="129">
        <f>INDEX('Dist. Plant Gas Additions'!$E$7:$AD$91,MATCH($C648,'Dist. Plant Gas Additions'!$C$7:$C$91,0),MATCH(Calculation!$G648,'Dist. Plant Gas Additions'!$E$5:$AD$5,0))</f>
        <v>42463</v>
      </c>
      <c r="BM648" s="129">
        <f>INDEX('Gen. Plant Additions'!$E$7:$AD$91,MATCH($C648,'Gen. Plant Additions'!$C$7:$C$91,0),MATCH(Calculation!$G648,'Gen. Plant Additions'!$E$5:$AD$5,0))</f>
        <v>955</v>
      </c>
      <c r="BN648" s="393">
        <f t="shared" si="1154"/>
        <v>0.97733735534172184</v>
      </c>
      <c r="BO648" s="46">
        <f t="shared" si="1166"/>
        <v>933.35717435134438</v>
      </c>
      <c r="BP648" s="46">
        <f t="shared" si="1167"/>
        <v>-21.642825648655617</v>
      </c>
      <c r="BQ648" s="129">
        <f>INDEX('Dist Plant Depreciation'!$D$7:$AC$94,MATCH($C648,'Dist Plant Depreciation'!$C$7:$C$94,0),MATCH(Calculation!$G648,'Dist Plant Depreciation'!$D$5:$AC$5,0))</f>
        <v>354890</v>
      </c>
      <c r="BR648" s="129">
        <f>INDEX('Gen. Plant Depreciation'!$D$7:$AC$94,MATCH($C648,'Gen. Plant Depreciation'!$C$7:$C$94,0),MATCH(Calculation!$G648,'Gen. Plant Depreciation'!$D$5:$AC$5,0))</f>
        <v>13184</v>
      </c>
      <c r="BS648" s="129"/>
      <c r="BT648" s="129"/>
      <c r="BU648" s="129"/>
      <c r="BV648" s="129"/>
      <c r="BW648" s="129"/>
      <c r="BX648" s="129"/>
      <c r="BY648" s="129">
        <f>INDEX('Gross Dx Plant'!$D$7:$AC$91,MATCH($C648,'Gross Dx Plant'!$C$7:$C$91,0),MATCH(Calculation!$G648,'Gross Dx Plant'!$D$5:$AC$5,0))</f>
        <v>1006333</v>
      </c>
      <c r="BZ648" s="129">
        <f>INDEX('Gross Gen Plant'!$D$7:$AC$91,MATCH($C648,'Gross Gen Plant'!$C$7:$C$91,0),MATCH(Calculation!$G648,'Gross Gen Plant'!$D$5:$AC$5,0))</f>
        <v>23335</v>
      </c>
      <c r="CA648" s="129">
        <f t="shared" ref="CA648:CA717" si="1197">IF(OR(BQ648="NA",BR648="NA"),"NA",(SUM(BY648:BZ648)-SUM(BQ648:BR648)))</f>
        <v>661594</v>
      </c>
      <c r="CB648" s="129"/>
      <c r="CC648" s="133">
        <v>2018</v>
      </c>
      <c r="CD648" s="129"/>
      <c r="CE648" s="129"/>
      <c r="CF648" s="129"/>
      <c r="CG648" s="137"/>
      <c r="CH648" s="129">
        <f t="shared" si="1155"/>
        <v>43418</v>
      </c>
      <c r="CI648" s="46">
        <f t="shared" si="1164"/>
        <v>43396.357174351346</v>
      </c>
      <c r="CJ648" s="46">
        <f t="shared" si="1156"/>
        <v>57.468212510604637</v>
      </c>
      <c r="CK648" s="443">
        <v>0.75609756097560976</v>
      </c>
      <c r="CL648" s="46">
        <f>+CL628*CK648++CJ629*CK647+CJ630*CK646+CJ631*CK645+CJ632*CK644+CJ633*CK643+CJ634*CK642+CJ635*CK641+CJ636*CK640+CJ637*CK639+CJ638*CK638+CJ639*CK637+CJ640*CK636+CJ641*CK635+CJ642*CK634+CJ643*CK633+CJ644*CK632+CJ645*CK631+CJ646*CK630+CJ647*CK629+CJ648</f>
        <v>2397.443132636266</v>
      </c>
      <c r="CM648" s="134">
        <f t="shared" si="1157"/>
        <v>7.162988260953124E-3</v>
      </c>
      <c r="CN648" s="135">
        <f t="shared" si="1158"/>
        <v>1.6954239831200264E-2</v>
      </c>
      <c r="CO648" s="135">
        <f t="shared" si="1169"/>
        <v>1.6543433100860597E-2</v>
      </c>
      <c r="CP648" s="134">
        <f>VLOOKUP($H648,RoR!$E:$F,2,FALSE)</f>
        <v>3.9299999999999995E-2</v>
      </c>
      <c r="CQ648" s="135">
        <v>2.386056741932796E-2</v>
      </c>
      <c r="CR648" s="135">
        <f t="shared" si="1165"/>
        <v>1.5439432580672034E-2</v>
      </c>
      <c r="CS648" s="135">
        <f t="shared" si="1170"/>
        <v>1.4358508507673028E-2</v>
      </c>
      <c r="CT648" s="135">
        <f t="shared" si="1171"/>
        <v>3.8270792163076606E-2</v>
      </c>
      <c r="CU648" s="139">
        <f t="shared" si="1159"/>
        <v>0.90509623210000001</v>
      </c>
      <c r="CV648" s="335">
        <f t="shared" si="1160"/>
        <v>1.3048868010700074</v>
      </c>
      <c r="CW648" s="335">
        <f t="shared" si="1161"/>
        <v>0.33886768447837151</v>
      </c>
      <c r="CX648" s="335">
        <f t="shared" si="1162"/>
        <v>0.78602506232557801</v>
      </c>
      <c r="CY648" s="335">
        <f t="shared" si="1163"/>
        <v>0.34756768162358759</v>
      </c>
      <c r="CZ648" s="336">
        <f>INDEX('State Tax Lookup'!$D$7:$Z$91,MATCH(Calculation!$C648,'State Tax Lookup'!$B$7:$B$91,0),MATCH($H648,'State Tax Lookup'!$D$6:$Z$6,0))</f>
        <v>0.25649666999999998</v>
      </c>
      <c r="DA648" s="303">
        <v>0.37</v>
      </c>
      <c r="DB648" s="57">
        <f t="shared" si="1168"/>
        <v>13.152585460809464</v>
      </c>
      <c r="DC648" s="56">
        <f t="shared" si="1172"/>
        <v>2.6032835134711611E-2</v>
      </c>
      <c r="DD648" s="303">
        <f>VLOOKUP($H648,RoR!$E:$F,2,FALSE)</f>
        <v>3.9299999999999995E-2</v>
      </c>
      <c r="DE648" s="304">
        <f>HLOOKUP($H648,'GDP-PI'!$D$8:$CQ$11,3,FALSE)</f>
        <v>2.386056741932796E-2</v>
      </c>
      <c r="DF648" s="303">
        <f>VLOOKUP(H648,'HW Dx Data'!$E:$F,2,FALSE)</f>
        <v>755.13671434174842</v>
      </c>
      <c r="DG648" s="89">
        <f ca="1">VLOOKUP(CC648,'ECI - Input Price'!M$13:N$33,2,FALSE)</f>
        <v>144.44999999999999</v>
      </c>
      <c r="DH648" s="89"/>
      <c r="DI648" s="89"/>
      <c r="DJ648" s="56">
        <f t="shared" ca="1" si="1180"/>
        <v>2.80818733619915E-2</v>
      </c>
      <c r="DK648" s="53">
        <f>HLOOKUP(H648,'GDP-PI'!$8:$9,2,FALSE)</f>
        <v>110.322</v>
      </c>
      <c r="DL648" s="355">
        <f t="shared" si="1173"/>
        <v>2.3580352716508712E-2</v>
      </c>
      <c r="EC648"/>
    </row>
    <row r="649" spans="1:133" s="126" customFormat="1" ht="21" customHeight="1" x14ac:dyDescent="0.4">
      <c r="A649" s="233" t="s">
        <v>219</v>
      </c>
      <c r="B649" s="127" t="s">
        <v>219</v>
      </c>
      <c r="C649" s="127">
        <v>4004389</v>
      </c>
      <c r="D649" s="127" t="s">
        <v>194</v>
      </c>
      <c r="E649" s="127" t="s">
        <v>15</v>
      </c>
      <c r="F649" s="127"/>
      <c r="G649" s="127" t="s">
        <v>175</v>
      </c>
      <c r="H649" s="128">
        <v>2019</v>
      </c>
      <c r="I649" s="129"/>
      <c r="J649" s="125">
        <f>IFERROR(INDEX('Labor Expenditures'!$E$7:$W$91,MATCH($C649,'Labor Expenditures'!$C$7:$C$91,0),MATCH($G649,'Labor Expenditures'!$E$5:$W$5,0)),"NA")</f>
        <v>35900.768473504344</v>
      </c>
      <c r="K649" s="125">
        <f t="shared" ca="1" si="1174"/>
        <v>239.85814914651306</v>
      </c>
      <c r="L649" s="47"/>
      <c r="M649" s="131">
        <f t="shared" ca="1" si="1181"/>
        <v>-9.5421668590158729E-2</v>
      </c>
      <c r="N649" s="131"/>
      <c r="O649" s="131"/>
      <c r="P649" s="59">
        <f t="shared" ca="1" si="1183"/>
        <v>-9.9793310918199407E-4</v>
      </c>
      <c r="Q649" s="61"/>
      <c r="R649" s="387"/>
      <c r="S649" s="49">
        <f t="shared" ca="1" si="1188"/>
        <v>117.10795212216017</v>
      </c>
      <c r="T649" s="61">
        <f ca="1">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</f>
        <v>1.7202359354808759E-2</v>
      </c>
      <c r="U649" s="61"/>
      <c r="V649" s="125">
        <f>IFERROR(INDEX('Non-Labor Expenditures'!$E$7:$AA$91,MATCH($C649,'Non-Labor Expenditures'!$C$7:$C$91,0),MATCH($G649,'Non-Labor Expenditures'!$E$5:$AA$5,0)),"NA")</f>
        <v>51991.018088254117</v>
      </c>
      <c r="W649" s="125">
        <f t="shared" si="1175"/>
        <v>462.89123816533521</v>
      </c>
      <c r="X649" s="131">
        <f t="shared" si="1184"/>
        <v>-7.7819590142388859E-2</v>
      </c>
      <c r="Y649" s="131">
        <f t="shared" si="1185"/>
        <v>-8.1384811954621249E-4</v>
      </c>
      <c r="Z649" s="131"/>
      <c r="AA649" s="131"/>
      <c r="AB649" s="131"/>
      <c r="AC649" s="125">
        <f t="shared" si="1153"/>
        <v>31258.974713478219</v>
      </c>
      <c r="AD649" s="129"/>
      <c r="AE649" s="133">
        <v>2729.0107136521819</v>
      </c>
      <c r="AF649" s="134">
        <v>3.1294629522658185E-2</v>
      </c>
      <c r="AG649" s="59">
        <f t="shared" si="1176"/>
        <v>3.2728359712906754E-4</v>
      </c>
      <c r="AH649" s="134"/>
      <c r="AI649" s="134"/>
      <c r="AJ649" s="129">
        <f t="shared" si="1120"/>
        <v>119150.76127523668</v>
      </c>
      <c r="AK649" s="134">
        <f t="shared" si="1186"/>
        <v>-4.4910413738561888E-2</v>
      </c>
      <c r="AL649" s="129"/>
      <c r="AM649" s="129"/>
      <c r="AN649" s="129"/>
      <c r="AO649" s="129"/>
      <c r="AP649" s="133">
        <f t="shared" si="1187"/>
        <v>443.24611543757646</v>
      </c>
      <c r="AQ649" s="134">
        <f>+BB649/Outputs!$B$27</f>
        <v>7.1369045325983841E-3</v>
      </c>
      <c r="AR649" s="93">
        <f t="shared" si="1177"/>
        <v>0.30130540576718634</v>
      </c>
      <c r="AS649" s="93">
        <f t="shared" si="1178"/>
        <v>0.4363465036379881</v>
      </c>
      <c r="AT649" s="93">
        <f t="shared" si="1179"/>
        <v>0.2623480905948255</v>
      </c>
      <c r="AU649" s="93">
        <f t="shared" ca="1" si="1182"/>
        <v>-5.5144633384551667E-2</v>
      </c>
      <c r="AV649" s="132">
        <f t="shared" ca="1" si="1190"/>
        <v>130.84248186864104</v>
      </c>
      <c r="AW649" s="134">
        <f t="shared" ca="1" si="1191"/>
        <v>-5.5144633384551708E-2</v>
      </c>
      <c r="AX649" s="56">
        <f>+AJ649/$AL$24</f>
        <v>1.0458139371552716E-2</v>
      </c>
      <c r="AY649" s="135">
        <f t="shared" ca="1" si="1189"/>
        <v>-5.7671026152882054E-4</v>
      </c>
      <c r="AZ649" s="93"/>
      <c r="BA649" s="93"/>
      <c r="BB649" s="234">
        <f>IFERROR(INDEX('Total Customers'!$E$7:$AA$91,MATCH($C649,'Total Customers'!$C$7:$C$91,0),MATCH($G649,'Total Customers'!$E$5:$AA$5,0)),"NA")</f>
        <v>268814</v>
      </c>
      <c r="BC649" s="411">
        <f t="shared" si="1196"/>
        <v>9.1746677081290771E-3</v>
      </c>
      <c r="BD649" s="92"/>
      <c r="BE649" s="281" t="str">
        <f t="shared" si="1192"/>
        <v>NEW YORK STATE ELECTRIC &amp; GAS CORPORATION</v>
      </c>
      <c r="BF649" s="290">
        <f t="shared" si="1193"/>
        <v>4004389</v>
      </c>
      <c r="BG649" s="46" t="str">
        <f t="shared" si="1194"/>
        <v>NY</v>
      </c>
      <c r="BH649" s="46"/>
      <c r="BI649" s="46" t="str">
        <f t="shared" si="1195"/>
        <v>2019 Y</v>
      </c>
      <c r="BJ649" s="129"/>
      <c r="BK649" s="129"/>
      <c r="BL649" s="129">
        <f>INDEX('Dist. Plant Gas Additions'!$E$7:$AD$91,MATCH($C649,'Dist. Plant Gas Additions'!$C$7:$C$91,0),MATCH(Calculation!$G649,'Dist. Plant Gas Additions'!$E$5:$AD$5,0))</f>
        <v>84505</v>
      </c>
      <c r="BM649" s="129">
        <f>INDEX('Gen. Plant Additions'!$E$7:$AD$91,MATCH($C649,'Gen. Plant Additions'!$C$7:$C$91,0),MATCH(Calculation!$G649,'Gen. Plant Additions'!$E$5:$AD$5,0))</f>
        <v>844</v>
      </c>
      <c r="BN649" s="393">
        <f t="shared" si="1154"/>
        <v>0.97839282695730545</v>
      </c>
      <c r="BO649" s="46">
        <f t="shared" si="1166"/>
        <v>825.76354595196585</v>
      </c>
      <c r="BP649" s="46">
        <f t="shared" si="1167"/>
        <v>-18.236454048034147</v>
      </c>
      <c r="BQ649" s="129">
        <f>INDEX('Dist Plant Depreciation'!$D$7:$AC$94,MATCH($C649,'Dist Plant Depreciation'!$C$7:$C$94,0),MATCH(Calculation!$G649,'Dist Plant Depreciation'!$D$5:$AC$5,0))</f>
        <v>366663</v>
      </c>
      <c r="BR649" s="129">
        <f>INDEX('Gen. Plant Depreciation'!$D$7:$AC$94,MATCH($C649,'Gen. Plant Depreciation'!$C$7:$C$94,0),MATCH(Calculation!$G649,'Gen. Plant Depreciation'!$D$5:$AC$5,0))</f>
        <v>13800</v>
      </c>
      <c r="BS649" s="129"/>
      <c r="BT649" s="129"/>
      <c r="BU649" s="129"/>
      <c r="BV649" s="129"/>
      <c r="BW649" s="129"/>
      <c r="BX649" s="129"/>
      <c r="BY649" s="129">
        <f>INDEX('Gross Dx Plant'!$D$7:$AC$91,MATCH($C649,'Gross Dx Plant'!$C$7:$C$91,0),MATCH(Calculation!$G649,'Gross Dx Plant'!$D$5:$AC$5,0))</f>
        <v>1082350</v>
      </c>
      <c r="BZ649" s="129">
        <f>INDEX('Gross Gen Plant'!$D$7:$AC$91,MATCH($C649,'Gross Gen Plant'!$C$7:$C$91,0),MATCH(Calculation!$G649,'Gross Gen Plant'!$D$5:$AC$5,0))</f>
        <v>23903</v>
      </c>
      <c r="CA649" s="129">
        <f t="shared" si="1197"/>
        <v>725790</v>
      </c>
      <c r="CB649" s="129"/>
      <c r="CC649" s="133">
        <v>2019</v>
      </c>
      <c r="CD649" s="129"/>
      <c r="CE649" s="129"/>
      <c r="CF649" s="129"/>
      <c r="CG649" s="137"/>
      <c r="CH649" s="129">
        <f t="shared" si="1155"/>
        <v>85349</v>
      </c>
      <c r="CI649" s="46">
        <f t="shared" si="1164"/>
        <v>85330.763545951966</v>
      </c>
      <c r="CJ649" s="46">
        <f t="shared" si="1156"/>
        <v>110.31212476633384</v>
      </c>
      <c r="CK649" s="443">
        <v>0.7407407407407407</v>
      </c>
      <c r="CL649" s="46">
        <f>CL628*CK649+CJ629*CK648+CJ630*CK647+CJ631*CK646+CJ632*CK645+CJ633*CK644+CJ634*CK643+CJ635*CK642+CJ636*CK641+CJ637*CK640+CJ638*CK639+CJ639*CK638+CJ640*CK637+CJ641*CK636+CJ642*CK635+CJ643*CK634+CJ644*CK633+CJ645*CK632+CJ646*CK631+CJ647*CK630+CJ648*CK629+CJ649</f>
        <v>2465.8650185820757</v>
      </c>
      <c r="CM649" s="134">
        <f t="shared" si="1157"/>
        <v>2.8139858202288027E-2</v>
      </c>
      <c r="CN649" s="135">
        <f t="shared" si="1158"/>
        <v>1.7472881108325192E-2</v>
      </c>
      <c r="CO649" s="135">
        <f t="shared" si="1169"/>
        <v>1.6993062233392964E-2</v>
      </c>
      <c r="CP649" s="134">
        <f>VLOOKUP($H649,RoR!$E:$F,2,FALSE)</f>
        <v>3.3875000000000009E-2</v>
      </c>
      <c r="CQ649" s="135">
        <v>1.8092492884465461E-2</v>
      </c>
      <c r="CR649" s="135">
        <f t="shared" si="1165"/>
        <v>1.5782507115534548E-2</v>
      </c>
      <c r="CS649" s="135">
        <f t="shared" si="1170"/>
        <v>1.3908879375140661E-2</v>
      </c>
      <c r="CT649" s="135">
        <f t="shared" si="1171"/>
        <v>4.8445665544254078E-2</v>
      </c>
      <c r="CU649" s="139">
        <f t="shared" si="1159"/>
        <v>0.90509623210000001</v>
      </c>
      <c r="CV649" s="335">
        <f t="shared" si="1160"/>
        <v>1.513861292459078</v>
      </c>
      <c r="CW649" s="335">
        <f t="shared" si="1161"/>
        <v>0.23699261992619944</v>
      </c>
      <c r="CX649" s="335">
        <f t="shared" si="1162"/>
        <v>0.73619765810468829</v>
      </c>
      <c r="CY649" s="335">
        <f t="shared" si="1163"/>
        <v>0.26412854465362851</v>
      </c>
      <c r="CZ649" s="336">
        <f>INDEX('State Tax Lookup'!$D$7:$Z$91,MATCH(Calculation!$C649,'State Tax Lookup'!$B$7:$B$91,0),MATCH($H649,'State Tax Lookup'!$D$6:$Z$6,0))</f>
        <v>0.25649666999999998</v>
      </c>
      <c r="DA649" s="303">
        <v>0.37</v>
      </c>
      <c r="DB649" s="57">
        <f t="shared" si="1168"/>
        <v>13.038463473002324</v>
      </c>
      <c r="DC649" s="56">
        <f t="shared" si="1172"/>
        <v>-8.7146345564688525E-3</v>
      </c>
      <c r="DD649" s="303">
        <f>VLOOKUP($H649,RoR!$E:$F,2,FALSE)</f>
        <v>3.3875000000000009E-2</v>
      </c>
      <c r="DE649" s="304">
        <f>HLOOKUP($H649,'GDP-PI'!$D$8:$CQ$11,3,FALSE)</f>
        <v>1.8092492884465461E-2</v>
      </c>
      <c r="DF649" s="303">
        <f>VLOOKUP(H649,'HW Dx Data'!$E:$F,2,FALSE)</f>
        <v>773.53929793938721</v>
      </c>
      <c r="DG649" s="89">
        <f ca="1">VLOOKUP(CC649,'ECI - Input Price'!M$13:N$33,2,FALSE)</f>
        <v>149.67500000000001</v>
      </c>
      <c r="DH649" s="89"/>
      <c r="DI649" s="89"/>
      <c r="DJ649" s="56">
        <f t="shared" ca="1" si="1180"/>
        <v>3.5532849899171604E-2</v>
      </c>
      <c r="DK649" s="53">
        <f>HLOOKUP(H649,'GDP-PI'!$8:$9,2,FALSE)</f>
        <v>112.318</v>
      </c>
      <c r="DL649" s="355">
        <f t="shared" si="1173"/>
        <v>1.7930771451401852E-2</v>
      </c>
      <c r="EC649"/>
    </row>
    <row r="650" spans="1:133" s="126" customFormat="1" ht="21" customHeight="1" x14ac:dyDescent="0.4">
      <c r="A650" s="233" t="s">
        <v>219</v>
      </c>
      <c r="B650" s="126" t="s">
        <v>219</v>
      </c>
      <c r="C650" s="126">
        <v>4004389</v>
      </c>
      <c r="D650" s="126" t="s">
        <v>194</v>
      </c>
      <c r="E650" s="126" t="s">
        <v>15</v>
      </c>
      <c r="G650" s="127" t="s">
        <v>176</v>
      </c>
      <c r="H650" s="128">
        <v>2020</v>
      </c>
      <c r="I650" s="129"/>
      <c r="J650" s="125">
        <f>IFERROR(INDEX('Labor Expenditures'!$E$7:$W$91,MATCH($C650,'Labor Expenditures'!$C$7:$C$91,0),MATCH($G650,'Labor Expenditures'!$E$5:$W$5,0)),"NA")</f>
        <v>35353.425080059547</v>
      </c>
      <c r="K650" s="125">
        <f t="shared" ca="1" si="1174"/>
        <v>230.84182226614135</v>
      </c>
      <c r="L650" s="47"/>
      <c r="M650" s="131">
        <f t="shared" ca="1" si="1181"/>
        <v>-3.8314979505673273E-2</v>
      </c>
      <c r="N650" s="131"/>
      <c r="O650" s="131"/>
      <c r="P650" s="59">
        <f t="shared" ca="1" si="1183"/>
        <v>-3.9402828882004599E-4</v>
      </c>
      <c r="Q650" s="61"/>
      <c r="R650" s="387"/>
      <c r="S650" s="49">
        <f t="shared" ca="1" si="1188"/>
        <v>117.46548734587267</v>
      </c>
      <c r="T650" s="61">
        <f ca="1">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</f>
        <v>3.0483886103624134E-3</v>
      </c>
      <c r="U650" s="61"/>
      <c r="V650" s="125">
        <f>IFERROR(INDEX('Non-Labor Expenditures'!$E$7:$AA$91,MATCH($C650,'Non-Labor Expenditures'!$C$7:$C$91,0),MATCH($G650,'Non-Labor Expenditures'!$E$5:$AA$5,0)),"NA")</f>
        <v>51198.362624901652</v>
      </c>
      <c r="W650" s="125">
        <f t="shared" si="1175"/>
        <v>450.59858149231803</v>
      </c>
      <c r="X650" s="131">
        <f t="shared" si="1184"/>
        <v>-2.6915239769697896E-2</v>
      </c>
      <c r="Y650" s="131">
        <f t="shared" si="1185"/>
        <v>-2.767942461789646E-4</v>
      </c>
      <c r="Z650" s="131"/>
      <c r="AA650" s="131"/>
      <c r="AB650" s="131"/>
      <c r="AC650" s="125">
        <f t="shared" si="1153"/>
        <v>32763.267813437302</v>
      </c>
      <c r="AD650" s="129"/>
      <c r="AE650" s="133">
        <v>2780.4116293499592</v>
      </c>
      <c r="AF650" s="134">
        <v>1.8659817281785656E-2</v>
      </c>
      <c r="AG650" s="59">
        <f t="shared" si="1176"/>
        <v>1.9189611917052037E-4</v>
      </c>
      <c r="AH650" s="134"/>
      <c r="AI650" s="134"/>
      <c r="AJ650" s="129">
        <f t="shared" si="1120"/>
        <v>119315.0555183985</v>
      </c>
      <c r="AK650" s="134">
        <f t="shared" si="1186"/>
        <v>1.3779272129322646E-3</v>
      </c>
      <c r="AL650" s="129"/>
      <c r="AM650" s="129"/>
      <c r="AN650" s="129"/>
      <c r="AO650" s="129"/>
      <c r="AP650" s="133">
        <f t="shared" si="1187"/>
        <v>441.56254008311464</v>
      </c>
      <c r="AQ650" s="134">
        <f>+BB650/Outputs!$B$28</f>
        <v>7.1233346752530898E-3</v>
      </c>
      <c r="AR650" s="93">
        <f t="shared" si="1177"/>
        <v>0.29630313564752114</v>
      </c>
      <c r="AS650" s="93">
        <f t="shared" si="1178"/>
        <v>0.42910228220953067</v>
      </c>
      <c r="AT650" s="93">
        <f t="shared" si="1179"/>
        <v>0.27459458214294818</v>
      </c>
      <c r="AU650" s="93">
        <f t="shared" ca="1" si="1182"/>
        <v>-1.8085934216059609E-2</v>
      </c>
      <c r="AV650" s="132">
        <f t="shared" ca="1" si="1190"/>
        <v>128.4973442754106</v>
      </c>
      <c r="AW650" s="134">
        <f t="shared" ca="1" si="1191"/>
        <v>-1.8085934216059668E-2</v>
      </c>
      <c r="AX650" s="56">
        <f>+AJ650/$AL$25</f>
        <v>1.0283922734754498E-2</v>
      </c>
      <c r="AY650" s="135">
        <f t="shared" ca="1" si="1189"/>
        <v>-1.8599435006381028E-4</v>
      </c>
      <c r="AZ650" s="93"/>
      <c r="BA650" s="93"/>
      <c r="BB650" s="234">
        <f>IFERROR(INDEX('Total Customers'!$E$7:$AA$91,MATCH($C650,'Total Customers'!$C$7:$C$91,0),MATCH($G650,'Total Customers'!$E$5:$AA$5,0)),"NA")</f>
        <v>270211</v>
      </c>
      <c r="BC650" s="411">
        <f t="shared" si="1196"/>
        <v>5.1834446561590747E-3</v>
      </c>
      <c r="BD650" s="92"/>
      <c r="BE650" s="281" t="str">
        <f t="shared" si="1192"/>
        <v>NEW YORK STATE ELECTRIC &amp; GAS CORPORATION</v>
      </c>
      <c r="BF650" s="290">
        <f t="shared" si="1193"/>
        <v>4004389</v>
      </c>
      <c r="BG650" s="46" t="str">
        <f t="shared" si="1194"/>
        <v>NY</v>
      </c>
      <c r="BH650" s="46"/>
      <c r="BI650" s="46" t="str">
        <f t="shared" si="1195"/>
        <v>2020 Y</v>
      </c>
      <c r="BJ650" s="129"/>
      <c r="BK650" s="129"/>
      <c r="BL650" s="129">
        <f>INDEX('Dist. Plant Gas Additions'!$E$7:$AD$91,MATCH($C650,'Dist. Plant Gas Additions'!$C$7:$C$91,0),MATCH(Calculation!$G650,'Dist. Plant Gas Additions'!$E$5:$AD$5,0))</f>
        <v>63498</v>
      </c>
      <c r="BM650" s="129">
        <f>INDEX('Gen. Plant Additions'!$E$7:$AD$91,MATCH($C650,'Gen. Plant Additions'!$C$7:$C$91,0),MATCH(Calculation!$G650,'Gen. Plant Additions'!$E$5:$AD$5,0))</f>
        <v>973</v>
      </c>
      <c r="BN650" s="393">
        <f t="shared" si="1154"/>
        <v>0.97880350084115142</v>
      </c>
      <c r="BO650" s="46">
        <f t="shared" si="1166"/>
        <v>952.37580631844037</v>
      </c>
      <c r="BP650" s="46">
        <f t="shared" si="1167"/>
        <v>-20.624193681559632</v>
      </c>
      <c r="BQ650" s="129">
        <f>INDEX('Dist Plant Depreciation'!$D$7:$AC$94,MATCH($C650,'Dist Plant Depreciation'!$C$7:$C$94,0),MATCH(Calculation!$G650,'Dist Plant Depreciation'!$D$5:$AC$5,0))</f>
        <v>379322</v>
      </c>
      <c r="BR650" s="129">
        <f>INDEX('Gen. Plant Depreciation'!$D$7:$AC$94,MATCH($C650,'Gen. Plant Depreciation'!$C$7:$C$94,0),MATCH(Calculation!$G650,'Gen. Plant Depreciation'!$D$5:$AC$5,0))</f>
        <v>14458</v>
      </c>
      <c r="BS650" s="129"/>
      <c r="BT650" s="129"/>
      <c r="BU650" s="129"/>
      <c r="BV650" s="129"/>
      <c r="BW650" s="129"/>
      <c r="BX650" s="129"/>
      <c r="BY650" s="129">
        <f>INDEX('Gross Dx Plant'!$D$7:$AC$91,MATCH($C650,'Gross Dx Plant'!$C$7:$C$91,0),MATCH(Calculation!$G650,'Gross Dx Plant'!$D$5:$AC$5,0))</f>
        <v>1138047</v>
      </c>
      <c r="BZ650" s="129">
        <f>INDEX('Gross Gen Plant'!$D$7:$AC$91,MATCH($C650,'Gross Gen Plant'!$C$7:$C$91,0),MATCH(Calculation!$G650,'Gross Gen Plant'!$D$5:$AC$5,0))</f>
        <v>24645</v>
      </c>
      <c r="CA650" s="129">
        <f t="shared" si="1197"/>
        <v>768912</v>
      </c>
      <c r="CB650" s="129"/>
      <c r="CC650" s="133">
        <v>2020</v>
      </c>
      <c r="CD650" s="129"/>
      <c r="CE650" s="129"/>
      <c r="CF650" s="129"/>
      <c r="CG650" s="137"/>
      <c r="CH650" s="129">
        <f t="shared" si="1155"/>
        <v>64471</v>
      </c>
      <c r="CI650" s="46">
        <f t="shared" si="1164"/>
        <v>64450.375806318443</v>
      </c>
      <c r="CJ650" s="46">
        <f t="shared" si="1156"/>
        <v>79.266939204880217</v>
      </c>
      <c r="CK650" s="443">
        <v>0.72499999999999998</v>
      </c>
      <c r="CL650" s="46">
        <f>CL628*CK650+CJ629*CK649+CJ630*CK648+CJ631*CK647+CJ632*CK646+CJ633*CK645+CJ634*CK644+CJ635*CK643+CJ636*CK642+CJ637*CK641+CJ638*CK640+CJ639*CK639+CJ640*CK638+CJ641*CK637+CJ642*CK636+CJ643*CK635+CJ644*CK634+CJ645*CK633+CJ646*CK632+CJ647*CK631+CJ648*CK630+CJ649*CK629+CJ650</f>
        <v>2501.1384814239809</v>
      </c>
      <c r="CM650" s="134">
        <f t="shared" si="1157"/>
        <v>1.4203354530228723E-2</v>
      </c>
      <c r="CN650" s="135">
        <f t="shared" si="1158"/>
        <v>1.7840991307898978E-2</v>
      </c>
      <c r="CO650" s="135">
        <f t="shared" si="1169"/>
        <v>1.7422704082474812E-2</v>
      </c>
      <c r="CP650" s="134">
        <f>VLOOKUP($H650,RoR!$E:$F,2,FALSE)</f>
        <v>2.4766666666666666E-2</v>
      </c>
      <c r="CQ650" s="135">
        <v>1.1618796630994188E-2</v>
      </c>
      <c r="CR650" s="135">
        <f t="shared" si="1165"/>
        <v>1.3147870035672478E-2</v>
      </c>
      <c r="CS650" s="135">
        <f t="shared" si="1170"/>
        <v>1.3479237526058813E-2</v>
      </c>
      <c r="CT650" s="135">
        <f t="shared" si="1171"/>
        <v>4.5144642961987357E-2</v>
      </c>
      <c r="CU650" s="139">
        <f t="shared" si="1159"/>
        <v>0.90509623210000001</v>
      </c>
      <c r="CV650" s="335">
        <f t="shared" si="1160"/>
        <v>2.0706077233668081</v>
      </c>
      <c r="CW650" s="335">
        <f t="shared" si="1161"/>
        <v>-3.4421265141318998E-2</v>
      </c>
      <c r="CX650" s="335">
        <f t="shared" si="1162"/>
        <v>0.62416226176410472</v>
      </c>
      <c r="CY650" s="335">
        <f t="shared" si="1163"/>
        <v>-4.4485877841158712E-2</v>
      </c>
      <c r="CZ650" s="336">
        <f>INDEX('State Tax Lookup'!$D$7:$Z$91,MATCH(Calculation!$C650,'State Tax Lookup'!$B$7:$B$91,0),MATCH($H650,'State Tax Lookup'!$D$6:$Z$6,0))</f>
        <v>0.25649666999999998</v>
      </c>
      <c r="DA650" s="303">
        <v>0.37</v>
      </c>
      <c r="DB650" s="57">
        <f t="shared" si="1168"/>
        <v>13.286723955505428</v>
      </c>
      <c r="DC650" s="56">
        <f t="shared" si="1172"/>
        <v>1.8861620130472743E-2</v>
      </c>
      <c r="DD650" s="303">
        <f>VLOOKUP($H650,RoR!$E:$F,2,FALSE)</f>
        <v>2.4766666666666666E-2</v>
      </c>
      <c r="DE650" s="304">
        <f>HLOOKUP($H650,'GDP-PI'!$D$8:$CQ$11,3,FALSE)</f>
        <v>1.1618796630994188E-2</v>
      </c>
      <c r="DF650" s="303">
        <f>VLOOKUP(H650,'HW Dx Data'!$E:$F,2,FALSE)</f>
        <v>813.080162458833</v>
      </c>
      <c r="DG650" s="89">
        <f ca="1">VLOOKUP(CC650,'ECI - Input Price'!M$13:N$33,2,FALSE)</f>
        <v>153.15</v>
      </c>
      <c r="DH650" s="89"/>
      <c r="DI650" s="89"/>
      <c r="DJ650" s="56">
        <f t="shared" ca="1" si="1180"/>
        <v>2.2951556467368479E-2</v>
      </c>
      <c r="DK650" s="53">
        <f>HLOOKUP(H650,'GDP-PI'!$8:$9,2,FALSE)</f>
        <v>113.623</v>
      </c>
      <c r="DL650" s="355">
        <f t="shared" si="1173"/>
        <v>1.1551816731392881E-2</v>
      </c>
      <c r="EC650"/>
    </row>
    <row r="651" spans="1:133" s="126" customFormat="1" ht="21" customHeight="1" x14ac:dyDescent="0.4">
      <c r="A651" s="233" t="s">
        <v>219</v>
      </c>
      <c r="B651" s="126" t="s">
        <v>219</v>
      </c>
      <c r="C651" s="126">
        <v>4004389</v>
      </c>
      <c r="D651" s="126" t="s">
        <v>194</v>
      </c>
      <c r="E651" s="126" t="s">
        <v>15</v>
      </c>
      <c r="G651" s="127" t="s">
        <v>177</v>
      </c>
      <c r="H651" s="128">
        <v>2021</v>
      </c>
      <c r="I651" s="129"/>
      <c r="J651" s="125">
        <v>37450.337729208717</v>
      </c>
      <c r="K651" s="125">
        <f t="shared" ca="1" si="1174"/>
        <v>238.1579505832033</v>
      </c>
      <c r="L651" s="47"/>
      <c r="M651" s="130">
        <f t="shared" ca="1" si="1181"/>
        <v>3.1201387583193557E-2</v>
      </c>
      <c r="N651" s="130"/>
      <c r="O651" s="130"/>
      <c r="P651" s="59">
        <f t="shared" ca="1" si="1183"/>
        <v>3.1657947519768024E-4</v>
      </c>
      <c r="Q651" s="61"/>
      <c r="R651" s="387"/>
      <c r="S651" s="132">
        <f ca="1">+S650*EXP(T651)</f>
        <v>121.93491178740884</v>
      </c>
      <c r="T651" s="134">
        <f ca="1">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</f>
        <v>3.7342826704235464E-2</v>
      </c>
      <c r="U651" s="134"/>
      <c r="V651" s="125">
        <v>52791.439931535184</v>
      </c>
      <c r="W651" s="125">
        <f t="shared" si="1175"/>
        <v>445.53498127719797</v>
      </c>
      <c r="X651" s="131">
        <f t="shared" si="1184"/>
        <v>-1.1301114737658378E-2</v>
      </c>
      <c r="Y651" s="131">
        <f t="shared" si="1185"/>
        <v>-1.1466480339239036E-4</v>
      </c>
      <c r="Z651" s="131"/>
      <c r="AA651" s="131"/>
      <c r="AB651" s="131"/>
      <c r="AC651" s="125">
        <f t="shared" si="1153"/>
        <v>40089.566824483132</v>
      </c>
      <c r="AD651" s="129"/>
      <c r="AE651" s="133">
        <v>2861.1648689063395</v>
      </c>
      <c r="AF651" s="134"/>
      <c r="AG651" s="59">
        <f t="shared" si="1176"/>
        <v>0</v>
      </c>
      <c r="AH651" s="134"/>
      <c r="AI651" s="134"/>
      <c r="AJ651" s="129">
        <f t="shared" si="1120"/>
        <v>130331.34448522703</v>
      </c>
      <c r="AK651" s="134">
        <f t="shared" si="1186"/>
        <v>8.8312491542151386E-2</v>
      </c>
      <c r="AL651" s="129"/>
      <c r="AM651" s="134"/>
      <c r="AN651" s="134"/>
      <c r="AO651" s="134"/>
      <c r="AP651" s="133">
        <f t="shared" si="1187"/>
        <v>479.9463255382982</v>
      </c>
      <c r="AQ651" s="134">
        <f>+BB651/Outputs!$B$29</f>
        <v>7.0339341427497811E-3</v>
      </c>
      <c r="AR651" s="93">
        <f t="shared" si="1177"/>
        <v>0.28734712955756925</v>
      </c>
      <c r="AS651" s="93">
        <f t="shared" si="1178"/>
        <v>0.40505559226789883</v>
      </c>
      <c r="AT651" s="93">
        <f t="shared" si="1179"/>
        <v>0.30759727817453197</v>
      </c>
      <c r="AU651" s="93">
        <f t="shared" ca="1" si="1182"/>
        <v>4.391892144453533E-3</v>
      </c>
      <c r="AV651" s="132">
        <f t="shared" ca="1" si="1190"/>
        <v>129.06293184299321</v>
      </c>
      <c r="AW651" s="134">
        <f t="shared" ca="1" si="1191"/>
        <v>4.3918921444534549E-3</v>
      </c>
      <c r="AX651" s="56">
        <f>+AJ651/$AL$26</f>
        <v>1.0146326805292592E-2</v>
      </c>
      <c r="AY651" s="135">
        <f t="shared" ca="1" si="1189"/>
        <v>4.4561572991222052E-5</v>
      </c>
      <c r="AZ651" s="93"/>
      <c r="BA651" s="93"/>
      <c r="BB651" s="234">
        <f>INDEX('Total Customers'!$D$7:$D$91,MATCH(Calculation!$C651,'Total Customers'!$C$7:$C$91,0))</f>
        <v>271554</v>
      </c>
      <c r="BC651" s="411">
        <f t="shared" si="1196"/>
        <v>4.9578793424236434E-3</v>
      </c>
      <c r="BD651" s="91"/>
      <c r="BE651" s="281" t="str">
        <f t="shared" si="1192"/>
        <v>NEW YORK STATE ELECTRIC &amp; GAS CORPORATION</v>
      </c>
      <c r="BF651" s="290">
        <f t="shared" si="1193"/>
        <v>4004389</v>
      </c>
      <c r="BG651" s="46" t="str">
        <f t="shared" si="1194"/>
        <v>NY</v>
      </c>
      <c r="BH651" s="46"/>
      <c r="BI651" s="46" t="str">
        <f t="shared" si="1195"/>
        <v>2021 Y</v>
      </c>
      <c r="BJ651" s="129"/>
      <c r="BK651" s="129"/>
      <c r="BL651" s="129">
        <f>INDEX('Dist. Plant Gas Additions'!$D$7:$AD$91,MATCH($C651,'Dist. Plant Gas Additions'!$C$7:$C$91,0),MATCH(Calculation!$G651,'Dist. Plant Gas Additions'!$D$5:$AD$5,0))</f>
        <v>93161</v>
      </c>
      <c r="BM651" s="129">
        <f>INDEX('Gen. Plant Additions'!$D$7:$AD$91,MATCH($C651,'Gen. Plant Additions'!$C$7:$C$91,0),MATCH(Calculation!$G651,'Gen. Plant Additions'!$D$5:$AD$5,0))</f>
        <v>1093</v>
      </c>
      <c r="BN651" s="343">
        <v>0.97880350084115142</v>
      </c>
      <c r="BO651" s="46">
        <f t="shared" si="1166"/>
        <v>1069.8322264193785</v>
      </c>
      <c r="BP651" s="46">
        <f t="shared" si="1167"/>
        <v>-23.167773580621542</v>
      </c>
      <c r="BQ651" s="129"/>
      <c r="BR651" s="129"/>
      <c r="BS651" s="137"/>
      <c r="BT651" s="137"/>
      <c r="BU651" s="333"/>
      <c r="BV651" s="93"/>
      <c r="BW651" s="334"/>
      <c r="BX651" s="334"/>
      <c r="BY651" s="129"/>
      <c r="BZ651" s="129"/>
      <c r="CA651" s="129"/>
      <c r="CB651" s="129"/>
      <c r="CC651" s="133">
        <v>2021</v>
      </c>
      <c r="CD651" s="129"/>
      <c r="CE651" s="129"/>
      <c r="CF651" s="129"/>
      <c r="CG651" s="137"/>
      <c r="CH651" s="129">
        <f t="shared" si="1155"/>
        <v>94254</v>
      </c>
      <c r="CI651" s="46">
        <f t="shared" si="1164"/>
        <v>94230.832226419385</v>
      </c>
      <c r="CJ651" s="46">
        <f t="shared" si="1156"/>
        <v>100.99524106389337</v>
      </c>
      <c r="CK651" s="443">
        <v>0.70886075949367089</v>
      </c>
      <c r="CL651" s="129">
        <f>CL628*CK651+CJ629*CK650+CJ630*CK649+CJ631*CK648+CJ632*CK647+CJ633*CK646+CJ634*CK645+CJ635*CK644+CJ636*CK643+CJ637*CK642+CJ638*CK641+CJ639*CK640+CJ640*CK639+CJ641*CK638+CJ642*CK637+CJ633*CK636+CJ644*CK635+CJ645*CK634+CJ646*CK633+CJ647*CK632+CJ648*CK631+CJ649*CK630+CJ651+CJ650*CK629</f>
        <v>2565.0747690067979</v>
      </c>
      <c r="CM651" s="134"/>
      <c r="CN651" s="135">
        <f t="shared" si="1158"/>
        <v>1.4816833916360182E-2</v>
      </c>
      <c r="CO651" s="135">
        <f t="shared" si="1169"/>
        <v>1.6710235444194785E-2</v>
      </c>
      <c r="CP651" s="134">
        <f>VLOOKUP($H651,RoR!$E:$F,2,FALSE)</f>
        <v>2.7033333333333336E-2</v>
      </c>
      <c r="CQ651" s="135"/>
      <c r="CR651" s="135"/>
      <c r="CS651" s="135">
        <f t="shared" si="1170"/>
        <v>1.419170616433884E-2</v>
      </c>
      <c r="CT651" s="135">
        <f t="shared" si="1171"/>
        <v>7.433422950153494E-2</v>
      </c>
      <c r="CU651" s="139">
        <f t="shared" si="1159"/>
        <v>0.90509623210000001</v>
      </c>
      <c r="CV651" s="335">
        <f t="shared" si="1160"/>
        <v>1.8969932656739068</v>
      </c>
      <c r="CW651" s="335">
        <f t="shared" si="1161"/>
        <v>5.0215782983970621E-2</v>
      </c>
      <c r="CX651" s="335">
        <f t="shared" si="1162"/>
        <v>0.655952481704143</v>
      </c>
      <c r="CY651" s="335">
        <f t="shared" si="1163"/>
        <v>6.2485378865697057E-2</v>
      </c>
      <c r="CZ651" s="336">
        <f>CZ650</f>
        <v>0.25649666999999998</v>
      </c>
      <c r="DA651" s="303">
        <v>0.37</v>
      </c>
      <c r="DB651" s="141">
        <f t="shared" si="1168"/>
        <v>16.028527457487606</v>
      </c>
      <c r="DC651" s="135">
        <f t="shared" si="1172"/>
        <v>0.18760476287423053</v>
      </c>
      <c r="DD651" s="336">
        <f>VLOOKUP($H651,RoR!$E:$F,2,FALSE)</f>
        <v>2.7033333333333336E-2</v>
      </c>
      <c r="DE651" s="342">
        <f>HLOOKUP($H651,'GDP-PI'!$D$8:$CR$11,3,FALSE)</f>
        <v>4.2834637353352578E-2</v>
      </c>
      <c r="DF651" s="336">
        <f>VLOOKUP(H651,'HW Dx Data'!$E:$F,2,FALSE)</f>
        <v>933.02249921662576</v>
      </c>
      <c r="DG651" s="89">
        <f ca="1">VLOOKUP(CC651,'ECI - Input Price'!M$13:N$33,2,FALSE)</f>
        <v>157.25</v>
      </c>
      <c r="DH651" s="89"/>
      <c r="DI651" s="89"/>
      <c r="DJ651" s="135">
        <f t="shared" ca="1" si="1180"/>
        <v>2.6419062301765574E-2</v>
      </c>
      <c r="DK651" s="137">
        <f>HLOOKUP(H651,'GDP-PI'!$8:$9,2,FALSE)</f>
        <v>118.49</v>
      </c>
      <c r="DL651" s="356">
        <f t="shared" si="1173"/>
        <v>4.194261824609434E-2</v>
      </c>
      <c r="EC651"/>
    </row>
    <row r="652" spans="1:133" s="126" customFormat="1" ht="21" customHeight="1" thickBot="1" x14ac:dyDescent="0.45">
      <c r="A652" s="235"/>
      <c r="B652" s="236"/>
      <c r="C652" s="236"/>
      <c r="D652" s="236"/>
      <c r="E652" s="236"/>
      <c r="F652" s="236"/>
      <c r="G652" s="237" t="s">
        <v>178</v>
      </c>
      <c r="H652" s="238"/>
      <c r="I652" s="239"/>
      <c r="J652" s="240">
        <v>43283.81988744501</v>
      </c>
      <c r="K652" s="240">
        <f t="shared" ca="1" si="1174"/>
        <v>266.28003621928644</v>
      </c>
      <c r="L652" s="47"/>
      <c r="M652" s="241">
        <f t="shared" ref="M652" ca="1" si="1198">LN(K652/K651)</f>
        <v>0.11161441129147916</v>
      </c>
      <c r="N652" s="241"/>
      <c r="O652" s="241"/>
      <c r="P652" s="242">
        <f t="shared" ca="1" si="1183"/>
        <v>1.2202313939260988E-3</v>
      </c>
      <c r="Q652" s="61"/>
      <c r="R652" s="387"/>
      <c r="S652" s="206">
        <f ca="1">+S651*EXP(T652)</f>
        <v>120.61615016063379</v>
      </c>
      <c r="T652" s="243">
        <f ca="1">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</f>
        <v>-1.0874202003193707E-2</v>
      </c>
      <c r="U652" s="243"/>
      <c r="V652" s="239">
        <v>61014.541287121283</v>
      </c>
      <c r="W652" s="240">
        <f t="shared" si="1175"/>
        <v>479.48558968268196</v>
      </c>
      <c r="X652" s="244">
        <f t="shared" ref="X652" si="1199">LN(W652/W651)</f>
        <v>7.343807585886003E-2</v>
      </c>
      <c r="Y652" s="244">
        <f t="shared" si="1185"/>
        <v>8.0286626642225053E-4</v>
      </c>
      <c r="Z652" s="206"/>
      <c r="AA652" s="243"/>
      <c r="AB652" s="243"/>
      <c r="AC652" s="240">
        <f t="shared" si="1153"/>
        <v>40368.090322946511</v>
      </c>
      <c r="AD652" s="243"/>
      <c r="AE652" s="245">
        <v>2912.1839870382269</v>
      </c>
      <c r="AF652" s="243">
        <v>1.7674471971221645E-2</v>
      </c>
      <c r="AG652" s="242">
        <f t="shared" si="1176"/>
        <v>1.9322724835263284E-4</v>
      </c>
      <c r="AH652" s="206"/>
      <c r="AI652" s="243"/>
      <c r="AJ652" s="239">
        <f t="shared" si="1120"/>
        <v>144666.45149751281</v>
      </c>
      <c r="AK652" s="243">
        <f t="shared" si="1186"/>
        <v>0.10435074659012235</v>
      </c>
      <c r="AL652" s="239"/>
      <c r="AM652" s="243"/>
      <c r="AN652" s="243"/>
      <c r="AO652" s="243"/>
      <c r="AP652" s="245">
        <f t="shared" si="1187"/>
        <v>532.58642822042054</v>
      </c>
      <c r="AQ652" s="243"/>
      <c r="AR652" s="207">
        <f t="shared" si="1177"/>
        <v>0.29919735667387382</v>
      </c>
      <c r="AS652" s="207">
        <f t="shared" si="1178"/>
        <v>0.42176012928726797</v>
      </c>
      <c r="AT652" s="207">
        <f t="shared" si="1179"/>
        <v>0.27904251403885816</v>
      </c>
      <c r="AU652" s="207"/>
      <c r="AV652" s="206"/>
      <c r="AW652" s="243"/>
      <c r="AX652" s="248">
        <f>+AJ652/$AL$27</f>
        <v>1.093256130464627E-2</v>
      </c>
      <c r="AY652" s="249"/>
      <c r="AZ652" s="206"/>
      <c r="BA652" s="243"/>
      <c r="BB652" s="250">
        <v>271630</v>
      </c>
      <c r="BC652" s="412">
        <f t="shared" si="1196"/>
        <v>2.7983151379984834E-4</v>
      </c>
      <c r="BD652" s="91"/>
      <c r="BE652" s="401">
        <f t="shared" si="1192"/>
        <v>0</v>
      </c>
      <c r="BF652" s="402">
        <f t="shared" si="1193"/>
        <v>0</v>
      </c>
      <c r="BG652" s="313">
        <f t="shared" si="1194"/>
        <v>0</v>
      </c>
      <c r="BH652" s="313"/>
      <c r="BI652" s="313" t="str">
        <f t="shared" si="1195"/>
        <v>2022Y</v>
      </c>
      <c r="BJ652" s="239"/>
      <c r="BK652" s="239"/>
      <c r="BL652" s="239"/>
      <c r="BM652" s="239"/>
      <c r="BN652" s="337">
        <v>0.97880350084115142</v>
      </c>
      <c r="BO652" s="313">
        <f t="shared" si="1166"/>
        <v>0</v>
      </c>
      <c r="BP652" s="313">
        <f t="shared" si="1167"/>
        <v>0</v>
      </c>
      <c r="BQ652" s="239"/>
      <c r="BR652" s="239"/>
      <c r="BS652" s="310"/>
      <c r="BT652" s="310"/>
      <c r="BU652" s="311"/>
      <c r="BV652" s="207"/>
      <c r="BW652" s="312"/>
      <c r="BX652" s="312"/>
      <c r="BY652" s="239"/>
      <c r="BZ652" s="239"/>
      <c r="CA652" s="239"/>
      <c r="CB652" s="239"/>
      <c r="CC652" s="245">
        <v>2022</v>
      </c>
      <c r="CD652" s="239"/>
      <c r="CE652" s="239"/>
      <c r="CF652" s="239"/>
      <c r="CG652" s="310"/>
      <c r="CH652" s="239">
        <v>59539</v>
      </c>
      <c r="CI652" s="313">
        <f t="shared" si="1164"/>
        <v>59539</v>
      </c>
      <c r="CJ652" s="313">
        <f t="shared" si="1156"/>
        <v>57.75943190306652</v>
      </c>
      <c r="CK652" s="443">
        <v>0.69230769230769229</v>
      </c>
      <c r="CL652" s="239">
        <f>+CL628*CK652+CJ629*CK651+CJ630*CK650+CJ631*CK649+CJ632*CK648+CJ633*CK647+CJ634*CK646+CJ635*CK645+CJ636*CK644+CJ637*CK643+CJ638*CK642+CJ639*CK641+CJ640*CK640+CJ641*CK639+CJ642*CK638+CJ643*CK637+CJ644*CK636+CJ645*CK635+CJ646*CK634+CJ647*CK633+CJ648*CK632+CJ649*CK631+CJ650*CK630+CJ651*CK629+CJ652*CK628</f>
        <v>2566.0709371904504</v>
      </c>
      <c r="CM652" s="243">
        <f t="shared" ref="CM652" si="1200">LN(CL652/CL651)</f>
        <v>3.8828295012757416E-4</v>
      </c>
      <c r="CN652" s="249">
        <f t="shared" si="1158"/>
        <v>2.2129282313822298E-2</v>
      </c>
      <c r="CO652" s="249">
        <f t="shared" si="1169"/>
        <v>1.8262369179360485E-2</v>
      </c>
      <c r="CP652" s="243"/>
      <c r="CQ652" s="249"/>
      <c r="CR652" s="249"/>
      <c r="CS652" s="248">
        <f t="shared" si="1170"/>
        <v>1.263957242917314E-2</v>
      </c>
      <c r="CT652" s="249">
        <f t="shared" si="1171"/>
        <v>0.10114668178709289</v>
      </c>
      <c r="CU652" s="314">
        <f t="shared" si="1159"/>
        <v>0.90509623210000001</v>
      </c>
      <c r="CV652" s="315"/>
      <c r="CW652" s="315"/>
      <c r="CX652" s="315"/>
      <c r="CY652" s="315"/>
      <c r="CZ652" s="316">
        <f>CZ651</f>
        <v>0.25649666999999998</v>
      </c>
      <c r="DA652" s="360">
        <v>0.37</v>
      </c>
      <c r="DB652" s="318">
        <f t="shared" si="1168"/>
        <v>15.737588163395767</v>
      </c>
      <c r="DC652" s="249">
        <f t="shared" si="1172"/>
        <v>-1.8318099258696055E-2</v>
      </c>
      <c r="DD652" s="316">
        <v>0.04</v>
      </c>
      <c r="DE652" s="319">
        <v>7.0000000000000001E-3</v>
      </c>
      <c r="DF652" s="316">
        <v>1030.81</v>
      </c>
      <c r="DG652" s="89">
        <f ca="1">VLOOKUP(CC652,'ECI - Input Price'!M$13:N$33,2,FALSE)</f>
        <v>162.55000000000001</v>
      </c>
      <c r="DH652" s="89"/>
      <c r="DI652" s="89"/>
      <c r="DJ652" s="249">
        <f t="shared" ca="1" si="1180"/>
        <v>3.3148751169364422E-2</v>
      </c>
      <c r="DK652" s="310">
        <v>127.25</v>
      </c>
      <c r="DL652" s="357">
        <f t="shared" si="1173"/>
        <v>7.1325086601983473E-2</v>
      </c>
      <c r="EC652"/>
    </row>
    <row r="653" spans="1:133" s="126" customFormat="1" ht="21" customHeight="1" x14ac:dyDescent="0.4">
      <c r="A653" s="251" t="s">
        <v>220</v>
      </c>
      <c r="B653" s="252" t="s">
        <v>220</v>
      </c>
      <c r="C653" s="252">
        <v>4057014</v>
      </c>
      <c r="D653" s="252" t="s">
        <v>194</v>
      </c>
      <c r="E653" s="252" t="s">
        <v>15</v>
      </c>
      <c r="F653" s="252"/>
      <c r="G653" s="252" t="s">
        <v>150</v>
      </c>
      <c r="H653" s="253">
        <v>1998</v>
      </c>
      <c r="I653" s="254"/>
      <c r="J653" s="255"/>
      <c r="K653" s="255"/>
      <c r="L653" s="47"/>
      <c r="M653" s="255"/>
      <c r="N653" s="255"/>
      <c r="O653" s="255"/>
      <c r="P653" s="219"/>
      <c r="Q653" s="218"/>
      <c r="R653" s="385"/>
      <c r="S653" s="257"/>
      <c r="T653" s="258"/>
      <c r="U653" s="258"/>
      <c r="V653" s="259"/>
      <c r="W653" s="259"/>
      <c r="X653" s="259"/>
      <c r="Y653" s="255"/>
      <c r="Z653" s="259"/>
      <c r="AA653" s="259"/>
      <c r="AB653" s="259"/>
      <c r="AC653" s="255"/>
      <c r="AD653" s="254"/>
      <c r="AE653" s="260">
        <v>3676.8940307587759</v>
      </c>
      <c r="AF653" s="256"/>
      <c r="AG653" s="225"/>
      <c r="AH653" s="256"/>
      <c r="AI653" s="256"/>
      <c r="AJ653" s="254">
        <f t="shared" si="1120"/>
        <v>0</v>
      </c>
      <c r="AK653" s="254"/>
      <c r="AL653" s="254"/>
      <c r="AM653" s="256"/>
      <c r="AN653" s="256"/>
      <c r="AO653" s="256"/>
      <c r="AP653" s="226">
        <f>+(AP650+AP651+AP652)/3</f>
        <v>484.69843128061115</v>
      </c>
      <c r="AQ653" s="256"/>
      <c r="AR653" s="261"/>
      <c r="AS653" s="261"/>
      <c r="AT653" s="261"/>
      <c r="AU653" s="261"/>
      <c r="AV653" s="261"/>
      <c r="AW653" s="256">
        <f ca="1">AVERAGE(AW662:AW676)</f>
        <v>1.4691966117022429E-2</v>
      </c>
      <c r="AX653" s="223"/>
      <c r="AY653" s="261"/>
      <c r="AZ653" s="261"/>
      <c r="BA653" s="261"/>
      <c r="BB653" s="262">
        <f>IFERROR(INDEX('Total Customers'!$E$7:$AA$91,MATCH($C653,'Total Customers'!$C$7:$C$91,0),MATCH($G653,'Total Customers'!$E$5:$AA$5,0)),"NA")</f>
        <v>530634</v>
      </c>
      <c r="BC653" s="413"/>
      <c r="BD653" s="92"/>
      <c r="BE653" s="407" t="str">
        <f t="shared" si="1192"/>
        <v>NIAGARA MOHAWK POWER CORPORATION</v>
      </c>
      <c r="BF653" s="408">
        <f t="shared" si="1193"/>
        <v>4057014</v>
      </c>
      <c r="BG653" s="218" t="str">
        <f t="shared" si="1194"/>
        <v>NY</v>
      </c>
      <c r="BH653" s="218"/>
      <c r="BI653" s="218" t="str">
        <f t="shared" si="1195"/>
        <v>1998 Y</v>
      </c>
      <c r="BJ653" s="254">
        <f>INDEX('Gross Dx Plant'!$D$7:$AC$91,MATCH($C653,'Gross Dx Plant'!$C$7:$C$91,0),MATCH(Calculation!$G653,'Gross Dx Plant'!$D$5:$AC$5,0))</f>
        <v>1080651</v>
      </c>
      <c r="BK653" s="254">
        <f>INDEX('Gross Gen Plant'!$D$7:$AC$91,MATCH($C653,'Gross Gen Plant'!$C$7:$C$91,0),MATCH(Calculation!$G653,'Gross Gen Plant'!$D$5:$AC$5,0))</f>
        <v>31632</v>
      </c>
      <c r="BL653" s="254">
        <f>INDEX('Dist. Plant Gas Additions'!$E$7:$AD$91,MATCH($C653,'Dist. Plant Gas Additions'!$C$7:$C$91,0),MATCH(Calculation!$G653,'Dist. Plant Gas Additions'!$E$5:$AD$5,0))</f>
        <v>41808</v>
      </c>
      <c r="BM653" s="254">
        <f>INDEX('Gen. Plant Additions'!$E$7:$AD$91,MATCH($C653,'Gen. Plant Additions'!$C$7:$C$91,0),MATCH(Calculation!$G653,'Gen. Plant Additions'!$E$5:$AD$5,0))</f>
        <v>7268</v>
      </c>
      <c r="BN653" s="409">
        <f>+(BY653/(BY653+BZ653))</f>
        <v>0.97156119440825761</v>
      </c>
      <c r="BO653" s="218">
        <f t="shared" si="1166"/>
        <v>7061.3067609592163</v>
      </c>
      <c r="BP653" s="218">
        <f t="shared" si="1167"/>
        <v>-206.69323904078374</v>
      </c>
      <c r="BQ653" s="254">
        <f>INDEX('Dist Plant Depreciation'!$D$7:$AC$94,MATCH($C653,'Dist Plant Depreciation'!$C$7:$C$94,0),MATCH(Calculation!$G653,'Dist Plant Depreciation'!$D$5:$AC$5,0))</f>
        <v>338949.5</v>
      </c>
      <c r="BR653" s="254"/>
      <c r="BS653" s="254"/>
      <c r="BT653" s="254"/>
      <c r="BU653" s="254"/>
      <c r="BV653" s="254"/>
      <c r="BW653" s="254"/>
      <c r="BX653" s="254"/>
      <c r="BY653" s="254">
        <f>INDEX('Gross Dx Plant'!$D$7:$AC$91,MATCH($C653,'Gross Dx Plant'!$C$7:$C$91,0),MATCH(Calculation!$G653,'Gross Dx Plant'!$D$5:$AC$5,0))</f>
        <v>1080651</v>
      </c>
      <c r="BZ653" s="254">
        <f>INDEX('Gross Gen Plant'!$D$7:$AC$91,MATCH($C653,'Gross Gen Plant'!$C$7:$C$91,0),MATCH(Calculation!$G653,'Gross Gen Plant'!$D$5:$AC$5,0))</f>
        <v>31632</v>
      </c>
      <c r="CA653" s="254">
        <f t="shared" si="1197"/>
        <v>773333.5</v>
      </c>
      <c r="CB653" s="254"/>
      <c r="CC653" s="260">
        <v>1998</v>
      </c>
      <c r="CD653" s="254">
        <f>BJ653+BK653</f>
        <v>1112283</v>
      </c>
      <c r="CE653" s="254">
        <f>338950+31632</f>
        <v>370582</v>
      </c>
      <c r="CF653" s="254">
        <f>+CD653-CE653</f>
        <v>741701</v>
      </c>
      <c r="CG653" s="254">
        <f>CF653/$BX$3</f>
        <v>3676.8940307587759</v>
      </c>
      <c r="CH653" s="323"/>
      <c r="CI653" s="344"/>
      <c r="CJ653" s="344"/>
      <c r="CK653" s="443">
        <v>1</v>
      </c>
      <c r="CL653" s="254">
        <f>+CG653</f>
        <v>3676.8940307587759</v>
      </c>
      <c r="CM653" s="256"/>
      <c r="CN653" s="325"/>
      <c r="CO653" s="325"/>
      <c r="CP653" s="256" t="e">
        <f>VLOOKUP($H653,RoR!$E:$F,2,FALSE)</f>
        <v>#N/A</v>
      </c>
      <c r="CQ653" s="325">
        <v>1.1028127770464469E-2</v>
      </c>
      <c r="CR653" s="325"/>
      <c r="CS653" s="325"/>
      <c r="CT653" s="325"/>
      <c r="CU653" s="327"/>
      <c r="CV653" s="331" t="e">
        <f>2/(DD653*39)</f>
        <v>#N/A</v>
      </c>
      <c r="CW653" s="328" t="e">
        <f>+(DD653*40-(1+DD653))/(DD653*40)</f>
        <v>#N/A</v>
      </c>
      <c r="CX653" s="328" t="e">
        <f>+(1-(1/(1+DD653)^40))</f>
        <v>#N/A</v>
      </c>
      <c r="CY653" s="328" t="e">
        <f>+CX653*CW653*CV653</f>
        <v>#N/A</v>
      </c>
      <c r="CZ653" s="329">
        <f>INDEX('State Tax Lookup'!$D$7:$Z$91,MATCH(Calculation!$C653,'State Tax Lookup'!$B$7:$B$91,0),MATCH($H653,'State Tax Lookup'!$D$6:$Z$6,0))</f>
        <v>0.39649667</v>
      </c>
      <c r="DA653" s="351">
        <v>0.37</v>
      </c>
      <c r="DB653" s="344"/>
      <c r="DC653" s="326"/>
      <c r="DD653" s="351" t="e">
        <f>VLOOKUP($H653,RoR!$E:$F,2,FALSE)</f>
        <v>#N/A</v>
      </c>
      <c r="DE653" s="354">
        <f>HLOOKUP($H653,'GDP-PI'!$D$8:$CQ$11,3,FALSE)</f>
        <v>1.1028127770464469E-2</v>
      </c>
      <c r="DF653" s="351">
        <f>VLOOKUP(H653,'HW Dx Data'!$E:$F,2,FALSE)</f>
        <v>329.24564746449528</v>
      </c>
      <c r="DG653" s="351"/>
      <c r="DH653" s="351"/>
      <c r="DI653" s="351"/>
      <c r="DJ653" s="326"/>
      <c r="DK653" s="344">
        <f>HLOOKUP(H653,'GDP-PI'!$8:$9,2,FALSE)</f>
        <v>75.266999999999996</v>
      </c>
      <c r="DL653" s="292"/>
      <c r="EC653"/>
    </row>
    <row r="654" spans="1:133" s="126" customFormat="1" ht="21" customHeight="1" x14ac:dyDescent="0.4">
      <c r="A654" s="233" t="s">
        <v>220</v>
      </c>
      <c r="B654" s="127" t="s">
        <v>220</v>
      </c>
      <c r="C654" s="127">
        <v>4057014</v>
      </c>
      <c r="D654" s="127" t="s">
        <v>194</v>
      </c>
      <c r="E654" s="127" t="s">
        <v>15</v>
      </c>
      <c r="F654" s="127"/>
      <c r="G654" s="127" t="s">
        <v>155</v>
      </c>
      <c r="H654" s="128">
        <v>1999</v>
      </c>
      <c r="I654" s="129"/>
      <c r="J654" s="125"/>
      <c r="K654" s="129"/>
      <c r="L654" s="47"/>
      <c r="M654" s="129"/>
      <c r="N654" s="129"/>
      <c r="O654" s="129"/>
      <c r="P654" s="47"/>
      <c r="Q654" s="47"/>
      <c r="R654" s="386"/>
      <c r="S654" s="119"/>
      <c r="T654" s="47"/>
      <c r="U654" s="46"/>
      <c r="V654" s="135"/>
      <c r="W654" s="135"/>
      <c r="X654" s="135"/>
      <c r="Y654" s="143"/>
      <c r="Z654" s="135"/>
      <c r="AA654" s="135"/>
      <c r="AB654" s="135"/>
      <c r="AC654" s="125">
        <f t="shared" ref="AC654:AC677" si="1201">+CL653*DB654</f>
        <v>0</v>
      </c>
      <c r="AD654" s="129"/>
      <c r="AE654" s="133">
        <v>3876.7297123116891</v>
      </c>
      <c r="AF654" s="134">
        <v>5.292355815908923E-2</v>
      </c>
      <c r="AG654" s="61"/>
      <c r="AH654" s="134"/>
      <c r="AI654" s="134"/>
      <c r="AJ654" s="129">
        <f t="shared" si="1120"/>
        <v>0</v>
      </c>
      <c r="AK654" s="134"/>
      <c r="AL654" s="129"/>
      <c r="AM654" s="134"/>
      <c r="AN654" s="134"/>
      <c r="AO654" s="134"/>
      <c r="AP654" s="133"/>
      <c r="AQ654" s="134"/>
      <c r="AR654" s="93"/>
      <c r="AS654" s="93"/>
      <c r="AT654" s="93"/>
      <c r="AU654" s="93"/>
      <c r="AV654" s="93"/>
      <c r="AW654" s="134"/>
      <c r="AX654" s="62"/>
      <c r="AY654" s="93"/>
      <c r="AZ654" s="93"/>
      <c r="BA654" s="93"/>
      <c r="BB654" s="234">
        <f>IFERROR(INDEX('Total Customers'!$E$7:$AA$91,MATCH($C654,'Total Customers'!$C$7:$C$91,0),MATCH($G654,'Total Customers'!$E$5:$AA$5,0)),"NA")</f>
        <v>538554</v>
      </c>
      <c r="BC654" s="411">
        <f t="shared" si="1196"/>
        <v>1.4815252067902013E-2</v>
      </c>
      <c r="BD654" s="92"/>
      <c r="BE654" s="281" t="str">
        <f t="shared" si="1192"/>
        <v>NIAGARA MOHAWK POWER CORPORATION</v>
      </c>
      <c r="BF654" s="290">
        <f t="shared" si="1193"/>
        <v>4057014</v>
      </c>
      <c r="BG654" s="46" t="str">
        <f t="shared" si="1194"/>
        <v>NY</v>
      </c>
      <c r="BH654" s="46"/>
      <c r="BI654" s="46" t="str">
        <f t="shared" si="1195"/>
        <v>1999 Y</v>
      </c>
      <c r="BJ654" s="129"/>
      <c r="BK654" s="129"/>
      <c r="BL654" s="129">
        <f>INDEX('Dist. Plant Gas Additions'!$E$7:$AD$91,MATCH($C654,'Dist. Plant Gas Additions'!$C$7:$C$91,0),MATCH(Calculation!$G654,'Dist. Plant Gas Additions'!$E$5:$AD$5,0))</f>
        <v>71563</v>
      </c>
      <c r="BM654" s="129">
        <f>INDEX('Gen. Plant Additions'!$E$7:$AD$91,MATCH($C654,'Gen. Plant Additions'!$C$7:$C$91,0),MATCH(Calculation!$G654,'Gen. Plant Additions'!$E$5:$AD$5,0))</f>
        <v>1581</v>
      </c>
      <c r="BN654" s="393">
        <f t="shared" ref="BN654:BN675" si="1202">+(BY654/(BY654+BZ654))</f>
        <v>0.97184249704113923</v>
      </c>
      <c r="BO654" s="46">
        <f t="shared" si="1166"/>
        <v>1536.4829878220412</v>
      </c>
      <c r="BP654" s="46">
        <f t="shared" si="1167"/>
        <v>-44.517012177958804</v>
      </c>
      <c r="BQ654" s="129">
        <f>INDEX('Dist Plant Depreciation'!$D$7:$AC$94,MATCH($C654,'Dist Plant Depreciation'!$C$7:$C$94,0),MATCH(Calculation!$G654,'Dist Plant Depreciation'!$D$5:$AC$5,0))</f>
        <v>363090</v>
      </c>
      <c r="BR654" s="129">
        <f>INDEX('Gen. Plant Depreciation'!$D$7:$AC$94,MATCH($C654,'Gen. Plant Depreciation'!$C$7:$C$94,0),MATCH(Calculation!$G654,'Gen. Plant Depreciation'!$D$5:$AC$5,0))</f>
        <v>7314</v>
      </c>
      <c r="BS654" s="129"/>
      <c r="BT654" s="129"/>
      <c r="BU654" s="129"/>
      <c r="BV654" s="129"/>
      <c r="BW654" s="129"/>
      <c r="BX654" s="129"/>
      <c r="BY654" s="129">
        <f>INDEX('Gross Dx Plant'!$D$7:$AC$91,MATCH($C654,'Gross Dx Plant'!$C$7:$C$91,0),MATCH(Calculation!$G654,'Gross Dx Plant'!$D$5:$AC$5,0))</f>
        <v>1146296</v>
      </c>
      <c r="BZ654" s="129">
        <f>INDEX('Gross Gen Plant'!$D$7:$AC$91,MATCH($C654,'Gross Gen Plant'!$C$7:$C$91,0),MATCH(Calculation!$G654,'Gross Gen Plant'!$D$5:$AC$5,0))</f>
        <v>33212</v>
      </c>
      <c r="CA654" s="129">
        <f t="shared" si="1197"/>
        <v>809104</v>
      </c>
      <c r="CB654" s="129"/>
      <c r="CC654" s="133">
        <v>1999</v>
      </c>
      <c r="CD654" s="129"/>
      <c r="CE654" s="129"/>
      <c r="CF654" s="129"/>
      <c r="CG654" s="137"/>
      <c r="CH654" s="129">
        <f t="shared" ref="CH654:CH676" si="1203">+BM654+BL654</f>
        <v>73144</v>
      </c>
      <c r="CI654" s="46">
        <f>+CH654+BP654</f>
        <v>73099.482987822048</v>
      </c>
      <c r="CJ654" s="46">
        <f t="shared" ref="CJ654:CJ677" si="1204">+CI654/$DF654</f>
        <v>217.99592886906092</v>
      </c>
      <c r="CK654" s="443">
        <v>0.99009900990099009</v>
      </c>
      <c r="CL654" s="46">
        <f>+CL653*CK654+CJ654</f>
        <v>3858.4850682341857</v>
      </c>
      <c r="CM654" s="134">
        <f t="shared" ref="CM654:CM675" si="1205">LN(CL654/CL653)</f>
        <v>4.8206254650859377E-2</v>
      </c>
      <c r="CN654" s="135">
        <f t="shared" ref="CN654:CN677" si="1206">+(CL653-CL654+CJ654)/CL653</f>
        <v>9.9009900990098525E-3</v>
      </c>
      <c r="CO654" s="135"/>
      <c r="CP654" s="134">
        <f>VLOOKUP($H654,RoR!$E:$F,2,FALSE)</f>
        <v>7.0416666666666669E-2</v>
      </c>
      <c r="CQ654" s="135">
        <v>1.4335631817396832E-2</v>
      </c>
      <c r="CR654" s="135">
        <f>+CP654-CQ654</f>
        <v>5.6081034849269837E-2</v>
      </c>
      <c r="CS654" s="135"/>
      <c r="CT654" s="135"/>
      <c r="CU654" s="139">
        <f t="shared" ref="CU654:CU678" si="1207">1-CZ654*DA654</f>
        <v>0.85329623209999994</v>
      </c>
      <c r="CV654" s="335">
        <f t="shared" ref="CV654:CV676" si="1208">2/(DD654*39)</f>
        <v>0.72826581702321336</v>
      </c>
      <c r="CW654" s="335">
        <f t="shared" ref="CW654:CW676" si="1209">+(DD654*40-(1+DD654))/(DD654*40)</f>
        <v>0.61997041420118348</v>
      </c>
      <c r="CX654" s="335">
        <f t="shared" ref="CX654:CX676" si="1210">+(1-(1/(1+DD654)^40))</f>
        <v>0.93425155319585029</v>
      </c>
      <c r="CY654" s="335">
        <f t="shared" ref="CY654:CY676" si="1211">+CX654*CW654*CV654</f>
        <v>0.42181762214141483</v>
      </c>
      <c r="CZ654" s="336">
        <f>INDEX('State Tax Lookup'!$D$7:$Z$91,MATCH(Calculation!$C654,'State Tax Lookup'!$B$7:$B$91,0),MATCH($H654,'State Tax Lookup'!$D$6:$Z$6,0))</f>
        <v>0.39649667</v>
      </c>
      <c r="DA654" s="303">
        <v>0.37</v>
      </c>
      <c r="DB654" s="57"/>
      <c r="DC654" s="56"/>
      <c r="DD654" s="303">
        <f>VLOOKUP($H654,RoR!$E:$F,2,FALSE)</f>
        <v>7.0416666666666669E-2</v>
      </c>
      <c r="DE654" s="304">
        <f>HLOOKUP($H654,'GDP-PI'!$D$8:$CQ$11,3,FALSE)</f>
        <v>1.4335631817396832E-2</v>
      </c>
      <c r="DF654" s="303">
        <f>VLOOKUP(H654,'HW Dx Data'!$E:$F,2,FALSE)</f>
        <v>335.32499146683239</v>
      </c>
      <c r="DG654" s="89"/>
      <c r="DH654" s="89"/>
      <c r="DI654" s="89"/>
      <c r="DJ654" s="56"/>
      <c r="DK654" s="53">
        <f>HLOOKUP(H654,'GDP-PI'!$8:$9,2,FALSE)</f>
        <v>76.346000000000004</v>
      </c>
      <c r="DL654" s="298"/>
      <c r="EC654"/>
    </row>
    <row r="655" spans="1:133" s="126" customFormat="1" ht="21" customHeight="1" x14ac:dyDescent="0.4">
      <c r="A655" s="233" t="s">
        <v>220</v>
      </c>
      <c r="B655" s="127" t="s">
        <v>220</v>
      </c>
      <c r="C655" s="127">
        <v>4057014</v>
      </c>
      <c r="D655" s="127" t="s">
        <v>194</v>
      </c>
      <c r="E655" s="127" t="s">
        <v>15</v>
      </c>
      <c r="F655" s="127"/>
      <c r="G655" s="127" t="s">
        <v>156</v>
      </c>
      <c r="H655" s="128">
        <v>2000</v>
      </c>
      <c r="I655" s="129"/>
      <c r="J655" s="125"/>
      <c r="K655" s="125"/>
      <c r="L655" s="47"/>
      <c r="M655" s="125"/>
      <c r="N655" s="125"/>
      <c r="O655" s="125"/>
      <c r="P655" s="47"/>
      <c r="Q655" s="47"/>
      <c r="R655" s="386"/>
      <c r="S655" s="119"/>
      <c r="T655" s="47"/>
      <c r="U655" s="47"/>
      <c r="V655" s="125"/>
      <c r="W655" s="125"/>
      <c r="X655" s="125"/>
      <c r="Y655" s="125"/>
      <c r="Z655" s="125"/>
      <c r="AA655" s="125"/>
      <c r="AB655" s="125"/>
      <c r="AC655" s="125">
        <f t="shared" si="1201"/>
        <v>0</v>
      </c>
      <c r="AD655" s="129"/>
      <c r="AE655" s="133">
        <v>4010.0203414794269</v>
      </c>
      <c r="AF655" s="134">
        <v>3.3804373414420462E-2</v>
      </c>
      <c r="AG655" s="61"/>
      <c r="AH655" s="134"/>
      <c r="AI655" s="134"/>
      <c r="AJ655" s="129">
        <f t="shared" si="1120"/>
        <v>0</v>
      </c>
      <c r="AK655" s="134"/>
      <c r="AL655" s="129"/>
      <c r="AM655" s="129"/>
      <c r="AN655" s="129"/>
      <c r="AO655" s="129"/>
      <c r="AP655" s="133"/>
      <c r="AQ655" s="134"/>
      <c r="AR655" s="93"/>
      <c r="AS655" s="93"/>
      <c r="AT655" s="93"/>
      <c r="AU655" s="93"/>
      <c r="AV655" s="93"/>
      <c r="AW655" s="134"/>
      <c r="AX655" s="62"/>
      <c r="AY655" s="93"/>
      <c r="AZ655" s="93"/>
      <c r="BA655" s="93"/>
      <c r="BB655" s="234">
        <f>IFERROR(INDEX('Total Customers'!$E$7:$AA$91,MATCH($C655,'Total Customers'!$C$7:$C$91,0),MATCH($G655,'Total Customers'!$E$5:$AA$5,0)),"NA")</f>
        <v>544080</v>
      </c>
      <c r="BC655" s="411">
        <f t="shared" si="1196"/>
        <v>1.020852474696575E-2</v>
      </c>
      <c r="BD655" s="92"/>
      <c r="BE655" s="281" t="str">
        <f t="shared" si="1192"/>
        <v>NIAGARA MOHAWK POWER CORPORATION</v>
      </c>
      <c r="BF655" s="290">
        <f t="shared" si="1193"/>
        <v>4057014</v>
      </c>
      <c r="BG655" s="46" t="str">
        <f t="shared" si="1194"/>
        <v>NY</v>
      </c>
      <c r="BH655" s="46"/>
      <c r="BI655" s="46" t="str">
        <f t="shared" si="1195"/>
        <v>2000 Y</v>
      </c>
      <c r="BJ655" s="129"/>
      <c r="BK655" s="129"/>
      <c r="BL655" s="129">
        <f>INDEX('Dist. Plant Gas Additions'!$E$7:$AD$91,MATCH($C655,'Dist. Plant Gas Additions'!$C$7:$C$91,0),MATCH(Calculation!$G655,'Dist. Plant Gas Additions'!$E$5:$AD$5,0))</f>
        <v>50931</v>
      </c>
      <c r="BM655" s="129">
        <f>INDEX('Gen. Plant Additions'!$E$7:$AD$91,MATCH($C655,'Gen. Plant Additions'!$C$7:$C$91,0),MATCH(Calculation!$G655,'Gen. Plant Additions'!$E$5:$AD$5,0))</f>
        <v>2166</v>
      </c>
      <c r="BN655" s="393">
        <f t="shared" si="1202"/>
        <v>0.97526693094340922</v>
      </c>
      <c r="BO655" s="46">
        <f t="shared" si="1166"/>
        <v>2112.4281724234243</v>
      </c>
      <c r="BP655" s="46">
        <f t="shared" si="1167"/>
        <v>-53.571827576575743</v>
      </c>
      <c r="BQ655" s="129">
        <f>INDEX('Dist Plant Depreciation'!$D$7:$AC$94,MATCH($C655,'Dist Plant Depreciation'!$C$7:$C$94,0),MATCH(Calculation!$G655,'Dist Plant Depreciation'!$D$5:$AC$5,0))</f>
        <v>385008</v>
      </c>
      <c r="BR655" s="129">
        <f>INDEX('Gen. Plant Depreciation'!$D$7:$AC$94,MATCH($C655,'Gen. Plant Depreciation'!$C$7:$C$94,0),MATCH(Calculation!$G655,'Gen. Plant Depreciation'!$D$5:$AC$5,0))</f>
        <v>9841</v>
      </c>
      <c r="BS655" s="129"/>
      <c r="BT655" s="129"/>
      <c r="BU655" s="129"/>
      <c r="BV655" s="129"/>
      <c r="BW655" s="129"/>
      <c r="BX655" s="129"/>
      <c r="BY655" s="129">
        <f>INDEX('Gross Dx Plant'!$D$7:$AC$91,MATCH($C655,'Gross Dx Plant'!$C$7:$C$91,0),MATCH(Calculation!$G655,'Gross Dx Plant'!$D$5:$AC$5,0))</f>
        <v>1194189</v>
      </c>
      <c r="BZ655" s="129">
        <f>INDEX('Gross Gen Plant'!$D$7:$AC$91,MATCH($C655,'Gross Gen Plant'!$C$7:$C$91,0),MATCH(Calculation!$G655,'Gross Gen Plant'!$D$5:$AC$5,0))</f>
        <v>30285</v>
      </c>
      <c r="CA655" s="129">
        <f t="shared" si="1197"/>
        <v>829625</v>
      </c>
      <c r="CB655" s="129"/>
      <c r="CC655" s="133">
        <v>2000</v>
      </c>
      <c r="CD655" s="129"/>
      <c r="CE655" s="129"/>
      <c r="CF655" s="129"/>
      <c r="CG655" s="137"/>
      <c r="CH655" s="129">
        <f t="shared" si="1203"/>
        <v>53097</v>
      </c>
      <c r="CI655" s="46">
        <f t="shared" ref="CI655:CI677" si="1212">+CH655+BP655</f>
        <v>53043.428172423424</v>
      </c>
      <c r="CJ655" s="46">
        <f t="shared" si="1204"/>
        <v>153.06859172574269</v>
      </c>
      <c r="CK655" s="443">
        <v>0.98</v>
      </c>
      <c r="CL655" s="46">
        <f>+CL653*CK655+CJ654*CK654+CJ655</f>
        <v>3972.2622952050469</v>
      </c>
      <c r="CM655" s="134">
        <f t="shared" si="1205"/>
        <v>2.9061142985181428E-2</v>
      </c>
      <c r="CN655" s="135">
        <f t="shared" si="1206"/>
        <v>1.0183106597549429E-2</v>
      </c>
      <c r="CO655" s="135"/>
      <c r="CP655" s="134">
        <f>VLOOKUP($H655,RoR!$E:$F,2,FALSE)</f>
        <v>7.6225000000000001E-2</v>
      </c>
      <c r="CQ655" s="135">
        <v>2.2568307442433211E-2</v>
      </c>
      <c r="CR655" s="135">
        <f t="shared" ref="CR655:CR675" si="1213">+CP655-CQ655</f>
        <v>5.365669255756679E-2</v>
      </c>
      <c r="CS655" s="135"/>
      <c r="CT655" s="135"/>
      <c r="CU655" s="139">
        <f t="shared" si="1207"/>
        <v>0.85329623209999994</v>
      </c>
      <c r="CV655" s="335">
        <f t="shared" si="1208"/>
        <v>0.67277207323124022</v>
      </c>
      <c r="CW655" s="335">
        <f t="shared" si="1209"/>
        <v>0.6470236142997704</v>
      </c>
      <c r="CX655" s="335">
        <f t="shared" si="1210"/>
        <v>0.94704866037543145</v>
      </c>
      <c r="CY655" s="335">
        <f t="shared" si="1211"/>
        <v>0.41224973107878493</v>
      </c>
      <c r="CZ655" s="336">
        <f>INDEX('State Tax Lookup'!$D$7:$Z$91,MATCH(Calculation!$C655,'State Tax Lookup'!$B$7:$B$91,0),MATCH($H655,'State Tax Lookup'!$D$6:$Z$6,0))</f>
        <v>0.39649667</v>
      </c>
      <c r="DA655" s="303">
        <v>0.37</v>
      </c>
      <c r="DB655" s="57"/>
      <c r="DC655" s="56"/>
      <c r="DD655" s="303">
        <f>VLOOKUP($H655,RoR!$E:$F,2,FALSE)</f>
        <v>7.6225000000000001E-2</v>
      </c>
      <c r="DE655" s="304">
        <f>HLOOKUP($H655,'GDP-PI'!$D$8:$CQ$11,3,FALSE)</f>
        <v>2.2568307442433211E-2</v>
      </c>
      <c r="DF655" s="303">
        <f>VLOOKUP(H655,'HW Dx Data'!$E:$F,2,FALSE)</f>
        <v>346.53371782150339</v>
      </c>
      <c r="DG655" s="89"/>
      <c r="DH655" s="89"/>
      <c r="DI655" s="89"/>
      <c r="DJ655" s="56"/>
      <c r="DK655" s="53">
        <f>HLOOKUP(H655,'GDP-PI'!$8:$9,2,FALSE)</f>
        <v>78.069000000000003</v>
      </c>
      <c r="DL655" s="298"/>
      <c r="EC655"/>
    </row>
    <row r="656" spans="1:133" s="126" customFormat="1" ht="21" customHeight="1" x14ac:dyDescent="0.4">
      <c r="A656" s="233" t="s">
        <v>220</v>
      </c>
      <c r="B656" s="127" t="s">
        <v>220</v>
      </c>
      <c r="C656" s="127">
        <v>4057014</v>
      </c>
      <c r="D656" s="127" t="s">
        <v>194</v>
      </c>
      <c r="E656" s="127" t="s">
        <v>15</v>
      </c>
      <c r="F656" s="127"/>
      <c r="G656" s="127" t="s">
        <v>157</v>
      </c>
      <c r="H656" s="128">
        <v>2001</v>
      </c>
      <c r="I656" s="129"/>
      <c r="J656" s="125"/>
      <c r="K656" s="125"/>
      <c r="L656" s="47"/>
      <c r="M656" s="125"/>
      <c r="N656" s="125"/>
      <c r="O656" s="125"/>
      <c r="P656" s="47"/>
      <c r="Q656" s="47"/>
      <c r="R656" s="386"/>
      <c r="S656" s="119"/>
      <c r="T656" s="47"/>
      <c r="U656" s="47"/>
      <c r="V656" s="125"/>
      <c r="W656" s="125"/>
      <c r="X656" s="125"/>
      <c r="Y656" s="125"/>
      <c r="Z656" s="125"/>
      <c r="AA656" s="125"/>
      <c r="AB656" s="125"/>
      <c r="AC656" s="125">
        <f t="shared" si="1201"/>
        <v>41242.029347576201</v>
      </c>
      <c r="AD656" s="129"/>
      <c r="AE656" s="133">
        <v>4104.0125405772742</v>
      </c>
      <c r="AF656" s="134">
        <v>2.3168849566268582E-2</v>
      </c>
      <c r="AG656" s="61"/>
      <c r="AH656" s="134"/>
      <c r="AI656" s="134"/>
      <c r="AJ656" s="129">
        <f t="shared" si="1120"/>
        <v>41242.029347576201</v>
      </c>
      <c r="AK656" s="134"/>
      <c r="AL656" s="129"/>
      <c r="AM656" s="129"/>
      <c r="AN656" s="129"/>
      <c r="AO656" s="129"/>
      <c r="AP656" s="133"/>
      <c r="AQ656" s="134"/>
      <c r="AR656" s="93"/>
      <c r="AS656" s="93"/>
      <c r="AT656" s="93"/>
      <c r="AU656" s="93"/>
      <c r="AV656" s="93"/>
      <c r="AW656" s="134"/>
      <c r="AX656" s="62"/>
      <c r="AY656" s="93"/>
      <c r="AZ656" s="93"/>
      <c r="BA656" s="93"/>
      <c r="BB656" s="234">
        <f>IFERROR(INDEX('Total Customers'!$E$7:$AA$91,MATCH($C656,'Total Customers'!$C$7:$C$91,0),MATCH($G656,'Total Customers'!$E$5:$AA$5,0)),"NA")</f>
        <v>548021</v>
      </c>
      <c r="BC656" s="411">
        <f t="shared" si="1196"/>
        <v>7.2173125142782875E-3</v>
      </c>
      <c r="BD656" s="92"/>
      <c r="BE656" s="281" t="str">
        <f t="shared" si="1192"/>
        <v>NIAGARA MOHAWK POWER CORPORATION</v>
      </c>
      <c r="BF656" s="290">
        <f t="shared" si="1193"/>
        <v>4057014</v>
      </c>
      <c r="BG656" s="46" t="str">
        <f t="shared" si="1194"/>
        <v>NY</v>
      </c>
      <c r="BH656" s="46"/>
      <c r="BI656" s="46" t="str">
        <f t="shared" si="1195"/>
        <v>2001 Y</v>
      </c>
      <c r="BJ656" s="129"/>
      <c r="BK656" s="129"/>
      <c r="BL656" s="129">
        <f>INDEX('Dist. Plant Gas Additions'!$E$7:$AD$91,MATCH($C656,'Dist. Plant Gas Additions'!$C$7:$C$91,0),MATCH(Calculation!$G656,'Dist. Plant Gas Additions'!$E$5:$AD$5,0))</f>
        <v>39514</v>
      </c>
      <c r="BM656" s="129">
        <f>INDEX('Gen. Plant Additions'!$E$7:$AD$91,MATCH($C656,'Gen. Plant Additions'!$C$7:$C$91,0),MATCH(Calculation!$G656,'Gen. Plant Additions'!$E$5:$AD$5,0))</f>
        <v>969</v>
      </c>
      <c r="BN656" s="393">
        <f t="shared" si="1202"/>
        <v>0.97541878172588836</v>
      </c>
      <c r="BO656" s="46">
        <f t="shared" si="1166"/>
        <v>945.18079949238586</v>
      </c>
      <c r="BP656" s="46">
        <f t="shared" si="1167"/>
        <v>-23.819200507614141</v>
      </c>
      <c r="BQ656" s="129">
        <f>INDEX('Dist Plant Depreciation'!$D$7:$AC$94,MATCH($C656,'Dist Plant Depreciation'!$C$7:$C$94,0),MATCH(Calculation!$G656,'Dist Plant Depreciation'!$D$5:$AC$5,0))</f>
        <v>402453</v>
      </c>
      <c r="BR656" s="129">
        <f>INDEX('Gen. Plant Depreciation'!$D$7:$AC$94,MATCH($C656,'Gen. Plant Depreciation'!$C$7:$C$94,0),MATCH(Calculation!$G656,'Gen. Plant Depreciation'!$D$5:$AC$5,0))</f>
        <v>13655</v>
      </c>
      <c r="BS656" s="129"/>
      <c r="BT656" s="129"/>
      <c r="BU656" s="129"/>
      <c r="BV656" s="129"/>
      <c r="BW656" s="129"/>
      <c r="BX656" s="129"/>
      <c r="BY656" s="129">
        <f>INDEX('Gross Dx Plant'!$D$7:$AC$91,MATCH($C656,'Gross Dx Plant'!$C$7:$C$91,0),MATCH(Calculation!$G656,'Gross Dx Plant'!$D$5:$AC$5,0))</f>
        <v>1229808</v>
      </c>
      <c r="BZ656" s="129">
        <f>INDEX('Gross Gen Plant'!$D$7:$AC$91,MATCH($C656,'Gross Gen Plant'!$C$7:$C$91,0),MATCH(Calculation!$G656,'Gross Gen Plant'!$D$5:$AC$5,0))</f>
        <v>30992</v>
      </c>
      <c r="CA656" s="129">
        <f t="shared" si="1197"/>
        <v>844692</v>
      </c>
      <c r="CB656" s="129"/>
      <c r="CC656" s="133">
        <v>2001</v>
      </c>
      <c r="CD656" s="129"/>
      <c r="CE656" s="129"/>
      <c r="CF656" s="129"/>
      <c r="CG656" s="137"/>
      <c r="CH656" s="129">
        <f t="shared" si="1203"/>
        <v>40483</v>
      </c>
      <c r="CI656" s="46">
        <f t="shared" si="1212"/>
        <v>40459.180799492387</v>
      </c>
      <c r="CJ656" s="46">
        <f t="shared" si="1204"/>
        <v>114.4701674673028</v>
      </c>
      <c r="CK656" s="443">
        <v>0.96969696969696972</v>
      </c>
      <c r="CL656" s="46">
        <f>+CL653*CK656+CJ654*CK655+CJ655*CK653+CJ656</f>
        <v>4046.6477690083871</v>
      </c>
      <c r="CM656" s="134">
        <f t="shared" si="1205"/>
        <v>1.855304696402962E-2</v>
      </c>
      <c r="CN656" s="135">
        <f t="shared" si="1206"/>
        <v>1.0091149749186823E-2</v>
      </c>
      <c r="CO656" s="135">
        <f>+(CN656+CN655+CN654)/3</f>
        <v>1.0058415481915368E-2</v>
      </c>
      <c r="CP656" s="134">
        <f>VLOOKUP($H656,RoR!$E:$F,2,FALSE)</f>
        <v>7.0824999999999999E-2</v>
      </c>
      <c r="CQ656" s="135">
        <v>2.2454495382290052E-2</v>
      </c>
      <c r="CR656" s="135">
        <f t="shared" si="1213"/>
        <v>4.8370504617709947E-2</v>
      </c>
      <c r="CS656" s="135">
        <f>+$CR$2-CO656</f>
        <v>2.0843526126618259E-2</v>
      </c>
      <c r="CT656" s="135">
        <f>+((DF654/DF653-1)+(DF655/DF654-1)+(DF656/DF655-1))/3</f>
        <v>2.3947275901631187E-2</v>
      </c>
      <c r="CU656" s="139">
        <f t="shared" si="1207"/>
        <v>0.85329623209999994</v>
      </c>
      <c r="CV656" s="335">
        <f t="shared" si="1208"/>
        <v>0.72406708481540816</v>
      </c>
      <c r="CW656" s="335">
        <f t="shared" si="1209"/>
        <v>0.62201729615248857</v>
      </c>
      <c r="CX656" s="335">
        <f t="shared" si="1210"/>
        <v>0.9352469954311422</v>
      </c>
      <c r="CY656" s="335">
        <f t="shared" si="1211"/>
        <v>0.42121864641655071</v>
      </c>
      <c r="CZ656" s="336">
        <f>INDEX('State Tax Lookup'!$D$7:$Z$91,MATCH(Calculation!$C656,'State Tax Lookup'!$B$7:$B$91,0),MATCH($H656,'State Tax Lookup'!$D$6:$Z$6,0))</f>
        <v>0.39649667</v>
      </c>
      <c r="DA656" s="303">
        <v>0.37</v>
      </c>
      <c r="DB656" s="57">
        <f t="shared" ref="DB656:DB678" si="1214">+(DF656*CS656-CT656)*CU656/(1-CZ656)</f>
        <v>10.382504044951871</v>
      </c>
      <c r="DC656" s="56"/>
      <c r="DD656" s="303">
        <f>VLOOKUP($H656,RoR!$E:$F,2,FALSE)</f>
        <v>7.0824999999999999E-2</v>
      </c>
      <c r="DE656" s="304">
        <f>HLOOKUP($H656,'GDP-PI'!$D$8:$CQ$11,3,FALSE)</f>
        <v>2.2454495382290052E-2</v>
      </c>
      <c r="DF656" s="303">
        <f>VLOOKUP(H656,'HW Dx Data'!$E:$F,2,FALSE)</f>
        <v>353.44738017483138</v>
      </c>
      <c r="DG656" s="89"/>
      <c r="DH656" s="89"/>
      <c r="DI656" s="89"/>
      <c r="DJ656" s="56"/>
      <c r="DK656" s="53">
        <f>HLOOKUP(H656,'GDP-PI'!$8:$9,2,FALSE)</f>
        <v>79.822000000000003</v>
      </c>
      <c r="DL656" s="298"/>
      <c r="EC656"/>
    </row>
    <row r="657" spans="1:133" s="126" customFormat="1" ht="21" customHeight="1" x14ac:dyDescent="0.4">
      <c r="A657" s="233" t="s">
        <v>220</v>
      </c>
      <c r="B657" s="127" t="s">
        <v>220</v>
      </c>
      <c r="C657" s="127">
        <v>4057014</v>
      </c>
      <c r="D657" s="127" t="s">
        <v>194</v>
      </c>
      <c r="E657" s="127" t="s">
        <v>15</v>
      </c>
      <c r="F657" s="127"/>
      <c r="G657" s="127" t="s">
        <v>158</v>
      </c>
      <c r="H657" s="128">
        <v>2002</v>
      </c>
      <c r="I657" s="129"/>
      <c r="J657" s="125"/>
      <c r="K657" s="125"/>
      <c r="L657" s="47"/>
      <c r="M657" s="125"/>
      <c r="N657" s="125"/>
      <c r="O657" s="125"/>
      <c r="P657" s="47"/>
      <c r="Q657" s="47"/>
      <c r="R657" s="386"/>
      <c r="S657" s="119"/>
      <c r="T657" s="47"/>
      <c r="U657" s="47"/>
      <c r="V657" s="125"/>
      <c r="W657" s="125"/>
      <c r="X657" s="125"/>
      <c r="Y657" s="125"/>
      <c r="Z657" s="125"/>
      <c r="AA657" s="125"/>
      <c r="AB657" s="125"/>
      <c r="AC657" s="125">
        <f t="shared" si="1201"/>
        <v>42092.314025948035</v>
      </c>
      <c r="AD657" s="129"/>
      <c r="AE657" s="133">
        <v>4108.7586377234575</v>
      </c>
      <c r="AF657" s="134">
        <v>1.1557847093214217E-3</v>
      </c>
      <c r="AG657" s="61"/>
      <c r="AH657" s="134"/>
      <c r="AI657" s="134"/>
      <c r="AJ657" s="129">
        <f t="shared" si="1120"/>
        <v>42092.314025948035</v>
      </c>
      <c r="AK657" s="134"/>
      <c r="AL657" s="129"/>
      <c r="AM657" s="129"/>
      <c r="AN657" s="129"/>
      <c r="AO657" s="129"/>
      <c r="AP657" s="133"/>
      <c r="AQ657" s="134"/>
      <c r="AR657" s="93"/>
      <c r="AS657" s="93"/>
      <c r="AT657" s="93"/>
      <c r="AU657" s="93"/>
      <c r="AV657" s="93"/>
      <c r="AW657" s="134"/>
      <c r="AX657" s="62"/>
      <c r="AY657" s="93"/>
      <c r="AZ657" s="93"/>
      <c r="BA657" s="93"/>
      <c r="BB657" s="234">
        <f>IFERROR(INDEX('Total Customers'!$E$7:$AA$91,MATCH($C657,'Total Customers'!$C$7:$C$91,0),MATCH($G657,'Total Customers'!$E$5:$AA$5,0)),"NA")</f>
        <v>551436</v>
      </c>
      <c r="BC657" s="411">
        <f t="shared" si="1196"/>
        <v>6.2121774337525037E-3</v>
      </c>
      <c r="BD657" s="92"/>
      <c r="BE657" s="281" t="str">
        <f t="shared" si="1192"/>
        <v>NIAGARA MOHAWK POWER CORPORATION</v>
      </c>
      <c r="BF657" s="290">
        <f t="shared" si="1193"/>
        <v>4057014</v>
      </c>
      <c r="BG657" s="46" t="str">
        <f t="shared" si="1194"/>
        <v>NY</v>
      </c>
      <c r="BH657" s="46"/>
      <c r="BI657" s="46" t="str">
        <f t="shared" si="1195"/>
        <v>2002 Y</v>
      </c>
      <c r="BJ657" s="129"/>
      <c r="BK657" s="129"/>
      <c r="BL657" s="129">
        <f>INDEX('Dist. Plant Gas Additions'!$E$7:$AD$91,MATCH($C657,'Dist. Plant Gas Additions'!$C$7:$C$91,0),MATCH(Calculation!$G657,'Dist. Plant Gas Additions'!$E$5:$AD$5,0))</f>
        <v>5996</v>
      </c>
      <c r="BM657" s="129">
        <f>INDEX('Gen. Plant Additions'!$E$7:$AD$91,MATCH($C657,'Gen. Plant Additions'!$C$7:$C$91,0),MATCH(Calculation!$G657,'Gen. Plant Additions'!$E$5:$AD$5,0))</f>
        <v>4140</v>
      </c>
      <c r="BN657" s="393">
        <f t="shared" si="1202"/>
        <v>0.97358992400676936</v>
      </c>
      <c r="BO657" s="46">
        <f t="shared" si="1166"/>
        <v>4030.6622853880253</v>
      </c>
      <c r="BP657" s="46">
        <f t="shared" si="1167"/>
        <v>-109.33771461197466</v>
      </c>
      <c r="BQ657" s="129">
        <f>INDEX('Dist Plant Depreciation'!$D$7:$AC$94,MATCH($C657,'Dist Plant Depreciation'!$C$7:$C$94,0),MATCH(Calculation!$G657,'Dist Plant Depreciation'!$D$5:$AC$5,0))</f>
        <v>406833</v>
      </c>
      <c r="BR657" s="129">
        <f>INDEX('Gen. Plant Depreciation'!$D$7:$AC$94,MATCH($C657,'Gen. Plant Depreciation'!$C$7:$C$94,0),MATCH(Calculation!$G657,'Gen. Plant Depreciation'!$D$5:$AC$5,0))</f>
        <v>15954</v>
      </c>
      <c r="BS657" s="129"/>
      <c r="BT657" s="129"/>
      <c r="BU657" s="129"/>
      <c r="BV657" s="129"/>
      <c r="BW657" s="129"/>
      <c r="BX657" s="129"/>
      <c r="BY657" s="129">
        <f>INDEX('Gross Dx Plant'!$D$7:$AC$91,MATCH($C657,'Gross Dx Plant'!$C$7:$C$91,0),MATCH(Calculation!$G657,'Gross Dx Plant'!$D$5:$AC$5,0))</f>
        <v>1232854</v>
      </c>
      <c r="BZ657" s="129">
        <f>INDEX('Gross Gen Plant'!$D$7:$AC$91,MATCH($C657,'Gross Gen Plant'!$C$7:$C$91,0),MATCH(Calculation!$G657,'Gross Gen Plant'!$D$5:$AC$5,0))</f>
        <v>33443</v>
      </c>
      <c r="CA657" s="129">
        <f t="shared" si="1197"/>
        <v>843510</v>
      </c>
      <c r="CB657" s="129"/>
      <c r="CC657" s="133">
        <v>2002</v>
      </c>
      <c r="CD657" s="129"/>
      <c r="CE657" s="129"/>
      <c r="CF657" s="129"/>
      <c r="CG657" s="137"/>
      <c r="CH657" s="129">
        <f t="shared" si="1203"/>
        <v>10136</v>
      </c>
      <c r="CI657" s="46">
        <f t="shared" si="1212"/>
        <v>10026.662285388025</v>
      </c>
      <c r="CJ657" s="46">
        <f t="shared" si="1204"/>
        <v>27.747926338624893</v>
      </c>
      <c r="CK657" s="443">
        <v>0.95918367346938771</v>
      </c>
      <c r="CL657" s="46">
        <f>+CL653*CK657+CJ654*CK656+CJ655*CK655+CJ656*CK654+CJ657</f>
        <v>4029.2986607139014</v>
      </c>
      <c r="CM657" s="134">
        <f t="shared" si="1205"/>
        <v>-4.2964958061532605E-3</v>
      </c>
      <c r="CN657" s="135">
        <f t="shared" si="1206"/>
        <v>1.1144294538924338E-2</v>
      </c>
      <c r="CO657" s="135">
        <f t="shared" ref="CO657:CO677" si="1215">+(CN657+CN656+CN655)/3</f>
        <v>1.0472850295220196E-2</v>
      </c>
      <c r="CP657" s="134">
        <f>VLOOKUP($H657,RoR!$E:$F,2,FALSE)</f>
        <v>6.4916666666666664E-2</v>
      </c>
      <c r="CQ657" s="135">
        <v>1.5246423291824351E-2</v>
      </c>
      <c r="CR657" s="135">
        <f t="shared" si="1213"/>
        <v>4.9670243374842313E-2</v>
      </c>
      <c r="CS657" s="135">
        <f t="shared" ref="CS657:CS678" si="1216">+$CR$2-CO657</f>
        <v>2.0429091313313427E-2</v>
      </c>
      <c r="CT657" s="135">
        <f t="shared" ref="CT657:CT677" si="1217">+((DF655/DF654-1)+(DF656/DF655-1)+(DF657/DF656-1))/3</f>
        <v>2.5243621214759093E-2</v>
      </c>
      <c r="CU657" s="139">
        <f t="shared" si="1207"/>
        <v>0.85329623209999994</v>
      </c>
      <c r="CV657" s="335">
        <f t="shared" si="1208"/>
        <v>0.78996741384417901</v>
      </c>
      <c r="CW657" s="335">
        <f t="shared" si="1209"/>
        <v>0.58989088575096271</v>
      </c>
      <c r="CX657" s="335">
        <f t="shared" si="1210"/>
        <v>0.91920675783645744</v>
      </c>
      <c r="CY657" s="335">
        <f t="shared" si="1211"/>
        <v>0.42834536472275586</v>
      </c>
      <c r="CZ657" s="336">
        <f>INDEX('State Tax Lookup'!$D$7:$Z$91,MATCH(Calculation!$C657,'State Tax Lookup'!$B$7:$B$91,0),MATCH($H657,'State Tax Lookup'!$D$6:$Z$6,0))</f>
        <v>0.39649667</v>
      </c>
      <c r="DA657" s="303">
        <v>0.37</v>
      </c>
      <c r="DB657" s="57">
        <f t="shared" si="1214"/>
        <v>10.401773623174169</v>
      </c>
      <c r="DC657" s="56">
        <f t="shared" ref="DC657:DC677" si="1218">LN(DB657/DB656)</f>
        <v>1.8542461807994992E-3</v>
      </c>
      <c r="DD657" s="303">
        <f>VLOOKUP($H657,RoR!$E:$F,2,FALSE)</f>
        <v>6.4916666666666664E-2</v>
      </c>
      <c r="DE657" s="304">
        <f>HLOOKUP($H657,'GDP-PI'!$D$8:$CQ$11,3,FALSE)</f>
        <v>1.5246423291824351E-2</v>
      </c>
      <c r="DF657" s="303">
        <f>VLOOKUP(H657,'HW Dx Data'!$E:$F,2,FALSE)</f>
        <v>361.34816573413599</v>
      </c>
      <c r="DG657" s="89"/>
      <c r="DH657" s="89"/>
      <c r="DI657" s="89"/>
      <c r="DJ657" s="56"/>
      <c r="DK657" s="53">
        <f>HLOOKUP(H657,'GDP-PI'!$8:$9,2,FALSE)</f>
        <v>81.039000000000001</v>
      </c>
      <c r="DL657" s="355">
        <f>LN(DK657/DK656)</f>
        <v>1.513136459537477E-2</v>
      </c>
      <c r="EC657"/>
    </row>
    <row r="658" spans="1:133" s="126" customFormat="1" ht="21" customHeight="1" x14ac:dyDescent="0.4">
      <c r="A658" s="233" t="s">
        <v>220</v>
      </c>
      <c r="B658" s="127" t="s">
        <v>220</v>
      </c>
      <c r="C658" s="127">
        <v>4057014</v>
      </c>
      <c r="D658" s="127" t="s">
        <v>194</v>
      </c>
      <c r="E658" s="127" t="s">
        <v>15</v>
      </c>
      <c r="F658" s="127"/>
      <c r="G658" s="127" t="s">
        <v>159</v>
      </c>
      <c r="H658" s="128">
        <v>2003</v>
      </c>
      <c r="I658" s="129"/>
      <c r="J658" s="125"/>
      <c r="K658" s="125"/>
      <c r="L658" s="47"/>
      <c r="M658" s="125"/>
      <c r="N658" s="125"/>
      <c r="O658" s="125"/>
      <c r="P658" s="59"/>
      <c r="Q658" s="59"/>
      <c r="R658" s="386"/>
      <c r="S658" s="119"/>
      <c r="T658" s="59"/>
      <c r="U658" s="59"/>
      <c r="V658" s="125"/>
      <c r="W658" s="125"/>
      <c r="X658" s="125"/>
      <c r="Y658" s="125"/>
      <c r="Z658" s="125"/>
      <c r="AA658" s="125"/>
      <c r="AB658" s="125"/>
      <c r="AC658" s="125">
        <f t="shared" si="1201"/>
        <v>42203.830797828457</v>
      </c>
      <c r="AD658" s="129"/>
      <c r="AE658" s="133">
        <v>4293.2241271211315</v>
      </c>
      <c r="AF658" s="134">
        <v>4.3917047185703148E-2</v>
      </c>
      <c r="AG658" s="61"/>
      <c r="AH658" s="134"/>
      <c r="AI658" s="134"/>
      <c r="AJ658" s="129">
        <f t="shared" si="1120"/>
        <v>42203.830797828457</v>
      </c>
      <c r="AK658" s="134"/>
      <c r="AL658" s="129"/>
      <c r="AM658" s="129"/>
      <c r="AN658" s="129"/>
      <c r="AO658" s="129"/>
      <c r="AP658" s="133"/>
      <c r="AQ658" s="134"/>
      <c r="AR658" s="93"/>
      <c r="AS658" s="93"/>
      <c r="AT658" s="93"/>
      <c r="AU658" s="93"/>
      <c r="AV658" s="93"/>
      <c r="AW658" s="134"/>
      <c r="AX658" s="62"/>
      <c r="AY658" s="93"/>
      <c r="AZ658" s="93"/>
      <c r="BA658" s="93"/>
      <c r="BB658" s="234">
        <f>IFERROR(INDEX('Total Customers'!$E$7:$AA$91,MATCH($C658,'Total Customers'!$C$7:$C$91,0),MATCH($G658,'Total Customers'!$E$5:$AA$5,0)),"NA")</f>
        <v>556869</v>
      </c>
      <c r="BC658" s="411">
        <f t="shared" si="1196"/>
        <v>9.8042389408408408E-3</v>
      </c>
      <c r="BD658" s="92"/>
      <c r="BE658" s="281" t="str">
        <f t="shared" si="1192"/>
        <v>NIAGARA MOHAWK POWER CORPORATION</v>
      </c>
      <c r="BF658" s="290">
        <f t="shared" si="1193"/>
        <v>4057014</v>
      </c>
      <c r="BG658" s="46" t="str">
        <f t="shared" si="1194"/>
        <v>NY</v>
      </c>
      <c r="BH658" s="46"/>
      <c r="BI658" s="46" t="str">
        <f t="shared" si="1195"/>
        <v>2003 Y</v>
      </c>
      <c r="BJ658" s="129"/>
      <c r="BK658" s="129"/>
      <c r="BL658" s="129">
        <f>INDEX('Dist. Plant Gas Additions'!$E$7:$AD$91,MATCH($C658,'Dist. Plant Gas Additions'!$C$7:$C$91,0),MATCH(Calculation!$G658,'Dist. Plant Gas Additions'!$E$5:$AD$5,0))</f>
        <v>50984</v>
      </c>
      <c r="BM658" s="129">
        <f>INDEX('Gen. Plant Additions'!$E$7:$AD$91,MATCH($C658,'Gen. Plant Additions'!$C$7:$C$91,0),MATCH(Calculation!$G658,'Gen. Plant Additions'!$E$5:$AD$5,0))</f>
        <v>25765</v>
      </c>
      <c r="BN658" s="393">
        <f t="shared" si="1202"/>
        <v>0.96030148871290388</v>
      </c>
      <c r="BO658" s="46">
        <f t="shared" si="1166"/>
        <v>24742.167856687967</v>
      </c>
      <c r="BP658" s="46">
        <f t="shared" si="1167"/>
        <v>-1022.8321433120327</v>
      </c>
      <c r="BQ658" s="129">
        <f>INDEX('Dist Plant Depreciation'!$D$7:$AC$94,MATCH($C658,'Dist Plant Depreciation'!$C$7:$C$94,0),MATCH(Calculation!$G658,'Dist Plant Depreciation'!$D$5:$AC$5,0))</f>
        <v>430831</v>
      </c>
      <c r="BR658" s="129">
        <f>INDEX('Gen. Plant Depreciation'!$D$7:$AC$94,MATCH($C658,'Gen. Plant Depreciation'!$C$7:$C$94,0),MATCH(Calculation!$G658,'Gen. Plant Depreciation'!$D$5:$AC$5,0))</f>
        <v>12731</v>
      </c>
      <c r="BS658" s="129"/>
      <c r="BT658" s="129"/>
      <c r="BU658" s="129"/>
      <c r="BV658" s="129"/>
      <c r="BW658" s="129"/>
      <c r="BX658" s="129"/>
      <c r="BY658" s="129">
        <f>INDEX('Gross Dx Plant'!$D$7:$AC$91,MATCH($C658,'Gross Dx Plant'!$C$7:$C$91,0),MATCH(Calculation!$G658,'Gross Dx Plant'!$D$5:$AC$5,0))</f>
        <v>1281724</v>
      </c>
      <c r="BZ658" s="129">
        <f>INDEX('Gross Gen Plant'!$D$7:$AC$91,MATCH($C658,'Gross Gen Plant'!$C$7:$C$91,0),MATCH(Calculation!$G658,'Gross Gen Plant'!$D$5:$AC$5,0))</f>
        <v>52986</v>
      </c>
      <c r="CA658" s="129">
        <f t="shared" si="1197"/>
        <v>891148</v>
      </c>
      <c r="CB658" s="129"/>
      <c r="CC658" s="133">
        <v>2003</v>
      </c>
      <c r="CD658" s="129"/>
      <c r="CE658" s="129"/>
      <c r="CF658" s="129"/>
      <c r="CG658" s="137"/>
      <c r="CH658" s="129">
        <f t="shared" si="1203"/>
        <v>76749</v>
      </c>
      <c r="CI658" s="46">
        <f t="shared" si="1212"/>
        <v>75726.167856687971</v>
      </c>
      <c r="CJ658" s="46">
        <f t="shared" si="1204"/>
        <v>205.09045943834528</v>
      </c>
      <c r="CK658" s="443">
        <v>0.94845360824742264</v>
      </c>
      <c r="CL658" s="46">
        <f>+CL653*CK658+CJ654*CK657+CJ655*CK656+CJ656*CK655+CJ657*CK654+CJ658</f>
        <v>4189.6361139737837</v>
      </c>
      <c r="CM658" s="134">
        <f t="shared" si="1205"/>
        <v>3.9021552641559015E-2</v>
      </c>
      <c r="CN658" s="135">
        <f t="shared" si="1206"/>
        <v>1.1106897241152571E-2</v>
      </c>
      <c r="CO658" s="135">
        <f t="shared" si="1215"/>
        <v>1.0780780509754577E-2</v>
      </c>
      <c r="CP658" s="134">
        <f>VLOOKUP($H658,RoR!$E:$F,2,FALSE)</f>
        <v>5.6666666666666671E-2</v>
      </c>
      <c r="CQ658" s="135">
        <v>1.8855119140166909E-2</v>
      </c>
      <c r="CR658" s="135">
        <f t="shared" si="1213"/>
        <v>3.7811547526499761E-2</v>
      </c>
      <c r="CS658" s="135">
        <f t="shared" si="1216"/>
        <v>2.0121161098779046E-2</v>
      </c>
      <c r="CT658" s="135">
        <f t="shared" si="1217"/>
        <v>2.1375012817671957E-2</v>
      </c>
      <c r="CU658" s="139">
        <f t="shared" si="1207"/>
        <v>0.85329623209999994</v>
      </c>
      <c r="CV658" s="335">
        <f t="shared" si="1208"/>
        <v>0.90497737556561086</v>
      </c>
      <c r="CW658" s="335">
        <f t="shared" si="1209"/>
        <v>0.5338235294117647</v>
      </c>
      <c r="CX658" s="335">
        <f t="shared" si="1210"/>
        <v>0.88972433127405692</v>
      </c>
      <c r="CY658" s="335">
        <f t="shared" si="1211"/>
        <v>0.42982423775949252</v>
      </c>
      <c r="CZ658" s="336">
        <f>INDEX('State Tax Lookup'!$D$7:$Z$91,MATCH(Calculation!$C658,'State Tax Lookup'!$B$7:$B$91,0),MATCH($H658,'State Tax Lookup'!$D$6:$Z$6,0))</f>
        <v>0.39649667</v>
      </c>
      <c r="DA658" s="303">
        <v>0.37</v>
      </c>
      <c r="DB658" s="57">
        <f t="shared" si="1214"/>
        <v>10.474237417374985</v>
      </c>
      <c r="DC658" s="56">
        <f t="shared" si="1218"/>
        <v>6.9423306107959295E-3</v>
      </c>
      <c r="DD658" s="303">
        <f>VLOOKUP($H658,RoR!$E:$F,2,FALSE)</f>
        <v>5.6666666666666671E-2</v>
      </c>
      <c r="DE658" s="304">
        <f>HLOOKUP($H658,'GDP-PI'!$D$8:$CQ$11,3,FALSE)</f>
        <v>1.8855119140166909E-2</v>
      </c>
      <c r="DF658" s="303">
        <f>VLOOKUP(H658,'HW Dx Data'!$E:$F,2,FALSE)</f>
        <v>369.23301095560191</v>
      </c>
      <c r="DG658" s="89">
        <f ca="1">VLOOKUP(CC658,'ECI - Input Price'!M$13:N$33,2,FALSE)</f>
        <v>89.25</v>
      </c>
      <c r="DH658" s="89"/>
      <c r="DI658" s="89"/>
      <c r="DJ658" s="56"/>
      <c r="DK658" s="53">
        <f>HLOOKUP(H658,'GDP-PI'!$8:$9,2,FALSE)</f>
        <v>82.566999999999993</v>
      </c>
      <c r="DL658" s="355">
        <f t="shared" ref="DL658:DL677" si="1219">LN(DK658/DK657)</f>
        <v>1.8679564681853753E-2</v>
      </c>
      <c r="EC658"/>
    </row>
    <row r="659" spans="1:133" s="126" customFormat="1" ht="21" customHeight="1" x14ac:dyDescent="0.4">
      <c r="A659" s="233" t="s">
        <v>220</v>
      </c>
      <c r="B659" s="127" t="s">
        <v>220</v>
      </c>
      <c r="C659" s="127">
        <v>4057014</v>
      </c>
      <c r="D659" s="127" t="s">
        <v>194</v>
      </c>
      <c r="E659" s="127" t="s">
        <v>15</v>
      </c>
      <c r="F659" s="127"/>
      <c r="G659" s="127" t="s">
        <v>160</v>
      </c>
      <c r="H659" s="128">
        <v>2004</v>
      </c>
      <c r="I659" s="129"/>
      <c r="J659" s="125">
        <f>IFERROR(INDEX('Labor Expenditures'!$E$7:$W$91,MATCH($C659,'Labor Expenditures'!$C$7:$C$91,0),MATCH($G659,'Labor Expenditures'!$E$5:$W$5,0)),"NA")</f>
        <v>39789.832194550661</v>
      </c>
      <c r="K659" s="125">
        <f t="shared" ref="K659:K677" ca="1" si="1220">+J659/DG659</f>
        <v>421.72583142078076</v>
      </c>
      <c r="L659" s="47"/>
      <c r="M659" s="131"/>
      <c r="N659" s="131"/>
      <c r="O659" s="131"/>
      <c r="P659" s="59"/>
      <c r="Q659" s="59"/>
      <c r="R659" s="386"/>
      <c r="S659" s="119"/>
      <c r="T659" s="59"/>
      <c r="U659" s="59"/>
      <c r="V659" s="125">
        <f>IFERROR(INDEX('Non-Labor Expenditures'!$E$7:$AA$91,MATCH($C659,'Non-Labor Expenditures'!$C$7:$C$91,0),MATCH($G659,'Non-Labor Expenditures'!$E$5:$AA$5,0)),"NA")</f>
        <v>57623.108733236208</v>
      </c>
      <c r="W659" s="125">
        <f t="shared" ref="W659:W677" si="1221">+V659/DK659</f>
        <v>679.69412740612188</v>
      </c>
      <c r="X659" s="125"/>
      <c r="Y659" s="125"/>
      <c r="Z659" s="125"/>
      <c r="AA659" s="125"/>
      <c r="AB659" s="125"/>
      <c r="AC659" s="125">
        <f t="shared" si="1201"/>
        <v>48057.272610695785</v>
      </c>
      <c r="AD659" s="129"/>
      <c r="AE659" s="133">
        <v>4351.8703672741458</v>
      </c>
      <c r="AF659" s="134">
        <v>1.3567726723468555E-2</v>
      </c>
      <c r="AG659" s="59">
        <f t="shared" ref="AG659:AG677" si="1222">+AF659*$AX659</f>
        <v>0</v>
      </c>
      <c r="AH659" s="134"/>
      <c r="AI659" s="134"/>
      <c r="AJ659" s="129">
        <f t="shared" si="1120"/>
        <v>145470.21353848267</v>
      </c>
      <c r="AK659" s="134"/>
      <c r="AL659" s="129"/>
      <c r="AM659" s="129"/>
      <c r="AN659" s="129"/>
      <c r="AO659" s="129"/>
      <c r="AP659" s="133"/>
      <c r="AQ659" s="134"/>
      <c r="AR659" s="93">
        <f t="shared" ref="AR659:AR677" si="1223">+J659/AJ659</f>
        <v>0.27352563268235436</v>
      </c>
      <c r="AS659" s="93">
        <f t="shared" ref="AS659:AS677" si="1224">+V659/AJ659</f>
        <v>0.39611620366524447</v>
      </c>
      <c r="AT659" s="93">
        <f t="shared" ref="AT659:AT677" si="1225">+AC659/AJ659</f>
        <v>0.33035816365240106</v>
      </c>
      <c r="AU659" s="93"/>
      <c r="AV659" s="93"/>
      <c r="AW659" s="134"/>
      <c r="AX659" s="62"/>
      <c r="AY659" s="93"/>
      <c r="AZ659" s="93"/>
      <c r="BA659" s="93"/>
      <c r="BB659" s="234">
        <f>IFERROR(INDEX('Total Customers'!$E$7:$AA$91,MATCH($C659,'Total Customers'!$C$7:$C$91,0),MATCH($G659,'Total Customers'!$E$5:$AA$5,0)),"NA")</f>
        <v>560566</v>
      </c>
      <c r="BC659" s="411">
        <f t="shared" si="1196"/>
        <v>6.6169638308727395E-3</v>
      </c>
      <c r="BD659" s="92"/>
      <c r="BE659" s="281" t="str">
        <f t="shared" si="1192"/>
        <v>NIAGARA MOHAWK POWER CORPORATION</v>
      </c>
      <c r="BF659" s="290">
        <f t="shared" si="1193"/>
        <v>4057014</v>
      </c>
      <c r="BG659" s="46" t="str">
        <f t="shared" si="1194"/>
        <v>NY</v>
      </c>
      <c r="BH659" s="46"/>
      <c r="BI659" s="46" t="str">
        <f t="shared" si="1195"/>
        <v>2004 Y</v>
      </c>
      <c r="BJ659" s="129"/>
      <c r="BK659" s="129"/>
      <c r="BL659" s="129">
        <f>INDEX('Dist. Plant Gas Additions'!$E$7:$AD$91,MATCH($C659,'Dist. Plant Gas Additions'!$C$7:$C$91,0),MATCH(Calculation!$G659,'Dist. Plant Gas Additions'!$E$5:$AD$5,0))</f>
        <v>33944</v>
      </c>
      <c r="BM659" s="129">
        <f>INDEX('Gen. Plant Additions'!$E$7:$AD$91,MATCH($C659,'Gen. Plant Additions'!$C$7:$C$91,0),MATCH(Calculation!$G659,'Gen. Plant Additions'!$E$5:$AD$5,0))</f>
        <v>835</v>
      </c>
      <c r="BN659" s="393">
        <f t="shared" si="1202"/>
        <v>0.96107213154757443</v>
      </c>
      <c r="BO659" s="46">
        <f t="shared" si="1166"/>
        <v>802.4952298422246</v>
      </c>
      <c r="BP659" s="46">
        <f t="shared" si="1167"/>
        <v>-32.504770157775397</v>
      </c>
      <c r="BQ659" s="129">
        <f>INDEX('Dist Plant Depreciation'!$D$7:$AC$94,MATCH($C659,'Dist Plant Depreciation'!$C$7:$C$94,0),MATCH(Calculation!$G659,'Dist Plant Depreciation'!$D$5:$AC$5,0))</f>
        <v>452988</v>
      </c>
      <c r="BR659" s="129">
        <f>INDEX('Gen. Plant Depreciation'!$D$7:$AC$94,MATCH($C659,'Gen. Plant Depreciation'!$C$7:$C$94,0),MATCH(Calculation!$G659,'Gen. Plant Depreciation'!$D$5:$AC$5,0))</f>
        <v>15132</v>
      </c>
      <c r="BS659" s="129"/>
      <c r="BT659" s="129"/>
      <c r="BU659" s="129"/>
      <c r="BV659" s="129"/>
      <c r="BW659" s="129"/>
      <c r="BX659" s="129"/>
      <c r="BY659" s="129">
        <f>INDEX('Gross Dx Plant'!$D$7:$AC$91,MATCH($C659,'Gross Dx Plant'!$C$7:$C$91,0),MATCH(Calculation!$G659,'Gross Dx Plant'!$D$5:$AC$5,0))</f>
        <v>1307579</v>
      </c>
      <c r="BZ659" s="129">
        <f>INDEX('Gross Gen Plant'!$D$7:$AC$91,MATCH($C659,'Gross Gen Plant'!$C$7:$C$91,0),MATCH(Calculation!$G659,'Gross Gen Plant'!$D$5:$AC$5,0))</f>
        <v>52963</v>
      </c>
      <c r="CA659" s="129">
        <f t="shared" si="1197"/>
        <v>892422</v>
      </c>
      <c r="CB659" s="129"/>
      <c r="CC659" s="133">
        <v>2004</v>
      </c>
      <c r="CD659" s="129"/>
      <c r="CE659" s="129"/>
      <c r="CF659" s="129"/>
      <c r="CG659" s="137"/>
      <c r="CH659" s="129">
        <f t="shared" si="1203"/>
        <v>34779</v>
      </c>
      <c r="CI659" s="46">
        <f t="shared" si="1212"/>
        <v>34746.495229842221</v>
      </c>
      <c r="CJ659" s="46">
        <f t="shared" si="1204"/>
        <v>83.749259929161624</v>
      </c>
      <c r="CK659" s="443">
        <v>0.9375</v>
      </c>
      <c r="CL659" s="46">
        <f>+CL653*CK659+CJ654*CK658+CJ655*CK657+CJ656*CK656+CJ657*CK655+CJ658*CK654+CJ659</f>
        <v>4225.6715363445528</v>
      </c>
      <c r="CM659" s="134">
        <f t="shared" si="1205"/>
        <v>8.564307836744162E-3</v>
      </c>
      <c r="CN659" s="135">
        <f t="shared" si="1206"/>
        <v>1.1388539782548548E-2</v>
      </c>
      <c r="CO659" s="135">
        <f t="shared" si="1215"/>
        <v>1.1213243854208485E-2</v>
      </c>
      <c r="CP659" s="134">
        <f>VLOOKUP($H659,RoR!$E:$F,2,FALSE)</f>
        <v>5.6283333333333331E-2</v>
      </c>
      <c r="CQ659" s="135">
        <v>2.6778252812867276E-2</v>
      </c>
      <c r="CR659" s="135">
        <f t="shared" si="1213"/>
        <v>2.9505080520466055E-2</v>
      </c>
      <c r="CS659" s="135">
        <f t="shared" si="1216"/>
        <v>1.9688697754325142E-2</v>
      </c>
      <c r="CT659" s="135">
        <f t="shared" si="1217"/>
        <v>5.5940039414565046E-2</v>
      </c>
      <c r="CU659" s="139">
        <f t="shared" si="1207"/>
        <v>0.85329623209999994</v>
      </c>
      <c r="CV659" s="335">
        <f t="shared" si="1208"/>
        <v>0.91114097628755619</v>
      </c>
      <c r="CW659" s="335">
        <f t="shared" si="1209"/>
        <v>0.53081877405981637</v>
      </c>
      <c r="CX659" s="335">
        <f t="shared" si="1210"/>
        <v>0.88811215519385678</v>
      </c>
      <c r="CY659" s="335">
        <f t="shared" si="1211"/>
        <v>0.42953609753547711</v>
      </c>
      <c r="CZ659" s="336">
        <f>INDEX('State Tax Lookup'!$D$7:$Z$91,MATCH(Calculation!$C659,'State Tax Lookup'!$B$7:$B$91,0),MATCH($H659,'State Tax Lookup'!$D$6:$Z$6,0))</f>
        <v>0.39649667</v>
      </c>
      <c r="DA659" s="303">
        <v>0.37</v>
      </c>
      <c r="DB659" s="57">
        <f t="shared" si="1214"/>
        <v>11.470512307837268</v>
      </c>
      <c r="DC659" s="56">
        <f t="shared" si="1218"/>
        <v>9.0860932261335389E-2</v>
      </c>
      <c r="DD659" s="303">
        <f>VLOOKUP($H659,RoR!$E:$F,2,FALSE)</f>
        <v>5.6283333333333331E-2</v>
      </c>
      <c r="DE659" s="304">
        <f>HLOOKUP($H659,'GDP-PI'!$D$8:$CQ$11,3,FALSE)</f>
        <v>2.6778252812867276E-2</v>
      </c>
      <c r="DF659" s="303">
        <f>VLOOKUP(H659,'HW Dx Data'!$E:$F,2,FALSE)</f>
        <v>414.88719135228365</v>
      </c>
      <c r="DG659" s="89">
        <f ca="1">VLOOKUP(CC659,'ECI - Input Price'!M$13:N$33,2,FALSE)</f>
        <v>94.35</v>
      </c>
      <c r="DH659" s="89"/>
      <c r="DI659" s="89"/>
      <c r="DJ659" s="56">
        <f t="shared" ref="DJ659:DJ677" ca="1" si="1226">LN(DG659/DG658)</f>
        <v>5.5569851154810786E-2</v>
      </c>
      <c r="DK659" s="53">
        <f>HLOOKUP(H659,'GDP-PI'!$8:$9,2,FALSE)</f>
        <v>84.778000000000006</v>
      </c>
      <c r="DL659" s="355">
        <f t="shared" si="1219"/>
        <v>2.6425990216022755E-2</v>
      </c>
      <c r="EC659"/>
    </row>
    <row r="660" spans="1:133" s="126" customFormat="1" ht="21" customHeight="1" x14ac:dyDescent="0.4">
      <c r="A660" s="233" t="s">
        <v>220</v>
      </c>
      <c r="B660" s="127" t="s">
        <v>220</v>
      </c>
      <c r="C660" s="127">
        <v>4057014</v>
      </c>
      <c r="D660" s="127" t="s">
        <v>194</v>
      </c>
      <c r="E660" s="127" t="s">
        <v>15</v>
      </c>
      <c r="F660" s="127"/>
      <c r="G660" s="127" t="s">
        <v>161</v>
      </c>
      <c r="H660" s="128">
        <v>2005</v>
      </c>
      <c r="I660" s="129"/>
      <c r="J660" s="125">
        <f>IFERROR(INDEX('Labor Expenditures'!$E$7:$W$91,MATCH($C660,'Labor Expenditures'!$C$7:$C$91,0),MATCH($G660,'Labor Expenditures'!$E$5:$W$5,0)),"NA")</f>
        <v>36445.944642605893</v>
      </c>
      <c r="K660" s="125">
        <f t="shared" ca="1" si="1220"/>
        <v>367.30606845659759</v>
      </c>
      <c r="L660" s="47"/>
      <c r="M660" s="131">
        <f t="shared" ref="M660:M676" ca="1" si="1227">LN(K660/K659)</f>
        <v>-0.13815993983292363</v>
      </c>
      <c r="N660" s="131"/>
      <c r="O660" s="131"/>
      <c r="P660" s="59"/>
      <c r="Q660" s="61"/>
      <c r="R660" s="387"/>
      <c r="S660" s="49">
        <v>100</v>
      </c>
      <c r="T660" s="46"/>
      <c r="U660" s="46"/>
      <c r="V660" s="125">
        <f>IFERROR(INDEX('Non-Labor Expenditures'!$E$7:$AA$91,MATCH($C660,'Non-Labor Expenditures'!$C$7:$C$91,0),MATCH($G660,'Non-Labor Expenditures'!$E$5:$AA$5,0)),"NA")</f>
        <v>52780.535005975871</v>
      </c>
      <c r="W660" s="125">
        <f t="shared" si="1221"/>
        <v>603.84791842730988</v>
      </c>
      <c r="X660" s="131">
        <f>LN(W660/W659)</f>
        <v>-0.1183205087890873</v>
      </c>
      <c r="Y660" s="131"/>
      <c r="Z660" s="131"/>
      <c r="AA660" s="131"/>
      <c r="AB660" s="131"/>
      <c r="AC660" s="125">
        <f t="shared" si="1201"/>
        <v>54102.012221871788</v>
      </c>
      <c r="AD660" s="129"/>
      <c r="AE660" s="133">
        <v>4487.4511403778615</v>
      </c>
      <c r="AF660" s="134">
        <v>3.0679143638532417E-2</v>
      </c>
      <c r="AG660" s="59">
        <f t="shared" si="1222"/>
        <v>0</v>
      </c>
      <c r="AH660" s="134"/>
      <c r="AI660" s="134"/>
      <c r="AJ660" s="129">
        <f t="shared" si="1120"/>
        <v>143328.49187045355</v>
      </c>
      <c r="AK660" s="134">
        <f>LN(AJ660/AJ659)</f>
        <v>-1.483220590437259E-2</v>
      </c>
      <c r="AL660" s="129"/>
      <c r="AM660" s="129"/>
      <c r="AN660" s="129"/>
      <c r="AO660" s="129"/>
      <c r="AP660" s="133"/>
      <c r="AQ660" s="134"/>
      <c r="AR660" s="93">
        <f t="shared" si="1223"/>
        <v>0.25428262145915342</v>
      </c>
      <c r="AS660" s="93">
        <f t="shared" si="1224"/>
        <v>0.36824872931532127</v>
      </c>
      <c r="AT660" s="93">
        <f t="shared" si="1225"/>
        <v>0.37746864922552531</v>
      </c>
      <c r="AU660" s="93">
        <f t="shared" ref="AU660:AU676" ca="1" si="1228">+(((AR660+AR659)/2)*M660+((AS659+AS660)/2)*X660+((AT659+AT660)/2)*AF660)</f>
        <v>-7.0823241971410905E-2</v>
      </c>
      <c r="AV660" s="132">
        <v>100</v>
      </c>
      <c r="AW660" s="134"/>
      <c r="AX660" s="15"/>
      <c r="AY660" s="93"/>
      <c r="AZ660" s="93"/>
      <c r="BA660" s="93"/>
      <c r="BB660" s="234">
        <f>IFERROR(INDEX('Total Customers'!$E$7:$AA$91,MATCH($C660,'Total Customers'!$C$7:$C$91,0),MATCH($G660,'Total Customers'!$E$5:$AA$5,0)),"NA")</f>
        <v>566446</v>
      </c>
      <c r="BC660" s="411">
        <f t="shared" si="1196"/>
        <v>1.0434766183913452E-2</v>
      </c>
      <c r="BD660" s="92"/>
      <c r="BE660" s="281" t="str">
        <f t="shared" si="1192"/>
        <v>NIAGARA MOHAWK POWER CORPORATION</v>
      </c>
      <c r="BF660" s="290">
        <f t="shared" si="1193"/>
        <v>4057014</v>
      </c>
      <c r="BG660" s="46" t="str">
        <f t="shared" si="1194"/>
        <v>NY</v>
      </c>
      <c r="BH660" s="46"/>
      <c r="BI660" s="46" t="str">
        <f t="shared" si="1195"/>
        <v>2005 Y</v>
      </c>
      <c r="BJ660" s="129"/>
      <c r="BK660" s="129"/>
      <c r="BL660" s="129">
        <f>INDEX('Dist. Plant Gas Additions'!$E$7:$AD$91,MATCH($C660,'Dist. Plant Gas Additions'!$C$7:$C$91,0),MATCH(Calculation!$G660,'Dist. Plant Gas Additions'!$E$5:$AD$5,0))</f>
        <v>74924</v>
      </c>
      <c r="BM660" s="129">
        <f>INDEX('Gen. Plant Additions'!$E$7:$AD$91,MATCH($C660,'Gen. Plant Additions'!$C$7:$C$91,0),MATCH(Calculation!$G660,'Gen. Plant Additions'!$E$5:$AD$5,0))</f>
        <v>1087</v>
      </c>
      <c r="BN660" s="393">
        <f t="shared" si="1202"/>
        <v>0.96320486087599366</v>
      </c>
      <c r="BO660" s="46">
        <f t="shared" si="1166"/>
        <v>1047.003683772205</v>
      </c>
      <c r="BP660" s="46">
        <f t="shared" si="1167"/>
        <v>-39.996316227794978</v>
      </c>
      <c r="BQ660" s="129">
        <f>INDEX('Dist Plant Depreciation'!$D$7:$AC$94,MATCH($C660,'Dist Plant Depreciation'!$C$7:$C$94,0),MATCH(Calculation!$G660,'Dist Plant Depreciation'!$D$5:$AC$5,0))</f>
        <v>477715</v>
      </c>
      <c r="BR660" s="129">
        <f>INDEX('Gen. Plant Depreciation'!$D$7:$AC$94,MATCH($C660,'Gen. Plant Depreciation'!$C$7:$C$94,0),MATCH(Calculation!$G660,'Gen. Plant Depreciation'!$D$5:$AC$5,0))</f>
        <v>17256</v>
      </c>
      <c r="BS660" s="129"/>
      <c r="BT660" s="129"/>
      <c r="BU660" s="129"/>
      <c r="BV660" s="129"/>
      <c r="BW660" s="129"/>
      <c r="BX660" s="129"/>
      <c r="BY660" s="129">
        <f>INDEX('Gross Dx Plant'!$D$7:$AC$91,MATCH($C660,'Gross Dx Plant'!$C$7:$C$91,0),MATCH(Calculation!$G660,'Gross Dx Plant'!$D$5:$AC$5,0))</f>
        <v>1379790</v>
      </c>
      <c r="BZ660" s="129">
        <f>INDEX('Gross Gen Plant'!$D$7:$AC$91,MATCH($C660,'Gross Gen Plant'!$C$7:$C$91,0),MATCH(Calculation!$G660,'Gross Gen Plant'!$D$5:$AC$5,0))</f>
        <v>52709</v>
      </c>
      <c r="CA660" s="129">
        <f t="shared" si="1197"/>
        <v>937528</v>
      </c>
      <c r="CB660" s="129"/>
      <c r="CC660" s="133">
        <v>2005</v>
      </c>
      <c r="CD660" s="129"/>
      <c r="CE660" s="129"/>
      <c r="CF660" s="129"/>
      <c r="CG660" s="137"/>
      <c r="CH660" s="129">
        <f t="shared" si="1203"/>
        <v>76011</v>
      </c>
      <c r="CI660" s="46">
        <f t="shared" si="1212"/>
        <v>75971.0036837722</v>
      </c>
      <c r="CJ660" s="46">
        <f t="shared" si="1204"/>
        <v>161.91426127003939</v>
      </c>
      <c r="CK660" s="443">
        <v>0.9263157894736842</v>
      </c>
      <c r="CL660" s="46">
        <f>+CL653*CK660+CJ654*CK659+CJ655*CK658+CJ656*CK657+CJ657*CK656+CJ658*CK655+CJ659*CK654+CJ660</f>
        <v>4338.0426050350743</v>
      </c>
      <c r="CM660" s="134">
        <f t="shared" si="1205"/>
        <v>2.6245042018322475E-2</v>
      </c>
      <c r="CN660" s="135">
        <f t="shared" si="1206"/>
        <v>1.1724335919960211E-2</v>
      </c>
      <c r="CO660" s="135">
        <f t="shared" si="1215"/>
        <v>1.1406590981220441E-2</v>
      </c>
      <c r="CP660" s="134">
        <f>VLOOKUP($H660,RoR!$E:$F,2,FALSE)</f>
        <v>5.2350000000000001E-2</v>
      </c>
      <c r="CQ660" s="135">
        <v>3.1010403642454332E-2</v>
      </c>
      <c r="CR660" s="135">
        <f t="shared" si="1213"/>
        <v>2.1339596357545669E-2</v>
      </c>
      <c r="CS660" s="135">
        <f t="shared" si="1216"/>
        <v>1.9495350627313182E-2</v>
      </c>
      <c r="CT660" s="135">
        <f t="shared" si="1217"/>
        <v>9.2129610649277341E-2</v>
      </c>
      <c r="CU660" s="139">
        <f t="shared" si="1207"/>
        <v>0.85329623209999994</v>
      </c>
      <c r="CV660" s="335">
        <f t="shared" si="1208"/>
        <v>0.97959983346802826</v>
      </c>
      <c r="CW660" s="335">
        <f t="shared" si="1209"/>
        <v>0.49744508118433622</v>
      </c>
      <c r="CX660" s="335">
        <f t="shared" si="1210"/>
        <v>0.87010519444335932</v>
      </c>
      <c r="CY660" s="335">
        <f t="shared" si="1211"/>
        <v>0.42399975420741998</v>
      </c>
      <c r="CZ660" s="336">
        <f>INDEX('State Tax Lookup'!$D$7:$Z$91,MATCH(Calculation!$C660,'State Tax Lookup'!$B$7:$B$91,0),MATCH($H660,'State Tax Lookup'!$D$6:$Z$6,0))</f>
        <v>0.39649667</v>
      </c>
      <c r="DA660" s="303">
        <v>0.37</v>
      </c>
      <c r="DB660" s="57">
        <f t="shared" si="1214"/>
        <v>12.80317501172207</v>
      </c>
      <c r="DC660" s="56">
        <f t="shared" si="1218"/>
        <v>0.10991359278871939</v>
      </c>
      <c r="DD660" s="303">
        <f>VLOOKUP($H660,RoR!$E:$F,2,FALSE)</f>
        <v>5.2350000000000001E-2</v>
      </c>
      <c r="DE660" s="304">
        <f>HLOOKUP($H660,'GDP-PI'!$D$8:$CQ$11,3,FALSE)</f>
        <v>3.1010403642454332E-2</v>
      </c>
      <c r="DF660" s="303">
        <f>VLOOKUP(H660,'HW Dx Data'!$E:$F,2,FALSE)</f>
        <v>469.20514034936258</v>
      </c>
      <c r="DG660" s="89">
        <f ca="1">VLOOKUP(CC660,'ECI - Input Price'!M$13:N$33,2,FALSE)</f>
        <v>99.224999999999994</v>
      </c>
      <c r="DH660" s="89"/>
      <c r="DI660" s="89"/>
      <c r="DJ660" s="56">
        <f t="shared" ca="1" si="1226"/>
        <v>5.0378726854569796E-2</v>
      </c>
      <c r="DK660" s="53">
        <f>HLOOKUP(H660,'GDP-PI'!$8:$9,2,FALSE)</f>
        <v>87.406999999999996</v>
      </c>
      <c r="DL660" s="355">
        <f t="shared" si="1219"/>
        <v>3.0539295810733648E-2</v>
      </c>
      <c r="EC660"/>
    </row>
    <row r="661" spans="1:133" s="126" customFormat="1" ht="21" customHeight="1" x14ac:dyDescent="0.4">
      <c r="A661" s="233" t="s">
        <v>220</v>
      </c>
      <c r="B661" s="127" t="s">
        <v>220</v>
      </c>
      <c r="C661" s="127">
        <v>4057014</v>
      </c>
      <c r="D661" s="127" t="s">
        <v>194</v>
      </c>
      <c r="E661" s="127" t="s">
        <v>15</v>
      </c>
      <c r="F661" s="127"/>
      <c r="G661" s="127" t="s">
        <v>162</v>
      </c>
      <c r="H661" s="128">
        <v>2006</v>
      </c>
      <c r="I661" s="129"/>
      <c r="J661" s="125">
        <f>IFERROR(INDEX('Labor Expenditures'!$E$7:$W$91,MATCH($C661,'Labor Expenditures'!$C$7:$C$91,0),MATCH($G661,'Labor Expenditures'!$E$5:$W$5,0)),"NA")</f>
        <v>38953.903642193036</v>
      </c>
      <c r="K661" s="125">
        <f t="shared" ca="1" si="1220"/>
        <v>356.0685890511246</v>
      </c>
      <c r="L661" s="47"/>
      <c r="M661" s="131">
        <f t="shared" ca="1" si="1227"/>
        <v>-3.1072096319371342E-2</v>
      </c>
      <c r="N661" s="131"/>
      <c r="O661" s="131"/>
      <c r="P661" s="59">
        <f t="shared" ref="P661:P677" ca="1" si="1229">+M661*$AX661</f>
        <v>-6.3366700501823971E-4</v>
      </c>
      <c r="Q661" s="61"/>
      <c r="R661" s="387"/>
      <c r="S661" s="49">
        <f ca="1">+S660*EXP(T661)</f>
        <v>108.56877253668887</v>
      </c>
      <c r="T661" s="61">
        <f ca="1">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</f>
        <v>8.2213634459870649E-2</v>
      </c>
      <c r="U661" s="61"/>
      <c r="V661" s="125">
        <f>IFERROR(INDEX('Non-Labor Expenditures'!$E$7:$AA$91,MATCH($C661,'Non-Labor Expenditures'!$C$7:$C$91,0),MATCH($G661,'Non-Labor Expenditures'!$E$5:$AA$5,0)),"NA")</f>
        <v>56412.528059505275</v>
      </c>
      <c r="W661" s="125">
        <f t="shared" si="1221"/>
        <v>626.29091701828804</v>
      </c>
      <c r="X661" s="131">
        <f t="shared" ref="X661:X676" si="1230">LN(W661/W660)</f>
        <v>3.6492611273926286E-2</v>
      </c>
      <c r="Y661" s="131">
        <f t="shared" ref="Y661:Y677" si="1231">+X661*AX661</f>
        <v>7.4420996425746057E-4</v>
      </c>
      <c r="Z661" s="131"/>
      <c r="AA661" s="131"/>
      <c r="AB661" s="131"/>
      <c r="AC661" s="125">
        <f t="shared" si="1201"/>
        <v>53777.828708039924</v>
      </c>
      <c r="AD661" s="129"/>
      <c r="AE661" s="133">
        <v>4598.4808878026315</v>
      </c>
      <c r="AF661" s="134">
        <v>2.4441141354144772E-2</v>
      </c>
      <c r="AG661" s="59">
        <f t="shared" si="1222"/>
        <v>4.9843900720187098E-4</v>
      </c>
      <c r="AH661" s="134"/>
      <c r="AI661" s="134"/>
      <c r="AJ661" s="129">
        <f t="shared" si="1120"/>
        <v>149144.26040973823</v>
      </c>
      <c r="AK661" s="134">
        <f t="shared" ref="AK661:AK677" si="1232">LN(AJ661/AJ660)</f>
        <v>3.9774886419540315E-2</v>
      </c>
      <c r="AL661" s="129"/>
      <c r="AM661" s="129"/>
      <c r="AN661" s="129"/>
      <c r="AO661" s="129"/>
      <c r="AP661" s="133">
        <f t="shared" ref="AP661:AP677" si="1233">+(AJ661*1000)/BB661</f>
        <v>262.82733158708396</v>
      </c>
      <c r="AQ661" s="134">
        <f>+BB661/Outputs!$B$14</f>
        <v>1.6362090292132835E-2</v>
      </c>
      <c r="AR661" s="93">
        <f t="shared" si="1223"/>
        <v>0.26118272024130523</v>
      </c>
      <c r="AS661" s="93">
        <f t="shared" si="1224"/>
        <v>0.37824136111255863</v>
      </c>
      <c r="AT661" s="93">
        <f t="shared" si="1225"/>
        <v>0.3605759186461362</v>
      </c>
      <c r="AU661" s="93">
        <f t="shared" ca="1" si="1228"/>
        <v>1.4631717776109183E-2</v>
      </c>
      <c r="AV661" s="132">
        <f ca="1">+AV660*EXP(AU661)</f>
        <v>101.47392853511359</v>
      </c>
      <c r="AW661" s="134">
        <f ca="1">LN(AV661/AV660)</f>
        <v>1.4631717776109292E-2</v>
      </c>
      <c r="AX661" s="56">
        <f>+AJ661/$AL$11</f>
        <v>2.039344235114228E-2</v>
      </c>
      <c r="AY661" s="135">
        <f ca="1">+AX661*AW661</f>
        <v>2.9839109296526858E-4</v>
      </c>
      <c r="AZ661" s="93"/>
      <c r="BA661" s="93"/>
      <c r="BB661" s="234">
        <f>IFERROR(INDEX('Total Customers'!$E$7:$AA$91,MATCH($C661,'Total Customers'!$C$7:$C$91,0),MATCH($G661,'Total Customers'!$E$5:$AA$5,0)),"NA")</f>
        <v>567461</v>
      </c>
      <c r="BC661" s="411">
        <f t="shared" si="1196"/>
        <v>1.7902707560593202E-3</v>
      </c>
      <c r="BD661" s="92"/>
      <c r="BE661" s="281" t="str">
        <f t="shared" si="1192"/>
        <v>NIAGARA MOHAWK POWER CORPORATION</v>
      </c>
      <c r="BF661" s="290">
        <f t="shared" si="1193"/>
        <v>4057014</v>
      </c>
      <c r="BG661" s="46" t="str">
        <f t="shared" si="1194"/>
        <v>NY</v>
      </c>
      <c r="BH661" s="46"/>
      <c r="BI661" s="46" t="str">
        <f t="shared" si="1195"/>
        <v>2006 Y</v>
      </c>
      <c r="BJ661" s="129"/>
      <c r="BK661" s="129"/>
      <c r="BL661" s="129">
        <f>INDEX('Dist. Plant Gas Additions'!$E$7:$AD$91,MATCH($C661,'Dist. Plant Gas Additions'!$C$7:$C$91,0),MATCH(Calculation!$G661,'Dist. Plant Gas Additions'!$E$5:$AD$5,0))</f>
        <v>64046</v>
      </c>
      <c r="BM661" s="129">
        <f>INDEX('Gen. Plant Additions'!$E$7:$AD$91,MATCH($C661,'Gen. Plant Additions'!$C$7:$C$91,0),MATCH(Calculation!$G661,'Gen. Plant Additions'!$E$5:$AD$5,0))</f>
        <v>104</v>
      </c>
      <c r="BN661" s="393">
        <f t="shared" si="1202"/>
        <v>0.96463040644848941</v>
      </c>
      <c r="BO661" s="46">
        <f t="shared" si="1166"/>
        <v>100.3215622706429</v>
      </c>
      <c r="BP661" s="46">
        <f t="shared" si="1167"/>
        <v>-3.6784377293570998</v>
      </c>
      <c r="BQ661" s="129">
        <f>INDEX('Dist Plant Depreciation'!$D$7:$AC$94,MATCH($C661,'Dist Plant Depreciation'!$C$7:$C$94,0),MATCH(Calculation!$G661,'Dist Plant Depreciation'!$D$5:$AC$5,0))</f>
        <v>507494</v>
      </c>
      <c r="BR661" s="129">
        <f>INDEX('Gen. Plant Depreciation'!$D$7:$AC$94,MATCH($C661,'Gen. Plant Depreciation'!$C$7:$C$94,0),MATCH(Calculation!$G661,'Gen. Plant Depreciation'!$D$5:$AC$5,0))</f>
        <v>13187</v>
      </c>
      <c r="BS661" s="129"/>
      <c r="BT661" s="129"/>
      <c r="BU661" s="129"/>
      <c r="BV661" s="129"/>
      <c r="BW661" s="129"/>
      <c r="BX661" s="129"/>
      <c r="BY661" s="129">
        <f>INDEX('Gross Dx Plant'!$D$7:$AC$91,MATCH($C661,'Gross Dx Plant'!$C$7:$C$91,0),MATCH(Calculation!$G661,'Gross Dx Plant'!$D$5:$AC$5,0))</f>
        <v>1436544</v>
      </c>
      <c r="BZ661" s="129">
        <f>INDEX('Gross Gen Plant'!$D$7:$AC$91,MATCH($C661,'Gross Gen Plant'!$C$7:$C$91,0),MATCH(Calculation!$G661,'Gross Gen Plant'!$D$5:$AC$5,0))</f>
        <v>52673</v>
      </c>
      <c r="CA661" s="129">
        <f t="shared" si="1197"/>
        <v>968536</v>
      </c>
      <c r="CB661" s="134"/>
      <c r="CC661" s="133">
        <v>2006</v>
      </c>
      <c r="CD661" s="129"/>
      <c r="CE661" s="129"/>
      <c r="CF661" s="129"/>
      <c r="CG661" s="137"/>
      <c r="CH661" s="129">
        <f t="shared" si="1203"/>
        <v>64150</v>
      </c>
      <c r="CI661" s="46">
        <f t="shared" si="1212"/>
        <v>64146.321562270641</v>
      </c>
      <c r="CJ661" s="46">
        <f t="shared" si="1204"/>
        <v>139.12017951568902</v>
      </c>
      <c r="CK661" s="443">
        <v>0.91489361702127658</v>
      </c>
      <c r="CL661" s="46">
        <f>+CL653*CK661+CJ654*CK660+CJ655*CK659+CJ656*CK658+CJ657*CK657+CJ658*CK656+CJ659*CK655+CJ660*CK654+CJ661</f>
        <v>4424.9679572375117</v>
      </c>
      <c r="CM661" s="134">
        <f t="shared" si="1205"/>
        <v>1.9839803420635946E-2</v>
      </c>
      <c r="CN661" s="135">
        <f t="shared" si="1206"/>
        <v>1.2031884438541529E-2</v>
      </c>
      <c r="CO661" s="135">
        <f t="shared" si="1215"/>
        <v>1.1714920047016762E-2</v>
      </c>
      <c r="CP661" s="134">
        <f>VLOOKUP($H661,RoR!$E:$F,2,FALSE)</f>
        <v>5.5874999999999994E-2</v>
      </c>
      <c r="CQ661" s="135">
        <v>3.0512430354548314E-2</v>
      </c>
      <c r="CR661" s="135">
        <f t="shared" si="1213"/>
        <v>2.536256964545168E-2</v>
      </c>
      <c r="CS661" s="135">
        <f t="shared" si="1216"/>
        <v>1.9187021561516863E-2</v>
      </c>
      <c r="CT661" s="135">
        <f t="shared" si="1217"/>
        <v>7.9087823893859641E-2</v>
      </c>
      <c r="CU661" s="139">
        <f t="shared" si="1207"/>
        <v>0.85329623209999994</v>
      </c>
      <c r="CV661" s="335">
        <f t="shared" si="1208"/>
        <v>0.91779957551769631</v>
      </c>
      <c r="CW661" s="335">
        <f t="shared" si="1209"/>
        <v>0.52757270693512304</v>
      </c>
      <c r="CX661" s="335">
        <f t="shared" si="1210"/>
        <v>0.88636824549024895</v>
      </c>
      <c r="CY661" s="335">
        <f t="shared" si="1211"/>
        <v>0.42918482841932087</v>
      </c>
      <c r="CZ661" s="336">
        <f>INDEX('State Tax Lookup'!$D$7:$Z$91,MATCH(Calculation!$C661,'State Tax Lookup'!$B$7:$B$91,0),MATCH($H661,'State Tax Lookup'!$D$6:$Z$6,0))</f>
        <v>0.39649667</v>
      </c>
      <c r="DA661" s="303">
        <v>0.37</v>
      </c>
      <c r="DB661" s="57">
        <f t="shared" si="1214"/>
        <v>12.396795883383241</v>
      </c>
      <c r="DC661" s="56">
        <f t="shared" si="1218"/>
        <v>-3.2255145238079562E-2</v>
      </c>
      <c r="DD661" s="303">
        <f>VLOOKUP($H661,RoR!$E:$F,2,FALSE)</f>
        <v>5.5874999999999994E-2</v>
      </c>
      <c r="DE661" s="304">
        <f>HLOOKUP($H661,'GDP-PI'!$D$8:$CQ$11,3,FALSE)</f>
        <v>3.0512430354548314E-2</v>
      </c>
      <c r="DF661" s="303">
        <f>VLOOKUP(H661,'HW Dx Data'!$E:$F,2,FALSE)</f>
        <v>461.08567272971823</v>
      </c>
      <c r="DG661" s="89">
        <f ca="1">VLOOKUP(CC661,'ECI - Input Price'!M$13:N$33,2,FALSE)</f>
        <v>109.4</v>
      </c>
      <c r="DH661" s="89"/>
      <c r="DI661" s="89"/>
      <c r="DJ661" s="56">
        <f t="shared" ca="1" si="1226"/>
        <v>9.7620891318751846E-2</v>
      </c>
      <c r="DK661" s="53">
        <f>HLOOKUP(H661,'GDP-PI'!$8:$9,2,FALSE)</f>
        <v>90.073999999999998</v>
      </c>
      <c r="DL661" s="355">
        <f t="shared" si="1219"/>
        <v>3.005618372545445E-2</v>
      </c>
      <c r="EC661"/>
    </row>
    <row r="662" spans="1:133" s="126" customFormat="1" ht="21" customHeight="1" x14ac:dyDescent="0.4">
      <c r="A662" s="233" t="s">
        <v>220</v>
      </c>
      <c r="B662" s="127" t="s">
        <v>220</v>
      </c>
      <c r="C662" s="127">
        <v>4057014</v>
      </c>
      <c r="D662" s="127" t="s">
        <v>194</v>
      </c>
      <c r="E662" s="127" t="s">
        <v>15</v>
      </c>
      <c r="F662" s="127"/>
      <c r="G662" s="127" t="s">
        <v>163</v>
      </c>
      <c r="H662" s="128">
        <v>2007</v>
      </c>
      <c r="I662" s="129"/>
      <c r="J662" s="125">
        <f>IFERROR(INDEX('Labor Expenditures'!$E$7:$W$91,MATCH($C662,'Labor Expenditures'!$C$7:$C$91,0),MATCH($G662,'Labor Expenditures'!$E$5:$W$5,0)),"NA")</f>
        <v>37162.287193302844</v>
      </c>
      <c r="K662" s="125">
        <f t="shared" ca="1" si="1220"/>
        <v>355.53491694142883</v>
      </c>
      <c r="L662" s="47"/>
      <c r="M662" s="131">
        <f t="shared" ca="1" si="1227"/>
        <v>-1.4999145036630863E-3</v>
      </c>
      <c r="N662" s="131"/>
      <c r="O662" s="131"/>
      <c r="P662" s="59">
        <f t="shared" ca="1" si="1229"/>
        <v>-2.922451261570354E-5</v>
      </c>
      <c r="Q662" s="61"/>
      <c r="R662" s="387"/>
      <c r="S662" s="49">
        <f t="shared" ref="S662:S675" ca="1" si="1234">+S661*EXP(T662)</f>
        <v>117.90666978293149</v>
      </c>
      <c r="T662" s="61">
        <f ca="1">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</f>
        <v>8.2509557021391178E-2</v>
      </c>
      <c r="U662" s="61"/>
      <c r="V662" s="125">
        <f>IFERROR(INDEX('Non-Labor Expenditures'!$E$7:$AA$91,MATCH($C662,'Non-Labor Expenditures'!$C$7:$C$91,0),MATCH($G662,'Non-Labor Expenditures'!$E$5:$AA$5,0)),"NA")</f>
        <v>53817.932813718005</v>
      </c>
      <c r="W662" s="125">
        <f t="shared" si="1221"/>
        <v>581.82806994440966</v>
      </c>
      <c r="X662" s="131">
        <f t="shared" si="1230"/>
        <v>-7.3639995198953631E-2</v>
      </c>
      <c r="Y662" s="131">
        <f t="shared" si="1231"/>
        <v>-1.4348104264985332E-3</v>
      </c>
      <c r="Z662" s="131"/>
      <c r="AA662" s="131"/>
      <c r="AB662" s="131"/>
      <c r="AC662" s="125">
        <f t="shared" si="1201"/>
        <v>58372.673129513627</v>
      </c>
      <c r="AD662" s="129"/>
      <c r="AE662" s="133">
        <v>4680.9860147013096</v>
      </c>
      <c r="AF662" s="134">
        <v>1.7782767468989186E-2</v>
      </c>
      <c r="AG662" s="59">
        <f t="shared" si="1222"/>
        <v>3.4648155676233892E-4</v>
      </c>
      <c r="AH662" s="134"/>
      <c r="AI662" s="134"/>
      <c r="AJ662" s="129">
        <f t="shared" si="1120"/>
        <v>149352.89313653449</v>
      </c>
      <c r="AK662" s="134">
        <f t="shared" si="1232"/>
        <v>1.3978877740812134E-3</v>
      </c>
      <c r="AL662" s="129"/>
      <c r="AM662" s="129"/>
      <c r="AN662" s="129"/>
      <c r="AO662" s="129"/>
      <c r="AP662" s="133">
        <f t="shared" si="1233"/>
        <v>261.6090935845873</v>
      </c>
      <c r="AQ662" s="134">
        <f>+BB662/Outputs!$B$15</f>
        <v>1.6337340624999912E-2</v>
      </c>
      <c r="AR662" s="93">
        <f t="shared" si="1223"/>
        <v>0.24882201082860883</v>
      </c>
      <c r="AS662" s="93">
        <f t="shared" si="1224"/>
        <v>0.36034074522091158</v>
      </c>
      <c r="AT662" s="93">
        <f t="shared" si="1225"/>
        <v>0.39083724395047953</v>
      </c>
      <c r="AU662" s="93">
        <f t="shared" ca="1" si="1228"/>
        <v>-2.0895970356952492E-2</v>
      </c>
      <c r="AV662" s="132">
        <f ca="1">+AV661*EXP(AU662)</f>
        <v>99.375532694432479</v>
      </c>
      <c r="AW662" s="134">
        <f ca="1">LN(AV662/AV661)</f>
        <v>-2.0895970356952506E-2</v>
      </c>
      <c r="AX662" s="56">
        <f>+AJ662/$AL$12</f>
        <v>1.9484118957668276E-2</v>
      </c>
      <c r="AY662" s="135">
        <f t="shared" ref="AY662:AY676" ca="1" si="1235">+AX662*AW662</f>
        <v>-4.0713957217077267E-4</v>
      </c>
      <c r="AZ662" s="93"/>
      <c r="BA662" s="93"/>
      <c r="BB662" s="234">
        <f>IFERROR(INDEX('Total Customers'!$E$7:$AA$91,MATCH($C662,'Total Customers'!$C$7:$C$91,0),MATCH($G662,'Total Customers'!$E$5:$AA$5,0)),"NA")</f>
        <v>570901</v>
      </c>
      <c r="BC662" s="411">
        <f t="shared" si="1196"/>
        <v>6.0437900618277507E-3</v>
      </c>
      <c r="BD662" s="92"/>
      <c r="BE662" s="281" t="str">
        <f t="shared" si="1192"/>
        <v>NIAGARA MOHAWK POWER CORPORATION</v>
      </c>
      <c r="BF662" s="290">
        <f t="shared" si="1193"/>
        <v>4057014</v>
      </c>
      <c r="BG662" s="46" t="str">
        <f t="shared" si="1194"/>
        <v>NY</v>
      </c>
      <c r="BH662" s="46"/>
      <c r="BI662" s="46" t="str">
        <f t="shared" si="1195"/>
        <v>2007 Y</v>
      </c>
      <c r="BJ662" s="129"/>
      <c r="BK662" s="129"/>
      <c r="BL662" s="129">
        <f>INDEX('Dist. Plant Gas Additions'!$E$7:$AD$91,MATCH($C662,'Dist. Plant Gas Additions'!$C$7:$C$91,0),MATCH(Calculation!$G662,'Dist. Plant Gas Additions'!$E$5:$AD$5,0))</f>
        <v>54148</v>
      </c>
      <c r="BM662" s="129">
        <f>INDEX('Gen. Plant Additions'!$E$7:$AD$91,MATCH($C662,'Gen. Plant Additions'!$C$7:$C$91,0),MATCH(Calculation!$G662,'Gen. Plant Additions'!$E$5:$AD$5,0))</f>
        <v>1749</v>
      </c>
      <c r="BN662" s="393">
        <f t="shared" si="1202"/>
        <v>0.95748112007313957</v>
      </c>
      <c r="BO662" s="46">
        <f t="shared" si="1166"/>
        <v>1674.6344790079211</v>
      </c>
      <c r="BP662" s="46">
        <f t="shared" si="1167"/>
        <v>-74.365520992078928</v>
      </c>
      <c r="BQ662" s="129">
        <f>INDEX('Dist Plant Depreciation'!$D$7:$AC$94,MATCH($C662,'Dist Plant Depreciation'!$C$7:$C$94,0),MATCH(Calculation!$G662,'Dist Plant Depreciation'!$D$5:$AC$5,0))</f>
        <v>516989</v>
      </c>
      <c r="BR662" s="129">
        <f>INDEX('Gen. Plant Depreciation'!$D$7:$AC$94,MATCH($C662,'Gen. Plant Depreciation'!$C$7:$C$94,0),MATCH(Calculation!$G662,'Gen. Plant Depreciation'!$D$5:$AC$5,0))</f>
        <v>25231</v>
      </c>
      <c r="BS662" s="129"/>
      <c r="BT662" s="129"/>
      <c r="BU662" s="129"/>
      <c r="BV662" s="129"/>
      <c r="BW662" s="129"/>
      <c r="BX662" s="129"/>
      <c r="BY662" s="129">
        <f>INDEX('Gross Dx Plant'!$D$7:$AC$91,MATCH($C662,'Gross Dx Plant'!$C$7:$C$91,0),MATCH(Calculation!$G662,'Gross Dx Plant'!$D$5:$AC$5,0))</f>
        <v>1468304</v>
      </c>
      <c r="BZ662" s="129">
        <f>INDEX('Gross Gen Plant'!$D$7:$AC$91,MATCH($C662,'Gross Gen Plant'!$C$7:$C$91,0),MATCH(Calculation!$G662,'Gross Gen Plant'!$D$5:$AC$5,0))</f>
        <v>65203</v>
      </c>
      <c r="CA662" s="129">
        <f t="shared" si="1197"/>
        <v>991287</v>
      </c>
      <c r="CB662" s="129"/>
      <c r="CC662" s="133">
        <v>2007</v>
      </c>
      <c r="CD662" s="129"/>
      <c r="CE662" s="129"/>
      <c r="CF662" s="129"/>
      <c r="CG662" s="137"/>
      <c r="CH662" s="129">
        <f t="shared" si="1203"/>
        <v>55897</v>
      </c>
      <c r="CI662" s="46">
        <f t="shared" si="1212"/>
        <v>55822.634479007924</v>
      </c>
      <c r="CJ662" s="46">
        <f t="shared" si="1204"/>
        <v>112.08862081915365</v>
      </c>
      <c r="CK662" s="443">
        <v>0.90322580645161288</v>
      </c>
      <c r="CL662" s="46">
        <f>+CL653*CK662+CJ654*CK661+CJ655*CK660+CJ656*CK659+CJ657*CK658+CJ658*CK657+CJ659*CK656+CJ660*CK655+CJ661*CK654+CJ662</f>
        <v>4482.3700889788424</v>
      </c>
      <c r="CM662" s="134">
        <f t="shared" si="1205"/>
        <v>1.288890712285061E-2</v>
      </c>
      <c r="CN662" s="135">
        <f t="shared" si="1206"/>
        <v>1.2358618097646839E-2</v>
      </c>
      <c r="CO662" s="135">
        <f t="shared" si="1215"/>
        <v>1.2038279485382858E-2</v>
      </c>
      <c r="CP662" s="134">
        <f>VLOOKUP($H662,RoR!$E:$F,2,FALSE)</f>
        <v>5.5558333333333321E-2</v>
      </c>
      <c r="CQ662" s="135">
        <v>2.691120634145272E-2</v>
      </c>
      <c r="CR662" s="135">
        <f t="shared" si="1213"/>
        <v>2.86471269918806E-2</v>
      </c>
      <c r="CS662" s="135">
        <f t="shared" si="1216"/>
        <v>1.8863662123150767E-2</v>
      </c>
      <c r="CT662" s="135">
        <f t="shared" si="1217"/>
        <v>6.4575155250632399E-2</v>
      </c>
      <c r="CU662" s="139">
        <f t="shared" si="1207"/>
        <v>0.85329623209999994</v>
      </c>
      <c r="CV662" s="335">
        <f t="shared" si="1208"/>
        <v>0.92303077153834634</v>
      </c>
      <c r="CW662" s="335">
        <f t="shared" si="1209"/>
        <v>0.52502249887505614</v>
      </c>
      <c r="CX662" s="335">
        <f t="shared" si="1210"/>
        <v>0.88499666072084604</v>
      </c>
      <c r="CY662" s="335">
        <f t="shared" si="1211"/>
        <v>0.42887993290280618</v>
      </c>
      <c r="CZ662" s="336">
        <f>INDEX('State Tax Lookup'!$D$7:$Z$91,MATCH(Calculation!$C662,'State Tax Lookup'!$B$7:$B$91,0),MATCH($H662,'State Tax Lookup'!$D$6:$Z$6,0))</f>
        <v>0.39649667</v>
      </c>
      <c r="DA662" s="303">
        <v>0.37</v>
      </c>
      <c r="DB662" s="57">
        <f t="shared" si="1214"/>
        <v>13.191660073840497</v>
      </c>
      <c r="DC662" s="56">
        <f t="shared" si="1218"/>
        <v>6.2146774607289006E-2</v>
      </c>
      <c r="DD662" s="303">
        <f>VLOOKUP($H662,RoR!$E:$F,2,FALSE)</f>
        <v>5.5558333333333321E-2</v>
      </c>
      <c r="DE662" s="304">
        <f>HLOOKUP($H662,'GDP-PI'!$D$8:$CQ$11,3,FALSE)</f>
        <v>2.691120634145272E-2</v>
      </c>
      <c r="DF662" s="303">
        <f>VLOOKUP(H662,'HW Dx Data'!$E:$F,2,FALSE)</f>
        <v>498.0223154772637</v>
      </c>
      <c r="DG662" s="89">
        <f ca="1">VLOOKUP(CC662,'ECI - Input Price'!M$13:N$33,2,FALSE)</f>
        <v>104.52499999999999</v>
      </c>
      <c r="DH662" s="89"/>
      <c r="DI662" s="89"/>
      <c r="DJ662" s="56">
        <f t="shared" ca="1" si="1226"/>
        <v>-4.5584612745252218E-2</v>
      </c>
      <c r="DK662" s="53">
        <f>HLOOKUP(H662,'GDP-PI'!$8:$9,2,FALSE)</f>
        <v>92.498000000000005</v>
      </c>
      <c r="DL662" s="355">
        <f t="shared" si="1219"/>
        <v>2.6555467950038037E-2</v>
      </c>
      <c r="EC662"/>
    </row>
    <row r="663" spans="1:133" s="126" customFormat="1" ht="21" customHeight="1" x14ac:dyDescent="0.4">
      <c r="A663" s="233" t="s">
        <v>220</v>
      </c>
      <c r="B663" s="127" t="s">
        <v>220</v>
      </c>
      <c r="C663" s="127">
        <v>4057014</v>
      </c>
      <c r="D663" s="127" t="s">
        <v>194</v>
      </c>
      <c r="E663" s="127" t="s">
        <v>15</v>
      </c>
      <c r="F663" s="127"/>
      <c r="G663" s="127" t="s">
        <v>164</v>
      </c>
      <c r="H663" s="128">
        <v>2008</v>
      </c>
      <c r="I663" s="129"/>
      <c r="J663" s="125">
        <f>IFERROR(INDEX('Labor Expenditures'!$E$7:$W$91,MATCH($C663,'Labor Expenditures'!$C$7:$C$91,0),MATCH($G663,'Labor Expenditures'!$E$5:$W$5,0)),"NA")</f>
        <v>41060.856287976232</v>
      </c>
      <c r="K663" s="125">
        <f t="shared" ca="1" si="1220"/>
        <v>380.54547069486773</v>
      </c>
      <c r="L663" s="47"/>
      <c r="M663" s="131">
        <f t="shared" ca="1" si="1227"/>
        <v>6.7982208980487263E-2</v>
      </c>
      <c r="N663" s="131"/>
      <c r="O663" s="131"/>
      <c r="P663" s="59">
        <f t="shared" ca="1" si="1229"/>
        <v>1.4036428201199412E-3</v>
      </c>
      <c r="Q663" s="61"/>
      <c r="R663" s="387"/>
      <c r="S663" s="49">
        <f t="shared" ca="1" si="1234"/>
        <v>109.94750599193658</v>
      </c>
      <c r="T663" s="61">
        <f ca="1">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</f>
        <v>-6.9890343836930352E-2</v>
      </c>
      <c r="U663" s="61"/>
      <c r="V663" s="125">
        <f>IFERROR(INDEX('Non-Labor Expenditures'!$E$7:$AA$91,MATCH($C663,'Non-Labor Expenditures'!$C$7:$C$91,0),MATCH($G663,'Non-Labor Expenditures'!$E$5:$AA$5,0)),"NA")</f>
        <v>59463.789015071001</v>
      </c>
      <c r="W663" s="125">
        <f t="shared" si="1221"/>
        <v>630.8218303389524</v>
      </c>
      <c r="X663" s="131">
        <f t="shared" si="1230"/>
        <v>8.0848470253915589E-2</v>
      </c>
      <c r="Y663" s="131">
        <f t="shared" si="1231"/>
        <v>1.6692951948966792E-3</v>
      </c>
      <c r="Z663" s="131"/>
      <c r="AA663" s="131"/>
      <c r="AB663" s="131"/>
      <c r="AC663" s="125">
        <f t="shared" si="1201"/>
        <v>66504.975440648923</v>
      </c>
      <c r="AD663" s="129"/>
      <c r="AE663" s="133">
        <v>4765.2583279062774</v>
      </c>
      <c r="AF663" s="134">
        <v>1.784297461794835E-2</v>
      </c>
      <c r="AG663" s="59">
        <f t="shared" si="1222"/>
        <v>3.6840761116271165E-4</v>
      </c>
      <c r="AH663" s="134"/>
      <c r="AI663" s="134"/>
      <c r="AJ663" s="129">
        <f t="shared" si="1120"/>
        <v>167029.62074369617</v>
      </c>
      <c r="AK663" s="134">
        <f t="shared" si="1232"/>
        <v>0.11185925041669331</v>
      </c>
      <c r="AL663" s="129"/>
      <c r="AM663" s="129"/>
      <c r="AN663" s="129"/>
      <c r="AO663" s="129"/>
      <c r="AP663" s="133">
        <f t="shared" si="1233"/>
        <v>290.08471879571266</v>
      </c>
      <c r="AQ663" s="134">
        <f>+BB663/Outputs!$B$16</f>
        <v>1.6389321909723926E-2</v>
      </c>
      <c r="AR663" s="93">
        <f t="shared" si="1223"/>
        <v>0.245829788184596</v>
      </c>
      <c r="AS663" s="93">
        <f t="shared" si="1224"/>
        <v>0.35600744796228134</v>
      </c>
      <c r="AT663" s="93">
        <f t="shared" si="1225"/>
        <v>0.3981627638531226</v>
      </c>
      <c r="AU663" s="93">
        <f t="shared" ca="1" si="1228"/>
        <v>5.281064233695397E-2</v>
      </c>
      <c r="AV663" s="132">
        <f t="shared" ref="AV663:AV676" ca="1" si="1236">+AV662*EXP(AU663)</f>
        <v>104.76466780151618</v>
      </c>
      <c r="AW663" s="134">
        <f t="shared" ref="AW663:AW676" ca="1" si="1237">LN(AV663/AV662)</f>
        <v>5.2810642336954025E-2</v>
      </c>
      <c r="AX663" s="56">
        <f>+AJ663/$AL$13</f>
        <v>2.0647208161812231E-2</v>
      </c>
      <c r="AY663" s="135">
        <f t="shared" ca="1" si="1235"/>
        <v>1.0903923254901038E-3</v>
      </c>
      <c r="AZ663" s="93"/>
      <c r="BA663" s="93"/>
      <c r="BB663" s="234">
        <f>IFERROR(INDEX('Total Customers'!$E$7:$AA$91,MATCH($C663,'Total Customers'!$C$7:$C$91,0),MATCH($G663,'Total Customers'!$E$5:$AA$5,0)),"NA")</f>
        <v>575796</v>
      </c>
      <c r="BC663" s="411">
        <f t="shared" si="1196"/>
        <v>8.5376167084704139E-3</v>
      </c>
      <c r="BD663" s="92"/>
      <c r="BE663" s="281" t="str">
        <f t="shared" si="1192"/>
        <v>NIAGARA MOHAWK POWER CORPORATION</v>
      </c>
      <c r="BF663" s="290">
        <f t="shared" si="1193"/>
        <v>4057014</v>
      </c>
      <c r="BG663" s="46" t="str">
        <f t="shared" si="1194"/>
        <v>NY</v>
      </c>
      <c r="BH663" s="46"/>
      <c r="BI663" s="46" t="str">
        <f t="shared" si="1195"/>
        <v>2008 Y</v>
      </c>
      <c r="BJ663" s="129"/>
      <c r="BK663" s="129"/>
      <c r="BL663" s="129">
        <f>INDEX('Dist. Plant Gas Additions'!$E$7:$AD$91,MATCH($C663,'Dist. Plant Gas Additions'!$C$7:$C$91,0),MATCH(Calculation!$G663,'Dist. Plant Gas Additions'!$E$5:$AD$5,0))</f>
        <v>63450</v>
      </c>
      <c r="BM663" s="129">
        <f>INDEX('Gen. Plant Additions'!$E$7:$AD$91,MATCH($C663,'Gen. Plant Additions'!$C$7:$C$91,0),MATCH(Calculation!$G663,'Gen. Plant Additions'!$E$5:$AD$5,0))</f>
        <v>2414</v>
      </c>
      <c r="BN663" s="393">
        <f t="shared" si="1202"/>
        <v>0.95730412786364427</v>
      </c>
      <c r="BO663" s="46">
        <f t="shared" si="1166"/>
        <v>2310.9321646628373</v>
      </c>
      <c r="BP663" s="46">
        <f t="shared" si="1167"/>
        <v>-103.06783533716271</v>
      </c>
      <c r="BQ663" s="129">
        <f>INDEX('Dist Plant Depreciation'!$D$7:$AC$94,MATCH($C663,'Dist Plant Depreciation'!$C$7:$C$94,0),MATCH(Calculation!$G663,'Dist Plant Depreciation'!$D$5:$AC$5,0))</f>
        <v>541008</v>
      </c>
      <c r="BR663" s="129">
        <f>INDEX('Gen. Plant Depreciation'!$D$7:$AC$94,MATCH($C663,'Gen. Plant Depreciation'!$C$7:$C$94,0),MATCH(Calculation!$G663,'Gen. Plant Depreciation'!$D$5:$AC$5,0))</f>
        <v>29144</v>
      </c>
      <c r="BS663" s="129"/>
      <c r="BT663" s="129"/>
      <c r="BU663" s="129"/>
      <c r="BV663" s="129"/>
      <c r="BW663" s="129"/>
      <c r="BX663" s="129"/>
      <c r="BY663" s="129">
        <f>INDEX('Gross Dx Plant'!$D$7:$AC$91,MATCH($C663,'Gross Dx Plant'!$C$7:$C$91,0),MATCH(Calculation!$G663,'Gross Dx Plant'!$D$5:$AC$5,0))</f>
        <v>1525893</v>
      </c>
      <c r="BZ663" s="129">
        <f>INDEX('Gross Gen Plant'!$D$7:$AC$91,MATCH($C663,'Gross Gen Plant'!$C$7:$C$91,0),MATCH(Calculation!$G663,'Gross Gen Plant'!$D$5:$AC$5,0))</f>
        <v>68055</v>
      </c>
      <c r="CA663" s="129">
        <f t="shared" si="1197"/>
        <v>1023796</v>
      </c>
      <c r="CB663" s="129"/>
      <c r="CC663" s="133">
        <v>2008</v>
      </c>
      <c r="CD663" s="129"/>
      <c r="CE663" s="129"/>
      <c r="CF663" s="129"/>
      <c r="CG663" s="137"/>
      <c r="CH663" s="129">
        <f t="shared" si="1203"/>
        <v>65864</v>
      </c>
      <c r="CI663" s="46">
        <f t="shared" si="1212"/>
        <v>65760.932164662838</v>
      </c>
      <c r="CJ663" s="46">
        <f t="shared" si="1204"/>
        <v>115.39410631515146</v>
      </c>
      <c r="CK663" s="443">
        <v>0.89130434782608692</v>
      </c>
      <c r="CL663" s="46">
        <f>+CL653*CK663+CJ654*CK662+CJ655*CK661+CJ656*CK660+CJ657*CK659+CJ658*CK658+CJ659*CK657+CJ660*CK656+CJ661*CK655+CJ662*CK654+CJ663</f>
        <v>4540.7900590940826</v>
      </c>
      <c r="CM663" s="134">
        <f t="shared" si="1205"/>
        <v>1.2949074485837538E-2</v>
      </c>
      <c r="CN663" s="135">
        <f t="shared" si="1206"/>
        <v>1.2710716667505456E-2</v>
      </c>
      <c r="CO663" s="135">
        <f t="shared" si="1215"/>
        <v>1.2367073067897942E-2</v>
      </c>
      <c r="CP663" s="134">
        <f>VLOOKUP($H663,RoR!$E:$F,2,FALSE)</f>
        <v>5.6316666666666668E-2</v>
      </c>
      <c r="CQ663" s="135">
        <v>1.9092304698479889E-2</v>
      </c>
      <c r="CR663" s="135">
        <f t="shared" si="1213"/>
        <v>3.7224361968186778E-2</v>
      </c>
      <c r="CS663" s="135">
        <f t="shared" si="1216"/>
        <v>1.8534868540635685E-2</v>
      </c>
      <c r="CT663" s="135">
        <f t="shared" si="1217"/>
        <v>6.9030581091053131E-2</v>
      </c>
      <c r="CU663" s="139">
        <f t="shared" si="1207"/>
        <v>0.85329623209999994</v>
      </c>
      <c r="CV663" s="335">
        <f t="shared" si="1208"/>
        <v>0.91060168006009956</v>
      </c>
      <c r="CW663" s="335">
        <f t="shared" si="1209"/>
        <v>0.53108168097070152</v>
      </c>
      <c r="CX663" s="335">
        <f t="shared" si="1210"/>
        <v>0.88825329850328805</v>
      </c>
      <c r="CY663" s="335">
        <f t="shared" si="1211"/>
        <v>0.4295627335323573</v>
      </c>
      <c r="CZ663" s="336">
        <f>INDEX('State Tax Lookup'!$D$7:$Z$91,MATCH(Calculation!$C663,'State Tax Lookup'!$B$7:$B$91,0),MATCH($H663,'State Tax Lookup'!$D$6:$Z$6,0))</f>
        <v>0.39649667</v>
      </c>
      <c r="DA663" s="303">
        <v>0.37</v>
      </c>
      <c r="DB663" s="57">
        <f t="shared" si="1214"/>
        <v>14.83701125084918</v>
      </c>
      <c r="DC663" s="56">
        <f t="shared" si="1218"/>
        <v>0.11754000193833873</v>
      </c>
      <c r="DD663" s="303">
        <f>VLOOKUP($H663,RoR!$E:$F,2,FALSE)</f>
        <v>5.6316666666666668E-2</v>
      </c>
      <c r="DE663" s="304">
        <f>HLOOKUP($H663,'GDP-PI'!$D$8:$CQ$11,3,FALSE)</f>
        <v>1.9092304698479889E-2</v>
      </c>
      <c r="DF663" s="303">
        <f>VLOOKUP(H663,'HW Dx Data'!$E:$F,2,FALSE)</f>
        <v>569.88120333515076</v>
      </c>
      <c r="DG663" s="89">
        <f ca="1">VLOOKUP(CC663,'ECI - Input Price'!M$13:N$33,2,FALSE)</f>
        <v>107.9</v>
      </c>
      <c r="DH663" s="89"/>
      <c r="DI663" s="89"/>
      <c r="DJ663" s="56">
        <f t="shared" ca="1" si="1226"/>
        <v>3.1778595021460486E-2</v>
      </c>
      <c r="DK663" s="53">
        <f>HLOOKUP(H663,'GDP-PI'!$8:$9,2,FALSE)</f>
        <v>94.263999999999996</v>
      </c>
      <c r="DL663" s="355">
        <f t="shared" si="1219"/>
        <v>1.8912333748032254E-2</v>
      </c>
      <c r="EC663"/>
    </row>
    <row r="664" spans="1:133" s="126" customFormat="1" ht="21" customHeight="1" x14ac:dyDescent="0.4">
      <c r="A664" s="233" t="s">
        <v>220</v>
      </c>
      <c r="B664" s="127" t="s">
        <v>220</v>
      </c>
      <c r="C664" s="127">
        <v>4057014</v>
      </c>
      <c r="D664" s="127" t="s">
        <v>194</v>
      </c>
      <c r="E664" s="127" t="s">
        <v>15</v>
      </c>
      <c r="F664" s="127"/>
      <c r="G664" s="127" t="s">
        <v>165</v>
      </c>
      <c r="H664" s="128">
        <v>2009</v>
      </c>
      <c r="I664" s="129"/>
      <c r="J664" s="125">
        <f>IFERROR(INDEX('Labor Expenditures'!$E$7:$W$91,MATCH($C664,'Labor Expenditures'!$C$7:$C$91,0),MATCH($G664,'Labor Expenditures'!$E$5:$W$5,0)),"NA")</f>
        <v>49328.988182943453</v>
      </c>
      <c r="K664" s="125">
        <f t="shared" ca="1" si="1220"/>
        <v>444.70577582099122</v>
      </c>
      <c r="L664" s="47"/>
      <c r="M664" s="131">
        <f t="shared" ca="1" si="1227"/>
        <v>0.15580721291624766</v>
      </c>
      <c r="N664" s="131"/>
      <c r="O664" s="131"/>
      <c r="P664" s="59">
        <f t="shared" ca="1" si="1229"/>
        <v>3.402749506977774E-3</v>
      </c>
      <c r="Q664" s="61"/>
      <c r="R664" s="387"/>
      <c r="S664" s="49">
        <f t="shared" ca="1" si="1234"/>
        <v>118.25837364085955</v>
      </c>
      <c r="T664" s="61">
        <f ca="1">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</f>
        <v>7.2868804263019726E-2</v>
      </c>
      <c r="U664" s="61"/>
      <c r="V664" s="125">
        <f>IFERROR(INDEX('Non-Labor Expenditures'!$E$7:$AA$91,MATCH($C664,'Non-Labor Expenditures'!$C$7:$C$91,0),MATCH($G664,'Non-Labor Expenditures'!$E$5:$AA$5,0)),"NA")</f>
        <v>71437.588273005123</v>
      </c>
      <c r="W664" s="125">
        <f t="shared" si="1221"/>
        <v>751.9825290056225</v>
      </c>
      <c r="X664" s="131">
        <f t="shared" si="1230"/>
        <v>0.17568962909882185</v>
      </c>
      <c r="Y664" s="131">
        <f t="shared" si="1231"/>
        <v>3.836971264728799E-3</v>
      </c>
      <c r="Z664" s="131"/>
      <c r="AA664" s="131"/>
      <c r="AB664" s="131"/>
      <c r="AC664" s="125">
        <f t="shared" si="1201"/>
        <v>63926.117268087495</v>
      </c>
      <c r="AD664" s="129"/>
      <c r="AE664" s="133">
        <v>4858.3078906512055</v>
      </c>
      <c r="AF664" s="134">
        <v>1.9338457380905418E-2</v>
      </c>
      <c r="AG664" s="59">
        <f t="shared" si="1222"/>
        <v>4.2234197690166461E-4</v>
      </c>
      <c r="AH664" s="134"/>
      <c r="AI664" s="134"/>
      <c r="AJ664" s="129">
        <f t="shared" si="1120"/>
        <v>184692.69372403607</v>
      </c>
      <c r="AK664" s="134">
        <f t="shared" si="1232"/>
        <v>0.10052216248050107</v>
      </c>
      <c r="AL664" s="129"/>
      <c r="AM664" s="129"/>
      <c r="AN664" s="129"/>
      <c r="AO664" s="129"/>
      <c r="AP664" s="133">
        <f t="shared" si="1233"/>
        <v>318.61036520719301</v>
      </c>
      <c r="AQ664" s="134">
        <f>+BB664/Outputs!$B$17</f>
        <v>1.6478898423781519E-2</v>
      </c>
      <c r="AR664" s="93">
        <f t="shared" si="1223"/>
        <v>0.2670868413270846</v>
      </c>
      <c r="AS664" s="93">
        <f t="shared" si="1224"/>
        <v>0.38679163118247473</v>
      </c>
      <c r="AT664" s="93">
        <f t="shared" si="1225"/>
        <v>0.34612152749044067</v>
      </c>
      <c r="AU664" s="93">
        <f t="shared" ca="1" si="1228"/>
        <v>0.11240575762996202</v>
      </c>
      <c r="AV664" s="132">
        <f t="shared" ca="1" si="1236"/>
        <v>117.22818485877939</v>
      </c>
      <c r="AW664" s="134">
        <f t="shared" ca="1" si="1237"/>
        <v>0.11240575762996202</v>
      </c>
      <c r="AX664" s="56">
        <f>+AJ664/$AL$14</f>
        <v>2.1839486396607852E-2</v>
      </c>
      <c r="AY664" s="135">
        <f t="shared" ca="1" si="1235"/>
        <v>2.4548840146599547E-3</v>
      </c>
      <c r="AZ664" s="93"/>
      <c r="BA664" s="93"/>
      <c r="BB664" s="234">
        <f>IFERROR(INDEX('Total Customers'!$E$7:$AA$91,MATCH($C664,'Total Customers'!$C$7:$C$91,0),MATCH($G664,'Total Customers'!$E$5:$AA$5,0)),"NA")</f>
        <v>579682</v>
      </c>
      <c r="BC664" s="411">
        <f t="shared" si="1196"/>
        <v>6.7262460228259659E-3</v>
      </c>
      <c r="BD664" s="92"/>
      <c r="BE664" s="281" t="str">
        <f t="shared" si="1192"/>
        <v>NIAGARA MOHAWK POWER CORPORATION</v>
      </c>
      <c r="BF664" s="290">
        <f t="shared" si="1193"/>
        <v>4057014</v>
      </c>
      <c r="BG664" s="46" t="str">
        <f t="shared" si="1194"/>
        <v>NY</v>
      </c>
      <c r="BH664" s="46"/>
      <c r="BI664" s="46" t="str">
        <f t="shared" si="1195"/>
        <v>2009 Y</v>
      </c>
      <c r="BJ664" s="129"/>
      <c r="BK664" s="129"/>
      <c r="BL664" s="129">
        <f>INDEX('Dist. Plant Gas Additions'!$E$7:$AD$91,MATCH($C664,'Dist. Plant Gas Additions'!$C$7:$C$91,0),MATCH(Calculation!$G664,'Dist. Plant Gas Additions'!$E$5:$AD$5,0))</f>
        <v>62903</v>
      </c>
      <c r="BM664" s="129">
        <f>INDEX('Gen. Plant Additions'!$E$7:$AD$91,MATCH($C664,'Gen. Plant Additions'!$C$7:$C$91,0),MATCH(Calculation!$G664,'Gen. Plant Additions'!$E$5:$AD$5,0))</f>
        <v>6520</v>
      </c>
      <c r="BN664" s="393">
        <f t="shared" si="1202"/>
        <v>0.95695595828276392</v>
      </c>
      <c r="BO664" s="46">
        <f t="shared" si="1166"/>
        <v>6239.3528480036211</v>
      </c>
      <c r="BP664" s="46">
        <f t="shared" si="1167"/>
        <v>-280.64715199637885</v>
      </c>
      <c r="BQ664" s="129">
        <f>INDEX('Dist Plant Depreciation'!$D$7:$AC$94,MATCH($C664,'Dist Plant Depreciation'!$C$7:$C$94,0),MATCH(Calculation!$G664,'Dist Plant Depreciation'!$D$5:$AC$5,0))</f>
        <v>566170</v>
      </c>
      <c r="BR664" s="129">
        <f>INDEX('Gen. Plant Depreciation'!$D$7:$AC$94,MATCH($C664,'Gen. Plant Depreciation'!$C$7:$C$94,0),MATCH(Calculation!$G664,'Gen. Plant Depreciation'!$D$5:$AC$5,0))</f>
        <v>21871</v>
      </c>
      <c r="BS664" s="129"/>
      <c r="BT664" s="129"/>
      <c r="BU664" s="129"/>
      <c r="BV664" s="129"/>
      <c r="BW664" s="129"/>
      <c r="BX664" s="129"/>
      <c r="BY664" s="129">
        <f>INDEX('Gross Dx Plant'!$D$7:$AC$91,MATCH($C664,'Gross Dx Plant'!$C$7:$C$91,0),MATCH(Calculation!$G664,'Gross Dx Plant'!$D$5:$AC$5,0))</f>
        <v>1581697</v>
      </c>
      <c r="BZ664" s="129">
        <f>INDEX('Gross Gen Plant'!$D$7:$AC$91,MATCH($C664,'Gross Gen Plant'!$C$7:$C$91,0),MATCH(Calculation!$G664,'Gross Gen Plant'!$D$5:$AC$5,0))</f>
        <v>71145</v>
      </c>
      <c r="CA664" s="129">
        <f t="shared" si="1197"/>
        <v>1064801</v>
      </c>
      <c r="CB664" s="129"/>
      <c r="CC664" s="133">
        <v>2009</v>
      </c>
      <c r="CD664" s="129"/>
      <c r="CE664" s="129"/>
      <c r="CF664" s="129"/>
      <c r="CG664" s="137"/>
      <c r="CH664" s="129">
        <f t="shared" si="1203"/>
        <v>69423</v>
      </c>
      <c r="CI664" s="46">
        <f t="shared" si="1212"/>
        <v>69142.352848003618</v>
      </c>
      <c r="CJ664" s="46">
        <f t="shared" si="1204"/>
        <v>125.49873476384877</v>
      </c>
      <c r="CK664" s="443">
        <v>0.87912087912087911</v>
      </c>
      <c r="CL664" s="46">
        <f>+CL653*CK664+CJ654*CK663+CJ655*CK662+CJ656*CK661+CJ657*CK660+CJ658*CK659+CJ659*CK658+CJ660*CK657+CJ661*CK656+CJ662*CK655+CJ663*CK654+CJ664</f>
        <v>4606.9336014971732</v>
      </c>
      <c r="CM664" s="134">
        <f t="shared" si="1205"/>
        <v>1.4461454584780152E-2</v>
      </c>
      <c r="CN664" s="135">
        <f t="shared" si="1206"/>
        <v>1.3071556180379753E-2</v>
      </c>
      <c r="CO664" s="135">
        <f t="shared" si="1215"/>
        <v>1.2713630315177348E-2</v>
      </c>
      <c r="CP664" s="134">
        <f>VLOOKUP($H664,RoR!$E:$F,2,FALSE)</f>
        <v>5.3133333333333324E-2</v>
      </c>
      <c r="CQ664" s="135">
        <v>7.7972502758210105E-3</v>
      </c>
      <c r="CR664" s="135">
        <f t="shared" si="1213"/>
        <v>4.5336083057512314E-2</v>
      </c>
      <c r="CS664" s="135">
        <f t="shared" si="1216"/>
        <v>1.8188311293356275E-2</v>
      </c>
      <c r="CT664" s="135">
        <f t="shared" si="1217"/>
        <v>6.3720160300892073E-2</v>
      </c>
      <c r="CU664" s="139">
        <f t="shared" si="1207"/>
        <v>0.85329623209999994</v>
      </c>
      <c r="CV664" s="335">
        <f t="shared" si="1208"/>
        <v>0.96515780330083989</v>
      </c>
      <c r="CW664" s="335">
        <f t="shared" si="1209"/>
        <v>0.50448557089084056</v>
      </c>
      <c r="CX664" s="335">
        <f t="shared" si="1210"/>
        <v>0.87391435735465484</v>
      </c>
      <c r="CY664" s="335">
        <f t="shared" si="1211"/>
        <v>0.42551605393279146</v>
      </c>
      <c r="CZ664" s="336">
        <f>INDEX('State Tax Lookup'!$D$7:$Z$91,MATCH(Calculation!$C664,'State Tax Lookup'!$B$7:$B$91,0),MATCH($H664,'State Tax Lookup'!$D$6:$Z$6,0))</f>
        <v>0.39649667</v>
      </c>
      <c r="DA664" s="303">
        <v>0.37</v>
      </c>
      <c r="DB664" s="57">
        <f t="shared" si="1214"/>
        <v>14.078192657257793</v>
      </c>
      <c r="DC664" s="56">
        <f t="shared" si="1218"/>
        <v>-5.2497839185070401E-2</v>
      </c>
      <c r="DD664" s="303">
        <f>VLOOKUP($H664,RoR!$E:$F,2,FALSE)</f>
        <v>5.3133333333333324E-2</v>
      </c>
      <c r="DE664" s="304">
        <f>HLOOKUP($H664,'GDP-PI'!$D$8:$CQ$11,3,FALSE)</f>
        <v>7.7972502758210105E-3</v>
      </c>
      <c r="DF664" s="303">
        <f>VLOOKUP(H664,'HW Dx Data'!$E:$F,2,FALSE)</f>
        <v>550.94063679692806</v>
      </c>
      <c r="DG664" s="89">
        <f ca="1">VLOOKUP(CC664,'ECI - Input Price'!M$13:N$33,2,FALSE)</f>
        <v>110.925</v>
      </c>
      <c r="DH664" s="89"/>
      <c r="DI664" s="89"/>
      <c r="DJ664" s="56">
        <f t="shared" ca="1" si="1226"/>
        <v>2.7649425000884052E-2</v>
      </c>
      <c r="DK664" s="53">
        <f>HLOOKUP(H664,'GDP-PI'!$8:$9,2,FALSE)</f>
        <v>94.998999999999995</v>
      </c>
      <c r="DL664" s="355">
        <f t="shared" si="1219"/>
        <v>7.7670088183096342E-3</v>
      </c>
      <c r="EC664"/>
    </row>
    <row r="665" spans="1:133" s="126" customFormat="1" ht="21" customHeight="1" x14ac:dyDescent="0.4">
      <c r="A665" s="233" t="s">
        <v>220</v>
      </c>
      <c r="B665" s="127" t="s">
        <v>220</v>
      </c>
      <c r="C665" s="127">
        <v>4057014</v>
      </c>
      <c r="D665" s="127" t="s">
        <v>194</v>
      </c>
      <c r="E665" s="127" t="s">
        <v>15</v>
      </c>
      <c r="F665" s="127"/>
      <c r="G665" s="127" t="s">
        <v>166</v>
      </c>
      <c r="H665" s="128">
        <v>2010</v>
      </c>
      <c r="I665" s="129"/>
      <c r="J665" s="125">
        <f>IFERROR(INDEX('Labor Expenditures'!$E$7:$W$91,MATCH($C665,'Labor Expenditures'!$C$7:$C$91,0),MATCH($G665,'Labor Expenditures'!$E$5:$W$5,0)),"NA")</f>
        <v>61082.737792133747</v>
      </c>
      <c r="K665" s="125">
        <f t="shared" ca="1" si="1220"/>
        <v>522.40955990706652</v>
      </c>
      <c r="L665" s="47"/>
      <c r="M665" s="131">
        <f t="shared" ca="1" si="1227"/>
        <v>0.16103899220865919</v>
      </c>
      <c r="N665" s="131"/>
      <c r="O665" s="131"/>
      <c r="P665" s="59">
        <f t="shared" ca="1" si="1229"/>
        <v>3.9773970122564889E-3</v>
      </c>
      <c r="Q665" s="61"/>
      <c r="R665" s="387"/>
      <c r="S665" s="49">
        <f t="shared" ca="1" si="1234"/>
        <v>97.683708358269456</v>
      </c>
      <c r="T665" s="61">
        <f ca="1">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</f>
        <v>-0.19113704445787347</v>
      </c>
      <c r="U665" s="61"/>
      <c r="V665" s="125">
        <f>IFERROR(INDEX('Non-Labor Expenditures'!$E$7:$AA$91,MATCH($C665,'Non-Labor Expenditures'!$C$7:$C$91,0),MATCH($G665,'Non-Labor Expenditures'!$E$5:$AA$5,0)),"NA")</f>
        <v>88459.21300472143</v>
      </c>
      <c r="W665" s="125">
        <f t="shared" si="1221"/>
        <v>920.40509218409761</v>
      </c>
      <c r="X665" s="131">
        <f t="shared" si="1230"/>
        <v>0.20210079974848541</v>
      </c>
      <c r="Y665" s="131">
        <f t="shared" si="1231"/>
        <v>4.9915558093703094E-3</v>
      </c>
      <c r="Z665" s="131"/>
      <c r="AA665" s="131"/>
      <c r="AB665" s="131"/>
      <c r="AC665" s="125">
        <f t="shared" si="1201"/>
        <v>65767.078682611333</v>
      </c>
      <c r="AD665" s="129"/>
      <c r="AE665" s="133">
        <v>4930.516276116623</v>
      </c>
      <c r="AF665" s="134">
        <v>1.4753497254504304E-2</v>
      </c>
      <c r="AG665" s="59">
        <f t="shared" si="1222"/>
        <v>3.6438700401432612E-4</v>
      </c>
      <c r="AH665" s="134"/>
      <c r="AI665" s="134"/>
      <c r="AJ665" s="129">
        <f t="shared" si="1120"/>
        <v>215309.0294794665</v>
      </c>
      <c r="AK665" s="134">
        <f t="shared" si="1232"/>
        <v>0.15338101365835763</v>
      </c>
      <c r="AL665" s="129"/>
      <c r="AM665" s="129"/>
      <c r="AN665" s="129"/>
      <c r="AO665" s="129"/>
      <c r="AP665" s="133">
        <f t="shared" si="1233"/>
        <v>369.35847795601592</v>
      </c>
      <c r="AQ665" s="134">
        <f>+BB665/Outputs!$B$18</f>
        <v>1.6480478026509923E-2</v>
      </c>
      <c r="AR665" s="93">
        <f t="shared" si="1223"/>
        <v>0.28369798489087084</v>
      </c>
      <c r="AS665" s="93">
        <f t="shared" si="1224"/>
        <v>0.41084766959649305</v>
      </c>
      <c r="AT665" s="93">
        <f t="shared" si="1225"/>
        <v>0.30545434551263623</v>
      </c>
      <c r="AU665" s="93">
        <f t="shared" ca="1" si="1228"/>
        <v>0.12975719839483263</v>
      </c>
      <c r="AV665" s="132">
        <f t="shared" ca="1" si="1236"/>
        <v>133.47037348734611</v>
      </c>
      <c r="AW665" s="134">
        <f t="shared" ca="1" si="1237"/>
        <v>0.12975719839483255</v>
      </c>
      <c r="AX665" s="56">
        <f>+AJ665/$AL$15</f>
        <v>2.4698347634360202E-2</v>
      </c>
      <c r="AY665" s="135">
        <f t="shared" ca="1" si="1235"/>
        <v>3.2047883940162199E-3</v>
      </c>
      <c r="AZ665" s="93"/>
      <c r="BA665" s="93"/>
      <c r="BB665" s="234">
        <f>IFERROR(INDEX('Total Customers'!$E$7:$AA$91,MATCH($C665,'Total Customers'!$C$7:$C$91,0),MATCH($G665,'Total Customers'!$E$5:$AA$5,0)),"NA")</f>
        <v>582927</v>
      </c>
      <c r="BC665" s="411">
        <f t="shared" si="1196"/>
        <v>5.5822867820559535E-3</v>
      </c>
      <c r="BD665" s="92"/>
      <c r="BE665" s="281" t="str">
        <f t="shared" si="1192"/>
        <v>NIAGARA MOHAWK POWER CORPORATION</v>
      </c>
      <c r="BF665" s="290">
        <f t="shared" si="1193"/>
        <v>4057014</v>
      </c>
      <c r="BG665" s="46" t="str">
        <f t="shared" si="1194"/>
        <v>NY</v>
      </c>
      <c r="BH665" s="46"/>
      <c r="BI665" s="46" t="str">
        <f t="shared" si="1195"/>
        <v>2010 Y</v>
      </c>
      <c r="BJ665" s="129"/>
      <c r="BK665" s="129"/>
      <c r="BL665" s="129">
        <f>INDEX('Dist. Plant Gas Additions'!$E$7:$AD$91,MATCH($C665,'Dist. Plant Gas Additions'!$C$7:$C$91,0),MATCH(Calculation!$G665,'Dist. Plant Gas Additions'!$E$5:$AD$5,0))</f>
        <v>55435</v>
      </c>
      <c r="BM665" s="129">
        <f>INDEX('Gen. Plant Additions'!$E$7:$AD$91,MATCH($C665,'Gen. Plant Additions'!$C$7:$C$91,0),MATCH(Calculation!$G665,'Gen. Plant Additions'!$E$5:$AD$5,0))</f>
        <v>5418</v>
      </c>
      <c r="BN665" s="393">
        <f t="shared" si="1202"/>
        <v>0.95518000479301834</v>
      </c>
      <c r="BO665" s="46">
        <f t="shared" si="1166"/>
        <v>5175.1652659685733</v>
      </c>
      <c r="BP665" s="46">
        <f t="shared" si="1167"/>
        <v>-242.83473403142671</v>
      </c>
      <c r="BQ665" s="129">
        <f>INDEX('Dist Plant Depreciation'!$D$7:$AC$94,MATCH($C665,'Dist Plant Depreciation'!$C$7:$C$94,0),MATCH(Calculation!$G665,'Dist Plant Depreciation'!$D$5:$AC$5,0))</f>
        <v>585952</v>
      </c>
      <c r="BR665" s="129">
        <f>INDEX('Gen. Plant Depreciation'!$D$7:$AC$94,MATCH($C665,'Gen. Plant Depreciation'!$C$7:$C$94,0),MATCH(Calculation!$G665,'Gen. Plant Depreciation'!$D$5:$AC$5,0))</f>
        <v>25090</v>
      </c>
      <c r="BS665" s="129"/>
      <c r="BT665" s="129"/>
      <c r="BU665" s="129"/>
      <c r="BV665" s="129"/>
      <c r="BW665" s="129"/>
      <c r="BX665" s="129"/>
      <c r="BY665" s="129">
        <f>INDEX('Gross Dx Plant'!$D$7:$AC$91,MATCH($C665,'Gross Dx Plant'!$C$7:$C$91,0),MATCH(Calculation!$G665,'Gross Dx Plant'!$D$5:$AC$5,0))</f>
        <v>1630157</v>
      </c>
      <c r="BZ665" s="129">
        <f>INDEX('Gross Gen Plant'!$D$7:$AC$91,MATCH($C665,'Gross Gen Plant'!$C$7:$C$91,0),MATCH(Calculation!$G665,'Gross Gen Plant'!$D$5:$AC$5,0))</f>
        <v>76492</v>
      </c>
      <c r="CA665" s="129">
        <f t="shared" si="1197"/>
        <v>1095607</v>
      </c>
      <c r="CB665" s="129"/>
      <c r="CC665" s="133">
        <v>2010</v>
      </c>
      <c r="CD665" s="129"/>
      <c r="CE665" s="129"/>
      <c r="CF665" s="129"/>
      <c r="CG665" s="137"/>
      <c r="CH665" s="129">
        <f t="shared" si="1203"/>
        <v>60853</v>
      </c>
      <c r="CI665" s="46">
        <f t="shared" si="1212"/>
        <v>60610.165265968571</v>
      </c>
      <c r="CJ665" s="46">
        <f t="shared" si="1204"/>
        <v>106.52246655842434</v>
      </c>
      <c r="CK665" s="443">
        <v>0.8666666666666667</v>
      </c>
      <c r="CL665" s="46">
        <f>+CL653*CK665+CJ654*CK664+CJ655*CK663+CJ656*CK662+CJ657*CK661+CJ658*CK660+CJ659*CK659+CJ660*CK658+CJ661*CK657+CJ662*CK656+CJ663*CK655+CJ664*CK654+CJ665</f>
        <v>4651.5560692235122</v>
      </c>
      <c r="CM665" s="134">
        <f t="shared" si="1205"/>
        <v>9.6393288380812788E-3</v>
      </c>
      <c r="CN665" s="135">
        <f t="shared" si="1206"/>
        <v>1.3436268934279611E-2</v>
      </c>
      <c r="CO665" s="135">
        <f t="shared" si="1215"/>
        <v>1.3072847260721608E-2</v>
      </c>
      <c r="CP665" s="134">
        <f>VLOOKUP($H665,RoR!$E:$F,2,FALSE)</f>
        <v>4.9433333333333322E-2</v>
      </c>
      <c r="CQ665" s="135">
        <v>1.1684333519300205E-2</v>
      </c>
      <c r="CR665" s="135">
        <f t="shared" si="1213"/>
        <v>3.7748999814033117E-2</v>
      </c>
      <c r="CS665" s="135">
        <f t="shared" si="1216"/>
        <v>1.7829094347812019E-2</v>
      </c>
      <c r="CT665" s="135">
        <f t="shared" si="1217"/>
        <v>4.7937530248493419E-2</v>
      </c>
      <c r="CU665" s="139">
        <f t="shared" si="1207"/>
        <v>0.85329623209999994</v>
      </c>
      <c r="CV665" s="335">
        <f t="shared" si="1208"/>
        <v>1.037398205301105</v>
      </c>
      <c r="CW665" s="335">
        <f t="shared" si="1209"/>
        <v>0.46926837491571133</v>
      </c>
      <c r="CX665" s="335">
        <f t="shared" si="1210"/>
        <v>0.8548537519972772</v>
      </c>
      <c r="CY665" s="335">
        <f t="shared" si="1211"/>
        <v>0.41615833911547367</v>
      </c>
      <c r="CZ665" s="336">
        <f>INDEX('State Tax Lookup'!$D$7:$Z$91,MATCH(Calculation!$C665,'State Tax Lookup'!$B$7:$B$91,0),MATCH($H665,'State Tax Lookup'!$D$6:$Z$6,0))</f>
        <v>0.39649667</v>
      </c>
      <c r="DA665" s="303">
        <v>0.37</v>
      </c>
      <c r="DB665" s="57">
        <f t="shared" si="1214"/>
        <v>14.275673228986452</v>
      </c>
      <c r="DC665" s="56">
        <f t="shared" si="1218"/>
        <v>1.3929935750042848E-2</v>
      </c>
      <c r="DD665" s="303">
        <f>VLOOKUP($H665,RoR!$E:$F,2,FALSE)</f>
        <v>4.9433333333333322E-2</v>
      </c>
      <c r="DE665" s="304">
        <f>HLOOKUP($H665,'GDP-PI'!$D$8:$CQ$11,3,FALSE)</f>
        <v>1.1684333519300205E-2</v>
      </c>
      <c r="DF665" s="303">
        <f>VLOOKUP(H665,'HW Dx Data'!$E:$F,2,FALSE)</f>
        <v>568.98950262971744</v>
      </c>
      <c r="DG665" s="89">
        <f ca="1">VLOOKUP(CC665,'ECI - Input Price'!M$13:N$33,2,FALSE)</f>
        <v>116.925</v>
      </c>
      <c r="DH665" s="89"/>
      <c r="DI665" s="89"/>
      <c r="DJ665" s="56">
        <f t="shared" ca="1" si="1226"/>
        <v>5.2678406346976722E-2</v>
      </c>
      <c r="DK665" s="53">
        <f>HLOOKUP(H665,'GDP-PI'!$8:$9,2,FALSE)</f>
        <v>96.108999999999995</v>
      </c>
      <c r="DL665" s="355">
        <f t="shared" si="1219"/>
        <v>1.1616598807150427E-2</v>
      </c>
      <c r="EC665"/>
    </row>
    <row r="666" spans="1:133" s="126" customFormat="1" ht="21" customHeight="1" x14ac:dyDescent="0.4">
      <c r="A666" s="233" t="s">
        <v>220</v>
      </c>
      <c r="B666" s="127" t="s">
        <v>220</v>
      </c>
      <c r="C666" s="127">
        <v>4057014</v>
      </c>
      <c r="D666" s="127" t="s">
        <v>194</v>
      </c>
      <c r="E666" s="127" t="s">
        <v>15</v>
      </c>
      <c r="F666" s="127"/>
      <c r="G666" s="127" t="s">
        <v>167</v>
      </c>
      <c r="H666" s="128">
        <v>2011</v>
      </c>
      <c r="I666" s="129"/>
      <c r="J666" s="125">
        <f>IFERROR(INDEX('Labor Expenditures'!$E$7:$W$91,MATCH($C666,'Labor Expenditures'!$C$7:$C$91,0),MATCH($G666,'Labor Expenditures'!$E$5:$W$5,0)),"NA")</f>
        <v>61126.427342686664</v>
      </c>
      <c r="K666" s="125">
        <f t="shared" ca="1" si="1220"/>
        <v>505.69950231798686</v>
      </c>
      <c r="L666" s="47"/>
      <c r="M666" s="131">
        <f t="shared" ca="1" si="1227"/>
        <v>-3.2509253829343776E-2</v>
      </c>
      <c r="N666" s="131"/>
      <c r="O666" s="131"/>
      <c r="P666" s="59">
        <f t="shared" ca="1" si="1229"/>
        <v>-7.8724323577021604E-4</v>
      </c>
      <c r="Q666" s="61"/>
      <c r="R666" s="387"/>
      <c r="S666" s="49">
        <f t="shared" ca="1" si="1234"/>
        <v>117.09450549896981</v>
      </c>
      <c r="T666" s="61">
        <f ca="1">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</f>
        <v>0.18124655462178832</v>
      </c>
      <c r="U666" s="61"/>
      <c r="V666" s="125">
        <f>IFERROR(INDEX('Non-Labor Expenditures'!$E$7:$AA$91,MATCH($C666,'Non-Labor Expenditures'!$C$7:$C$91,0),MATCH($G666,'Non-Labor Expenditures'!$E$5:$AA$5,0)),"NA")</f>
        <v>88522.483634004515</v>
      </c>
      <c r="W666" s="125">
        <f t="shared" si="1221"/>
        <v>902.25949561729976</v>
      </c>
      <c r="X666" s="131">
        <f t="shared" si="1230"/>
        <v>-1.9911722880684265E-2</v>
      </c>
      <c r="Y666" s="131">
        <f t="shared" si="1231"/>
        <v>-4.8218175762006248E-4</v>
      </c>
      <c r="Z666" s="131"/>
      <c r="AA666" s="131"/>
      <c r="AB666" s="131"/>
      <c r="AC666" s="125">
        <f t="shared" si="1201"/>
        <v>70054.911580811589</v>
      </c>
      <c r="AD666" s="129"/>
      <c r="AE666" s="133">
        <v>4992.3096609005052</v>
      </c>
      <c r="AF666" s="134">
        <v>1.2454956680112518E-2</v>
      </c>
      <c r="AG666" s="59">
        <f t="shared" si="1222"/>
        <v>3.0160890341258164E-4</v>
      </c>
      <c r="AH666" s="134"/>
      <c r="AI666" s="134"/>
      <c r="AJ666" s="129">
        <f t="shared" si="1120"/>
        <v>219703.82255750278</v>
      </c>
      <c r="AK666" s="134">
        <f t="shared" si="1232"/>
        <v>2.0206035676275911E-2</v>
      </c>
      <c r="AL666" s="129"/>
      <c r="AM666" s="129"/>
      <c r="AN666" s="129"/>
      <c r="AO666" s="129"/>
      <c r="AP666" s="133">
        <f t="shared" si="1233"/>
        <v>375.08185683202663</v>
      </c>
      <c r="AQ666" s="134">
        <f>+BB666/Outputs!$B$19</f>
        <v>1.6480358347610472E-2</v>
      </c>
      <c r="AR666" s="93">
        <f t="shared" si="1223"/>
        <v>0.27822195640992148</v>
      </c>
      <c r="AS666" s="93">
        <f t="shared" si="1224"/>
        <v>0.40291735757504016</v>
      </c>
      <c r="AT666" s="93">
        <f t="shared" si="1225"/>
        <v>0.31886068601503836</v>
      </c>
      <c r="AU666" s="93">
        <f t="shared" ca="1" si="1228"/>
        <v>-1.3347622521064608E-2</v>
      </c>
      <c r="AV666" s="132">
        <f t="shared" ca="1" si="1236"/>
        <v>131.70069807752844</v>
      </c>
      <c r="AW666" s="134">
        <f t="shared" ca="1" si="1237"/>
        <v>-1.3347622521064572E-2</v>
      </c>
      <c r="AX666" s="56">
        <f>+AJ666/$AL$16</f>
        <v>2.4215973700990576E-2</v>
      </c>
      <c r="AY666" s="135">
        <f t="shared" ca="1" si="1235"/>
        <v>-3.232256759408492E-4</v>
      </c>
      <c r="AZ666" s="93"/>
      <c r="BA666" s="93"/>
      <c r="BB666" s="234">
        <f>IFERROR(INDEX('Total Customers'!$E$7:$AA$91,MATCH($C666,'Total Customers'!$C$7:$C$91,0),MATCH($G666,'Total Customers'!$E$5:$AA$5,0)),"NA")</f>
        <v>585749</v>
      </c>
      <c r="BC666" s="411">
        <f t="shared" si="1196"/>
        <v>4.8294060711922895E-3</v>
      </c>
      <c r="BD666" s="92"/>
      <c r="BE666" s="281" t="str">
        <f t="shared" si="1192"/>
        <v>NIAGARA MOHAWK POWER CORPORATION</v>
      </c>
      <c r="BF666" s="290">
        <f t="shared" si="1193"/>
        <v>4057014</v>
      </c>
      <c r="BG666" s="46" t="str">
        <f t="shared" si="1194"/>
        <v>NY</v>
      </c>
      <c r="BH666" s="46"/>
      <c r="BI666" s="46" t="str">
        <f t="shared" si="1195"/>
        <v>2011 Y</v>
      </c>
      <c r="BJ666" s="129"/>
      <c r="BK666" s="129"/>
      <c r="BL666" s="129">
        <f>INDEX('Dist. Plant Gas Additions'!$E$7:$AD$91,MATCH($C666,'Dist. Plant Gas Additions'!$C$7:$C$91,0),MATCH(Calculation!$G666,'Dist. Plant Gas Additions'!$E$5:$AD$5,0))</f>
        <v>59802</v>
      </c>
      <c r="BM666" s="129">
        <f>INDEX('Gen. Plant Additions'!$E$7:$AD$91,MATCH($C666,'Gen. Plant Additions'!$C$7:$C$91,0),MATCH(Calculation!$G666,'Gen. Plant Additions'!$E$5:$AD$5,0))</f>
        <v>321</v>
      </c>
      <c r="BN666" s="393">
        <f t="shared" si="1202"/>
        <v>0.95578768032745398</v>
      </c>
      <c r="BO666" s="46">
        <f t="shared" si="1166"/>
        <v>306.80784538511273</v>
      </c>
      <c r="BP666" s="46">
        <f t="shared" si="1167"/>
        <v>-14.192154614887272</v>
      </c>
      <c r="BQ666" s="129">
        <f>INDEX('Dist Plant Depreciation'!$D$7:$AC$94,MATCH($C666,'Dist Plant Depreciation'!$C$7:$C$94,0),MATCH(Calculation!$G666,'Dist Plant Depreciation'!$D$5:$AC$5,0))</f>
        <v>610795</v>
      </c>
      <c r="BR666" s="129">
        <f>INDEX('Gen. Plant Depreciation'!$D$7:$AC$94,MATCH($C666,'Gen. Plant Depreciation'!$C$7:$C$94,0),MATCH(Calculation!$G666,'Gen. Plant Depreciation'!$D$5:$AC$5,0))</f>
        <v>28635</v>
      </c>
      <c r="BS666" s="129"/>
      <c r="BT666" s="129"/>
      <c r="BU666" s="129"/>
      <c r="BV666" s="129"/>
      <c r="BW666" s="129"/>
      <c r="BX666" s="129"/>
      <c r="BY666" s="129">
        <f>INDEX('Gross Dx Plant'!$D$7:$AC$91,MATCH($C666,'Gross Dx Plant'!$C$7:$C$91,0),MATCH(Calculation!$G666,'Gross Dx Plant'!$D$5:$AC$5,0))</f>
        <v>1680788</v>
      </c>
      <c r="BZ666" s="129">
        <f>INDEX('Gross Gen Plant'!$D$7:$AC$91,MATCH($C666,'Gross Gen Plant'!$C$7:$C$91,0),MATCH(Calculation!$G666,'Gross Gen Plant'!$D$5:$AC$5,0))</f>
        <v>77749</v>
      </c>
      <c r="CA666" s="129">
        <f t="shared" si="1197"/>
        <v>1119107</v>
      </c>
      <c r="CB666" s="129"/>
      <c r="CC666" s="133">
        <v>2011</v>
      </c>
      <c r="CD666" s="129"/>
      <c r="CE666" s="129"/>
      <c r="CF666" s="129"/>
      <c r="CG666" s="137"/>
      <c r="CH666" s="129">
        <f t="shared" si="1203"/>
        <v>60123</v>
      </c>
      <c r="CI666" s="46">
        <f t="shared" si="1212"/>
        <v>60108.807845385112</v>
      </c>
      <c r="CJ666" s="46">
        <f t="shared" si="1204"/>
        <v>98.279459327064345</v>
      </c>
      <c r="CK666" s="443">
        <v>0.8539325842696629</v>
      </c>
      <c r="CL666" s="46">
        <f>+CL653*CK666+CJ654*CK665+CJ655*CK664+CJ656*CK663+CJ657*CK662+CJ658*CK661+CJ659*CK660+CJ660*CK659+CJ661*CK658+CJ662*CK657+CJ663*CK656+CJ664*CK655+CJ665*CK654+CJ666</f>
        <v>4685.5103914367101</v>
      </c>
      <c r="CM666" s="134">
        <f t="shared" si="1205"/>
        <v>7.2730492024020215E-3</v>
      </c>
      <c r="CN666" s="135">
        <f t="shared" si="1206"/>
        <v>1.3828735192394297E-2</v>
      </c>
      <c r="CO666" s="135">
        <f t="shared" si="1215"/>
        <v>1.344552010235122E-2</v>
      </c>
      <c r="CP666" s="134">
        <f>VLOOKUP($H666,RoR!$E:$F,2,FALSE)</f>
        <v>4.6391666666666664E-2</v>
      </c>
      <c r="CQ666" s="135">
        <v>2.0840920205183799E-2</v>
      </c>
      <c r="CR666" s="135">
        <f t="shared" si="1213"/>
        <v>2.5550746461482865E-2</v>
      </c>
      <c r="CS666" s="135">
        <f t="shared" si="1216"/>
        <v>1.7456421506182405E-2</v>
      </c>
      <c r="CT666" s="135">
        <f t="shared" si="1217"/>
        <v>2.4810540821321614E-2</v>
      </c>
      <c r="CU666" s="139">
        <f t="shared" si="1207"/>
        <v>0.85329623209999994</v>
      </c>
      <c r="CV666" s="335">
        <f t="shared" si="1208"/>
        <v>1.1054151524782025</v>
      </c>
      <c r="CW666" s="335">
        <f t="shared" si="1209"/>
        <v>0.43611011316687626</v>
      </c>
      <c r="CX666" s="335">
        <f t="shared" si="1210"/>
        <v>0.83698442246886229</v>
      </c>
      <c r="CY666" s="335">
        <f t="shared" si="1211"/>
        <v>0.40349573304423936</v>
      </c>
      <c r="CZ666" s="336">
        <f>INDEX('State Tax Lookup'!$D$7:$Z$91,MATCH(Calculation!$C666,'State Tax Lookup'!$B$7:$B$91,0),MATCH($H666,'State Tax Lookup'!$D$6:$Z$6,0))</f>
        <v>0.39649667</v>
      </c>
      <c r="DA666" s="303">
        <v>0.37</v>
      </c>
      <c r="DB666" s="57">
        <f t="shared" si="1214"/>
        <v>15.060532548306121</v>
      </c>
      <c r="DC666" s="56">
        <f t="shared" si="1218"/>
        <v>5.3520667689737782E-2</v>
      </c>
      <c r="DD666" s="303">
        <f>VLOOKUP($H666,RoR!$E:$F,2,FALSE)</f>
        <v>4.6391666666666664E-2</v>
      </c>
      <c r="DE666" s="304">
        <f>HLOOKUP($H666,'GDP-PI'!$D$8:$CQ$11,3,FALSE)</f>
        <v>2.0840920205183799E-2</v>
      </c>
      <c r="DF666" s="303">
        <f>VLOOKUP(H666,'HW Dx Data'!$E:$F,2,FALSE)</f>
        <v>611.61109612283201</v>
      </c>
      <c r="DG666" s="89">
        <f ca="1">VLOOKUP(CC666,'ECI - Input Price'!M$13:N$33,2,FALSE)</f>
        <v>120.875</v>
      </c>
      <c r="DH666" s="89"/>
      <c r="DI666" s="89"/>
      <c r="DJ666" s="56">
        <f t="shared" ca="1" si="1226"/>
        <v>3.3224250161508609E-2</v>
      </c>
      <c r="DK666" s="53">
        <f>HLOOKUP(H666,'GDP-PI'!$8:$9,2,FALSE)</f>
        <v>98.111999999999995</v>
      </c>
      <c r="DL666" s="355">
        <f t="shared" si="1219"/>
        <v>2.0626719212849295E-2</v>
      </c>
      <c r="EC666"/>
    </row>
    <row r="667" spans="1:133" s="126" customFormat="1" ht="21" customHeight="1" x14ac:dyDescent="0.4">
      <c r="A667" s="233" t="s">
        <v>220</v>
      </c>
      <c r="B667" s="127" t="s">
        <v>220</v>
      </c>
      <c r="C667" s="127">
        <v>4057014</v>
      </c>
      <c r="D667" s="127" t="s">
        <v>194</v>
      </c>
      <c r="E667" s="127" t="s">
        <v>15</v>
      </c>
      <c r="F667" s="127"/>
      <c r="G667" s="127" t="s">
        <v>168</v>
      </c>
      <c r="H667" s="128">
        <v>2012</v>
      </c>
      <c r="I667" s="129"/>
      <c r="J667" s="125">
        <f>IFERROR(INDEX('Labor Expenditures'!$E$7:$W$91,MATCH($C667,'Labor Expenditures'!$C$7:$C$91,0),MATCH($G667,'Labor Expenditures'!$E$5:$W$5,0)),"NA")</f>
        <v>62205.307567235352</v>
      </c>
      <c r="K667" s="125">
        <f t="shared" ca="1" si="1220"/>
        <v>498.43996448105247</v>
      </c>
      <c r="L667" s="47"/>
      <c r="M667" s="131">
        <f t="shared" ca="1" si="1227"/>
        <v>-1.4459474126239914E-2</v>
      </c>
      <c r="N667" s="131"/>
      <c r="O667" s="131"/>
      <c r="P667" s="59">
        <f t="shared" ca="1" si="1229"/>
        <v>-3.5034266965107126E-4</v>
      </c>
      <c r="Q667" s="61"/>
      <c r="R667" s="387"/>
      <c r="S667" s="49">
        <f t="shared" ca="1" si="1234"/>
        <v>116.37753759113791</v>
      </c>
      <c r="T667" s="61">
        <f ca="1">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</f>
        <v>-6.1418074054402543E-3</v>
      </c>
      <c r="U667" s="61"/>
      <c r="V667" s="125">
        <f>IFERROR(INDEX('Non-Labor Expenditures'!$E$7:$AA$91,MATCH($C667,'Non-Labor Expenditures'!$C$7:$C$91,0),MATCH($G667,'Non-Labor Expenditures'!$E$5:$AA$5,0)),"NA")</f>
        <v>90084.903706181183</v>
      </c>
      <c r="W667" s="125">
        <f t="shared" si="1221"/>
        <v>900.84903706181183</v>
      </c>
      <c r="X667" s="131">
        <f t="shared" si="1230"/>
        <v>-1.5644747031134899E-3</v>
      </c>
      <c r="Y667" s="131">
        <f t="shared" si="1231"/>
        <v>-3.7906098057583882E-5</v>
      </c>
      <c r="Z667" s="131"/>
      <c r="AA667" s="131"/>
      <c r="AB667" s="131"/>
      <c r="AC667" s="125">
        <f t="shared" si="1201"/>
        <v>75183.013695711124</v>
      </c>
      <c r="AD667" s="129"/>
      <c r="AE667" s="133">
        <v>5026.339561467089</v>
      </c>
      <c r="AF667" s="134">
        <v>6.7933372419546074E-3</v>
      </c>
      <c r="AG667" s="59">
        <f t="shared" si="1222"/>
        <v>1.6459768069071017E-4</v>
      </c>
      <c r="AH667" s="134"/>
      <c r="AI667" s="134"/>
      <c r="AJ667" s="129">
        <f t="shared" si="1120"/>
        <v>227473.22496912765</v>
      </c>
      <c r="AK667" s="134">
        <f t="shared" si="1232"/>
        <v>3.4752160794839129E-2</v>
      </c>
      <c r="AL667" s="129"/>
      <c r="AM667" s="129"/>
      <c r="AN667" s="129"/>
      <c r="AO667" s="129"/>
      <c r="AP667" s="133">
        <f t="shared" si="1233"/>
        <v>386.05625538909317</v>
      </c>
      <c r="AQ667" s="134">
        <f>+BB667/Outputs!$B$20</f>
        <v>1.649865362857229E-2</v>
      </c>
      <c r="AR667" s="93">
        <f t="shared" si="1223"/>
        <v>0.27346210779610552</v>
      </c>
      <c r="AS667" s="93">
        <f t="shared" si="1224"/>
        <v>0.39602420776514413</v>
      </c>
      <c r="AT667" s="93">
        <f t="shared" si="1225"/>
        <v>0.33051368443875034</v>
      </c>
      <c r="AU667" s="93">
        <f t="shared" ca="1" si="1228"/>
        <v>-2.4077831128559942E-3</v>
      </c>
      <c r="AV667" s="132">
        <f t="shared" ca="1" si="1236"/>
        <v>131.3839728166291</v>
      </c>
      <c r="AW667" s="134">
        <f t="shared" ca="1" si="1237"/>
        <v>-2.4077831128558385E-3</v>
      </c>
      <c r="AX667" s="56">
        <f>+AJ667/$AL$17</f>
        <v>2.4229281548718083E-2</v>
      </c>
      <c r="AY667" s="135">
        <f t="shared" ca="1" si="1235"/>
        <v>-5.8338854949632956E-5</v>
      </c>
      <c r="AZ667" s="93"/>
      <c r="BA667" s="93"/>
      <c r="BB667" s="234">
        <f>IFERROR(INDEX('Total Customers'!$E$7:$AA$91,MATCH($C667,'Total Customers'!$C$7:$C$91,0),MATCH($G667,'Total Customers'!$E$5:$AA$5,0)),"NA")</f>
        <v>589223</v>
      </c>
      <c r="BC667" s="411">
        <f t="shared" si="1196"/>
        <v>5.9133496341094369E-3</v>
      </c>
      <c r="BD667" s="92"/>
      <c r="BE667" s="281" t="str">
        <f t="shared" si="1192"/>
        <v>NIAGARA MOHAWK POWER CORPORATION</v>
      </c>
      <c r="BF667" s="290">
        <f t="shared" si="1193"/>
        <v>4057014</v>
      </c>
      <c r="BG667" s="46" t="str">
        <f t="shared" si="1194"/>
        <v>NY</v>
      </c>
      <c r="BH667" s="46"/>
      <c r="BI667" s="46" t="str">
        <f t="shared" si="1195"/>
        <v>2012 Y</v>
      </c>
      <c r="BJ667" s="129"/>
      <c r="BK667" s="129"/>
      <c r="BL667" s="129">
        <f>INDEX('Dist. Plant Gas Additions'!$E$7:$AD$91,MATCH($C667,'Dist. Plant Gas Additions'!$C$7:$C$91,0),MATCH(Calculation!$G667,'Dist. Plant Gas Additions'!$E$5:$AD$5,0))</f>
        <v>46545</v>
      </c>
      <c r="BM667" s="129">
        <f>INDEX('Gen. Plant Additions'!$E$7:$AD$91,MATCH($C667,'Gen. Plant Additions'!$C$7:$C$91,0),MATCH(Calculation!$G667,'Gen. Plant Additions'!$E$5:$AD$5,0))</f>
        <v>1850</v>
      </c>
      <c r="BN667" s="393">
        <f t="shared" si="1202"/>
        <v>0.95583157200827684</v>
      </c>
      <c r="BO667" s="46">
        <f t="shared" si="1166"/>
        <v>1768.2884082153121</v>
      </c>
      <c r="BP667" s="46">
        <f t="shared" si="1167"/>
        <v>-81.711591784687926</v>
      </c>
      <c r="BQ667" s="129">
        <f>INDEX('Dist Plant Depreciation'!$D$7:$AC$94,MATCH($C667,'Dist Plant Depreciation'!$C$7:$C$94,0),MATCH(Calculation!$G667,'Dist Plant Depreciation'!$D$5:$AC$5,0))</f>
        <v>640257</v>
      </c>
      <c r="BR667" s="129">
        <f>INDEX('Gen. Plant Depreciation'!$D$7:$AC$94,MATCH($C667,'Gen. Plant Depreciation'!$C$7:$C$94,0),MATCH(Calculation!$G667,'Gen. Plant Depreciation'!$D$5:$AC$5,0))</f>
        <v>46323</v>
      </c>
      <c r="BS667" s="129"/>
      <c r="BT667" s="129"/>
      <c r="BU667" s="129"/>
      <c r="BV667" s="129"/>
      <c r="BW667" s="129"/>
      <c r="BX667" s="129"/>
      <c r="BY667" s="129">
        <f>INDEX('Gross Dx Plant'!$D$7:$AC$91,MATCH($C667,'Gross Dx Plant'!$C$7:$C$91,0),MATCH(Calculation!$G667,'Gross Dx Plant'!$D$5:$AC$5,0))</f>
        <v>1722549</v>
      </c>
      <c r="BZ667" s="129">
        <f>INDEX('Gross Gen Plant'!$D$7:$AC$91,MATCH($C667,'Gross Gen Plant'!$C$7:$C$91,0),MATCH(Calculation!$G667,'Gross Gen Plant'!$D$5:$AC$5,0))</f>
        <v>79598</v>
      </c>
      <c r="CA667" s="129">
        <f t="shared" si="1197"/>
        <v>1115567</v>
      </c>
      <c r="CB667" s="129"/>
      <c r="CC667" s="133">
        <v>2012</v>
      </c>
      <c r="CD667" s="129"/>
      <c r="CE667" s="129"/>
      <c r="CF667" s="129"/>
      <c r="CG667" s="137"/>
      <c r="CH667" s="129">
        <f t="shared" si="1203"/>
        <v>48395</v>
      </c>
      <c r="CI667" s="46">
        <f t="shared" si="1212"/>
        <v>48313.28840821531</v>
      </c>
      <c r="CJ667" s="46">
        <f t="shared" si="1204"/>
        <v>72.22588257075509</v>
      </c>
      <c r="CK667" s="443">
        <v>0.84090909090909094</v>
      </c>
      <c r="CL667" s="46">
        <f>+CL653*CK667+CJ654*CK666+CJ655*CK665+CJ656*CK664+CJ657*CK663+CJ658*CK662+CJ659*CK661+CJ660*CK660+CJ661*CK659+CJ662*CK658+CJ663*CK657+CJ664*CK656+CJ665*CK655+CJ666*CK654+CJ667</f>
        <v>4691.0004531185796</v>
      </c>
      <c r="CM667" s="134">
        <f t="shared" si="1205"/>
        <v>1.1710245741216221E-3</v>
      </c>
      <c r="CN667" s="135">
        <f t="shared" si="1206"/>
        <v>1.4243020570577046E-2</v>
      </c>
      <c r="CO667" s="135">
        <f t="shared" si="1215"/>
        <v>1.3836008232416985E-2</v>
      </c>
      <c r="CP667" s="134">
        <f>VLOOKUP($H667,RoR!$E:$F,2,FALSE)</f>
        <v>3.6733333333333333E-2</v>
      </c>
      <c r="CQ667" s="135">
        <v>1.924331376386168E-2</v>
      </c>
      <c r="CR667" s="135">
        <f t="shared" si="1213"/>
        <v>1.7490019569471653E-2</v>
      </c>
      <c r="CS667" s="135">
        <f t="shared" si="1216"/>
        <v>1.706593337611664E-2</v>
      </c>
      <c r="CT667" s="135">
        <f t="shared" si="1217"/>
        <v>6.7122682943869583E-2</v>
      </c>
      <c r="CU667" s="139">
        <f t="shared" si="1207"/>
        <v>0.85329623209999994</v>
      </c>
      <c r="CV667" s="335">
        <f t="shared" si="1208"/>
        <v>1.3960631020522127</v>
      </c>
      <c r="CW667" s="335">
        <f t="shared" si="1209"/>
        <v>0.29441923774954631</v>
      </c>
      <c r="CX667" s="335">
        <f t="shared" si="1210"/>
        <v>0.76377954189366437</v>
      </c>
      <c r="CY667" s="335">
        <f t="shared" si="1211"/>
        <v>0.31393465103033691</v>
      </c>
      <c r="CZ667" s="336">
        <f>INDEX('State Tax Lookup'!$D$7:$Z$91,MATCH(Calculation!$C667,'State Tax Lookup'!$B$7:$B$91,0),MATCH($H667,'State Tax Lookup'!$D$6:$Z$6,0))</f>
        <v>0.39649667</v>
      </c>
      <c r="DA667" s="303">
        <v>0.37</v>
      </c>
      <c r="DB667" s="57">
        <f t="shared" si="1214"/>
        <v>16.045853581525808</v>
      </c>
      <c r="DC667" s="56">
        <f t="shared" si="1218"/>
        <v>6.3372888849491854E-2</v>
      </c>
      <c r="DD667" s="303">
        <f>VLOOKUP($H667,RoR!$E:$F,2,FALSE)</f>
        <v>3.6733333333333333E-2</v>
      </c>
      <c r="DE667" s="304">
        <f>HLOOKUP($H667,'GDP-PI'!$D$8:$CQ$11,3,FALSE)</f>
        <v>1.924331376386168E-2</v>
      </c>
      <c r="DF667" s="303">
        <f>VLOOKUP(H667,'HW Dx Data'!$E:$F,2,FALSE)</f>
        <v>668.91932211262167</v>
      </c>
      <c r="DG667" s="89">
        <f ca="1">VLOOKUP(CC667,'ECI - Input Price'!M$13:N$33,2,FALSE)</f>
        <v>124.80000000000001</v>
      </c>
      <c r="DH667" s="89"/>
      <c r="DI667" s="89"/>
      <c r="DJ667" s="56">
        <f t="shared" ca="1" si="1226"/>
        <v>3.1955502161869064E-2</v>
      </c>
      <c r="DK667" s="53">
        <f>HLOOKUP(H667,'GDP-PI'!$8:$9,2,FALSE)</f>
        <v>100</v>
      </c>
      <c r="DL667" s="355">
        <f t="shared" si="1219"/>
        <v>1.9060502738742411E-2</v>
      </c>
      <c r="EC667"/>
    </row>
    <row r="668" spans="1:133" s="126" customFormat="1" ht="21" customHeight="1" x14ac:dyDescent="0.4">
      <c r="A668" s="233" t="s">
        <v>220</v>
      </c>
      <c r="B668" s="127" t="s">
        <v>220</v>
      </c>
      <c r="C668" s="127">
        <v>4057014</v>
      </c>
      <c r="D668" s="127" t="s">
        <v>194</v>
      </c>
      <c r="E668" s="127" t="s">
        <v>15</v>
      </c>
      <c r="F668" s="127"/>
      <c r="G668" s="127" t="s">
        <v>169</v>
      </c>
      <c r="H668" s="128">
        <v>2013</v>
      </c>
      <c r="I668" s="129"/>
      <c r="J668" s="125">
        <f>IFERROR(INDEX('Labor Expenditures'!$E$7:$W$91,MATCH($C668,'Labor Expenditures'!$C$7:$C$91,0),MATCH($G668,'Labor Expenditures'!$E$5:$W$5,0)),"NA")</f>
        <v>56187.921364873182</v>
      </c>
      <c r="K668" s="125">
        <f t="shared" ca="1" si="1220"/>
        <v>443.12240824032477</v>
      </c>
      <c r="L668" s="47"/>
      <c r="M668" s="131">
        <f t="shared" ca="1" si="1227"/>
        <v>-0.1176371013681122</v>
      </c>
      <c r="N668" s="131"/>
      <c r="O668" s="131"/>
      <c r="P668" s="59">
        <f t="shared" ca="1" si="1229"/>
        <v>-2.5439305730128514E-3</v>
      </c>
      <c r="Q668" s="61"/>
      <c r="R668" s="387"/>
      <c r="S668" s="49">
        <f t="shared" ca="1" si="1234"/>
        <v>108.62940166634775</v>
      </c>
      <c r="T668" s="61">
        <f ca="1">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</f>
        <v>-6.889743621985743E-2</v>
      </c>
      <c r="U668" s="61"/>
      <c r="V668" s="125">
        <f>IFERROR(INDEX('Non-Labor Expenditures'!$E$7:$AA$91,MATCH($C668,'Non-Labor Expenditures'!$C$7:$C$91,0),MATCH($G668,'Non-Labor Expenditures'!$E$5:$AA$5,0)),"NA")</f>
        <v>81370.604592447344</v>
      </c>
      <c r="W668" s="125">
        <f t="shared" si="1221"/>
        <v>799.53037242144137</v>
      </c>
      <c r="X668" s="131">
        <f t="shared" si="1230"/>
        <v>-0.11931317231682446</v>
      </c>
      <c r="Y668" s="131">
        <f t="shared" si="1231"/>
        <v>-2.5801760098638107E-3</v>
      </c>
      <c r="Z668" s="131"/>
      <c r="AA668" s="131"/>
      <c r="AB668" s="131"/>
      <c r="AC668" s="125">
        <f t="shared" si="1201"/>
        <v>72867.57314032015</v>
      </c>
      <c r="AD668" s="129"/>
      <c r="AE668" s="133">
        <v>5067.9818557900844</v>
      </c>
      <c r="AF668" s="134">
        <v>8.2506844849656018E-3</v>
      </c>
      <c r="AG668" s="59">
        <f t="shared" si="1222"/>
        <v>1.7842303376642283E-4</v>
      </c>
      <c r="AH668" s="134"/>
      <c r="AI668" s="134"/>
      <c r="AJ668" s="129">
        <f t="shared" si="1120"/>
        <v>210426.09909764066</v>
      </c>
      <c r="AK668" s="134">
        <f t="shared" si="1232"/>
        <v>-7.7898020709840976E-2</v>
      </c>
      <c r="AL668" s="129"/>
      <c r="AM668" s="129"/>
      <c r="AN668" s="129"/>
      <c r="AO668" s="129"/>
      <c r="AP668" s="133">
        <f t="shared" si="1233"/>
        <v>354.31114745806661</v>
      </c>
      <c r="AQ668" s="134">
        <f>+BB668/Outputs!$B$21</f>
        <v>1.6523682622608706E-2</v>
      </c>
      <c r="AR668" s="93">
        <f t="shared" si="1223"/>
        <v>0.26701973569733478</v>
      </c>
      <c r="AS668" s="93">
        <f t="shared" si="1224"/>
        <v>0.38669444969699429</v>
      </c>
      <c r="AT668" s="93">
        <f t="shared" si="1225"/>
        <v>0.34628581460567098</v>
      </c>
      <c r="AU668" s="93">
        <f t="shared" ca="1" si="1228"/>
        <v>-7.5692652168918656E-2</v>
      </c>
      <c r="AV668" s="132">
        <f t="shared" ca="1" si="1236"/>
        <v>121.80622641562772</v>
      </c>
      <c r="AW668" s="134">
        <f t="shared" ca="1" si="1237"/>
        <v>-7.5692652168918614E-2</v>
      </c>
      <c r="AX668" s="56">
        <f>+AJ668/$AL$18</f>
        <v>2.1625240195712887E-2</v>
      </c>
      <c r="AY668" s="135">
        <f t="shared" ca="1" si="1235"/>
        <v>-1.6368717842034132E-3</v>
      </c>
      <c r="AZ668" s="93"/>
      <c r="BA668" s="93"/>
      <c r="BB668" s="234">
        <f>IFERROR(INDEX('Total Customers'!$E$7:$AA$91,MATCH($C668,'Total Customers'!$C$7:$C$91,0),MATCH($G668,'Total Customers'!$E$5:$AA$5,0)),"NA")</f>
        <v>593902</v>
      </c>
      <c r="BC668" s="411">
        <f t="shared" si="1196"/>
        <v>7.9096027788599036E-3</v>
      </c>
      <c r="BD668" s="92"/>
      <c r="BE668" s="281" t="str">
        <f t="shared" si="1192"/>
        <v>NIAGARA MOHAWK POWER CORPORATION</v>
      </c>
      <c r="BF668" s="290">
        <f t="shared" si="1193"/>
        <v>4057014</v>
      </c>
      <c r="BG668" s="46" t="str">
        <f t="shared" si="1194"/>
        <v>NY</v>
      </c>
      <c r="BH668" s="46"/>
      <c r="BI668" s="46" t="str">
        <f t="shared" si="1195"/>
        <v>2013 Y</v>
      </c>
      <c r="BJ668" s="129"/>
      <c r="BK668" s="129"/>
      <c r="BL668" s="129">
        <f>INDEX('Dist. Plant Gas Additions'!$E$7:$AD$91,MATCH($C668,'Dist. Plant Gas Additions'!$C$7:$C$91,0),MATCH(Calculation!$G668,'Dist. Plant Gas Additions'!$E$5:$AD$5,0))</f>
        <v>51741</v>
      </c>
      <c r="BM668" s="129">
        <f>INDEX('Gen. Plant Additions'!$E$7:$AD$91,MATCH($C668,'Gen. Plant Additions'!$C$7:$C$91,0),MATCH(Calculation!$G668,'Gen. Plant Additions'!$E$5:$AD$5,0))</f>
        <v>2465</v>
      </c>
      <c r="BN668" s="393">
        <f t="shared" si="1202"/>
        <v>0.95574726131419152</v>
      </c>
      <c r="BO668" s="46">
        <f t="shared" si="1166"/>
        <v>2355.916999139482</v>
      </c>
      <c r="BP668" s="46">
        <f t="shared" si="1167"/>
        <v>-109.08300086051804</v>
      </c>
      <c r="BQ668" s="129">
        <f>INDEX('Dist Plant Depreciation'!$D$7:$AC$94,MATCH($C668,'Dist Plant Depreciation'!$C$7:$C$94,0),MATCH(Calculation!$G668,'Dist Plant Depreciation'!$D$5:$AC$5,0))</f>
        <v>670201</v>
      </c>
      <c r="BR668" s="129">
        <f>INDEX('Gen. Plant Depreciation'!$D$7:$AC$94,MATCH($C668,'Gen. Plant Depreciation'!$C$7:$C$94,0),MATCH(Calculation!$G668,'Gen. Plant Depreciation'!$D$5:$AC$5,0))</f>
        <v>35662</v>
      </c>
      <c r="BS668" s="129"/>
      <c r="BT668" s="129"/>
      <c r="BU668" s="129"/>
      <c r="BV668" s="129"/>
      <c r="BW668" s="129"/>
      <c r="BX668" s="129"/>
      <c r="BY668" s="129">
        <f>INDEX('Gross Dx Plant'!$D$7:$AC$91,MATCH($C668,'Gross Dx Plant'!$C$7:$C$91,0),MATCH(Calculation!$G668,'Gross Dx Plant'!$D$5:$AC$5,0))</f>
        <v>1771511</v>
      </c>
      <c r="BZ668" s="129">
        <f>INDEX('Gross Gen Plant'!$D$7:$AC$91,MATCH($C668,'Gross Gen Plant'!$C$7:$C$91,0),MATCH(Calculation!$G668,'Gross Gen Plant'!$D$5:$AC$5,0))</f>
        <v>82024</v>
      </c>
      <c r="CA668" s="129">
        <f t="shared" si="1197"/>
        <v>1147672</v>
      </c>
      <c r="CB668" s="129"/>
      <c r="CC668" s="133">
        <v>2013</v>
      </c>
      <c r="CD668" s="129"/>
      <c r="CE668" s="129"/>
      <c r="CF668" s="129"/>
      <c r="CG668" s="137"/>
      <c r="CH668" s="129">
        <f t="shared" si="1203"/>
        <v>54206</v>
      </c>
      <c r="CI668" s="46">
        <f t="shared" si="1212"/>
        <v>54096.916999139481</v>
      </c>
      <c r="CJ668" s="46">
        <f t="shared" si="1204"/>
        <v>81.563583947584462</v>
      </c>
      <c r="CK668" s="443">
        <v>0.82758620689655171</v>
      </c>
      <c r="CL668" s="46">
        <f>+CL653*CK668+CJ654*CK667+CJ655*CK666+CJ656*CK665+CJ657*CK664+CJ658*CK663+CJ659*CK662+CJ660*CK661+CJ661*CK660+CJ662*CK659+CJ663*CK658+CJ664*CK657+CJ665*CK656+CJ666*CK655+CJ667*CK654+CJ668</f>
        <v>4703.6072323958761</v>
      </c>
      <c r="CM668" s="134">
        <f t="shared" si="1205"/>
        <v>2.683834656325183E-3</v>
      </c>
      <c r="CN668" s="135">
        <f t="shared" si="1206"/>
        <v>1.4699807718936685E-2</v>
      </c>
      <c r="CO668" s="135">
        <f t="shared" si="1215"/>
        <v>1.4257187827302675E-2</v>
      </c>
      <c r="CP668" s="134">
        <f>VLOOKUP($H668,RoR!$E:$F,2,FALSE)</f>
        <v>4.2350000000000006E-2</v>
      </c>
      <c r="CQ668" s="135">
        <v>1.7730000000000024E-2</v>
      </c>
      <c r="CR668" s="135">
        <f t="shared" si="1213"/>
        <v>2.4619999999999982E-2</v>
      </c>
      <c r="CS668" s="135">
        <f t="shared" si="1216"/>
        <v>1.664475378123095E-2</v>
      </c>
      <c r="CT668" s="135">
        <f t="shared" si="1217"/>
        <v>5.3376742735721204E-2</v>
      </c>
      <c r="CU668" s="139">
        <f t="shared" si="1207"/>
        <v>0.85329623209999994</v>
      </c>
      <c r="CV668" s="335">
        <f t="shared" si="1208"/>
        <v>1.2109103018193925</v>
      </c>
      <c r="CW668" s="335">
        <f t="shared" si="1209"/>
        <v>0.38468122786304604</v>
      </c>
      <c r="CX668" s="335">
        <f t="shared" si="1210"/>
        <v>0.80969194503422559</v>
      </c>
      <c r="CY668" s="335">
        <f t="shared" si="1211"/>
        <v>0.37716621754800816</v>
      </c>
      <c r="CZ668" s="336">
        <f>INDEX('State Tax Lookup'!$D$7:$Z$91,MATCH(Calculation!$C668,'State Tax Lookup'!$B$7:$B$91,0),MATCH($H668,'State Tax Lookup'!$D$6:$Z$6,0))</f>
        <v>0.39649667</v>
      </c>
      <c r="DA668" s="303">
        <v>0.37</v>
      </c>
      <c r="DB668" s="57">
        <f t="shared" si="1214"/>
        <v>15.53348243483493</v>
      </c>
      <c r="DC668" s="56">
        <f t="shared" si="1218"/>
        <v>-3.2452621142803388E-2</v>
      </c>
      <c r="DD668" s="303">
        <f>VLOOKUP($H668,RoR!$E:$F,2,FALSE)</f>
        <v>4.2350000000000006E-2</v>
      </c>
      <c r="DE668" s="304">
        <f>HLOOKUP($H668,'GDP-PI'!$D$8:$CQ$11,3,FALSE)</f>
        <v>1.7730000000000024E-2</v>
      </c>
      <c r="DF668" s="303">
        <f>VLOOKUP(H668,'HW Dx Data'!$E:$F,2,FALSE)</f>
        <v>663.24840548821396</v>
      </c>
      <c r="DG668" s="89">
        <f ca="1">VLOOKUP(CC668,'ECI - Input Price'!M$13:N$33,2,FALSE)</f>
        <v>126.8</v>
      </c>
      <c r="DH668" s="89"/>
      <c r="DI668" s="89"/>
      <c r="DJ668" s="56">
        <f t="shared" ca="1" si="1226"/>
        <v>1.5898586067798204E-2</v>
      </c>
      <c r="DK668" s="53">
        <f>HLOOKUP(H668,'GDP-PI'!$8:$9,2,FALSE)</f>
        <v>101.773</v>
      </c>
      <c r="DL668" s="355">
        <f t="shared" si="1219"/>
        <v>1.7574657016510519E-2</v>
      </c>
      <c r="EC668"/>
    </row>
    <row r="669" spans="1:133" s="126" customFormat="1" ht="21" customHeight="1" x14ac:dyDescent="0.4">
      <c r="A669" s="233" t="s">
        <v>220</v>
      </c>
      <c r="B669" s="127" t="s">
        <v>220</v>
      </c>
      <c r="C669" s="127">
        <v>4057014</v>
      </c>
      <c r="D669" s="127" t="s">
        <v>194</v>
      </c>
      <c r="E669" s="127" t="s">
        <v>15</v>
      </c>
      <c r="F669" s="127"/>
      <c r="G669" s="127" t="s">
        <v>170</v>
      </c>
      <c r="H669" s="128">
        <v>2014</v>
      </c>
      <c r="I669" s="129"/>
      <c r="J669" s="125">
        <f>IFERROR(INDEX('Labor Expenditures'!$E$7:$W$91,MATCH($C669,'Labor Expenditures'!$C$7:$C$91,0),MATCH($G669,'Labor Expenditures'!$E$5:$W$5,0)),"NA")</f>
        <v>58852.195422929566</v>
      </c>
      <c r="K669" s="125">
        <f t="shared" ca="1" si="1220"/>
        <v>454.808310841805</v>
      </c>
      <c r="L669" s="47"/>
      <c r="M669" s="131">
        <f t="shared" ca="1" si="1227"/>
        <v>2.6029986881839877E-2</v>
      </c>
      <c r="N669" s="131"/>
      <c r="O669" s="131"/>
      <c r="P669" s="59">
        <f t="shared" ca="1" si="1229"/>
        <v>5.7149459766307243E-4</v>
      </c>
      <c r="Q669" s="61"/>
      <c r="R669" s="387"/>
      <c r="S669" s="49">
        <f t="shared" ca="1" si="1234"/>
        <v>120.54665568517191</v>
      </c>
      <c r="T669" s="61">
        <f ca="1">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</f>
        <v>0.10409475766953517</v>
      </c>
      <c r="U669" s="61"/>
      <c r="V669" s="125">
        <f>IFERROR(INDEX('Non-Labor Expenditures'!$E$7:$AA$91,MATCH($C669,'Non-Labor Expenditures'!$C$7:$C$91,0),MATCH($G669,'Non-Labor Expenditures'!$E$5:$AA$5,0)),"NA")</f>
        <v>85228.971046265884</v>
      </c>
      <c r="W669" s="125">
        <f t="shared" si="1221"/>
        <v>822.30041435126805</v>
      </c>
      <c r="X669" s="131">
        <f t="shared" si="1230"/>
        <v>2.8081275047258374E-2</v>
      </c>
      <c r="Y669" s="131">
        <f t="shared" si="1231"/>
        <v>6.1653112073580332E-4</v>
      </c>
      <c r="Z669" s="131"/>
      <c r="AA669" s="131"/>
      <c r="AB669" s="131"/>
      <c r="AC669" s="125">
        <f t="shared" si="1201"/>
        <v>73478.066865986446</v>
      </c>
      <c r="AD669" s="129"/>
      <c r="AE669" s="133">
        <v>5156.8141923356388</v>
      </c>
      <c r="AF669" s="134">
        <v>1.7376301934091162E-2</v>
      </c>
      <c r="AG669" s="59">
        <f t="shared" si="1222"/>
        <v>3.8150087158221347E-4</v>
      </c>
      <c r="AH669" s="134"/>
      <c r="AI669" s="134"/>
      <c r="AJ669" s="129">
        <f t="shared" si="1120"/>
        <v>217559.2333351819</v>
      </c>
      <c r="AK669" s="134">
        <f t="shared" si="1232"/>
        <v>3.3336632313482314E-2</v>
      </c>
      <c r="AL669" s="129"/>
      <c r="AM669" s="129"/>
      <c r="AN669" s="129"/>
      <c r="AO669" s="129"/>
      <c r="AP669" s="133">
        <f t="shared" si="1233"/>
        <v>363.97576386526003</v>
      </c>
      <c r="AQ669" s="134">
        <f>+BB669/Outputs!$B$22</f>
        <v>1.6541319259665753E-2</v>
      </c>
      <c r="AR669" s="93">
        <f t="shared" si="1223"/>
        <v>0.27051113630401119</v>
      </c>
      <c r="AS669" s="93">
        <f t="shared" si="1224"/>
        <v>0.39175064987914421</v>
      </c>
      <c r="AT669" s="93">
        <f t="shared" si="1225"/>
        <v>0.3377382138168446</v>
      </c>
      <c r="AU669" s="93">
        <f t="shared" ca="1" si="1228"/>
        <v>2.3868730272604978E-2</v>
      </c>
      <c r="AV669" s="132">
        <f t="shared" ca="1" si="1236"/>
        <v>124.74856159178277</v>
      </c>
      <c r="AW669" s="134">
        <f t="shared" ca="1" si="1237"/>
        <v>2.3868730272605051E-2</v>
      </c>
      <c r="AX669" s="56">
        <f>+AJ669/$AL$19</f>
        <v>2.1955239557257797E-2</v>
      </c>
      <c r="AY669" s="135">
        <f t="shared" ca="1" si="1235"/>
        <v>5.2404369106261509E-4</v>
      </c>
      <c r="AZ669" s="93"/>
      <c r="BA669" s="93"/>
      <c r="BB669" s="234">
        <f>IFERROR(INDEX('Total Customers'!$E$7:$AA$91,MATCH($C669,'Total Customers'!$C$7:$C$91,0),MATCH($G669,'Total Customers'!$E$5:$AA$5,0)),"NA")</f>
        <v>597730</v>
      </c>
      <c r="BC669" s="411">
        <f t="shared" si="1196"/>
        <v>6.4248243883857246E-3</v>
      </c>
      <c r="BD669" s="92"/>
      <c r="BE669" s="281" t="str">
        <f t="shared" si="1192"/>
        <v>NIAGARA MOHAWK POWER CORPORATION</v>
      </c>
      <c r="BF669" s="290">
        <f t="shared" si="1193"/>
        <v>4057014</v>
      </c>
      <c r="BG669" s="46" t="str">
        <f t="shared" si="1194"/>
        <v>NY</v>
      </c>
      <c r="BH669" s="46"/>
      <c r="BI669" s="46" t="str">
        <f t="shared" si="1195"/>
        <v>2014 Y</v>
      </c>
      <c r="BJ669" s="129"/>
      <c r="BK669" s="129"/>
      <c r="BL669" s="129">
        <f>INDEX('Dist. Plant Gas Additions'!$E$7:$AD$91,MATCH($C669,'Dist. Plant Gas Additions'!$C$7:$C$91,0),MATCH(Calculation!$G669,'Dist. Plant Gas Additions'!$E$5:$AD$5,0))</f>
        <v>83801</v>
      </c>
      <c r="BM669" s="129">
        <f>INDEX('Gen. Plant Additions'!$E$7:$AD$91,MATCH($C669,'Gen. Plant Additions'!$C$7:$C$91,0),MATCH(Calculation!$G669,'Gen. Plant Additions'!$E$5:$AD$5,0))</f>
        <v>5743</v>
      </c>
      <c r="BN669" s="393">
        <f t="shared" si="1202"/>
        <v>0.95474861317553061</v>
      </c>
      <c r="BO669" s="46">
        <f t="shared" si="1166"/>
        <v>5483.1212854670721</v>
      </c>
      <c r="BP669" s="46">
        <f t="shared" si="1167"/>
        <v>-259.87871453292792</v>
      </c>
      <c r="BQ669" s="129">
        <f>INDEX('Dist Plant Depreciation'!$D$7:$AC$94,MATCH($C669,'Dist Plant Depreciation'!$C$7:$C$94,0),MATCH(Calculation!$G669,'Dist Plant Depreciation'!$D$5:$AC$5,0))</f>
        <v>680206</v>
      </c>
      <c r="BR669" s="129">
        <f>INDEX('Gen. Plant Depreciation'!$D$7:$AC$94,MATCH($C669,'Gen. Plant Depreciation'!$C$7:$C$94,0),MATCH(Calculation!$G669,'Gen. Plant Depreciation'!$D$5:$AC$5,0))</f>
        <v>39470</v>
      </c>
      <c r="BS669" s="129"/>
      <c r="BT669" s="129"/>
      <c r="BU669" s="129"/>
      <c r="BV669" s="129"/>
      <c r="BW669" s="129"/>
      <c r="BX669" s="129"/>
      <c r="BY669" s="129">
        <f>INDEX('Gross Dx Plant'!$D$7:$AC$91,MATCH($C669,'Gross Dx Plant'!$C$7:$C$91,0),MATCH(Calculation!$G669,'Gross Dx Plant'!$D$5:$AC$5,0))</f>
        <v>1846058</v>
      </c>
      <c r="BZ669" s="129">
        <f>INDEX('Gross Gen Plant'!$D$7:$AC$91,MATCH($C669,'Gross Gen Plant'!$C$7:$C$91,0),MATCH(Calculation!$G669,'Gross Gen Plant'!$D$5:$AC$5,0))</f>
        <v>87496</v>
      </c>
      <c r="CA669" s="129">
        <f t="shared" si="1197"/>
        <v>1213878</v>
      </c>
      <c r="CB669" s="129"/>
      <c r="CC669" s="133">
        <v>2014</v>
      </c>
      <c r="CD669" s="129"/>
      <c r="CE669" s="129"/>
      <c r="CF669" s="129"/>
      <c r="CG669" s="137"/>
      <c r="CH669" s="129">
        <f t="shared" si="1203"/>
        <v>89544</v>
      </c>
      <c r="CI669" s="46">
        <f t="shared" si="1212"/>
        <v>89284.121285467074</v>
      </c>
      <c r="CJ669" s="46">
        <f t="shared" si="1204"/>
        <v>130.442872725641</v>
      </c>
      <c r="CK669" s="443">
        <v>0.81395348837209303</v>
      </c>
      <c r="CL669" s="46">
        <f>+CL653*CK669+CJ654*CK668+CJ655*CK667+CJ656*CK666+CJ657*CK665+CJ658*CK664+CJ659*CK663+CJ660*CK662+CJ661*CK661+CJ662*CK660+CJ663*CK659+CJ664*CK658+CJ665*CK657+CJ666*CK656+CJ667*CK655+CJ668*CK654+CJ669</f>
        <v>4762.7139414249941</v>
      </c>
      <c r="CM669" s="134">
        <f t="shared" si="1205"/>
        <v>1.2487950932025283E-2</v>
      </c>
      <c r="CN669" s="135">
        <f t="shared" si="1206"/>
        <v>1.5166267116267366E-2</v>
      </c>
      <c r="CO669" s="135">
        <f t="shared" si="1215"/>
        <v>1.4703031801927032E-2</v>
      </c>
      <c r="CP669" s="134">
        <f>VLOOKUP($H669,RoR!$E:$F,2,FALSE)</f>
        <v>4.1625000000000002E-2</v>
      </c>
      <c r="CQ669" s="135">
        <v>1.841352814597208E-2</v>
      </c>
      <c r="CR669" s="135">
        <f t="shared" si="1213"/>
        <v>2.3211471854027922E-2</v>
      </c>
      <c r="CS669" s="135">
        <f t="shared" si="1216"/>
        <v>1.6198909806606591E-2</v>
      </c>
      <c r="CT669" s="135">
        <f t="shared" si="1217"/>
        <v>3.9072621432650924E-2</v>
      </c>
      <c r="CU669" s="139">
        <f t="shared" si="1207"/>
        <v>0.85329623209999994</v>
      </c>
      <c r="CV669" s="335">
        <f t="shared" si="1208"/>
        <v>1.2320012320012319</v>
      </c>
      <c r="CW669" s="335">
        <f t="shared" si="1209"/>
        <v>0.37439939939939942</v>
      </c>
      <c r="CX669" s="335">
        <f t="shared" si="1210"/>
        <v>0.80432100613819935</v>
      </c>
      <c r="CY669" s="335">
        <f t="shared" si="1211"/>
        <v>0.37100152660040037</v>
      </c>
      <c r="CZ669" s="336">
        <f>INDEX('State Tax Lookup'!$D$7:$Z$91,MATCH(Calculation!$C669,'State Tax Lookup'!$B$7:$B$91,0),MATCH($H669,'State Tax Lookup'!$D$6:$Z$6,0))</f>
        <v>0.39649667</v>
      </c>
      <c r="DA669" s="303">
        <v>0.37</v>
      </c>
      <c r="DB669" s="57">
        <f t="shared" si="1214"/>
        <v>15.621641696591858</v>
      </c>
      <c r="DC669" s="56">
        <f t="shared" si="1218"/>
        <v>5.6593898767388915E-3</v>
      </c>
      <c r="DD669" s="303">
        <f>VLOOKUP($H669,RoR!$E:$F,2,FALSE)</f>
        <v>4.1625000000000002E-2</v>
      </c>
      <c r="DE669" s="304">
        <f>HLOOKUP($H669,'GDP-PI'!$D$8:$CQ$11,3,FALSE)</f>
        <v>1.841352814597208E-2</v>
      </c>
      <c r="DF669" s="303">
        <f>VLOOKUP(H669,'HW Dx Data'!$E:$F,2,FALSE)</f>
        <v>684.46914285042885</v>
      </c>
      <c r="DG669" s="89">
        <f ca="1">VLOOKUP(CC669,'ECI - Input Price'!M$13:N$33,2,FALSE)</f>
        <v>129.4</v>
      </c>
      <c r="DH669" s="89"/>
      <c r="DI669" s="89"/>
      <c r="DJ669" s="56">
        <f t="shared" ca="1" si="1226"/>
        <v>2.0297340063674733E-2</v>
      </c>
      <c r="DK669" s="53">
        <f>HLOOKUP(H669,'GDP-PI'!$8:$9,2,FALSE)</f>
        <v>103.64700000000001</v>
      </c>
      <c r="DL669" s="355">
        <f t="shared" si="1219"/>
        <v>1.8246051898256087E-2</v>
      </c>
      <c r="EC669"/>
    </row>
    <row r="670" spans="1:133" s="126" customFormat="1" ht="21" customHeight="1" x14ac:dyDescent="0.4">
      <c r="A670" s="233" t="s">
        <v>220</v>
      </c>
      <c r="B670" s="127" t="s">
        <v>220</v>
      </c>
      <c r="C670" s="127">
        <v>4057014</v>
      </c>
      <c r="D670" s="127" t="s">
        <v>194</v>
      </c>
      <c r="E670" s="127" t="s">
        <v>15</v>
      </c>
      <c r="F670" s="127"/>
      <c r="G670" s="127" t="s">
        <v>171</v>
      </c>
      <c r="H670" s="128">
        <v>2015</v>
      </c>
      <c r="I670" s="129"/>
      <c r="J670" s="125">
        <f>IFERROR(INDEX('Labor Expenditures'!$E$7:$W$91,MATCH($C670,'Labor Expenditures'!$C$7:$C$91,0),MATCH($G670,'Labor Expenditures'!$E$5:$W$5,0)),"NA")</f>
        <v>53265.028989085979</v>
      </c>
      <c r="K670" s="125">
        <f t="shared" ca="1" si="1220"/>
        <v>398.98898119165528</v>
      </c>
      <c r="L670" s="47"/>
      <c r="M670" s="131">
        <f t="shared" ca="1" si="1227"/>
        <v>-0.13094223488064619</v>
      </c>
      <c r="N670" s="131"/>
      <c r="O670" s="131"/>
      <c r="P670" s="59">
        <f t="shared" ca="1" si="1229"/>
        <v>-2.6558824851032263E-3</v>
      </c>
      <c r="Q670" s="61"/>
      <c r="R670" s="387"/>
      <c r="S670" s="49">
        <f t="shared" ca="1" si="1234"/>
        <v>119.08627513567319</v>
      </c>
      <c r="T670" s="61">
        <f ca="1">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</f>
        <v>-1.2188630538323831E-2</v>
      </c>
      <c r="U670" s="61"/>
      <c r="V670" s="125">
        <f>IFERROR(INDEX('Non-Labor Expenditures'!$E$7:$AA$91,MATCH($C670,'Non-Labor Expenditures'!$C$7:$C$91,0),MATCH($G670,'Non-Labor Expenditures'!$E$5:$AA$5,0)),"NA")</f>
        <v>77137.71051131573</v>
      </c>
      <c r="W670" s="125">
        <f t="shared" si="1221"/>
        <v>737.17935484203531</v>
      </c>
      <c r="X670" s="131">
        <f t="shared" si="1230"/>
        <v>-0.10927457529258507</v>
      </c>
      <c r="Y670" s="131">
        <f t="shared" si="1231"/>
        <v>-2.2164004673603309E-3</v>
      </c>
      <c r="Z670" s="131"/>
      <c r="AA670" s="131"/>
      <c r="AB670" s="131"/>
      <c r="AC670" s="125">
        <f t="shared" si="1201"/>
        <v>71625.985257765336</v>
      </c>
      <c r="AD670" s="129"/>
      <c r="AE670" s="133">
        <v>5276.8319772670202</v>
      </c>
      <c r="AF670" s="134">
        <v>2.3006929103406359E-2</v>
      </c>
      <c r="AG670" s="59">
        <f t="shared" si="1222"/>
        <v>4.6664622837272202E-4</v>
      </c>
      <c r="AH670" s="134"/>
      <c r="AI670" s="134"/>
      <c r="AJ670" s="129">
        <f t="shared" ref="AJ670:AJ733" si="1238">+J670+V670+AC670</f>
        <v>202028.72475816705</v>
      </c>
      <c r="AK670" s="134">
        <f t="shared" si="1232"/>
        <v>-7.4061261560357097E-2</v>
      </c>
      <c r="AL670" s="129"/>
      <c r="AM670" s="129"/>
      <c r="AN670" s="129"/>
      <c r="AO670" s="129"/>
      <c r="AP670" s="133">
        <f t="shared" si="1233"/>
        <v>335.06379364027731</v>
      </c>
      <c r="AQ670" s="134">
        <f>+BB670/Outputs!$B$23</f>
        <v>1.65502628911527E-2</v>
      </c>
      <c r="AR670" s="93">
        <f t="shared" si="1223"/>
        <v>0.26365077071513182</v>
      </c>
      <c r="AS670" s="93">
        <f t="shared" si="1224"/>
        <v>0.38181555916690219</v>
      </c>
      <c r="AT670" s="93">
        <f t="shared" si="1225"/>
        <v>0.35453367011796594</v>
      </c>
      <c r="AU670" s="93">
        <f t="shared" ca="1" si="1228"/>
        <v>-6.9274211346713285E-2</v>
      </c>
      <c r="AV670" s="132">
        <f t="shared" ca="1" si="1236"/>
        <v>116.39923846651561</v>
      </c>
      <c r="AW670" s="134">
        <f t="shared" ca="1" si="1237"/>
        <v>-6.9274211346713244E-2</v>
      </c>
      <c r="AX670" s="56">
        <f>+AJ670/$AL$20</f>
        <v>2.0282855928983209E-2</v>
      </c>
      <c r="AY670" s="135">
        <f t="shared" ca="1" si="1235"/>
        <v>-1.4050788483393186E-3</v>
      </c>
      <c r="AZ670" s="93"/>
      <c r="BA670" s="93"/>
      <c r="BB670" s="234">
        <f>IFERROR(INDEX('Total Customers'!$E$7:$AA$91,MATCH($C670,'Total Customers'!$C$7:$C$91,0),MATCH($G670,'Total Customers'!$E$5:$AA$5,0)),"NA")</f>
        <v>602956</v>
      </c>
      <c r="BC670" s="411">
        <f t="shared" si="1196"/>
        <v>8.7050785991486437E-3</v>
      </c>
      <c r="BD670" s="92"/>
      <c r="BE670" s="281" t="str">
        <f t="shared" si="1192"/>
        <v>NIAGARA MOHAWK POWER CORPORATION</v>
      </c>
      <c r="BF670" s="290">
        <f t="shared" si="1193"/>
        <v>4057014</v>
      </c>
      <c r="BG670" s="46" t="str">
        <f t="shared" si="1194"/>
        <v>NY</v>
      </c>
      <c r="BH670" s="46"/>
      <c r="BI670" s="46" t="str">
        <f t="shared" si="1195"/>
        <v>2015 Y</v>
      </c>
      <c r="BJ670" s="129"/>
      <c r="BK670" s="129"/>
      <c r="BL670" s="129">
        <f>INDEX('Dist. Plant Gas Additions'!$E$7:$AD$91,MATCH($C670,'Dist. Plant Gas Additions'!$C$7:$C$91,0),MATCH(Calculation!$G670,'Dist. Plant Gas Additions'!$E$5:$AD$5,0))</f>
        <v>107916</v>
      </c>
      <c r="BM670" s="129">
        <f>INDEX('Gen. Plant Additions'!$E$7:$AD$91,MATCH($C670,'Gen. Plant Additions'!$C$7:$C$91,0),MATCH(Calculation!$G670,'Gen. Plant Additions'!$E$5:$AD$5,0))</f>
        <v>3057</v>
      </c>
      <c r="BN670" s="393">
        <f t="shared" si="1202"/>
        <v>0.95555634084858765</v>
      </c>
      <c r="BO670" s="46">
        <f t="shared" si="1166"/>
        <v>2921.1357339741326</v>
      </c>
      <c r="BP670" s="46">
        <f t="shared" si="1167"/>
        <v>-135.86426602586744</v>
      </c>
      <c r="BQ670" s="129">
        <f>INDEX('Dist Plant Depreciation'!$D$7:$AC$94,MATCH($C670,'Dist Plant Depreciation'!$C$7:$C$94,0),MATCH(Calculation!$G670,'Dist Plant Depreciation'!$D$5:$AC$5,0))</f>
        <v>708737</v>
      </c>
      <c r="BR670" s="129">
        <f>INDEX('Gen. Plant Depreciation'!$D$7:$AC$94,MATCH($C670,'Gen. Plant Depreciation'!$C$7:$C$94,0),MATCH(Calculation!$G670,'Gen. Plant Depreciation'!$D$5:$AC$5,0))</f>
        <v>43358</v>
      </c>
      <c r="BS670" s="129"/>
      <c r="BT670" s="129"/>
      <c r="BU670" s="129"/>
      <c r="BV670" s="129"/>
      <c r="BW670" s="129"/>
      <c r="BX670" s="129"/>
      <c r="BY670" s="129">
        <f>INDEX('Gross Dx Plant'!$D$7:$AC$91,MATCH($C670,'Gross Dx Plant'!$C$7:$C$91,0),MATCH(Calculation!$G670,'Gross Dx Plant'!$D$5:$AC$5,0))</f>
        <v>1946904</v>
      </c>
      <c r="BZ670" s="129">
        <f>INDEX('Gross Gen Plant'!$D$7:$AC$91,MATCH($C670,'Gross Gen Plant'!$C$7:$C$91,0),MATCH(Calculation!$G670,'Gross Gen Plant'!$D$5:$AC$5,0))</f>
        <v>90552</v>
      </c>
      <c r="CA670" s="129">
        <f t="shared" si="1197"/>
        <v>1285361</v>
      </c>
      <c r="CB670" s="129"/>
      <c r="CC670" s="133">
        <v>2015</v>
      </c>
      <c r="CD670" s="129"/>
      <c r="CE670" s="129"/>
      <c r="CF670" s="129"/>
      <c r="CG670" s="137"/>
      <c r="CH670" s="129">
        <f t="shared" si="1203"/>
        <v>110973</v>
      </c>
      <c r="CI670" s="46">
        <f t="shared" si="1212"/>
        <v>110837.13573397414</v>
      </c>
      <c r="CJ670" s="46">
        <f t="shared" si="1204"/>
        <v>164.05378200231729</v>
      </c>
      <c r="CK670" s="443">
        <v>0.8</v>
      </c>
      <c r="CL670" s="46">
        <f>+CL653*CK670+CJ654*CK669+CJ655*CK668+CJ656*CK667+CJ657*CK666+CJ658*CK665+CJ659*CK664+CJ660*CK663+CJ661*CK662+CJ662*CK661+CJ663*CK660+CJ664*CK659+CJ665*CK658+CJ666*CK657+CJ667*CK656+CJ668*CK655+CJ669*CK654+CJ670</f>
        <v>4852.49765245249</v>
      </c>
      <c r="CM670" s="134">
        <f t="shared" si="1205"/>
        <v>1.8675890752027417E-2</v>
      </c>
      <c r="CN670" s="135">
        <f t="shared" si="1206"/>
        <v>1.5594065041118123E-2</v>
      </c>
      <c r="CO670" s="135">
        <f t="shared" si="1215"/>
        <v>1.5153379958774056E-2</v>
      </c>
      <c r="CP670" s="134">
        <f>VLOOKUP($H670,RoR!$E:$F,2,FALSE)</f>
        <v>3.8866666666666674E-2</v>
      </c>
      <c r="CQ670" s="135">
        <v>9.5709475431029478E-3</v>
      </c>
      <c r="CR670" s="135">
        <f t="shared" si="1213"/>
        <v>2.9295719123563727E-2</v>
      </c>
      <c r="CS670" s="135">
        <f t="shared" si="1216"/>
        <v>1.5748561649759567E-2</v>
      </c>
      <c r="CT670" s="135">
        <f t="shared" si="1217"/>
        <v>3.5270373279175926E-3</v>
      </c>
      <c r="CU670" s="139">
        <f t="shared" si="1207"/>
        <v>0.85329623209999994</v>
      </c>
      <c r="CV670" s="335">
        <f t="shared" si="1208"/>
        <v>1.3194352816994324</v>
      </c>
      <c r="CW670" s="335">
        <f t="shared" si="1209"/>
        <v>0.33177530017152673</v>
      </c>
      <c r="CX670" s="335">
        <f t="shared" si="1210"/>
        <v>0.78242572977668579</v>
      </c>
      <c r="CY670" s="335">
        <f t="shared" si="1211"/>
        <v>0.34251158643433932</v>
      </c>
      <c r="CZ670" s="336">
        <f>INDEX('State Tax Lookup'!$D$7:$Z$91,MATCH(Calculation!$C670,'State Tax Lookup'!$B$7:$B$91,0),MATCH($H670,'State Tax Lookup'!$D$6:$Z$6,0))</f>
        <v>0.39649667</v>
      </c>
      <c r="DA670" s="303">
        <v>0.37</v>
      </c>
      <c r="DB670" s="57">
        <f t="shared" si="1214"/>
        <v>15.03890137822029</v>
      </c>
      <c r="DC670" s="56">
        <f t="shared" si="1218"/>
        <v>-3.8016971910505258E-2</v>
      </c>
      <c r="DD670" s="303">
        <f>VLOOKUP($H670,RoR!$E:$F,2,FALSE)</f>
        <v>3.8866666666666674E-2</v>
      </c>
      <c r="DE670" s="304">
        <f>HLOOKUP($H670,'GDP-PI'!$D$8:$CQ$11,3,FALSE)</f>
        <v>9.5709475431029478E-3</v>
      </c>
      <c r="DF670" s="303">
        <f>VLOOKUP(H670,'HW Dx Data'!$E:$F,2,FALSE)</f>
        <v>675.61463308665782</v>
      </c>
      <c r="DG670" s="89">
        <f ca="1">VLOOKUP(CC670,'ECI - Input Price'!M$13:N$33,2,FALSE)</f>
        <v>133.5</v>
      </c>
      <c r="DH670" s="89"/>
      <c r="DI670" s="89"/>
      <c r="DJ670" s="56">
        <f t="shared" ca="1" si="1226"/>
        <v>3.1193095773504077E-2</v>
      </c>
      <c r="DK670" s="53">
        <f>HLOOKUP(H670,'GDP-PI'!$8:$9,2,FALSE)</f>
        <v>104.639</v>
      </c>
      <c r="DL670" s="355">
        <f t="shared" si="1219"/>
        <v>9.5254361854427965E-3</v>
      </c>
      <c r="EC670"/>
    </row>
    <row r="671" spans="1:133" s="126" customFormat="1" ht="21" customHeight="1" x14ac:dyDescent="0.4">
      <c r="A671" s="233" t="s">
        <v>220</v>
      </c>
      <c r="B671" s="127" t="s">
        <v>220</v>
      </c>
      <c r="C671" s="127">
        <v>4057014</v>
      </c>
      <c r="D671" s="127" t="s">
        <v>194</v>
      </c>
      <c r="E671" s="127" t="s">
        <v>15</v>
      </c>
      <c r="F671" s="127"/>
      <c r="G671" s="127" t="s">
        <v>172</v>
      </c>
      <c r="H671" s="128">
        <v>2016</v>
      </c>
      <c r="I671" s="129"/>
      <c r="J671" s="125">
        <f>IFERROR(INDEX('Labor Expenditures'!$E$7:$W$91,MATCH($C671,'Labor Expenditures'!$C$7:$C$91,0),MATCH($G671,'Labor Expenditures'!$E$5:$W$5,0)),"NA")</f>
        <v>57585.141320553004</v>
      </c>
      <c r="K671" s="125">
        <f t="shared" ca="1" si="1220"/>
        <v>420.48295962433741</v>
      </c>
      <c r="L671" s="47"/>
      <c r="M671" s="131">
        <f t="shared" ca="1" si="1227"/>
        <v>5.2470154064307592E-2</v>
      </c>
      <c r="N671" s="131"/>
      <c r="O671" s="131"/>
      <c r="P671" s="59">
        <f t="shared" ca="1" si="1229"/>
        <v>1.0793034068465397E-3</v>
      </c>
      <c r="Q671" s="61"/>
      <c r="R671" s="387"/>
      <c r="S671" s="49">
        <f t="shared" ca="1" si="1234"/>
        <v>299.94513736905918</v>
      </c>
      <c r="T671" s="61">
        <f ca="1">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</f>
        <v>0.92375135093070893</v>
      </c>
      <c r="U671" s="61"/>
      <c r="V671" s="125">
        <f>IFERROR(INDEX('Non-Labor Expenditures'!$E$7:$AA$91,MATCH($C671,'Non-Labor Expenditures'!$C$7:$C$91,0),MATCH($G671,'Non-Labor Expenditures'!$E$5:$AA$5,0)),"NA")</f>
        <v>83394.040052962111</v>
      </c>
      <c r="W671" s="125">
        <f t="shared" si="1221"/>
        <v>788.70053768784624</v>
      </c>
      <c r="X671" s="131">
        <f t="shared" si="1230"/>
        <v>6.7555481565885755E-2</v>
      </c>
      <c r="Y671" s="131">
        <f t="shared" si="1231"/>
        <v>1.3896063906322224E-3</v>
      </c>
      <c r="Z671" s="131"/>
      <c r="AA671" s="131"/>
      <c r="AB671" s="131"/>
      <c r="AC671" s="125">
        <f t="shared" si="1201"/>
        <v>70531.323183934321</v>
      </c>
      <c r="AD671" s="129"/>
      <c r="AE671" s="133">
        <v>5355.7344684307773</v>
      </c>
      <c r="AF671" s="134">
        <v>1.4841936792673115E-2</v>
      </c>
      <c r="AG671" s="59">
        <f t="shared" si="1222"/>
        <v>3.0529647244603508E-4</v>
      </c>
      <c r="AH671" s="134"/>
      <c r="AI671" s="134"/>
      <c r="AJ671" s="129">
        <f t="shared" si="1238"/>
        <v>211510.50455744943</v>
      </c>
      <c r="AK671" s="134">
        <f t="shared" si="1232"/>
        <v>4.5864775126670976E-2</v>
      </c>
      <c r="AL671" s="129"/>
      <c r="AM671" s="129"/>
      <c r="AN671" s="129"/>
      <c r="AO671" s="129"/>
      <c r="AP671" s="133">
        <f t="shared" si="1233"/>
        <v>347.3814725244747</v>
      </c>
      <c r="AQ671" s="134">
        <f>+BB671/Outputs!$B$24</f>
        <v>1.6568200590301212E-2</v>
      </c>
      <c r="AR671" s="93">
        <f t="shared" si="1223"/>
        <v>0.27225664957416817</v>
      </c>
      <c r="AS671" s="93">
        <f t="shared" si="1224"/>
        <v>0.39427847911123975</v>
      </c>
      <c r="AT671" s="93">
        <f t="shared" si="1225"/>
        <v>0.33346487131459213</v>
      </c>
      <c r="AU671" s="93">
        <f t="shared" ca="1" si="1228"/>
        <v>4.5379891134235698E-2</v>
      </c>
      <c r="AV671" s="132">
        <f t="shared" ca="1" si="1236"/>
        <v>121.8031094414994</v>
      </c>
      <c r="AW671" s="134">
        <f t="shared" ca="1" si="1237"/>
        <v>4.5379891134235677E-2</v>
      </c>
      <c r="AX671" s="56">
        <f>+AJ671/$AL$21</f>
        <v>2.0569853969243962E-2</v>
      </c>
      <c r="AY671" s="135">
        <f t="shared" ca="1" si="1235"/>
        <v>9.3345773377141662E-4</v>
      </c>
      <c r="AZ671" s="93"/>
      <c r="BA671" s="93"/>
      <c r="BB671" s="234">
        <f>IFERROR(INDEX('Total Customers'!$E$7:$AA$91,MATCH($C671,'Total Customers'!$C$7:$C$91,0),MATCH($G671,'Total Customers'!$E$5:$AA$5,0)),"NA")</f>
        <v>608871</v>
      </c>
      <c r="BC671" s="411">
        <f t="shared" si="1196"/>
        <v>9.7621970382335051E-3</v>
      </c>
      <c r="BD671" s="92"/>
      <c r="BE671" s="281" t="str">
        <f t="shared" si="1192"/>
        <v>NIAGARA MOHAWK POWER CORPORATION</v>
      </c>
      <c r="BF671" s="290">
        <f t="shared" si="1193"/>
        <v>4057014</v>
      </c>
      <c r="BG671" s="46" t="str">
        <f t="shared" si="1194"/>
        <v>NY</v>
      </c>
      <c r="BH671" s="46"/>
      <c r="BI671" s="46" t="str">
        <f t="shared" si="1195"/>
        <v>2016 Y</v>
      </c>
      <c r="BJ671" s="129"/>
      <c r="BK671" s="129"/>
      <c r="BL671" s="129">
        <f>INDEX('Dist. Plant Gas Additions'!$E$7:$AD$91,MATCH($C671,'Dist. Plant Gas Additions'!$C$7:$C$91,0),MATCH(Calculation!$G671,'Dist. Plant Gas Additions'!$E$5:$AD$5,0))</f>
        <v>81144</v>
      </c>
      <c r="BM671" s="129">
        <f>INDEX('Gen. Plant Additions'!$E$7:$AD$91,MATCH($C671,'Gen. Plant Additions'!$C$7:$C$91,0),MATCH(Calculation!$G671,'Gen. Plant Additions'!$E$5:$AD$5,0))</f>
        <v>3235</v>
      </c>
      <c r="BN671" s="393">
        <f t="shared" si="1202"/>
        <v>0.96123896667495345</v>
      </c>
      <c r="BO671" s="46">
        <f t="shared" si="1166"/>
        <v>3109.6080571934745</v>
      </c>
      <c r="BP671" s="46">
        <f t="shared" si="1167"/>
        <v>-125.39194280652555</v>
      </c>
      <c r="BQ671" s="129">
        <f>INDEX('Dist Plant Depreciation'!$D$7:$AC$94,MATCH($C671,'Dist Plant Depreciation'!$C$7:$C$94,0),MATCH(Calculation!$G671,'Dist Plant Depreciation'!$D$5:$AC$5,0))</f>
        <v>715306</v>
      </c>
      <c r="BR671" s="129">
        <f>INDEX('Gen. Plant Depreciation'!$D$7:$AC$94,MATCH($C671,'Gen. Plant Depreciation'!$C$7:$C$94,0),MATCH(Calculation!$G671,'Gen. Plant Depreciation'!$D$5:$AC$5,0))</f>
        <v>35456</v>
      </c>
      <c r="BS671" s="129"/>
      <c r="BT671" s="129"/>
      <c r="BU671" s="129"/>
      <c r="BV671" s="129"/>
      <c r="BW671" s="129"/>
      <c r="BX671" s="129"/>
      <c r="BY671" s="129">
        <f>INDEX('Gross Dx Plant'!$D$7:$AC$91,MATCH($C671,'Gross Dx Plant'!$C$7:$C$91,0),MATCH(Calculation!$G671,'Gross Dx Plant'!$D$5:$AC$5,0))</f>
        <v>1991269</v>
      </c>
      <c r="BZ671" s="129">
        <f>INDEX('Gross Gen Plant'!$D$7:$AC$91,MATCH($C671,'Gross Gen Plant'!$C$7:$C$91,0),MATCH(Calculation!$G671,'Gross Gen Plant'!$D$5:$AC$5,0))</f>
        <v>80296</v>
      </c>
      <c r="CA671" s="129">
        <f t="shared" si="1197"/>
        <v>1320803</v>
      </c>
      <c r="CB671" s="129"/>
      <c r="CC671" s="133">
        <v>2016</v>
      </c>
      <c r="CD671" s="129"/>
      <c r="CE671" s="129"/>
      <c r="CF671" s="129"/>
      <c r="CG671" s="137"/>
      <c r="CH671" s="129">
        <f t="shared" si="1203"/>
        <v>84379</v>
      </c>
      <c r="CI671" s="46">
        <f t="shared" si="1212"/>
        <v>84253.608057193473</v>
      </c>
      <c r="CJ671" s="46">
        <f t="shared" si="1204"/>
        <v>125.47889755413757</v>
      </c>
      <c r="CK671" s="443">
        <v>0.7857142857142857</v>
      </c>
      <c r="CL671" s="46">
        <f>+CL653*CK671+CJ654*CK670+CJ655*CK669+CJ656*CK668+CJ657*CK667+CJ658*CK666+CJ659*CK665+CJ660*CK664+CJ661*CK663+CJ662*CK662+CJ663*CK661+CJ664*CK660+CJ665*CK659+CJ666*CK658+CJ667*CK657+CJ668*CK656+CJ669*CK655+CJ670*CK654+CJ671</f>
        <v>4900.3564796222236</v>
      </c>
      <c r="CM671" s="134">
        <f t="shared" si="1205"/>
        <v>9.8144011338019248E-3</v>
      </c>
      <c r="CN671" s="135">
        <f t="shared" si="1206"/>
        <v>1.5995900656474143E-2</v>
      </c>
      <c r="CO671" s="135">
        <f t="shared" si="1215"/>
        <v>1.5585410937953211E-2</v>
      </c>
      <c r="CP671" s="134">
        <f>VLOOKUP($H671,RoR!$E:$F,2,FALSE)</f>
        <v>3.6658333333333334E-2</v>
      </c>
      <c r="CQ671" s="135">
        <v>1.0483662879041455E-2</v>
      </c>
      <c r="CR671" s="135">
        <f t="shared" si="1213"/>
        <v>2.6174670454291879E-2</v>
      </c>
      <c r="CS671" s="135">
        <f t="shared" si="1216"/>
        <v>1.5316530670580414E-2</v>
      </c>
      <c r="CT671" s="135">
        <f t="shared" si="1217"/>
        <v>4.301363574220729E-3</v>
      </c>
      <c r="CU671" s="139">
        <f t="shared" si="1207"/>
        <v>0.85329623209999994</v>
      </c>
      <c r="CV671" s="335">
        <f t="shared" si="1208"/>
        <v>1.3989193348138562</v>
      </c>
      <c r="CW671" s="335">
        <f t="shared" si="1209"/>
        <v>0.29302682427824522</v>
      </c>
      <c r="CX671" s="335">
        <f t="shared" si="1210"/>
        <v>0.76309497491941802</v>
      </c>
      <c r="CY671" s="335">
        <f t="shared" si="1211"/>
        <v>0.31280857135128509</v>
      </c>
      <c r="CZ671" s="336">
        <f>INDEX('State Tax Lookup'!$D$7:$Z$91,MATCH(Calculation!$C671,'State Tax Lookup'!$B$7:$B$91,0),MATCH($H671,'State Tax Lookup'!$D$6:$Z$6,0))</f>
        <v>0.39649667</v>
      </c>
      <c r="DA671" s="303">
        <v>0.37</v>
      </c>
      <c r="DB671" s="57">
        <f t="shared" si="1214"/>
        <v>14.535055601374118</v>
      </c>
      <c r="DC671" s="56">
        <f t="shared" si="1218"/>
        <v>-3.4076909845312316E-2</v>
      </c>
      <c r="DD671" s="303">
        <f>VLOOKUP($H671,RoR!$E:$F,2,FALSE)</f>
        <v>3.6658333333333334E-2</v>
      </c>
      <c r="DE671" s="304">
        <f>HLOOKUP($H671,'GDP-PI'!$D$8:$CQ$11,3,FALSE)</f>
        <v>1.0483662879041455E-2</v>
      </c>
      <c r="DF671" s="303">
        <f>VLOOKUP(H671,'HW Dx Data'!$E:$F,2,FALSE)</f>
        <v>671.45639385971219</v>
      </c>
      <c r="DG671" s="89">
        <f ca="1">VLOOKUP(CC671,'ECI - Input Price'!M$13:N$33,2,FALSE)</f>
        <v>136.94999999999999</v>
      </c>
      <c r="DH671" s="89"/>
      <c r="DI671" s="89"/>
      <c r="DJ671" s="56">
        <f t="shared" ca="1" si="1226"/>
        <v>2.5514417868782811E-2</v>
      </c>
      <c r="DK671" s="53">
        <f>HLOOKUP(H671,'GDP-PI'!$8:$9,2,FALSE)</f>
        <v>105.736</v>
      </c>
      <c r="DL671" s="355">
        <f t="shared" si="1219"/>
        <v>1.0429090367205095E-2</v>
      </c>
      <c r="EC671"/>
    </row>
    <row r="672" spans="1:133" s="126" customFormat="1" ht="21" customHeight="1" x14ac:dyDescent="0.4">
      <c r="A672" s="233" t="s">
        <v>220</v>
      </c>
      <c r="B672" s="127" t="s">
        <v>220</v>
      </c>
      <c r="C672" s="127">
        <v>4057014</v>
      </c>
      <c r="D672" s="127" t="s">
        <v>194</v>
      </c>
      <c r="E672" s="127" t="s">
        <v>15</v>
      </c>
      <c r="F672" s="127"/>
      <c r="G672" s="127" t="s">
        <v>173</v>
      </c>
      <c r="H672" s="128">
        <v>2017</v>
      </c>
      <c r="I672" s="129"/>
      <c r="J672" s="125">
        <f>IFERROR(INDEX('Labor Expenditures'!$E$7:$W$91,MATCH($C672,'Labor Expenditures'!$C$7:$C$91,0),MATCH($G672,'Labor Expenditures'!$E$5:$W$5,0)),"NA")</f>
        <v>58972.61271110837</v>
      </c>
      <c r="K672" s="125">
        <f t="shared" ca="1" si="1220"/>
        <v>419.88332296979974</v>
      </c>
      <c r="L672" s="47"/>
      <c r="M672" s="131">
        <f t="shared" ca="1" si="1227"/>
        <v>-1.4270842815194205E-3</v>
      </c>
      <c r="N672" s="131"/>
      <c r="O672" s="131"/>
      <c r="P672" s="59">
        <f t="shared" ca="1" si="1229"/>
        <v>-2.8814500772391428E-5</v>
      </c>
      <c r="Q672" s="61"/>
      <c r="R672" s="387"/>
      <c r="S672" s="49">
        <f t="shared" ca="1" si="1234"/>
        <v>166.54645323358901</v>
      </c>
      <c r="T672" s="61">
        <f ca="1">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</f>
        <v>-0.58832531358836349</v>
      </c>
      <c r="U672" s="61"/>
      <c r="V672" s="125">
        <f>IFERROR(INDEX('Non-Labor Expenditures'!$E$7:$AA$91,MATCH($C672,'Non-Labor Expenditures'!$C$7:$C$91,0),MATCH($G672,'Non-Labor Expenditures'!$E$5:$AA$5,0)),"NA")</f>
        <v>85403.357770395844</v>
      </c>
      <c r="W672" s="125">
        <f t="shared" si="1221"/>
        <v>792.59921272559734</v>
      </c>
      <c r="X672" s="131">
        <f t="shared" si="1230"/>
        <v>4.9309853319007974E-3</v>
      </c>
      <c r="Y672" s="131">
        <f t="shared" si="1231"/>
        <v>9.9562361168626439E-5</v>
      </c>
      <c r="Z672" s="131"/>
      <c r="AA672" s="131"/>
      <c r="AB672" s="131"/>
      <c r="AC672" s="125">
        <f t="shared" si="1201"/>
        <v>63171.631046270595</v>
      </c>
      <c r="AD672" s="129"/>
      <c r="AE672" s="133">
        <v>5446.1839757968419</v>
      </c>
      <c r="AF672" s="134">
        <v>1.6747325371178193E-2</v>
      </c>
      <c r="AG672" s="59">
        <f t="shared" si="1222"/>
        <v>3.3814808704186376E-4</v>
      </c>
      <c r="AH672" s="134"/>
      <c r="AI672" s="134"/>
      <c r="AJ672" s="129">
        <f t="shared" si="1238"/>
        <v>207547.60152777482</v>
      </c>
      <c r="AK672" s="134">
        <f t="shared" si="1232"/>
        <v>-1.8913945876674283E-2</v>
      </c>
      <c r="AL672" s="129"/>
      <c r="AM672" s="129"/>
      <c r="AN672" s="129"/>
      <c r="AO672" s="129"/>
      <c r="AP672" s="133">
        <f t="shared" si="1233"/>
        <v>338.68291785971269</v>
      </c>
      <c r="AQ672" s="134">
        <f>+BB672/Outputs!$B$25</f>
        <v>1.6550047251280453E-2</v>
      </c>
      <c r="AR672" s="93">
        <f t="shared" si="1223"/>
        <v>0.28414017929865804</v>
      </c>
      <c r="AS672" s="93">
        <f t="shared" si="1224"/>
        <v>0.41148804968949176</v>
      </c>
      <c r="AT672" s="93">
        <f t="shared" si="1225"/>
        <v>0.30437177101185015</v>
      </c>
      <c r="AU672" s="93">
        <f t="shared" ca="1" si="1228"/>
        <v>6.9306277741910524E-3</v>
      </c>
      <c r="AV672" s="132">
        <f t="shared" ca="1" si="1236"/>
        <v>122.65021354560758</v>
      </c>
      <c r="AW672" s="134">
        <f t="shared" ca="1" si="1237"/>
        <v>6.9306277741910368E-3</v>
      </c>
      <c r="AX672" s="56">
        <f>+AJ672/$AL$22</f>
        <v>2.0191169607524897E-2</v>
      </c>
      <c r="AY672" s="135">
        <f t="shared" ca="1" si="1235"/>
        <v>1.3993748087531399E-4</v>
      </c>
      <c r="AZ672" s="93"/>
      <c r="BA672" s="93"/>
      <c r="BB672" s="234">
        <f>IFERROR(INDEX('Total Customers'!$E$7:$AA$91,MATCH($C672,'Total Customers'!$C$7:$C$91,0),MATCH($G672,'Total Customers'!$E$5:$AA$5,0)),"NA")</f>
        <v>612808</v>
      </c>
      <c r="BC672" s="411">
        <f t="shared" si="1196"/>
        <v>6.4452505592449806E-3</v>
      </c>
      <c r="BD672" s="92"/>
      <c r="BE672" s="281" t="str">
        <f t="shared" si="1192"/>
        <v>NIAGARA MOHAWK POWER CORPORATION</v>
      </c>
      <c r="BF672" s="290">
        <f t="shared" si="1193"/>
        <v>4057014</v>
      </c>
      <c r="BG672" s="46" t="str">
        <f t="shared" si="1194"/>
        <v>NY</v>
      </c>
      <c r="BH672" s="46"/>
      <c r="BI672" s="46" t="str">
        <f t="shared" si="1195"/>
        <v>2017 Y</v>
      </c>
      <c r="BJ672" s="129"/>
      <c r="BK672" s="129"/>
      <c r="BL672" s="129">
        <f>INDEX('Dist. Plant Gas Additions'!$E$7:$AD$91,MATCH($C672,'Dist. Plant Gas Additions'!$C$7:$C$91,0),MATCH(Calculation!$G672,'Dist. Plant Gas Additions'!$E$5:$AD$5,0))</f>
        <v>95505</v>
      </c>
      <c r="BM672" s="129">
        <f>INDEX('Gen. Plant Additions'!$E$7:$AD$91,MATCH($C672,'Gen. Plant Additions'!$C$7:$C$91,0),MATCH(Calculation!$G672,'Gen. Plant Additions'!$E$5:$AD$5,0))</f>
        <v>4002</v>
      </c>
      <c r="BN672" s="393">
        <f t="shared" si="1202"/>
        <v>0.96163545509737081</v>
      </c>
      <c r="BO672" s="46">
        <f t="shared" si="1166"/>
        <v>3848.4650912996781</v>
      </c>
      <c r="BP672" s="46">
        <f t="shared" si="1167"/>
        <v>-153.53490870032192</v>
      </c>
      <c r="BQ672" s="129">
        <f>INDEX('Dist Plant Depreciation'!$D$7:$AC$94,MATCH($C672,'Dist Plant Depreciation'!$C$7:$C$94,0),MATCH(Calculation!$G672,'Dist Plant Depreciation'!$D$5:$AC$5,0))</f>
        <v>768267</v>
      </c>
      <c r="BR672" s="129">
        <f>INDEX('Gen. Plant Depreciation'!$D$7:$AC$94,MATCH($C672,'Gen. Plant Depreciation'!$C$7:$C$94,0),MATCH(Calculation!$G672,'Gen. Plant Depreciation'!$D$5:$AC$5,0))</f>
        <v>38991</v>
      </c>
      <c r="BS672" s="129"/>
      <c r="BT672" s="129"/>
      <c r="BU672" s="129"/>
      <c r="BV672" s="129"/>
      <c r="BW672" s="129"/>
      <c r="BX672" s="129"/>
      <c r="BY672" s="129">
        <f>INDEX('Gross Dx Plant'!$D$7:$AC$91,MATCH($C672,'Gross Dx Plant'!$C$7:$C$91,0),MATCH(Calculation!$G672,'Gross Dx Plant'!$D$5:$AC$5,0))</f>
        <v>2100333</v>
      </c>
      <c r="BZ672" s="129">
        <f>INDEX('Gross Gen Plant'!$D$7:$AC$91,MATCH($C672,'Gross Gen Plant'!$C$7:$C$91,0),MATCH(Calculation!$G672,'Gross Gen Plant'!$D$5:$AC$5,0))</f>
        <v>83793</v>
      </c>
      <c r="CA672" s="129">
        <f t="shared" si="1197"/>
        <v>1376868</v>
      </c>
      <c r="CB672" s="129"/>
      <c r="CC672" s="133">
        <v>2017</v>
      </c>
      <c r="CD672" s="129"/>
      <c r="CE672" s="129"/>
      <c r="CF672" s="129"/>
      <c r="CG672" s="137"/>
      <c r="CH672" s="129">
        <f t="shared" si="1203"/>
        <v>99507</v>
      </c>
      <c r="CI672" s="46">
        <f t="shared" si="1212"/>
        <v>99353.465091299673</v>
      </c>
      <c r="CJ672" s="46">
        <f t="shared" si="1204"/>
        <v>139.45743807047546</v>
      </c>
      <c r="CK672" s="443">
        <v>0.77108433734939763</v>
      </c>
      <c r="CL672" s="46">
        <f>+CL653*CK672+CJ654*CK671+CJ655*CK670+CJ656*CK669+CJ657*CK668+CJ658*CK667+CJ659*CK666+CJ660*CK665+CJ661*CK664+CJ662*CK663+CJ663*CK662+CJ664*CK661+CJ665*CK660+CJ666*CK659+CJ667*CK658+CJ668*CK657+CJ669*CK656+CJ670*CK655+CJ671*CK654+CJ672</f>
        <v>4959.1323098371477</v>
      </c>
      <c r="CM672" s="134">
        <f t="shared" si="1205"/>
        <v>1.1922834486977672E-2</v>
      </c>
      <c r="CN672" s="135">
        <f t="shared" si="1206"/>
        <v>1.6464436452951935E-2</v>
      </c>
      <c r="CO672" s="135">
        <f t="shared" si="1215"/>
        <v>1.6018134050181401E-2</v>
      </c>
      <c r="CP672" s="134">
        <f>VLOOKUP($H672,RoR!$E:$F,2,FALSE)</f>
        <v>3.7433333333333339E-2</v>
      </c>
      <c r="CQ672" s="135">
        <v>1.9056896421275615E-2</v>
      </c>
      <c r="CR672" s="135">
        <f t="shared" si="1213"/>
        <v>1.8376436912057724E-2</v>
      </c>
      <c r="CS672" s="135">
        <f t="shared" si="1216"/>
        <v>1.4883807558352224E-2</v>
      </c>
      <c r="CT672" s="135">
        <f t="shared" si="1217"/>
        <v>1.3976271617800498E-2</v>
      </c>
      <c r="CU672" s="139">
        <f t="shared" si="1207"/>
        <v>0.90509623210000001</v>
      </c>
      <c r="CV672" s="335">
        <f t="shared" si="1208"/>
        <v>1.3699568463593395</v>
      </c>
      <c r="CW672" s="335">
        <f t="shared" si="1209"/>
        <v>0.30714603739982199</v>
      </c>
      <c r="CX672" s="335">
        <f t="shared" si="1210"/>
        <v>0.77007188472689425</v>
      </c>
      <c r="CY672" s="335">
        <f t="shared" si="1211"/>
        <v>0.32402839633793828</v>
      </c>
      <c r="CZ672" s="336">
        <f>INDEX('State Tax Lookup'!$D$7:$Z$91,MATCH(Calculation!$C672,'State Tax Lookup'!$B$7:$B$91,0),MATCH($H672,'State Tax Lookup'!$D$6:$Z$6,0))</f>
        <v>0.25649666999999998</v>
      </c>
      <c r="DA672" s="303">
        <v>0.37</v>
      </c>
      <c r="DB672" s="57">
        <f t="shared" si="1214"/>
        <v>12.891231752009315</v>
      </c>
      <c r="DC672" s="56">
        <f t="shared" si="1218"/>
        <v>-0.12001598823338912</v>
      </c>
      <c r="DD672" s="303">
        <f>VLOOKUP($H672,RoR!$E:$F,2,FALSE)</f>
        <v>3.7433333333333339E-2</v>
      </c>
      <c r="DE672" s="304">
        <f>HLOOKUP($H672,'GDP-PI'!$D$8:$CQ$11,3,FALSE)</f>
        <v>1.9056896421275615E-2</v>
      </c>
      <c r="DF672" s="303">
        <f>VLOOKUP(H672,'HW Dx Data'!$E:$F,2,FALSE)</f>
        <v>712.42858370229726</v>
      </c>
      <c r="DG672" s="89">
        <f ca="1">VLOOKUP(CC672,'ECI - Input Price'!M$13:N$33,2,FALSE)</f>
        <v>140.44999999999999</v>
      </c>
      <c r="DH672" s="89"/>
      <c r="DI672" s="89"/>
      <c r="DJ672" s="56">
        <f t="shared" ca="1" si="1226"/>
        <v>2.5235657841165486E-2</v>
      </c>
      <c r="DK672" s="53">
        <f>HLOOKUP(H672,'GDP-PI'!$8:$9,2,FALSE)</f>
        <v>107.751</v>
      </c>
      <c r="DL672" s="355">
        <f t="shared" si="1219"/>
        <v>1.8877588227745139E-2</v>
      </c>
      <c r="EC672"/>
    </row>
    <row r="673" spans="1:133" s="126" customFormat="1" ht="21" customHeight="1" x14ac:dyDescent="0.4">
      <c r="A673" s="233" t="s">
        <v>220</v>
      </c>
      <c r="B673" s="127" t="s">
        <v>220</v>
      </c>
      <c r="C673" s="127">
        <v>4057014</v>
      </c>
      <c r="D673" s="127" t="s">
        <v>194</v>
      </c>
      <c r="E673" s="127" t="s">
        <v>15</v>
      </c>
      <c r="F673" s="127"/>
      <c r="G673" s="127" t="s">
        <v>174</v>
      </c>
      <c r="H673" s="128">
        <v>2018</v>
      </c>
      <c r="I673" s="129"/>
      <c r="J673" s="125">
        <f>IFERROR(INDEX('Labor Expenditures'!$E$7:$W$91,MATCH($C673,'Labor Expenditures'!$C$7:$C$91,0),MATCH($G673,'Labor Expenditures'!$E$5:$W$5,0)),"NA")</f>
        <v>56815.364485002305</v>
      </c>
      <c r="K673" s="125">
        <f t="shared" ca="1" si="1220"/>
        <v>393.32201097267091</v>
      </c>
      <c r="L673" s="47"/>
      <c r="M673" s="131">
        <f t="shared" ca="1" si="1227"/>
        <v>-6.5348227515722432E-2</v>
      </c>
      <c r="N673" s="131"/>
      <c r="O673" s="131"/>
      <c r="P673" s="59">
        <f t="shared" ca="1" si="1229"/>
        <v>-1.2019752345766191E-3</v>
      </c>
      <c r="Q673" s="61"/>
      <c r="R673" s="387"/>
      <c r="S673" s="49">
        <f t="shared" ca="1" si="1234"/>
        <v>114.66581513309788</v>
      </c>
      <c r="T673" s="61">
        <f ca="1">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</f>
        <v>-0.37325232639474604</v>
      </c>
      <c r="U673" s="61"/>
      <c r="V673" s="125">
        <f>IFERROR(INDEX('Non-Labor Expenditures'!$E$7:$AA$91,MATCH($C673,'Non-Labor Expenditures'!$C$7:$C$91,0),MATCH($G673,'Non-Labor Expenditures'!$E$5:$AA$5,0)),"NA")</f>
        <v>82279.259420604008</v>
      </c>
      <c r="W673" s="125">
        <f t="shared" si="1221"/>
        <v>745.81007795910159</v>
      </c>
      <c r="X673" s="131">
        <f t="shared" si="1230"/>
        <v>-6.0846706870239214E-2</v>
      </c>
      <c r="Y673" s="131">
        <f t="shared" si="1231"/>
        <v>-1.119177023523314E-3</v>
      </c>
      <c r="Z673" s="131"/>
      <c r="AA673" s="131"/>
      <c r="AB673" s="131"/>
      <c r="AC673" s="125">
        <f t="shared" si="1201"/>
        <v>65586.018323835815</v>
      </c>
      <c r="AD673" s="129"/>
      <c r="AE673" s="133">
        <v>5527.9997611345016</v>
      </c>
      <c r="AF673" s="134">
        <v>1.4910867753340497E-2</v>
      </c>
      <c r="AG673" s="59">
        <f t="shared" si="1222"/>
        <v>2.7426136020675292E-4</v>
      </c>
      <c r="AH673" s="134"/>
      <c r="AI673" s="134"/>
      <c r="AJ673" s="129">
        <f t="shared" si="1238"/>
        <v>204680.64222944214</v>
      </c>
      <c r="AK673" s="134">
        <f t="shared" si="1232"/>
        <v>-1.3909796658165236E-2</v>
      </c>
      <c r="AL673" s="129"/>
      <c r="AM673" s="129"/>
      <c r="AN673" s="129"/>
      <c r="AO673" s="129"/>
      <c r="AP673" s="133">
        <f t="shared" si="1233"/>
        <v>330.11143278918473</v>
      </c>
      <c r="AQ673" s="134">
        <f>+BB673/Outputs!$B$26</f>
        <v>1.6598573524156897E-2</v>
      </c>
      <c r="AR673" s="93">
        <f t="shared" si="1223"/>
        <v>0.27758054628983247</v>
      </c>
      <c r="AS673" s="93">
        <f t="shared" si="1224"/>
        <v>0.40198847592226583</v>
      </c>
      <c r="AT673" s="93">
        <f t="shared" si="1225"/>
        <v>0.32043097778790164</v>
      </c>
      <c r="AU673" s="93">
        <f t="shared" ca="1" si="1228"/>
        <v>-3.8444235158247957E-2</v>
      </c>
      <c r="AV673" s="132">
        <f t="shared" ca="1" si="1236"/>
        <v>118.02450550105675</v>
      </c>
      <c r="AW673" s="134">
        <f t="shared" ca="1" si="1237"/>
        <v>-3.8444235158247943E-2</v>
      </c>
      <c r="AX673" s="56">
        <f>+AJ673/$AL$23</f>
        <v>1.8393386940562854E-2</v>
      </c>
      <c r="AY673" s="135">
        <f t="shared" ca="1" si="1235"/>
        <v>-7.0711969289964508E-4</v>
      </c>
      <c r="AZ673" s="93"/>
      <c r="BA673" s="93"/>
      <c r="BB673" s="234">
        <f>IFERROR(INDEX('Total Customers'!$E$7:$AA$91,MATCH($C673,'Total Customers'!$C$7:$C$91,0),MATCH($G673,'Total Customers'!$E$5:$AA$5,0)),"NA")</f>
        <v>620035</v>
      </c>
      <c r="BC673" s="411">
        <f t="shared" si="1196"/>
        <v>1.1724254887252953E-2</v>
      </c>
      <c r="BD673" s="92"/>
      <c r="BE673" s="281" t="str">
        <f t="shared" si="1192"/>
        <v>NIAGARA MOHAWK POWER CORPORATION</v>
      </c>
      <c r="BF673" s="290">
        <f t="shared" si="1193"/>
        <v>4057014</v>
      </c>
      <c r="BG673" s="46" t="str">
        <f t="shared" si="1194"/>
        <v>NY</v>
      </c>
      <c r="BH673" s="46"/>
      <c r="BI673" s="46" t="str">
        <f t="shared" si="1195"/>
        <v>2018 Y</v>
      </c>
      <c r="BJ673" s="129"/>
      <c r="BK673" s="129"/>
      <c r="BL673" s="129">
        <f>INDEX('Dist. Plant Gas Additions'!$E$7:$AD$91,MATCH($C673,'Dist. Plant Gas Additions'!$C$7:$C$91,0),MATCH(Calculation!$G673,'Dist. Plant Gas Additions'!$E$5:$AD$5,0))</f>
        <v>97827</v>
      </c>
      <c r="BM673" s="129">
        <f>INDEX('Gen. Plant Additions'!$E$7:$AD$91,MATCH($C673,'Gen. Plant Additions'!$C$7:$C$91,0),MATCH(Calculation!$G673,'Gen. Plant Additions'!$E$5:$AD$5,0))</f>
        <v>3134</v>
      </c>
      <c r="BN673" s="393">
        <f t="shared" si="1202"/>
        <v>0.96227909653046984</v>
      </c>
      <c r="BO673" s="46">
        <f t="shared" si="1166"/>
        <v>3015.7826885264926</v>
      </c>
      <c r="BP673" s="46">
        <f t="shared" si="1167"/>
        <v>-118.21731147350738</v>
      </c>
      <c r="BQ673" s="129">
        <f>INDEX('Dist Plant Depreciation'!$D$7:$AC$94,MATCH($C673,'Dist Plant Depreciation'!$C$7:$C$94,0),MATCH(Calculation!$G673,'Dist Plant Depreciation'!$D$5:$AC$5,0))</f>
        <v>793728</v>
      </c>
      <c r="BR673" s="129">
        <f>INDEX('Gen. Plant Depreciation'!$D$7:$AC$94,MATCH($C673,'Gen. Plant Depreciation'!$C$7:$C$94,0),MATCH(Calculation!$G673,'Gen. Plant Depreciation'!$D$5:$AC$5,0))</f>
        <v>42178</v>
      </c>
      <c r="BS673" s="129"/>
      <c r="BT673" s="129"/>
      <c r="BU673" s="129"/>
      <c r="BV673" s="129"/>
      <c r="BW673" s="129"/>
      <c r="BX673" s="129"/>
      <c r="BY673" s="129">
        <f>INDEX('Gross Dx Plant'!$D$7:$AC$91,MATCH($C673,'Gross Dx Plant'!$C$7:$C$91,0),MATCH(Calculation!$G673,'Gross Dx Plant'!$D$5:$AC$5,0))</f>
        <v>2189107</v>
      </c>
      <c r="BZ673" s="129">
        <f>INDEX('Gross Gen Plant'!$D$7:$AC$91,MATCH($C673,'Gross Gen Plant'!$C$7:$C$91,0),MATCH(Calculation!$G673,'Gross Gen Plant'!$D$5:$AC$5,0))</f>
        <v>85812</v>
      </c>
      <c r="CA673" s="129">
        <f t="shared" si="1197"/>
        <v>1439013</v>
      </c>
      <c r="CB673" s="129"/>
      <c r="CC673" s="133">
        <v>2018</v>
      </c>
      <c r="CD673" s="129"/>
      <c r="CE673" s="129"/>
      <c r="CF673" s="129"/>
      <c r="CG673" s="137"/>
      <c r="CH673" s="129">
        <f t="shared" si="1203"/>
        <v>100961</v>
      </c>
      <c r="CI673" s="46">
        <f t="shared" si="1212"/>
        <v>100842.78268852649</v>
      </c>
      <c r="CJ673" s="46">
        <f t="shared" si="1204"/>
        <v>133.54241791359729</v>
      </c>
      <c r="CK673" s="443">
        <v>0.75609756097560976</v>
      </c>
      <c r="CL673" s="46">
        <f>+CL653*CK673++CJ654*CK672+CJ655*CK671+CJ656*CK670+CJ657*CK669+CJ658*CK668+CJ659*CK667+CJ660*CK666+CJ661*CK665+CJ662*CK664+CJ663*CK663+CJ664*CK662+CJ665*CK661+CJ666*CK660+CJ667*CK659+CJ668*CK658+CJ669*CK657+CJ670*CK656+CJ671*CK655+CJ672*CK654+CJ673</f>
        <v>5008.7034543720092</v>
      </c>
      <c r="CM673" s="134">
        <f t="shared" si="1205"/>
        <v>9.9463021613026264E-3</v>
      </c>
      <c r="CN673" s="135">
        <f t="shared" si="1206"/>
        <v>1.693265437023463E-2</v>
      </c>
      <c r="CO673" s="135">
        <f t="shared" si="1215"/>
        <v>1.6464330493220238E-2</v>
      </c>
      <c r="CP673" s="134">
        <f>VLOOKUP($H673,RoR!$E:$F,2,FALSE)</f>
        <v>3.9299999999999995E-2</v>
      </c>
      <c r="CQ673" s="135">
        <v>2.386056741932796E-2</v>
      </c>
      <c r="CR673" s="135">
        <f t="shared" si="1213"/>
        <v>1.5439432580672034E-2</v>
      </c>
      <c r="CS673" s="135">
        <f t="shared" si="1216"/>
        <v>1.4437611115313387E-2</v>
      </c>
      <c r="CT673" s="135">
        <f t="shared" si="1217"/>
        <v>3.8270792163076606E-2</v>
      </c>
      <c r="CU673" s="139">
        <f t="shared" si="1207"/>
        <v>0.90509623210000001</v>
      </c>
      <c r="CV673" s="335">
        <f t="shared" si="1208"/>
        <v>1.3048868010700074</v>
      </c>
      <c r="CW673" s="335">
        <f t="shared" si="1209"/>
        <v>0.33886768447837151</v>
      </c>
      <c r="CX673" s="335">
        <f t="shared" si="1210"/>
        <v>0.78602506232557801</v>
      </c>
      <c r="CY673" s="335">
        <f t="shared" si="1211"/>
        <v>0.34756768162358759</v>
      </c>
      <c r="CZ673" s="336">
        <f>INDEX('State Tax Lookup'!$D$7:$Z$91,MATCH(Calculation!$C673,'State Tax Lookup'!$B$7:$B$91,0),MATCH($H673,'State Tax Lookup'!$D$6:$Z$6,0))</f>
        <v>0.25649666999999998</v>
      </c>
      <c r="DA673" s="303">
        <v>0.37</v>
      </c>
      <c r="DB673" s="57">
        <f t="shared" si="1214"/>
        <v>13.225301166846581</v>
      </c>
      <c r="DC673" s="56">
        <f t="shared" si="1218"/>
        <v>2.5584378911386835E-2</v>
      </c>
      <c r="DD673" s="303">
        <f>VLOOKUP($H673,RoR!$E:$F,2,FALSE)</f>
        <v>3.9299999999999995E-2</v>
      </c>
      <c r="DE673" s="304">
        <f>HLOOKUP($H673,'GDP-PI'!$D$8:$CQ$11,3,FALSE)</f>
        <v>2.386056741932796E-2</v>
      </c>
      <c r="DF673" s="303">
        <f>VLOOKUP(H673,'HW Dx Data'!$E:$F,2,FALSE)</f>
        <v>755.13671434174842</v>
      </c>
      <c r="DG673" s="89">
        <f ca="1">VLOOKUP(CC673,'ECI - Input Price'!M$13:N$33,2,FALSE)</f>
        <v>144.44999999999999</v>
      </c>
      <c r="DH673" s="89"/>
      <c r="DI673" s="89"/>
      <c r="DJ673" s="56">
        <f t="shared" ca="1" si="1226"/>
        <v>2.80818733619915E-2</v>
      </c>
      <c r="DK673" s="53">
        <f>HLOOKUP(H673,'GDP-PI'!$8:$9,2,FALSE)</f>
        <v>110.322</v>
      </c>
      <c r="DL673" s="355">
        <f t="shared" si="1219"/>
        <v>2.3580352716508712E-2</v>
      </c>
      <c r="EC673"/>
    </row>
    <row r="674" spans="1:133" s="126" customFormat="1" ht="21" customHeight="1" x14ac:dyDescent="0.4">
      <c r="A674" s="233" t="s">
        <v>220</v>
      </c>
      <c r="B674" s="127" t="s">
        <v>220</v>
      </c>
      <c r="C674" s="127">
        <v>4057014</v>
      </c>
      <c r="D674" s="127" t="s">
        <v>194</v>
      </c>
      <c r="E674" s="127" t="s">
        <v>15</v>
      </c>
      <c r="F674" s="127"/>
      <c r="G674" s="127" t="s">
        <v>175</v>
      </c>
      <c r="H674" s="128">
        <v>2019</v>
      </c>
      <c r="I674" s="129"/>
      <c r="J674" s="125">
        <f>IFERROR(INDEX('Labor Expenditures'!$E$7:$W$91,MATCH($C674,'Labor Expenditures'!$C$7:$C$91,0),MATCH($G674,'Labor Expenditures'!$E$5:$W$5,0)),"NA")</f>
        <v>57214.058242494357</v>
      </c>
      <c r="K674" s="125">
        <f t="shared" ca="1" si="1220"/>
        <v>382.25527471183801</v>
      </c>
      <c r="L674" s="47"/>
      <c r="M674" s="131">
        <f t="shared" ca="1" si="1227"/>
        <v>-2.8539998885281647E-2</v>
      </c>
      <c r="N674" s="131"/>
      <c r="O674" s="131"/>
      <c r="P674" s="59">
        <f t="shared" ca="1" si="1229"/>
        <v>-5.1507397810816283E-4</v>
      </c>
      <c r="Q674" s="61"/>
      <c r="R674" s="387"/>
      <c r="S674" s="49">
        <f t="shared" ca="1" si="1234"/>
        <v>116.77187381029066</v>
      </c>
      <c r="T674" s="61">
        <f ca="1">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</f>
        <v>1.8200292463990755E-2</v>
      </c>
      <c r="U674" s="61"/>
      <c r="V674" s="125">
        <f>IFERROR(INDEX('Non-Labor Expenditures'!$E$7:$AA$91,MATCH($C674,'Non-Labor Expenditures'!$C$7:$C$91,0),MATCH($G674,'Non-Labor Expenditures'!$E$5:$AA$5,0)),"NA")</f>
        <v>82856.642447174614</v>
      </c>
      <c r="W674" s="125">
        <f t="shared" si="1221"/>
        <v>737.69691810016752</v>
      </c>
      <c r="X674" s="131">
        <f t="shared" si="1230"/>
        <v>-1.0937920437511977E-2</v>
      </c>
      <c r="Y674" s="131">
        <f t="shared" si="1231"/>
        <v>-1.9740148605560369E-4</v>
      </c>
      <c r="Z674" s="131"/>
      <c r="AA674" s="131"/>
      <c r="AB674" s="131"/>
      <c r="AC674" s="125">
        <f t="shared" si="1201"/>
        <v>65545.842729507945</v>
      </c>
      <c r="AD674" s="129"/>
      <c r="AE674" s="133">
        <v>5612.5567083858814</v>
      </c>
      <c r="AF674" s="134">
        <v>1.5180313706104427E-2</v>
      </c>
      <c r="AG674" s="59">
        <f t="shared" si="1222"/>
        <v>2.739658330388163E-4</v>
      </c>
      <c r="AH674" s="134"/>
      <c r="AI674" s="134"/>
      <c r="AJ674" s="129">
        <f t="shared" si="1238"/>
        <v>205616.54341917692</v>
      </c>
      <c r="AK674" s="134">
        <f t="shared" si="1232"/>
        <v>4.5620727885762125E-3</v>
      </c>
      <c r="AL674" s="129"/>
      <c r="AM674" s="129"/>
      <c r="AN674" s="129"/>
      <c r="AO674" s="129"/>
      <c r="AP674" s="133">
        <f t="shared" si="1233"/>
        <v>329.57337373462968</v>
      </c>
      <c r="AQ674" s="134">
        <f>+BB674/Outputs!$B$27</f>
        <v>1.6563951126538082E-2</v>
      </c>
      <c r="AR674" s="93">
        <f t="shared" si="1223"/>
        <v>0.27825610377009313</v>
      </c>
      <c r="AS674" s="93">
        <f t="shared" si="1224"/>
        <v>0.40296680933041573</v>
      </c>
      <c r="AT674" s="93">
        <f t="shared" si="1225"/>
        <v>0.31877708689949108</v>
      </c>
      <c r="AU674" s="93">
        <f t="shared" ca="1" si="1228"/>
        <v>-7.4823676467655198E-3</v>
      </c>
      <c r="AV674" s="132">
        <f t="shared" ca="1" si="1236"/>
        <v>117.144698384446</v>
      </c>
      <c r="AW674" s="134">
        <f t="shared" ca="1" si="1237"/>
        <v>-7.4823676467654738E-3</v>
      </c>
      <c r="AX674" s="56">
        <f>+AJ674/$AL$24</f>
        <v>1.8047442124245892E-2</v>
      </c>
      <c r="AY674" s="135">
        <f t="shared" ca="1" si="1235"/>
        <v>-1.3503759705732981E-4</v>
      </c>
      <c r="AZ674" s="93"/>
      <c r="BA674" s="93"/>
      <c r="BB674" s="234">
        <f>IFERROR(INDEX('Total Customers'!$E$7:$AA$91,MATCH($C674,'Total Customers'!$C$7:$C$91,0),MATCH($G674,'Total Customers'!$E$5:$AA$5,0)),"NA")</f>
        <v>623887</v>
      </c>
      <c r="BC674" s="411">
        <f t="shared" si="1196"/>
        <v>6.1933341684023207E-3</v>
      </c>
      <c r="BD674" s="92"/>
      <c r="BE674" s="281" t="str">
        <f t="shared" si="1192"/>
        <v>NIAGARA MOHAWK POWER CORPORATION</v>
      </c>
      <c r="BF674" s="290">
        <f t="shared" si="1193"/>
        <v>4057014</v>
      </c>
      <c r="BG674" s="46" t="str">
        <f t="shared" si="1194"/>
        <v>NY</v>
      </c>
      <c r="BH674" s="46"/>
      <c r="BI674" s="46" t="str">
        <f t="shared" si="1195"/>
        <v>2019 Y</v>
      </c>
      <c r="BJ674" s="129"/>
      <c r="BK674" s="129"/>
      <c r="BL674" s="129">
        <f>INDEX('Dist. Plant Gas Additions'!$E$7:$AD$91,MATCH($C674,'Dist. Plant Gas Additions'!$C$7:$C$91,0),MATCH(Calculation!$G674,'Dist. Plant Gas Additions'!$E$5:$AD$5,0))</f>
        <v>101385</v>
      </c>
      <c r="BM674" s="129">
        <f>INDEX('Gen. Plant Additions'!$E$7:$AD$91,MATCH($C674,'Gen. Plant Additions'!$C$7:$C$91,0),MATCH(Calculation!$G674,'Gen. Plant Additions'!$E$5:$AD$5,0))</f>
        <v>6301</v>
      </c>
      <c r="BN674" s="393">
        <f t="shared" si="1202"/>
        <v>0.96189367229267453</v>
      </c>
      <c r="BO674" s="46">
        <f t="shared" si="1166"/>
        <v>6060.8920291161421</v>
      </c>
      <c r="BP674" s="46">
        <f t="shared" si="1167"/>
        <v>-240.10797088385789</v>
      </c>
      <c r="BQ674" s="129">
        <f>INDEX('Dist Plant Depreciation'!$D$7:$AC$94,MATCH($C674,'Dist Plant Depreciation'!$C$7:$C$94,0),MATCH(Calculation!$G674,'Dist Plant Depreciation'!$D$5:$AC$5,0))</f>
        <v>819260</v>
      </c>
      <c r="BR674" s="129">
        <f>INDEX('Gen. Plant Depreciation'!$D$7:$AC$94,MATCH($C674,'Gen. Plant Depreciation'!$C$7:$C$94,0),MATCH(Calculation!$G674,'Gen. Plant Depreciation'!$D$5:$AC$5,0))</f>
        <v>44074</v>
      </c>
      <c r="BS674" s="129"/>
      <c r="BT674" s="129"/>
      <c r="BU674" s="129"/>
      <c r="BV674" s="129"/>
      <c r="BW674" s="129"/>
      <c r="BX674" s="129"/>
      <c r="BY674" s="129">
        <f>INDEX('Gross Dx Plant'!$D$7:$AC$91,MATCH($C674,'Gross Dx Plant'!$C$7:$C$91,0),MATCH(Calculation!$G674,'Gross Dx Plant'!$D$5:$AC$5,0))</f>
        <v>2278325</v>
      </c>
      <c r="BZ674" s="129">
        <f>INDEX('Gross Gen Plant'!$D$7:$AC$91,MATCH($C674,'Gross Gen Plant'!$C$7:$C$91,0),MATCH(Calculation!$G674,'Gross Gen Plant'!$D$5:$AC$5,0))</f>
        <v>90258</v>
      </c>
      <c r="CA674" s="129">
        <f t="shared" si="1197"/>
        <v>1505249</v>
      </c>
      <c r="CB674" s="129"/>
      <c r="CC674" s="133">
        <v>2019</v>
      </c>
      <c r="CD674" s="129"/>
      <c r="CE674" s="129"/>
      <c r="CF674" s="129"/>
      <c r="CG674" s="137"/>
      <c r="CH674" s="129">
        <f t="shared" si="1203"/>
        <v>107686</v>
      </c>
      <c r="CI674" s="46">
        <f t="shared" si="1212"/>
        <v>107445.89202911615</v>
      </c>
      <c r="CJ674" s="46">
        <f t="shared" si="1204"/>
        <v>138.90165931496782</v>
      </c>
      <c r="CK674" s="443">
        <v>0.7407407407407407</v>
      </c>
      <c r="CL674" s="46">
        <f>CL653*CK674+CJ654*CK673+CJ655*CK672+CJ656*CK671+CJ657*CK670+CJ658*CK669+CJ659*CK668+CJ660*CK667+CJ661*CK666+CJ662*CK665+CJ663*CK664+CJ664*CK663+CJ665*CK662+CJ666*CK661+CJ667*CK660+CJ668*CK659+CJ669*CK658+CJ670*CK657+CJ671*CK656+CJ672*CK655+CJ673*CK654+CJ674</f>
        <v>5060.3063619133281</v>
      </c>
      <c r="CM674" s="134">
        <f t="shared" si="1205"/>
        <v>1.0249937237272211E-2</v>
      </c>
      <c r="CN674" s="135">
        <f t="shared" si="1206"/>
        <v>1.7429411137815983E-2</v>
      </c>
      <c r="CO674" s="135">
        <f t="shared" si="1215"/>
        <v>1.6942167320334184E-2</v>
      </c>
      <c r="CP674" s="134">
        <f>VLOOKUP($H674,RoR!$E:$F,2,FALSE)</f>
        <v>3.3875000000000009E-2</v>
      </c>
      <c r="CQ674" s="135">
        <v>1.8092492884465461E-2</v>
      </c>
      <c r="CR674" s="135">
        <f t="shared" si="1213"/>
        <v>1.5782507115534548E-2</v>
      </c>
      <c r="CS674" s="135">
        <f t="shared" si="1216"/>
        <v>1.3959774288199441E-2</v>
      </c>
      <c r="CT674" s="135">
        <f t="shared" si="1217"/>
        <v>4.8445665544254078E-2</v>
      </c>
      <c r="CU674" s="139">
        <f t="shared" si="1207"/>
        <v>0.90509623210000001</v>
      </c>
      <c r="CV674" s="335">
        <f t="shared" si="1208"/>
        <v>1.513861292459078</v>
      </c>
      <c r="CW674" s="335">
        <f t="shared" si="1209"/>
        <v>0.23699261992619944</v>
      </c>
      <c r="CX674" s="335">
        <f t="shared" si="1210"/>
        <v>0.73619765810468829</v>
      </c>
      <c r="CY674" s="335">
        <f t="shared" si="1211"/>
        <v>0.26412854465362851</v>
      </c>
      <c r="CZ674" s="336">
        <f>INDEX('State Tax Lookup'!$D$7:$Z$91,MATCH(Calculation!$C674,'State Tax Lookup'!$B$7:$B$91,0),MATCH($H674,'State Tax Lookup'!$D$6:$Z$6,0))</f>
        <v>0.25649666999999998</v>
      </c>
      <c r="DA674" s="303">
        <v>0.37</v>
      </c>
      <c r="DB674" s="57">
        <f t="shared" si="1214"/>
        <v>13.086389187663752</v>
      </c>
      <c r="DC674" s="56">
        <f t="shared" si="1218"/>
        <v>-1.0559053254167169E-2</v>
      </c>
      <c r="DD674" s="303">
        <f>VLOOKUP($H674,RoR!$E:$F,2,FALSE)</f>
        <v>3.3875000000000009E-2</v>
      </c>
      <c r="DE674" s="304">
        <f>HLOOKUP($H674,'GDP-PI'!$D$8:$CQ$11,3,FALSE)</f>
        <v>1.8092492884465461E-2</v>
      </c>
      <c r="DF674" s="303">
        <f>VLOOKUP(H674,'HW Dx Data'!$E:$F,2,FALSE)</f>
        <v>773.53929793938721</v>
      </c>
      <c r="DG674" s="89">
        <f ca="1">VLOOKUP(CC674,'ECI - Input Price'!M$13:N$33,2,FALSE)</f>
        <v>149.67500000000001</v>
      </c>
      <c r="DH674" s="89"/>
      <c r="DI674" s="89"/>
      <c r="DJ674" s="56">
        <f t="shared" ca="1" si="1226"/>
        <v>3.5532849899171604E-2</v>
      </c>
      <c r="DK674" s="53">
        <f>HLOOKUP(H674,'GDP-PI'!$8:$9,2,FALSE)</f>
        <v>112.318</v>
      </c>
      <c r="DL674" s="355">
        <f t="shared" si="1219"/>
        <v>1.7930771451401852E-2</v>
      </c>
      <c r="EC674"/>
    </row>
    <row r="675" spans="1:133" s="126" customFormat="1" ht="21" customHeight="1" x14ac:dyDescent="0.4">
      <c r="A675" s="233" t="s">
        <v>220</v>
      </c>
      <c r="B675" s="126" t="s">
        <v>220</v>
      </c>
      <c r="C675" s="126">
        <v>4057014</v>
      </c>
      <c r="D675" s="126" t="s">
        <v>194</v>
      </c>
      <c r="E675" s="126" t="s">
        <v>15</v>
      </c>
      <c r="G675" s="127" t="s">
        <v>176</v>
      </c>
      <c r="H675" s="128">
        <v>2020</v>
      </c>
      <c r="I675" s="129"/>
      <c r="J675" s="125">
        <f>IFERROR(INDEX('Labor Expenditures'!$E$7:$W$91,MATCH($C675,'Labor Expenditures'!$C$7:$C$91,0),MATCH($G675,'Labor Expenditures'!$E$5:$W$5,0)),"NA")</f>
        <v>58929.906502001904</v>
      </c>
      <c r="K675" s="125">
        <f t="shared" ca="1" si="1220"/>
        <v>384.78554686256547</v>
      </c>
      <c r="L675" s="47"/>
      <c r="M675" s="131">
        <f t="shared" ca="1" si="1227"/>
        <v>6.5975141283809947E-3</v>
      </c>
      <c r="N675" s="131"/>
      <c r="O675" s="131"/>
      <c r="P675" s="59">
        <f t="shared" ca="1" si="1229"/>
        <v>1.2024111076010457E-4</v>
      </c>
      <c r="Q675" s="61"/>
      <c r="R675" s="387"/>
      <c r="S675" s="49">
        <f t="shared" ca="1" si="1234"/>
        <v>117.17454396367026</v>
      </c>
      <c r="T675" s="61">
        <f ca="1">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</f>
        <v>3.4424168991824588E-3</v>
      </c>
      <c r="U675" s="61"/>
      <c r="V675" s="125">
        <f>IFERROR(INDEX('Non-Labor Expenditures'!$E$7:$AA$91,MATCH($C675,'Non-Labor Expenditures'!$C$7:$C$91,0),MATCH($G675,'Non-Labor Expenditures'!$E$5:$AA$5,0)),"NA")</f>
        <v>85341.511203190094</v>
      </c>
      <c r="W675" s="125">
        <f t="shared" si="1221"/>
        <v>751.09362719863134</v>
      </c>
      <c r="X675" s="131">
        <f t="shared" si="1230"/>
        <v>1.7997253864356872E-2</v>
      </c>
      <c r="Y675" s="131">
        <f t="shared" si="1231"/>
        <v>3.2800381373535525E-4</v>
      </c>
      <c r="Z675" s="131"/>
      <c r="AA675" s="131"/>
      <c r="AB675" s="131"/>
      <c r="AC675" s="125">
        <f t="shared" si="1201"/>
        <v>67179.265745493642</v>
      </c>
      <c r="AD675" s="129"/>
      <c r="AE675" s="133">
        <v>5681.2156115717435</v>
      </c>
      <c r="AF675" s="134">
        <v>1.2158868995302212E-2</v>
      </c>
      <c r="AG675" s="59">
        <f t="shared" si="1222"/>
        <v>2.21597996629149E-4</v>
      </c>
      <c r="AH675" s="134"/>
      <c r="AI675" s="134"/>
      <c r="AJ675" s="129">
        <f t="shared" si="1238"/>
        <v>211450.68345068564</v>
      </c>
      <c r="AK675" s="134">
        <f t="shared" si="1232"/>
        <v>2.7978801677708987E-2</v>
      </c>
      <c r="AL675" s="129"/>
      <c r="AM675" s="129"/>
      <c r="AN675" s="129"/>
      <c r="AO675" s="129"/>
      <c r="AP675" s="133">
        <f t="shared" si="1233"/>
        <v>336.21985392202595</v>
      </c>
      <c r="AQ675" s="134">
        <f>+BB675/Outputs!$B$28</f>
        <v>1.6579295133339205E-2</v>
      </c>
      <c r="AR675" s="93">
        <f t="shared" si="1223"/>
        <v>0.27869338391495663</v>
      </c>
      <c r="AS675" s="93">
        <f t="shared" si="1224"/>
        <v>0.40360007265284331</v>
      </c>
      <c r="AT675" s="93">
        <f t="shared" si="1225"/>
        <v>0.31770654343220006</v>
      </c>
      <c r="AU675" s="93">
        <f t="shared" ca="1" si="1228"/>
        <v>1.2964696063144774E-2</v>
      </c>
      <c r="AV675" s="132">
        <f t="shared" ca="1" si="1236"/>
        <v>118.67333151495292</v>
      </c>
      <c r="AW675" s="134">
        <f t="shared" ca="1" si="1237"/>
        <v>1.296469606314469E-2</v>
      </c>
      <c r="AX675" s="56">
        <f>+AJ675/$AL$25</f>
        <v>1.8225214591486034E-2</v>
      </c>
      <c r="AY675" s="135">
        <f t="shared" ca="1" si="1235"/>
        <v>2.3628436786420615E-4</v>
      </c>
      <c r="AZ675" s="93"/>
      <c r="BA675" s="93"/>
      <c r="BB675" s="234">
        <f>IFERROR(INDEX('Total Customers'!$E$7:$AA$91,MATCH($C675,'Total Customers'!$C$7:$C$91,0),MATCH($G675,'Total Customers'!$E$5:$AA$5,0)),"NA")</f>
        <v>628906</v>
      </c>
      <c r="BC675" s="411">
        <f t="shared" si="1196"/>
        <v>8.0125397443199936E-3</v>
      </c>
      <c r="BD675" s="92"/>
      <c r="BE675" s="281" t="str">
        <f t="shared" si="1192"/>
        <v>NIAGARA MOHAWK POWER CORPORATION</v>
      </c>
      <c r="BF675" s="290">
        <f t="shared" si="1193"/>
        <v>4057014</v>
      </c>
      <c r="BG675" s="46" t="str">
        <f t="shared" si="1194"/>
        <v>NY</v>
      </c>
      <c r="BH675" s="46"/>
      <c r="BI675" s="46" t="str">
        <f t="shared" si="1195"/>
        <v>2020 Y</v>
      </c>
      <c r="BJ675" s="129"/>
      <c r="BK675" s="129"/>
      <c r="BL675" s="129">
        <f>INDEX('Dist. Plant Gas Additions'!$E$7:$AD$91,MATCH($C675,'Dist. Plant Gas Additions'!$C$7:$C$91,0),MATCH(Calculation!$G675,'Dist. Plant Gas Additions'!$E$5:$AD$5,0))</f>
        <v>99009</v>
      </c>
      <c r="BM675" s="129">
        <f>INDEX('Gen. Plant Additions'!$E$7:$AD$91,MATCH($C675,'Gen. Plant Additions'!$C$7:$C$91,0),MATCH(Calculation!$G675,'Gen. Plant Additions'!$E$5:$AD$5,0))</f>
        <v>3655</v>
      </c>
      <c r="BN675" s="393">
        <f t="shared" si="1202"/>
        <v>0.96302601180399017</v>
      </c>
      <c r="BO675" s="46">
        <f t="shared" si="1166"/>
        <v>3519.860073143584</v>
      </c>
      <c r="BP675" s="46">
        <f t="shared" si="1167"/>
        <v>-135.13992685641597</v>
      </c>
      <c r="BQ675" s="129">
        <f>INDEX('Dist Plant Depreciation'!$D$7:$AC$94,MATCH($C675,'Dist Plant Depreciation'!$C$7:$C$94,0),MATCH(Calculation!$G675,'Dist Plant Depreciation'!$D$5:$AC$5,0))</f>
        <v>852599</v>
      </c>
      <c r="BR675" s="129">
        <f>INDEX('Gen. Plant Depreciation'!$D$7:$AC$94,MATCH($C675,'Gen. Plant Depreciation'!$C$7:$C$94,0),MATCH(Calculation!$G675,'Gen. Plant Depreciation'!$D$5:$AC$5,0))</f>
        <v>45271</v>
      </c>
      <c r="BS675" s="129"/>
      <c r="BT675" s="129"/>
      <c r="BU675" s="129"/>
      <c r="BV675" s="129"/>
      <c r="BW675" s="129"/>
      <c r="BX675" s="129"/>
      <c r="BY675" s="129">
        <f>INDEX('Gross Dx Plant'!$D$7:$AC$91,MATCH($C675,'Gross Dx Plant'!$C$7:$C$91,0),MATCH(Calculation!$G675,'Gross Dx Plant'!$D$5:$AC$5,0))</f>
        <v>2368080</v>
      </c>
      <c r="BZ675" s="129">
        <f>INDEX('Gross Gen Plant'!$D$7:$AC$91,MATCH($C675,'Gross Gen Plant'!$C$7:$C$91,0),MATCH(Calculation!$G675,'Gross Gen Plant'!$D$5:$AC$5,0))</f>
        <v>90919</v>
      </c>
      <c r="CA675" s="129">
        <f t="shared" si="1197"/>
        <v>1561129</v>
      </c>
      <c r="CB675" s="129"/>
      <c r="CC675" s="133">
        <v>2020</v>
      </c>
      <c r="CD675" s="129"/>
      <c r="CE675" s="129"/>
      <c r="CF675" s="129"/>
      <c r="CG675" s="137"/>
      <c r="CH675" s="129">
        <f t="shared" si="1203"/>
        <v>102664</v>
      </c>
      <c r="CI675" s="46">
        <f t="shared" si="1212"/>
        <v>102528.86007314359</v>
      </c>
      <c r="CJ675" s="46">
        <f t="shared" si="1204"/>
        <v>126.09932551187377</v>
      </c>
      <c r="CK675" s="443">
        <v>0.72499999999999998</v>
      </c>
      <c r="CL675" s="46">
        <f>CL653*CK675+CJ654*CK674+CJ655*CK673+CJ656*CK672+CJ657*CK671+CJ658*CK670+CJ659*CK669+CJ660*CK668+CJ661*CK667+CJ662*CK666+CJ663*CK665+CJ664*CK664+CJ665*CK663+CJ666*CK662+CJ667*CK661+CJ668*CK660+CJ669*CK659+CJ670*CK658+CJ671*CK657+CJ672*CK656+CJ673*CK655+CJ674*CK654+CJ675</f>
        <v>5095.6270005161441</v>
      </c>
      <c r="CM675" s="134">
        <f t="shared" si="1205"/>
        <v>6.9556937305905531E-3</v>
      </c>
      <c r="CN675" s="135">
        <f t="shared" si="1206"/>
        <v>1.7939365804471554E-2</v>
      </c>
      <c r="CO675" s="135">
        <f t="shared" si="1215"/>
        <v>1.7433810437507389E-2</v>
      </c>
      <c r="CP675" s="134">
        <f>VLOOKUP($H675,RoR!$E:$F,2,FALSE)</f>
        <v>2.4766666666666666E-2</v>
      </c>
      <c r="CQ675" s="135">
        <v>1.1618796630994188E-2</v>
      </c>
      <c r="CR675" s="135">
        <f t="shared" si="1213"/>
        <v>1.3147870035672478E-2</v>
      </c>
      <c r="CS675" s="135">
        <f t="shared" si="1216"/>
        <v>1.3468131171026236E-2</v>
      </c>
      <c r="CT675" s="135">
        <f t="shared" si="1217"/>
        <v>4.5144642961987357E-2</v>
      </c>
      <c r="CU675" s="139">
        <f t="shared" si="1207"/>
        <v>0.90509623210000001</v>
      </c>
      <c r="CV675" s="335">
        <f t="shared" si="1208"/>
        <v>2.0706077233668081</v>
      </c>
      <c r="CW675" s="335">
        <f t="shared" si="1209"/>
        <v>-3.4421265141318998E-2</v>
      </c>
      <c r="CX675" s="335">
        <f t="shared" si="1210"/>
        <v>0.62416226176410472</v>
      </c>
      <c r="CY675" s="335">
        <f t="shared" si="1211"/>
        <v>-4.4485877841158712E-2</v>
      </c>
      <c r="CZ675" s="336">
        <f>INDEX('State Tax Lookup'!$D$7:$Z$91,MATCH(Calculation!$C675,'State Tax Lookup'!$B$7:$B$91,0),MATCH($H675,'State Tax Lookup'!$D$6:$Z$6,0))</f>
        <v>0.25649666999999998</v>
      </c>
      <c r="DA675" s="303">
        <v>0.37</v>
      </c>
      <c r="DB675" s="57">
        <f t="shared" si="1214"/>
        <v>13.275730942126756</v>
      </c>
      <c r="DC675" s="56">
        <f t="shared" si="1218"/>
        <v>1.436493039468568E-2</v>
      </c>
      <c r="DD675" s="303">
        <f>VLOOKUP($H675,RoR!$E:$F,2,FALSE)</f>
        <v>2.4766666666666666E-2</v>
      </c>
      <c r="DE675" s="304">
        <f>HLOOKUP($H675,'GDP-PI'!$D$8:$CQ$11,3,FALSE)</f>
        <v>1.1618796630994188E-2</v>
      </c>
      <c r="DF675" s="303">
        <f>VLOOKUP(H675,'HW Dx Data'!$E:$F,2,FALSE)</f>
        <v>813.080162458833</v>
      </c>
      <c r="DG675" s="89">
        <f ca="1">VLOOKUP(CC675,'ECI - Input Price'!M$13:N$33,2,FALSE)</f>
        <v>153.15</v>
      </c>
      <c r="DH675" s="89"/>
      <c r="DI675" s="89"/>
      <c r="DJ675" s="56">
        <f t="shared" ca="1" si="1226"/>
        <v>2.2951556467368479E-2</v>
      </c>
      <c r="DK675" s="53">
        <f>HLOOKUP(H675,'GDP-PI'!$8:$9,2,FALSE)</f>
        <v>113.623</v>
      </c>
      <c r="DL675" s="355">
        <f t="shared" si="1219"/>
        <v>1.1551816731392881E-2</v>
      </c>
      <c r="EC675"/>
    </row>
    <row r="676" spans="1:133" s="126" customFormat="1" ht="21" customHeight="1" x14ac:dyDescent="0.4">
      <c r="A676" s="233" t="s">
        <v>220</v>
      </c>
      <c r="B676" s="126" t="s">
        <v>220</v>
      </c>
      <c r="C676" s="126">
        <v>4057014</v>
      </c>
      <c r="D676" s="126" t="s">
        <v>194</v>
      </c>
      <c r="E676" s="126" t="s">
        <v>15</v>
      </c>
      <c r="G676" s="127" t="s">
        <v>177</v>
      </c>
      <c r="H676" s="128">
        <v>2021</v>
      </c>
      <c r="I676" s="129"/>
      <c r="J676" s="125">
        <v>68612.533024318866</v>
      </c>
      <c r="K676" s="125">
        <f t="shared" ca="1" si="1220"/>
        <v>436.32771398612954</v>
      </c>
      <c r="L676" s="47"/>
      <c r="M676" s="130">
        <f t="shared" ca="1" si="1227"/>
        <v>0.1257074406361566</v>
      </c>
      <c r="N676" s="130"/>
      <c r="O676" s="130"/>
      <c r="P676" s="59">
        <f t="shared" ca="1" si="1229"/>
        <v>2.7655730927908999E-3</v>
      </c>
      <c r="Q676" s="61"/>
      <c r="R676" s="387"/>
      <c r="S676" s="132">
        <f ca="1">+S675*EXP(T676)</f>
        <v>121.59439796512368</v>
      </c>
      <c r="T676" s="134">
        <f ca="1">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</f>
        <v>3.702624722903778E-2</v>
      </c>
      <c r="U676" s="134"/>
      <c r="V676" s="125">
        <v>96718.871853557939</v>
      </c>
      <c r="W676" s="125">
        <f t="shared" si="1221"/>
        <v>816.26189428270698</v>
      </c>
      <c r="X676" s="131">
        <f t="shared" si="1230"/>
        <v>8.3204938315304733E-2</v>
      </c>
      <c r="Y676" s="131">
        <f t="shared" si="1231"/>
        <v>1.8305148639383574E-3</v>
      </c>
      <c r="Z676" s="131"/>
      <c r="AA676" s="131"/>
      <c r="AB676" s="131"/>
      <c r="AC676" s="125">
        <f t="shared" si="1201"/>
        <v>117263.40782726998</v>
      </c>
      <c r="AD676" s="129"/>
      <c r="AE676" s="133">
        <v>5868.1316721601634</v>
      </c>
      <c r="AF676" s="134"/>
      <c r="AG676" s="59">
        <f t="shared" si="1222"/>
        <v>0</v>
      </c>
      <c r="AH676" s="134"/>
      <c r="AI676" s="134"/>
      <c r="AJ676" s="129">
        <f t="shared" si="1238"/>
        <v>282594.81270514679</v>
      </c>
      <c r="AK676" s="134">
        <f t="shared" si="1232"/>
        <v>0.29002231835113418</v>
      </c>
      <c r="AL676" s="129"/>
      <c r="AM676" s="134"/>
      <c r="AN676" s="134"/>
      <c r="AO676" s="134"/>
      <c r="AP676" s="133">
        <f t="shared" si="1233"/>
        <v>445.93641692371887</v>
      </c>
      <c r="AQ676" s="134">
        <f>+BB676/Outputs!$B$29</f>
        <v>1.6414714714333454E-2</v>
      </c>
      <c r="AR676" s="93">
        <f t="shared" si="1223"/>
        <v>0.24279473627814843</v>
      </c>
      <c r="AS676" s="93">
        <f t="shared" si="1224"/>
        <v>0.34225282101859483</v>
      </c>
      <c r="AT676" s="93">
        <f t="shared" si="1225"/>
        <v>0.41495244270325671</v>
      </c>
      <c r="AU676" s="93">
        <f t="shared" ca="1" si="1228"/>
        <v>6.3806790460929602E-2</v>
      </c>
      <c r="AV676" s="132">
        <f t="shared" ca="1" si="1236"/>
        <v>126.49229478469813</v>
      </c>
      <c r="AW676" s="134">
        <f t="shared" ca="1" si="1237"/>
        <v>6.3806790460929616E-2</v>
      </c>
      <c r="AX676" s="56">
        <f>+AJ676/$AL$26</f>
        <v>2.2000074767216698E-2</v>
      </c>
      <c r="AY676" s="135">
        <f t="shared" ca="1" si="1235"/>
        <v>1.4037541607965808E-3</v>
      </c>
      <c r="AZ676" s="93"/>
      <c r="BA676" s="93"/>
      <c r="BB676" s="234">
        <f>INDEX('Total Customers'!$D$7:$D$91,MATCH(Calculation!$C676,'Total Customers'!$C$7:$C$91,0))</f>
        <v>633711</v>
      </c>
      <c r="BC676" s="411">
        <f t="shared" si="1196"/>
        <v>7.6112125788551418E-3</v>
      </c>
      <c r="BD676" s="91"/>
      <c r="BE676" s="281" t="str">
        <f t="shared" si="1192"/>
        <v>NIAGARA MOHAWK POWER CORPORATION</v>
      </c>
      <c r="BF676" s="290">
        <f t="shared" si="1193"/>
        <v>4057014</v>
      </c>
      <c r="BG676" s="46" t="str">
        <f t="shared" si="1194"/>
        <v>NY</v>
      </c>
      <c r="BH676" s="46"/>
      <c r="BI676" s="46" t="str">
        <f t="shared" si="1195"/>
        <v>2021 Y</v>
      </c>
      <c r="BJ676" s="129"/>
      <c r="BK676" s="129"/>
      <c r="BL676" s="129">
        <f>INDEX('Dist. Plant Gas Additions'!$D$7:$AD$91,MATCH($C676,'Dist. Plant Gas Additions'!$C$7:$C$91,0),MATCH(Calculation!$G676,'Dist. Plant Gas Additions'!$D$5:$AD$5,0))</f>
        <v>122093</v>
      </c>
      <c r="BM676" s="129">
        <f>INDEX('Gen. Plant Additions'!$D$7:$AD$91,MATCH($C676,'Gen. Plant Additions'!$C$7:$C$91,0),MATCH(Calculation!$G676,'Gen. Plant Additions'!$D$5:$AD$5,0))</f>
        <v>-3554</v>
      </c>
      <c r="BN676" s="343">
        <v>0.96302601180399017</v>
      </c>
      <c r="BO676" s="46">
        <f t="shared" si="1166"/>
        <v>-3422.5944459513812</v>
      </c>
      <c r="BP676" s="46">
        <f t="shared" si="1167"/>
        <v>131.4055540486188</v>
      </c>
      <c r="BQ676" s="129"/>
      <c r="BR676" s="129"/>
      <c r="BS676" s="137"/>
      <c r="BT676" s="137"/>
      <c r="BU676" s="333"/>
      <c r="BV676" s="93"/>
      <c r="BW676" s="334"/>
      <c r="BX676" s="334"/>
      <c r="BY676" s="129"/>
      <c r="BZ676" s="129"/>
      <c r="CA676" s="129"/>
      <c r="CB676" s="129"/>
      <c r="CC676" s="133">
        <v>2021</v>
      </c>
      <c r="CD676" s="129"/>
      <c r="CE676" s="129"/>
      <c r="CF676" s="129"/>
      <c r="CG676" s="137"/>
      <c r="CH676" s="129">
        <f t="shared" si="1203"/>
        <v>118539</v>
      </c>
      <c r="CI676" s="46">
        <f t="shared" si="1212"/>
        <v>118670.40555404862</v>
      </c>
      <c r="CJ676" s="46">
        <f t="shared" si="1204"/>
        <v>127.18922175369337</v>
      </c>
      <c r="CK676" s="443">
        <v>0.70886075949367089</v>
      </c>
      <c r="CL676" s="129">
        <f>CL653*CK676+CJ654*CK675+CJ655*CK674+CJ656*CK673+CJ657*CK672+CJ658*CK671+CJ659*CK670+CJ660*CK669+CJ661*CK668+CJ662*CK667+CJ663*CK666+CJ664*CK665+CJ665*CK664+CJ666*CK663+CJ667*CK662+CJ658*CK661+CJ669*CK660+CJ670*CK659+CJ671*CK658+CJ672*CK657+CJ673*CK656+CJ674*CK655+CJ676+CJ675*CK654</f>
        <v>5241.5934549737067</v>
      </c>
      <c r="CM676" s="134"/>
      <c r="CN676" s="135">
        <f t="shared" si="1206"/>
        <v>-3.6849700148710311E-3</v>
      </c>
      <c r="CO676" s="135">
        <f t="shared" si="1215"/>
        <v>1.0561268975805503E-2</v>
      </c>
      <c r="CP676" s="134">
        <f>VLOOKUP($H676,RoR!$E:$F,2,FALSE)</f>
        <v>2.7033333333333336E-2</v>
      </c>
      <c r="CQ676" s="135"/>
      <c r="CR676" s="135"/>
      <c r="CS676" s="135">
        <f t="shared" si="1216"/>
        <v>2.0340672632728124E-2</v>
      </c>
      <c r="CT676" s="135">
        <f t="shared" si="1217"/>
        <v>7.433422950153494E-2</v>
      </c>
      <c r="CU676" s="139">
        <f t="shared" si="1207"/>
        <v>0.90509623210000001</v>
      </c>
      <c r="CV676" s="335">
        <f t="shared" si="1208"/>
        <v>1.8969932656739068</v>
      </c>
      <c r="CW676" s="335">
        <f t="shared" si="1209"/>
        <v>5.0215782983970621E-2</v>
      </c>
      <c r="CX676" s="335">
        <f t="shared" si="1210"/>
        <v>0.655952481704143</v>
      </c>
      <c r="CY676" s="335">
        <f t="shared" si="1211"/>
        <v>6.2485378865697057E-2</v>
      </c>
      <c r="CZ676" s="336">
        <f>CZ675</f>
        <v>0.25649666999999998</v>
      </c>
      <c r="DA676" s="303">
        <v>0.37</v>
      </c>
      <c r="DB676" s="141">
        <f t="shared" si="1214"/>
        <v>23.012557201575426</v>
      </c>
      <c r="DC676" s="135">
        <f t="shared" si="1218"/>
        <v>0.55010240506424024</v>
      </c>
      <c r="DD676" s="336">
        <f>VLOOKUP($H676,RoR!$E:$F,2,FALSE)</f>
        <v>2.7033333333333336E-2</v>
      </c>
      <c r="DE676" s="342">
        <f>HLOOKUP($H676,'GDP-PI'!$D$8:$CR$11,3,FALSE)</f>
        <v>4.2834637353352578E-2</v>
      </c>
      <c r="DF676" s="336">
        <f>VLOOKUP(H676,'HW Dx Data'!$E:$F,2,FALSE)</f>
        <v>933.02249921662576</v>
      </c>
      <c r="DG676" s="89">
        <f ca="1">VLOOKUP(CC676,'ECI - Input Price'!M$13:N$33,2,FALSE)</f>
        <v>157.25</v>
      </c>
      <c r="DH676" s="89"/>
      <c r="DI676" s="89"/>
      <c r="DJ676" s="135">
        <f t="shared" ca="1" si="1226"/>
        <v>2.6419062301765574E-2</v>
      </c>
      <c r="DK676" s="137">
        <f>HLOOKUP(H676,'GDP-PI'!$8:$9,2,FALSE)</f>
        <v>118.49</v>
      </c>
      <c r="DL676" s="356">
        <f t="shared" si="1219"/>
        <v>4.194261824609434E-2</v>
      </c>
      <c r="EC676"/>
    </row>
    <row r="677" spans="1:133" s="126" customFormat="1" ht="21" customHeight="1" thickBot="1" x14ac:dyDescent="0.45">
      <c r="A677" s="235"/>
      <c r="B677" s="236"/>
      <c r="C677" s="236"/>
      <c r="D677" s="236"/>
      <c r="E677" s="236"/>
      <c r="F677" s="236"/>
      <c r="G677" s="237" t="s">
        <v>178</v>
      </c>
      <c r="H677" s="238"/>
      <c r="I677" s="239"/>
      <c r="J677" s="240">
        <v>70775.533229105684</v>
      </c>
      <c r="K677" s="240">
        <f t="shared" ca="1" si="1220"/>
        <v>435.40777132639607</v>
      </c>
      <c r="L677" s="47"/>
      <c r="M677" s="241">
        <f t="shared" ref="M677" ca="1" si="1239">LN(K677/K676)</f>
        <v>-2.1106012471307756E-3</v>
      </c>
      <c r="N677" s="241"/>
      <c r="O677" s="241"/>
      <c r="P677" s="242">
        <f t="shared" ca="1" si="1229"/>
        <v>-4.0467518621771631E-5</v>
      </c>
      <c r="Q677" s="61"/>
      <c r="R677" s="387"/>
      <c r="S677" s="206">
        <f ca="1">+S676*EXP(T677)</f>
        <v>120.13264000284629</v>
      </c>
      <c r="T677" s="243">
        <f ca="1">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</f>
        <v>-1.2094433397119806E-2</v>
      </c>
      <c r="U677" s="243"/>
      <c r="V677" s="239">
        <v>99767.920335004412</v>
      </c>
      <c r="W677" s="240">
        <f t="shared" si="1221"/>
        <v>784.03080813362999</v>
      </c>
      <c r="X677" s="244">
        <f t="shared" ref="X677" si="1240">LN(W677/W676)</f>
        <v>-4.0286936679749828E-2</v>
      </c>
      <c r="Y677" s="244">
        <f t="shared" si="1231"/>
        <v>-7.7243977872097516E-4</v>
      </c>
      <c r="Z677" s="206"/>
      <c r="AA677" s="243"/>
      <c r="AB677" s="243"/>
      <c r="AC677" s="240">
        <f t="shared" si="1201"/>
        <v>83171.633023209361</v>
      </c>
      <c r="AD677" s="243"/>
      <c r="AE677" s="245">
        <v>5798.7088047311345</v>
      </c>
      <c r="AF677" s="243">
        <v>-1.1901026152468143E-2</v>
      </c>
      <c r="AG677" s="242">
        <f t="shared" si="1222"/>
        <v>-2.2818379269788939E-4</v>
      </c>
      <c r="AH677" s="206"/>
      <c r="AI677" s="243"/>
      <c r="AJ677" s="239">
        <f t="shared" si="1238"/>
        <v>253715.08658731944</v>
      </c>
      <c r="AK677" s="243">
        <f t="shared" si="1232"/>
        <v>-0.10780218338786164</v>
      </c>
      <c r="AL677" s="239"/>
      <c r="AM677" s="243"/>
      <c r="AN677" s="243"/>
      <c r="AO677" s="243"/>
      <c r="AP677" s="245">
        <f t="shared" si="1233"/>
        <v>398.58905443601424</v>
      </c>
      <c r="AQ677" s="243"/>
      <c r="AR677" s="207">
        <f t="shared" si="1223"/>
        <v>0.27895673915609798</v>
      </c>
      <c r="AS677" s="207">
        <f t="shared" si="1224"/>
        <v>0.39322817447305386</v>
      </c>
      <c r="AT677" s="207">
        <f t="shared" si="1225"/>
        <v>0.32781508637084822</v>
      </c>
      <c r="AU677" s="207"/>
      <c r="AV677" s="206"/>
      <c r="AW677" s="243"/>
      <c r="AX677" s="248">
        <f>+AJ677/$AL$27</f>
        <v>1.9173455278103609E-2</v>
      </c>
      <c r="AY677" s="249"/>
      <c r="AZ677" s="206"/>
      <c r="BA677" s="243"/>
      <c r="BB677" s="250">
        <v>636533</v>
      </c>
      <c r="BC677" s="412">
        <f t="shared" si="1196"/>
        <v>4.4432481362094538E-3</v>
      </c>
      <c r="BD677" s="91"/>
      <c r="BE677" s="401">
        <f t="shared" si="1192"/>
        <v>0</v>
      </c>
      <c r="BF677" s="402">
        <f t="shared" si="1193"/>
        <v>0</v>
      </c>
      <c r="BG677" s="313">
        <f t="shared" si="1194"/>
        <v>0</v>
      </c>
      <c r="BH677" s="313"/>
      <c r="BI677" s="313" t="str">
        <f t="shared" si="1195"/>
        <v>2022Y</v>
      </c>
      <c r="BJ677" s="239"/>
      <c r="BK677" s="239"/>
      <c r="BL677" s="239"/>
      <c r="BM677" s="239"/>
      <c r="BN677" s="337">
        <v>0.96302601180399017</v>
      </c>
      <c r="BO677" s="313">
        <f t="shared" si="1166"/>
        <v>0</v>
      </c>
      <c r="BP677" s="313">
        <f t="shared" si="1167"/>
        <v>0</v>
      </c>
      <c r="BQ677" s="239"/>
      <c r="BR677" s="239"/>
      <c r="BS677" s="310"/>
      <c r="BT677" s="310"/>
      <c r="BU677" s="311"/>
      <c r="BV677" s="207"/>
      <c r="BW677" s="312"/>
      <c r="BX677" s="312"/>
      <c r="BY677" s="239"/>
      <c r="BZ677" s="239"/>
      <c r="CA677" s="239"/>
      <c r="CB677" s="239"/>
      <c r="CC677" s="245">
        <v>2022</v>
      </c>
      <c r="CD677" s="239"/>
      <c r="CE677" s="239"/>
      <c r="CF677" s="239"/>
      <c r="CG677" s="310"/>
      <c r="CH677" s="239">
        <v>172561</v>
      </c>
      <c r="CI677" s="313">
        <f t="shared" si="1212"/>
        <v>172561</v>
      </c>
      <c r="CJ677" s="313">
        <f t="shared" si="1204"/>
        <v>167.4033041976698</v>
      </c>
      <c r="CK677" s="443">
        <v>0.69230769230769229</v>
      </c>
      <c r="CL677" s="239">
        <f>+CL653*CK677+CJ654*CK676+CJ655*CK675+CJ656*CK674+CJ657*CK673+CJ658*CK672+CJ659*CK671+CJ660*CK670+CJ661*CK669+CJ662*CK668+CJ663*CK667+CJ664*CK666+CJ665*CK665+CJ666*CK664+CJ667*CK663+CJ668*CK662+CJ669*CK661+CJ670*CK660+CJ671*CK659+CJ672*CK658+CJ673*CK657+CJ674*CK656+CJ675*CK655+CJ676*CK654+CJ677*CK653</f>
        <v>5198.1702705448297</v>
      </c>
      <c r="CM677" s="243">
        <f t="shared" ref="CM677" si="1241">LN(CL677/CL676)</f>
        <v>-8.3188539490657801E-3</v>
      </c>
      <c r="CN677" s="249">
        <f t="shared" si="1206"/>
        <v>4.0221831478840696E-2</v>
      </c>
      <c r="CO677" s="249">
        <f t="shared" si="1215"/>
        <v>1.8158742422813737E-2</v>
      </c>
      <c r="CP677" s="243"/>
      <c r="CQ677" s="249"/>
      <c r="CR677" s="249"/>
      <c r="CS677" s="248">
        <f t="shared" si="1216"/>
        <v>1.2743199185719888E-2</v>
      </c>
      <c r="CT677" s="249">
        <f t="shared" si="1217"/>
        <v>0.10114668178709289</v>
      </c>
      <c r="CU677" s="314">
        <f t="shared" si="1207"/>
        <v>0.90509623210000001</v>
      </c>
      <c r="CV677" s="315"/>
      <c r="CW677" s="315"/>
      <c r="CX677" s="315"/>
      <c r="CY677" s="315"/>
      <c r="CZ677" s="316">
        <f>CZ676</f>
        <v>0.25649666999999998</v>
      </c>
      <c r="DA677" s="360">
        <v>0.37</v>
      </c>
      <c r="DB677" s="318">
        <f t="shared" si="1214"/>
        <v>15.867623793731742</v>
      </c>
      <c r="DC677" s="249">
        <f t="shared" si="1218"/>
        <v>-0.37175923834596469</v>
      </c>
      <c r="DD677" s="316">
        <v>0.04</v>
      </c>
      <c r="DE677" s="319">
        <v>7.0000000000000001E-3</v>
      </c>
      <c r="DF677" s="316">
        <v>1030.81</v>
      </c>
      <c r="DG677" s="89">
        <f ca="1">VLOOKUP(CC677,'ECI - Input Price'!M$13:N$33,2,FALSE)</f>
        <v>162.55000000000001</v>
      </c>
      <c r="DH677" s="89"/>
      <c r="DI677" s="89"/>
      <c r="DJ677" s="249">
        <f t="shared" ca="1" si="1226"/>
        <v>3.3148751169364422E-2</v>
      </c>
      <c r="DK677" s="310">
        <v>127.25</v>
      </c>
      <c r="DL677" s="357">
        <f t="shared" si="1219"/>
        <v>7.1325086601983473E-2</v>
      </c>
      <c r="EC677"/>
    </row>
    <row r="678" spans="1:133" s="126" customFormat="1" ht="21" customHeight="1" x14ac:dyDescent="0.4">
      <c r="A678" s="251" t="s">
        <v>221</v>
      </c>
      <c r="B678" s="252" t="s">
        <v>221</v>
      </c>
      <c r="C678" s="252">
        <v>4057130</v>
      </c>
      <c r="D678" s="252" t="s">
        <v>222</v>
      </c>
      <c r="E678" s="252"/>
      <c r="F678" s="252"/>
      <c r="G678" s="252" t="s">
        <v>150</v>
      </c>
      <c r="H678" s="253">
        <v>1998</v>
      </c>
      <c r="I678" s="254"/>
      <c r="J678" s="255"/>
      <c r="K678" s="255"/>
      <c r="L678" s="47"/>
      <c r="M678" s="255"/>
      <c r="N678" s="255"/>
      <c r="O678" s="255"/>
      <c r="P678" s="219"/>
      <c r="Q678" s="218"/>
      <c r="R678" s="385"/>
      <c r="S678" s="257"/>
      <c r="T678" s="258"/>
      <c r="U678" s="258"/>
      <c r="V678" s="259"/>
      <c r="W678" s="259"/>
      <c r="X678" s="259"/>
      <c r="Y678" s="255"/>
      <c r="Z678" s="259"/>
      <c r="AA678" s="259"/>
      <c r="AB678" s="259"/>
      <c r="AC678" s="255"/>
      <c r="AD678" s="254"/>
      <c r="AE678" s="260">
        <v>808.27609406629438</v>
      </c>
      <c r="AF678" s="256"/>
      <c r="AG678" s="225"/>
      <c r="AH678" s="256"/>
      <c r="AI678" s="256"/>
      <c r="AJ678" s="254">
        <f t="shared" si="1238"/>
        <v>0</v>
      </c>
      <c r="AK678" s="254"/>
      <c r="AL678" s="254"/>
      <c r="AM678" s="256"/>
      <c r="AN678" s="256"/>
      <c r="AO678" s="256"/>
      <c r="AP678" s="226">
        <f>+(AP675+AP676+AP677)/3</f>
        <v>393.5817750939197</v>
      </c>
      <c r="AQ678" s="256"/>
      <c r="AR678" s="261"/>
      <c r="AS678" s="261"/>
      <c r="AT678" s="261"/>
      <c r="AU678" s="261"/>
      <c r="AV678" s="261"/>
      <c r="AW678" s="256">
        <f ca="1">AVERAGE(AW687:AW701)</f>
        <v>2.0329941683230379E-2</v>
      </c>
      <c r="AX678" s="223"/>
      <c r="AY678" s="261"/>
      <c r="AZ678" s="261"/>
      <c r="BA678" s="261"/>
      <c r="BB678" s="262">
        <f>IFERROR(INDEX('Total Customers'!$E$7:$AA$91,MATCH($C678,'Total Customers'!$C$7:$C$91,0),MATCH($G678,'Total Customers'!$E$5:$AA$5,0)),"NA")</f>
        <v>143698</v>
      </c>
      <c r="BC678" s="413"/>
      <c r="BD678" s="92"/>
      <c r="BE678" s="407" t="str">
        <f t="shared" si="1192"/>
        <v>NORTH SHORE GAS COMPANY</v>
      </c>
      <c r="BF678" s="408">
        <f t="shared" si="1193"/>
        <v>4057130</v>
      </c>
      <c r="BG678" s="218" t="str">
        <f t="shared" si="1194"/>
        <v>IL</v>
      </c>
      <c r="BH678" s="218"/>
      <c r="BI678" s="218" t="str">
        <f t="shared" si="1195"/>
        <v>1998 Y</v>
      </c>
      <c r="BJ678" s="254">
        <f>INDEX('Gross Dx Plant'!$D$7:$AC$91,MATCH($C678,'Gross Dx Plant'!$C$7:$C$91,0),MATCH(Calculation!$G678,'Gross Dx Plant'!$D$5:$AC$5,0))</f>
        <v>247040</v>
      </c>
      <c r="BK678" s="254">
        <f>INDEX('Gross Gen Plant'!$D$7:$AC$91,MATCH($C678,'Gross Gen Plant'!$C$7:$C$91,0),MATCH(Calculation!$G678,'Gross Gen Plant'!$D$5:$AC$5,0))</f>
        <v>13559</v>
      </c>
      <c r="BL678" s="254">
        <f>INDEX('Dist. Plant Gas Additions'!$E$7:$AD$91,MATCH($C678,'Dist. Plant Gas Additions'!$C$7:$C$91,0),MATCH(Calculation!$G678,'Dist. Plant Gas Additions'!$E$5:$AD$5,0))</f>
        <v>10025</v>
      </c>
      <c r="BM678" s="254">
        <f>INDEX('Gen. Plant Additions'!$E$7:$AD$91,MATCH($C678,'Gen. Plant Additions'!$C$7:$C$91,0),MATCH(Calculation!$G678,'Gen. Plant Additions'!$E$5:$AD$5,0))</f>
        <v>898</v>
      </c>
      <c r="BN678" s="409">
        <f>+(BY678/(BY678+BZ678))</f>
        <v>0.94796986941622952</v>
      </c>
      <c r="BO678" s="218">
        <f t="shared" si="1166"/>
        <v>851.27694273577413</v>
      </c>
      <c r="BP678" s="218">
        <f t="shared" si="1167"/>
        <v>-46.723057264225872</v>
      </c>
      <c r="BQ678" s="254">
        <f>INDEX('Dist Plant Depreciation'!$D$7:$AC$94,MATCH($C678,'Dist Plant Depreciation'!$C$7:$C$94,0),MATCH(Calculation!$G678,'Dist Plant Depreciation'!$D$5:$AC$5,0))</f>
        <v>90389</v>
      </c>
      <c r="BR678" s="254">
        <f>INDEX('Gen. Plant Depreciation'!$D$7:$AC$94,MATCH($C678,'Gen. Plant Depreciation'!$C$7:$C$94,0),MATCH(Calculation!$G678,'Gen. Plant Depreciation'!$D$5:$AC$5,0))</f>
        <v>7165</v>
      </c>
      <c r="BS678" s="254"/>
      <c r="BT678" s="254"/>
      <c r="BU678" s="254"/>
      <c r="BV678" s="254"/>
      <c r="BW678" s="254"/>
      <c r="BX678" s="254"/>
      <c r="BY678" s="254">
        <f>INDEX('Gross Dx Plant'!$D$7:$AC$91,MATCH($C678,'Gross Dx Plant'!$C$7:$C$91,0),MATCH(Calculation!$G678,'Gross Dx Plant'!$D$5:$AC$5,0))</f>
        <v>247040</v>
      </c>
      <c r="BZ678" s="254">
        <f>INDEX('Gross Gen Plant'!$D$7:$AC$91,MATCH($C678,'Gross Gen Plant'!$C$7:$C$91,0),MATCH(Calculation!$G678,'Gross Gen Plant'!$D$5:$AC$5,0))</f>
        <v>13559</v>
      </c>
      <c r="CA678" s="254">
        <f t="shared" si="1197"/>
        <v>163045</v>
      </c>
      <c r="CB678" s="254"/>
      <c r="CC678" s="260">
        <v>1998</v>
      </c>
      <c r="CD678" s="254">
        <f>BJ678+BK678</f>
        <v>260599</v>
      </c>
      <c r="CE678" s="254">
        <f>90389+7165</f>
        <v>97554</v>
      </c>
      <c r="CF678" s="254">
        <f>+CD678-CE678</f>
        <v>163045</v>
      </c>
      <c r="CG678" s="254">
        <f>CF678/$BX$3</f>
        <v>808.27609406629438</v>
      </c>
      <c r="CH678" s="323"/>
      <c r="CI678" s="344"/>
      <c r="CJ678" s="344"/>
      <c r="CK678" s="443">
        <v>1</v>
      </c>
      <c r="CL678" s="254">
        <f>+CG678</f>
        <v>808.27609406629438</v>
      </c>
      <c r="CM678" s="256"/>
      <c r="CN678" s="325"/>
      <c r="CO678" s="325"/>
      <c r="CP678" s="256" t="e">
        <f>VLOOKUP($H678,RoR!$E:$F,2,FALSE)</f>
        <v>#N/A</v>
      </c>
      <c r="CQ678" s="325">
        <v>1.1028127770464469E-2</v>
      </c>
      <c r="CR678" s="325"/>
      <c r="CS678" s="326">
        <f t="shared" si="1216"/>
        <v>3.0901941608533625E-2</v>
      </c>
      <c r="CT678" s="325"/>
      <c r="CU678" s="327">
        <f t="shared" si="1207"/>
        <v>0.90509623210000001</v>
      </c>
      <c r="CV678" s="328"/>
      <c r="CW678" s="328"/>
      <c r="CX678" s="328"/>
      <c r="CY678" s="328"/>
      <c r="CZ678" s="329">
        <f>CZ677</f>
        <v>0.25649666999999998</v>
      </c>
      <c r="DA678" s="351">
        <v>0.37</v>
      </c>
      <c r="DB678" s="331">
        <f t="shared" si="1214"/>
        <v>12.385617077888138</v>
      </c>
      <c r="DC678" s="326"/>
      <c r="DD678" s="351" t="e">
        <f>VLOOKUP($H678,RoR!$E:$F,2,FALSE)</f>
        <v>#N/A</v>
      </c>
      <c r="DE678" s="354">
        <f>HLOOKUP($H678,'GDP-PI'!$D$8:$CQ$11,3,FALSE)</f>
        <v>1.1028127770464469E-2</v>
      </c>
      <c r="DF678" s="351">
        <f>VLOOKUP(H678,'HW Dx Data'!$E:$F,2,FALSE)</f>
        <v>329.24564746449528</v>
      </c>
      <c r="DG678" s="351"/>
      <c r="DH678" s="351"/>
      <c r="DI678" s="351"/>
      <c r="DJ678" s="326"/>
      <c r="DK678" s="344">
        <f>HLOOKUP(H678,'GDP-PI'!$8:$9,2,FALSE)</f>
        <v>75.266999999999996</v>
      </c>
      <c r="DL678" s="292"/>
      <c r="EC678"/>
    </row>
    <row r="679" spans="1:133" s="126" customFormat="1" ht="21" customHeight="1" x14ac:dyDescent="0.4">
      <c r="A679" s="233" t="s">
        <v>221</v>
      </c>
      <c r="B679" s="127" t="s">
        <v>221</v>
      </c>
      <c r="C679" s="127">
        <v>4057130</v>
      </c>
      <c r="D679" s="127" t="s">
        <v>222</v>
      </c>
      <c r="E679" s="127"/>
      <c r="F679" s="127"/>
      <c r="G679" s="127" t="s">
        <v>155</v>
      </c>
      <c r="H679" s="128">
        <v>1999</v>
      </c>
      <c r="I679" s="129"/>
      <c r="J679" s="125"/>
      <c r="K679" s="129"/>
      <c r="L679" s="47"/>
      <c r="M679" s="129"/>
      <c r="N679" s="129"/>
      <c r="O679" s="129"/>
      <c r="P679" s="47"/>
      <c r="Q679" s="47"/>
      <c r="R679" s="386"/>
      <c r="S679" s="119"/>
      <c r="T679" s="47"/>
      <c r="U679" s="46"/>
      <c r="V679" s="135"/>
      <c r="W679" s="135"/>
      <c r="X679" s="135"/>
      <c r="Y679" s="143"/>
      <c r="Z679" s="135"/>
      <c r="AA679" s="135"/>
      <c r="AB679" s="135"/>
      <c r="AC679" s="125">
        <f t="shared" ref="AC679:AC702" si="1242">+CL678*DB679</f>
        <v>0</v>
      </c>
      <c r="AD679" s="129"/>
      <c r="AE679" s="133">
        <v>837.18108636761121</v>
      </c>
      <c r="AF679" s="134">
        <v>3.5136698050658277E-2</v>
      </c>
      <c r="AG679" s="61"/>
      <c r="AH679" s="134"/>
      <c r="AI679" s="134"/>
      <c r="AJ679" s="129">
        <f t="shared" si="1238"/>
        <v>0</v>
      </c>
      <c r="AK679" s="134"/>
      <c r="AL679" s="129"/>
      <c r="AM679" s="134"/>
      <c r="AN679" s="134"/>
      <c r="AO679" s="134"/>
      <c r="AP679" s="133"/>
      <c r="AQ679" s="134"/>
      <c r="AR679" s="93"/>
      <c r="AS679" s="93"/>
      <c r="AT679" s="93"/>
      <c r="AU679" s="93"/>
      <c r="AV679" s="93"/>
      <c r="AW679" s="134"/>
      <c r="AX679" s="62"/>
      <c r="AY679" s="93"/>
      <c r="AZ679" s="93"/>
      <c r="BA679" s="93"/>
      <c r="BB679" s="234">
        <f>IFERROR(INDEX('Total Customers'!$E$7:$AA$91,MATCH($C679,'Total Customers'!$C$7:$C$91,0),MATCH($G679,'Total Customers'!$E$5:$AA$5,0)),"NA")</f>
        <v>146606</v>
      </c>
      <c r="BC679" s="411">
        <f t="shared" si="1196"/>
        <v>2.0034841205799306E-2</v>
      </c>
      <c r="BD679" s="92"/>
      <c r="BE679" s="281" t="str">
        <f t="shared" si="1192"/>
        <v>NORTH SHORE GAS COMPANY</v>
      </c>
      <c r="BF679" s="290">
        <f t="shared" si="1193"/>
        <v>4057130</v>
      </c>
      <c r="BG679" s="46" t="str">
        <f t="shared" si="1194"/>
        <v>IL</v>
      </c>
      <c r="BH679" s="46"/>
      <c r="BI679" s="46" t="str">
        <f t="shared" si="1195"/>
        <v>1999 Y</v>
      </c>
      <c r="BJ679" s="129"/>
      <c r="BK679" s="129"/>
      <c r="BL679" s="129">
        <f>INDEX('Dist. Plant Gas Additions'!$E$7:$AD$91,MATCH($C679,'Dist. Plant Gas Additions'!$C$7:$C$91,0),MATCH(Calculation!$G679,'Dist. Plant Gas Additions'!$E$5:$AD$5,0))</f>
        <v>10053</v>
      </c>
      <c r="BM679" s="129">
        <f>INDEX('Gen. Plant Additions'!$E$7:$AD$91,MATCH($C679,'Gen. Plant Additions'!$C$7:$C$91,0),MATCH(Calculation!$G679,'Gen. Plant Additions'!$E$5:$AD$5,0))</f>
        <v>988</v>
      </c>
      <c r="BN679" s="393">
        <f t="shared" ref="BN679:BN700" si="1243">+(BY679/(BY679+BZ679))</f>
        <v>0.94780855118314189</v>
      </c>
      <c r="BO679" s="46">
        <f t="shared" si="1166"/>
        <v>936.43484856894418</v>
      </c>
      <c r="BP679" s="46">
        <f t="shared" si="1167"/>
        <v>-51.565151431055824</v>
      </c>
      <c r="BQ679" s="129">
        <f>INDEX('Dist Plant Depreciation'!$D$7:$AC$94,MATCH($C679,'Dist Plant Depreciation'!$C$7:$C$94,0),MATCH(Calculation!$G679,'Dist Plant Depreciation'!$D$5:$AC$5,0))</f>
        <v>96082</v>
      </c>
      <c r="BR679" s="129">
        <f>INDEX('Gen. Plant Depreciation'!$D$7:$AC$94,MATCH($C679,'Gen. Plant Depreciation'!$C$7:$C$94,0),MATCH(Calculation!$G679,'Gen. Plant Depreciation'!$D$5:$AC$5,0))</f>
        <v>7879</v>
      </c>
      <c r="BS679" s="129"/>
      <c r="BT679" s="129"/>
      <c r="BU679" s="129"/>
      <c r="BV679" s="129"/>
      <c r="BW679" s="129"/>
      <c r="BX679" s="129"/>
      <c r="BY679" s="129">
        <f>INDEX('Gross Dx Plant'!$D$7:$AC$91,MATCH($C679,'Gross Dx Plant'!$C$7:$C$91,0),MATCH(Calculation!$G679,'Gross Dx Plant'!$D$5:$AC$5,0))</f>
        <v>256150</v>
      </c>
      <c r="BZ679" s="129">
        <f>INDEX('Gross Gen Plant'!$D$7:$AC$91,MATCH($C679,'Gross Gen Plant'!$C$7:$C$91,0),MATCH(Calculation!$G679,'Gross Gen Plant'!$D$5:$AC$5,0))</f>
        <v>14105</v>
      </c>
      <c r="CA679" s="129">
        <f t="shared" si="1197"/>
        <v>166294</v>
      </c>
      <c r="CB679" s="129"/>
      <c r="CC679" s="133">
        <v>1999</v>
      </c>
      <c r="CD679" s="129"/>
      <c r="CE679" s="129"/>
      <c r="CF679" s="129"/>
      <c r="CG679" s="137"/>
      <c r="CH679" s="129">
        <f t="shared" ref="CH679:CH701" si="1244">+BM679+BL679</f>
        <v>11041</v>
      </c>
      <c r="CI679" s="46">
        <f>+CH679+BP679</f>
        <v>10989.434848568944</v>
      </c>
      <c r="CJ679" s="46">
        <f t="shared" ref="CJ679:CJ702" si="1245">+CI679/$DF679</f>
        <v>32.772489758360074</v>
      </c>
      <c r="CK679" s="443">
        <v>0.99009900990099009</v>
      </c>
      <c r="CL679" s="46">
        <f>+CL678*CK679+CJ679</f>
        <v>833.04585022003766</v>
      </c>
      <c r="CM679" s="134">
        <f t="shared" ref="CM679:CM700" si="1246">LN(CL679/CL678)</f>
        <v>3.0184982201183722E-2</v>
      </c>
      <c r="CN679" s="135">
        <f t="shared" ref="CN679:CN702" si="1247">+(CL678-CL679+CJ679)/CL678</f>
        <v>9.9009900990099133E-3</v>
      </c>
      <c r="CO679" s="135"/>
      <c r="CP679" s="134">
        <f>VLOOKUP($H679,RoR!$E:$F,2,FALSE)</f>
        <v>7.0416666666666669E-2</v>
      </c>
      <c r="CQ679" s="135">
        <v>1.4335631817396832E-2</v>
      </c>
      <c r="CR679" s="135">
        <f>+CP679-CQ679</f>
        <v>5.6081034849269837E-2</v>
      </c>
      <c r="CS679" s="135"/>
      <c r="CT679" s="135"/>
      <c r="CU679" s="139">
        <f t="shared" ref="CU679:CU703" si="1248">1-CZ679*DA679</f>
        <v>0.85171695000000003</v>
      </c>
      <c r="CV679" s="335">
        <f t="shared" ref="CV679:CV701" si="1249">2/(DD679*39)</f>
        <v>0.72826581702321336</v>
      </c>
      <c r="CW679" s="335">
        <f t="shared" ref="CW679:CW701" si="1250">+(DD679*40-(1+DD679))/(DD679*40)</f>
        <v>0.61997041420118348</v>
      </c>
      <c r="CX679" s="335">
        <f t="shared" ref="CX679:CX701" si="1251">+(1-(1/(1+DD679)^40))</f>
        <v>0.93425155319585029</v>
      </c>
      <c r="CY679" s="335">
        <f t="shared" ref="CY679:CY701" si="1252">+CX679*CW679*CV679</f>
        <v>0.42181762214141483</v>
      </c>
      <c r="CZ679" s="336">
        <f>INDEX('State Tax Lookup'!$D$7:$Z$91,MATCH(Calculation!$C679,'State Tax Lookup'!$B$7:$B$91,0),MATCH($H679,'State Tax Lookup'!$D$6:$Z$6,0))</f>
        <v>0.40076499999999998</v>
      </c>
      <c r="DA679" s="303">
        <v>0.37</v>
      </c>
      <c r="DB679" s="57"/>
      <c r="DC679" s="56"/>
      <c r="DD679" s="303">
        <f>VLOOKUP($H679,RoR!$E:$F,2,FALSE)</f>
        <v>7.0416666666666669E-2</v>
      </c>
      <c r="DE679" s="304">
        <f>HLOOKUP($H679,'GDP-PI'!$D$8:$CQ$11,3,FALSE)</f>
        <v>1.4335631817396832E-2</v>
      </c>
      <c r="DF679" s="303">
        <f>VLOOKUP(H679,'HW Dx Data'!$E:$F,2,FALSE)</f>
        <v>335.32499146683239</v>
      </c>
      <c r="DG679" s="89"/>
      <c r="DH679" s="89"/>
      <c r="DI679" s="89"/>
      <c r="DJ679" s="56"/>
      <c r="DK679" s="53">
        <f>HLOOKUP(H679,'GDP-PI'!$8:$9,2,FALSE)</f>
        <v>76.346000000000004</v>
      </c>
      <c r="DL679" s="298"/>
      <c r="EC679"/>
    </row>
    <row r="680" spans="1:133" s="126" customFormat="1" ht="21" customHeight="1" x14ac:dyDescent="0.4">
      <c r="A680" s="233" t="s">
        <v>221</v>
      </c>
      <c r="B680" s="127" t="s">
        <v>221</v>
      </c>
      <c r="C680" s="127">
        <v>4057130</v>
      </c>
      <c r="D680" s="127" t="s">
        <v>222</v>
      </c>
      <c r="E680" s="127"/>
      <c r="F680" s="127"/>
      <c r="G680" s="127" t="s">
        <v>156</v>
      </c>
      <c r="H680" s="128">
        <v>2000</v>
      </c>
      <c r="I680" s="129"/>
      <c r="J680" s="125"/>
      <c r="K680" s="125"/>
      <c r="L680" s="47"/>
      <c r="M680" s="125"/>
      <c r="N680" s="125"/>
      <c r="O680" s="125"/>
      <c r="P680" s="47"/>
      <c r="Q680" s="47"/>
      <c r="R680" s="386"/>
      <c r="S680" s="119"/>
      <c r="T680" s="47"/>
      <c r="U680" s="47"/>
      <c r="V680" s="125"/>
      <c r="W680" s="125"/>
      <c r="X680" s="125"/>
      <c r="Y680" s="125"/>
      <c r="Z680" s="125"/>
      <c r="AA680" s="125"/>
      <c r="AB680" s="125"/>
      <c r="AC680" s="125">
        <f t="shared" si="1242"/>
        <v>0</v>
      </c>
      <c r="AD680" s="129"/>
      <c r="AE680" s="133">
        <v>868.65998268516068</v>
      </c>
      <c r="AF680" s="134">
        <v>3.6911375674827732E-2</v>
      </c>
      <c r="AG680" s="61"/>
      <c r="AH680" s="134"/>
      <c r="AI680" s="134"/>
      <c r="AJ680" s="129">
        <f t="shared" si="1238"/>
        <v>0</v>
      </c>
      <c r="AK680" s="134"/>
      <c r="AL680" s="129"/>
      <c r="AM680" s="129"/>
      <c r="AN680" s="129"/>
      <c r="AO680" s="129"/>
      <c r="AP680" s="133"/>
      <c r="AQ680" s="134"/>
      <c r="AR680" s="93"/>
      <c r="AS680" s="93"/>
      <c r="AT680" s="93"/>
      <c r="AU680" s="93"/>
      <c r="AV680" s="93"/>
      <c r="AW680" s="134"/>
      <c r="AX680" s="62"/>
      <c r="AY680" s="93"/>
      <c r="AZ680" s="93"/>
      <c r="BA680" s="93"/>
      <c r="BB680" s="234">
        <f>IFERROR(INDEX('Total Customers'!$E$7:$AA$91,MATCH($C680,'Total Customers'!$C$7:$C$91,0),MATCH($G680,'Total Customers'!$E$5:$AA$5,0)),"NA")</f>
        <v>149033</v>
      </c>
      <c r="BC680" s="411">
        <f t="shared" si="1196"/>
        <v>1.6419041623782271E-2</v>
      </c>
      <c r="BD680" s="92"/>
      <c r="BE680" s="281" t="str">
        <f t="shared" si="1192"/>
        <v>NORTH SHORE GAS COMPANY</v>
      </c>
      <c r="BF680" s="290">
        <f t="shared" si="1193"/>
        <v>4057130</v>
      </c>
      <c r="BG680" s="46" t="str">
        <f t="shared" si="1194"/>
        <v>IL</v>
      </c>
      <c r="BH680" s="46"/>
      <c r="BI680" s="46" t="str">
        <f t="shared" si="1195"/>
        <v>2000 Y</v>
      </c>
      <c r="BJ680" s="129"/>
      <c r="BK680" s="129"/>
      <c r="BL680" s="129">
        <f>INDEX('Dist. Plant Gas Additions'!$E$7:$AD$91,MATCH($C680,'Dist. Plant Gas Additions'!$C$7:$C$91,0),MATCH(Calculation!$G680,'Dist. Plant Gas Additions'!$E$5:$AD$5,0))</f>
        <v>10573</v>
      </c>
      <c r="BM680" s="129">
        <f>INDEX('Gen. Plant Additions'!$E$7:$AD$91,MATCH($C680,'Gen. Plant Additions'!$C$7:$C$91,0),MATCH(Calculation!$G680,'Gen. Plant Additions'!$E$5:$AD$5,0))</f>
        <v>1828</v>
      </c>
      <c r="BN680" s="393">
        <f t="shared" si="1243"/>
        <v>0.94587633456711395</v>
      </c>
      <c r="BO680" s="46">
        <f t="shared" si="1166"/>
        <v>1729.0619395886843</v>
      </c>
      <c r="BP680" s="46">
        <f t="shared" si="1167"/>
        <v>-98.938060411315746</v>
      </c>
      <c r="BQ680" s="129">
        <f>INDEX('Dist Plant Depreciation'!$D$7:$AC$94,MATCH($C680,'Dist Plant Depreciation'!$C$7:$C$94,0),MATCH(Calculation!$G680,'Dist Plant Depreciation'!$D$5:$AC$5,0))</f>
        <v>101270</v>
      </c>
      <c r="BR680" s="129">
        <f>INDEX('Gen. Plant Depreciation'!$D$7:$AC$94,MATCH($C680,'Gen. Plant Depreciation'!$C$7:$C$94,0),MATCH(Calculation!$G680,'Gen. Plant Depreciation'!$D$5:$AC$5,0))</f>
        <v>8211</v>
      </c>
      <c r="BS680" s="129"/>
      <c r="BT680" s="129"/>
      <c r="BU680" s="129"/>
      <c r="BV680" s="129"/>
      <c r="BW680" s="129"/>
      <c r="BX680" s="129"/>
      <c r="BY680" s="129">
        <f>INDEX('Gross Dx Plant'!$D$7:$AC$91,MATCH($C680,'Gross Dx Plant'!$C$7:$C$91,0),MATCH(Calculation!$G680,'Gross Dx Plant'!$D$5:$AC$5,0))</f>
        <v>265516</v>
      </c>
      <c r="BZ680" s="129">
        <f>INDEX('Gross Gen Plant'!$D$7:$AC$91,MATCH($C680,'Gross Gen Plant'!$C$7:$C$91,0),MATCH(Calculation!$G680,'Gross Gen Plant'!$D$5:$AC$5,0))</f>
        <v>15193</v>
      </c>
      <c r="CA680" s="129">
        <f t="shared" si="1197"/>
        <v>171228</v>
      </c>
      <c r="CB680" s="129"/>
      <c r="CC680" s="133">
        <v>2000</v>
      </c>
      <c r="CD680" s="129"/>
      <c r="CE680" s="129"/>
      <c r="CF680" s="129"/>
      <c r="CG680" s="137"/>
      <c r="CH680" s="129">
        <f t="shared" si="1244"/>
        <v>12401</v>
      </c>
      <c r="CI680" s="46">
        <f t="shared" ref="CI680:CI702" si="1253">+CH680+BP680</f>
        <v>12302.061939588684</v>
      </c>
      <c r="CJ680" s="46">
        <f t="shared" si="1245"/>
        <v>35.500331733737305</v>
      </c>
      <c r="CK680" s="443">
        <v>0.98</v>
      </c>
      <c r="CL680" s="46">
        <f>+CL678*CK680+CJ679*CK679+CJ680</f>
        <v>860.05891358044835</v>
      </c>
      <c r="CM680" s="134">
        <f t="shared" si="1246"/>
        <v>3.1912208131532969E-2</v>
      </c>
      <c r="CN680" s="135">
        <f t="shared" si="1247"/>
        <v>1.0188236783227269E-2</v>
      </c>
      <c r="CO680" s="135"/>
      <c r="CP680" s="134">
        <f>VLOOKUP($H680,RoR!$E:$F,2,FALSE)</f>
        <v>7.6225000000000001E-2</v>
      </c>
      <c r="CQ680" s="135">
        <v>2.2568307442433211E-2</v>
      </c>
      <c r="CR680" s="135">
        <f t="shared" ref="CR680:CR700" si="1254">+CP680-CQ680</f>
        <v>5.365669255756679E-2</v>
      </c>
      <c r="CS680" s="135"/>
      <c r="CT680" s="135"/>
      <c r="CU680" s="139">
        <f t="shared" si="1248"/>
        <v>0.85171695000000003</v>
      </c>
      <c r="CV680" s="335">
        <f t="shared" si="1249"/>
        <v>0.67277207323124022</v>
      </c>
      <c r="CW680" s="335">
        <f t="shared" si="1250"/>
        <v>0.6470236142997704</v>
      </c>
      <c r="CX680" s="335">
        <f t="shared" si="1251"/>
        <v>0.94704866037543145</v>
      </c>
      <c r="CY680" s="335">
        <f t="shared" si="1252"/>
        <v>0.41224973107878493</v>
      </c>
      <c r="CZ680" s="336">
        <f>INDEX('State Tax Lookup'!$D$7:$Z$91,MATCH(Calculation!$C680,'State Tax Lookup'!$B$7:$B$91,0),MATCH($H680,'State Tax Lookup'!$D$6:$Z$6,0))</f>
        <v>0.40076499999999998</v>
      </c>
      <c r="DA680" s="303">
        <v>0.37</v>
      </c>
      <c r="DB680" s="57"/>
      <c r="DC680" s="56"/>
      <c r="DD680" s="303">
        <f>VLOOKUP($H680,RoR!$E:$F,2,FALSE)</f>
        <v>7.6225000000000001E-2</v>
      </c>
      <c r="DE680" s="304">
        <f>HLOOKUP($H680,'GDP-PI'!$D$8:$CQ$11,3,FALSE)</f>
        <v>2.2568307442433211E-2</v>
      </c>
      <c r="DF680" s="303">
        <f>VLOOKUP(H680,'HW Dx Data'!$E:$F,2,FALSE)</f>
        <v>346.53371782150339</v>
      </c>
      <c r="DG680" s="89"/>
      <c r="DH680" s="89"/>
      <c r="DI680" s="89"/>
      <c r="DJ680" s="56"/>
      <c r="DK680" s="53">
        <f>HLOOKUP(H680,'GDP-PI'!$8:$9,2,FALSE)</f>
        <v>78.069000000000003</v>
      </c>
      <c r="DL680" s="298"/>
      <c r="EC680"/>
    </row>
    <row r="681" spans="1:133" s="126" customFormat="1" ht="21" customHeight="1" x14ac:dyDescent="0.4">
      <c r="A681" s="233" t="s">
        <v>221</v>
      </c>
      <c r="B681" s="127" t="s">
        <v>221</v>
      </c>
      <c r="C681" s="127">
        <v>4057130</v>
      </c>
      <c r="D681" s="127" t="s">
        <v>222</v>
      </c>
      <c r="E681" s="127"/>
      <c r="F681" s="127"/>
      <c r="G681" s="127" t="s">
        <v>157</v>
      </c>
      <c r="H681" s="128">
        <v>2001</v>
      </c>
      <c r="I681" s="129"/>
      <c r="J681" s="125"/>
      <c r="K681" s="125"/>
      <c r="L681" s="47"/>
      <c r="M681" s="125"/>
      <c r="N681" s="125"/>
      <c r="O681" s="125"/>
      <c r="P681" s="47"/>
      <c r="Q681" s="47"/>
      <c r="R681" s="386"/>
      <c r="S681" s="119"/>
      <c r="T681" s="47"/>
      <c r="U681" s="47"/>
      <c r="V681" s="125"/>
      <c r="W681" s="125"/>
      <c r="X681" s="125"/>
      <c r="Y681" s="125"/>
      <c r="Z681" s="125"/>
      <c r="AA681" s="125"/>
      <c r="AB681" s="125"/>
      <c r="AC681" s="125">
        <f t="shared" si="1242"/>
        <v>8979.189491533758</v>
      </c>
      <c r="AD681" s="129"/>
      <c r="AE681" s="133">
        <v>884.83186630911916</v>
      </c>
      <c r="AF681" s="134">
        <v>1.8445870930196343E-2</v>
      </c>
      <c r="AG681" s="61"/>
      <c r="AH681" s="134"/>
      <c r="AI681" s="134"/>
      <c r="AJ681" s="129">
        <f t="shared" si="1238"/>
        <v>8979.189491533758</v>
      </c>
      <c r="AK681" s="134"/>
      <c r="AL681" s="129"/>
      <c r="AM681" s="129"/>
      <c r="AN681" s="129"/>
      <c r="AO681" s="129"/>
      <c r="AP681" s="133"/>
      <c r="AQ681" s="134"/>
      <c r="AR681" s="93"/>
      <c r="AS681" s="93"/>
      <c r="AT681" s="93"/>
      <c r="AU681" s="93"/>
      <c r="AV681" s="93"/>
      <c r="AW681" s="134"/>
      <c r="AX681" s="62"/>
      <c r="AY681" s="93"/>
      <c r="AZ681" s="93"/>
      <c r="BA681" s="93"/>
      <c r="BB681" s="234">
        <f>IFERROR(INDEX('Total Customers'!$E$7:$AA$91,MATCH($C681,'Total Customers'!$C$7:$C$91,0),MATCH($G681,'Total Customers'!$E$5:$AA$5,0)),"NA")</f>
        <v>150213</v>
      </c>
      <c r="BC681" s="411">
        <f t="shared" si="1196"/>
        <v>7.8865289164451458E-3</v>
      </c>
      <c r="BD681" s="92"/>
      <c r="BE681" s="281" t="str">
        <f t="shared" si="1192"/>
        <v>NORTH SHORE GAS COMPANY</v>
      </c>
      <c r="BF681" s="290">
        <f t="shared" si="1193"/>
        <v>4057130</v>
      </c>
      <c r="BG681" s="46" t="str">
        <f t="shared" si="1194"/>
        <v>IL</v>
      </c>
      <c r="BH681" s="46"/>
      <c r="BI681" s="46" t="str">
        <f t="shared" si="1195"/>
        <v>2001 Y</v>
      </c>
      <c r="BJ681" s="129"/>
      <c r="BK681" s="129"/>
      <c r="BL681" s="129">
        <f>INDEX('Dist. Plant Gas Additions'!$E$7:$AD$91,MATCH($C681,'Dist. Plant Gas Additions'!$C$7:$C$91,0),MATCH(Calculation!$G681,'Dist. Plant Gas Additions'!$E$5:$AD$5,0))</f>
        <v>6639</v>
      </c>
      <c r="BM681" s="129">
        <f>INDEX('Gen. Plant Additions'!$E$7:$AD$91,MATCH($C681,'Gen. Plant Additions'!$C$7:$C$91,0),MATCH(Calculation!$G681,'Gen. Plant Additions'!$E$5:$AD$5,0))</f>
        <v>646</v>
      </c>
      <c r="BN681" s="393">
        <f t="shared" si="1243"/>
        <v>0.94732100769915673</v>
      </c>
      <c r="BO681" s="46">
        <f t="shared" si="1166"/>
        <v>611.96937097365526</v>
      </c>
      <c r="BP681" s="46">
        <f t="shared" si="1167"/>
        <v>-34.030629026344741</v>
      </c>
      <c r="BQ681" s="129">
        <f>INDEX('Dist Plant Depreciation'!$D$7:$AC$94,MATCH($C681,'Dist Plant Depreciation'!$C$7:$C$94,0),MATCH(Calculation!$G681,'Dist Plant Depreciation'!$D$5:$AC$5,0))</f>
        <v>105452</v>
      </c>
      <c r="BR681" s="129">
        <f>INDEX('Gen. Plant Depreciation'!$D$7:$AC$94,MATCH($C681,'Gen. Plant Depreciation'!$C$7:$C$94,0),MATCH(Calculation!$G681,'Gen. Plant Depreciation'!$D$5:$AC$5,0))</f>
        <v>8356</v>
      </c>
      <c r="BS681" s="129"/>
      <c r="BT681" s="129"/>
      <c r="BU681" s="129"/>
      <c r="BV681" s="129"/>
      <c r="BW681" s="129"/>
      <c r="BX681" s="129"/>
      <c r="BY681" s="129">
        <f>INDEX('Gross Dx Plant'!$D$7:$AC$91,MATCH($C681,'Gross Dx Plant'!$C$7:$C$91,0),MATCH(Calculation!$G681,'Gross Dx Plant'!$D$5:$AC$5,0))</f>
        <v>271308</v>
      </c>
      <c r="BZ681" s="129">
        <f>INDEX('Gross Gen Plant'!$D$7:$AC$91,MATCH($C681,'Gross Gen Plant'!$C$7:$C$91,0),MATCH(Calculation!$G681,'Gross Gen Plant'!$D$5:$AC$5,0))</f>
        <v>15087</v>
      </c>
      <c r="CA681" s="129">
        <f t="shared" si="1197"/>
        <v>172587</v>
      </c>
      <c r="CB681" s="129"/>
      <c r="CC681" s="133">
        <v>2001</v>
      </c>
      <c r="CD681" s="129"/>
      <c r="CE681" s="129"/>
      <c r="CF681" s="129"/>
      <c r="CG681" s="137"/>
      <c r="CH681" s="129">
        <f t="shared" si="1244"/>
        <v>7285</v>
      </c>
      <c r="CI681" s="46">
        <f t="shared" si="1253"/>
        <v>7250.9693709736548</v>
      </c>
      <c r="CJ681" s="46">
        <f t="shared" si="1245"/>
        <v>20.514989720356649</v>
      </c>
      <c r="CK681" s="443">
        <v>0.96969696969696972</v>
      </c>
      <c r="CL681" s="46">
        <f>+CL678*CK681+CJ679*CK680+CJ680*CK678+CJ681</f>
        <v>871.91524051187525</v>
      </c>
      <c r="CM681" s="134">
        <f t="shared" si="1246"/>
        <v>1.3691326872220216E-2</v>
      </c>
      <c r="CN681" s="135">
        <f t="shared" si="1247"/>
        <v>1.0067522878035758E-2</v>
      </c>
      <c r="CO681" s="135">
        <f>+(CN681+CN680+CN679)/3</f>
        <v>1.005224992009098E-2</v>
      </c>
      <c r="CP681" s="134">
        <f>VLOOKUP($H681,RoR!$E:$F,2,FALSE)</f>
        <v>7.0824999999999999E-2</v>
      </c>
      <c r="CQ681" s="135">
        <v>2.2454495382290052E-2</v>
      </c>
      <c r="CR681" s="135">
        <f t="shared" si="1254"/>
        <v>4.8370504617709947E-2</v>
      </c>
      <c r="CS681" s="135">
        <f>+$CR$2-CO681</f>
        <v>2.0849691688442647E-2</v>
      </c>
      <c r="CT681" s="135">
        <v>2.3947275901631187E-2</v>
      </c>
      <c r="CU681" s="139">
        <f t="shared" si="1248"/>
        <v>0.85171695000000003</v>
      </c>
      <c r="CV681" s="335">
        <f t="shared" si="1249"/>
        <v>0.72406708481540816</v>
      </c>
      <c r="CW681" s="335">
        <f t="shared" si="1250"/>
        <v>0.62201729615248857</v>
      </c>
      <c r="CX681" s="335">
        <f t="shared" si="1251"/>
        <v>0.9352469954311422</v>
      </c>
      <c r="CY681" s="335">
        <f t="shared" si="1252"/>
        <v>0.42121864641655071</v>
      </c>
      <c r="CZ681" s="336">
        <f>INDEX('State Tax Lookup'!$D$7:$Z$91,MATCH(Calculation!$C681,'State Tax Lookup'!$B$7:$B$91,0),MATCH($H681,'State Tax Lookup'!$D$6:$Z$6,0))</f>
        <v>0.40076499999999998</v>
      </c>
      <c r="DA681" s="303">
        <v>0.37</v>
      </c>
      <c r="DB681" s="57">
        <f t="shared" ref="DB681:DB702" si="1255">+(DF681*CS681-CT681)*CU681/(1-CZ681)</f>
        <v>10.440202816052626</v>
      </c>
      <c r="DC681" s="56"/>
      <c r="DD681" s="303">
        <f>VLOOKUP($H681,RoR!$E:$F,2,FALSE)</f>
        <v>7.0824999999999999E-2</v>
      </c>
      <c r="DE681" s="304">
        <f>HLOOKUP($H681,'GDP-PI'!$D$8:$CQ$11,3,FALSE)</f>
        <v>2.2454495382290052E-2</v>
      </c>
      <c r="DF681" s="303">
        <f>VLOOKUP(H681,'HW Dx Data'!$E:$F,2,FALSE)</f>
        <v>353.44738017483138</v>
      </c>
      <c r="DG681" s="89"/>
      <c r="DH681" s="89"/>
      <c r="DI681" s="89"/>
      <c r="DJ681" s="56"/>
      <c r="DK681" s="53">
        <f>HLOOKUP(H681,'GDP-PI'!$8:$9,2,FALSE)</f>
        <v>79.822000000000003</v>
      </c>
      <c r="DL681" s="298"/>
      <c r="EC681"/>
    </row>
    <row r="682" spans="1:133" s="126" customFormat="1" ht="21" customHeight="1" x14ac:dyDescent="0.4">
      <c r="A682" s="233" t="s">
        <v>221</v>
      </c>
      <c r="B682" s="127" t="s">
        <v>221</v>
      </c>
      <c r="C682" s="127">
        <v>4057130</v>
      </c>
      <c r="D682" s="127" t="s">
        <v>222</v>
      </c>
      <c r="E682" s="127"/>
      <c r="F682" s="127"/>
      <c r="G682" s="127" t="s">
        <v>158</v>
      </c>
      <c r="H682" s="128">
        <v>2002</v>
      </c>
      <c r="I682" s="129"/>
      <c r="J682" s="125"/>
      <c r="K682" s="125"/>
      <c r="L682" s="47"/>
      <c r="M682" s="125"/>
      <c r="N682" s="125"/>
      <c r="O682" s="125"/>
      <c r="P682" s="47"/>
      <c r="Q682" s="47"/>
      <c r="R682" s="386"/>
      <c r="S682" s="119"/>
      <c r="T682" s="47"/>
      <c r="U682" s="47"/>
      <c r="V682" s="125"/>
      <c r="W682" s="125"/>
      <c r="X682" s="125"/>
      <c r="Y682" s="125"/>
      <c r="Z682" s="125"/>
      <c r="AA682" s="125"/>
      <c r="AB682" s="125"/>
      <c r="AC682" s="125">
        <f t="shared" si="1242"/>
        <v>9114.5212726653754</v>
      </c>
      <c r="AD682" s="129"/>
      <c r="AE682" s="133">
        <v>907.92611059152864</v>
      </c>
      <c r="AF682" s="134">
        <v>2.5765353902039861E-2</v>
      </c>
      <c r="AG682" s="61"/>
      <c r="AH682" s="134"/>
      <c r="AI682" s="134"/>
      <c r="AJ682" s="129">
        <f t="shared" si="1238"/>
        <v>9114.5212726653754</v>
      </c>
      <c r="AK682" s="134"/>
      <c r="AL682" s="129"/>
      <c r="AM682" s="129"/>
      <c r="AN682" s="129"/>
      <c r="AO682" s="129"/>
      <c r="AP682" s="133"/>
      <c r="AQ682" s="134"/>
      <c r="AR682" s="93"/>
      <c r="AS682" s="93"/>
      <c r="AT682" s="93"/>
      <c r="AU682" s="93"/>
      <c r="AV682" s="93"/>
      <c r="AW682" s="134"/>
      <c r="AX682" s="62"/>
      <c r="AY682" s="93"/>
      <c r="AZ682" s="93"/>
      <c r="BA682" s="93"/>
      <c r="BB682" s="234">
        <f>IFERROR(INDEX('Total Customers'!$E$7:$AA$91,MATCH($C682,'Total Customers'!$C$7:$C$91,0),MATCH($G682,'Total Customers'!$E$5:$AA$5,0)),"NA")</f>
        <v>151548</v>
      </c>
      <c r="BC682" s="411">
        <f t="shared" si="1196"/>
        <v>8.8481196023636102E-3</v>
      </c>
      <c r="BD682" s="92"/>
      <c r="BE682" s="281" t="str">
        <f t="shared" si="1192"/>
        <v>NORTH SHORE GAS COMPANY</v>
      </c>
      <c r="BF682" s="290">
        <f t="shared" si="1193"/>
        <v>4057130</v>
      </c>
      <c r="BG682" s="46" t="str">
        <f t="shared" si="1194"/>
        <v>IL</v>
      </c>
      <c r="BH682" s="46"/>
      <c r="BI682" s="46" t="str">
        <f t="shared" si="1195"/>
        <v>2002 Y</v>
      </c>
      <c r="BJ682" s="129"/>
      <c r="BK682" s="129"/>
      <c r="BL682" s="129">
        <f>INDEX('Dist. Plant Gas Additions'!$E$7:$AD$91,MATCH($C682,'Dist. Plant Gas Additions'!$C$7:$C$91,0),MATCH(Calculation!$G682,'Dist. Plant Gas Additions'!$E$5:$AD$5,0))</f>
        <v>9639</v>
      </c>
      <c r="BM682" s="129">
        <f>INDEX('Gen. Plant Additions'!$E$7:$AD$91,MATCH($C682,'Gen. Plant Additions'!$C$7:$C$91,0),MATCH(Calculation!$G682,'Gen. Plant Additions'!$E$5:$AD$5,0))</f>
        <v>528</v>
      </c>
      <c r="BN682" s="393">
        <f t="shared" si="1243"/>
        <v>0.94966922088429873</v>
      </c>
      <c r="BO682" s="46">
        <f t="shared" si="1166"/>
        <v>501.42534862690974</v>
      </c>
      <c r="BP682" s="46">
        <f t="shared" si="1167"/>
        <v>-26.574651373090262</v>
      </c>
      <c r="BQ682" s="129">
        <f>INDEX('Dist Plant Depreciation'!$D$7:$AC$94,MATCH($C682,'Dist Plant Depreciation'!$C$7:$C$94,0),MATCH(Calculation!$G682,'Dist Plant Depreciation'!$D$5:$AC$5,0))</f>
        <v>109058</v>
      </c>
      <c r="BR682" s="129">
        <f>INDEX('Gen. Plant Depreciation'!$D$7:$AC$94,MATCH($C682,'Gen. Plant Depreciation'!$C$7:$C$94,0),MATCH(Calculation!$G682,'Gen. Plant Depreciation'!$D$5:$AC$5,0))</f>
        <v>8484</v>
      </c>
      <c r="BS682" s="129"/>
      <c r="BT682" s="129"/>
      <c r="BU682" s="129"/>
      <c r="BV682" s="129"/>
      <c r="BW682" s="129"/>
      <c r="BX682" s="129"/>
      <c r="BY682" s="129">
        <f>INDEX('Gross Dx Plant'!$D$7:$AC$91,MATCH($C682,'Gross Dx Plant'!$C$7:$C$91,0),MATCH(Calculation!$G682,'Gross Dx Plant'!$D$5:$AC$5,0))</f>
        <v>279349</v>
      </c>
      <c r="BZ682" s="129">
        <f>INDEX('Gross Gen Plant'!$D$7:$AC$91,MATCH($C682,'Gross Gen Plant'!$C$7:$C$91,0),MATCH(Calculation!$G682,'Gross Gen Plant'!$D$5:$AC$5,0))</f>
        <v>14805</v>
      </c>
      <c r="CA682" s="129">
        <f t="shared" si="1197"/>
        <v>176612</v>
      </c>
      <c r="CB682" s="129"/>
      <c r="CC682" s="133">
        <v>2002</v>
      </c>
      <c r="CD682" s="129"/>
      <c r="CE682" s="129"/>
      <c r="CF682" s="129"/>
      <c r="CG682" s="137"/>
      <c r="CH682" s="129">
        <f t="shared" si="1244"/>
        <v>10167</v>
      </c>
      <c r="CI682" s="46">
        <f t="shared" si="1253"/>
        <v>10140.42534862691</v>
      </c>
      <c r="CJ682" s="46">
        <f t="shared" si="1245"/>
        <v>28.062755841101424</v>
      </c>
      <c r="CK682" s="443">
        <v>0.95918367346938771</v>
      </c>
      <c r="CL682" s="46">
        <f>+CL678*CK682+CJ679*CK681+CJ680*CK680+CJ681*CK679+CJ682</f>
        <v>890.22956904252135</v>
      </c>
      <c r="CM682" s="134">
        <f t="shared" si="1246"/>
        <v>2.0787154272298661E-2</v>
      </c>
      <c r="CN682" s="135">
        <f t="shared" si="1247"/>
        <v>1.1180475873701119E-2</v>
      </c>
      <c r="CO682" s="135">
        <f t="shared" ref="CO682:CO702" si="1256">+(CN682+CN681+CN680)/3</f>
        <v>1.0478745178321383E-2</v>
      </c>
      <c r="CP682" s="134">
        <f>VLOOKUP($H682,RoR!$E:$F,2,FALSE)</f>
        <v>6.4916666666666664E-2</v>
      </c>
      <c r="CQ682" s="135">
        <v>1.5246423291824351E-2</v>
      </c>
      <c r="CR682" s="135">
        <f t="shared" si="1254"/>
        <v>4.9670243374842313E-2</v>
      </c>
      <c r="CS682" s="135">
        <f t="shared" ref="CS682:CS703" si="1257">+$CR$2-CO682</f>
        <v>2.0423196430212242E-2</v>
      </c>
      <c r="CT682" s="135">
        <v>2.5243621214759093E-2</v>
      </c>
      <c r="CU682" s="139">
        <f t="shared" si="1248"/>
        <v>0.85171695000000003</v>
      </c>
      <c r="CV682" s="335">
        <f t="shared" si="1249"/>
        <v>0.78996741384417901</v>
      </c>
      <c r="CW682" s="335">
        <f t="shared" si="1250"/>
        <v>0.58989088575096271</v>
      </c>
      <c r="CX682" s="335">
        <f t="shared" si="1251"/>
        <v>0.91920675783645744</v>
      </c>
      <c r="CY682" s="335">
        <f t="shared" si="1252"/>
        <v>0.42834536472275586</v>
      </c>
      <c r="CZ682" s="336">
        <f>INDEX('State Tax Lookup'!$D$7:$Z$91,MATCH(Calculation!$C682,'State Tax Lookup'!$B$7:$B$91,0),MATCH($H682,'State Tax Lookup'!$D$6:$Z$6,0))</f>
        <v>0.40076499999999998</v>
      </c>
      <c r="DA682" s="303">
        <v>0.37</v>
      </c>
      <c r="DB682" s="57">
        <f t="shared" si="1255"/>
        <v>10.45344874040109</v>
      </c>
      <c r="DC682" s="56">
        <f t="shared" ref="DC682:DC701" si="1258">LN(DB682/DB681)</f>
        <v>1.2679378793371571E-3</v>
      </c>
      <c r="DD682" s="303">
        <f>VLOOKUP($H682,RoR!$E:$F,2,FALSE)</f>
        <v>6.4916666666666664E-2</v>
      </c>
      <c r="DE682" s="304">
        <f>HLOOKUP($H682,'GDP-PI'!$D$8:$CQ$11,3,FALSE)</f>
        <v>1.5246423291824351E-2</v>
      </c>
      <c r="DF682" s="303">
        <f>VLOOKUP(H682,'HW Dx Data'!$E:$F,2,FALSE)</f>
        <v>361.34816573413599</v>
      </c>
      <c r="DG682" s="89"/>
      <c r="DH682" s="89"/>
      <c r="DI682" s="89"/>
      <c r="DJ682" s="56"/>
      <c r="DK682" s="53">
        <f>HLOOKUP(H682,'GDP-PI'!$8:$9,2,FALSE)</f>
        <v>81.039000000000001</v>
      </c>
      <c r="DL682" s="355">
        <f>LN(DK682/DK681)</f>
        <v>1.513136459537477E-2</v>
      </c>
      <c r="EC682"/>
    </row>
    <row r="683" spans="1:133" s="126" customFormat="1" ht="21" customHeight="1" x14ac:dyDescent="0.4">
      <c r="A683" s="233" t="s">
        <v>221</v>
      </c>
      <c r="B683" s="127" t="s">
        <v>221</v>
      </c>
      <c r="C683" s="127">
        <v>4057130</v>
      </c>
      <c r="D683" s="127" t="s">
        <v>222</v>
      </c>
      <c r="E683" s="127"/>
      <c r="F683" s="127"/>
      <c r="G683" s="127" t="s">
        <v>159</v>
      </c>
      <c r="H683" s="128">
        <v>2003</v>
      </c>
      <c r="I683" s="129"/>
      <c r="J683" s="125"/>
      <c r="K683" s="125"/>
      <c r="L683" s="47"/>
      <c r="M683" s="125"/>
      <c r="N683" s="125"/>
      <c r="O683" s="125"/>
      <c r="P683" s="59"/>
      <c r="Q683" s="59"/>
      <c r="R683" s="386"/>
      <c r="S683" s="119"/>
      <c r="T683" s="59"/>
      <c r="U683" s="59"/>
      <c r="V683" s="125"/>
      <c r="W683" s="125"/>
      <c r="X683" s="125"/>
      <c r="Y683" s="125"/>
      <c r="Z683" s="125"/>
      <c r="AA683" s="125"/>
      <c r="AB683" s="125"/>
      <c r="AC683" s="125">
        <f t="shared" si="1242"/>
        <v>9374.9683382173971</v>
      </c>
      <c r="AD683" s="129"/>
      <c r="AE683" s="133">
        <v>929.33399400988162</v>
      </c>
      <c r="AF683" s="134">
        <v>2.3305194836991176E-2</v>
      </c>
      <c r="AG683" s="61"/>
      <c r="AH683" s="134"/>
      <c r="AI683" s="134"/>
      <c r="AJ683" s="129">
        <f t="shared" si="1238"/>
        <v>9374.9683382173971</v>
      </c>
      <c r="AK683" s="134"/>
      <c r="AL683" s="129"/>
      <c r="AM683" s="129"/>
      <c r="AN683" s="129"/>
      <c r="AO683" s="129"/>
      <c r="AP683" s="133"/>
      <c r="AQ683" s="134"/>
      <c r="AR683" s="93"/>
      <c r="AS683" s="93"/>
      <c r="AT683" s="93"/>
      <c r="AU683" s="93"/>
      <c r="AV683" s="93"/>
      <c r="AW683" s="134"/>
      <c r="AX683" s="62"/>
      <c r="AY683" s="93"/>
      <c r="AZ683" s="93"/>
      <c r="BA683" s="93"/>
      <c r="BB683" s="234">
        <f>IFERROR(INDEX('Total Customers'!$E$7:$AA$91,MATCH($C683,'Total Customers'!$C$7:$C$91,0),MATCH($G683,'Total Customers'!$E$5:$AA$5,0)),"NA")</f>
        <v>152638</v>
      </c>
      <c r="BC683" s="411">
        <f t="shared" si="1196"/>
        <v>7.16669843673473E-3</v>
      </c>
      <c r="BD683" s="92"/>
      <c r="BE683" s="281" t="str">
        <f t="shared" si="1192"/>
        <v>NORTH SHORE GAS COMPANY</v>
      </c>
      <c r="BF683" s="290">
        <f t="shared" si="1193"/>
        <v>4057130</v>
      </c>
      <c r="BG683" s="46" t="str">
        <f t="shared" si="1194"/>
        <v>IL</v>
      </c>
      <c r="BH683" s="46"/>
      <c r="BI683" s="46" t="str">
        <f t="shared" si="1195"/>
        <v>2003 Y</v>
      </c>
      <c r="BJ683" s="129"/>
      <c r="BK683" s="129"/>
      <c r="BL683" s="129">
        <f>INDEX('Dist. Plant Gas Additions'!$E$7:$AD$91,MATCH($C683,'Dist. Plant Gas Additions'!$C$7:$C$91,0),MATCH(Calculation!$G683,'Dist. Plant Gas Additions'!$E$5:$AD$5,0))</f>
        <v>7123</v>
      </c>
      <c r="BM683" s="129">
        <f>INDEX('Gen. Plant Additions'!$E$7:$AD$91,MATCH($C683,'Gen. Plant Additions'!$C$7:$C$91,0),MATCH(Calculation!$G683,'Gen. Plant Additions'!$E$5:$AD$5,0))</f>
        <v>2686</v>
      </c>
      <c r="BN683" s="393">
        <f t="shared" si="1243"/>
        <v>0.94553446341188108</v>
      </c>
      <c r="BO683" s="46">
        <f t="shared" si="1166"/>
        <v>2539.7055687243128</v>
      </c>
      <c r="BP683" s="46">
        <f t="shared" si="1167"/>
        <v>-146.2944312756872</v>
      </c>
      <c r="BQ683" s="129">
        <f>INDEX('Dist Plant Depreciation'!$D$7:$AC$94,MATCH($C683,'Dist Plant Depreciation'!$C$7:$C$94,0),MATCH(Calculation!$G683,'Dist Plant Depreciation'!$D$5:$AC$5,0))</f>
        <v>112894</v>
      </c>
      <c r="BR683" s="129">
        <f>INDEX('Gen. Plant Depreciation'!$D$7:$AC$94,MATCH($C683,'Gen. Plant Depreciation'!$C$7:$C$94,0),MATCH(Calculation!$G683,'Gen. Plant Depreciation'!$D$5:$AC$5,0))</f>
        <v>8525</v>
      </c>
      <c r="BS683" s="129"/>
      <c r="BT683" s="129"/>
      <c r="BU683" s="129"/>
      <c r="BV683" s="129"/>
      <c r="BW683" s="129"/>
      <c r="BX683" s="129"/>
      <c r="BY683" s="129">
        <f>INDEX('Gross Dx Plant'!$D$7:$AC$91,MATCH($C683,'Gross Dx Plant'!$C$7:$C$91,0),MATCH(Calculation!$G683,'Gross Dx Plant'!$D$5:$AC$5,0))</f>
        <v>284812</v>
      </c>
      <c r="BZ683" s="129">
        <f>INDEX('Gross Gen Plant'!$D$7:$AC$91,MATCH($C683,'Gross Gen Plant'!$C$7:$C$91,0),MATCH(Calculation!$G683,'Gross Gen Plant'!$D$5:$AC$5,0))</f>
        <v>16406</v>
      </c>
      <c r="CA683" s="129">
        <f t="shared" si="1197"/>
        <v>179799</v>
      </c>
      <c r="CB683" s="129"/>
      <c r="CC683" s="133">
        <v>2003</v>
      </c>
      <c r="CD683" s="129"/>
      <c r="CE683" s="129"/>
      <c r="CF683" s="129"/>
      <c r="CG683" s="137"/>
      <c r="CH683" s="129">
        <f t="shared" si="1244"/>
        <v>9809</v>
      </c>
      <c r="CI683" s="46">
        <f t="shared" si="1253"/>
        <v>9662.7055687243119</v>
      </c>
      <c r="CJ683" s="46">
        <f t="shared" si="1245"/>
        <v>26.169668697055354</v>
      </c>
      <c r="CK683" s="443">
        <v>0.94845360824742264</v>
      </c>
      <c r="CL683" s="46">
        <f>+CL678*CK683+CJ679*CK682+CJ680*CK681+CJ681*CK680+CJ682*CK679+CJ683</f>
        <v>906.53104449428668</v>
      </c>
      <c r="CM683" s="134">
        <f t="shared" si="1246"/>
        <v>1.8145903945797272E-2</v>
      </c>
      <c r="CN683" s="135">
        <f t="shared" si="1247"/>
        <v>1.1084998284098421E-2</v>
      </c>
      <c r="CO683" s="135">
        <f t="shared" si="1256"/>
        <v>1.0777665678611765E-2</v>
      </c>
      <c r="CP683" s="134">
        <f>VLOOKUP($H683,RoR!$E:$F,2,FALSE)</f>
        <v>5.6666666666666671E-2</v>
      </c>
      <c r="CQ683" s="135">
        <v>1.8855119140166909E-2</v>
      </c>
      <c r="CR683" s="135">
        <f t="shared" si="1254"/>
        <v>3.7811547526499761E-2</v>
      </c>
      <c r="CS683" s="135">
        <f t="shared" si="1257"/>
        <v>2.0124275929921859E-2</v>
      </c>
      <c r="CT683" s="135">
        <v>2.1375012817671957E-2</v>
      </c>
      <c r="CU683" s="139">
        <f t="shared" si="1248"/>
        <v>0.85171695000000003</v>
      </c>
      <c r="CV683" s="335">
        <f t="shared" si="1249"/>
        <v>0.90497737556561086</v>
      </c>
      <c r="CW683" s="335">
        <f t="shared" si="1250"/>
        <v>0.5338235294117647</v>
      </c>
      <c r="CX683" s="335">
        <f t="shared" si="1251"/>
        <v>0.88972433127405692</v>
      </c>
      <c r="CY683" s="335">
        <f t="shared" si="1252"/>
        <v>0.42982423775949252</v>
      </c>
      <c r="CZ683" s="336">
        <f>INDEX('State Tax Lookup'!$D$7:$Z$91,MATCH(Calculation!$C683,'State Tax Lookup'!$B$7:$B$91,0),MATCH($H683,'State Tax Lookup'!$D$6:$Z$6,0))</f>
        <v>0.40076499999999998</v>
      </c>
      <c r="DA683" s="303">
        <v>0.37</v>
      </c>
      <c r="DB683" s="57">
        <f t="shared" si="1255"/>
        <v>10.530955906464175</v>
      </c>
      <c r="DC683" s="56">
        <f t="shared" si="1258"/>
        <v>7.3871543969206222E-3</v>
      </c>
      <c r="DD683" s="303">
        <f>VLOOKUP($H683,RoR!$E:$F,2,FALSE)</f>
        <v>5.6666666666666671E-2</v>
      </c>
      <c r="DE683" s="304">
        <f>HLOOKUP($H683,'GDP-PI'!$D$8:$CQ$11,3,FALSE)</f>
        <v>1.8855119140166909E-2</v>
      </c>
      <c r="DF683" s="303">
        <f>VLOOKUP(H683,'HW Dx Data'!$E:$F,2,FALSE)</f>
        <v>369.23301095560191</v>
      </c>
      <c r="DG683" s="89">
        <f ca="1">VLOOKUP(CC683,'ECI - Input Price'!M$13:N$33,2,FALSE)</f>
        <v>89.25</v>
      </c>
      <c r="DH683" s="89"/>
      <c r="DI683" s="89"/>
      <c r="DJ683" s="56"/>
      <c r="DK683" s="53">
        <f>HLOOKUP(H683,'GDP-PI'!$8:$9,2,FALSE)</f>
        <v>82.566999999999993</v>
      </c>
      <c r="DL683" s="355">
        <f t="shared" ref="DL683:DL702" si="1259">LN(DK683/DK682)</f>
        <v>1.8679564681853753E-2</v>
      </c>
      <c r="EC683"/>
    </row>
    <row r="684" spans="1:133" s="126" customFormat="1" ht="21" customHeight="1" x14ac:dyDescent="0.4">
      <c r="A684" s="233" t="s">
        <v>221</v>
      </c>
      <c r="B684" s="127" t="s">
        <v>221</v>
      </c>
      <c r="C684" s="127">
        <v>4057130</v>
      </c>
      <c r="D684" s="127" t="s">
        <v>222</v>
      </c>
      <c r="E684" s="127"/>
      <c r="F684" s="127"/>
      <c r="G684" s="127" t="s">
        <v>160</v>
      </c>
      <c r="H684" s="128">
        <v>2004</v>
      </c>
      <c r="I684" s="129"/>
      <c r="J684" s="125"/>
      <c r="K684" s="125">
        <f t="shared" ref="K684:K702" ca="1" si="1260">+J684/DG684</f>
        <v>0</v>
      </c>
      <c r="L684" s="47"/>
      <c r="M684" s="131"/>
      <c r="N684" s="131"/>
      <c r="O684" s="131"/>
      <c r="P684" s="59"/>
      <c r="Q684" s="59"/>
      <c r="R684" s="386"/>
      <c r="S684" s="119"/>
      <c r="T684" s="59"/>
      <c r="U684" s="59"/>
      <c r="V684" s="125"/>
      <c r="W684" s="125">
        <f t="shared" ref="W684:W702" si="1261">+V684/DK684</f>
        <v>0</v>
      </c>
      <c r="X684" s="125"/>
      <c r="Y684" s="125"/>
      <c r="Z684" s="125"/>
      <c r="AA684" s="125"/>
      <c r="AB684" s="125"/>
      <c r="AC684" s="125">
        <f t="shared" si="1242"/>
        <v>10448.897702385293</v>
      </c>
      <c r="AD684" s="129"/>
      <c r="AE684" s="133">
        <v>946.71327781463867</v>
      </c>
      <c r="AF684" s="134">
        <v>1.8528084276614887E-2</v>
      </c>
      <c r="AG684" s="59">
        <f t="shared" ref="AG684:AG702" si="1262">+AF684*$AX684</f>
        <v>0</v>
      </c>
      <c r="AH684" s="134"/>
      <c r="AI684" s="134"/>
      <c r="AJ684" s="129">
        <f t="shared" si="1238"/>
        <v>10448.897702385293</v>
      </c>
      <c r="AK684" s="134"/>
      <c r="AL684" s="129"/>
      <c r="AM684" s="129"/>
      <c r="AN684" s="129"/>
      <c r="AO684" s="129"/>
      <c r="AP684" s="133"/>
      <c r="AQ684" s="134"/>
      <c r="AR684" s="93">
        <f t="shared" ref="AR684:AR702" si="1263">+J684/AJ684</f>
        <v>0</v>
      </c>
      <c r="AS684" s="93">
        <f t="shared" ref="AS684:AS702" si="1264">+V684/AJ684</f>
        <v>0</v>
      </c>
      <c r="AT684" s="93">
        <f t="shared" ref="AT684:AT702" si="1265">+AC684/AJ684</f>
        <v>1</v>
      </c>
      <c r="AU684" s="93"/>
      <c r="AV684" s="93"/>
      <c r="AW684" s="134"/>
      <c r="AX684" s="62"/>
      <c r="AY684" s="93"/>
      <c r="AZ684" s="93"/>
      <c r="BA684" s="93"/>
      <c r="BB684" s="234">
        <f>IFERROR(INDEX('Total Customers'!$E$7:$AA$91,MATCH($C684,'Total Customers'!$C$7:$C$91,0),MATCH($G684,'Total Customers'!$E$5:$AA$5,0)),"NA")</f>
        <v>153856</v>
      </c>
      <c r="BC684" s="411">
        <f t="shared" si="1196"/>
        <v>7.9479951438648742E-3</v>
      </c>
      <c r="BD684" s="92"/>
      <c r="BE684" s="281" t="str">
        <f t="shared" si="1192"/>
        <v>NORTH SHORE GAS COMPANY</v>
      </c>
      <c r="BF684" s="290">
        <f t="shared" si="1193"/>
        <v>4057130</v>
      </c>
      <c r="BG684" s="46" t="str">
        <f t="shared" si="1194"/>
        <v>IL</v>
      </c>
      <c r="BH684" s="46"/>
      <c r="BI684" s="46" t="str">
        <f t="shared" si="1195"/>
        <v>2004 Y</v>
      </c>
      <c r="BJ684" s="129"/>
      <c r="BK684" s="129"/>
      <c r="BL684" s="129">
        <f>INDEX('Dist. Plant Gas Additions'!$E$7:$AD$91,MATCH($C684,'Dist. Plant Gas Additions'!$C$7:$C$91,0),MATCH(Calculation!$G684,'Dist. Plant Gas Additions'!$E$5:$AD$5,0))</f>
        <v>8464</v>
      </c>
      <c r="BM684" s="129">
        <f>INDEX('Gen. Plant Additions'!$E$7:$AD$91,MATCH($C684,'Gen. Plant Additions'!$C$7:$C$91,0),MATCH(Calculation!$G684,'Gen. Plant Additions'!$E$5:$AD$5,0))</f>
        <v>1010</v>
      </c>
      <c r="BN684" s="393">
        <f t="shared" si="1243"/>
        <v>0.94549759958479307</v>
      </c>
      <c r="BO684" s="46">
        <f t="shared" si="1166"/>
        <v>954.952575580641</v>
      </c>
      <c r="BP684" s="46">
        <f t="shared" si="1167"/>
        <v>-55.047424419359004</v>
      </c>
      <c r="BQ684" s="129">
        <f>INDEX('Dist Plant Depreciation'!$D$7:$AC$94,MATCH($C684,'Dist Plant Depreciation'!$C$7:$C$94,0),MATCH(Calculation!$G684,'Dist Plant Depreciation'!$D$5:$AC$5,0))</f>
        <v>116771</v>
      </c>
      <c r="BR684" s="129">
        <f>INDEX('Gen. Plant Depreciation'!$D$7:$AC$94,MATCH($C684,'Gen. Plant Depreciation'!$C$7:$C$94,0),MATCH(Calculation!$G684,'Gen. Plant Depreciation'!$D$5:$AC$5,0))</f>
        <v>9205</v>
      </c>
      <c r="BS684" s="129"/>
      <c r="BT684" s="129"/>
      <c r="BU684" s="129"/>
      <c r="BV684" s="129"/>
      <c r="BW684" s="129"/>
      <c r="BX684" s="129"/>
      <c r="BY684" s="129">
        <f>INDEX('Gross Dx Plant'!$D$7:$AC$91,MATCH($C684,'Gross Dx Plant'!$C$7:$C$91,0),MATCH(Calculation!$G684,'Gross Dx Plant'!$D$5:$AC$5,0))</f>
        <v>291478</v>
      </c>
      <c r="BZ684" s="129">
        <f>INDEX('Gross Gen Plant'!$D$7:$AC$91,MATCH($C684,'Gross Gen Plant'!$C$7:$C$91,0),MATCH(Calculation!$G684,'Gross Gen Plant'!$D$5:$AC$5,0))</f>
        <v>16802</v>
      </c>
      <c r="CA684" s="129">
        <f t="shared" si="1197"/>
        <v>182304</v>
      </c>
      <c r="CB684" s="129"/>
      <c r="CC684" s="133">
        <v>2004</v>
      </c>
      <c r="CD684" s="129"/>
      <c r="CE684" s="129"/>
      <c r="CF684" s="129"/>
      <c r="CG684" s="137"/>
      <c r="CH684" s="129">
        <f t="shared" si="1244"/>
        <v>9474</v>
      </c>
      <c r="CI684" s="46">
        <f t="shared" si="1253"/>
        <v>9418.9525755806408</v>
      </c>
      <c r="CJ684" s="46">
        <f t="shared" si="1245"/>
        <v>22.702442427495772</v>
      </c>
      <c r="CK684" s="443">
        <v>0.9375</v>
      </c>
      <c r="CL684" s="46">
        <f>+CL678*CK684+CJ679*CK683+CJ680*CK682+CJ681*CK681+CJ682*CK680+CJ683*CK679+CJ684</f>
        <v>918.90119253482817</v>
      </c>
      <c r="CM684" s="134">
        <f t="shared" si="1246"/>
        <v>1.3553324136327117E-2</v>
      </c>
      <c r="CN684" s="135">
        <f t="shared" si="1247"/>
        <v>1.1397617819826794E-2</v>
      </c>
      <c r="CO684" s="135">
        <f t="shared" si="1256"/>
        <v>1.1221030659208778E-2</v>
      </c>
      <c r="CP684" s="134">
        <f>VLOOKUP($H684,RoR!$E:$F,2,FALSE)</f>
        <v>5.6283333333333331E-2</v>
      </c>
      <c r="CQ684" s="135">
        <v>2.6778252812867276E-2</v>
      </c>
      <c r="CR684" s="135">
        <f t="shared" si="1254"/>
        <v>2.9505080520466055E-2</v>
      </c>
      <c r="CS684" s="135">
        <f t="shared" si="1257"/>
        <v>1.9680910949324847E-2</v>
      </c>
      <c r="CT684" s="135">
        <v>5.5940039414565046E-2</v>
      </c>
      <c r="CU684" s="139">
        <f t="shared" si="1248"/>
        <v>0.85171695000000003</v>
      </c>
      <c r="CV684" s="335">
        <f t="shared" si="1249"/>
        <v>0.91114097628755619</v>
      </c>
      <c r="CW684" s="335">
        <f t="shared" si="1250"/>
        <v>0.53081877405981637</v>
      </c>
      <c r="CX684" s="335">
        <f t="shared" si="1251"/>
        <v>0.88811215519385678</v>
      </c>
      <c r="CY684" s="335">
        <f t="shared" si="1252"/>
        <v>0.42953609753547711</v>
      </c>
      <c r="CZ684" s="336">
        <f>INDEX('State Tax Lookup'!$D$7:$Z$91,MATCH(Calculation!$C684,'State Tax Lookup'!$B$7:$B$91,0),MATCH($H684,'State Tax Lookup'!$D$6:$Z$6,0))</f>
        <v>0.40076499999999998</v>
      </c>
      <c r="DA684" s="303">
        <v>0.37</v>
      </c>
      <c r="DB684" s="57">
        <f t="shared" si="1255"/>
        <v>11.526243658003205</v>
      </c>
      <c r="DC684" s="56">
        <f t="shared" si="1258"/>
        <v>9.0307391282005781E-2</v>
      </c>
      <c r="DD684" s="303">
        <f>VLOOKUP($H684,RoR!$E:$F,2,FALSE)</f>
        <v>5.6283333333333331E-2</v>
      </c>
      <c r="DE684" s="304">
        <f>HLOOKUP($H684,'GDP-PI'!$D$8:$CQ$11,3,FALSE)</f>
        <v>2.6778252812867276E-2</v>
      </c>
      <c r="DF684" s="303">
        <f>VLOOKUP(H684,'HW Dx Data'!$E:$F,2,FALSE)</f>
        <v>414.88719135228365</v>
      </c>
      <c r="DG684" s="89">
        <f ca="1">VLOOKUP(CC684,'ECI - Input Price'!M$13:N$33,2,FALSE)</f>
        <v>94.35</v>
      </c>
      <c r="DH684" s="89"/>
      <c r="DI684" s="89"/>
      <c r="DJ684" s="56">
        <f t="shared" ref="DJ684:DJ702" ca="1" si="1266">LN(DG684/DG683)</f>
        <v>5.5569851154810786E-2</v>
      </c>
      <c r="DK684" s="53">
        <f>HLOOKUP(H684,'GDP-PI'!$8:$9,2,FALSE)</f>
        <v>84.778000000000006</v>
      </c>
      <c r="DL684" s="355">
        <f t="shared" si="1259"/>
        <v>2.6425990216022755E-2</v>
      </c>
      <c r="EC684"/>
    </row>
    <row r="685" spans="1:133" s="126" customFormat="1" ht="21" customHeight="1" x14ac:dyDescent="0.4">
      <c r="A685" s="233" t="s">
        <v>221</v>
      </c>
      <c r="B685" s="127" t="s">
        <v>221</v>
      </c>
      <c r="C685" s="127">
        <v>4057130</v>
      </c>
      <c r="D685" s="127" t="s">
        <v>222</v>
      </c>
      <c r="E685" s="127"/>
      <c r="F685" s="127"/>
      <c r="G685" s="127" t="s">
        <v>161</v>
      </c>
      <c r="H685" s="128">
        <v>2005</v>
      </c>
      <c r="I685" s="129"/>
      <c r="J685" s="125">
        <f>IFERROR(INDEX('Labor Expenditures'!$E$7:$W$91,MATCH($C685,'Labor Expenditures'!$C$7:$C$91,0),MATCH($G685,'Labor Expenditures'!$E$5:$W$5,0)),"NA")</f>
        <v>17887.113512207841</v>
      </c>
      <c r="K685" s="125">
        <f t="shared" ca="1" si="1260"/>
        <v>180.26821377886463</v>
      </c>
      <c r="L685" s="47"/>
      <c r="M685" s="131"/>
      <c r="N685" s="131"/>
      <c r="O685" s="131"/>
      <c r="P685" s="59"/>
      <c r="Q685" s="61"/>
      <c r="R685" s="387"/>
      <c r="S685" s="49">
        <v>100</v>
      </c>
      <c r="T685" s="46"/>
      <c r="U685" s="46"/>
      <c r="V685" s="125">
        <f>IFERROR(INDEX('Non-Labor Expenditures'!$E$7:$AA$91,MATCH($C685,'Non-Labor Expenditures'!$C$7:$C$91,0),MATCH($G685,'Non-Labor Expenditures'!$E$5:$AA$5,0)),"NA")</f>
        <v>25903.881217645598</v>
      </c>
      <c r="W685" s="125">
        <f t="shared" si="1261"/>
        <v>296.35934441916095</v>
      </c>
      <c r="X685" s="131"/>
      <c r="Y685" s="131"/>
      <c r="Z685" s="131"/>
      <c r="AA685" s="131"/>
      <c r="AB685" s="131"/>
      <c r="AC685" s="125">
        <f t="shared" si="1242"/>
        <v>11829.298936657462</v>
      </c>
      <c r="AD685" s="129"/>
      <c r="AE685" s="133">
        <v>970.66093926352619</v>
      </c>
      <c r="AF685" s="134">
        <v>2.4980941743880446E-2</v>
      </c>
      <c r="AG685" s="59">
        <f t="shared" si="1262"/>
        <v>0</v>
      </c>
      <c r="AH685" s="134"/>
      <c r="AI685" s="134"/>
      <c r="AJ685" s="129">
        <f t="shared" si="1238"/>
        <v>55620.293666510901</v>
      </c>
      <c r="AK685" s="134">
        <f>LN(AJ685/AJ684)</f>
        <v>1.6720516388426607</v>
      </c>
      <c r="AL685" s="129"/>
      <c r="AM685" s="129"/>
      <c r="AN685" s="129"/>
      <c r="AO685" s="129"/>
      <c r="AP685" s="133"/>
      <c r="AQ685" s="134"/>
      <c r="AR685" s="93">
        <f t="shared" si="1263"/>
        <v>0.32159329505621992</v>
      </c>
      <c r="AS685" s="93">
        <f t="shared" si="1264"/>
        <v>0.46572715658353997</v>
      </c>
      <c r="AT685" s="93">
        <f t="shared" si="1265"/>
        <v>0.21267954836024011</v>
      </c>
      <c r="AU685" s="93">
        <f t="shared" ref="AU685:AU701" si="1267">+(((AR685+AR684)/2)*M685+((AS684+AS685)/2)*X685+((AT684+AT685)/2)*AF685)</f>
        <v>1.5146938575791205E-2</v>
      </c>
      <c r="AV685" s="132">
        <v>100</v>
      </c>
      <c r="AW685" s="134"/>
      <c r="AX685" s="15"/>
      <c r="AY685" s="93"/>
      <c r="AZ685" s="93"/>
      <c r="BA685" s="93"/>
      <c r="BB685" s="234">
        <f>IFERROR(INDEX('Total Customers'!$E$7:$AA$91,MATCH($C685,'Total Customers'!$C$7:$C$91,0),MATCH($G685,'Total Customers'!$E$5:$AA$5,0)),"NA")</f>
        <v>155511</v>
      </c>
      <c r="BC685" s="411">
        <f t="shared" si="1196"/>
        <v>1.0699368634571126E-2</v>
      </c>
      <c r="BD685" s="92"/>
      <c r="BE685" s="281" t="str">
        <f t="shared" si="1192"/>
        <v>NORTH SHORE GAS COMPANY</v>
      </c>
      <c r="BF685" s="290">
        <f t="shared" si="1193"/>
        <v>4057130</v>
      </c>
      <c r="BG685" s="46" t="str">
        <f t="shared" si="1194"/>
        <v>IL</v>
      </c>
      <c r="BH685" s="46"/>
      <c r="BI685" s="46" t="str">
        <f t="shared" si="1195"/>
        <v>2005 Y</v>
      </c>
      <c r="BJ685" s="129"/>
      <c r="BK685" s="129"/>
      <c r="BL685" s="129">
        <f>INDEX('Dist. Plant Gas Additions'!$E$7:$AD$91,MATCH($C685,'Dist. Plant Gas Additions'!$C$7:$C$91,0),MATCH(Calculation!$G685,'Dist. Plant Gas Additions'!$E$5:$AD$5,0))</f>
        <v>12834</v>
      </c>
      <c r="BM685" s="129">
        <f>INDEX('Gen. Plant Additions'!$E$7:$AD$91,MATCH($C685,'Gen. Plant Additions'!$C$7:$C$91,0),MATCH(Calculation!$G685,'Gen. Plant Additions'!$E$5:$AD$5,0))</f>
        <v>1099</v>
      </c>
      <c r="BN685" s="393">
        <f t="shared" si="1243"/>
        <v>0.9496786698909454</v>
      </c>
      <c r="BO685" s="46">
        <f t="shared" si="1166"/>
        <v>1043.696858210149</v>
      </c>
      <c r="BP685" s="46">
        <f t="shared" si="1167"/>
        <v>-55.303141789850997</v>
      </c>
      <c r="BQ685" s="129">
        <f>INDEX('Dist Plant Depreciation'!$D$7:$AC$94,MATCH($C685,'Dist Plant Depreciation'!$C$7:$C$94,0),MATCH(Calculation!$G685,'Dist Plant Depreciation'!$D$5:$AC$5,0))</f>
        <v>119745</v>
      </c>
      <c r="BR685" s="129">
        <f>INDEX('Gen. Plant Depreciation'!$D$7:$AC$94,MATCH($C685,'Gen. Plant Depreciation'!$C$7:$C$94,0),MATCH(Calculation!$G685,'Gen. Plant Depreciation'!$D$5:$AC$5,0))</f>
        <v>8500</v>
      </c>
      <c r="BS685" s="129"/>
      <c r="BT685" s="129"/>
      <c r="BU685" s="129"/>
      <c r="BV685" s="129"/>
      <c r="BW685" s="129"/>
      <c r="BX685" s="129"/>
      <c r="BY685" s="129">
        <f>INDEX('Gross Dx Plant'!$D$7:$AC$91,MATCH($C685,'Gross Dx Plant'!$C$7:$C$91,0),MATCH(Calculation!$G685,'Gross Dx Plant'!$D$5:$AC$5,0))</f>
        <v>302787</v>
      </c>
      <c r="BZ685" s="129">
        <f>INDEX('Gross Gen Plant'!$D$7:$AC$91,MATCH($C685,'Gross Gen Plant'!$C$7:$C$91,0),MATCH(Calculation!$G685,'Gross Gen Plant'!$D$5:$AC$5,0))</f>
        <v>16044</v>
      </c>
      <c r="CA685" s="129">
        <f t="shared" si="1197"/>
        <v>190586</v>
      </c>
      <c r="CB685" s="129"/>
      <c r="CC685" s="133">
        <v>2005</v>
      </c>
      <c r="CD685" s="129"/>
      <c r="CE685" s="129"/>
      <c r="CF685" s="129"/>
      <c r="CG685" s="137"/>
      <c r="CH685" s="129">
        <f t="shared" si="1244"/>
        <v>13933</v>
      </c>
      <c r="CI685" s="46">
        <f t="shared" si="1253"/>
        <v>13877.696858210149</v>
      </c>
      <c r="CJ685" s="46">
        <f t="shared" si="1245"/>
        <v>29.577034999823404</v>
      </c>
      <c r="CK685" s="443">
        <v>0.9263157894736842</v>
      </c>
      <c r="CL685" s="46">
        <f>+CL678*CK685+CJ679*CK684+CJ680*CK683+CJ681*CK682+CJ682*CK681+CJ683*CK680+CJ684*CK679+CJ685</f>
        <v>937.70452365738731</v>
      </c>
      <c r="CM685" s="134">
        <f t="shared" si="1246"/>
        <v>2.0256292328120037E-2</v>
      </c>
      <c r="CN685" s="135">
        <f t="shared" si="1247"/>
        <v>1.1724550979789828E-2</v>
      </c>
      <c r="CO685" s="135">
        <f t="shared" si="1256"/>
        <v>1.1402389027905016E-2</v>
      </c>
      <c r="CP685" s="134">
        <f>VLOOKUP($H685,RoR!$E:$F,2,FALSE)</f>
        <v>5.2350000000000001E-2</v>
      </c>
      <c r="CQ685" s="135">
        <v>3.1010403642454332E-2</v>
      </c>
      <c r="CR685" s="135">
        <f t="shared" si="1254"/>
        <v>2.1339596357545669E-2</v>
      </c>
      <c r="CS685" s="135">
        <f t="shared" si="1257"/>
        <v>1.9499552580628611E-2</v>
      </c>
      <c r="CT685" s="135">
        <v>9.2129610649277341E-2</v>
      </c>
      <c r="CU685" s="139">
        <f t="shared" si="1248"/>
        <v>0.85171695000000003</v>
      </c>
      <c r="CV685" s="335">
        <f t="shared" si="1249"/>
        <v>0.97959983346802826</v>
      </c>
      <c r="CW685" s="335">
        <f t="shared" si="1250"/>
        <v>0.49744508118433622</v>
      </c>
      <c r="CX685" s="335">
        <f t="shared" si="1251"/>
        <v>0.87010519444335932</v>
      </c>
      <c r="CY685" s="335">
        <f t="shared" si="1252"/>
        <v>0.42399975420741998</v>
      </c>
      <c r="CZ685" s="336">
        <f>INDEX('State Tax Lookup'!$D$7:$Z$91,MATCH(Calculation!$C685,'State Tax Lookup'!$B$7:$B$91,0),MATCH($H685,'State Tax Lookup'!$D$6:$Z$6,0))</f>
        <v>0.40076499999999998</v>
      </c>
      <c r="DA685" s="303">
        <v>0.37</v>
      </c>
      <c r="DB685" s="57">
        <f t="shared" si="1255"/>
        <v>12.873308939806504</v>
      </c>
      <c r="DC685" s="56">
        <f t="shared" si="1258"/>
        <v>0.11052960079328798</v>
      </c>
      <c r="DD685" s="303">
        <f>VLOOKUP($H685,RoR!$E:$F,2,FALSE)</f>
        <v>5.2350000000000001E-2</v>
      </c>
      <c r="DE685" s="304">
        <f>HLOOKUP($H685,'GDP-PI'!$D$8:$CQ$11,3,FALSE)</f>
        <v>3.1010403642454332E-2</v>
      </c>
      <c r="DF685" s="303">
        <f>VLOOKUP(H685,'HW Dx Data'!$E:$F,2,FALSE)</f>
        <v>469.20514034936258</v>
      </c>
      <c r="DG685" s="89">
        <f ca="1">VLOOKUP(CC685,'ECI - Input Price'!M$13:N$33,2,FALSE)</f>
        <v>99.224999999999994</v>
      </c>
      <c r="DH685" s="89"/>
      <c r="DI685" s="89"/>
      <c r="DJ685" s="56">
        <f t="shared" ca="1" si="1266"/>
        <v>5.0378726854569796E-2</v>
      </c>
      <c r="DK685" s="53">
        <f>HLOOKUP(H685,'GDP-PI'!$8:$9,2,FALSE)</f>
        <v>87.406999999999996</v>
      </c>
      <c r="DL685" s="355">
        <f t="shared" si="1259"/>
        <v>3.0539295810733648E-2</v>
      </c>
      <c r="EC685"/>
    </row>
    <row r="686" spans="1:133" s="126" customFormat="1" ht="21" customHeight="1" x14ac:dyDescent="0.4">
      <c r="A686" s="233" t="s">
        <v>221</v>
      </c>
      <c r="B686" s="127" t="s">
        <v>221</v>
      </c>
      <c r="C686" s="127">
        <v>4057130</v>
      </c>
      <c r="D686" s="127" t="s">
        <v>222</v>
      </c>
      <c r="E686" s="127"/>
      <c r="F686" s="127"/>
      <c r="G686" s="127" t="s">
        <v>162</v>
      </c>
      <c r="H686" s="128">
        <v>2006</v>
      </c>
      <c r="I686" s="129"/>
      <c r="J686" s="125">
        <f>IFERROR(INDEX('Labor Expenditures'!$E$7:$W$91,MATCH($C686,'Labor Expenditures'!$C$7:$C$91,0),MATCH($G686,'Labor Expenditures'!$E$5:$W$5,0)),"NA")</f>
        <v>8158.5105712471286</v>
      </c>
      <c r="K686" s="125">
        <f t="shared" ca="1" si="1260"/>
        <v>74.575050925476489</v>
      </c>
      <c r="L686" s="47"/>
      <c r="M686" s="131">
        <f t="shared" ref="M686:M701" ca="1" si="1268">LN(K686/K685)</f>
        <v>-0.88263980510042284</v>
      </c>
      <c r="N686" s="131"/>
      <c r="O686" s="131"/>
      <c r="P686" s="59">
        <f t="shared" ref="P686:P702" ca="1" si="1269">+M686*$AX686</f>
        <v>-3.8203666626649641E-3</v>
      </c>
      <c r="Q686" s="61"/>
      <c r="R686" s="387"/>
      <c r="S686" s="49">
        <f ca="1">+S685*EXP(T686)</f>
        <v>108.63759078724533</v>
      </c>
      <c r="T686" s="61">
        <f ca="1">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</f>
        <v>8.2847301464888889E-2</v>
      </c>
      <c r="U686" s="61"/>
      <c r="V686" s="125">
        <f>IFERROR(INDEX('Non-Labor Expenditures'!$E$7:$AA$91,MATCH($C686,'Non-Labor Expenditures'!$C$7:$C$91,0),MATCH($G686,'Non-Labor Expenditures'!$E$5:$AA$5,0)),"NA")</f>
        <v>11815.047106748405</v>
      </c>
      <c r="W686" s="125">
        <f t="shared" si="1261"/>
        <v>131.17044992726431</v>
      </c>
      <c r="X686" s="131">
        <f t="shared" ref="X686:X701" si="1270">LN(W686/W685)</f>
        <v>-0.81507509750712537</v>
      </c>
      <c r="Y686" s="131">
        <f t="shared" ref="Y686:Y702" si="1271">+X686*AX686</f>
        <v>-3.5279235222462381E-3</v>
      </c>
      <c r="Z686" s="131"/>
      <c r="AA686" s="131"/>
      <c r="AB686" s="131"/>
      <c r="AC686" s="125">
        <f t="shared" si="1242"/>
        <v>11681.094270051539</v>
      </c>
      <c r="AD686" s="129"/>
      <c r="AE686" s="133">
        <v>983.65260685667295</v>
      </c>
      <c r="AF686" s="134">
        <v>1.3295572758942671E-2</v>
      </c>
      <c r="AG686" s="59">
        <f t="shared" si="1262"/>
        <v>5.7547781819699275E-5</v>
      </c>
      <c r="AH686" s="134"/>
      <c r="AI686" s="134"/>
      <c r="AJ686" s="129">
        <f t="shared" si="1238"/>
        <v>31654.651948047074</v>
      </c>
      <c r="AK686" s="134">
        <f t="shared" ref="AK686:AK702" si="1272">LN(AJ686/AJ685)</f>
        <v>-0.56366300989393514</v>
      </c>
      <c r="AL686" s="129"/>
      <c r="AM686" s="129"/>
      <c r="AN686" s="129"/>
      <c r="AO686" s="129"/>
      <c r="AP686" s="133"/>
      <c r="AQ686" s="134">
        <f>+BB686/Outputs!$B$14</f>
        <v>4.5128448929570384E-3</v>
      </c>
      <c r="AR686" s="93">
        <f t="shared" si="1263"/>
        <v>0.25773496371519783</v>
      </c>
      <c r="AS686" s="93">
        <f t="shared" si="1264"/>
        <v>0.37324836571066233</v>
      </c>
      <c r="AT686" s="93">
        <f t="shared" si="1265"/>
        <v>0.36901667057413978</v>
      </c>
      <c r="AU686" s="93">
        <f t="shared" ca="1" si="1267"/>
        <v>-0.59371612632438298</v>
      </c>
      <c r="AV686" s="132">
        <f ca="1">+AV685*EXP(AU686)</f>
        <v>55.227115730021382</v>
      </c>
      <c r="AW686" s="134">
        <f ca="1">LN(AV686/AV685)</f>
        <v>-0.59371612632438309</v>
      </c>
      <c r="AX686" s="56">
        <f>+AJ686/$AL$11</f>
        <v>4.3283416865958135E-3</v>
      </c>
      <c r="AY686" s="135">
        <f ca="1">+AX686*AW686</f>
        <v>-2.5698062595740133E-3</v>
      </c>
      <c r="AZ686" s="93"/>
      <c r="BA686" s="93"/>
      <c r="BB686" s="234">
        <f>IFERROR(INDEX('Total Customers'!$E$7:$AA$91,MATCH($C686,'Total Customers'!$C$7:$C$91,0),MATCH($G686,'Total Customers'!$E$5:$AA$5,0)),"NA")</f>
        <v>156512</v>
      </c>
      <c r="BC686" s="411">
        <f t="shared" si="1196"/>
        <v>6.4162156897425862E-3</v>
      </c>
      <c r="BD686" s="92"/>
      <c r="BE686" s="281" t="str">
        <f t="shared" si="1192"/>
        <v>NORTH SHORE GAS COMPANY</v>
      </c>
      <c r="BF686" s="290">
        <f t="shared" si="1193"/>
        <v>4057130</v>
      </c>
      <c r="BG686" s="46" t="str">
        <f t="shared" si="1194"/>
        <v>IL</v>
      </c>
      <c r="BH686" s="46"/>
      <c r="BI686" s="46" t="str">
        <f t="shared" si="1195"/>
        <v>2006 Y</v>
      </c>
      <c r="BJ686" s="129"/>
      <c r="BK686" s="129"/>
      <c r="BL686" s="129">
        <f>INDEX('Dist. Plant Gas Additions'!$E$7:$AD$91,MATCH($C686,'Dist. Plant Gas Additions'!$C$7:$C$91,0),MATCH(Calculation!$G686,'Dist. Plant Gas Additions'!$E$5:$AD$5,0))</f>
        <v>7710</v>
      </c>
      <c r="BM686" s="129">
        <f>INDEX('Gen. Plant Additions'!$E$7:$AD$91,MATCH($C686,'Gen. Plant Additions'!$C$7:$C$91,0),MATCH(Calculation!$G686,'Gen. Plant Additions'!$E$5:$AD$5,0))</f>
        <v>1086</v>
      </c>
      <c r="BN686" s="393">
        <f t="shared" si="1243"/>
        <v>0.95114052934630677</v>
      </c>
      <c r="BO686" s="46">
        <f t="shared" si="1166"/>
        <v>1032.9386148700892</v>
      </c>
      <c r="BP686" s="46">
        <f t="shared" si="1167"/>
        <v>-53.061385129910832</v>
      </c>
      <c r="BQ686" s="129">
        <f>INDEX('Dist Plant Depreciation'!$D$7:$AC$94,MATCH($C686,'Dist Plant Depreciation'!$C$7:$C$94,0),MATCH(Calculation!$G686,'Dist Plant Depreciation'!$D$5:$AC$5,0))</f>
        <v>124453</v>
      </c>
      <c r="BR686" s="129">
        <f>INDEX('Gen. Plant Depreciation'!$D$7:$AC$94,MATCH($C686,'Gen. Plant Depreciation'!$C$7:$C$94,0),MATCH(Calculation!$G686,'Gen. Plant Depreciation'!$D$5:$AC$5,0))</f>
        <v>8643</v>
      </c>
      <c r="BS686" s="129"/>
      <c r="BT686" s="129"/>
      <c r="BU686" s="129"/>
      <c r="BV686" s="129"/>
      <c r="BW686" s="129"/>
      <c r="BX686" s="129"/>
      <c r="BY686" s="129">
        <f>INDEX('Gross Dx Plant'!$D$7:$AC$91,MATCH($C686,'Gross Dx Plant'!$C$7:$C$91,0),MATCH(Calculation!$G686,'Gross Dx Plant'!$D$5:$AC$5,0))</f>
        <v>313689</v>
      </c>
      <c r="BZ686" s="129">
        <f>INDEX('Gross Gen Plant'!$D$7:$AC$91,MATCH($C686,'Gross Gen Plant'!$C$7:$C$91,0),MATCH(Calculation!$G686,'Gross Gen Plant'!$D$5:$AC$5,0))</f>
        <v>16114</v>
      </c>
      <c r="CA686" s="129">
        <f t="shared" si="1197"/>
        <v>196707</v>
      </c>
      <c r="CB686" s="134"/>
      <c r="CC686" s="133">
        <v>2006</v>
      </c>
      <c r="CD686" s="129"/>
      <c r="CE686" s="129"/>
      <c r="CF686" s="129"/>
      <c r="CG686" s="137"/>
      <c r="CH686" s="129">
        <f t="shared" si="1244"/>
        <v>8796</v>
      </c>
      <c r="CI686" s="46">
        <f t="shared" si="1253"/>
        <v>8742.9386148700887</v>
      </c>
      <c r="CJ686" s="46">
        <f t="shared" si="1245"/>
        <v>18.961635834638205</v>
      </c>
      <c r="CK686" s="443">
        <v>0.91489361702127658</v>
      </c>
      <c r="CL686" s="46">
        <f>+CL678*CK686+CJ679*CK685+CJ680*CK684+CJ681*CK683+CJ682*CK682+CJ683*CK681+CJ684*CK680+CJ685*CK679+CJ686</f>
        <v>945.37159915105156</v>
      </c>
      <c r="CM686" s="134">
        <f t="shared" si="1246"/>
        <v>8.1431841959629502E-3</v>
      </c>
      <c r="CN686" s="135">
        <f t="shared" si="1247"/>
        <v>1.2044903331511174E-2</v>
      </c>
      <c r="CO686" s="135">
        <f t="shared" si="1256"/>
        <v>1.1722357377042599E-2</v>
      </c>
      <c r="CP686" s="134">
        <f>VLOOKUP($H686,RoR!$E:$F,2,FALSE)</f>
        <v>5.5874999999999994E-2</v>
      </c>
      <c r="CQ686" s="135">
        <v>3.0512430354548314E-2</v>
      </c>
      <c r="CR686" s="135">
        <f t="shared" si="1254"/>
        <v>2.536256964545168E-2</v>
      </c>
      <c r="CS686" s="135">
        <f t="shared" si="1257"/>
        <v>1.9179584231491027E-2</v>
      </c>
      <c r="CT686" s="135">
        <v>7.9087823893859641E-2</v>
      </c>
      <c r="CU686" s="139">
        <f t="shared" si="1248"/>
        <v>0.85171695000000003</v>
      </c>
      <c r="CV686" s="335">
        <f t="shared" si="1249"/>
        <v>0.91779957551769631</v>
      </c>
      <c r="CW686" s="335">
        <f t="shared" si="1250"/>
        <v>0.52757270693512304</v>
      </c>
      <c r="CX686" s="335">
        <f t="shared" si="1251"/>
        <v>0.88636824549024895</v>
      </c>
      <c r="CY686" s="335">
        <f t="shared" si="1252"/>
        <v>0.42918482841932087</v>
      </c>
      <c r="CZ686" s="336">
        <f>INDEX('State Tax Lookup'!$D$7:$Z$91,MATCH(Calculation!$C686,'State Tax Lookup'!$B$7:$B$91,0),MATCH($H686,'State Tax Lookup'!$D$6:$Z$6,0))</f>
        <v>0.40076499999999998</v>
      </c>
      <c r="DA686" s="303">
        <v>0.37</v>
      </c>
      <c r="DB686" s="57">
        <f t="shared" si="1255"/>
        <v>12.457116261411473</v>
      </c>
      <c r="DC686" s="56">
        <f t="shared" si="1258"/>
        <v>-3.2864046563405094E-2</v>
      </c>
      <c r="DD686" s="303">
        <f>VLOOKUP($H686,RoR!$E:$F,2,FALSE)</f>
        <v>5.5874999999999994E-2</v>
      </c>
      <c r="DE686" s="304">
        <f>HLOOKUP($H686,'GDP-PI'!$D$8:$CQ$11,3,FALSE)</f>
        <v>3.0512430354548314E-2</v>
      </c>
      <c r="DF686" s="303">
        <f>VLOOKUP(H686,'HW Dx Data'!$E:$F,2,FALSE)</f>
        <v>461.08567272971823</v>
      </c>
      <c r="DG686" s="89">
        <f ca="1">VLOOKUP(CC686,'ECI - Input Price'!M$13:N$33,2,FALSE)</f>
        <v>109.4</v>
      </c>
      <c r="DH686" s="89"/>
      <c r="DI686" s="89"/>
      <c r="DJ686" s="56">
        <f t="shared" ca="1" si="1266"/>
        <v>9.7620891318751846E-2</v>
      </c>
      <c r="DK686" s="53">
        <f>HLOOKUP(H686,'GDP-PI'!$8:$9,2,FALSE)</f>
        <v>90.073999999999998</v>
      </c>
      <c r="DL686" s="355">
        <f t="shared" si="1259"/>
        <v>3.005618372545445E-2</v>
      </c>
      <c r="EC686"/>
    </row>
    <row r="687" spans="1:133" s="126" customFormat="1" ht="21" customHeight="1" x14ac:dyDescent="0.4">
      <c r="A687" s="233" t="s">
        <v>221</v>
      </c>
      <c r="B687" s="127" t="s">
        <v>221</v>
      </c>
      <c r="C687" s="127">
        <v>4057130</v>
      </c>
      <c r="D687" s="127" t="s">
        <v>222</v>
      </c>
      <c r="E687" s="127"/>
      <c r="F687" s="127"/>
      <c r="G687" s="127" t="s">
        <v>163</v>
      </c>
      <c r="H687" s="128">
        <v>2007</v>
      </c>
      <c r="I687" s="129"/>
      <c r="J687" s="125">
        <f>IFERROR(INDEX('Labor Expenditures'!$E$7:$W$91,MATCH($C687,'Labor Expenditures'!$C$7:$C$91,0),MATCH($G687,'Labor Expenditures'!$E$5:$W$5,0)),"NA")</f>
        <v>13715.707748635125</v>
      </c>
      <c r="K687" s="125">
        <f t="shared" ca="1" si="1260"/>
        <v>131.21939965209401</v>
      </c>
      <c r="L687" s="47"/>
      <c r="M687" s="131">
        <f t="shared" ca="1" si="1268"/>
        <v>0.56506471550467618</v>
      </c>
      <c r="N687" s="131"/>
      <c r="O687" s="131"/>
      <c r="P687" s="59">
        <f t="shared" ca="1" si="1269"/>
        <v>3.3985440386560383E-3</v>
      </c>
      <c r="Q687" s="61"/>
      <c r="R687" s="387"/>
      <c r="S687" s="49">
        <f t="shared" ref="S687:S700" ca="1" si="1273">+S686*EXP(T687)</f>
        <v>117.98485502550706</v>
      </c>
      <c r="T687" s="61">
        <f ca="1">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</f>
        <v>8.2538781534006872E-2</v>
      </c>
      <c r="U687" s="61"/>
      <c r="V687" s="125">
        <f>IFERROR(INDEX('Non-Labor Expenditures'!$E$7:$AA$91,MATCH($C687,'Non-Labor Expenditures'!$C$7:$C$91,0),MATCH($G687,'Non-Labor Expenditures'!$E$5:$AA$5,0)),"NA")</f>
        <v>19862.906560865864</v>
      </c>
      <c r="W687" s="125">
        <f t="shared" si="1261"/>
        <v>214.73876798272246</v>
      </c>
      <c r="X687" s="131">
        <f t="shared" si="1270"/>
        <v>0.4929246348093857</v>
      </c>
      <c r="Y687" s="131">
        <f t="shared" si="1271"/>
        <v>2.9646623354317001E-3</v>
      </c>
      <c r="Z687" s="131"/>
      <c r="AA687" s="131"/>
      <c r="AB687" s="131"/>
      <c r="AC687" s="125">
        <f t="shared" si="1242"/>
        <v>12524.215133740074</v>
      </c>
      <c r="AD687" s="129"/>
      <c r="AE687" s="133">
        <v>993.05495020129274</v>
      </c>
      <c r="AF687" s="134">
        <v>9.5132071723513217E-3</v>
      </c>
      <c r="AG687" s="59">
        <f t="shared" si="1262"/>
        <v>5.7216549957855042E-5</v>
      </c>
      <c r="AH687" s="134"/>
      <c r="AI687" s="134"/>
      <c r="AJ687" s="129">
        <f t="shared" si="1238"/>
        <v>46102.829443241062</v>
      </c>
      <c r="AK687" s="134">
        <f t="shared" si="1272"/>
        <v>0.37598920555780463</v>
      </c>
      <c r="AL687" s="129"/>
      <c r="AM687" s="129"/>
      <c r="AN687" s="129"/>
      <c r="AO687" s="129"/>
      <c r="AP687" s="133">
        <f t="shared" ref="AP687:AP702" si="1274">+(AJ687*1000)/BB687</f>
        <v>292.00999134310689</v>
      </c>
      <c r="AQ687" s="134">
        <f>+BB687/Outputs!$B$15</f>
        <v>4.5180437154876433E-3</v>
      </c>
      <c r="AR687" s="93">
        <f t="shared" si="1263"/>
        <v>0.29750251588183002</v>
      </c>
      <c r="AS687" s="93">
        <f t="shared" si="1264"/>
        <v>0.43083920880213739</v>
      </c>
      <c r="AT687" s="93">
        <f t="shared" si="1265"/>
        <v>0.27165827531603259</v>
      </c>
      <c r="AU687" s="93">
        <f t="shared" ca="1" si="1267"/>
        <v>0.35809727797895136</v>
      </c>
      <c r="AV687" s="132">
        <f ca="1">+AV686*EXP(AU687)</f>
        <v>79.008175751902684</v>
      </c>
      <c r="AW687" s="134">
        <f ca="1">LN(AV687/AV686)</f>
        <v>0.35809727797895136</v>
      </c>
      <c r="AX687" s="56">
        <f>+AJ687/$AL$12</f>
        <v>6.0144332948142004E-3</v>
      </c>
      <c r="AY687" s="135">
        <f t="shared" ref="AY687:AY701" ca="1" si="1275">+AX687*AW687</f>
        <v>2.1537521914589408E-3</v>
      </c>
      <c r="AZ687" s="93"/>
      <c r="BA687" s="93"/>
      <c r="BB687" s="234">
        <f>IFERROR(INDEX('Total Customers'!$E$7:$AA$91,MATCH($C687,'Total Customers'!$C$7:$C$91,0),MATCH($G687,'Total Customers'!$E$5:$AA$5,0)),"NA")</f>
        <v>157881</v>
      </c>
      <c r="BC687" s="411">
        <f t="shared" si="1196"/>
        <v>8.7089003421401794E-3</v>
      </c>
      <c r="BD687" s="92"/>
      <c r="BE687" s="281" t="str">
        <f t="shared" si="1192"/>
        <v>NORTH SHORE GAS COMPANY</v>
      </c>
      <c r="BF687" s="290">
        <f t="shared" si="1193"/>
        <v>4057130</v>
      </c>
      <c r="BG687" s="46" t="str">
        <f t="shared" si="1194"/>
        <v>IL</v>
      </c>
      <c r="BH687" s="46"/>
      <c r="BI687" s="46" t="str">
        <f t="shared" si="1195"/>
        <v>2007 Y</v>
      </c>
      <c r="BJ687" s="129"/>
      <c r="BK687" s="129"/>
      <c r="BL687" s="129">
        <f>INDEX('Dist. Plant Gas Additions'!$E$7:$AD$91,MATCH($C687,'Dist. Plant Gas Additions'!$C$7:$C$91,0),MATCH(Calculation!$G687,'Dist. Plant Gas Additions'!$E$5:$AD$5,0))</f>
        <v>6792</v>
      </c>
      <c r="BM687" s="129">
        <f>INDEX('Gen. Plant Additions'!$E$7:$AD$91,MATCH($C687,'Gen. Plant Additions'!$C$7:$C$91,0),MATCH(Calculation!$G687,'Gen. Plant Additions'!$E$5:$AD$5,0))</f>
        <v>1070</v>
      </c>
      <c r="BN687" s="393">
        <f t="shared" si="1243"/>
        <v>0.95679435960373715</v>
      </c>
      <c r="BO687" s="46">
        <f t="shared" si="1166"/>
        <v>1023.7699647759988</v>
      </c>
      <c r="BP687" s="46">
        <f t="shared" si="1167"/>
        <v>-46.230035224001199</v>
      </c>
      <c r="BQ687" s="129">
        <f>INDEX('Dist Plant Depreciation'!$D$7:$AC$94,MATCH($C687,'Dist Plant Depreciation'!$C$7:$C$94,0),MATCH(Calculation!$G687,'Dist Plant Depreciation'!$D$5:$AC$5,0))</f>
        <v>127799</v>
      </c>
      <c r="BR687" s="129">
        <f>INDEX('Gen. Plant Depreciation'!$D$7:$AC$94,MATCH($C687,'Gen. Plant Depreciation'!$C$7:$C$94,0),MATCH(Calculation!$G687,'Gen. Plant Depreciation'!$D$5:$AC$5,0))</f>
        <v>7832</v>
      </c>
      <c r="BS687" s="129"/>
      <c r="BT687" s="129"/>
      <c r="BU687" s="129"/>
      <c r="BV687" s="129"/>
      <c r="BW687" s="129"/>
      <c r="BX687" s="129"/>
      <c r="BY687" s="129">
        <f>INDEX('Gross Dx Plant'!$D$7:$AC$91,MATCH($C687,'Gross Dx Plant'!$C$7:$C$91,0),MATCH(Calculation!$G687,'Gross Dx Plant'!$D$5:$AC$5,0))</f>
        <v>336008</v>
      </c>
      <c r="BZ687" s="129">
        <f>INDEX('Gross Gen Plant'!$D$7:$AC$91,MATCH($C687,'Gross Gen Plant'!$C$7:$C$91,0),MATCH(Calculation!$G687,'Gross Gen Plant'!$D$5:$AC$5,0))</f>
        <v>15173</v>
      </c>
      <c r="CA687" s="129">
        <f t="shared" si="1197"/>
        <v>215550</v>
      </c>
      <c r="CB687" s="129"/>
      <c r="CC687" s="133">
        <v>2007</v>
      </c>
      <c r="CD687" s="129"/>
      <c r="CE687" s="129"/>
      <c r="CF687" s="129"/>
      <c r="CG687" s="137"/>
      <c r="CH687" s="129">
        <f t="shared" si="1244"/>
        <v>7862</v>
      </c>
      <c r="CI687" s="46">
        <f t="shared" si="1253"/>
        <v>7815.7699647759991</v>
      </c>
      <c r="CJ687" s="46">
        <f t="shared" si="1245"/>
        <v>15.693613964438535</v>
      </c>
      <c r="CK687" s="443">
        <v>0.90322580645161288</v>
      </c>
      <c r="CL687" s="46">
        <f>+CL678*CK687+CJ679*CK686+CJ680*CK685+CJ681*CK684+CJ682*CK683+CJ683*CK682+CJ684*CK681+CJ685*CK680+CJ686*CK679+CJ687</f>
        <v>949.34172501783996</v>
      </c>
      <c r="CM687" s="134">
        <f t="shared" si="1246"/>
        <v>4.1907465647083907E-3</v>
      </c>
      <c r="CN687" s="135">
        <f t="shared" si="1247"/>
        <v>1.2400931134569601E-2</v>
      </c>
      <c r="CO687" s="135">
        <f t="shared" si="1256"/>
        <v>1.2056795148623534E-2</v>
      </c>
      <c r="CP687" s="134">
        <f>VLOOKUP($H687,RoR!$E:$F,2,FALSE)</f>
        <v>5.5558333333333321E-2</v>
      </c>
      <c r="CQ687" s="135">
        <v>2.691120634145272E-2</v>
      </c>
      <c r="CR687" s="135">
        <f t="shared" si="1254"/>
        <v>2.86471269918806E-2</v>
      </c>
      <c r="CS687" s="135">
        <f t="shared" si="1257"/>
        <v>1.8845146459910089E-2</v>
      </c>
      <c r="CT687" s="135">
        <v>6.4575155250632399E-2</v>
      </c>
      <c r="CU687" s="139">
        <f t="shared" si="1248"/>
        <v>0.85171695000000003</v>
      </c>
      <c r="CV687" s="335">
        <f t="shared" si="1249"/>
        <v>0.92303077153834634</v>
      </c>
      <c r="CW687" s="335">
        <f t="shared" si="1250"/>
        <v>0.52502249887505614</v>
      </c>
      <c r="CX687" s="335">
        <f t="shared" si="1251"/>
        <v>0.88499666072084604</v>
      </c>
      <c r="CY687" s="335">
        <f t="shared" si="1252"/>
        <v>0.42887993290280618</v>
      </c>
      <c r="CZ687" s="336">
        <f>INDEX('State Tax Lookup'!$D$7:$Z$91,MATCH(Calculation!$C687,'State Tax Lookup'!$B$7:$B$91,0),MATCH($H687,'State Tax Lookup'!$D$6:$Z$6,0))</f>
        <v>0.40076499999999998</v>
      </c>
      <c r="DA687" s="303">
        <v>0.37</v>
      </c>
      <c r="DB687" s="57">
        <f t="shared" si="1255"/>
        <v>13.247928269673938</v>
      </c>
      <c r="DC687" s="56">
        <f t="shared" si="1258"/>
        <v>6.1549136322554973E-2</v>
      </c>
      <c r="DD687" s="303">
        <f>VLOOKUP($H687,RoR!$E:$F,2,FALSE)</f>
        <v>5.5558333333333321E-2</v>
      </c>
      <c r="DE687" s="304">
        <f>HLOOKUP($H687,'GDP-PI'!$D$8:$CQ$11,3,FALSE)</f>
        <v>2.691120634145272E-2</v>
      </c>
      <c r="DF687" s="303">
        <f>VLOOKUP(H687,'HW Dx Data'!$E:$F,2,FALSE)</f>
        <v>498.0223154772637</v>
      </c>
      <c r="DG687" s="89">
        <f ca="1">VLOOKUP(CC687,'ECI - Input Price'!M$13:N$33,2,FALSE)</f>
        <v>104.52499999999999</v>
      </c>
      <c r="DH687" s="89"/>
      <c r="DI687" s="89"/>
      <c r="DJ687" s="56">
        <f t="shared" ca="1" si="1266"/>
        <v>-4.5584612745252218E-2</v>
      </c>
      <c r="DK687" s="53">
        <f>HLOOKUP(H687,'GDP-PI'!$8:$9,2,FALSE)</f>
        <v>92.498000000000005</v>
      </c>
      <c r="DL687" s="355">
        <f t="shared" si="1259"/>
        <v>2.6555467950038037E-2</v>
      </c>
      <c r="EC687"/>
    </row>
    <row r="688" spans="1:133" s="126" customFormat="1" ht="21" customHeight="1" x14ac:dyDescent="0.4">
      <c r="A688" s="233" t="s">
        <v>221</v>
      </c>
      <c r="B688" s="127" t="s">
        <v>221</v>
      </c>
      <c r="C688" s="127">
        <v>4057130</v>
      </c>
      <c r="D688" s="127" t="s">
        <v>222</v>
      </c>
      <c r="E688" s="127"/>
      <c r="F688" s="127"/>
      <c r="G688" s="127" t="s">
        <v>164</v>
      </c>
      <c r="H688" s="128">
        <v>2008</v>
      </c>
      <c r="I688" s="129"/>
      <c r="J688" s="125">
        <f>IFERROR(INDEX('Labor Expenditures'!$E$7:$W$91,MATCH($C688,'Labor Expenditures'!$C$7:$C$91,0),MATCH($G688,'Labor Expenditures'!$E$5:$W$5,0)),"NA")</f>
        <v>16162.11949267045</v>
      </c>
      <c r="K688" s="125">
        <f t="shared" ca="1" si="1260"/>
        <v>149.78794710537952</v>
      </c>
      <c r="L688" s="47"/>
      <c r="M688" s="131">
        <f t="shared" ca="1" si="1268"/>
        <v>0.13234987915412375</v>
      </c>
      <c r="N688" s="131"/>
      <c r="O688" s="131"/>
      <c r="P688" s="59">
        <f t="shared" ca="1" si="1269"/>
        <v>8.7847759375855883E-4</v>
      </c>
      <c r="Q688" s="61"/>
      <c r="R688" s="387"/>
      <c r="S688" s="49">
        <f t="shared" ca="1" si="1273"/>
        <v>109.86609239100613</v>
      </c>
      <c r="T688" s="61">
        <f ca="1">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</f>
        <v>-7.1293986657050307E-2</v>
      </c>
      <c r="U688" s="61"/>
      <c r="V688" s="125">
        <f>IFERROR(INDEX('Non-Labor Expenditures'!$E$7:$AA$91,MATCH($C688,'Non-Labor Expenditures'!$C$7:$C$91,0),MATCH($G688,'Non-Labor Expenditures'!$E$5:$AA$5,0)),"NA")</f>
        <v>23405.767692914567</v>
      </c>
      <c r="W688" s="125">
        <f t="shared" si="1261"/>
        <v>248.30017496514648</v>
      </c>
      <c r="X688" s="131">
        <f t="shared" si="1270"/>
        <v>0.14521614042755213</v>
      </c>
      <c r="Y688" s="131">
        <f t="shared" si="1271"/>
        <v>9.6387791536359842E-4</v>
      </c>
      <c r="Z688" s="131"/>
      <c r="AA688" s="131"/>
      <c r="AB688" s="131"/>
      <c r="AC688" s="125">
        <f t="shared" si="1242"/>
        <v>14127.786873672283</v>
      </c>
      <c r="AD688" s="129"/>
      <c r="AE688" s="133">
        <v>1004.5628412627908</v>
      </c>
      <c r="AF688" s="134">
        <v>1.1521741963804524E-2</v>
      </c>
      <c r="AG688" s="59">
        <f t="shared" si="1262"/>
        <v>7.6476021141532282E-5</v>
      </c>
      <c r="AH688" s="134"/>
      <c r="AI688" s="134"/>
      <c r="AJ688" s="129">
        <f t="shared" si="1238"/>
        <v>53695.674059257297</v>
      </c>
      <c r="AK688" s="134">
        <f t="shared" si="1272"/>
        <v>0.15245811638586068</v>
      </c>
      <c r="AL688" s="129"/>
      <c r="AM688" s="129"/>
      <c r="AN688" s="129"/>
      <c r="AO688" s="129"/>
      <c r="AP688" s="133">
        <f t="shared" si="1274"/>
        <v>339.3005804545686</v>
      </c>
      <c r="AQ688" s="134">
        <f>+BB688/Outputs!$B$16</f>
        <v>4.5045046327196608E-3</v>
      </c>
      <c r="AR688" s="93">
        <f t="shared" si="1263"/>
        <v>0.30099481524031735</v>
      </c>
      <c r="AS688" s="93">
        <f t="shared" si="1264"/>
        <v>0.43589671054477325</v>
      </c>
      <c r="AT688" s="93">
        <f t="shared" si="1265"/>
        <v>0.26310847421490952</v>
      </c>
      <c r="AU688" s="93">
        <f t="shared" ca="1" si="1267"/>
        <v>0.10561826946224213</v>
      </c>
      <c r="AV688" s="132">
        <f t="shared" ref="AV688:AV701" ca="1" si="1276">+AV687*EXP(AU688)</f>
        <v>87.809492260602468</v>
      </c>
      <c r="AW688" s="134">
        <f t="shared" ref="AW688:AW701" ca="1" si="1277">LN(AV688/AV687)</f>
        <v>0.10561826946224208</v>
      </c>
      <c r="AX688" s="56">
        <f>+AJ688/$AL$13</f>
        <v>6.6375398252956188E-3</v>
      </c>
      <c r="AY688" s="135">
        <f t="shared" ca="1" si="1275"/>
        <v>7.0104546983443586E-4</v>
      </c>
      <c r="AZ688" s="93"/>
      <c r="BA688" s="93"/>
      <c r="BB688" s="234">
        <f>IFERROR(INDEX('Total Customers'!$E$7:$AA$91,MATCH($C688,'Total Customers'!$C$7:$C$91,0),MATCH($G688,'Total Customers'!$E$5:$AA$5,0)),"NA")</f>
        <v>158254</v>
      </c>
      <c r="BC688" s="411">
        <f t="shared" si="1196"/>
        <v>2.359752467049911E-3</v>
      </c>
      <c r="BD688" s="92"/>
      <c r="BE688" s="281" t="str">
        <f t="shared" si="1192"/>
        <v>NORTH SHORE GAS COMPANY</v>
      </c>
      <c r="BF688" s="290">
        <f t="shared" si="1193"/>
        <v>4057130</v>
      </c>
      <c r="BG688" s="46" t="str">
        <f t="shared" si="1194"/>
        <v>IL</v>
      </c>
      <c r="BH688" s="46"/>
      <c r="BI688" s="46" t="str">
        <f t="shared" si="1195"/>
        <v>2008 Y</v>
      </c>
      <c r="BJ688" s="129"/>
      <c r="BK688" s="129"/>
      <c r="BL688" s="129">
        <f>INDEX('Dist. Plant Gas Additions'!$E$7:$AD$91,MATCH($C688,'Dist. Plant Gas Additions'!$C$7:$C$91,0),MATCH(Calculation!$G688,'Dist. Plant Gas Additions'!$E$5:$AD$5,0))</f>
        <v>9519</v>
      </c>
      <c r="BM688" s="129">
        <f>INDEX('Gen. Plant Additions'!$E$7:$AD$91,MATCH($C688,'Gen. Plant Additions'!$C$7:$C$91,0),MATCH(Calculation!$G688,'Gen. Plant Additions'!$E$5:$AD$5,0))</f>
        <v>846</v>
      </c>
      <c r="BN688" s="393">
        <f t="shared" si="1243"/>
        <v>0.95610106414071261</v>
      </c>
      <c r="BO688" s="46">
        <f t="shared" si="1166"/>
        <v>808.8615002630429</v>
      </c>
      <c r="BP688" s="46">
        <f t="shared" si="1167"/>
        <v>-37.138499736957101</v>
      </c>
      <c r="BQ688" s="129">
        <f>INDEX('Dist Plant Depreciation'!$D$7:$AC$94,MATCH($C688,'Dist Plant Depreciation'!$C$7:$C$94,0),MATCH(Calculation!$G688,'Dist Plant Depreciation'!$D$5:$AC$5,0))</f>
        <v>132473</v>
      </c>
      <c r="BR688" s="129">
        <f>INDEX('Gen. Plant Depreciation'!$D$7:$AC$94,MATCH($C688,'Gen. Plant Depreciation'!$C$7:$C$94,0),MATCH(Calculation!$G688,'Gen. Plant Depreciation'!$D$5:$AC$5,0))</f>
        <v>8678</v>
      </c>
      <c r="BS688" s="129"/>
      <c r="BT688" s="129"/>
      <c r="BU688" s="129"/>
      <c r="BV688" s="129"/>
      <c r="BW688" s="129"/>
      <c r="BX688" s="129"/>
      <c r="BY688" s="129">
        <f>INDEX('Gross Dx Plant'!$D$7:$AC$91,MATCH($C688,'Gross Dx Plant'!$C$7:$C$91,0),MATCH(Calculation!$G688,'Gross Dx Plant'!$D$5:$AC$5,0))</f>
        <v>343486</v>
      </c>
      <c r="BZ688" s="129">
        <f>INDEX('Gross Gen Plant'!$D$7:$AC$91,MATCH($C688,'Gross Gen Plant'!$C$7:$C$91,0),MATCH(Calculation!$G688,'Gross Gen Plant'!$D$5:$AC$5,0))</f>
        <v>15771</v>
      </c>
      <c r="CA688" s="129">
        <f t="shared" si="1197"/>
        <v>218106</v>
      </c>
      <c r="CB688" s="129"/>
      <c r="CC688" s="133">
        <v>2008</v>
      </c>
      <c r="CD688" s="129"/>
      <c r="CE688" s="129"/>
      <c r="CF688" s="129"/>
      <c r="CG688" s="137"/>
      <c r="CH688" s="129">
        <f t="shared" si="1244"/>
        <v>10365</v>
      </c>
      <c r="CI688" s="46">
        <f t="shared" si="1253"/>
        <v>10327.861500263043</v>
      </c>
      <c r="CJ688" s="46">
        <f t="shared" si="1245"/>
        <v>18.122832337372536</v>
      </c>
      <c r="CK688" s="443">
        <v>0.89130434782608692</v>
      </c>
      <c r="CL688" s="46">
        <f>+CL678*CK688+CJ679*CK687+CJ680*CK686+CJ681*CK685+CJ682*CK684+CJ683*CK683+CJ684*CK682+CJ685*CK681+CJ686*CK680+CJ687*CK679+CJ688</f>
        <v>955.33293192374208</v>
      </c>
      <c r="CM688" s="134">
        <f t="shared" si="1246"/>
        <v>6.2910761624017765E-3</v>
      </c>
      <c r="CN688" s="135">
        <f t="shared" si="1247"/>
        <v>1.2778986861914704E-2</v>
      </c>
      <c r="CO688" s="135">
        <f t="shared" si="1256"/>
        <v>1.2408273775998492E-2</v>
      </c>
      <c r="CP688" s="134">
        <f>VLOOKUP($H688,RoR!$E:$F,2,FALSE)</f>
        <v>5.6316666666666668E-2</v>
      </c>
      <c r="CQ688" s="135">
        <v>1.9092304698479889E-2</v>
      </c>
      <c r="CR688" s="135">
        <f t="shared" si="1254"/>
        <v>3.7224361968186778E-2</v>
      </c>
      <c r="CS688" s="135">
        <f t="shared" si="1257"/>
        <v>1.8493667832535133E-2</v>
      </c>
      <c r="CT688" s="135">
        <v>6.9030581091053131E-2</v>
      </c>
      <c r="CU688" s="139">
        <f t="shared" si="1248"/>
        <v>0.85171695000000003</v>
      </c>
      <c r="CV688" s="335">
        <f t="shared" si="1249"/>
        <v>0.91060168006009956</v>
      </c>
      <c r="CW688" s="335">
        <f t="shared" si="1250"/>
        <v>0.53108168097070152</v>
      </c>
      <c r="CX688" s="335">
        <f t="shared" si="1251"/>
        <v>0.88825329850328805</v>
      </c>
      <c r="CY688" s="335">
        <f t="shared" si="1252"/>
        <v>0.4295627335323573</v>
      </c>
      <c r="CZ688" s="336">
        <f>INDEX('State Tax Lookup'!$D$7:$Z$91,MATCH(Calculation!$C688,'State Tax Lookup'!$B$7:$B$91,0),MATCH($H688,'State Tax Lookup'!$D$6:$Z$6,0))</f>
        <v>0.40076499999999998</v>
      </c>
      <c r="DA688" s="303">
        <v>0.37</v>
      </c>
      <c r="DB688" s="57">
        <f t="shared" si="1255"/>
        <v>14.881666423549218</v>
      </c>
      <c r="DC688" s="56">
        <f t="shared" si="1258"/>
        <v>0.11628883076290171</v>
      </c>
      <c r="DD688" s="303">
        <f>VLOOKUP($H688,RoR!$E:$F,2,FALSE)</f>
        <v>5.6316666666666668E-2</v>
      </c>
      <c r="DE688" s="304">
        <f>HLOOKUP($H688,'GDP-PI'!$D$8:$CQ$11,3,FALSE)</f>
        <v>1.9092304698479889E-2</v>
      </c>
      <c r="DF688" s="303">
        <f>VLOOKUP(H688,'HW Dx Data'!$E:$F,2,FALSE)</f>
        <v>569.88120333515076</v>
      </c>
      <c r="DG688" s="89">
        <f ca="1">VLOOKUP(CC688,'ECI - Input Price'!M$13:N$33,2,FALSE)</f>
        <v>107.9</v>
      </c>
      <c r="DH688" s="89"/>
      <c r="DI688" s="89"/>
      <c r="DJ688" s="56">
        <f t="shared" ca="1" si="1266"/>
        <v>3.1778595021460486E-2</v>
      </c>
      <c r="DK688" s="53">
        <f>HLOOKUP(H688,'GDP-PI'!$8:$9,2,FALSE)</f>
        <v>94.263999999999996</v>
      </c>
      <c r="DL688" s="355">
        <f t="shared" si="1259"/>
        <v>1.8912333748032254E-2</v>
      </c>
      <c r="EC688"/>
    </row>
    <row r="689" spans="1:133" s="126" customFormat="1" ht="21" customHeight="1" x14ac:dyDescent="0.4">
      <c r="A689" s="233" t="s">
        <v>221</v>
      </c>
      <c r="B689" s="127" t="s">
        <v>221</v>
      </c>
      <c r="C689" s="127">
        <v>4057130</v>
      </c>
      <c r="D689" s="127" t="s">
        <v>222</v>
      </c>
      <c r="E689" s="127"/>
      <c r="F689" s="127"/>
      <c r="G689" s="127" t="s">
        <v>165</v>
      </c>
      <c r="H689" s="128">
        <v>2009</v>
      </c>
      <c r="I689" s="129"/>
      <c r="J689" s="125">
        <f>IFERROR(INDEX('Labor Expenditures'!$E$7:$W$91,MATCH($C689,'Labor Expenditures'!$C$7:$C$91,0),MATCH($G689,'Labor Expenditures'!$E$5:$W$5,0)),"NA")</f>
        <v>17094.090313365698</v>
      </c>
      <c r="K689" s="125">
        <f t="shared" ca="1" si="1260"/>
        <v>154.1049385924336</v>
      </c>
      <c r="L689" s="47"/>
      <c r="M689" s="131">
        <f t="shared" ca="1" si="1268"/>
        <v>2.841318184884721E-2</v>
      </c>
      <c r="N689" s="131"/>
      <c r="O689" s="131"/>
      <c r="P689" s="59">
        <f t="shared" ca="1" si="1269"/>
        <v>1.8586108933847149E-4</v>
      </c>
      <c r="Q689" s="61"/>
      <c r="R689" s="387"/>
      <c r="S689" s="49">
        <f t="shared" ca="1" si="1273"/>
        <v>117.76938373858644</v>
      </c>
      <c r="T689" s="61">
        <f ca="1">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</f>
        <v>6.9466054756041951E-2</v>
      </c>
      <c r="U689" s="61"/>
      <c r="V689" s="125">
        <f>IFERROR(INDEX('Non-Labor Expenditures'!$E$7:$AA$91,MATCH($C689,'Non-Labor Expenditures'!$C$7:$C$91,0),MATCH($G689,'Non-Labor Expenditures'!$E$5:$AA$5,0)),"NA")</f>
        <v>24755.435509419724</v>
      </c>
      <c r="W689" s="125">
        <f t="shared" si="1261"/>
        <v>260.58627469152015</v>
      </c>
      <c r="X689" s="131">
        <f t="shared" si="1270"/>
        <v>4.8295598031421749E-2</v>
      </c>
      <c r="Y689" s="131">
        <f t="shared" si="1271"/>
        <v>3.1591929788522344E-4</v>
      </c>
      <c r="Z689" s="131"/>
      <c r="AA689" s="131"/>
      <c r="AB689" s="131"/>
      <c r="AC689" s="125">
        <f t="shared" si="1242"/>
        <v>13469.675595939325</v>
      </c>
      <c r="AD689" s="129"/>
      <c r="AE689" s="133">
        <v>1011.3538504110752</v>
      </c>
      <c r="AF689" s="134">
        <v>6.7374161490666353E-3</v>
      </c>
      <c r="AG689" s="59">
        <f t="shared" si="1262"/>
        <v>4.4071920964492058E-5</v>
      </c>
      <c r="AH689" s="134"/>
      <c r="AI689" s="134"/>
      <c r="AJ689" s="129">
        <f t="shared" si="1238"/>
        <v>55319.201418724748</v>
      </c>
      <c r="AK689" s="134">
        <f t="shared" si="1272"/>
        <v>2.9787630308011282E-2</v>
      </c>
      <c r="AL689" s="129"/>
      <c r="AM689" s="129"/>
      <c r="AN689" s="129"/>
      <c r="AO689" s="129"/>
      <c r="AP689" s="133">
        <f t="shared" si="1274"/>
        <v>350.11931202159951</v>
      </c>
      <c r="AQ689" s="134">
        <f>+BB689/Outputs!$B$17</f>
        <v>4.4915702572374235E-3</v>
      </c>
      <c r="AR689" s="93">
        <f t="shared" si="1263"/>
        <v>0.3090082625014105</v>
      </c>
      <c r="AS689" s="93">
        <f t="shared" si="1264"/>
        <v>0.44750167888432979</v>
      </c>
      <c r="AT689" s="93">
        <f t="shared" si="1265"/>
        <v>0.24349005861425965</v>
      </c>
      <c r="AU689" s="93">
        <f t="shared" ca="1" si="1267"/>
        <v>3.1704773514941116E-2</v>
      </c>
      <c r="AV689" s="132">
        <f t="shared" ca="1" si="1276"/>
        <v>90.638075180342256</v>
      </c>
      <c r="AW689" s="134">
        <f t="shared" ca="1" si="1277"/>
        <v>3.1704773514941186E-2</v>
      </c>
      <c r="AX689" s="56">
        <f>+AJ689/$AL$14</f>
        <v>6.5413683806064939E-3</v>
      </c>
      <c r="AY689" s="135">
        <f t="shared" ca="1" si="1275"/>
        <v>2.0739260298492648E-4</v>
      </c>
      <c r="AZ689" s="93"/>
      <c r="BA689" s="93"/>
      <c r="BB689" s="234">
        <f>IFERROR(INDEX('Total Customers'!$E$7:$AA$91,MATCH($C689,'Total Customers'!$C$7:$C$91,0),MATCH($G689,'Total Customers'!$E$5:$AA$5,0)),"NA")</f>
        <v>158001</v>
      </c>
      <c r="BC689" s="411">
        <f t="shared" si="1196"/>
        <v>-1.5999750452745393E-3</v>
      </c>
      <c r="BD689" s="92"/>
      <c r="BE689" s="281" t="str">
        <f t="shared" si="1192"/>
        <v>NORTH SHORE GAS COMPANY</v>
      </c>
      <c r="BF689" s="290">
        <f t="shared" si="1193"/>
        <v>4057130</v>
      </c>
      <c r="BG689" s="46" t="str">
        <f t="shared" si="1194"/>
        <v>IL</v>
      </c>
      <c r="BH689" s="46"/>
      <c r="BI689" s="46" t="str">
        <f t="shared" si="1195"/>
        <v>2009 Y</v>
      </c>
      <c r="BJ689" s="129"/>
      <c r="BK689" s="129"/>
      <c r="BL689" s="129">
        <f>INDEX('Dist. Plant Gas Additions'!$E$7:$AD$91,MATCH($C689,'Dist. Plant Gas Additions'!$C$7:$C$91,0),MATCH(Calculation!$G689,'Dist. Plant Gas Additions'!$E$5:$AD$5,0))</f>
        <v>6411</v>
      </c>
      <c r="BM689" s="129">
        <f>INDEX('Gen. Plant Additions'!$E$7:$AD$91,MATCH($C689,'Gen. Plant Additions'!$C$7:$C$91,0),MATCH(Calculation!$G689,'Gen. Plant Additions'!$E$5:$AD$5,0))</f>
        <v>1188</v>
      </c>
      <c r="BN689" s="393">
        <f t="shared" si="1243"/>
        <v>0.95544084767716542</v>
      </c>
      <c r="BO689" s="46">
        <f t="shared" si="1166"/>
        <v>1135.0637270404725</v>
      </c>
      <c r="BP689" s="46">
        <f t="shared" si="1167"/>
        <v>-52.936272959527514</v>
      </c>
      <c r="BQ689" s="129">
        <f>INDEX('Dist Plant Depreciation'!$D$7:$AC$94,MATCH($C689,'Dist Plant Depreciation'!$C$7:$C$94,0),MATCH(Calculation!$G689,'Dist Plant Depreciation'!$D$5:$AC$5,0))</f>
        <v>134822</v>
      </c>
      <c r="BR689" s="129">
        <f>INDEX('Gen. Plant Depreciation'!$D$7:$AC$94,MATCH($C689,'Gen. Plant Depreciation'!$C$7:$C$94,0),MATCH(Calculation!$G689,'Gen. Plant Depreciation'!$D$5:$AC$5,0))</f>
        <v>9230</v>
      </c>
      <c r="BS689" s="129"/>
      <c r="BT689" s="129"/>
      <c r="BU689" s="129"/>
      <c r="BV689" s="129"/>
      <c r="BW689" s="129"/>
      <c r="BX689" s="129"/>
      <c r="BY689" s="129">
        <f>INDEX('Gross Dx Plant'!$D$7:$AC$91,MATCH($C689,'Gross Dx Plant'!$C$7:$C$91,0),MATCH(Calculation!$G689,'Gross Dx Plant'!$D$5:$AC$5,0))</f>
        <v>347426</v>
      </c>
      <c r="BZ689" s="129">
        <f>INDEX('Gross Gen Plant'!$D$7:$AC$91,MATCH($C689,'Gross Gen Plant'!$C$7:$C$91,0),MATCH(Calculation!$G689,'Gross Gen Plant'!$D$5:$AC$5,0))</f>
        <v>16203</v>
      </c>
      <c r="CA689" s="129">
        <f t="shared" si="1197"/>
        <v>219577</v>
      </c>
      <c r="CB689" s="129"/>
      <c r="CC689" s="133">
        <v>2009</v>
      </c>
      <c r="CD689" s="129"/>
      <c r="CE689" s="129"/>
      <c r="CF689" s="129"/>
      <c r="CG689" s="137"/>
      <c r="CH689" s="129">
        <f t="shared" si="1244"/>
        <v>7599</v>
      </c>
      <c r="CI689" s="46">
        <f t="shared" si="1253"/>
        <v>7546.0637270404723</v>
      </c>
      <c r="CJ689" s="46">
        <f t="shared" si="1245"/>
        <v>13.696691118868921</v>
      </c>
      <c r="CK689" s="443">
        <v>0.87912087912087911</v>
      </c>
      <c r="CL689" s="46">
        <f>+CL678*CK689+CJ679*CK688+CJ680*CK687+CJ681*CK686+CJ682*CK685+CJ683*CK684+CJ684*CK683+CJ685*CK682+CJ686*CK681+CJ687*CK680+CJ688*CK679+CJ689</f>
        <v>956.45443462687581</v>
      </c>
      <c r="CM689" s="134">
        <f t="shared" si="1246"/>
        <v>1.1732505940810762E-3</v>
      </c>
      <c r="CN689" s="135">
        <f t="shared" si="1247"/>
        <v>1.3163147626883009E-2</v>
      </c>
      <c r="CO689" s="135">
        <f t="shared" si="1256"/>
        <v>1.278102187445577E-2</v>
      </c>
      <c r="CP689" s="134">
        <f>VLOOKUP($H689,RoR!$E:$F,2,FALSE)</f>
        <v>5.3133333333333324E-2</v>
      </c>
      <c r="CQ689" s="135">
        <v>7.7972502758210105E-3</v>
      </c>
      <c r="CR689" s="135">
        <f t="shared" si="1254"/>
        <v>4.5336083057512314E-2</v>
      </c>
      <c r="CS689" s="135">
        <f t="shared" si="1257"/>
        <v>1.8120919734077853E-2</v>
      </c>
      <c r="CT689" s="135">
        <v>6.3720160300892073E-2</v>
      </c>
      <c r="CU689" s="139">
        <f t="shared" si="1248"/>
        <v>0.85171695000000003</v>
      </c>
      <c r="CV689" s="335">
        <f t="shared" si="1249"/>
        <v>0.96515780330083989</v>
      </c>
      <c r="CW689" s="335">
        <f t="shared" si="1250"/>
        <v>0.50448557089084056</v>
      </c>
      <c r="CX689" s="335">
        <f t="shared" si="1251"/>
        <v>0.87391435735465484</v>
      </c>
      <c r="CY689" s="335">
        <f t="shared" si="1252"/>
        <v>0.42551605393279146</v>
      </c>
      <c r="CZ689" s="336">
        <f>INDEX('State Tax Lookup'!$D$7:$Z$91,MATCH(Calculation!$C689,'State Tax Lookup'!$B$7:$B$91,0),MATCH($H689,'State Tax Lookup'!$D$6:$Z$6,0))</f>
        <v>0.40076499999999998</v>
      </c>
      <c r="DA689" s="303">
        <v>0.37</v>
      </c>
      <c r="DB689" s="57">
        <f t="shared" si="1255"/>
        <v>14.099457001671245</v>
      </c>
      <c r="DC689" s="56">
        <f t="shared" si="1258"/>
        <v>-5.3993727841557822E-2</v>
      </c>
      <c r="DD689" s="303">
        <f>VLOOKUP($H689,RoR!$E:$F,2,FALSE)</f>
        <v>5.3133333333333324E-2</v>
      </c>
      <c r="DE689" s="304">
        <f>HLOOKUP($H689,'GDP-PI'!$D$8:$CQ$11,3,FALSE)</f>
        <v>7.7972502758210105E-3</v>
      </c>
      <c r="DF689" s="303">
        <f>VLOOKUP(H689,'HW Dx Data'!$E:$F,2,FALSE)</f>
        <v>550.94063679692806</v>
      </c>
      <c r="DG689" s="89">
        <f ca="1">VLOOKUP(CC689,'ECI - Input Price'!M$13:N$33,2,FALSE)</f>
        <v>110.925</v>
      </c>
      <c r="DH689" s="89"/>
      <c r="DI689" s="89"/>
      <c r="DJ689" s="56">
        <f t="shared" ca="1" si="1266"/>
        <v>2.7649425000884052E-2</v>
      </c>
      <c r="DK689" s="53">
        <f>HLOOKUP(H689,'GDP-PI'!$8:$9,2,FALSE)</f>
        <v>94.998999999999995</v>
      </c>
      <c r="DL689" s="355">
        <f t="shared" si="1259"/>
        <v>7.7670088183096342E-3</v>
      </c>
      <c r="EC689"/>
    </row>
    <row r="690" spans="1:133" s="126" customFormat="1" ht="21" customHeight="1" x14ac:dyDescent="0.4">
      <c r="A690" s="233" t="s">
        <v>221</v>
      </c>
      <c r="B690" s="127" t="s">
        <v>221</v>
      </c>
      <c r="C690" s="127">
        <v>4057130</v>
      </c>
      <c r="D690" s="127" t="s">
        <v>222</v>
      </c>
      <c r="E690" s="127"/>
      <c r="F690" s="127"/>
      <c r="G690" s="127" t="s">
        <v>166</v>
      </c>
      <c r="H690" s="128">
        <v>2010</v>
      </c>
      <c r="I690" s="129"/>
      <c r="J690" s="125">
        <f>IFERROR(INDEX('Labor Expenditures'!$E$7:$W$91,MATCH($C690,'Labor Expenditures'!$C$7:$C$91,0),MATCH($G690,'Labor Expenditures'!$E$5:$W$5,0)),"NA")</f>
        <v>19317.156288614809</v>
      </c>
      <c r="K690" s="125">
        <f t="shared" ca="1" si="1260"/>
        <v>165.2098036229618</v>
      </c>
      <c r="L690" s="47"/>
      <c r="M690" s="131">
        <f t="shared" ca="1" si="1268"/>
        <v>6.9582413506544219E-2</v>
      </c>
      <c r="N690" s="131"/>
      <c r="O690" s="131"/>
      <c r="P690" s="59">
        <f t="shared" ca="1" si="1269"/>
        <v>4.864152818482249E-4</v>
      </c>
      <c r="Q690" s="61"/>
      <c r="R690" s="387"/>
      <c r="S690" s="49">
        <f t="shared" ca="1" si="1273"/>
        <v>96.893641312724768</v>
      </c>
      <c r="T690" s="61">
        <f ca="1">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</f>
        <v>-0.19511444147012996</v>
      </c>
      <c r="U690" s="61"/>
      <c r="V690" s="125">
        <f>IFERROR(INDEX('Non-Labor Expenditures'!$E$7:$AA$91,MATCH($C690,'Non-Labor Expenditures'!$C$7:$C$91,0),MATCH($G690,'Non-Labor Expenditures'!$E$5:$AA$5,0)),"NA")</f>
        <v>27974.850253030549</v>
      </c>
      <c r="W690" s="125">
        <f t="shared" si="1261"/>
        <v>291.074199638229</v>
      </c>
      <c r="X690" s="131">
        <f t="shared" si="1270"/>
        <v>0.1106442210463703</v>
      </c>
      <c r="Y690" s="131">
        <f t="shared" si="1271"/>
        <v>7.7345750532332178E-4</v>
      </c>
      <c r="Z690" s="131"/>
      <c r="AA690" s="131"/>
      <c r="AB690" s="131"/>
      <c r="AC690" s="125">
        <f t="shared" si="1242"/>
        <v>13647.939679730496</v>
      </c>
      <c r="AD690" s="129"/>
      <c r="AE690" s="133">
        <v>1021.7424019410886</v>
      </c>
      <c r="AF690" s="134">
        <v>1.0219527906543688E-2</v>
      </c>
      <c r="AG690" s="59">
        <f t="shared" si="1262"/>
        <v>7.1439524680323594E-5</v>
      </c>
      <c r="AH690" s="134"/>
      <c r="AI690" s="134"/>
      <c r="AJ690" s="129">
        <f t="shared" si="1238"/>
        <v>60939.946221375852</v>
      </c>
      <c r="AK690" s="134">
        <f t="shared" si="1272"/>
        <v>9.6768820050200474E-2</v>
      </c>
      <c r="AL690" s="129"/>
      <c r="AM690" s="129"/>
      <c r="AN690" s="129"/>
      <c r="AO690" s="129"/>
      <c r="AP690" s="133">
        <f t="shared" si="1274"/>
        <v>386.05748562815711</v>
      </c>
      <c r="AQ690" s="134">
        <f>+BB690/Outputs!$B$18</f>
        <v>4.4627825052547644E-3</v>
      </c>
      <c r="AR690" s="93">
        <f t="shared" si="1263"/>
        <v>0.31698676297549711</v>
      </c>
      <c r="AS690" s="93">
        <f t="shared" si="1264"/>
        <v>0.45905603774914122</v>
      </c>
      <c r="AT690" s="93">
        <f t="shared" si="1265"/>
        <v>0.22395719927536167</v>
      </c>
      <c r="AU690" s="93">
        <f t="shared" ca="1" si="1267"/>
        <v>7.4320353701550337E-2</v>
      </c>
      <c r="AV690" s="132">
        <f t="shared" ca="1" si="1276"/>
        <v>97.630967623907779</v>
      </c>
      <c r="AW690" s="134">
        <f t="shared" ca="1" si="1277"/>
        <v>7.4320353701550296E-2</v>
      </c>
      <c r="AX690" s="56">
        <f>+AJ690/$AL$15</f>
        <v>6.9904916678763607E-3</v>
      </c>
      <c r="AY690" s="135">
        <f t="shared" ca="1" si="1275"/>
        <v>5.1953581330431138E-4</v>
      </c>
      <c r="AZ690" s="93"/>
      <c r="BA690" s="93"/>
      <c r="BB690" s="234">
        <f>IFERROR(INDEX('Total Customers'!$E$7:$AA$91,MATCH($C690,'Total Customers'!$C$7:$C$91,0),MATCH($G690,'Total Customers'!$E$5:$AA$5,0)),"NA")</f>
        <v>157852</v>
      </c>
      <c r="BC690" s="411">
        <f t="shared" si="1196"/>
        <v>-9.4347694055577536E-4</v>
      </c>
      <c r="BD690" s="92"/>
      <c r="BE690" s="281" t="str">
        <f t="shared" si="1192"/>
        <v>NORTH SHORE GAS COMPANY</v>
      </c>
      <c r="BF690" s="290">
        <f t="shared" si="1193"/>
        <v>4057130</v>
      </c>
      <c r="BG690" s="46" t="str">
        <f t="shared" si="1194"/>
        <v>IL</v>
      </c>
      <c r="BH690" s="46"/>
      <c r="BI690" s="46" t="str">
        <f t="shared" si="1195"/>
        <v>2010 Y</v>
      </c>
      <c r="BJ690" s="129"/>
      <c r="BK690" s="129"/>
      <c r="BL690" s="129">
        <f>INDEX('Dist. Plant Gas Additions'!$E$7:$AD$91,MATCH($C690,'Dist. Plant Gas Additions'!$C$7:$C$91,0),MATCH(Calculation!$G690,'Dist. Plant Gas Additions'!$E$5:$AD$5,0))</f>
        <v>9532</v>
      </c>
      <c r="BM690" s="129">
        <f>INDEX('Gen. Plant Additions'!$E$7:$AD$91,MATCH($C690,'Gen. Plant Additions'!$C$7:$C$91,0),MATCH(Calculation!$G690,'Gen. Plant Additions'!$E$5:$AD$5,0))</f>
        <v>542</v>
      </c>
      <c r="BN690" s="393">
        <f t="shared" si="1243"/>
        <v>0.9638174107553904</v>
      </c>
      <c r="BO690" s="46">
        <f t="shared" si="1166"/>
        <v>522.38903662942164</v>
      </c>
      <c r="BP690" s="46">
        <f t="shared" si="1167"/>
        <v>-19.610963370578361</v>
      </c>
      <c r="BQ690" s="129">
        <f>INDEX('Dist Plant Depreciation'!$D$7:$AC$94,MATCH($C690,'Dist Plant Depreciation'!$C$7:$C$94,0),MATCH(Calculation!$G690,'Dist Plant Depreciation'!$D$5:$AC$5,0))</f>
        <v>140663</v>
      </c>
      <c r="BR690" s="129">
        <f>INDEX('Gen. Plant Depreciation'!$D$7:$AC$94,MATCH($C690,'Gen. Plant Depreciation'!$C$7:$C$94,0),MATCH(Calculation!$G690,'Gen. Plant Depreciation'!$D$5:$AC$5,0))</f>
        <v>7033</v>
      </c>
      <c r="BS690" s="129"/>
      <c r="BT690" s="129"/>
      <c r="BU690" s="129"/>
      <c r="BV690" s="129"/>
      <c r="BW690" s="129"/>
      <c r="BX690" s="129"/>
      <c r="BY690" s="129">
        <f>INDEX('Gross Dx Plant'!$D$7:$AC$91,MATCH($C690,'Gross Dx Plant'!$C$7:$C$91,0),MATCH(Calculation!$G690,'Gross Dx Plant'!$D$5:$AC$5,0))</f>
        <v>355905</v>
      </c>
      <c r="BZ690" s="129">
        <f>INDEX('Gross Gen Plant'!$D$7:$AC$91,MATCH($C690,'Gross Gen Plant'!$C$7:$C$91,0),MATCH(Calculation!$G690,'Gross Gen Plant'!$D$5:$AC$5,0))</f>
        <v>13361</v>
      </c>
      <c r="CA690" s="129">
        <f t="shared" si="1197"/>
        <v>221570</v>
      </c>
      <c r="CB690" s="129"/>
      <c r="CC690" s="133">
        <v>2010</v>
      </c>
      <c r="CD690" s="129"/>
      <c r="CE690" s="129"/>
      <c r="CF690" s="129"/>
      <c r="CG690" s="137"/>
      <c r="CH690" s="129">
        <f t="shared" si="1244"/>
        <v>10074</v>
      </c>
      <c r="CI690" s="46">
        <f t="shared" si="1253"/>
        <v>10054.389036629422</v>
      </c>
      <c r="CJ690" s="46">
        <f t="shared" si="1245"/>
        <v>17.670605503547467</v>
      </c>
      <c r="CK690" s="443">
        <v>0.8666666666666667</v>
      </c>
      <c r="CL690" s="46">
        <f>+CL678*CK690+CJ679*CK689+CJ680*CK688+CJ681*CK687+CJ682*CK686+CJ683*CK685+CJ684*CK684+CJ685*CK683+CJ686*CK682+CJ687*CK681+CJ688*CK680+CJ689*CK679+CJ690</f>
        <v>961.13779814290149</v>
      </c>
      <c r="CM690" s="134">
        <f t="shared" si="1246"/>
        <v>4.8846389216199802E-3</v>
      </c>
      <c r="CN690" s="135">
        <f t="shared" si="1247"/>
        <v>1.3578526605491944E-2</v>
      </c>
      <c r="CO690" s="135">
        <f t="shared" si="1256"/>
        <v>1.3173553698096552E-2</v>
      </c>
      <c r="CP690" s="134">
        <f>VLOOKUP($H690,RoR!$E:$F,2,FALSE)</f>
        <v>4.9433333333333322E-2</v>
      </c>
      <c r="CQ690" s="135">
        <v>1.1684333519300205E-2</v>
      </c>
      <c r="CR690" s="135">
        <f t="shared" si="1254"/>
        <v>3.7748999814033117E-2</v>
      </c>
      <c r="CS690" s="135">
        <f t="shared" si="1257"/>
        <v>1.7728387910437071E-2</v>
      </c>
      <c r="CT690" s="135">
        <v>4.7937530248493419E-2</v>
      </c>
      <c r="CU690" s="139">
        <f t="shared" si="1248"/>
        <v>0.85171695000000003</v>
      </c>
      <c r="CV690" s="335">
        <f t="shared" si="1249"/>
        <v>1.037398205301105</v>
      </c>
      <c r="CW690" s="335">
        <f t="shared" si="1250"/>
        <v>0.46926837491571133</v>
      </c>
      <c r="CX690" s="335">
        <f t="shared" si="1251"/>
        <v>0.8548537519972772</v>
      </c>
      <c r="CY690" s="335">
        <f t="shared" si="1252"/>
        <v>0.41615833911547367</v>
      </c>
      <c r="CZ690" s="336">
        <f>INDEX('State Tax Lookup'!$D$7:$Z$91,MATCH(Calculation!$C690,'State Tax Lookup'!$B$7:$B$91,0),MATCH($H690,'State Tax Lookup'!$D$6:$Z$6,0))</f>
        <v>0.40076499999999998</v>
      </c>
      <c r="DA690" s="303">
        <v>0.37</v>
      </c>
      <c r="DB690" s="57">
        <f t="shared" si="1255"/>
        <v>14.269304616748125</v>
      </c>
      <c r="DC690" s="56">
        <f t="shared" si="1258"/>
        <v>1.1974413747469779E-2</v>
      </c>
      <c r="DD690" s="303">
        <f>VLOOKUP($H690,RoR!$E:$F,2,FALSE)</f>
        <v>4.9433333333333322E-2</v>
      </c>
      <c r="DE690" s="304">
        <f>HLOOKUP($H690,'GDP-PI'!$D$8:$CQ$11,3,FALSE)</f>
        <v>1.1684333519300205E-2</v>
      </c>
      <c r="DF690" s="303">
        <f>VLOOKUP(H690,'HW Dx Data'!$E:$F,2,FALSE)</f>
        <v>568.98950262971744</v>
      </c>
      <c r="DG690" s="89">
        <f ca="1">VLOOKUP(CC690,'ECI - Input Price'!M$13:N$33,2,FALSE)</f>
        <v>116.925</v>
      </c>
      <c r="DH690" s="89"/>
      <c r="DI690" s="89"/>
      <c r="DJ690" s="56">
        <f t="shared" ca="1" si="1266"/>
        <v>5.2678406346976722E-2</v>
      </c>
      <c r="DK690" s="53">
        <f>HLOOKUP(H690,'GDP-PI'!$8:$9,2,FALSE)</f>
        <v>96.108999999999995</v>
      </c>
      <c r="DL690" s="355">
        <f t="shared" si="1259"/>
        <v>1.1616598807150427E-2</v>
      </c>
      <c r="EC690"/>
    </row>
    <row r="691" spans="1:133" s="126" customFormat="1" ht="21" customHeight="1" x14ac:dyDescent="0.4">
      <c r="A691" s="233" t="s">
        <v>221</v>
      </c>
      <c r="B691" s="127" t="s">
        <v>221</v>
      </c>
      <c r="C691" s="127">
        <v>4057130</v>
      </c>
      <c r="D691" s="127" t="s">
        <v>222</v>
      </c>
      <c r="E691" s="127"/>
      <c r="F691" s="127"/>
      <c r="G691" s="127" t="s">
        <v>167</v>
      </c>
      <c r="H691" s="128">
        <v>2011</v>
      </c>
      <c r="I691" s="129"/>
      <c r="J691" s="125">
        <f>IFERROR(INDEX('Labor Expenditures'!$E$7:$W$91,MATCH($C691,'Labor Expenditures'!$C$7:$C$91,0),MATCH($G691,'Labor Expenditures'!$E$5:$W$5,0)),"NA")</f>
        <v>18074.186524216544</v>
      </c>
      <c r="K691" s="125">
        <f t="shared" ca="1" si="1260"/>
        <v>149.52791333374597</v>
      </c>
      <c r="L691" s="47"/>
      <c r="M691" s="131">
        <f t="shared" ca="1" si="1268"/>
        <v>-9.9733116625876514E-2</v>
      </c>
      <c r="N691" s="131"/>
      <c r="O691" s="131"/>
      <c r="P691" s="59">
        <f t="shared" ca="1" si="1269"/>
        <v>-6.4515046844815867E-4</v>
      </c>
      <c r="Q691" s="61"/>
      <c r="R691" s="387"/>
      <c r="S691" s="49">
        <f t="shared" ca="1" si="1273"/>
        <v>116.2389159753855</v>
      </c>
      <c r="T691" s="61">
        <f ca="1">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</f>
        <v>0.18203379785755852</v>
      </c>
      <c r="U691" s="61"/>
      <c r="V691" s="125">
        <f>IFERROR(INDEX('Non-Labor Expenditures'!$E$7:$AA$91,MATCH($C691,'Non-Labor Expenditures'!$C$7:$C$91,0),MATCH($G691,'Non-Labor Expenditures'!$E$5:$AA$5,0)),"NA")</f>
        <v>26174.797879453181</v>
      </c>
      <c r="W691" s="125">
        <f t="shared" si="1261"/>
        <v>266.78487727753162</v>
      </c>
      <c r="X691" s="131">
        <f t="shared" si="1270"/>
        <v>-8.7135585677217228E-2</v>
      </c>
      <c r="Y691" s="131">
        <f t="shared" si="1271"/>
        <v>-5.6365995388512518E-4</v>
      </c>
      <c r="Z691" s="131"/>
      <c r="AA691" s="131"/>
      <c r="AB691" s="131"/>
      <c r="AC691" s="125">
        <f t="shared" si="1242"/>
        <v>14440.095778601815</v>
      </c>
      <c r="AD691" s="129"/>
      <c r="AE691" s="133">
        <v>1026.5336165918623</v>
      </c>
      <c r="AF691" s="134">
        <v>4.6782985749839485E-3</v>
      </c>
      <c r="AG691" s="59">
        <f t="shared" si="1262"/>
        <v>3.026283163809353E-5</v>
      </c>
      <c r="AH691" s="134"/>
      <c r="AI691" s="134"/>
      <c r="AJ691" s="129">
        <f t="shared" si="1238"/>
        <v>58689.080182271544</v>
      </c>
      <c r="AK691" s="134">
        <f t="shared" si="1272"/>
        <v>-3.7635209102846463E-2</v>
      </c>
      <c r="AL691" s="129"/>
      <c r="AM691" s="129"/>
      <c r="AN691" s="129"/>
      <c r="AO691" s="129"/>
      <c r="AP691" s="133">
        <f t="shared" si="1274"/>
        <v>370.87947133378123</v>
      </c>
      <c r="AQ691" s="134">
        <f>+BB691/Outputs!$B$19</f>
        <v>4.4522506158797097E-3</v>
      </c>
      <c r="AR691" s="93">
        <f t="shared" si="1263"/>
        <v>0.30796506723368772</v>
      </c>
      <c r="AS691" s="93">
        <f t="shared" si="1264"/>
        <v>0.44599093729466749</v>
      </c>
      <c r="AT691" s="93">
        <f t="shared" si="1265"/>
        <v>0.24604399547164474</v>
      </c>
      <c r="AU691" s="93">
        <f t="shared" ca="1" si="1267"/>
        <v>-6.9495693042008991E-2</v>
      </c>
      <c r="AV691" s="132">
        <f t="shared" ca="1" si="1276"/>
        <v>91.076429741614021</v>
      </c>
      <c r="AW691" s="134">
        <f t="shared" ca="1" si="1277"/>
        <v>-6.9495693042008963E-2</v>
      </c>
      <c r="AX691" s="56">
        <f>+AJ691/$AL$16</f>
        <v>6.4687687527932875E-3</v>
      </c>
      <c r="AY691" s="135">
        <f t="shared" ca="1" si="1275"/>
        <v>-4.4955156760386145E-4</v>
      </c>
      <c r="AZ691" s="93"/>
      <c r="BA691" s="93"/>
      <c r="BB691" s="234">
        <f>IFERROR(INDEX('Total Customers'!$E$7:$AA$91,MATCH($C691,'Total Customers'!$C$7:$C$91,0),MATCH($G691,'Total Customers'!$E$5:$AA$5,0)),"NA")</f>
        <v>158243</v>
      </c>
      <c r="BC691" s="411">
        <f t="shared" si="1196"/>
        <v>2.4739410583686432E-3</v>
      </c>
      <c r="BD691" s="92"/>
      <c r="BE691" s="281" t="str">
        <f t="shared" si="1192"/>
        <v>NORTH SHORE GAS COMPANY</v>
      </c>
      <c r="BF691" s="290">
        <f t="shared" si="1193"/>
        <v>4057130</v>
      </c>
      <c r="BG691" s="46" t="str">
        <f t="shared" si="1194"/>
        <v>IL</v>
      </c>
      <c r="BH691" s="46"/>
      <c r="BI691" s="46" t="str">
        <f t="shared" si="1195"/>
        <v>2011 Y</v>
      </c>
      <c r="BJ691" s="129"/>
      <c r="BK691" s="129"/>
      <c r="BL691" s="129">
        <f>INDEX('Dist. Plant Gas Additions'!$E$7:$AD$91,MATCH($C691,'Dist. Plant Gas Additions'!$C$7:$C$91,0),MATCH(Calculation!$G691,'Dist. Plant Gas Additions'!$E$5:$AD$5,0))</f>
        <v>5979</v>
      </c>
      <c r="BM691" s="129">
        <f>INDEX('Gen. Plant Additions'!$E$7:$AD$91,MATCH($C691,'Gen. Plant Additions'!$C$7:$C$91,0),MATCH(Calculation!$G691,'Gen. Plant Additions'!$E$5:$AD$5,0))</f>
        <v>1640</v>
      </c>
      <c r="BN691" s="393">
        <f t="shared" si="1243"/>
        <v>0.96324896209990629</v>
      </c>
      <c r="BO691" s="46">
        <f t="shared" si="1166"/>
        <v>1579.7282978438463</v>
      </c>
      <c r="BP691" s="46">
        <f t="shared" si="1167"/>
        <v>-60.271702156153651</v>
      </c>
      <c r="BQ691" s="129">
        <f>INDEX('Dist Plant Depreciation'!$D$7:$AC$94,MATCH($C691,'Dist Plant Depreciation'!$C$7:$C$94,0),MATCH(Calculation!$G691,'Dist Plant Depreciation'!$D$5:$AC$5,0))</f>
        <v>145474</v>
      </c>
      <c r="BR691" s="129">
        <f>INDEX('Gen. Plant Depreciation'!$D$7:$AC$94,MATCH($C691,'Gen. Plant Depreciation'!$C$7:$C$94,0),MATCH(Calculation!$G691,'Gen. Plant Depreciation'!$D$5:$AC$5,0))</f>
        <v>6974</v>
      </c>
      <c r="BS691" s="129"/>
      <c r="BT691" s="129"/>
      <c r="BU691" s="129"/>
      <c r="BV691" s="129"/>
      <c r="BW691" s="129"/>
      <c r="BX691" s="129"/>
      <c r="BY691" s="129">
        <f>INDEX('Gross Dx Plant'!$D$7:$AC$91,MATCH($C691,'Gross Dx Plant'!$C$7:$C$91,0),MATCH(Calculation!$G691,'Gross Dx Plant'!$D$5:$AC$5,0))</f>
        <v>359629</v>
      </c>
      <c r="BZ691" s="129">
        <f>INDEX('Gross Gen Plant'!$D$7:$AC$91,MATCH($C691,'Gross Gen Plant'!$C$7:$C$91,0),MATCH(Calculation!$G691,'Gross Gen Plant'!$D$5:$AC$5,0))</f>
        <v>13721</v>
      </c>
      <c r="CA691" s="129">
        <f t="shared" si="1197"/>
        <v>220902</v>
      </c>
      <c r="CB691" s="129"/>
      <c r="CC691" s="133">
        <v>2011</v>
      </c>
      <c r="CD691" s="129"/>
      <c r="CE691" s="129"/>
      <c r="CF691" s="129"/>
      <c r="CG691" s="137"/>
      <c r="CH691" s="129">
        <f t="shared" si="1244"/>
        <v>7619</v>
      </c>
      <c r="CI691" s="46">
        <f t="shared" si="1253"/>
        <v>7558.7282978438461</v>
      </c>
      <c r="CJ691" s="46">
        <f t="shared" si="1245"/>
        <v>12.358716749517246</v>
      </c>
      <c r="CK691" s="443">
        <v>0.8539325842696629</v>
      </c>
      <c r="CL691" s="46">
        <f>+CL678*CK691+CJ679*CK690+CJ680*CK689+CJ681*CK688+CJ682*CK687+CJ683*CK686+CJ684*CK685+CJ685*CK684+CJ686*CK683+CJ687*CK682+CJ688*CK681+CJ689*CK680+CJ690*CK679+CJ691</f>
        <v>960.04593883910013</v>
      </c>
      <c r="CM691" s="134">
        <f t="shared" si="1246"/>
        <v>-1.1366527837379221E-3</v>
      </c>
      <c r="CN691" s="135">
        <f t="shared" si="1247"/>
        <v>1.3994430433708505E-2</v>
      </c>
      <c r="CO691" s="135">
        <f t="shared" si="1256"/>
        <v>1.3578701555361153E-2</v>
      </c>
      <c r="CP691" s="134">
        <f>VLOOKUP($H691,RoR!$E:$F,2,FALSE)</f>
        <v>4.6391666666666664E-2</v>
      </c>
      <c r="CQ691" s="135">
        <v>2.0840920205183799E-2</v>
      </c>
      <c r="CR691" s="135">
        <f t="shared" si="1254"/>
        <v>2.5550746461482865E-2</v>
      </c>
      <c r="CS691" s="135">
        <f t="shared" si="1257"/>
        <v>1.732324005317247E-2</v>
      </c>
      <c r="CT691" s="135">
        <v>2.4810540821321614E-2</v>
      </c>
      <c r="CU691" s="139">
        <f t="shared" si="1248"/>
        <v>0.85171695000000003</v>
      </c>
      <c r="CV691" s="335">
        <f t="shared" si="1249"/>
        <v>1.1054151524782025</v>
      </c>
      <c r="CW691" s="335">
        <f t="shared" si="1250"/>
        <v>0.43611011316687626</v>
      </c>
      <c r="CX691" s="335">
        <f t="shared" si="1251"/>
        <v>0.83698442246886229</v>
      </c>
      <c r="CY691" s="335">
        <f t="shared" si="1252"/>
        <v>0.40349573304423936</v>
      </c>
      <c r="CZ691" s="336">
        <f>INDEX('State Tax Lookup'!$D$7:$Z$91,MATCH(Calculation!$C691,'State Tax Lookup'!$B$7:$B$91,0),MATCH($H691,'State Tax Lookup'!$D$6:$Z$6,0))</f>
        <v>0.40076499999999998</v>
      </c>
      <c r="DA691" s="303">
        <v>0.37</v>
      </c>
      <c r="DB691" s="57">
        <f t="shared" si="1255"/>
        <v>15.023959942583456</v>
      </c>
      <c r="DC691" s="56">
        <f t="shared" si="1258"/>
        <v>5.1535556363608487E-2</v>
      </c>
      <c r="DD691" s="303">
        <f>VLOOKUP($H691,RoR!$E:$F,2,FALSE)</f>
        <v>4.6391666666666664E-2</v>
      </c>
      <c r="DE691" s="304">
        <f>HLOOKUP($H691,'GDP-PI'!$D$8:$CQ$11,3,FALSE)</f>
        <v>2.0840920205183799E-2</v>
      </c>
      <c r="DF691" s="303">
        <f>VLOOKUP(H691,'HW Dx Data'!$E:$F,2,FALSE)</f>
        <v>611.61109612283201</v>
      </c>
      <c r="DG691" s="89">
        <f ca="1">VLOOKUP(CC691,'ECI - Input Price'!M$13:N$33,2,FALSE)</f>
        <v>120.875</v>
      </c>
      <c r="DH691" s="89"/>
      <c r="DI691" s="89"/>
      <c r="DJ691" s="56">
        <f t="shared" ca="1" si="1266"/>
        <v>3.3224250161508609E-2</v>
      </c>
      <c r="DK691" s="53">
        <f>HLOOKUP(H691,'GDP-PI'!$8:$9,2,FALSE)</f>
        <v>98.111999999999995</v>
      </c>
      <c r="DL691" s="355">
        <f t="shared" si="1259"/>
        <v>2.0626719212849295E-2</v>
      </c>
      <c r="EC691"/>
    </row>
    <row r="692" spans="1:133" s="126" customFormat="1" ht="21" customHeight="1" x14ac:dyDescent="0.4">
      <c r="A692" s="233" t="s">
        <v>221</v>
      </c>
      <c r="B692" s="127" t="s">
        <v>221</v>
      </c>
      <c r="C692" s="127">
        <v>4057130</v>
      </c>
      <c r="D692" s="127" t="s">
        <v>222</v>
      </c>
      <c r="E692" s="127"/>
      <c r="F692" s="127"/>
      <c r="G692" s="127" t="s">
        <v>168</v>
      </c>
      <c r="H692" s="128">
        <v>2012</v>
      </c>
      <c r="I692" s="129"/>
      <c r="J692" s="125">
        <f>IFERROR(INDEX('Labor Expenditures'!$E$7:$W$91,MATCH($C692,'Labor Expenditures'!$C$7:$C$91,0),MATCH($G692,'Labor Expenditures'!$E$5:$W$5,0)),"NA")</f>
        <v>16891.467955283602</v>
      </c>
      <c r="K692" s="125">
        <f t="shared" ca="1" si="1260"/>
        <v>135.34830092374679</v>
      </c>
      <c r="L692" s="47"/>
      <c r="M692" s="131">
        <f t="shared" ca="1" si="1268"/>
        <v>-9.9631623888037812E-2</v>
      </c>
      <c r="N692" s="131"/>
      <c r="O692" s="131"/>
      <c r="P692" s="59">
        <f t="shared" ca="1" si="1269"/>
        <v>-6.0152324562577815E-4</v>
      </c>
      <c r="Q692" s="61"/>
      <c r="R692" s="387"/>
      <c r="S692" s="49">
        <f t="shared" ca="1" si="1273"/>
        <v>115.56766802320618</v>
      </c>
      <c r="T692" s="61">
        <f ca="1">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</f>
        <v>-5.7914647357891836E-3</v>
      </c>
      <c r="U692" s="61"/>
      <c r="V692" s="125">
        <f>IFERROR(INDEX('Non-Labor Expenditures'!$E$7:$AA$91,MATCH($C692,'Non-Labor Expenditures'!$C$7:$C$91,0),MATCH($G692,'Non-Labor Expenditures'!$E$5:$AA$5,0)),"NA")</f>
        <v>24462.000490280625</v>
      </c>
      <c r="W692" s="125">
        <f t="shared" si="1261"/>
        <v>244.62000490280624</v>
      </c>
      <c r="X692" s="131">
        <f t="shared" si="1270"/>
        <v>-8.6736624464911261E-2</v>
      </c>
      <c r="Y692" s="131">
        <f t="shared" si="1271"/>
        <v>-5.2367003393810922E-4</v>
      </c>
      <c r="Z692" s="131"/>
      <c r="AA692" s="131"/>
      <c r="AB692" s="131"/>
      <c r="AC692" s="125">
        <f t="shared" si="1242"/>
        <v>15328.503983194832</v>
      </c>
      <c r="AD692" s="129"/>
      <c r="AE692" s="133">
        <v>1044.3001023366255</v>
      </c>
      <c r="AF692" s="134">
        <v>1.7159196808178984E-2</v>
      </c>
      <c r="AG692" s="59">
        <f t="shared" si="1262"/>
        <v>1.0359818854289071E-4</v>
      </c>
      <c r="AH692" s="134"/>
      <c r="AI692" s="134"/>
      <c r="AJ692" s="129">
        <f t="shared" si="1238"/>
        <v>56681.972428759058</v>
      </c>
      <c r="AK692" s="134">
        <f t="shared" si="1272"/>
        <v>-3.4797468374277267E-2</v>
      </c>
      <c r="AL692" s="129"/>
      <c r="AM692" s="129"/>
      <c r="AN692" s="129"/>
      <c r="AO692" s="129"/>
      <c r="AP692" s="133">
        <f t="shared" si="1274"/>
        <v>358.07131125320007</v>
      </c>
      <c r="AQ692" s="134">
        <f>+BB692/Outputs!$B$20</f>
        <v>4.432454048969128E-3</v>
      </c>
      <c r="AR692" s="93">
        <f t="shared" si="1263"/>
        <v>0.29800423717635627</v>
      </c>
      <c r="AS692" s="93">
        <f t="shared" si="1264"/>
        <v>0.43156579494522318</v>
      </c>
      <c r="AT692" s="93">
        <f t="shared" si="1265"/>
        <v>0.27042996787842055</v>
      </c>
      <c r="AU692" s="93">
        <f t="shared" ca="1" si="1267"/>
        <v>-6.3813868086099748E-2</v>
      </c>
      <c r="AV692" s="132">
        <f t="shared" ca="1" si="1276"/>
        <v>85.44604919366364</v>
      </c>
      <c r="AW692" s="134">
        <f t="shared" ca="1" si="1277"/>
        <v>-6.3813868086099609E-2</v>
      </c>
      <c r="AX692" s="56">
        <f>+AJ692/$AL$17</f>
        <v>6.0374730647946365E-3</v>
      </c>
      <c r="AY692" s="135">
        <f t="shared" ca="1" si="1275"/>
        <v>-3.8527450973018445E-4</v>
      </c>
      <c r="AZ692" s="93"/>
      <c r="BA692" s="93"/>
      <c r="BB692" s="234">
        <f>IFERROR(INDEX('Total Customers'!$E$7:$AA$91,MATCH($C692,'Total Customers'!$C$7:$C$91,0),MATCH($G692,'Total Customers'!$E$5:$AA$5,0)),"NA")</f>
        <v>158298</v>
      </c>
      <c r="BC692" s="411">
        <f t="shared" si="1196"/>
        <v>3.4750632969181674E-4</v>
      </c>
      <c r="BD692" s="92"/>
      <c r="BE692" s="281" t="str">
        <f t="shared" si="1192"/>
        <v>NORTH SHORE GAS COMPANY</v>
      </c>
      <c r="BF692" s="290">
        <f t="shared" si="1193"/>
        <v>4057130</v>
      </c>
      <c r="BG692" s="46" t="str">
        <f t="shared" si="1194"/>
        <v>IL</v>
      </c>
      <c r="BH692" s="46"/>
      <c r="BI692" s="46" t="str">
        <f t="shared" si="1195"/>
        <v>2012 Y</v>
      </c>
      <c r="BJ692" s="129"/>
      <c r="BK692" s="129"/>
      <c r="BL692" s="129">
        <f>INDEX('Dist. Plant Gas Additions'!$E$7:$AD$91,MATCH($C692,'Dist. Plant Gas Additions'!$C$7:$C$91,0),MATCH(Calculation!$G692,'Dist. Plant Gas Additions'!$E$5:$AD$5,0))</f>
        <v>15082</v>
      </c>
      <c r="BM692" s="129">
        <f>INDEX('Gen. Plant Additions'!$E$7:$AD$91,MATCH($C692,'Gen. Plant Additions'!$C$7:$C$91,0),MATCH(Calculation!$G692,'Gen. Plant Additions'!$E$5:$AD$5,0))</f>
        <v>2158</v>
      </c>
      <c r="BN692" s="393">
        <f t="shared" si="1243"/>
        <v>0.96064564053359747</v>
      </c>
      <c r="BO692" s="46">
        <f t="shared" si="1166"/>
        <v>2073.0732922715033</v>
      </c>
      <c r="BP692" s="46">
        <f t="shared" si="1167"/>
        <v>-84.926707728496694</v>
      </c>
      <c r="BQ692" s="129">
        <f>INDEX('Dist Plant Depreciation'!$D$7:$AC$94,MATCH($C692,'Dist Plant Depreciation'!$C$7:$C$94,0),MATCH(Calculation!$G692,'Dist Plant Depreciation'!$D$5:$AC$5,0))</f>
        <v>150719</v>
      </c>
      <c r="BR692" s="129">
        <f>INDEX('Gen. Plant Depreciation'!$D$7:$AC$94,MATCH($C692,'Gen. Plant Depreciation'!$C$7:$C$94,0),MATCH(Calculation!$G692,'Gen. Plant Depreciation'!$D$5:$AC$5,0))</f>
        <v>7390</v>
      </c>
      <c r="BS692" s="129"/>
      <c r="BT692" s="129"/>
      <c r="BU692" s="129"/>
      <c r="BV692" s="129"/>
      <c r="BW692" s="129"/>
      <c r="BX692" s="129"/>
      <c r="BY692" s="129">
        <f>INDEX('Gross Dx Plant'!$D$7:$AC$91,MATCH($C692,'Gross Dx Plant'!$C$7:$C$91,0),MATCH(Calculation!$G692,'Gross Dx Plant'!$D$5:$AC$5,0))</f>
        <v>372450</v>
      </c>
      <c r="BZ692" s="129">
        <f>INDEX('Gross Gen Plant'!$D$7:$AC$91,MATCH($C692,'Gross Gen Plant'!$C$7:$C$91,0),MATCH(Calculation!$G692,'Gross Gen Plant'!$D$5:$AC$5,0))</f>
        <v>15258</v>
      </c>
      <c r="CA692" s="129">
        <f t="shared" si="1197"/>
        <v>229599</v>
      </c>
      <c r="CB692" s="129"/>
      <c r="CC692" s="133">
        <v>2012</v>
      </c>
      <c r="CD692" s="129"/>
      <c r="CE692" s="129"/>
      <c r="CF692" s="129"/>
      <c r="CG692" s="137"/>
      <c r="CH692" s="129">
        <f t="shared" si="1244"/>
        <v>17240</v>
      </c>
      <c r="CI692" s="46">
        <f t="shared" si="1253"/>
        <v>17155.073292271503</v>
      </c>
      <c r="CJ692" s="46">
        <f t="shared" si="1245"/>
        <v>25.645952695896582</v>
      </c>
      <c r="CK692" s="443">
        <v>0.84090909090909094</v>
      </c>
      <c r="CL692" s="46">
        <f>+CL678*CK692+CJ679*CK691+CJ680*CK690+CJ681*CK689+CJ682*CK688+CJ683*CK687+CJ684*CK686+CJ685*CK685+CJ686*CK684+CJ687*CK683+CJ688*CK682+CJ689*CK681+CJ690*CK680+CJ691*CK679+CJ692</f>
        <v>971.81735536556414</v>
      </c>
      <c r="CM692" s="134">
        <f t="shared" si="1246"/>
        <v>1.2186744527026692E-2</v>
      </c>
      <c r="CN692" s="135">
        <f t="shared" si="1247"/>
        <v>1.4451950274598151E-2</v>
      </c>
      <c r="CO692" s="135">
        <f t="shared" si="1256"/>
        <v>1.4008302437932866E-2</v>
      </c>
      <c r="CP692" s="134">
        <f>VLOOKUP($H692,RoR!$E:$F,2,FALSE)</f>
        <v>3.6733333333333333E-2</v>
      </c>
      <c r="CQ692" s="135">
        <v>1.924331376386168E-2</v>
      </c>
      <c r="CR692" s="135">
        <f t="shared" si="1254"/>
        <v>1.7490019569471653E-2</v>
      </c>
      <c r="CS692" s="135">
        <f t="shared" si="1257"/>
        <v>1.6893639170600758E-2</v>
      </c>
      <c r="CT692" s="135">
        <v>6.7122682943869583E-2</v>
      </c>
      <c r="CU692" s="139">
        <f t="shared" si="1248"/>
        <v>0.85171695000000003</v>
      </c>
      <c r="CV692" s="335">
        <f t="shared" si="1249"/>
        <v>1.3960631020522127</v>
      </c>
      <c r="CW692" s="335">
        <f t="shared" si="1250"/>
        <v>0.29441923774954631</v>
      </c>
      <c r="CX692" s="335">
        <f t="shared" si="1251"/>
        <v>0.76377954189366437</v>
      </c>
      <c r="CY692" s="335">
        <f t="shared" si="1252"/>
        <v>0.31393465103033691</v>
      </c>
      <c r="CZ692" s="336">
        <f>INDEX('State Tax Lookup'!$D$7:$Z$91,MATCH(Calculation!$C692,'State Tax Lookup'!$B$7:$B$91,0),MATCH($H692,'State Tax Lookup'!$D$6:$Z$6,0))</f>
        <v>0.40076499999999998</v>
      </c>
      <c r="DA692" s="303">
        <v>0.37</v>
      </c>
      <c r="DB692" s="57">
        <f t="shared" si="1255"/>
        <v>15.966427608381174</v>
      </c>
      <c r="DC692" s="56">
        <f t="shared" si="1258"/>
        <v>6.0841987067583106E-2</v>
      </c>
      <c r="DD692" s="303">
        <f>VLOOKUP($H692,RoR!$E:$F,2,FALSE)</f>
        <v>3.6733333333333333E-2</v>
      </c>
      <c r="DE692" s="304">
        <f>HLOOKUP($H692,'GDP-PI'!$D$8:$CQ$11,3,FALSE)</f>
        <v>1.924331376386168E-2</v>
      </c>
      <c r="DF692" s="303">
        <f>VLOOKUP(H692,'HW Dx Data'!$E:$F,2,FALSE)</f>
        <v>668.91932211262167</v>
      </c>
      <c r="DG692" s="89">
        <f ca="1">VLOOKUP(CC692,'ECI - Input Price'!M$13:N$33,2,FALSE)</f>
        <v>124.80000000000001</v>
      </c>
      <c r="DH692" s="89"/>
      <c r="DI692" s="89"/>
      <c r="DJ692" s="56">
        <f t="shared" ca="1" si="1266"/>
        <v>3.1955502161869064E-2</v>
      </c>
      <c r="DK692" s="53">
        <f>HLOOKUP(H692,'GDP-PI'!$8:$9,2,FALSE)</f>
        <v>100</v>
      </c>
      <c r="DL692" s="355">
        <f t="shared" si="1259"/>
        <v>1.9060502738742411E-2</v>
      </c>
      <c r="EC692"/>
    </row>
    <row r="693" spans="1:133" s="126" customFormat="1" ht="21" customHeight="1" x14ac:dyDescent="0.4">
      <c r="A693" s="233" t="s">
        <v>221</v>
      </c>
      <c r="B693" s="127" t="s">
        <v>221</v>
      </c>
      <c r="C693" s="127">
        <v>4057130</v>
      </c>
      <c r="D693" s="127" t="s">
        <v>222</v>
      </c>
      <c r="E693" s="127"/>
      <c r="F693" s="127"/>
      <c r="G693" s="127" t="s">
        <v>169</v>
      </c>
      <c r="H693" s="128">
        <v>2013</v>
      </c>
      <c r="I693" s="129"/>
      <c r="J693" s="125">
        <f>IFERROR(INDEX('Labor Expenditures'!$E$7:$W$91,MATCH($C693,'Labor Expenditures'!$C$7:$C$91,0),MATCH($G693,'Labor Expenditures'!$E$5:$W$5,0)),"NA")</f>
        <v>18781.019658696114</v>
      </c>
      <c r="K693" s="125">
        <f t="shared" ca="1" si="1260"/>
        <v>148.11529699287155</v>
      </c>
      <c r="L693" s="47"/>
      <c r="M693" s="131">
        <f t="shared" ca="1" si="1268"/>
        <v>9.0139541433618062E-2</v>
      </c>
      <c r="N693" s="131"/>
      <c r="O693" s="131"/>
      <c r="P693" s="59">
        <f t="shared" ca="1" si="1269"/>
        <v>5.6498965121674839E-4</v>
      </c>
      <c r="Q693" s="61"/>
      <c r="R693" s="387"/>
      <c r="S693" s="49">
        <f t="shared" ca="1" si="1273"/>
        <v>108.14822318490394</v>
      </c>
      <c r="T693" s="61">
        <f ca="1">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</f>
        <v>-6.6353505646844585E-2</v>
      </c>
      <c r="U693" s="61"/>
      <c r="V693" s="125">
        <f>IFERROR(INDEX('Non-Labor Expenditures'!$E$7:$AA$91,MATCH($C693,'Non-Labor Expenditures'!$C$7:$C$91,0),MATCH($G693,'Non-Labor Expenditures'!$E$5:$AA$5,0)),"NA")</f>
        <v>27198.424276398593</v>
      </c>
      <c r="W693" s="125">
        <f t="shared" si="1261"/>
        <v>267.24597168599325</v>
      </c>
      <c r="X693" s="131">
        <f t="shared" si="1270"/>
        <v>8.8463470484905923E-2</v>
      </c>
      <c r="Y693" s="131">
        <f t="shared" si="1271"/>
        <v>5.5448413137865627E-4</v>
      </c>
      <c r="Z693" s="131"/>
      <c r="AA693" s="131"/>
      <c r="AB693" s="131"/>
      <c r="AC693" s="125">
        <f t="shared" si="1242"/>
        <v>15011.283466339828</v>
      </c>
      <c r="AD693" s="129"/>
      <c r="AE693" s="133">
        <v>1076.5558051472676</v>
      </c>
      <c r="AF693" s="134">
        <v>3.041997341068526E-2</v>
      </c>
      <c r="AG693" s="59">
        <f t="shared" si="1262"/>
        <v>1.9067070781564731E-4</v>
      </c>
      <c r="AH693" s="134"/>
      <c r="AI693" s="134"/>
      <c r="AJ693" s="129">
        <f t="shared" si="1238"/>
        <v>60990.727401434531</v>
      </c>
      <c r="AK693" s="134">
        <f t="shared" si="1272"/>
        <v>7.3265629210857303E-2</v>
      </c>
      <c r="AL693" s="129"/>
      <c r="AM693" s="129"/>
      <c r="AN693" s="129"/>
      <c r="AO693" s="129"/>
      <c r="AP693" s="133">
        <f t="shared" si="1274"/>
        <v>384.72672302677432</v>
      </c>
      <c r="AQ693" s="134">
        <f>+BB693/Outputs!$B$21</f>
        <v>4.4106593447440119E-3</v>
      </c>
      <c r="AR693" s="93">
        <f t="shared" si="1263"/>
        <v>0.30793237691823916</v>
      </c>
      <c r="AS693" s="93">
        <f t="shared" si="1264"/>
        <v>0.44594359561218927</v>
      </c>
      <c r="AT693" s="93">
        <f t="shared" si="1265"/>
        <v>0.24612402746957163</v>
      </c>
      <c r="AU693" s="93">
        <f t="shared" ca="1" si="1267"/>
        <v>7.3979966703899308E-2</v>
      </c>
      <c r="AV693" s="132">
        <f t="shared" ca="1" si="1276"/>
        <v>92.007044051682115</v>
      </c>
      <c r="AW693" s="134">
        <f t="shared" ca="1" si="1277"/>
        <v>7.3979966703899308E-2</v>
      </c>
      <c r="AX693" s="56">
        <f>+AJ693/$AL$18</f>
        <v>6.2679445915844456E-3</v>
      </c>
      <c r="AY693" s="135">
        <f t="shared" ca="1" si="1275"/>
        <v>4.6370233218730303E-4</v>
      </c>
      <c r="AZ693" s="93"/>
      <c r="BA693" s="93"/>
      <c r="BB693" s="234">
        <f>IFERROR(INDEX('Total Customers'!$E$7:$AA$91,MATCH($C693,'Total Customers'!$C$7:$C$91,0),MATCH($G693,'Total Customers'!$E$5:$AA$5,0)),"NA")</f>
        <v>158530</v>
      </c>
      <c r="BC693" s="411">
        <f t="shared" si="1196"/>
        <v>1.4645172867698388E-3</v>
      </c>
      <c r="BD693" s="92"/>
      <c r="BE693" s="281" t="str">
        <f t="shared" si="1192"/>
        <v>NORTH SHORE GAS COMPANY</v>
      </c>
      <c r="BF693" s="290">
        <f t="shared" si="1193"/>
        <v>4057130</v>
      </c>
      <c r="BG693" s="46" t="str">
        <f t="shared" si="1194"/>
        <v>IL</v>
      </c>
      <c r="BH693" s="46"/>
      <c r="BI693" s="46" t="str">
        <f t="shared" si="1195"/>
        <v>2013 Y</v>
      </c>
      <c r="BJ693" s="129"/>
      <c r="BK693" s="129"/>
      <c r="BL693" s="129">
        <f>INDEX('Dist. Plant Gas Additions'!$E$7:$AD$91,MATCH($C693,'Dist. Plant Gas Additions'!$C$7:$C$91,0),MATCH(Calculation!$G693,'Dist. Plant Gas Additions'!$E$5:$AD$5,0))</f>
        <v>25173</v>
      </c>
      <c r="BM693" s="129">
        <f>INDEX('Gen. Plant Additions'!$E$7:$AD$91,MATCH($C693,'Gen. Plant Additions'!$C$7:$C$91,0),MATCH(Calculation!$G693,'Gen. Plant Additions'!$E$5:$AD$5,0))</f>
        <v>1812</v>
      </c>
      <c r="BN693" s="393">
        <f t="shared" si="1243"/>
        <v>0.96078846504836646</v>
      </c>
      <c r="BO693" s="46">
        <f t="shared" si="1166"/>
        <v>1740.94869866764</v>
      </c>
      <c r="BP693" s="46">
        <f t="shared" si="1167"/>
        <v>-71.051301332360026</v>
      </c>
      <c r="BQ693" s="129">
        <f>INDEX('Dist Plant Depreciation'!$D$7:$AC$94,MATCH($C693,'Dist Plant Depreciation'!$C$7:$C$94,0),MATCH(Calculation!$G693,'Dist Plant Depreciation'!$D$5:$AC$5,0))</f>
        <v>155548</v>
      </c>
      <c r="BR693" s="129">
        <f>INDEX('Gen. Plant Depreciation'!$D$7:$AC$94,MATCH($C693,'Gen. Plant Depreciation'!$C$7:$C$94,0),MATCH(Calculation!$G693,'Gen. Plant Depreciation'!$D$5:$AC$5,0))</f>
        <v>7852</v>
      </c>
      <c r="BS693" s="129"/>
      <c r="BT693" s="129"/>
      <c r="BU693" s="129"/>
      <c r="BV693" s="129"/>
      <c r="BW693" s="129"/>
      <c r="BX693" s="129"/>
      <c r="BY693" s="129">
        <f>INDEX('Gross Dx Plant'!$D$7:$AC$91,MATCH($C693,'Gross Dx Plant'!$C$7:$C$91,0),MATCH(Calculation!$G693,'Gross Dx Plant'!$D$5:$AC$5,0))</f>
        <v>394812</v>
      </c>
      <c r="BZ693" s="129">
        <f>INDEX('Gross Gen Plant'!$D$7:$AC$91,MATCH($C693,'Gross Gen Plant'!$C$7:$C$91,0),MATCH(Calculation!$G693,'Gross Gen Plant'!$D$5:$AC$5,0))</f>
        <v>16113</v>
      </c>
      <c r="CA693" s="129">
        <f t="shared" si="1197"/>
        <v>247525</v>
      </c>
      <c r="CB693" s="129"/>
      <c r="CC693" s="133">
        <v>2013</v>
      </c>
      <c r="CD693" s="129"/>
      <c r="CE693" s="129"/>
      <c r="CF693" s="129"/>
      <c r="CG693" s="137"/>
      <c r="CH693" s="129">
        <f t="shared" si="1244"/>
        <v>26985</v>
      </c>
      <c r="CI693" s="46">
        <f t="shared" si="1253"/>
        <v>26913.948698667638</v>
      </c>
      <c r="CJ693" s="46">
        <f t="shared" si="1245"/>
        <v>40.5789874140088</v>
      </c>
      <c r="CK693" s="443">
        <v>0.82758620689655171</v>
      </c>
      <c r="CL693" s="46">
        <f>+CL678*CK693+CJ679*CK692+CJ680*CK691+CJ681*CK690+CJ682*CK689+CJ683*CK688+CJ684*CK687+CJ685*CK686+CJ686*CK685+CJ687*CK684+CJ688*CK683+CJ689*CK682+CJ690*CK681+CJ691*CK680+CJ692*CK679+CJ693</f>
        <v>997.95357443222906</v>
      </c>
      <c r="CM693" s="134">
        <f t="shared" si="1246"/>
        <v>2.6538875823070983E-2</v>
      </c>
      <c r="CN693" s="135">
        <f t="shared" si="1247"/>
        <v>1.4861607757469003E-2</v>
      </c>
      <c r="CO693" s="135">
        <f t="shared" si="1256"/>
        <v>1.4435996155258554E-2</v>
      </c>
      <c r="CP693" s="134">
        <f>VLOOKUP($H693,RoR!$E:$F,2,FALSE)</f>
        <v>4.2350000000000006E-2</v>
      </c>
      <c r="CQ693" s="135">
        <v>1.7730000000000024E-2</v>
      </c>
      <c r="CR693" s="135">
        <f t="shared" si="1254"/>
        <v>2.4619999999999982E-2</v>
      </c>
      <c r="CS693" s="135">
        <f t="shared" si="1257"/>
        <v>1.6465945453275073E-2</v>
      </c>
      <c r="CT693" s="135">
        <v>5.3376742735721204E-2</v>
      </c>
      <c r="CU693" s="139">
        <f t="shared" si="1248"/>
        <v>0.85171695000000003</v>
      </c>
      <c r="CV693" s="335">
        <f t="shared" si="1249"/>
        <v>1.2109103018193925</v>
      </c>
      <c r="CW693" s="335">
        <f t="shared" si="1250"/>
        <v>0.38468122786304604</v>
      </c>
      <c r="CX693" s="335">
        <f t="shared" si="1251"/>
        <v>0.80969194503422559</v>
      </c>
      <c r="CY693" s="335">
        <f t="shared" si="1252"/>
        <v>0.37716621754800816</v>
      </c>
      <c r="CZ693" s="336">
        <f>INDEX('State Tax Lookup'!$D$7:$Z$91,MATCH(Calculation!$C693,'State Tax Lookup'!$B$7:$B$91,0),MATCH($H693,'State Tax Lookup'!$D$6:$Z$6,0))</f>
        <v>0.40076499999999998</v>
      </c>
      <c r="DA693" s="303">
        <v>0.37</v>
      </c>
      <c r="DB693" s="57">
        <f t="shared" si="1255"/>
        <v>15.446609780593084</v>
      </c>
      <c r="DC693" s="56">
        <f t="shared" si="1258"/>
        <v>-3.3098695713186431E-2</v>
      </c>
      <c r="DD693" s="303">
        <f>VLOOKUP($H693,RoR!$E:$F,2,FALSE)</f>
        <v>4.2350000000000006E-2</v>
      </c>
      <c r="DE693" s="304">
        <f>HLOOKUP($H693,'GDP-PI'!$D$8:$CQ$11,3,FALSE)</f>
        <v>1.7730000000000024E-2</v>
      </c>
      <c r="DF693" s="303">
        <f>VLOOKUP(H693,'HW Dx Data'!$E:$F,2,FALSE)</f>
        <v>663.24840548821396</v>
      </c>
      <c r="DG693" s="89">
        <f ca="1">VLOOKUP(CC693,'ECI - Input Price'!M$13:N$33,2,FALSE)</f>
        <v>126.8</v>
      </c>
      <c r="DH693" s="89"/>
      <c r="DI693" s="89"/>
      <c r="DJ693" s="56">
        <f t="shared" ca="1" si="1266"/>
        <v>1.5898586067798204E-2</v>
      </c>
      <c r="DK693" s="53">
        <f>HLOOKUP(H693,'GDP-PI'!$8:$9,2,FALSE)</f>
        <v>101.773</v>
      </c>
      <c r="DL693" s="355">
        <f t="shared" si="1259"/>
        <v>1.7574657016510519E-2</v>
      </c>
      <c r="EC693"/>
    </row>
    <row r="694" spans="1:133" s="126" customFormat="1" ht="21" customHeight="1" x14ac:dyDescent="0.4">
      <c r="A694" s="233" t="s">
        <v>221</v>
      </c>
      <c r="B694" s="127" t="s">
        <v>221</v>
      </c>
      <c r="C694" s="127">
        <v>4057130</v>
      </c>
      <c r="D694" s="127" t="s">
        <v>222</v>
      </c>
      <c r="E694" s="127"/>
      <c r="F694" s="127"/>
      <c r="G694" s="127" t="s">
        <v>170</v>
      </c>
      <c r="H694" s="128">
        <v>2014</v>
      </c>
      <c r="I694" s="129"/>
      <c r="J694" s="125">
        <f>IFERROR(INDEX('Labor Expenditures'!$E$7:$W$91,MATCH($C694,'Labor Expenditures'!$C$7:$C$91,0),MATCH($G694,'Labor Expenditures'!$E$5:$W$5,0)),"NA")</f>
        <v>24911.709117123566</v>
      </c>
      <c r="K694" s="125">
        <f t="shared" ca="1" si="1260"/>
        <v>192.5170720025005</v>
      </c>
      <c r="L694" s="47"/>
      <c r="M694" s="131">
        <f t="shared" ca="1" si="1268"/>
        <v>0.26219383131230978</v>
      </c>
      <c r="N694" s="131"/>
      <c r="O694" s="131"/>
      <c r="P694" s="59">
        <f t="shared" ca="1" si="1269"/>
        <v>2.0248833122049601E-3</v>
      </c>
      <c r="Q694" s="61"/>
      <c r="R694" s="387"/>
      <c r="S694" s="49">
        <f t="shared" ca="1" si="1273"/>
        <v>119.94412221940517</v>
      </c>
      <c r="T694" s="61">
        <f ca="1">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</f>
        <v>0.1035232630718721</v>
      </c>
      <c r="U694" s="61"/>
      <c r="V694" s="125">
        <f>IFERROR(INDEX('Non-Labor Expenditures'!$E$7:$AA$91,MATCH($C694,'Non-Labor Expenditures'!$C$7:$C$91,0),MATCH($G694,'Non-Labor Expenditures'!$E$5:$AA$5,0)),"NA")</f>
        <v>36076.807667044093</v>
      </c>
      <c r="W694" s="125">
        <f t="shared" si="1261"/>
        <v>348.07382429828255</v>
      </c>
      <c r="X694" s="131">
        <f t="shared" si="1270"/>
        <v>0.26424511947772861</v>
      </c>
      <c r="Y694" s="131">
        <f t="shared" si="1271"/>
        <v>2.0407251005258018E-3</v>
      </c>
      <c r="Z694" s="131"/>
      <c r="AA694" s="131"/>
      <c r="AB694" s="131"/>
      <c r="AC694" s="125">
        <f t="shared" si="1242"/>
        <v>15538.867804871632</v>
      </c>
      <c r="AD694" s="129"/>
      <c r="AE694" s="133">
        <v>1116.8432927978922</v>
      </c>
      <c r="AF694" s="134">
        <v>3.6739341406244318E-2</v>
      </c>
      <c r="AG694" s="59">
        <f t="shared" si="1262"/>
        <v>2.8373237822781742E-4</v>
      </c>
      <c r="AH694" s="134"/>
      <c r="AI694" s="134"/>
      <c r="AJ694" s="129">
        <f t="shared" si="1238"/>
        <v>76527.384589039284</v>
      </c>
      <c r="AK694" s="134">
        <f t="shared" si="1272"/>
        <v>0.226926802455132</v>
      </c>
      <c r="AL694" s="129"/>
      <c r="AM694" s="129"/>
      <c r="AN694" s="129"/>
      <c r="AO694" s="129"/>
      <c r="AP694" s="133">
        <f t="shared" si="1274"/>
        <v>481.64054521734846</v>
      </c>
      <c r="AQ694" s="134">
        <f>+BB694/Outputs!$B$22</f>
        <v>4.3970248705084772E-3</v>
      </c>
      <c r="AR694" s="93">
        <f t="shared" si="1263"/>
        <v>0.32552672812356337</v>
      </c>
      <c r="AS694" s="93">
        <f t="shared" si="1264"/>
        <v>0.47142350232901115</v>
      </c>
      <c r="AT694" s="93">
        <f t="shared" si="1265"/>
        <v>0.20304976954742554</v>
      </c>
      <c r="AU694" s="93">
        <f t="shared" ca="1" si="1267"/>
        <v>0.21250059880516667</v>
      </c>
      <c r="AV694" s="132">
        <f t="shared" ca="1" si="1276"/>
        <v>113.7912624312043</v>
      </c>
      <c r="AW694" s="134">
        <f t="shared" ca="1" si="1277"/>
        <v>0.21250059880516672</v>
      </c>
      <c r="AX694" s="56">
        <f>+AJ694/$AL$19</f>
        <v>7.7228487873654012E-3</v>
      </c>
      <c r="AY694" s="135">
        <f t="shared" ca="1" si="1275"/>
        <v>1.6411099917969035E-3</v>
      </c>
      <c r="AZ694" s="93"/>
      <c r="BA694" s="93"/>
      <c r="BB694" s="234">
        <f>IFERROR(INDEX('Total Customers'!$E$7:$AA$91,MATCH($C694,'Total Customers'!$C$7:$C$91,0),MATCH($G694,'Total Customers'!$E$5:$AA$5,0)),"NA")</f>
        <v>158889</v>
      </c>
      <c r="BC694" s="411">
        <f t="shared" si="1196"/>
        <v>2.2619953630519892E-3</v>
      </c>
      <c r="BD694" s="92"/>
      <c r="BE694" s="281" t="str">
        <f t="shared" si="1192"/>
        <v>NORTH SHORE GAS COMPANY</v>
      </c>
      <c r="BF694" s="290">
        <f t="shared" si="1193"/>
        <v>4057130</v>
      </c>
      <c r="BG694" s="46" t="str">
        <f t="shared" si="1194"/>
        <v>IL</v>
      </c>
      <c r="BH694" s="46"/>
      <c r="BI694" s="46" t="str">
        <f t="shared" si="1195"/>
        <v>2014 Y</v>
      </c>
      <c r="BJ694" s="129"/>
      <c r="BK694" s="129"/>
      <c r="BL694" s="129">
        <f>INDEX('Dist. Plant Gas Additions'!$E$7:$AD$91,MATCH($C694,'Dist. Plant Gas Additions'!$C$7:$C$91,0),MATCH(Calculation!$G694,'Dist. Plant Gas Additions'!$E$5:$AD$5,0))</f>
        <v>31214</v>
      </c>
      <c r="BM694" s="129">
        <f>INDEX('Gen. Plant Additions'!$E$7:$AD$91,MATCH($C694,'Gen. Plant Additions'!$C$7:$C$91,0),MATCH(Calculation!$G694,'Gen. Plant Additions'!$E$5:$AD$5,0))</f>
        <v>2487</v>
      </c>
      <c r="BN694" s="393">
        <f t="shared" si="1243"/>
        <v>0.95900033449610556</v>
      </c>
      <c r="BO694" s="46">
        <f t="shared" si="1166"/>
        <v>2385.0338318918143</v>
      </c>
      <c r="BP694" s="46">
        <f t="shared" si="1167"/>
        <v>-101.96616810818568</v>
      </c>
      <c r="BQ694" s="129">
        <f>INDEX('Dist Plant Depreciation'!$D$7:$AC$94,MATCH($C694,'Dist Plant Depreciation'!$C$7:$C$94,0),MATCH(Calculation!$G694,'Dist Plant Depreciation'!$D$5:$AC$5,0))</f>
        <v>158990</v>
      </c>
      <c r="BR694" s="129">
        <f>INDEX('Gen. Plant Depreciation'!$D$7:$AC$94,MATCH($C694,'Gen. Plant Depreciation'!$C$7:$C$94,0),MATCH(Calculation!$G694,'Gen. Plant Depreciation'!$D$5:$AC$5,0))</f>
        <v>8623</v>
      </c>
      <c r="BS694" s="129"/>
      <c r="BT694" s="129"/>
      <c r="BU694" s="129"/>
      <c r="BV694" s="129"/>
      <c r="BW694" s="129"/>
      <c r="BX694" s="129"/>
      <c r="BY694" s="129">
        <f>INDEX('Gross Dx Plant'!$D$7:$AC$91,MATCH($C694,'Gross Dx Plant'!$C$7:$C$91,0),MATCH(Calculation!$G694,'Gross Dx Plant'!$D$5:$AC$5,0))</f>
        <v>421449</v>
      </c>
      <c r="BZ694" s="129">
        <f>INDEX('Gross Gen Plant'!$D$7:$AC$91,MATCH($C694,'Gross Gen Plant'!$C$7:$C$91,0),MATCH(Calculation!$G694,'Gross Gen Plant'!$D$5:$AC$5,0))</f>
        <v>18018</v>
      </c>
      <c r="CA694" s="129">
        <f t="shared" si="1197"/>
        <v>271854</v>
      </c>
      <c r="CB694" s="129"/>
      <c r="CC694" s="133">
        <v>2014</v>
      </c>
      <c r="CD694" s="129"/>
      <c r="CE694" s="129"/>
      <c r="CF694" s="129"/>
      <c r="CG694" s="137"/>
      <c r="CH694" s="129">
        <f t="shared" si="1244"/>
        <v>33701</v>
      </c>
      <c r="CI694" s="46">
        <f t="shared" si="1253"/>
        <v>33599.033831891815</v>
      </c>
      <c r="CJ694" s="46">
        <f t="shared" si="1245"/>
        <v>49.087726134695778</v>
      </c>
      <c r="CK694" s="443">
        <v>0.81395348837209303</v>
      </c>
      <c r="CL694" s="46">
        <f>+CL678*CK694+CJ679*CK693+CJ680*CK692+CJ681*CK691+CJ682*CK690+CJ683*CK689+CJ684*CK688+CJ685*CK687+CJ686*CK686+CJ687*CK685+CJ688*CK684+CJ689*CK683+CJ690*CK682+CJ691*CK681+CJ692*CK680+CJ693*CK679+CJ694</f>
        <v>1031.8665557919976</v>
      </c>
      <c r="CM694" s="134">
        <f t="shared" si="1246"/>
        <v>3.3417874653152137E-2</v>
      </c>
      <c r="CN694" s="135">
        <f t="shared" si="1247"/>
        <v>1.5205862440605705E-2</v>
      </c>
      <c r="CO694" s="135">
        <f t="shared" si="1256"/>
        <v>1.4839806824224288E-2</v>
      </c>
      <c r="CP694" s="134">
        <f>VLOOKUP($H694,RoR!$E:$F,2,FALSE)</f>
        <v>4.1625000000000002E-2</v>
      </c>
      <c r="CQ694" s="135">
        <v>1.841352814597208E-2</v>
      </c>
      <c r="CR694" s="135">
        <f t="shared" si="1254"/>
        <v>2.3211471854027922E-2</v>
      </c>
      <c r="CS694" s="135">
        <f t="shared" si="1257"/>
        <v>1.6062134784309338E-2</v>
      </c>
      <c r="CT694" s="135">
        <v>3.9072621432650924E-2</v>
      </c>
      <c r="CU694" s="139">
        <f t="shared" si="1248"/>
        <v>0.85171695000000003</v>
      </c>
      <c r="CV694" s="335">
        <f t="shared" si="1249"/>
        <v>1.2320012320012319</v>
      </c>
      <c r="CW694" s="335">
        <f t="shared" si="1250"/>
        <v>0.37439939939939942</v>
      </c>
      <c r="CX694" s="335">
        <f t="shared" si="1251"/>
        <v>0.80432100613819935</v>
      </c>
      <c r="CY694" s="335">
        <f t="shared" si="1252"/>
        <v>0.37100152660040037</v>
      </c>
      <c r="CZ694" s="336">
        <f>INDEX('State Tax Lookup'!$D$7:$Z$91,MATCH(Calculation!$C694,'State Tax Lookup'!$B$7:$B$91,0),MATCH($H694,'State Tax Lookup'!$D$6:$Z$6,0))</f>
        <v>0.40076499999999998</v>
      </c>
      <c r="DA694" s="303">
        <v>0.37</v>
      </c>
      <c r="DB694" s="57">
        <f t="shared" si="1255"/>
        <v>15.570732149250771</v>
      </c>
      <c r="DC694" s="56">
        <f t="shared" si="1258"/>
        <v>8.0034602253456679E-3</v>
      </c>
      <c r="DD694" s="303">
        <f>VLOOKUP($H694,RoR!$E:$F,2,FALSE)</f>
        <v>4.1625000000000002E-2</v>
      </c>
      <c r="DE694" s="304">
        <f>HLOOKUP($H694,'GDP-PI'!$D$8:$CQ$11,3,FALSE)</f>
        <v>1.841352814597208E-2</v>
      </c>
      <c r="DF694" s="303">
        <f>VLOOKUP(H694,'HW Dx Data'!$E:$F,2,FALSE)</f>
        <v>684.46914285042885</v>
      </c>
      <c r="DG694" s="89">
        <f ca="1">VLOOKUP(CC694,'ECI - Input Price'!M$13:N$33,2,FALSE)</f>
        <v>129.4</v>
      </c>
      <c r="DH694" s="89"/>
      <c r="DI694" s="89"/>
      <c r="DJ694" s="56">
        <f t="shared" ca="1" si="1266"/>
        <v>2.0297340063674733E-2</v>
      </c>
      <c r="DK694" s="53">
        <f>HLOOKUP(H694,'GDP-PI'!$8:$9,2,FALSE)</f>
        <v>103.64700000000001</v>
      </c>
      <c r="DL694" s="355">
        <f t="shared" si="1259"/>
        <v>1.8246051898256087E-2</v>
      </c>
      <c r="EC694"/>
    </row>
    <row r="695" spans="1:133" s="126" customFormat="1" ht="21" customHeight="1" x14ac:dyDescent="0.4">
      <c r="A695" s="233" t="s">
        <v>221</v>
      </c>
      <c r="B695" s="127" t="s">
        <v>221</v>
      </c>
      <c r="C695" s="127">
        <v>4057130</v>
      </c>
      <c r="D695" s="127" t="s">
        <v>222</v>
      </c>
      <c r="E695" s="127"/>
      <c r="F695" s="127"/>
      <c r="G695" s="127" t="s">
        <v>171</v>
      </c>
      <c r="H695" s="128">
        <v>2015</v>
      </c>
      <c r="I695" s="129"/>
      <c r="J695" s="125">
        <f>IFERROR(INDEX('Labor Expenditures'!$E$7:$W$91,MATCH($C695,'Labor Expenditures'!$C$7:$C$91,0),MATCH($G695,'Labor Expenditures'!$E$5:$W$5,0)),"NA")</f>
        <v>22061.793265834429</v>
      </c>
      <c r="K695" s="125">
        <f t="shared" ca="1" si="1260"/>
        <v>165.25687839576352</v>
      </c>
      <c r="L695" s="47"/>
      <c r="M695" s="131">
        <f t="shared" ca="1" si="1268"/>
        <v>-0.15268373347712197</v>
      </c>
      <c r="N695" s="131"/>
      <c r="O695" s="131"/>
      <c r="P695" s="59">
        <f t="shared" ca="1" si="1269"/>
        <v>-1.0664321290167551E-3</v>
      </c>
      <c r="Q695" s="61"/>
      <c r="R695" s="387"/>
      <c r="S695" s="49">
        <f t="shared" ca="1" si="1273"/>
        <v>118.80615770386774</v>
      </c>
      <c r="T695" s="61">
        <f ca="1">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</f>
        <v>-9.5327480532206039E-3</v>
      </c>
      <c r="U695" s="61"/>
      <c r="V695" s="125">
        <f>IFERROR(INDEX('Non-Labor Expenditures'!$E$7:$AA$91,MATCH($C695,'Non-Labor Expenditures'!$C$7:$C$91,0),MATCH($G695,'Non-Labor Expenditures'!$E$5:$AA$5,0)),"NA")</f>
        <v>31949.59722352033</v>
      </c>
      <c r="W695" s="125">
        <f t="shared" si="1261"/>
        <v>305.33163756840503</v>
      </c>
      <c r="X695" s="131">
        <f t="shared" si="1270"/>
        <v>-0.13101607388906092</v>
      </c>
      <c r="Y695" s="131">
        <f t="shared" si="1271"/>
        <v>-9.1509257359012142E-4</v>
      </c>
      <c r="Z695" s="131"/>
      <c r="AA695" s="131"/>
      <c r="AB695" s="131"/>
      <c r="AC695" s="125">
        <f t="shared" si="1242"/>
        <v>15559.004097751418</v>
      </c>
      <c r="AD695" s="129"/>
      <c r="AE695" s="133">
        <v>1156.6353421666463</v>
      </c>
      <c r="AF695" s="134">
        <v>3.500900590791773E-2</v>
      </c>
      <c r="AG695" s="59">
        <f t="shared" si="1262"/>
        <v>2.4452328912126758E-4</v>
      </c>
      <c r="AH695" s="134"/>
      <c r="AI695" s="134"/>
      <c r="AJ695" s="129">
        <f t="shared" si="1238"/>
        <v>69570.394587106173</v>
      </c>
      <c r="AK695" s="134">
        <f t="shared" si="1272"/>
        <v>-9.5309533542051642E-2</v>
      </c>
      <c r="AL695" s="129"/>
      <c r="AM695" s="129"/>
      <c r="AN695" s="129"/>
      <c r="AO695" s="129"/>
      <c r="AP695" s="133">
        <f t="shared" si="1274"/>
        <v>438.280118355159</v>
      </c>
      <c r="AQ695" s="134">
        <f>+BB695/Outputs!$B$23</f>
        <v>4.357044261981179E-3</v>
      </c>
      <c r="AR695" s="93">
        <f t="shared" si="1263"/>
        <v>0.31711467782767544</v>
      </c>
      <c r="AS695" s="93">
        <f t="shared" si="1264"/>
        <v>0.4592412823462943</v>
      </c>
      <c r="AT695" s="93">
        <f t="shared" si="1265"/>
        <v>0.22364403982603034</v>
      </c>
      <c r="AU695" s="93">
        <f t="shared" ca="1" si="1267"/>
        <v>-0.10255740462468073</v>
      </c>
      <c r="AV695" s="132">
        <f t="shared" ca="1" si="1276"/>
        <v>102.69961150133709</v>
      </c>
      <c r="AW695" s="134">
        <f t="shared" ca="1" si="1277"/>
        <v>-0.10255740462468078</v>
      </c>
      <c r="AX695" s="56">
        <f>+AJ695/$AL$20</f>
        <v>6.984582474704475E-3</v>
      </c>
      <c r="AY695" s="135">
        <f t="shared" ca="1" si="1275"/>
        <v>-7.163206509927211E-4</v>
      </c>
      <c r="AZ695" s="93"/>
      <c r="BA695" s="93"/>
      <c r="BB695" s="234">
        <f>IFERROR(INDEX('Total Customers'!$E$7:$AA$91,MATCH($C695,'Total Customers'!$C$7:$C$91,0),MATCH($G695,'Total Customers'!$E$5:$AA$5,0)),"NA")</f>
        <v>158735</v>
      </c>
      <c r="BC695" s="411">
        <f t="shared" si="1196"/>
        <v>-9.6970009865382566E-4</v>
      </c>
      <c r="BD695" s="92"/>
      <c r="BE695" s="281" t="str">
        <f t="shared" si="1192"/>
        <v>NORTH SHORE GAS COMPANY</v>
      </c>
      <c r="BF695" s="290">
        <f t="shared" si="1193"/>
        <v>4057130</v>
      </c>
      <c r="BG695" s="46" t="str">
        <f t="shared" si="1194"/>
        <v>IL</v>
      </c>
      <c r="BH695" s="46"/>
      <c r="BI695" s="46" t="str">
        <f t="shared" si="1195"/>
        <v>2015 Y</v>
      </c>
      <c r="BJ695" s="129"/>
      <c r="BK695" s="129"/>
      <c r="BL695" s="129">
        <f>INDEX('Dist. Plant Gas Additions'!$E$7:$AD$91,MATCH($C695,'Dist. Plant Gas Additions'!$C$7:$C$91,0),MATCH(Calculation!$G695,'Dist. Plant Gas Additions'!$E$5:$AD$5,0))</f>
        <v>32687</v>
      </c>
      <c r="BM695" s="129">
        <f>INDEX('Gen. Plant Additions'!$E$7:$AD$91,MATCH($C695,'Gen. Plant Additions'!$C$7:$C$91,0),MATCH(Calculation!$G695,'Gen. Plant Additions'!$E$5:$AD$5,0))</f>
        <v>639</v>
      </c>
      <c r="BN695" s="393">
        <f t="shared" si="1243"/>
        <v>0.9614312616088625</v>
      </c>
      <c r="BO695" s="46">
        <f t="shared" ref="BO695:BO758" si="1278">+BN695*BM695</f>
        <v>614.35457616806309</v>
      </c>
      <c r="BP695" s="46">
        <f t="shared" ref="BP695:BP758" si="1279">+BO695-BM695</f>
        <v>-24.64542383193691</v>
      </c>
      <c r="BQ695" s="129">
        <f>INDEX('Dist Plant Depreciation'!$D$7:$AC$94,MATCH($C695,'Dist Plant Depreciation'!$C$7:$C$94,0),MATCH(Calculation!$G695,'Dist Plant Depreciation'!$D$5:$AC$5,0))</f>
        <v>162583</v>
      </c>
      <c r="BR695" s="129">
        <f>INDEX('Gen. Plant Depreciation'!$D$7:$AC$94,MATCH($C695,'Gen. Plant Depreciation'!$C$7:$C$94,0),MATCH(Calculation!$G695,'Gen. Plant Depreciation'!$D$5:$AC$5,0))</f>
        <v>9016</v>
      </c>
      <c r="BS695" s="129"/>
      <c r="BT695" s="129"/>
      <c r="BU695" s="129"/>
      <c r="BV695" s="129"/>
      <c r="BW695" s="129"/>
      <c r="BX695" s="129"/>
      <c r="BY695" s="129">
        <f>INDEX('Gross Dx Plant'!$D$7:$AC$91,MATCH($C695,'Gross Dx Plant'!$C$7:$C$91,0),MATCH(Calculation!$G695,'Gross Dx Plant'!$D$5:$AC$5,0))</f>
        <v>448774</v>
      </c>
      <c r="BZ695" s="129">
        <f>INDEX('Gross Gen Plant'!$D$7:$AC$91,MATCH($C695,'Gross Gen Plant'!$C$7:$C$91,0),MATCH(Calculation!$G695,'Gross Gen Plant'!$D$5:$AC$5,0))</f>
        <v>18003</v>
      </c>
      <c r="CA695" s="129">
        <f t="shared" si="1197"/>
        <v>295178</v>
      </c>
      <c r="CB695" s="129"/>
      <c r="CC695" s="133">
        <v>2015</v>
      </c>
      <c r="CD695" s="129"/>
      <c r="CE695" s="129"/>
      <c r="CF695" s="129"/>
      <c r="CG695" s="137"/>
      <c r="CH695" s="129">
        <f t="shared" si="1244"/>
        <v>33326</v>
      </c>
      <c r="CI695" s="46">
        <f t="shared" si="1253"/>
        <v>33301.354576168065</v>
      </c>
      <c r="CJ695" s="46">
        <f t="shared" si="1245"/>
        <v>49.290457822124559</v>
      </c>
      <c r="CK695" s="443">
        <v>0.8</v>
      </c>
      <c r="CL695" s="46">
        <f>+CL678*CK695+CJ679*CK694+CJ680*CK693+CJ681*CK692+CJ682*CK691+CJ683*CK690+CJ684*CK689+CJ685*CK688+CJ686*CK687+CJ687*CK686+CJ688*CK685+CJ689*CK684+CJ690*CK683+CJ691*CK682+CJ692*CK681+CJ693*CK680+CJ694*CK679+CJ695</f>
        <v>1065.1465418018161</v>
      </c>
      <c r="CM695" s="134">
        <f t="shared" si="1246"/>
        <v>3.1743035336164085E-2</v>
      </c>
      <c r="CN695" s="135">
        <f t="shared" si="1247"/>
        <v>1.5516029395891645E-2</v>
      </c>
      <c r="CO695" s="135">
        <f t="shared" si="1256"/>
        <v>1.5194499864655452E-2</v>
      </c>
      <c r="CP695" s="134">
        <f>VLOOKUP($H695,RoR!$E:$F,2,FALSE)</f>
        <v>3.8866666666666674E-2</v>
      </c>
      <c r="CQ695" s="135">
        <v>9.5709475431029478E-3</v>
      </c>
      <c r="CR695" s="135">
        <f t="shared" si="1254"/>
        <v>2.9295719123563727E-2</v>
      </c>
      <c r="CS695" s="135">
        <f t="shared" si="1257"/>
        <v>1.5707441743878173E-2</v>
      </c>
      <c r="CT695" s="135">
        <v>3.5270373279175926E-3</v>
      </c>
      <c r="CU695" s="139">
        <f t="shared" si="1248"/>
        <v>0.85171695000000003</v>
      </c>
      <c r="CV695" s="335">
        <f t="shared" si="1249"/>
        <v>1.3194352816994324</v>
      </c>
      <c r="CW695" s="335">
        <f t="shared" si="1250"/>
        <v>0.33177530017152673</v>
      </c>
      <c r="CX695" s="335">
        <f t="shared" si="1251"/>
        <v>0.78242572977668579</v>
      </c>
      <c r="CY695" s="335">
        <f t="shared" si="1252"/>
        <v>0.34251158643433932</v>
      </c>
      <c r="CZ695" s="336">
        <f>INDEX('State Tax Lookup'!$D$7:$Z$91,MATCH(Calculation!$C695,'State Tax Lookup'!$B$7:$B$91,0),MATCH($H695,'State Tax Lookup'!$D$6:$Z$6,0))</f>
        <v>0.40076499999999998</v>
      </c>
      <c r="DA695" s="303">
        <v>0.37</v>
      </c>
      <c r="DB695" s="57">
        <f t="shared" si="1255"/>
        <v>15.078504105416304</v>
      </c>
      <c r="DC695" s="56">
        <f t="shared" si="1258"/>
        <v>-3.212284740774788E-2</v>
      </c>
      <c r="DD695" s="303">
        <f>VLOOKUP($H695,RoR!$E:$F,2,FALSE)</f>
        <v>3.8866666666666674E-2</v>
      </c>
      <c r="DE695" s="304">
        <f>HLOOKUP($H695,'GDP-PI'!$D$8:$CQ$11,3,FALSE)</f>
        <v>9.5709475431029478E-3</v>
      </c>
      <c r="DF695" s="303">
        <f>VLOOKUP(H695,'HW Dx Data'!$E:$F,2,FALSE)</f>
        <v>675.61463308665782</v>
      </c>
      <c r="DG695" s="89">
        <f ca="1">VLOOKUP(CC695,'ECI - Input Price'!M$13:N$33,2,FALSE)</f>
        <v>133.5</v>
      </c>
      <c r="DH695" s="89"/>
      <c r="DI695" s="89"/>
      <c r="DJ695" s="56">
        <f t="shared" ca="1" si="1266"/>
        <v>3.1193095773504077E-2</v>
      </c>
      <c r="DK695" s="53">
        <f>HLOOKUP(H695,'GDP-PI'!$8:$9,2,FALSE)</f>
        <v>104.639</v>
      </c>
      <c r="DL695" s="355">
        <f t="shared" si="1259"/>
        <v>9.5254361854427965E-3</v>
      </c>
      <c r="EC695"/>
    </row>
    <row r="696" spans="1:133" s="126" customFormat="1" ht="21" customHeight="1" x14ac:dyDescent="0.4">
      <c r="A696" s="233" t="s">
        <v>221</v>
      </c>
      <c r="B696" s="127" t="s">
        <v>221</v>
      </c>
      <c r="C696" s="127">
        <v>4057130</v>
      </c>
      <c r="D696" s="127" t="s">
        <v>222</v>
      </c>
      <c r="E696" s="127"/>
      <c r="F696" s="127"/>
      <c r="G696" s="127" t="s">
        <v>172</v>
      </c>
      <c r="H696" s="128">
        <v>2016</v>
      </c>
      <c r="I696" s="129"/>
      <c r="J696" s="125">
        <f>IFERROR(INDEX('Labor Expenditures'!$E$7:$W$91,MATCH($C696,'Labor Expenditures'!$C$7:$C$91,0),MATCH($G696,'Labor Expenditures'!$E$5:$W$5,0)),"NA")</f>
        <v>18325.01919332103</v>
      </c>
      <c r="K696" s="125">
        <f t="shared" ca="1" si="1260"/>
        <v>133.80809925754679</v>
      </c>
      <c r="L696" s="47"/>
      <c r="M696" s="131">
        <f t="shared" ca="1" si="1268"/>
        <v>-0.21109442361592529</v>
      </c>
      <c r="N696" s="131"/>
      <c r="O696" s="131"/>
      <c r="P696" s="59">
        <f t="shared" ca="1" si="1269"/>
        <v>-1.2418814575557949E-3</v>
      </c>
      <c r="Q696" s="61"/>
      <c r="R696" s="387"/>
      <c r="S696" s="49">
        <f t="shared" ca="1" si="1273"/>
        <v>298.91680353735313</v>
      </c>
      <c r="T696" s="61">
        <f ca="1">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</f>
        <v>0.92267204752386245</v>
      </c>
      <c r="U696" s="61"/>
      <c r="V696" s="125">
        <f>IFERROR(INDEX('Non-Labor Expenditures'!$E$7:$AA$91,MATCH($C696,'Non-Labor Expenditures'!$C$7:$C$91,0),MATCH($G696,'Non-Labor Expenditures'!$E$5:$AA$5,0)),"NA")</f>
        <v>26538.050433396726</v>
      </c>
      <c r="W696" s="125">
        <f t="shared" si="1261"/>
        <v>250.98405872547406</v>
      </c>
      <c r="X696" s="131">
        <f t="shared" si="1270"/>
        <v>-0.19600909611434741</v>
      </c>
      <c r="Y696" s="131">
        <f t="shared" si="1271"/>
        <v>-1.15313354946585E-3</v>
      </c>
      <c r="Z696" s="131"/>
      <c r="AA696" s="131"/>
      <c r="AB696" s="131"/>
      <c r="AC696" s="125">
        <f t="shared" si="1242"/>
        <v>15629.789931111818</v>
      </c>
      <c r="AD696" s="129"/>
      <c r="AE696" s="133">
        <v>1176.3176694417671</v>
      </c>
      <c r="AF696" s="134">
        <v>1.6873716851381469E-2</v>
      </c>
      <c r="AG696" s="59">
        <f t="shared" si="1262"/>
        <v>9.9269112460801686E-5</v>
      </c>
      <c r="AH696" s="134"/>
      <c r="AI696" s="134"/>
      <c r="AJ696" s="129">
        <f t="shared" si="1238"/>
        <v>60492.859557829572</v>
      </c>
      <c r="AK696" s="134">
        <f t="shared" si="1272"/>
        <v>-0.13981377748527346</v>
      </c>
      <c r="AL696" s="129"/>
      <c r="AM696" s="129"/>
      <c r="AN696" s="129"/>
      <c r="AO696" s="129"/>
      <c r="AP696" s="133">
        <f t="shared" si="1274"/>
        <v>378.88787702434297</v>
      </c>
      <c r="AQ696" s="134">
        <f>+BB696/Outputs!$B$24</f>
        <v>4.3445365899293957E-3</v>
      </c>
      <c r="AR696" s="93">
        <f t="shared" si="1263"/>
        <v>0.30292863202809578</v>
      </c>
      <c r="AS696" s="93">
        <f t="shared" si="1264"/>
        <v>0.43869723844063035</v>
      </c>
      <c r="AT696" s="93">
        <f t="shared" si="1265"/>
        <v>0.25837412953127392</v>
      </c>
      <c r="AU696" s="93">
        <f t="shared" ca="1" si="1267"/>
        <v>-0.14937918241482873</v>
      </c>
      <c r="AV696" s="132">
        <f t="shared" ca="1" si="1276"/>
        <v>88.449268615019704</v>
      </c>
      <c r="AW696" s="134">
        <f t="shared" ca="1" si="1277"/>
        <v>-0.14937918241482873</v>
      </c>
      <c r="AX696" s="56">
        <f>+AJ696/$AL$21</f>
        <v>5.8830614105436062E-3</v>
      </c>
      <c r="AY696" s="135">
        <f t="shared" ca="1" si="1275"/>
        <v>-8.7880690360323292E-4</v>
      </c>
      <c r="AZ696" s="93"/>
      <c r="BA696" s="93"/>
      <c r="BB696" s="234">
        <f>IFERROR(INDEX('Total Customers'!$E$7:$AA$91,MATCH($C696,'Total Customers'!$C$7:$C$91,0),MATCH($G696,'Total Customers'!$E$5:$AA$5,0)),"NA")</f>
        <v>159659</v>
      </c>
      <c r="BC696" s="411">
        <f t="shared" si="1196"/>
        <v>5.8041457689710458E-3</v>
      </c>
      <c r="BD696" s="92"/>
      <c r="BE696" s="281" t="str">
        <f t="shared" si="1192"/>
        <v>NORTH SHORE GAS COMPANY</v>
      </c>
      <c r="BF696" s="290">
        <f t="shared" si="1193"/>
        <v>4057130</v>
      </c>
      <c r="BG696" s="46" t="str">
        <f t="shared" si="1194"/>
        <v>IL</v>
      </c>
      <c r="BH696" s="46"/>
      <c r="BI696" s="46" t="str">
        <f t="shared" si="1195"/>
        <v>2016 Y</v>
      </c>
      <c r="BJ696" s="129"/>
      <c r="BK696" s="129"/>
      <c r="BL696" s="129">
        <f>INDEX('Dist. Plant Gas Additions'!$E$7:$AD$91,MATCH($C696,'Dist. Plant Gas Additions'!$C$7:$C$91,0),MATCH(Calculation!$G696,'Dist. Plant Gas Additions'!$E$5:$AD$5,0))</f>
        <v>17652</v>
      </c>
      <c r="BM696" s="129">
        <f>INDEX('Gen. Plant Additions'!$E$7:$AD$91,MATCH($C696,'Gen. Plant Additions'!$C$7:$C$91,0),MATCH(Calculation!$G696,'Gen. Plant Additions'!$E$5:$AD$5,0))</f>
        <v>2378</v>
      </c>
      <c r="BN696" s="393">
        <f t="shared" si="1243"/>
        <v>0.96407904701732661</v>
      </c>
      <c r="BO696" s="46">
        <f t="shared" si="1278"/>
        <v>2292.5799738072028</v>
      </c>
      <c r="BP696" s="46">
        <f t="shared" si="1279"/>
        <v>-85.420026192797195</v>
      </c>
      <c r="BQ696" s="129">
        <f>INDEX('Dist Plant Depreciation'!$D$7:$AC$94,MATCH($C696,'Dist Plant Depreciation'!$C$7:$C$94,0),MATCH(Calculation!$G696,'Dist Plant Depreciation'!$D$5:$AC$5,0))</f>
        <v>166455</v>
      </c>
      <c r="BR696" s="129">
        <f>INDEX('Gen. Plant Depreciation'!$D$7:$AC$94,MATCH($C696,'Gen. Plant Depreciation'!$C$7:$C$94,0),MATCH(Calculation!$G696,'Gen. Plant Depreciation'!$D$5:$AC$5,0))</f>
        <v>7188</v>
      </c>
      <c r="BS696" s="129"/>
      <c r="BT696" s="129"/>
      <c r="BU696" s="129"/>
      <c r="BV696" s="129"/>
      <c r="BW696" s="129"/>
      <c r="BX696" s="129"/>
      <c r="BY696" s="129">
        <f>INDEX('Gross Dx Plant'!$D$7:$AC$91,MATCH($C696,'Gross Dx Plant'!$C$7:$C$91,0),MATCH(Calculation!$G696,'Gross Dx Plant'!$D$5:$AC$5,0))</f>
        <v>460824</v>
      </c>
      <c r="BZ696" s="129">
        <f>INDEX('Gross Gen Plant'!$D$7:$AC$91,MATCH($C696,'Gross Gen Plant'!$C$7:$C$91,0),MATCH(Calculation!$G696,'Gross Gen Plant'!$D$5:$AC$5,0))</f>
        <v>17170</v>
      </c>
      <c r="CA696" s="129">
        <f t="shared" si="1197"/>
        <v>304351</v>
      </c>
      <c r="CB696" s="129"/>
      <c r="CC696" s="133">
        <v>2016</v>
      </c>
      <c r="CD696" s="129"/>
      <c r="CE696" s="129"/>
      <c r="CF696" s="129"/>
      <c r="CG696" s="137"/>
      <c r="CH696" s="129">
        <f t="shared" si="1244"/>
        <v>20030</v>
      </c>
      <c r="CI696" s="46">
        <f t="shared" si="1253"/>
        <v>19944.579973807202</v>
      </c>
      <c r="CJ696" s="46">
        <f t="shared" si="1245"/>
        <v>29.703462735920027</v>
      </c>
      <c r="CK696" s="443">
        <v>0.7857142857142857</v>
      </c>
      <c r="CL696" s="46">
        <f>+CL678*CK696+CJ679*CK695+CJ680*CK694+CJ681*CK693+CJ682*CK692+CJ683*CK691+CJ684*CK690+CJ685*CK689+CJ686*CK688+CJ687*CK687+CJ688*CK686+CJ689*CK685+CJ690*CK684+CJ691*CK683+CJ692*CK682+CJ693*CK681+CJ694*CK680+CJ695*CK679+CJ696</f>
        <v>1077.979826233103</v>
      </c>
      <c r="CM696" s="134">
        <f t="shared" si="1246"/>
        <v>1.1976370610579138E-2</v>
      </c>
      <c r="CN696" s="135">
        <f t="shared" si="1247"/>
        <v>1.5838363682893083E-2</v>
      </c>
      <c r="CO696" s="135">
        <f t="shared" si="1256"/>
        <v>1.5520085173130145E-2</v>
      </c>
      <c r="CP696" s="134">
        <f>VLOOKUP($H696,RoR!$E:$F,2,FALSE)</f>
        <v>3.6658333333333334E-2</v>
      </c>
      <c r="CQ696" s="135">
        <v>1.0483662879041455E-2</v>
      </c>
      <c r="CR696" s="135">
        <f t="shared" si="1254"/>
        <v>2.6174670454291879E-2</v>
      </c>
      <c r="CS696" s="135">
        <f t="shared" si="1257"/>
        <v>1.538185643540348E-2</v>
      </c>
      <c r="CT696" s="135">
        <v>4.301363574220729E-3</v>
      </c>
      <c r="CU696" s="139">
        <f t="shared" si="1248"/>
        <v>0.85171695000000003</v>
      </c>
      <c r="CV696" s="335">
        <f t="shared" si="1249"/>
        <v>1.3989193348138562</v>
      </c>
      <c r="CW696" s="335">
        <f t="shared" si="1250"/>
        <v>0.29302682427824522</v>
      </c>
      <c r="CX696" s="335">
        <f t="shared" si="1251"/>
        <v>0.76309497491941802</v>
      </c>
      <c r="CY696" s="335">
        <f t="shared" si="1252"/>
        <v>0.31280857135128509</v>
      </c>
      <c r="CZ696" s="336">
        <f>INDEX('State Tax Lookup'!$D$7:$Z$91,MATCH(Calculation!$C696,'State Tax Lookup'!$B$7:$B$91,0),MATCH($H696,'State Tax Lookup'!$D$6:$Z$6,0))</f>
        <v>0.40076499999999998</v>
      </c>
      <c r="DA696" s="303">
        <v>0.37</v>
      </c>
      <c r="DB696" s="57">
        <f t="shared" si="1255"/>
        <v>14.673840000148953</v>
      </c>
      <c r="DC696" s="56">
        <f t="shared" si="1258"/>
        <v>-2.7203843802457554E-2</v>
      </c>
      <c r="DD696" s="303">
        <f>VLOOKUP($H696,RoR!$E:$F,2,FALSE)</f>
        <v>3.6658333333333334E-2</v>
      </c>
      <c r="DE696" s="304">
        <f>HLOOKUP($H696,'GDP-PI'!$D$8:$CQ$11,3,FALSE)</f>
        <v>1.0483662879041455E-2</v>
      </c>
      <c r="DF696" s="303">
        <f>VLOOKUP(H696,'HW Dx Data'!$E:$F,2,FALSE)</f>
        <v>671.45639385971219</v>
      </c>
      <c r="DG696" s="89">
        <f ca="1">VLOOKUP(CC696,'ECI - Input Price'!M$13:N$33,2,FALSE)</f>
        <v>136.94999999999999</v>
      </c>
      <c r="DH696" s="89"/>
      <c r="DI696" s="89"/>
      <c r="DJ696" s="56">
        <f t="shared" ca="1" si="1266"/>
        <v>2.5514417868782811E-2</v>
      </c>
      <c r="DK696" s="53">
        <f>HLOOKUP(H696,'GDP-PI'!$8:$9,2,FALSE)</f>
        <v>105.736</v>
      </c>
      <c r="DL696" s="355">
        <f t="shared" si="1259"/>
        <v>1.0429090367205095E-2</v>
      </c>
      <c r="EC696"/>
    </row>
    <row r="697" spans="1:133" s="126" customFormat="1" ht="21" customHeight="1" x14ac:dyDescent="0.4">
      <c r="A697" s="233" t="s">
        <v>221</v>
      </c>
      <c r="B697" s="127" t="s">
        <v>221</v>
      </c>
      <c r="C697" s="127">
        <v>4057130</v>
      </c>
      <c r="D697" s="127" t="s">
        <v>222</v>
      </c>
      <c r="E697" s="127"/>
      <c r="F697" s="127"/>
      <c r="G697" s="127" t="s">
        <v>173</v>
      </c>
      <c r="H697" s="128">
        <v>2017</v>
      </c>
      <c r="I697" s="129"/>
      <c r="J697" s="125">
        <f>IFERROR(INDEX('Labor Expenditures'!$E$7:$W$91,MATCH($C697,'Labor Expenditures'!$C$7:$C$91,0),MATCH($G697,'Labor Expenditures'!$E$5:$W$5,0)),"NA")</f>
        <v>16619.858035695579</v>
      </c>
      <c r="K697" s="125">
        <f t="shared" ca="1" si="1260"/>
        <v>118.332915882489</v>
      </c>
      <c r="L697" s="47"/>
      <c r="M697" s="131">
        <f t="shared" ca="1" si="1268"/>
        <v>-0.12290470538225087</v>
      </c>
      <c r="N697" s="131"/>
      <c r="O697" s="131"/>
      <c r="P697" s="59">
        <f t="shared" ca="1" si="1269"/>
        <v>-6.548646246533887E-4</v>
      </c>
      <c r="Q697" s="61"/>
      <c r="R697" s="387"/>
      <c r="S697" s="49">
        <f t="shared" ca="1" si="1273"/>
        <v>165.98024687475154</v>
      </c>
      <c r="T697" s="61">
        <f ca="1">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</f>
        <v>-0.58829649908759107</v>
      </c>
      <c r="U697" s="61"/>
      <c r="V697" s="125">
        <f>IFERROR(INDEX('Non-Labor Expenditures'!$E$7:$AA$91,MATCH($C697,'Non-Labor Expenditures'!$C$7:$C$91,0),MATCH($G697,'Non-Labor Expenditures'!$E$5:$AA$5,0)),"NA")</f>
        <v>24068.658596981826</v>
      </c>
      <c r="W697" s="125">
        <f t="shared" si="1261"/>
        <v>223.37294871492446</v>
      </c>
      <c r="X697" s="131">
        <f t="shared" si="1270"/>
        <v>-0.11654663576883034</v>
      </c>
      <c r="Y697" s="131">
        <f t="shared" si="1271"/>
        <v>-6.2098736293291065E-4</v>
      </c>
      <c r="Z697" s="131"/>
      <c r="AA697" s="131"/>
      <c r="AB697" s="131"/>
      <c r="AC697" s="125">
        <f t="shared" si="1242"/>
        <v>14081.044720551368</v>
      </c>
      <c r="AD697" s="129"/>
      <c r="AE697" s="133">
        <v>1209.2517993301542</v>
      </c>
      <c r="AF697" s="134">
        <v>2.7612880616841449E-2</v>
      </c>
      <c r="AG697" s="59">
        <f t="shared" si="1262"/>
        <v>1.4712779827677857E-4</v>
      </c>
      <c r="AH697" s="134"/>
      <c r="AI697" s="134"/>
      <c r="AJ697" s="129">
        <f t="shared" si="1238"/>
        <v>54769.561353228775</v>
      </c>
      <c r="AK697" s="134">
        <f t="shared" si="1272"/>
        <v>-9.9390744357900213E-2</v>
      </c>
      <c r="AL697" s="129"/>
      <c r="AM697" s="129"/>
      <c r="AN697" s="129"/>
      <c r="AO697" s="129"/>
      <c r="AP697" s="133">
        <f t="shared" si="1274"/>
        <v>342.03826558437225</v>
      </c>
      <c r="AQ697" s="134">
        <f>+BB697/Outputs!$B$25</f>
        <v>4.3245346278210873E-3</v>
      </c>
      <c r="AR697" s="93">
        <f t="shared" si="1263"/>
        <v>0.30345063252393212</v>
      </c>
      <c r="AS697" s="93">
        <f t="shared" si="1264"/>
        <v>0.4394531926548455</v>
      </c>
      <c r="AT697" s="93">
        <f t="shared" si="1265"/>
        <v>0.25709617482122232</v>
      </c>
      <c r="AU697" s="93">
        <f t="shared" ca="1" si="1267"/>
        <v>-8.1319361663593159E-2</v>
      </c>
      <c r="AV697" s="132">
        <f t="shared" ca="1" si="1276"/>
        <v>81.541312201826159</v>
      </c>
      <c r="AW697" s="134">
        <f t="shared" ca="1" si="1277"/>
        <v>-8.1319361663592993E-2</v>
      </c>
      <c r="AX697" s="56">
        <f>+AJ697/$AL$22</f>
        <v>5.3282307021254218E-3</v>
      </c>
      <c r="AY697" s="135">
        <f t="shared" ca="1" si="1275"/>
        <v>-4.3328831949319719E-4</v>
      </c>
      <c r="AZ697" s="93"/>
      <c r="BA697" s="93"/>
      <c r="BB697" s="234">
        <f>IFERROR(INDEX('Total Customers'!$E$7:$AA$91,MATCH($C697,'Total Customers'!$C$7:$C$91,0),MATCH($G697,'Total Customers'!$E$5:$AA$5,0)),"NA")</f>
        <v>160127</v>
      </c>
      <c r="BC697" s="411">
        <f t="shared" si="1196"/>
        <v>2.9269594923889814E-3</v>
      </c>
      <c r="BD697" s="92"/>
      <c r="BE697" s="281" t="str">
        <f t="shared" si="1192"/>
        <v>NORTH SHORE GAS COMPANY</v>
      </c>
      <c r="BF697" s="290">
        <f t="shared" si="1193"/>
        <v>4057130</v>
      </c>
      <c r="BG697" s="46" t="str">
        <f t="shared" si="1194"/>
        <v>IL</v>
      </c>
      <c r="BH697" s="46"/>
      <c r="BI697" s="46" t="str">
        <f t="shared" si="1195"/>
        <v>2017 Y</v>
      </c>
      <c r="BJ697" s="129"/>
      <c r="BK697" s="129"/>
      <c r="BL697" s="129">
        <f>INDEX('Dist. Plant Gas Additions'!$E$7:$AD$91,MATCH($C697,'Dist. Plant Gas Additions'!$C$7:$C$91,0),MATCH(Calculation!$G697,'Dist. Plant Gas Additions'!$E$5:$AD$5,0))</f>
        <v>30029</v>
      </c>
      <c r="BM697" s="129">
        <f>INDEX('Gen. Plant Additions'!$E$7:$AD$91,MATCH($C697,'Gen. Plant Additions'!$C$7:$C$91,0),MATCH(Calculation!$G697,'Gen. Plant Additions'!$E$5:$AD$5,0))</f>
        <v>1053</v>
      </c>
      <c r="BN697" s="393">
        <f t="shared" si="1243"/>
        <v>0.96510496509106503</v>
      </c>
      <c r="BO697" s="46">
        <f t="shared" si="1278"/>
        <v>1016.2555282408915</v>
      </c>
      <c r="BP697" s="46">
        <f t="shared" si="1279"/>
        <v>-36.744471759108478</v>
      </c>
      <c r="BQ697" s="129">
        <f>INDEX('Dist Plant Depreciation'!$D$7:$AC$94,MATCH($C697,'Dist Plant Depreciation'!$C$7:$C$94,0),MATCH(Calculation!$G697,'Dist Plant Depreciation'!$D$5:$AC$5,0))</f>
        <v>171669</v>
      </c>
      <c r="BR697" s="129">
        <f>INDEX('Gen. Plant Depreciation'!$D$7:$AC$94,MATCH($C697,'Gen. Plant Depreciation'!$C$7:$C$94,0),MATCH(Calculation!$G697,'Gen. Plant Depreciation'!$D$5:$AC$5,0))</f>
        <v>7440</v>
      </c>
      <c r="BS697" s="129"/>
      <c r="BT697" s="129"/>
      <c r="BU697" s="129"/>
      <c r="BV697" s="129"/>
      <c r="BW697" s="129"/>
      <c r="BX697" s="129"/>
      <c r="BY697" s="129">
        <f>INDEX('Gross Dx Plant'!$D$7:$AC$91,MATCH($C697,'Gross Dx Plant'!$C$7:$C$91,0),MATCH(Calculation!$G697,'Gross Dx Plant'!$D$5:$AC$5,0))</f>
        <v>486023</v>
      </c>
      <c r="BZ697" s="129">
        <f>INDEX('Gross Gen Plant'!$D$7:$AC$91,MATCH($C697,'Gross Gen Plant'!$C$7:$C$91,0),MATCH(Calculation!$G697,'Gross Gen Plant'!$D$5:$AC$5,0))</f>
        <v>17573</v>
      </c>
      <c r="CA697" s="129">
        <f t="shared" si="1197"/>
        <v>324487</v>
      </c>
      <c r="CB697" s="129"/>
      <c r="CC697" s="133">
        <v>2017</v>
      </c>
      <c r="CD697" s="129"/>
      <c r="CE697" s="129"/>
      <c r="CF697" s="129"/>
      <c r="CG697" s="137"/>
      <c r="CH697" s="129">
        <f t="shared" si="1244"/>
        <v>31082</v>
      </c>
      <c r="CI697" s="46">
        <f t="shared" si="1253"/>
        <v>31045.25552824089</v>
      </c>
      <c r="CJ697" s="46">
        <f t="shared" si="1245"/>
        <v>43.576656297122661</v>
      </c>
      <c r="CK697" s="443">
        <v>0.77108433734939763</v>
      </c>
      <c r="CL697" s="46">
        <f>+CL678*CK697+CJ679*CK696+CJ680*CK695+CJ681*CK694+CJ682*CK693+CJ683*CK692+CJ684*CK691+CJ685*CK690+CJ686*CK689+CJ687*CK688+CJ688*CK687+CJ689*CK686+CJ690*CK685+CJ691*CK684+CJ692*CK683+CJ693*CK682+CJ694*CK681+CJ695*CK680+CJ696*CK679+CJ697</f>
        <v>1103.9976414149598</v>
      </c>
      <c r="CM697" s="134">
        <f t="shared" si="1246"/>
        <v>2.3849053210911304E-2</v>
      </c>
      <c r="CN697" s="135">
        <f t="shared" si="1247"/>
        <v>1.6288654655647446E-2</v>
      </c>
      <c r="CO697" s="135">
        <f t="shared" si="1256"/>
        <v>1.5881015911477392E-2</v>
      </c>
      <c r="CP697" s="134">
        <f>VLOOKUP($H697,RoR!$E:$F,2,FALSE)</f>
        <v>3.7433333333333339E-2</v>
      </c>
      <c r="CQ697" s="135">
        <v>1.9056896421275615E-2</v>
      </c>
      <c r="CR697" s="135">
        <f t="shared" si="1254"/>
        <v>1.8376436912057724E-2</v>
      </c>
      <c r="CS697" s="135">
        <f t="shared" si="1257"/>
        <v>1.5020925697056233E-2</v>
      </c>
      <c r="CT697" s="135">
        <v>1.3976271617800498E-2</v>
      </c>
      <c r="CU697" s="139">
        <f t="shared" si="1248"/>
        <v>0.90351694999999999</v>
      </c>
      <c r="CV697" s="335">
        <f t="shared" si="1249"/>
        <v>1.3699568463593395</v>
      </c>
      <c r="CW697" s="335">
        <f t="shared" si="1250"/>
        <v>0.30714603739982199</v>
      </c>
      <c r="CX697" s="335">
        <f t="shared" si="1251"/>
        <v>0.77007188472689425</v>
      </c>
      <c r="CY697" s="335">
        <f t="shared" si="1252"/>
        <v>0.32402839633793828</v>
      </c>
      <c r="CZ697" s="336">
        <f>INDEX('State Tax Lookup'!$D$7:$Z$91,MATCH(Calculation!$C697,'State Tax Lookup'!$B$7:$B$91,0),MATCH($H697,'State Tax Lookup'!$D$6:$Z$6,0))</f>
        <v>0.26076499999999997</v>
      </c>
      <c r="DA697" s="303">
        <v>0.37</v>
      </c>
      <c r="DB697" s="57">
        <f t="shared" si="1255"/>
        <v>13.062438069695819</v>
      </c>
      <c r="DC697" s="56">
        <f t="shared" si="1258"/>
        <v>-0.11632552796554614</v>
      </c>
      <c r="DD697" s="303">
        <f>VLOOKUP($H697,RoR!$E:$F,2,FALSE)</f>
        <v>3.7433333333333339E-2</v>
      </c>
      <c r="DE697" s="304">
        <f>HLOOKUP($H697,'GDP-PI'!$D$8:$CQ$11,3,FALSE)</f>
        <v>1.9056896421275615E-2</v>
      </c>
      <c r="DF697" s="303">
        <f>VLOOKUP(H697,'HW Dx Data'!$E:$F,2,FALSE)</f>
        <v>712.42858370229726</v>
      </c>
      <c r="DG697" s="89">
        <f ca="1">VLOOKUP(CC697,'ECI - Input Price'!M$13:N$33,2,FALSE)</f>
        <v>140.44999999999999</v>
      </c>
      <c r="DH697" s="89"/>
      <c r="DI697" s="89"/>
      <c r="DJ697" s="56">
        <f t="shared" ca="1" si="1266"/>
        <v>2.5235657841165486E-2</v>
      </c>
      <c r="DK697" s="53">
        <f>HLOOKUP(H697,'GDP-PI'!$8:$9,2,FALSE)</f>
        <v>107.751</v>
      </c>
      <c r="DL697" s="355">
        <f t="shared" si="1259"/>
        <v>1.8877588227745139E-2</v>
      </c>
      <c r="EC697"/>
    </row>
    <row r="698" spans="1:133" s="126" customFormat="1" ht="21" customHeight="1" x14ac:dyDescent="0.4">
      <c r="A698" s="233" t="s">
        <v>221</v>
      </c>
      <c r="B698" s="127" t="s">
        <v>221</v>
      </c>
      <c r="C698" s="127">
        <v>4057130</v>
      </c>
      <c r="D698" s="127" t="s">
        <v>222</v>
      </c>
      <c r="E698" s="127"/>
      <c r="F698" s="127"/>
      <c r="G698" s="127" t="s">
        <v>174</v>
      </c>
      <c r="H698" s="128">
        <v>2018</v>
      </c>
      <c r="I698" s="129"/>
      <c r="J698" s="125">
        <f>IFERROR(INDEX('Labor Expenditures'!$E$7:$W$91,MATCH($C698,'Labor Expenditures'!$C$7:$C$91,0),MATCH($G698,'Labor Expenditures'!$E$5:$W$5,0)),"NA")</f>
        <v>17033.83902273218</v>
      </c>
      <c r="K698" s="125">
        <f t="shared" ca="1" si="1260"/>
        <v>117.92204238651561</v>
      </c>
      <c r="L698" s="47"/>
      <c r="M698" s="131">
        <f t="shared" ca="1" si="1268"/>
        <v>-3.4782246536899358E-3</v>
      </c>
      <c r="N698" s="131"/>
      <c r="O698" s="131"/>
      <c r="P698" s="59">
        <f t="shared" ca="1" si="1269"/>
        <v>-1.7679850283741699E-5</v>
      </c>
      <c r="Q698" s="61"/>
      <c r="R698" s="387"/>
      <c r="S698" s="49">
        <f t="shared" ca="1" si="1273"/>
        <v>114.41342636453622</v>
      </c>
      <c r="T698" s="61">
        <f ca="1">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</f>
        <v>-0.37205035116016943</v>
      </c>
      <c r="U698" s="61"/>
      <c r="V698" s="125">
        <f>IFERROR(INDEX('Non-Labor Expenditures'!$E$7:$AA$91,MATCH($C698,'Non-Labor Expenditures'!$C$7:$C$91,0),MATCH($G698,'Non-Labor Expenditures'!$E$5:$AA$5,0)),"NA")</f>
        <v>24668.180387193584</v>
      </c>
      <c r="W698" s="125">
        <f t="shared" si="1261"/>
        <v>223.60164234870274</v>
      </c>
      <c r="X698" s="131">
        <f t="shared" si="1270"/>
        <v>1.0232959917930984E-3</v>
      </c>
      <c r="Y698" s="131">
        <f t="shared" si="1271"/>
        <v>5.2014236376773519E-6</v>
      </c>
      <c r="Z698" s="131"/>
      <c r="AA698" s="131"/>
      <c r="AB698" s="131"/>
      <c r="AC698" s="125">
        <f t="shared" si="1242"/>
        <v>14861.447139477188</v>
      </c>
      <c r="AD698" s="129"/>
      <c r="AE698" s="133">
        <v>1271.0300788629718</v>
      </c>
      <c r="AF698" s="134">
        <v>4.9825836745246412E-2</v>
      </c>
      <c r="AG698" s="59">
        <f t="shared" si="1262"/>
        <v>2.5326522051517862E-4</v>
      </c>
      <c r="AH698" s="134"/>
      <c r="AI698" s="134"/>
      <c r="AJ698" s="129">
        <f t="shared" si="1238"/>
        <v>56563.466549402954</v>
      </c>
      <c r="AK698" s="134">
        <f t="shared" si="1272"/>
        <v>3.2228719604377197E-2</v>
      </c>
      <c r="AL698" s="129"/>
      <c r="AM698" s="129"/>
      <c r="AN698" s="129"/>
      <c r="AO698" s="129"/>
      <c r="AP698" s="133">
        <f t="shared" si="1274"/>
        <v>347.80248875923382</v>
      </c>
      <c r="AQ698" s="134">
        <f>+BB698/Outputs!$B$26</f>
        <v>4.3536939218062854E-3</v>
      </c>
      <c r="AR698" s="93">
        <f t="shared" si="1263"/>
        <v>0.30114559912721578</v>
      </c>
      <c r="AS698" s="93">
        <f t="shared" si="1264"/>
        <v>0.43611507377554753</v>
      </c>
      <c r="AT698" s="93">
        <f t="shared" si="1265"/>
        <v>0.26273932709723669</v>
      </c>
      <c r="AU698" s="93">
        <f t="shared" ca="1" si="1267"/>
        <v>1.2347141416047385E-2</v>
      </c>
      <c r="AV698" s="132">
        <f t="shared" ca="1" si="1276"/>
        <v>82.55435553950845</v>
      </c>
      <c r="AW698" s="134">
        <f t="shared" ca="1" si="1277"/>
        <v>1.234714141604731E-2</v>
      </c>
      <c r="AX698" s="56">
        <f>+AJ698/$AL$23</f>
        <v>5.0830098812006631E-3</v>
      </c>
      <c r="AY698" s="135">
        <f t="shared" ca="1" si="1275"/>
        <v>6.2760641822350423E-5</v>
      </c>
      <c r="AZ698" s="93"/>
      <c r="BA698" s="93"/>
      <c r="BB698" s="234">
        <f>IFERROR(INDEX('Total Customers'!$E$7:$AA$91,MATCH($C698,'Total Customers'!$C$7:$C$91,0),MATCH($G698,'Total Customers'!$E$5:$AA$5,0)),"NA")</f>
        <v>162631</v>
      </c>
      <c r="BC698" s="411">
        <f t="shared" si="1196"/>
        <v>1.5516580467569938E-2</v>
      </c>
      <c r="BD698" s="92"/>
      <c r="BE698" s="281" t="str">
        <f t="shared" si="1192"/>
        <v>NORTH SHORE GAS COMPANY</v>
      </c>
      <c r="BF698" s="290">
        <f t="shared" si="1193"/>
        <v>4057130</v>
      </c>
      <c r="BG698" s="46" t="str">
        <f t="shared" si="1194"/>
        <v>IL</v>
      </c>
      <c r="BH698" s="46"/>
      <c r="BI698" s="46" t="str">
        <f t="shared" si="1195"/>
        <v>2018 Y</v>
      </c>
      <c r="BJ698" s="129"/>
      <c r="BK698" s="129"/>
      <c r="BL698" s="129">
        <f>INDEX('Dist. Plant Gas Additions'!$E$7:$AD$91,MATCH($C698,'Dist. Plant Gas Additions'!$C$7:$C$91,0),MATCH(Calculation!$G698,'Dist. Plant Gas Additions'!$E$5:$AD$5,0))</f>
        <v>53291</v>
      </c>
      <c r="BM698" s="129">
        <f>INDEX('Gen. Plant Additions'!$E$7:$AD$91,MATCH($C698,'Gen. Plant Additions'!$C$7:$C$91,0),MATCH(Calculation!$G698,'Gen. Plant Additions'!$E$5:$AD$5,0))</f>
        <v>1921</v>
      </c>
      <c r="BN698" s="393">
        <f t="shared" si="1243"/>
        <v>0.96631008626015658</v>
      </c>
      <c r="BO698" s="46">
        <f t="shared" si="1278"/>
        <v>1856.2816757057608</v>
      </c>
      <c r="BP698" s="46">
        <f t="shared" si="1279"/>
        <v>-64.71832429423921</v>
      </c>
      <c r="BQ698" s="129">
        <f>INDEX('Dist Plant Depreciation'!$D$7:$AC$94,MATCH($C698,'Dist Plant Depreciation'!$C$7:$C$94,0),MATCH(Calculation!$G698,'Dist Plant Depreciation'!$D$5:$AC$5,0))</f>
        <v>188787</v>
      </c>
      <c r="BR698" s="129">
        <f>INDEX('Gen. Plant Depreciation'!$D$7:$AC$94,MATCH($C698,'Gen. Plant Depreciation'!$C$7:$C$94,0),MATCH(Calculation!$G698,'Gen. Plant Depreciation'!$D$5:$AC$5,0))</f>
        <v>7650</v>
      </c>
      <c r="BS698" s="129"/>
      <c r="BT698" s="129"/>
      <c r="BU698" s="129"/>
      <c r="BV698" s="129"/>
      <c r="BW698" s="129"/>
      <c r="BX698" s="129"/>
      <c r="BY698" s="129">
        <f>INDEX('Gross Dx Plant'!$D$7:$AC$91,MATCH($C698,'Gross Dx Plant'!$C$7:$C$91,0),MATCH(Calculation!$G698,'Gross Dx Plant'!$D$5:$AC$5,0))</f>
        <v>536477</v>
      </c>
      <c r="BZ698" s="129">
        <f>INDEX('Gross Gen Plant'!$D$7:$AC$91,MATCH($C698,'Gross Gen Plant'!$C$7:$C$91,0),MATCH(Calculation!$G698,'Gross Gen Plant'!$D$5:$AC$5,0))</f>
        <v>18704</v>
      </c>
      <c r="CA698" s="129">
        <f t="shared" si="1197"/>
        <v>358744</v>
      </c>
      <c r="CB698" s="129"/>
      <c r="CC698" s="133">
        <v>2018</v>
      </c>
      <c r="CD698" s="129"/>
      <c r="CE698" s="129"/>
      <c r="CF698" s="129"/>
      <c r="CG698" s="137"/>
      <c r="CH698" s="129">
        <f t="shared" si="1244"/>
        <v>55212</v>
      </c>
      <c r="CI698" s="46">
        <f t="shared" si="1253"/>
        <v>55147.281675705759</v>
      </c>
      <c r="CJ698" s="46">
        <f t="shared" si="1245"/>
        <v>73.029533100873749</v>
      </c>
      <c r="CK698" s="443">
        <v>0.75609756097560976</v>
      </c>
      <c r="CL698" s="46">
        <f>+CL678*CK698++CJ679*CK697+CJ680*CK696+CJ681*CK695+CJ682*CK694+CJ683*CK693+CJ684*CK692+CJ685*CK691+CJ686*CK690+CJ687*CK689+CJ688*CK688+CJ689*CK687+CJ690*CK686+CJ691*CK685+CJ692*CK684+CJ693*CK683+CJ694*CK682+CJ695*CK681+CJ696*CK680+CJ697*CK679+CJ698</f>
        <v>1158.6223812486705</v>
      </c>
      <c r="CM698" s="134">
        <f t="shared" si="1246"/>
        <v>4.8293885534783212E-2</v>
      </c>
      <c r="CN698" s="135">
        <f t="shared" si="1247"/>
        <v>1.6671044010179405E-2</v>
      </c>
      <c r="CO698" s="135">
        <f t="shared" si="1256"/>
        <v>1.6266020782906645E-2</v>
      </c>
      <c r="CP698" s="134">
        <f>VLOOKUP($H698,RoR!$E:$F,2,FALSE)</f>
        <v>3.9299999999999995E-2</v>
      </c>
      <c r="CQ698" s="135">
        <v>2.386056741932796E-2</v>
      </c>
      <c r="CR698" s="135">
        <f t="shared" si="1254"/>
        <v>1.5439432580672034E-2</v>
      </c>
      <c r="CS698" s="135">
        <f t="shared" si="1257"/>
        <v>1.463592082562698E-2</v>
      </c>
      <c r="CT698" s="135">
        <v>3.8270792163076606E-2</v>
      </c>
      <c r="CU698" s="139">
        <f t="shared" si="1248"/>
        <v>0.90351694999999999</v>
      </c>
      <c r="CV698" s="335">
        <f t="shared" si="1249"/>
        <v>1.3048868010700074</v>
      </c>
      <c r="CW698" s="335">
        <f t="shared" si="1250"/>
        <v>0.33886768447837151</v>
      </c>
      <c r="CX698" s="335">
        <f t="shared" si="1251"/>
        <v>0.78602506232557801</v>
      </c>
      <c r="CY698" s="335">
        <f t="shared" si="1252"/>
        <v>0.34756768162358759</v>
      </c>
      <c r="CZ698" s="336">
        <f>INDEX('State Tax Lookup'!$D$7:$Z$91,MATCH(Calculation!$C698,'State Tax Lookup'!$B$7:$B$91,0),MATCH($H698,'State Tax Lookup'!$D$6:$Z$6,0))</f>
        <v>0.26076499999999997</v>
      </c>
      <c r="DA698" s="303">
        <v>0.37</v>
      </c>
      <c r="DB698" s="57">
        <f t="shared" si="1255"/>
        <v>13.461484501388725</v>
      </c>
      <c r="DC698" s="56">
        <f t="shared" si="1258"/>
        <v>3.0091819347804569E-2</v>
      </c>
      <c r="DD698" s="303">
        <f>VLOOKUP($H698,RoR!$E:$F,2,FALSE)</f>
        <v>3.9299999999999995E-2</v>
      </c>
      <c r="DE698" s="304">
        <f>HLOOKUP($H698,'GDP-PI'!$D$8:$CQ$11,3,FALSE)</f>
        <v>2.386056741932796E-2</v>
      </c>
      <c r="DF698" s="303">
        <f>VLOOKUP(H698,'HW Dx Data'!$E:$F,2,FALSE)</f>
        <v>755.13671434174842</v>
      </c>
      <c r="DG698" s="89">
        <f ca="1">VLOOKUP(CC698,'ECI - Input Price'!M$13:N$33,2,FALSE)</f>
        <v>144.44999999999999</v>
      </c>
      <c r="DH698" s="89"/>
      <c r="DI698" s="89"/>
      <c r="DJ698" s="56">
        <f t="shared" ca="1" si="1266"/>
        <v>2.80818733619915E-2</v>
      </c>
      <c r="DK698" s="53">
        <f>HLOOKUP(H698,'GDP-PI'!$8:$9,2,FALSE)</f>
        <v>110.322</v>
      </c>
      <c r="DL698" s="355">
        <f t="shared" si="1259"/>
        <v>2.3580352716508712E-2</v>
      </c>
      <c r="EC698"/>
    </row>
    <row r="699" spans="1:133" s="126" customFormat="1" ht="21" customHeight="1" x14ac:dyDescent="0.4">
      <c r="A699" s="233" t="s">
        <v>221</v>
      </c>
      <c r="B699" s="127" t="s">
        <v>221</v>
      </c>
      <c r="C699" s="127">
        <v>4057130</v>
      </c>
      <c r="D699" s="127" t="s">
        <v>222</v>
      </c>
      <c r="E699" s="127"/>
      <c r="F699" s="127"/>
      <c r="G699" s="127" t="s">
        <v>175</v>
      </c>
      <c r="H699" s="128">
        <v>2019</v>
      </c>
      <c r="I699" s="129"/>
      <c r="J699" s="125">
        <f>IFERROR(INDEX('Labor Expenditures'!$E$7:$W$91,MATCH($C699,'Labor Expenditures'!$C$7:$C$91,0),MATCH($G699,'Labor Expenditures'!$E$5:$W$5,0)),"NA")</f>
        <v>15728.230746896625</v>
      </c>
      <c r="K699" s="125">
        <f t="shared" ca="1" si="1260"/>
        <v>105.08255050540586</v>
      </c>
      <c r="L699" s="47"/>
      <c r="M699" s="131">
        <f t="shared" ca="1" si="1268"/>
        <v>-0.11527751183630547</v>
      </c>
      <c r="N699" s="131"/>
      <c r="O699" s="131"/>
      <c r="P699" s="59">
        <f t="shared" ca="1" si="1269"/>
        <v>-5.4725624408787153E-4</v>
      </c>
      <c r="Q699" s="61"/>
      <c r="R699" s="387"/>
      <c r="S699" s="49">
        <f t="shared" ca="1" si="1273"/>
        <v>116.57487866102073</v>
      </c>
      <c r="T699" s="61">
        <f ca="1">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</f>
        <v>1.8715366442098917E-2</v>
      </c>
      <c r="U699" s="61"/>
      <c r="V699" s="125">
        <f>IFERROR(INDEX('Non-Labor Expenditures'!$E$7:$AA$91,MATCH($C699,'Non-Labor Expenditures'!$C$7:$C$91,0),MATCH($G699,'Non-Labor Expenditures'!$E$5:$AA$5,0)),"NA")</f>
        <v>22777.415749794869</v>
      </c>
      <c r="W699" s="125">
        <f t="shared" si="1261"/>
        <v>202.79399339193068</v>
      </c>
      <c r="X699" s="131">
        <f t="shared" si="1270"/>
        <v>-9.7675433388535585E-2</v>
      </c>
      <c r="Y699" s="131">
        <f t="shared" si="1271"/>
        <v>-4.6369400210310953E-4</v>
      </c>
      <c r="Z699" s="131"/>
      <c r="AA699" s="131"/>
      <c r="AB699" s="131"/>
      <c r="AC699" s="125">
        <f t="shared" si="1242"/>
        <v>15580.80979748658</v>
      </c>
      <c r="AD699" s="129"/>
      <c r="AE699" s="133">
        <v>1298.1797674679285</v>
      </c>
      <c r="AF699" s="134">
        <v>2.1135446993146637E-2</v>
      </c>
      <c r="AG699" s="59">
        <f t="shared" si="1262"/>
        <v>1.0033618139687305E-4</v>
      </c>
      <c r="AH699" s="134"/>
      <c r="AI699" s="134"/>
      <c r="AJ699" s="129">
        <f t="shared" si="1238"/>
        <v>54086.456294178075</v>
      </c>
      <c r="AK699" s="134">
        <f t="shared" si="1272"/>
        <v>-4.4779500733486091E-2</v>
      </c>
      <c r="AL699" s="129"/>
      <c r="AM699" s="129"/>
      <c r="AN699" s="129"/>
      <c r="AO699" s="129"/>
      <c r="AP699" s="133">
        <f t="shared" si="1274"/>
        <v>331.75565563713695</v>
      </c>
      <c r="AQ699" s="134">
        <f>+BB699/Outputs!$B$27</f>
        <v>4.3284080548410689E-3</v>
      </c>
      <c r="AR699" s="93">
        <f t="shared" si="1263"/>
        <v>0.29079795247354057</v>
      </c>
      <c r="AS699" s="93">
        <f t="shared" si="1264"/>
        <v>0.42112974874722298</v>
      </c>
      <c r="AT699" s="93">
        <f t="shared" si="1265"/>
        <v>0.28807229877923646</v>
      </c>
      <c r="AU699" s="93">
        <f t="shared" ca="1" si="1267"/>
        <v>-7.0163944707074821E-2</v>
      </c>
      <c r="AV699" s="132">
        <f t="shared" ca="1" si="1276"/>
        <v>76.96055260177917</v>
      </c>
      <c r="AW699" s="134">
        <f t="shared" ca="1" si="1277"/>
        <v>-7.0163944707074877E-2</v>
      </c>
      <c r="AX699" s="56">
        <f>+AJ699/$AL$24</f>
        <v>4.747294033071928E-3</v>
      </c>
      <c r="AY699" s="135">
        <f t="shared" ca="1" si="1275"/>
        <v>-3.3308887604468525E-4</v>
      </c>
      <c r="AZ699" s="93"/>
      <c r="BA699" s="93"/>
      <c r="BB699" s="234">
        <f>IFERROR(INDEX('Total Customers'!$E$7:$AA$91,MATCH($C699,'Total Customers'!$C$7:$C$91,0),MATCH($G699,'Total Customers'!$E$5:$AA$5,0)),"NA")</f>
        <v>163031</v>
      </c>
      <c r="BC699" s="411">
        <f t="shared" si="1196"/>
        <v>2.4565359246842356E-3</v>
      </c>
      <c r="BD699" s="92"/>
      <c r="BE699" s="281" t="str">
        <f t="shared" si="1192"/>
        <v>NORTH SHORE GAS COMPANY</v>
      </c>
      <c r="BF699" s="290">
        <f t="shared" si="1193"/>
        <v>4057130</v>
      </c>
      <c r="BG699" s="46" t="str">
        <f t="shared" si="1194"/>
        <v>IL</v>
      </c>
      <c r="BH699" s="46"/>
      <c r="BI699" s="46" t="str">
        <f t="shared" si="1195"/>
        <v>2019 Y</v>
      </c>
      <c r="BJ699" s="129"/>
      <c r="BK699" s="129"/>
      <c r="BL699" s="129">
        <f>INDEX('Dist. Plant Gas Additions'!$E$7:$AD$91,MATCH($C699,'Dist. Plant Gas Additions'!$C$7:$C$91,0),MATCH(Calculation!$G699,'Dist. Plant Gas Additions'!$E$5:$AD$5,0))</f>
        <v>27330</v>
      </c>
      <c r="BM699" s="129">
        <f>INDEX('Gen. Plant Additions'!$E$7:$AD$91,MATCH($C699,'Gen. Plant Additions'!$C$7:$C$91,0),MATCH(Calculation!$G699,'Gen. Plant Additions'!$E$5:$AD$5,0))</f>
        <v>3077</v>
      </c>
      <c r="BN699" s="393">
        <f t="shared" si="1243"/>
        <v>0.96470381824874518</v>
      </c>
      <c r="BO699" s="46">
        <f t="shared" si="1278"/>
        <v>2968.3936487513888</v>
      </c>
      <c r="BP699" s="46">
        <f t="shared" si="1279"/>
        <v>-108.60635124861119</v>
      </c>
      <c r="BQ699" s="129">
        <f>INDEX('Dist Plant Depreciation'!$D$7:$AC$94,MATCH($C699,'Dist Plant Depreciation'!$C$7:$C$94,0),MATCH(Calculation!$G699,'Dist Plant Depreciation'!$D$5:$AC$5,0))</f>
        <v>198985</v>
      </c>
      <c r="BR699" s="129">
        <f>INDEX('Gen. Plant Depreciation'!$D$7:$AC$94,MATCH($C699,'Gen. Plant Depreciation'!$C$7:$C$94,0),MATCH(Calculation!$G699,'Gen. Plant Depreciation'!$D$5:$AC$5,0))</f>
        <v>7687</v>
      </c>
      <c r="BS699" s="129"/>
      <c r="BT699" s="129"/>
      <c r="BU699" s="129"/>
      <c r="BV699" s="129"/>
      <c r="BW699" s="129"/>
      <c r="BX699" s="129"/>
      <c r="BY699" s="129">
        <f>INDEX('Gross Dx Plant'!$D$7:$AC$91,MATCH($C699,'Gross Dx Plant'!$C$7:$C$91,0),MATCH(Calculation!$G699,'Gross Dx Plant'!$D$5:$AC$5,0))</f>
        <v>560846</v>
      </c>
      <c r="BZ699" s="129">
        <f>INDEX('Gross Gen Plant'!$D$7:$AC$91,MATCH($C699,'Gross Gen Plant'!$C$7:$C$91,0),MATCH(Calculation!$G699,'Gross Gen Plant'!$D$5:$AC$5,0))</f>
        <v>20520</v>
      </c>
      <c r="CA699" s="129">
        <f t="shared" si="1197"/>
        <v>374694</v>
      </c>
      <c r="CB699" s="129"/>
      <c r="CC699" s="133">
        <v>2019</v>
      </c>
      <c r="CD699" s="129"/>
      <c r="CE699" s="129"/>
      <c r="CF699" s="129"/>
      <c r="CG699" s="137"/>
      <c r="CH699" s="129">
        <f t="shared" si="1244"/>
        <v>30407</v>
      </c>
      <c r="CI699" s="46">
        <f t="shared" si="1253"/>
        <v>30298.393648751389</v>
      </c>
      <c r="CJ699" s="46">
        <f t="shared" si="1245"/>
        <v>39.168525412299743</v>
      </c>
      <c r="CK699" s="443">
        <v>0.7407407407407407</v>
      </c>
      <c r="CL699" s="46">
        <f>CL678*CK699+CJ679*CK698+CJ680*CK697+CJ681*CK696+CJ682*CK695+CJ683*CK694+CJ684*CK693+CJ685*CK692+CJ686*CK691+CJ687*CK690+CJ688*CK689+CJ689*CK688+CJ690*CK687+CJ691*CK686+CJ692*CK685+CJ693*CK684+CJ694*CK683+CJ695*CK682+CJ696*CK681+CJ697*CK680+CJ698*CK679+CJ699</f>
        <v>1178.2250153151429</v>
      </c>
      <c r="CM699" s="134">
        <f t="shared" si="1246"/>
        <v>1.6777384699261506E-2</v>
      </c>
      <c r="CN699" s="135">
        <f t="shared" si="1247"/>
        <v>1.6887202994249836E-2</v>
      </c>
      <c r="CO699" s="135">
        <f t="shared" si="1256"/>
        <v>1.6615633886692228E-2</v>
      </c>
      <c r="CP699" s="134">
        <f>VLOOKUP($H699,RoR!$E:$F,2,FALSE)</f>
        <v>3.3875000000000009E-2</v>
      </c>
      <c r="CQ699" s="135">
        <v>1.8092492884465461E-2</v>
      </c>
      <c r="CR699" s="135">
        <f t="shared" si="1254"/>
        <v>1.5782507115534548E-2</v>
      </c>
      <c r="CS699" s="135">
        <f t="shared" si="1257"/>
        <v>1.4286307721841397E-2</v>
      </c>
      <c r="CT699" s="135">
        <v>4.8445665544254078E-2</v>
      </c>
      <c r="CU699" s="139">
        <f t="shared" si="1248"/>
        <v>0.90351694999999999</v>
      </c>
      <c r="CV699" s="335">
        <f t="shared" si="1249"/>
        <v>1.513861292459078</v>
      </c>
      <c r="CW699" s="335">
        <f t="shared" si="1250"/>
        <v>0.23699261992619944</v>
      </c>
      <c r="CX699" s="335">
        <f t="shared" si="1251"/>
        <v>0.73619765810468829</v>
      </c>
      <c r="CY699" s="335">
        <f t="shared" si="1252"/>
        <v>0.26412854465362851</v>
      </c>
      <c r="CZ699" s="336">
        <f>INDEX('State Tax Lookup'!$D$7:$Z$91,MATCH(Calculation!$C699,'State Tax Lookup'!$B$7:$B$91,0),MATCH($H699,'State Tax Lookup'!$D$6:$Z$6,0))</f>
        <v>0.26076499999999997</v>
      </c>
      <c r="DA699" s="303">
        <v>0.37</v>
      </c>
      <c r="DB699" s="57">
        <f t="shared" si="1255"/>
        <v>13.447703108147133</v>
      </c>
      <c r="DC699" s="56">
        <f t="shared" si="1258"/>
        <v>-1.024289149600713E-3</v>
      </c>
      <c r="DD699" s="303">
        <f>VLOOKUP($H699,RoR!$E:$F,2,FALSE)</f>
        <v>3.3875000000000009E-2</v>
      </c>
      <c r="DE699" s="304">
        <f>HLOOKUP($H699,'GDP-PI'!$D$8:$CQ$11,3,FALSE)</f>
        <v>1.8092492884465461E-2</v>
      </c>
      <c r="DF699" s="303">
        <f>VLOOKUP(H699,'HW Dx Data'!$E:$F,2,FALSE)</f>
        <v>773.53929793938721</v>
      </c>
      <c r="DG699" s="89">
        <f ca="1">VLOOKUP(CC699,'ECI - Input Price'!M$13:N$33,2,FALSE)</f>
        <v>149.67500000000001</v>
      </c>
      <c r="DH699" s="89"/>
      <c r="DI699" s="89"/>
      <c r="DJ699" s="56">
        <f t="shared" ca="1" si="1266"/>
        <v>3.5532849899171604E-2</v>
      </c>
      <c r="DK699" s="53">
        <f>HLOOKUP(H699,'GDP-PI'!$8:$9,2,FALSE)</f>
        <v>112.318</v>
      </c>
      <c r="DL699" s="355">
        <f t="shared" si="1259"/>
        <v>1.7930771451401852E-2</v>
      </c>
      <c r="EC699"/>
    </row>
    <row r="700" spans="1:133" s="126" customFormat="1" ht="21" customHeight="1" x14ac:dyDescent="0.4">
      <c r="A700" s="233" t="s">
        <v>221</v>
      </c>
      <c r="B700" s="126" t="s">
        <v>221</v>
      </c>
      <c r="C700" s="126">
        <v>4057130</v>
      </c>
      <c r="D700" s="126" t="s">
        <v>222</v>
      </c>
      <c r="G700" s="127" t="s">
        <v>176</v>
      </c>
      <c r="H700" s="128">
        <v>2020</v>
      </c>
      <c r="I700" s="129"/>
      <c r="J700" s="125">
        <f>IFERROR(INDEX('Labor Expenditures'!$E$7:$W$91,MATCH($C700,'Labor Expenditures'!$C$7:$C$91,0),MATCH($G700,'Labor Expenditures'!$E$5:$W$5,0)),"NA")</f>
        <v>14566.847653664079</v>
      </c>
      <c r="K700" s="125">
        <f t="shared" ca="1" si="1260"/>
        <v>95.114904692550297</v>
      </c>
      <c r="L700" s="47"/>
      <c r="M700" s="131">
        <f t="shared" ca="1" si="1268"/>
        <v>-9.9660552761208568E-2</v>
      </c>
      <c r="N700" s="131"/>
      <c r="O700" s="131"/>
      <c r="P700" s="59">
        <f t="shared" ca="1" si="1269"/>
        <v>-4.459643763441334E-4</v>
      </c>
      <c r="Q700" s="61"/>
      <c r="R700" s="387"/>
      <c r="S700" s="49">
        <f t="shared" ca="1" si="1273"/>
        <v>116.9628049232744</v>
      </c>
      <c r="T700" s="61">
        <f ca="1">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</f>
        <v>3.3221757884223527E-3</v>
      </c>
      <c r="U700" s="61"/>
      <c r="V700" s="125">
        <f>IFERROR(INDEX('Non-Labor Expenditures'!$E$7:$AA$91,MATCH($C700,'Non-Labor Expenditures'!$C$7:$C$91,0),MATCH($G700,'Non-Labor Expenditures'!$E$5:$AA$5,0)),"NA")</f>
        <v>21095.516114353668</v>
      </c>
      <c r="W700" s="125">
        <f t="shared" si="1261"/>
        <v>185.6623757016948</v>
      </c>
      <c r="X700" s="131">
        <f t="shared" si="1270"/>
        <v>-8.8260813025233184E-2</v>
      </c>
      <c r="Y700" s="131">
        <f t="shared" si="1271"/>
        <v>-3.9495243951471494E-4</v>
      </c>
      <c r="Z700" s="131"/>
      <c r="AA700" s="131"/>
      <c r="AB700" s="131"/>
      <c r="AC700" s="125">
        <f t="shared" si="1242"/>
        <v>16255.082204030099</v>
      </c>
      <c r="AD700" s="129"/>
      <c r="AE700" s="133">
        <v>1311.2565573337818</v>
      </c>
      <c r="AF700" s="134">
        <v>1.0022777112138967E-2</v>
      </c>
      <c r="AG700" s="59">
        <f t="shared" si="1262"/>
        <v>4.4850258404257159E-5</v>
      </c>
      <c r="AH700" s="134"/>
      <c r="AI700" s="134"/>
      <c r="AJ700" s="129">
        <f t="shared" si="1238"/>
        <v>51917.445972047848</v>
      </c>
      <c r="AK700" s="134">
        <f t="shared" si="1272"/>
        <v>-4.0928929162553473E-2</v>
      </c>
      <c r="AL700" s="129"/>
      <c r="AM700" s="129"/>
      <c r="AN700" s="129"/>
      <c r="AO700" s="129"/>
      <c r="AP700" s="133">
        <f t="shared" si="1274"/>
        <v>317.74778429817769</v>
      </c>
      <c r="AQ700" s="134">
        <f>+BB700/Outputs!$B$28</f>
        <v>4.3073594311813842E-3</v>
      </c>
      <c r="AR700" s="93">
        <f t="shared" si="1263"/>
        <v>0.28057712356472259</v>
      </c>
      <c r="AS700" s="93">
        <f t="shared" si="1264"/>
        <v>0.40632807949973909</v>
      </c>
      <c r="AT700" s="93">
        <f t="shared" si="1265"/>
        <v>0.31309479693553827</v>
      </c>
      <c r="AU700" s="93">
        <f t="shared" ca="1" si="1267"/>
        <v>-6.1975146384810206E-2</v>
      </c>
      <c r="AV700" s="132">
        <f t="shared" ca="1" si="1276"/>
        <v>72.335704129811802</v>
      </c>
      <c r="AW700" s="134">
        <f t="shared" ca="1" si="1277"/>
        <v>-6.1975146384810248E-2</v>
      </c>
      <c r="AX700" s="56">
        <f>+AJ700/$AL$25</f>
        <v>4.4748334620688416E-3</v>
      </c>
      <c r="AY700" s="135">
        <f t="shared" ca="1" si="1275"/>
        <v>-2.7732845885936367E-4</v>
      </c>
      <c r="AZ700" s="93"/>
      <c r="BA700" s="93"/>
      <c r="BB700" s="234">
        <f>IFERROR(INDEX('Total Customers'!$E$7:$AA$91,MATCH($C700,'Total Customers'!$C$7:$C$91,0),MATCH($G700,'Total Customers'!$E$5:$AA$5,0)),"NA")</f>
        <v>163392</v>
      </c>
      <c r="BC700" s="411">
        <f t="shared" si="1196"/>
        <v>2.2118548458701644E-3</v>
      </c>
      <c r="BD700" s="92"/>
      <c r="BE700" s="281" t="str">
        <f t="shared" si="1192"/>
        <v>NORTH SHORE GAS COMPANY</v>
      </c>
      <c r="BF700" s="290">
        <f t="shared" si="1193"/>
        <v>4057130</v>
      </c>
      <c r="BG700" s="46" t="str">
        <f t="shared" si="1194"/>
        <v>IL</v>
      </c>
      <c r="BH700" s="46"/>
      <c r="BI700" s="46" t="str">
        <f t="shared" si="1195"/>
        <v>2020 Y</v>
      </c>
      <c r="BJ700" s="129"/>
      <c r="BK700" s="129"/>
      <c r="BL700" s="129">
        <f>INDEX('Dist. Plant Gas Additions'!$E$7:$AD$91,MATCH($C700,'Dist. Plant Gas Additions'!$C$7:$C$91,0),MATCH(Calculation!$G700,'Dist. Plant Gas Additions'!$E$5:$AD$5,0))</f>
        <v>19592</v>
      </c>
      <c r="BM700" s="129">
        <f>INDEX('Gen. Plant Additions'!$E$7:$AD$91,MATCH($C700,'Gen. Plant Additions'!$C$7:$C$91,0),MATCH(Calculation!$G700,'Gen. Plant Additions'!$E$5:$AD$5,0))</f>
        <v>1491</v>
      </c>
      <c r="BN700" s="393">
        <f t="shared" si="1243"/>
        <v>0.96427837952009399</v>
      </c>
      <c r="BO700" s="46">
        <f t="shared" si="1278"/>
        <v>1437.7390638644601</v>
      </c>
      <c r="BP700" s="46">
        <f t="shared" si="1279"/>
        <v>-53.260936135539851</v>
      </c>
      <c r="BQ700" s="129">
        <f>INDEX('Dist Plant Depreciation'!$D$7:$AC$94,MATCH($C700,'Dist Plant Depreciation'!$C$7:$C$94,0),MATCH(Calculation!$G700,'Dist Plant Depreciation'!$D$5:$AC$5,0))</f>
        <v>209645</v>
      </c>
      <c r="BR700" s="129">
        <f>INDEX('Gen. Plant Depreciation'!$D$7:$AC$94,MATCH($C700,'Gen. Plant Depreciation'!$C$7:$C$94,0),MATCH(Calculation!$G700,'Gen. Plant Depreciation'!$D$5:$AC$5,0))</f>
        <v>8137</v>
      </c>
      <c r="BS700" s="129"/>
      <c r="BT700" s="129"/>
      <c r="BU700" s="129"/>
      <c r="BV700" s="129"/>
      <c r="BW700" s="129"/>
      <c r="BX700" s="129"/>
      <c r="BY700" s="129">
        <f>INDEX('Gross Dx Plant'!$D$7:$AC$91,MATCH($C700,'Gross Dx Plant'!$C$7:$C$91,0),MATCH(Calculation!$G700,'Gross Dx Plant'!$D$5:$AC$5,0))</f>
        <v>577515</v>
      </c>
      <c r="BZ700" s="129">
        <f>INDEX('Gross Gen Plant'!$D$7:$AC$91,MATCH($C700,'Gross Gen Plant'!$C$7:$C$91,0),MATCH(Calculation!$G700,'Gross Gen Plant'!$D$5:$AC$5,0))</f>
        <v>21394</v>
      </c>
      <c r="CA700" s="129">
        <f t="shared" si="1197"/>
        <v>381127</v>
      </c>
      <c r="CB700" s="129"/>
      <c r="CC700" s="133">
        <v>2020</v>
      </c>
      <c r="CD700" s="129"/>
      <c r="CE700" s="129"/>
      <c r="CF700" s="129"/>
      <c r="CG700" s="137"/>
      <c r="CH700" s="129">
        <f t="shared" si="1244"/>
        <v>21083</v>
      </c>
      <c r="CI700" s="46">
        <f t="shared" si="1253"/>
        <v>21029.739063864461</v>
      </c>
      <c r="CJ700" s="46">
        <f t="shared" si="1245"/>
        <v>25.864287477225488</v>
      </c>
      <c r="CK700" s="443">
        <v>0.72499999999999998</v>
      </c>
      <c r="CL700" s="46">
        <f>CL678*CK700+CJ679*CK699+CJ680*CK698+CJ681*CK697+CJ682*CK696+CJ683*CK695+CJ684*CK694+CJ685*CK693+CJ686*CK692+CJ687*CK691+CJ688*CK690+CJ689*CK689+CJ690*CK688+CJ691*CK687+CJ692*CK686+CJ693*CK685+CJ694*CK684+CJ695*CK683+CJ696*CK682+CJ697*CK681+CJ698*CK680+CJ699*CK679+CJ700</f>
        <v>1183.6672183108703</v>
      </c>
      <c r="CM700" s="134">
        <f t="shared" si="1246"/>
        <v>4.6083496524786599E-3</v>
      </c>
      <c r="CN700" s="135">
        <f t="shared" si="1247"/>
        <v>1.7332923860927919E-2</v>
      </c>
      <c r="CO700" s="135">
        <f t="shared" si="1256"/>
        <v>1.696372362178572E-2</v>
      </c>
      <c r="CP700" s="134">
        <f>VLOOKUP($H700,RoR!$E:$F,2,FALSE)</f>
        <v>2.4766666666666666E-2</v>
      </c>
      <c r="CQ700" s="135">
        <v>1.1618796630994188E-2</v>
      </c>
      <c r="CR700" s="135">
        <f t="shared" si="1254"/>
        <v>1.3147870035672478E-2</v>
      </c>
      <c r="CS700" s="135">
        <f t="shared" si="1257"/>
        <v>1.3938217986747905E-2</v>
      </c>
      <c r="CT700" s="135">
        <v>4.5144642961987357E-2</v>
      </c>
      <c r="CU700" s="139">
        <f t="shared" si="1248"/>
        <v>0.90351694999999999</v>
      </c>
      <c r="CV700" s="335">
        <f t="shared" si="1249"/>
        <v>2.0706077233668081</v>
      </c>
      <c r="CW700" s="335">
        <f t="shared" si="1250"/>
        <v>-3.4421265141318998E-2</v>
      </c>
      <c r="CX700" s="335">
        <f t="shared" si="1251"/>
        <v>0.62416226176410472</v>
      </c>
      <c r="CY700" s="335">
        <f t="shared" si="1252"/>
        <v>-4.4485877841158712E-2</v>
      </c>
      <c r="CZ700" s="336">
        <f>INDEX('State Tax Lookup'!$D$7:$Z$91,MATCH(Calculation!$C700,'State Tax Lookup'!$B$7:$B$91,0),MATCH($H700,'State Tax Lookup'!$D$6:$Z$6,0))</f>
        <v>0.26076499999999997</v>
      </c>
      <c r="DA700" s="303">
        <v>0.37</v>
      </c>
      <c r="DB700" s="57">
        <f t="shared" si="1255"/>
        <v>13.796246041917817</v>
      </c>
      <c r="DC700" s="56">
        <f t="shared" si="1258"/>
        <v>2.558821037332883E-2</v>
      </c>
      <c r="DD700" s="303">
        <f>VLOOKUP($H700,RoR!$E:$F,2,FALSE)</f>
        <v>2.4766666666666666E-2</v>
      </c>
      <c r="DE700" s="304">
        <f>HLOOKUP($H700,'GDP-PI'!$D$8:$CQ$11,3,FALSE)</f>
        <v>1.1618796630994188E-2</v>
      </c>
      <c r="DF700" s="303">
        <f>VLOOKUP(H700,'HW Dx Data'!$E:$F,2,FALSE)</f>
        <v>813.080162458833</v>
      </c>
      <c r="DG700" s="89">
        <f ca="1">VLOOKUP(CC700,'ECI - Input Price'!M$13:N$33,2,FALSE)</f>
        <v>153.15</v>
      </c>
      <c r="DH700" s="89"/>
      <c r="DI700" s="89"/>
      <c r="DJ700" s="56">
        <f t="shared" ca="1" si="1266"/>
        <v>2.2951556467368479E-2</v>
      </c>
      <c r="DK700" s="53">
        <f>HLOOKUP(H700,'GDP-PI'!$8:$9,2,FALSE)</f>
        <v>113.623</v>
      </c>
      <c r="DL700" s="355">
        <f t="shared" si="1259"/>
        <v>1.1551816731392881E-2</v>
      </c>
      <c r="EC700"/>
    </row>
    <row r="701" spans="1:133" s="126" customFormat="1" ht="21" customHeight="1" x14ac:dyDescent="0.4">
      <c r="A701" s="233" t="s">
        <v>221</v>
      </c>
      <c r="B701" s="126" t="s">
        <v>221</v>
      </c>
      <c r="C701" s="126">
        <v>4057130</v>
      </c>
      <c r="D701" s="126" t="s">
        <v>222</v>
      </c>
      <c r="G701" s="127" t="s">
        <v>177</v>
      </c>
      <c r="H701" s="128">
        <v>2021</v>
      </c>
      <c r="I701" s="129"/>
      <c r="J701" s="125">
        <v>16104.580314140641</v>
      </c>
      <c r="K701" s="125">
        <f t="shared" ca="1" si="1260"/>
        <v>102.41386527275448</v>
      </c>
      <c r="L701" s="47"/>
      <c r="M701" s="130">
        <f t="shared" ca="1" si="1268"/>
        <v>7.3936422697218576E-2</v>
      </c>
      <c r="N701" s="130"/>
      <c r="O701" s="130"/>
      <c r="P701" s="59">
        <f t="shared" ca="1" si="1269"/>
        <v>2.9905015570668884E-4</v>
      </c>
      <c r="Q701" s="61"/>
      <c r="R701" s="387"/>
      <c r="S701" s="132">
        <f ca="1">+S700*EXP(T701)</f>
        <v>121.03946527940757</v>
      </c>
      <c r="T701" s="134">
        <f ca="1">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</f>
        <v>3.426067413624688E-2</v>
      </c>
      <c r="U701" s="134"/>
      <c r="V701" s="125">
        <v>22701.637310294638</v>
      </c>
      <c r="W701" s="125">
        <f t="shared" si="1261"/>
        <v>191.59116643003324</v>
      </c>
      <c r="X701" s="131">
        <f t="shared" si="1270"/>
        <v>3.1433920376366525E-2</v>
      </c>
      <c r="Y701" s="131">
        <f t="shared" si="1271"/>
        <v>1.2714056807319271E-4</v>
      </c>
      <c r="Z701" s="131"/>
      <c r="AA701" s="131"/>
      <c r="AB701" s="131"/>
      <c r="AC701" s="125">
        <f t="shared" si="1242"/>
        <v>13148.576441301759</v>
      </c>
      <c r="AD701" s="129"/>
      <c r="AE701" s="133">
        <v>1320.6697023635118</v>
      </c>
      <c r="AF701" s="134"/>
      <c r="AG701" s="59">
        <f t="shared" si="1262"/>
        <v>0</v>
      </c>
      <c r="AH701" s="134"/>
      <c r="AI701" s="134"/>
      <c r="AJ701" s="129">
        <f t="shared" si="1238"/>
        <v>51954.794065737042</v>
      </c>
      <c r="AK701" s="134">
        <f t="shared" si="1272"/>
        <v>7.1911600799371149E-4</v>
      </c>
      <c r="AL701" s="129"/>
      <c r="AM701" s="134"/>
      <c r="AN701" s="134"/>
      <c r="AO701" s="134"/>
      <c r="AP701" s="133">
        <f t="shared" si="1274"/>
        <v>317.43820800357452</v>
      </c>
      <c r="AQ701" s="134">
        <f>+BB701/Outputs!$B$29</f>
        <v>4.2394402852092544E-3</v>
      </c>
      <c r="AR701" s="93">
        <f t="shared" si="1263"/>
        <v>0.30997294097179823</v>
      </c>
      <c r="AS701" s="93">
        <f t="shared" si="1264"/>
        <v>0.43694980835783603</v>
      </c>
      <c r="AT701" s="93">
        <f t="shared" si="1265"/>
        <v>0.25307725067036563</v>
      </c>
      <c r="AU701" s="93">
        <f t="shared" ca="1" si="1267"/>
        <v>3.5085344588753731E-2</v>
      </c>
      <c r="AV701" s="132">
        <f t="shared" ca="1" si="1276"/>
        <v>74.918674477359872</v>
      </c>
      <c r="AW701" s="134">
        <f t="shared" ca="1" si="1277"/>
        <v>3.508534458875371E-2</v>
      </c>
      <c r="AX701" s="56">
        <f>+AJ701/$AL$26</f>
        <v>4.0446933297185184E-3</v>
      </c>
      <c r="AY701" s="135">
        <f t="shared" ca="1" si="1275"/>
        <v>1.4190945922900783E-4</v>
      </c>
      <c r="AZ701" s="93"/>
      <c r="BA701" s="93"/>
      <c r="BB701" s="234">
        <f>INDEX('Total Customers'!$D$7:$D$91,MATCH(Calculation!$C701,'Total Customers'!$C$7:$C$91,0))</f>
        <v>163669</v>
      </c>
      <c r="BC701" s="411">
        <f t="shared" si="1196"/>
        <v>1.6938740249121881E-3</v>
      </c>
      <c r="BD701" s="91"/>
      <c r="BE701" s="281" t="str">
        <f t="shared" si="1192"/>
        <v>NORTH SHORE GAS COMPANY</v>
      </c>
      <c r="BF701" s="290">
        <f t="shared" si="1193"/>
        <v>4057130</v>
      </c>
      <c r="BG701" s="46" t="str">
        <f t="shared" si="1194"/>
        <v>IL</v>
      </c>
      <c r="BH701" s="46"/>
      <c r="BI701" s="46" t="str">
        <f t="shared" si="1195"/>
        <v>2021 Y</v>
      </c>
      <c r="BJ701" s="129"/>
      <c r="BK701" s="129"/>
      <c r="BL701" s="129">
        <f>INDEX('Dist. Plant Gas Additions'!$D$7:$AD$91,MATCH($C701,'Dist. Plant Gas Additions'!$C$7:$C$91,0),MATCH(Calculation!$G701,'Dist. Plant Gas Additions'!$D$5:$AD$5,0))</f>
        <v>31660</v>
      </c>
      <c r="BM701" s="129">
        <f>INDEX('Gen. Plant Additions'!$D$7:$AD$91,MATCH($C701,'Gen. Plant Additions'!$C$7:$C$91,0),MATCH(Calculation!$G701,'Gen. Plant Additions'!$D$5:$AD$5,0))</f>
        <v>2324</v>
      </c>
      <c r="BN701" s="343">
        <v>0.96427837952009399</v>
      </c>
      <c r="BO701" s="46">
        <f t="shared" si="1278"/>
        <v>2240.9829540046985</v>
      </c>
      <c r="BP701" s="46">
        <f t="shared" si="1279"/>
        <v>-83.017045995301487</v>
      </c>
      <c r="BQ701" s="129"/>
      <c r="BR701" s="129"/>
      <c r="BS701" s="137"/>
      <c r="BT701" s="137"/>
      <c r="BU701" s="333"/>
      <c r="BV701" s="93"/>
      <c r="BW701" s="334"/>
      <c r="BX701" s="334"/>
      <c r="BY701" s="129"/>
      <c r="BZ701" s="129"/>
      <c r="CA701" s="129"/>
      <c r="CB701" s="129"/>
      <c r="CC701" s="133">
        <v>2021</v>
      </c>
      <c r="CD701" s="129"/>
      <c r="CE701" s="129"/>
      <c r="CF701" s="129"/>
      <c r="CG701" s="137"/>
      <c r="CH701" s="129">
        <f t="shared" si="1244"/>
        <v>33984</v>
      </c>
      <c r="CI701" s="46">
        <f t="shared" si="1253"/>
        <v>33900.982954004699</v>
      </c>
      <c r="CJ701" s="46">
        <f t="shared" si="1245"/>
        <v>36.33458248055998</v>
      </c>
      <c r="CK701" s="443">
        <v>0.70886075949367089</v>
      </c>
      <c r="CL701" s="129">
        <f>CL678*CK701+CJ679*CK700+CJ680*CK699+CJ681*CK698+CJ682*CK697+CJ683*CK696+CJ684*CK695+CJ685*CK694+CJ686*CK693+CJ687*CK692+CJ688*CK691+CJ689*CK690+CJ690*CK689+CJ691*CK688+CJ692*CK687+CJ683*CK686+CJ694*CK685+CJ695*CK684+CJ696*CK683+CJ697*CK682+CJ698*CK681+CJ699*CK680+CJ701+CJ700*CK679</f>
        <v>1185.647387921724</v>
      </c>
      <c r="CM701" s="134"/>
      <c r="CN701" s="135">
        <f t="shared" si="1247"/>
        <v>2.9023708976861885E-2</v>
      </c>
      <c r="CO701" s="135">
        <f t="shared" si="1256"/>
        <v>2.108127861067988E-2</v>
      </c>
      <c r="CP701" s="134">
        <f>VLOOKUP($H701,RoR!$E:$F,2,FALSE)</f>
        <v>2.7033333333333336E-2</v>
      </c>
      <c r="CQ701" s="135"/>
      <c r="CR701" s="135"/>
      <c r="CS701" s="135">
        <f t="shared" si="1257"/>
        <v>9.8206629978537449E-3</v>
      </c>
      <c r="CT701" s="135">
        <v>7.433422950153494E-2</v>
      </c>
      <c r="CU701" s="139">
        <f t="shared" si="1248"/>
        <v>0.90351694999999999</v>
      </c>
      <c r="CV701" s="335">
        <f t="shared" si="1249"/>
        <v>1.8969932656739068</v>
      </c>
      <c r="CW701" s="335">
        <f t="shared" si="1250"/>
        <v>5.0215782983970621E-2</v>
      </c>
      <c r="CX701" s="335">
        <f t="shared" si="1251"/>
        <v>0.655952481704143</v>
      </c>
      <c r="CY701" s="335">
        <f t="shared" si="1252"/>
        <v>6.2485378865697057E-2</v>
      </c>
      <c r="CZ701" s="336">
        <f>CZ700</f>
        <v>0.26076499999999997</v>
      </c>
      <c r="DA701" s="303">
        <v>0.37</v>
      </c>
      <c r="DB701" s="141">
        <f t="shared" si="1255"/>
        <v>11.108338761011886</v>
      </c>
      <c r="DC701" s="135">
        <f t="shared" si="1258"/>
        <v>-0.21670046319963898</v>
      </c>
      <c r="DD701" s="336">
        <f>VLOOKUP($H701,RoR!$E:$F,2,FALSE)</f>
        <v>2.7033333333333336E-2</v>
      </c>
      <c r="DE701" s="342">
        <f>HLOOKUP($H701,'GDP-PI'!$D$8:$CR$11,3,FALSE)</f>
        <v>4.2834637353352578E-2</v>
      </c>
      <c r="DF701" s="336">
        <f>VLOOKUP(H701,'HW Dx Data'!$E:$F,2,FALSE)</f>
        <v>933.02249921662576</v>
      </c>
      <c r="DG701" s="89">
        <f ca="1">VLOOKUP(CC701,'ECI - Input Price'!M$13:N$33,2,FALSE)</f>
        <v>157.25</v>
      </c>
      <c r="DH701" s="89"/>
      <c r="DI701" s="89"/>
      <c r="DJ701" s="135">
        <f t="shared" ca="1" si="1266"/>
        <v>2.6419062301765574E-2</v>
      </c>
      <c r="DK701" s="137">
        <f>HLOOKUP(H701,'GDP-PI'!$8:$9,2,FALSE)</f>
        <v>118.49</v>
      </c>
      <c r="DL701" s="356">
        <f t="shared" si="1259"/>
        <v>4.194261824609434E-2</v>
      </c>
      <c r="EC701"/>
    </row>
    <row r="702" spans="1:133" s="126" customFormat="1" ht="21" customHeight="1" thickBot="1" x14ac:dyDescent="0.45">
      <c r="A702" s="235"/>
      <c r="B702" s="236"/>
      <c r="C702" s="236"/>
      <c r="D702" s="236"/>
      <c r="E702" s="236"/>
      <c r="F702" s="236"/>
      <c r="G702" s="237" t="s">
        <v>178</v>
      </c>
      <c r="H702" s="238"/>
      <c r="I702" s="239"/>
      <c r="J702" s="240">
        <v>17326.24891909078</v>
      </c>
      <c r="K702" s="240">
        <f t="shared" ca="1" si="1260"/>
        <v>106.59027326416967</v>
      </c>
      <c r="L702" s="47"/>
      <c r="M702" s="241">
        <f t="shared" ref="M702" ca="1" si="1280">LN(K702/K701)</f>
        <v>3.9970155898520793E-2</v>
      </c>
      <c r="N702" s="241"/>
      <c r="O702" s="241"/>
      <c r="P702" s="242">
        <f t="shared" ca="1" si="1269"/>
        <v>1.8413174451231871E-4</v>
      </c>
      <c r="Q702" s="61"/>
      <c r="R702" s="387"/>
      <c r="S702" s="206">
        <f ca="1">+S701*EXP(T702)</f>
        <v>119.58921787117117</v>
      </c>
      <c r="T702" s="243">
        <f ca="1">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</f>
        <v>-1.2053965878498036E-2</v>
      </c>
      <c r="U702" s="243"/>
      <c r="V702" s="239">
        <v>24423.74847630869</v>
      </c>
      <c r="W702" s="240">
        <f t="shared" si="1261"/>
        <v>191.9351550201076</v>
      </c>
      <c r="X702" s="244">
        <f t="shared" ref="X702" si="1281">LN(W702/W701)</f>
        <v>1.7938204659018536E-3</v>
      </c>
      <c r="Y702" s="244">
        <f t="shared" si="1271"/>
        <v>8.2636478218147827E-6</v>
      </c>
      <c r="Z702" s="206"/>
      <c r="AA702" s="243"/>
      <c r="AB702" s="243"/>
      <c r="AC702" s="240">
        <f t="shared" si="1242"/>
        <v>19209.128806638626</v>
      </c>
      <c r="AD702" s="243"/>
      <c r="AE702" s="245">
        <v>1352.857361292221</v>
      </c>
      <c r="AF702" s="243">
        <v>2.4079961389672468E-2</v>
      </c>
      <c r="AG702" s="242">
        <f t="shared" si="1262"/>
        <v>1.1092989753972309E-4</v>
      </c>
      <c r="AH702" s="206"/>
      <c r="AI702" s="243"/>
      <c r="AJ702" s="239">
        <f t="shared" si="1238"/>
        <v>60959.126202038096</v>
      </c>
      <c r="AK702" s="243">
        <f t="shared" si="1272"/>
        <v>0.15982958172725276</v>
      </c>
      <c r="AL702" s="239"/>
      <c r="AM702" s="243"/>
      <c r="AN702" s="243"/>
      <c r="AO702" s="243"/>
      <c r="AP702" s="245">
        <f t="shared" si="1274"/>
        <v>371.73825618376242</v>
      </c>
      <c r="AQ702" s="243"/>
      <c r="AR702" s="207">
        <f t="shared" si="1263"/>
        <v>0.2842273175252879</v>
      </c>
      <c r="AS702" s="207">
        <f t="shared" si="1264"/>
        <v>0.40065778494528537</v>
      </c>
      <c r="AT702" s="207">
        <f t="shared" si="1265"/>
        <v>0.31511489752942673</v>
      </c>
      <c r="AU702" s="207"/>
      <c r="AV702" s="206"/>
      <c r="AW702" s="243"/>
      <c r="AX702" s="248">
        <f>+AJ702/$AL$27</f>
        <v>4.6067307062751042E-3</v>
      </c>
      <c r="AY702" s="249"/>
      <c r="AZ702" s="206"/>
      <c r="BA702" s="243"/>
      <c r="BB702" s="250">
        <v>163984</v>
      </c>
      <c r="BC702" s="412">
        <v>0</v>
      </c>
      <c r="BD702" s="91"/>
      <c r="BE702" s="401">
        <f t="shared" si="1192"/>
        <v>0</v>
      </c>
      <c r="BF702" s="402">
        <f t="shared" si="1193"/>
        <v>0</v>
      </c>
      <c r="BG702" s="313">
        <f t="shared" si="1194"/>
        <v>0</v>
      </c>
      <c r="BH702" s="313"/>
      <c r="BI702" s="313" t="str">
        <f t="shared" si="1195"/>
        <v>2022Y</v>
      </c>
      <c r="BJ702" s="239"/>
      <c r="BK702" s="239"/>
      <c r="BL702" s="239"/>
      <c r="BM702" s="239"/>
      <c r="BN702" s="337">
        <v>0.96427837952009399</v>
      </c>
      <c r="BO702" s="313">
        <f t="shared" si="1278"/>
        <v>0</v>
      </c>
      <c r="BP702" s="313">
        <f t="shared" si="1279"/>
        <v>0</v>
      </c>
      <c r="BQ702" s="239"/>
      <c r="BR702" s="239"/>
      <c r="BS702" s="310"/>
      <c r="BT702" s="310"/>
      <c r="BU702" s="311"/>
      <c r="BV702" s="207"/>
      <c r="BW702" s="312"/>
      <c r="BX702" s="312"/>
      <c r="BY702" s="239"/>
      <c r="BZ702" s="239"/>
      <c r="CA702" s="239"/>
      <c r="CB702" s="239"/>
      <c r="CC702" s="245">
        <v>2022</v>
      </c>
      <c r="CD702" s="239"/>
      <c r="CE702" s="239"/>
      <c r="CF702" s="239"/>
      <c r="CG702" s="310"/>
      <c r="CH702" s="239">
        <v>25954</v>
      </c>
      <c r="CI702" s="313">
        <f t="shared" si="1253"/>
        <v>25954</v>
      </c>
      <c r="CJ702" s="313">
        <f t="shared" si="1245"/>
        <v>25.178257874875101</v>
      </c>
      <c r="CK702" s="443">
        <v>0.69230769230769229</v>
      </c>
      <c r="CL702" s="239">
        <f>+CL678*CK702+CJ679*CK701+CJ680*CK700+CJ681*CK699+CJ682*CK698+CJ683*CK697+CJ684*CK696+CJ685*CK695+CJ686*CK694+CJ687*CK693+CJ688*CK692+CJ689*CK691+CJ690*CK690+CJ691*CK689+CJ692*CK688+CJ693*CK687+CJ694*CK686+CJ695*CK685+CJ696*CK684+CJ697*CK683+CJ698*CK682+CJ699*CK681+CJ700*CK680+CJ701*CK679+CJ702*CK678</f>
        <v>1201.9609045533748</v>
      </c>
      <c r="CM702" s="243">
        <f t="shared" ref="CM702" si="1282">LN(CL702/CL701)</f>
        <v>1.3665365923556001E-2</v>
      </c>
      <c r="CN702" s="249">
        <f t="shared" si="1247"/>
        <v>7.4767096301396486E-3</v>
      </c>
      <c r="CO702" s="249">
        <f t="shared" si="1256"/>
        <v>1.7944447489309817E-2</v>
      </c>
      <c r="CP702" s="243"/>
      <c r="CQ702" s="249"/>
      <c r="CR702" s="249"/>
      <c r="CS702" s="248">
        <f t="shared" si="1257"/>
        <v>1.2957494119223808E-2</v>
      </c>
      <c r="CT702" s="249">
        <v>0.10114668178709289</v>
      </c>
      <c r="CU702" s="314">
        <f t="shared" si="1248"/>
        <v>0.90351694999999999</v>
      </c>
      <c r="CV702" s="315"/>
      <c r="CW702" s="315"/>
      <c r="CX702" s="315"/>
      <c r="CY702" s="315"/>
      <c r="CZ702" s="316">
        <f>CZ701</f>
        <v>0.26076499999999997</v>
      </c>
      <c r="DA702" s="360">
        <v>0.37</v>
      </c>
      <c r="DB702" s="318">
        <f t="shared" si="1255"/>
        <v>16.201384157147746</v>
      </c>
      <c r="DC702" s="249"/>
      <c r="DD702" s="316">
        <v>0.04</v>
      </c>
      <c r="DE702" s="319">
        <v>7.0000000000000001E-3</v>
      </c>
      <c r="DF702" s="316">
        <v>1030.81</v>
      </c>
      <c r="DG702" s="89">
        <f ca="1">VLOOKUP(CC702,'ECI - Input Price'!M$13:N$33,2,FALSE)</f>
        <v>162.55000000000001</v>
      </c>
      <c r="DH702" s="89"/>
      <c r="DI702" s="89"/>
      <c r="DJ702" s="249">
        <f t="shared" ca="1" si="1266"/>
        <v>3.3148751169364422E-2</v>
      </c>
      <c r="DK702" s="310">
        <v>127.25</v>
      </c>
      <c r="DL702" s="357">
        <f t="shared" si="1259"/>
        <v>7.1325086601983473E-2</v>
      </c>
      <c r="EC702"/>
    </row>
    <row r="703" spans="1:133" s="126" customFormat="1" ht="21" customHeight="1" x14ac:dyDescent="0.4">
      <c r="A703" s="251" t="s">
        <v>223</v>
      </c>
      <c r="B703" s="252" t="s">
        <v>223</v>
      </c>
      <c r="C703" s="252">
        <v>4057131</v>
      </c>
      <c r="D703" s="252" t="s">
        <v>222</v>
      </c>
      <c r="E703" s="252"/>
      <c r="F703" s="252"/>
      <c r="G703" s="252" t="s">
        <v>150</v>
      </c>
      <c r="H703" s="253">
        <v>1998</v>
      </c>
      <c r="I703" s="254"/>
      <c r="J703" s="255"/>
      <c r="K703" s="255"/>
      <c r="L703" s="47"/>
      <c r="M703" s="255"/>
      <c r="N703" s="255"/>
      <c r="O703" s="255"/>
      <c r="P703" s="219"/>
      <c r="Q703" s="218"/>
      <c r="R703" s="385"/>
      <c r="S703" s="257"/>
      <c r="T703" s="258"/>
      <c r="U703" s="258"/>
      <c r="V703" s="259"/>
      <c r="W703" s="259"/>
      <c r="X703" s="259"/>
      <c r="Y703" s="255"/>
      <c r="Z703" s="259"/>
      <c r="AA703" s="259"/>
      <c r="AB703" s="259"/>
      <c r="AC703" s="255"/>
      <c r="AD703" s="254"/>
      <c r="AE703" s="260">
        <v>5985.6601220638559</v>
      </c>
      <c r="AF703" s="256"/>
      <c r="AG703" s="225"/>
      <c r="AH703" s="256"/>
      <c r="AI703" s="256"/>
      <c r="AJ703" s="254">
        <f t="shared" si="1238"/>
        <v>0</v>
      </c>
      <c r="AK703" s="254"/>
      <c r="AL703" s="254"/>
      <c r="AM703" s="256"/>
      <c r="AN703" s="256"/>
      <c r="AO703" s="256"/>
      <c r="AP703" s="226">
        <f>+(AP700+AP701+AP702)/3</f>
        <v>335.64141616183821</v>
      </c>
      <c r="AQ703" s="256"/>
      <c r="AR703" s="261"/>
      <c r="AS703" s="261"/>
      <c r="AT703" s="261"/>
      <c r="AU703" s="261"/>
      <c r="AV703" s="261"/>
      <c r="AW703" s="256">
        <f ca="1">AVERAGE(AW712:AW726)</f>
        <v>2.2225567807289594E-2</v>
      </c>
      <c r="AX703" s="223"/>
      <c r="AY703" s="261"/>
      <c r="AZ703" s="261"/>
      <c r="BA703" s="261"/>
      <c r="BB703" s="262">
        <f>IFERROR(INDEX('Total Customers'!$E$7:$AA$91,MATCH($C703,'Total Customers'!$C$7:$C$91,0),MATCH($G703,'Total Customers'!$E$5:$AA$5,0)),"NA")</f>
        <v>1898034</v>
      </c>
      <c r="BC703" s="413"/>
      <c r="BD703" s="92"/>
      <c r="BE703" s="407" t="str">
        <f t="shared" si="1192"/>
        <v>NORTHERN ILLINOIS GAS COMPANY</v>
      </c>
      <c r="BF703" s="408">
        <f t="shared" si="1193"/>
        <v>4057131</v>
      </c>
      <c r="BG703" s="218" t="str">
        <f t="shared" si="1194"/>
        <v>IL</v>
      </c>
      <c r="BH703" s="218"/>
      <c r="BI703" s="218" t="str">
        <f t="shared" si="1195"/>
        <v>1998 Y</v>
      </c>
      <c r="BJ703" s="254">
        <f>INDEX('Gross Dx Plant'!$D$7:$AC$91,MATCH($C703,'Gross Dx Plant'!$C$7:$C$91,0),MATCH(Calculation!$G703,'Gross Dx Plant'!$D$5:$AC$5,0))</f>
        <v>2104253</v>
      </c>
      <c r="BK703" s="254">
        <f>INDEX('Gross Gen Plant'!$D$7:$AC$91,MATCH($C703,'Gross Gen Plant'!$C$7:$C$91,0),MATCH(Calculation!$G703,'Gross Gen Plant'!$D$5:$AC$5,0))</f>
        <v>225670</v>
      </c>
      <c r="BL703" s="254">
        <f>INDEX('Dist. Plant Gas Additions'!$E$7:$AD$91,MATCH($C703,'Dist. Plant Gas Additions'!$C$7:$C$91,0),MATCH(Calculation!$G703,'Dist. Plant Gas Additions'!$E$5:$AD$5,0))</f>
        <v>69195</v>
      </c>
      <c r="BM703" s="254">
        <f>INDEX('Gen. Plant Additions'!$E$7:$AD$91,MATCH($C703,'Gen. Plant Additions'!$C$7:$C$91,0),MATCH(Calculation!$G703,'Gen. Plant Additions'!$E$5:$AD$5,0))</f>
        <v>17269</v>
      </c>
      <c r="BN703" s="409">
        <f>+(BY703/(BY703+BZ703))</f>
        <v>0.90314272188394207</v>
      </c>
      <c r="BO703" s="218">
        <f t="shared" si="1278"/>
        <v>15596.371664213795</v>
      </c>
      <c r="BP703" s="218">
        <f t="shared" si="1279"/>
        <v>-1672.6283357862048</v>
      </c>
      <c r="BQ703" s="254">
        <f>INDEX('Dist Plant Depreciation'!$D$7:$AC$94,MATCH($C703,'Dist Plant Depreciation'!$C$7:$C$94,0),MATCH(Calculation!$G703,'Dist Plant Depreciation'!$D$5:$AC$5,0))</f>
        <v>1040376</v>
      </c>
      <c r="BR703" s="254">
        <f>INDEX('Gen. Plant Depreciation'!$D$7:$AC$94,MATCH($C703,'Gen. Plant Depreciation'!$C$7:$C$94,0),MATCH(Calculation!$G703,'Gen. Plant Depreciation'!$D$5:$AC$5,0))</f>
        <v>82123</v>
      </c>
      <c r="BS703" s="254"/>
      <c r="BT703" s="254"/>
      <c r="BU703" s="254"/>
      <c r="BV703" s="254"/>
      <c r="BW703" s="254"/>
      <c r="BX703" s="254"/>
      <c r="BY703" s="254">
        <f>INDEX('Gross Dx Plant'!$D$7:$AC$91,MATCH($C703,'Gross Dx Plant'!$C$7:$C$91,0),MATCH(Calculation!$G703,'Gross Dx Plant'!$D$5:$AC$5,0))</f>
        <v>2104253</v>
      </c>
      <c r="BZ703" s="254">
        <f>INDEX('Gross Gen Plant'!$D$7:$AC$91,MATCH($C703,'Gross Gen Plant'!$C$7:$C$91,0),MATCH(Calculation!$G703,'Gross Gen Plant'!$D$5:$AC$5,0))</f>
        <v>225670</v>
      </c>
      <c r="CA703" s="254">
        <f t="shared" si="1197"/>
        <v>1207424</v>
      </c>
      <c r="CB703" s="254"/>
      <c r="CC703" s="260">
        <v>1998</v>
      </c>
      <c r="CD703" s="254">
        <f>BJ703+BK703</f>
        <v>2329923</v>
      </c>
      <c r="CE703" s="254">
        <f>1040376+82123</f>
        <v>1122499</v>
      </c>
      <c r="CF703" s="254">
        <f>+CD703-CE703</f>
        <v>1207424</v>
      </c>
      <c r="CG703" s="254">
        <f>CF703/$BX$3</f>
        <v>5985.6601220638559</v>
      </c>
      <c r="CH703" s="323"/>
      <c r="CI703" s="344"/>
      <c r="CJ703" s="344"/>
      <c r="CK703" s="443">
        <v>1</v>
      </c>
      <c r="CL703" s="254">
        <f>+CG703</f>
        <v>5985.6601220638559</v>
      </c>
      <c r="CM703" s="256"/>
      <c r="CN703" s="325"/>
      <c r="CO703" s="325"/>
      <c r="CP703" s="256" t="e">
        <f>VLOOKUP($H703,RoR!$E:$F,2,FALSE)</f>
        <v>#N/A</v>
      </c>
      <c r="CQ703" s="325">
        <v>1.1028127770464469E-2</v>
      </c>
      <c r="CR703" s="325"/>
      <c r="CS703" s="326">
        <f t="shared" si="1257"/>
        <v>3.0901941608533625E-2</v>
      </c>
      <c r="CT703" s="325"/>
      <c r="CU703" s="327">
        <f t="shared" si="1248"/>
        <v>0.90351694999999999</v>
      </c>
      <c r="CV703" s="328"/>
      <c r="CW703" s="328"/>
      <c r="CX703" s="328"/>
      <c r="CY703" s="328"/>
      <c r="CZ703" s="329">
        <f>CZ702</f>
        <v>0.26076499999999997</v>
      </c>
      <c r="DA703" s="351">
        <v>0.37</v>
      </c>
      <c r="DB703" s="331"/>
      <c r="DC703" s="326"/>
      <c r="DD703" s="351" t="e">
        <f>VLOOKUP($H703,RoR!$E:$F,2,FALSE)</f>
        <v>#N/A</v>
      </c>
      <c r="DE703" s="354">
        <f>HLOOKUP($H703,'GDP-PI'!$D$8:$CQ$11,3,FALSE)</f>
        <v>1.1028127770464469E-2</v>
      </c>
      <c r="DF703" s="351">
        <f>VLOOKUP(H703,'HW Dx Data'!$E:$F,2,FALSE)</f>
        <v>329.24564746449528</v>
      </c>
      <c r="DG703" s="351"/>
      <c r="DH703" s="351"/>
      <c r="DI703" s="351"/>
      <c r="DJ703" s="326"/>
      <c r="DK703" s="344">
        <f>HLOOKUP(H703,'GDP-PI'!$8:$9,2,FALSE)</f>
        <v>75.266999999999996</v>
      </c>
      <c r="DL703" s="292"/>
      <c r="EC703"/>
    </row>
    <row r="704" spans="1:133" s="126" customFormat="1" ht="21" customHeight="1" x14ac:dyDescent="0.4">
      <c r="A704" s="233" t="s">
        <v>223</v>
      </c>
      <c r="B704" s="127" t="s">
        <v>223</v>
      </c>
      <c r="C704" s="127">
        <v>4057131</v>
      </c>
      <c r="D704" s="127" t="s">
        <v>222</v>
      </c>
      <c r="E704" s="127"/>
      <c r="F704" s="127"/>
      <c r="G704" s="127" t="s">
        <v>155</v>
      </c>
      <c r="H704" s="128">
        <v>1999</v>
      </c>
      <c r="I704" s="129"/>
      <c r="J704" s="125"/>
      <c r="K704" s="129"/>
      <c r="L704" s="47"/>
      <c r="M704" s="129"/>
      <c r="N704" s="129"/>
      <c r="O704" s="129"/>
      <c r="P704" s="47"/>
      <c r="Q704" s="47"/>
      <c r="R704" s="386"/>
      <c r="S704" s="119"/>
      <c r="T704" s="47"/>
      <c r="U704" s="46"/>
      <c r="V704" s="135"/>
      <c r="W704" s="135"/>
      <c r="X704" s="135"/>
      <c r="Y704" s="143"/>
      <c r="Z704" s="135"/>
      <c r="AA704" s="135"/>
      <c r="AB704" s="135"/>
      <c r="AC704" s="125">
        <f t="shared" ref="AC704:AC727" si="1283">+CL703*DB704</f>
        <v>0</v>
      </c>
      <c r="AD704" s="129"/>
      <c r="AE704" s="133">
        <v>6249.6524399560385</v>
      </c>
      <c r="AF704" s="134">
        <v>4.3159223583047732E-2</v>
      </c>
      <c r="AG704" s="61"/>
      <c r="AH704" s="134"/>
      <c r="AI704" s="134"/>
      <c r="AJ704" s="129">
        <f t="shared" si="1238"/>
        <v>0</v>
      </c>
      <c r="AK704" s="134"/>
      <c r="AL704" s="129"/>
      <c r="AM704" s="134"/>
      <c r="AN704" s="134"/>
      <c r="AO704" s="134"/>
      <c r="AP704" s="133"/>
      <c r="AQ704" s="134"/>
      <c r="AR704" s="93"/>
      <c r="AS704" s="93"/>
      <c r="AT704" s="93"/>
      <c r="AU704" s="93"/>
      <c r="AV704" s="93"/>
      <c r="AW704" s="134"/>
      <c r="AX704" s="62"/>
      <c r="AY704" s="93"/>
      <c r="AZ704" s="93"/>
      <c r="BA704" s="93"/>
      <c r="BB704" s="234">
        <f>IFERROR(INDEX('Total Customers'!$E$7:$AA$91,MATCH($C704,'Total Customers'!$C$7:$C$91,0),MATCH($G704,'Total Customers'!$E$5:$AA$5,0)),"NA")</f>
        <v>1929041</v>
      </c>
      <c r="BC704" s="411">
        <f t="shared" si="1196"/>
        <v>1.6204374613200991E-2</v>
      </c>
      <c r="BD704" s="92"/>
      <c r="BE704" s="281" t="str">
        <f t="shared" si="1192"/>
        <v>NORTHERN ILLINOIS GAS COMPANY</v>
      </c>
      <c r="BF704" s="290">
        <f t="shared" si="1193"/>
        <v>4057131</v>
      </c>
      <c r="BG704" s="46" t="str">
        <f t="shared" si="1194"/>
        <v>IL</v>
      </c>
      <c r="BH704" s="46"/>
      <c r="BI704" s="46" t="str">
        <f t="shared" si="1195"/>
        <v>1999 Y</v>
      </c>
      <c r="BJ704" s="129"/>
      <c r="BK704" s="129"/>
      <c r="BL704" s="129">
        <f>INDEX('Dist. Plant Gas Additions'!$E$7:$AD$91,MATCH($C704,'Dist. Plant Gas Additions'!$C$7:$C$91,0),MATCH(Calculation!$G704,'Dist. Plant Gas Additions'!$E$5:$AD$5,0))</f>
        <v>83643</v>
      </c>
      <c r="BM704" s="129">
        <f>INDEX('Gen. Plant Additions'!$E$7:$AD$91,MATCH($C704,'Gen. Plant Additions'!$C$7:$C$91,0),MATCH(Calculation!$G704,'Gen. Plant Additions'!$E$5:$AD$5,0))</f>
        <v>14866</v>
      </c>
      <c r="BN704" s="393">
        <f t="shared" ref="BN704:BN725" si="1284">+(BY704/(BY704+BZ704))</f>
        <v>0.90501923958065478</v>
      </c>
      <c r="BO704" s="46">
        <f t="shared" si="1278"/>
        <v>13454.016015606014</v>
      </c>
      <c r="BP704" s="46">
        <f t="shared" si="1279"/>
        <v>-1411.9839843939862</v>
      </c>
      <c r="BQ704" s="129">
        <f>INDEX('Dist Plant Depreciation'!$D$7:$AC$94,MATCH($C704,'Dist Plant Depreciation'!$C$7:$C$94,0),MATCH(Calculation!$G704,'Dist Plant Depreciation'!$D$5:$AC$5,0))</f>
        <v>1107660</v>
      </c>
      <c r="BR704" s="129">
        <f>INDEX('Gen. Plant Depreciation'!$D$7:$AC$94,MATCH($C704,'Gen. Plant Depreciation'!$C$7:$C$94,0),MATCH(Calculation!$G704,'Gen. Plant Depreciation'!$D$5:$AC$5,0))</f>
        <v>91914</v>
      </c>
      <c r="BS704" s="129"/>
      <c r="BT704" s="129"/>
      <c r="BU704" s="129"/>
      <c r="BV704" s="129"/>
      <c r="BW704" s="129"/>
      <c r="BX704" s="129"/>
      <c r="BY704" s="129">
        <f>INDEX('Gross Dx Plant'!$D$7:$AC$91,MATCH($C704,'Gross Dx Plant'!$C$7:$C$91,0),MATCH(Calculation!$G704,'Gross Dx Plant'!$D$5:$AC$5,0))</f>
        <v>2178632</v>
      </c>
      <c r="BZ704" s="129">
        <f>INDEX('Gross Gen Plant'!$D$7:$AC$91,MATCH($C704,'Gross Gen Plant'!$C$7:$C$91,0),MATCH(Calculation!$G704,'Gross Gen Plant'!$D$5:$AC$5,0))</f>
        <v>228645</v>
      </c>
      <c r="CA704" s="129">
        <f t="shared" si="1197"/>
        <v>1207703</v>
      </c>
      <c r="CB704" s="129"/>
      <c r="CC704" s="133">
        <v>1999</v>
      </c>
      <c r="CD704" s="129"/>
      <c r="CE704" s="129"/>
      <c r="CF704" s="129"/>
      <c r="CG704" s="137"/>
      <c r="CH704" s="129">
        <f t="shared" ref="CH704:CH726" si="1285">+BM704+BL704</f>
        <v>98509</v>
      </c>
      <c r="CI704" s="46">
        <f>+CH704+BP704</f>
        <v>97097.016015606016</v>
      </c>
      <c r="CJ704" s="46">
        <f t="shared" ref="CJ704:CJ727" si="1286">+CI704/$DF704</f>
        <v>289.56092890920138</v>
      </c>
      <c r="CK704" s="443">
        <v>0.99009900990099009</v>
      </c>
      <c r="CL704" s="46">
        <f>+CL703*CK704+CJ704</f>
        <v>6215.9570893684649</v>
      </c>
      <c r="CM704" s="134">
        <f t="shared" ref="CM704:CM725" si="1287">LN(CL704/CL703)</f>
        <v>3.7753080774810321E-2</v>
      </c>
      <c r="CN704" s="135">
        <f t="shared" ref="CN704:CN727" si="1288">+(CL703-CL704+CJ704)/CL703</f>
        <v>9.9009900990098421E-3</v>
      </c>
      <c r="CO704" s="135"/>
      <c r="CP704" s="134">
        <f>VLOOKUP($H704,RoR!$E:$F,2,FALSE)</f>
        <v>7.0416666666666669E-2</v>
      </c>
      <c r="CQ704" s="135">
        <v>1.4335631817396832E-2</v>
      </c>
      <c r="CR704" s="135">
        <f>+CP704-CQ704</f>
        <v>5.6081034849269837E-2</v>
      </c>
      <c r="CS704" s="135"/>
      <c r="CT704" s="135"/>
      <c r="CU704" s="139">
        <f t="shared" ref="CU704:CU727" si="1289">1-CZ704*DA704</f>
        <v>0.85171695000000003</v>
      </c>
      <c r="CV704" s="335">
        <f t="shared" ref="CV704:CV726" si="1290">2/(DD704*39)</f>
        <v>0.72826581702321336</v>
      </c>
      <c r="CW704" s="335">
        <f t="shared" ref="CW704:CW726" si="1291">+(DD704*40-(1+DD704))/(DD704*40)</f>
        <v>0.61997041420118348</v>
      </c>
      <c r="CX704" s="335">
        <f t="shared" ref="CX704:CX726" si="1292">+(1-(1/(1+DD704)^40))</f>
        <v>0.93425155319585029</v>
      </c>
      <c r="CY704" s="335">
        <f t="shared" ref="CY704:CY726" si="1293">+CX704*CW704*CV704</f>
        <v>0.42181762214141483</v>
      </c>
      <c r="CZ704" s="336">
        <f>INDEX('State Tax Lookup'!$D$7:$Z$91,MATCH(Calculation!$C704,'State Tax Lookup'!$B$7:$B$91,0),MATCH($H704,'State Tax Lookup'!$D$6:$Z$6,0))</f>
        <v>0.40076499999999998</v>
      </c>
      <c r="DA704" s="303">
        <v>0.37</v>
      </c>
      <c r="DB704" s="57"/>
      <c r="DC704" s="56"/>
      <c r="DD704" s="303">
        <f>VLOOKUP($H704,RoR!$E:$F,2,FALSE)</f>
        <v>7.0416666666666669E-2</v>
      </c>
      <c r="DE704" s="304">
        <f>HLOOKUP($H704,'GDP-PI'!$D$8:$CQ$11,3,FALSE)</f>
        <v>1.4335631817396832E-2</v>
      </c>
      <c r="DF704" s="303">
        <f>VLOOKUP(H704,'HW Dx Data'!$E:$F,2,FALSE)</f>
        <v>335.32499146683239</v>
      </c>
      <c r="DG704" s="89"/>
      <c r="DH704" s="89"/>
      <c r="DI704" s="89"/>
      <c r="DJ704" s="56"/>
      <c r="DK704" s="53">
        <f>HLOOKUP(H704,'GDP-PI'!$8:$9,2,FALSE)</f>
        <v>76.346000000000004</v>
      </c>
      <c r="DL704" s="298"/>
      <c r="EC704"/>
    </row>
    <row r="705" spans="1:133" s="126" customFormat="1" ht="21" customHeight="1" x14ac:dyDescent="0.4">
      <c r="A705" s="233" t="s">
        <v>223</v>
      </c>
      <c r="B705" s="127" t="s">
        <v>223</v>
      </c>
      <c r="C705" s="127">
        <v>4057131</v>
      </c>
      <c r="D705" s="127" t="s">
        <v>222</v>
      </c>
      <c r="E705" s="127"/>
      <c r="F705" s="127"/>
      <c r="G705" s="127" t="s">
        <v>156</v>
      </c>
      <c r="H705" s="128">
        <v>2000</v>
      </c>
      <c r="I705" s="129"/>
      <c r="J705" s="125"/>
      <c r="K705" s="125"/>
      <c r="L705" s="47"/>
      <c r="M705" s="125"/>
      <c r="N705" s="125"/>
      <c r="O705" s="125"/>
      <c r="P705" s="47"/>
      <c r="Q705" s="47"/>
      <c r="R705" s="386"/>
      <c r="S705" s="119"/>
      <c r="T705" s="47"/>
      <c r="U705" s="47"/>
      <c r="V705" s="125"/>
      <c r="W705" s="125"/>
      <c r="X705" s="125"/>
      <c r="Y705" s="125"/>
      <c r="Z705" s="125"/>
      <c r="AA705" s="125"/>
      <c r="AB705" s="125"/>
      <c r="AC705" s="125">
        <f t="shared" si="1283"/>
        <v>0</v>
      </c>
      <c r="AD705" s="129"/>
      <c r="AE705" s="133">
        <v>6537.4894861455568</v>
      </c>
      <c r="AF705" s="134">
        <v>4.5027368556970038E-2</v>
      </c>
      <c r="AG705" s="61"/>
      <c r="AH705" s="134"/>
      <c r="AI705" s="134"/>
      <c r="AJ705" s="129">
        <f t="shared" si="1238"/>
        <v>0</v>
      </c>
      <c r="AK705" s="134"/>
      <c r="AL705" s="129"/>
      <c r="AM705" s="129"/>
      <c r="AN705" s="129"/>
      <c r="AO705" s="129"/>
      <c r="AP705" s="133"/>
      <c r="AQ705" s="134"/>
      <c r="AR705" s="93"/>
      <c r="AS705" s="93"/>
      <c r="AT705" s="93"/>
      <c r="AU705" s="93"/>
      <c r="AV705" s="93"/>
      <c r="AW705" s="134"/>
      <c r="AX705" s="62"/>
      <c r="AY705" s="93"/>
      <c r="AZ705" s="93"/>
      <c r="BA705" s="93"/>
      <c r="BB705" s="234">
        <f>IFERROR(INDEX('Total Customers'!$E$7:$AA$91,MATCH($C705,'Total Customers'!$C$7:$C$91,0),MATCH($G705,'Total Customers'!$E$5:$AA$5,0)),"NA")</f>
        <v>1962235</v>
      </c>
      <c r="BC705" s="411">
        <f t="shared" si="1196"/>
        <v>1.7061141475925422E-2</v>
      </c>
      <c r="BD705" s="92"/>
      <c r="BE705" s="281" t="str">
        <f t="shared" si="1192"/>
        <v>NORTHERN ILLINOIS GAS COMPANY</v>
      </c>
      <c r="BF705" s="290">
        <f t="shared" si="1193"/>
        <v>4057131</v>
      </c>
      <c r="BG705" s="46" t="str">
        <f t="shared" si="1194"/>
        <v>IL</v>
      </c>
      <c r="BH705" s="46"/>
      <c r="BI705" s="46" t="str">
        <f t="shared" si="1195"/>
        <v>2000 Y</v>
      </c>
      <c r="BJ705" s="129"/>
      <c r="BK705" s="129"/>
      <c r="BL705" s="129">
        <f>INDEX('Dist. Plant Gas Additions'!$E$7:$AD$91,MATCH($C705,'Dist. Plant Gas Additions'!$C$7:$C$91,0),MATCH(Calculation!$G705,'Dist. Plant Gas Additions'!$E$5:$AD$5,0))</f>
        <v>86506</v>
      </c>
      <c r="BM705" s="129">
        <f>INDEX('Gen. Plant Additions'!$E$7:$AD$91,MATCH($C705,'Gen. Plant Additions'!$C$7:$C$91,0),MATCH(Calculation!$G705,'Gen. Plant Additions'!$E$5:$AD$5,0))</f>
        <v>24378</v>
      </c>
      <c r="BN705" s="393">
        <f t="shared" si="1284"/>
        <v>0.90491493429219361</v>
      </c>
      <c r="BO705" s="46">
        <f t="shared" si="1278"/>
        <v>22060.016268175095</v>
      </c>
      <c r="BP705" s="46">
        <f t="shared" si="1279"/>
        <v>-2317.9837318249047</v>
      </c>
      <c r="BQ705" s="129">
        <f>INDEX('Dist Plant Depreciation'!$D$7:$AC$94,MATCH($C705,'Dist Plant Depreciation'!$C$7:$C$94,0),MATCH(Calculation!$G705,'Dist Plant Depreciation'!$D$5:$AC$5,0))</f>
        <v>1181107</v>
      </c>
      <c r="BR705" s="129">
        <f>INDEX('Gen. Plant Depreciation'!$D$7:$AC$94,MATCH($C705,'Gen. Plant Depreciation'!$C$7:$C$94,0),MATCH(Calculation!$G705,'Gen. Plant Depreciation'!$D$5:$AC$5,0))</f>
        <v>99562</v>
      </c>
      <c r="BS705" s="129"/>
      <c r="BT705" s="129"/>
      <c r="BU705" s="129"/>
      <c r="BV705" s="129"/>
      <c r="BW705" s="129"/>
      <c r="BX705" s="129"/>
      <c r="BY705" s="129">
        <f>INDEX('Gross Dx Plant'!$D$7:$AC$91,MATCH($C705,'Gross Dx Plant'!$C$7:$C$91,0),MATCH(Calculation!$G705,'Gross Dx Plant'!$D$5:$AC$5,0))</f>
        <v>2256923</v>
      </c>
      <c r="BZ705" s="129">
        <f>INDEX('Gross Gen Plant'!$D$7:$AC$91,MATCH($C705,'Gross Gen Plant'!$C$7:$C$91,0),MATCH(Calculation!$G705,'Gross Gen Plant'!$D$5:$AC$5,0))</f>
        <v>237149</v>
      </c>
      <c r="CA705" s="129">
        <f t="shared" si="1197"/>
        <v>1213403</v>
      </c>
      <c r="CB705" s="129"/>
      <c r="CC705" s="133">
        <v>2000</v>
      </c>
      <c r="CD705" s="129"/>
      <c r="CE705" s="129"/>
      <c r="CF705" s="129"/>
      <c r="CG705" s="137"/>
      <c r="CH705" s="129">
        <f t="shared" si="1285"/>
        <v>110884</v>
      </c>
      <c r="CI705" s="46">
        <f t="shared" ref="CI705:CI727" si="1294">+CH705+BP705</f>
        <v>108566.0162681751</v>
      </c>
      <c r="CJ705" s="46">
        <f t="shared" si="1286"/>
        <v>313.2913499750594</v>
      </c>
      <c r="CK705" s="443">
        <v>0.98</v>
      </c>
      <c r="CL705" s="46">
        <f>+CL703*CK705+CJ704*CK704+CJ705</f>
        <v>6465.9322586166491</v>
      </c>
      <c r="CM705" s="134">
        <f t="shared" si="1287"/>
        <v>3.9427492909885481E-2</v>
      </c>
      <c r="CN705" s="135">
        <f t="shared" si="1288"/>
        <v>1.018607107748039E-2</v>
      </c>
      <c r="CO705" s="135"/>
      <c r="CP705" s="134">
        <f>VLOOKUP($H705,RoR!$E:$F,2,FALSE)</f>
        <v>7.6225000000000001E-2</v>
      </c>
      <c r="CQ705" s="135">
        <v>2.2568307442433211E-2</v>
      </c>
      <c r="CR705" s="135">
        <f t="shared" ref="CR705:CR725" si="1295">+CP705-CQ705</f>
        <v>5.365669255756679E-2</v>
      </c>
      <c r="CS705" s="135"/>
      <c r="CT705" s="135"/>
      <c r="CU705" s="139">
        <f t="shared" si="1289"/>
        <v>0.85171695000000003</v>
      </c>
      <c r="CV705" s="335">
        <f t="shared" si="1290"/>
        <v>0.67277207323124022</v>
      </c>
      <c r="CW705" s="335">
        <f t="shared" si="1291"/>
        <v>0.6470236142997704</v>
      </c>
      <c r="CX705" s="335">
        <f t="shared" si="1292"/>
        <v>0.94704866037543145</v>
      </c>
      <c r="CY705" s="335">
        <f t="shared" si="1293"/>
        <v>0.41224973107878493</v>
      </c>
      <c r="CZ705" s="336">
        <f>INDEX('State Tax Lookup'!$D$7:$Z$91,MATCH(Calculation!$C705,'State Tax Lookup'!$B$7:$B$91,0),MATCH($H705,'State Tax Lookup'!$D$6:$Z$6,0))</f>
        <v>0.40076499999999998</v>
      </c>
      <c r="DA705" s="303">
        <v>0.37</v>
      </c>
      <c r="DB705" s="57"/>
      <c r="DC705" s="56"/>
      <c r="DD705" s="303">
        <f>VLOOKUP($H705,RoR!$E:$F,2,FALSE)</f>
        <v>7.6225000000000001E-2</v>
      </c>
      <c r="DE705" s="304">
        <f>HLOOKUP($H705,'GDP-PI'!$D$8:$CQ$11,3,FALSE)</f>
        <v>2.2568307442433211E-2</v>
      </c>
      <c r="DF705" s="303">
        <f>VLOOKUP(H705,'HW Dx Data'!$E:$F,2,FALSE)</f>
        <v>346.53371782150339</v>
      </c>
      <c r="DG705" s="89"/>
      <c r="DH705" s="89"/>
      <c r="DI705" s="89"/>
      <c r="DJ705" s="56"/>
      <c r="DK705" s="53">
        <f>HLOOKUP(H705,'GDP-PI'!$8:$9,2,FALSE)</f>
        <v>78.069000000000003</v>
      </c>
      <c r="DL705" s="298"/>
      <c r="EC705"/>
    </row>
    <row r="706" spans="1:133" s="126" customFormat="1" ht="21" customHeight="1" x14ac:dyDescent="0.4">
      <c r="A706" s="233" t="s">
        <v>223</v>
      </c>
      <c r="B706" s="127" t="s">
        <v>223</v>
      </c>
      <c r="C706" s="127">
        <v>4057131</v>
      </c>
      <c r="D706" s="127" t="s">
        <v>222</v>
      </c>
      <c r="E706" s="127"/>
      <c r="F706" s="127"/>
      <c r="G706" s="127" t="s">
        <v>157</v>
      </c>
      <c r="H706" s="128">
        <v>2001</v>
      </c>
      <c r="I706" s="129"/>
      <c r="J706" s="125"/>
      <c r="K706" s="125"/>
      <c r="L706" s="47"/>
      <c r="M706" s="125"/>
      <c r="N706" s="125"/>
      <c r="O706" s="125"/>
      <c r="P706" s="47"/>
      <c r="Q706" s="47"/>
      <c r="R706" s="386"/>
      <c r="S706" s="119"/>
      <c r="T706" s="47"/>
      <c r="U706" s="47"/>
      <c r="V706" s="125"/>
      <c r="W706" s="125"/>
      <c r="X706" s="125"/>
      <c r="Y706" s="125"/>
      <c r="Z706" s="125"/>
      <c r="AA706" s="125"/>
      <c r="AB706" s="125"/>
      <c r="AC706" s="125">
        <f t="shared" si="1283"/>
        <v>67591.919017737659</v>
      </c>
      <c r="AD706" s="129"/>
      <c r="AE706" s="133">
        <v>6851.011927188455</v>
      </c>
      <c r="AF706" s="134">
        <v>4.6843146808514743E-2</v>
      </c>
      <c r="AG706" s="61"/>
      <c r="AH706" s="134"/>
      <c r="AI706" s="134"/>
      <c r="AJ706" s="129">
        <f t="shared" si="1238"/>
        <v>67591.919017737659</v>
      </c>
      <c r="AK706" s="134"/>
      <c r="AL706" s="129"/>
      <c r="AM706" s="129"/>
      <c r="AN706" s="129"/>
      <c r="AO706" s="129"/>
      <c r="AP706" s="133"/>
      <c r="AQ706" s="134"/>
      <c r="AR706" s="93"/>
      <c r="AS706" s="93"/>
      <c r="AT706" s="93"/>
      <c r="AU706" s="93"/>
      <c r="AV706" s="93"/>
      <c r="AW706" s="134"/>
      <c r="AX706" s="62"/>
      <c r="AY706" s="93"/>
      <c r="AZ706" s="93"/>
      <c r="BA706" s="93"/>
      <c r="BB706" s="234">
        <f>IFERROR(INDEX('Total Customers'!$E$7:$AA$91,MATCH($C706,'Total Customers'!$C$7:$C$91,0),MATCH($G706,'Total Customers'!$E$5:$AA$5,0)),"NA")</f>
        <v>1991684</v>
      </c>
      <c r="BC706" s="411">
        <f t="shared" si="1196"/>
        <v>1.4896382330792634E-2</v>
      </c>
      <c r="BD706" s="92"/>
      <c r="BE706" s="281" t="str">
        <f t="shared" si="1192"/>
        <v>NORTHERN ILLINOIS GAS COMPANY</v>
      </c>
      <c r="BF706" s="290">
        <f t="shared" si="1193"/>
        <v>4057131</v>
      </c>
      <c r="BG706" s="46" t="str">
        <f t="shared" si="1194"/>
        <v>IL</v>
      </c>
      <c r="BH706" s="46"/>
      <c r="BI706" s="46" t="str">
        <f t="shared" si="1195"/>
        <v>2001 Y</v>
      </c>
      <c r="BJ706" s="129"/>
      <c r="BK706" s="129"/>
      <c r="BL706" s="129">
        <f>INDEX('Dist. Plant Gas Additions'!$E$7:$AD$91,MATCH($C706,'Dist. Plant Gas Additions'!$C$7:$C$91,0),MATCH(Calculation!$G706,'Dist. Plant Gas Additions'!$E$5:$AD$5,0))</f>
        <v>105964</v>
      </c>
      <c r="BM706" s="129">
        <f>INDEX('Gen. Plant Additions'!$E$7:$AD$91,MATCH($C706,'Gen. Plant Additions'!$C$7:$C$91,0),MATCH(Calculation!$G706,'Gen. Plant Additions'!$E$5:$AD$5,0))</f>
        <v>16560</v>
      </c>
      <c r="BN706" s="393">
        <f t="shared" si="1284"/>
        <v>0.90737166239802347</v>
      </c>
      <c r="BO706" s="46">
        <f t="shared" si="1278"/>
        <v>15026.074729311269</v>
      </c>
      <c r="BP706" s="46">
        <f t="shared" si="1279"/>
        <v>-1533.925270688731</v>
      </c>
      <c r="BQ706" s="129">
        <f>INDEX('Dist Plant Depreciation'!$D$7:$AC$94,MATCH($C706,'Dist Plant Depreciation'!$C$7:$C$94,0),MATCH(Calculation!$G706,'Dist Plant Depreciation'!$D$5:$AC$5,0))</f>
        <v>1268622</v>
      </c>
      <c r="BR706" s="129">
        <f>INDEX('Gen. Plant Depreciation'!$D$7:$AC$94,MATCH($C706,'Gen. Plant Depreciation'!$C$7:$C$94,0),MATCH(Calculation!$G706,'Gen. Plant Depreciation'!$D$5:$AC$5,0))</f>
        <v>100711</v>
      </c>
      <c r="BS706" s="129"/>
      <c r="BT706" s="129"/>
      <c r="BU706" s="129"/>
      <c r="BV706" s="129"/>
      <c r="BW706" s="129"/>
      <c r="BX706" s="129"/>
      <c r="BY706" s="129">
        <f>INDEX('Gross Dx Plant'!$D$7:$AC$91,MATCH($C706,'Gross Dx Plant'!$C$7:$C$91,0),MATCH(Calculation!$G706,'Gross Dx Plant'!$D$5:$AC$5,0))</f>
        <v>2355594</v>
      </c>
      <c r="BZ706" s="129">
        <f>INDEX('Gross Gen Plant'!$D$7:$AC$91,MATCH($C706,'Gross Gen Plant'!$C$7:$C$91,0),MATCH(Calculation!$G706,'Gross Gen Plant'!$D$5:$AC$5,0))</f>
        <v>240469</v>
      </c>
      <c r="CA706" s="129">
        <f t="shared" si="1197"/>
        <v>1226730</v>
      </c>
      <c r="CB706" s="129"/>
      <c r="CC706" s="133">
        <v>2001</v>
      </c>
      <c r="CD706" s="129"/>
      <c r="CE706" s="129"/>
      <c r="CF706" s="129"/>
      <c r="CG706" s="137"/>
      <c r="CH706" s="129">
        <f t="shared" si="1285"/>
        <v>122524</v>
      </c>
      <c r="CI706" s="46">
        <f t="shared" si="1294"/>
        <v>120990.07472931127</v>
      </c>
      <c r="CJ706" s="46">
        <f t="shared" si="1286"/>
        <v>342.31424963304011</v>
      </c>
      <c r="CK706" s="443">
        <v>0.96969696969696972</v>
      </c>
      <c r="CL706" s="46">
        <f>+CL703*CK706+CJ704*CK705+CJ705*CK703+CJ706</f>
        <v>6743.6517919404323</v>
      </c>
      <c r="CM706" s="134">
        <f t="shared" si="1287"/>
        <v>4.205438439535944E-2</v>
      </c>
      <c r="CN706" s="135">
        <f t="shared" si="1288"/>
        <v>9.9900082038713693E-3</v>
      </c>
      <c r="CO706" s="135">
        <f>+(CN706+CN705+CN704)/3</f>
        <v>1.0025689793453868E-2</v>
      </c>
      <c r="CP706" s="134">
        <f>VLOOKUP($H706,RoR!$E:$F,2,FALSE)</f>
        <v>7.0824999999999999E-2</v>
      </c>
      <c r="CQ706" s="135">
        <v>2.2454495382290052E-2</v>
      </c>
      <c r="CR706" s="135">
        <f t="shared" si="1295"/>
        <v>4.8370504617709947E-2</v>
      </c>
      <c r="CS706" s="135">
        <f>+$CR$2-CO706</f>
        <v>2.0876251815079759E-2</v>
      </c>
      <c r="CT706" s="135">
        <f>+((DF704/DF703-1)+(DF705/DF704-1)+(DF706/DF705-1))/3</f>
        <v>2.3947275901631187E-2</v>
      </c>
      <c r="CU706" s="139">
        <f t="shared" si="1289"/>
        <v>0.85171695000000003</v>
      </c>
      <c r="CV706" s="335">
        <f t="shared" si="1290"/>
        <v>0.72406708481540816</v>
      </c>
      <c r="CW706" s="335">
        <f t="shared" si="1291"/>
        <v>0.62201729615248857</v>
      </c>
      <c r="CX706" s="335">
        <f t="shared" si="1292"/>
        <v>0.9352469954311422</v>
      </c>
      <c r="CY706" s="335">
        <f t="shared" si="1293"/>
        <v>0.42121864641655071</v>
      </c>
      <c r="CZ706" s="336">
        <f>INDEX('State Tax Lookup'!$D$7:$Z$91,MATCH(Calculation!$C706,'State Tax Lookup'!$B$7:$B$91,0),MATCH($H706,'State Tax Lookup'!$D$6:$Z$6,0))</f>
        <v>0.40076499999999998</v>
      </c>
      <c r="DA706" s="303">
        <v>0.37</v>
      </c>
      <c r="DB706" s="57">
        <f t="shared" ref="DB706:DB727" si="1296">+(DF706*CS706-CT706)*CU706/(1-CZ706)</f>
        <v>10.453545801947294</v>
      </c>
      <c r="DC706" s="56"/>
      <c r="DD706" s="303">
        <f>VLOOKUP($H706,RoR!$E:$F,2,FALSE)</f>
        <v>7.0824999999999999E-2</v>
      </c>
      <c r="DE706" s="304">
        <f>HLOOKUP($H706,'GDP-PI'!$D$8:$CQ$11,3,FALSE)</f>
        <v>2.2454495382290052E-2</v>
      </c>
      <c r="DF706" s="303">
        <f>VLOOKUP(H706,'HW Dx Data'!$E:$F,2,FALSE)</f>
        <v>353.44738017483138</v>
      </c>
      <c r="DG706" s="89"/>
      <c r="DH706" s="89"/>
      <c r="DI706" s="89"/>
      <c r="DJ706" s="56"/>
      <c r="DK706" s="53">
        <f>HLOOKUP(H706,'GDP-PI'!$8:$9,2,FALSE)</f>
        <v>79.822000000000003</v>
      </c>
      <c r="DL706" s="298"/>
      <c r="EC706"/>
    </row>
    <row r="707" spans="1:133" s="126" customFormat="1" ht="21" customHeight="1" x14ac:dyDescent="0.4">
      <c r="A707" s="233" t="s">
        <v>223</v>
      </c>
      <c r="B707" s="127" t="s">
        <v>223</v>
      </c>
      <c r="C707" s="127">
        <v>4057131</v>
      </c>
      <c r="D707" s="127" t="s">
        <v>222</v>
      </c>
      <c r="E707" s="127"/>
      <c r="F707" s="127"/>
      <c r="G707" s="127" t="s">
        <v>158</v>
      </c>
      <c r="H707" s="128">
        <v>2002</v>
      </c>
      <c r="I707" s="129"/>
      <c r="J707" s="125"/>
      <c r="K707" s="125"/>
      <c r="L707" s="47"/>
      <c r="M707" s="125"/>
      <c r="N707" s="125"/>
      <c r="O707" s="125"/>
      <c r="P707" s="47"/>
      <c r="Q707" s="47"/>
      <c r="R707" s="386"/>
      <c r="S707" s="119"/>
      <c r="T707" s="47"/>
      <c r="U707" s="47"/>
      <c r="V707" s="125"/>
      <c r="W707" s="125"/>
      <c r="X707" s="125"/>
      <c r="Y707" s="125"/>
      <c r="Z707" s="125"/>
      <c r="AA707" s="125"/>
      <c r="AB707" s="125"/>
      <c r="AC707" s="125">
        <f t="shared" si="1283"/>
        <v>70557.269619050639</v>
      </c>
      <c r="AD707" s="129"/>
      <c r="AE707" s="133">
        <v>7149.3528140007083</v>
      </c>
      <c r="AF707" s="134">
        <v>4.262546912427316E-2</v>
      </c>
      <c r="AG707" s="61"/>
      <c r="AH707" s="134"/>
      <c r="AI707" s="134"/>
      <c r="AJ707" s="129">
        <f t="shared" si="1238"/>
        <v>70557.269619050639</v>
      </c>
      <c r="AK707" s="134"/>
      <c r="AL707" s="129"/>
      <c r="AM707" s="129"/>
      <c r="AN707" s="129"/>
      <c r="AO707" s="129"/>
      <c r="AP707" s="133"/>
      <c r="AQ707" s="134"/>
      <c r="AR707" s="93"/>
      <c r="AS707" s="93"/>
      <c r="AT707" s="93"/>
      <c r="AU707" s="93"/>
      <c r="AV707" s="93"/>
      <c r="AW707" s="134"/>
      <c r="AX707" s="62"/>
      <c r="AY707" s="93"/>
      <c r="AZ707" s="93"/>
      <c r="BA707" s="93"/>
      <c r="BB707" s="234">
        <f>IFERROR(INDEX('Total Customers'!$E$7:$AA$91,MATCH($C707,'Total Customers'!$C$7:$C$91,0),MATCH($G707,'Total Customers'!$E$5:$AA$5,0)),"NA")</f>
        <v>2023255</v>
      </c>
      <c r="BC707" s="411">
        <f t="shared" si="1196"/>
        <v>1.5727088621625133E-2</v>
      </c>
      <c r="BD707" s="92"/>
      <c r="BE707" s="281" t="str">
        <f t="shared" ref="BE707:BE770" si="1297">A707</f>
        <v>NORTHERN ILLINOIS GAS COMPANY</v>
      </c>
      <c r="BF707" s="290">
        <f t="shared" ref="BF707:BF770" si="1298">C707</f>
        <v>4057131</v>
      </c>
      <c r="BG707" s="46" t="str">
        <f t="shared" ref="BG707:BG770" si="1299">D707</f>
        <v>IL</v>
      </c>
      <c r="BH707" s="46"/>
      <c r="BI707" s="46" t="str">
        <f t="shared" ref="BI707:BI770" si="1300">G707</f>
        <v>2002 Y</v>
      </c>
      <c r="BJ707" s="129"/>
      <c r="BK707" s="129"/>
      <c r="BL707" s="129">
        <f>INDEX('Dist. Plant Gas Additions'!$E$7:$AD$91,MATCH($C707,'Dist. Plant Gas Additions'!$C$7:$C$91,0),MATCH(Calculation!$G707,'Dist. Plant Gas Additions'!$E$5:$AD$5,0))</f>
        <v>101672</v>
      </c>
      <c r="BM707" s="129">
        <f>INDEX('Gen. Plant Additions'!$E$7:$AD$91,MATCH($C707,'Gen. Plant Additions'!$C$7:$C$91,0),MATCH(Calculation!$G707,'Gen. Plant Additions'!$E$5:$AD$5,0))</f>
        <v>20270</v>
      </c>
      <c r="BN707" s="393">
        <f t="shared" si="1284"/>
        <v>0.90885778208460688</v>
      </c>
      <c r="BO707" s="46">
        <f t="shared" si="1278"/>
        <v>18422.54724285498</v>
      </c>
      <c r="BP707" s="46">
        <f t="shared" si="1279"/>
        <v>-1847.4527571450199</v>
      </c>
      <c r="BQ707" s="129">
        <f>INDEX('Dist Plant Depreciation'!$D$7:$AC$94,MATCH($C707,'Dist Plant Depreciation'!$C$7:$C$94,0),MATCH(Calculation!$G707,'Dist Plant Depreciation'!$D$5:$AC$5,0))</f>
        <v>1344731</v>
      </c>
      <c r="BR707" s="129">
        <f>INDEX('Gen. Plant Depreciation'!$D$7:$AC$94,MATCH($C707,'Gen. Plant Depreciation'!$C$7:$C$94,0),MATCH(Calculation!$G707,'Gen. Plant Depreciation'!$D$5:$AC$5,0))</f>
        <v>108022</v>
      </c>
      <c r="BS707" s="129"/>
      <c r="BT707" s="129"/>
      <c r="BU707" s="129"/>
      <c r="BV707" s="129"/>
      <c r="BW707" s="129"/>
      <c r="BX707" s="129"/>
      <c r="BY707" s="129">
        <f>INDEX('Gross Dx Plant'!$D$7:$AC$91,MATCH($C707,'Gross Dx Plant'!$C$7:$C$91,0),MATCH(Calculation!$G707,'Gross Dx Plant'!$D$5:$AC$5,0))</f>
        <v>2445101</v>
      </c>
      <c r="BZ707" s="129">
        <f>INDEX('Gross Gen Plant'!$D$7:$AC$91,MATCH($C707,'Gross Gen Plant'!$C$7:$C$91,0),MATCH(Calculation!$G707,'Gross Gen Plant'!$D$5:$AC$5,0))</f>
        <v>245200</v>
      </c>
      <c r="CA707" s="129">
        <f t="shared" si="1197"/>
        <v>1237548</v>
      </c>
      <c r="CB707" s="129"/>
      <c r="CC707" s="133">
        <v>2002</v>
      </c>
      <c r="CD707" s="129"/>
      <c r="CE707" s="129"/>
      <c r="CF707" s="129"/>
      <c r="CG707" s="137"/>
      <c r="CH707" s="129">
        <f t="shared" si="1285"/>
        <v>121942</v>
      </c>
      <c r="CI707" s="46">
        <f t="shared" si="1294"/>
        <v>120094.54724285498</v>
      </c>
      <c r="CJ707" s="46">
        <f t="shared" si="1286"/>
        <v>332.35134042776696</v>
      </c>
      <c r="CK707" s="443">
        <v>0.95918367346938771</v>
      </c>
      <c r="CL707" s="46">
        <f>+CL703*CK707+CJ704*CK706+CJ705*CK705+CJ706*CK704+CJ707</f>
        <v>7000.4356823663247</v>
      </c>
      <c r="CM707" s="134">
        <f t="shared" si="1287"/>
        <v>3.7370800364498059E-2</v>
      </c>
      <c r="CN707" s="135">
        <f t="shared" si="1288"/>
        <v>1.1205716477263516E-2</v>
      </c>
      <c r="CO707" s="135">
        <f t="shared" ref="CO707:CO727" si="1301">+(CN707+CN706+CN705)/3</f>
        <v>1.0460598586205091E-2</v>
      </c>
      <c r="CP707" s="134">
        <f>VLOOKUP($H707,RoR!$E:$F,2,FALSE)</f>
        <v>6.4916666666666664E-2</v>
      </c>
      <c r="CQ707" s="135">
        <v>1.5246423291824351E-2</v>
      </c>
      <c r="CR707" s="135">
        <f t="shared" si="1295"/>
        <v>4.9670243374842313E-2</v>
      </c>
      <c r="CS707" s="135">
        <f t="shared" ref="CS707:CS727" si="1302">+$CR$2-CO707</f>
        <v>2.0441343022328536E-2</v>
      </c>
      <c r="CT707" s="135">
        <f t="shared" ref="CT707:CT727" si="1303">+((DF705/DF704-1)+(DF706/DF705-1)+(DF707/DF706-1))/3</f>
        <v>2.5243621214759093E-2</v>
      </c>
      <c r="CU707" s="139">
        <f t="shared" si="1289"/>
        <v>0.85171695000000003</v>
      </c>
      <c r="CV707" s="335">
        <f t="shared" si="1290"/>
        <v>0.78996741384417901</v>
      </c>
      <c r="CW707" s="335">
        <f t="shared" si="1291"/>
        <v>0.58989088575096271</v>
      </c>
      <c r="CX707" s="335">
        <f t="shared" si="1292"/>
        <v>0.91920675783645744</v>
      </c>
      <c r="CY707" s="335">
        <f t="shared" si="1293"/>
        <v>0.42834536472275586</v>
      </c>
      <c r="CZ707" s="336">
        <f>INDEX('State Tax Lookup'!$D$7:$Z$91,MATCH(Calculation!$C707,'State Tax Lookup'!$B$7:$B$91,0),MATCH($H707,'State Tax Lookup'!$D$6:$Z$6,0))</f>
        <v>0.40076499999999998</v>
      </c>
      <c r="DA707" s="303">
        <v>0.37</v>
      </c>
      <c r="DB707" s="57">
        <f t="shared" si="1296"/>
        <v>10.462768807751319</v>
      </c>
      <c r="DC707" s="56">
        <f t="shared" ref="DC707:DC726" si="1304">LN(DB707/DB706)</f>
        <v>8.8189593376132038E-4</v>
      </c>
      <c r="DD707" s="303">
        <f>VLOOKUP($H707,RoR!$E:$F,2,FALSE)</f>
        <v>6.4916666666666664E-2</v>
      </c>
      <c r="DE707" s="304">
        <f>HLOOKUP($H707,'GDP-PI'!$D$8:$CQ$11,3,FALSE)</f>
        <v>1.5246423291824351E-2</v>
      </c>
      <c r="DF707" s="303">
        <f>VLOOKUP(H707,'HW Dx Data'!$E:$F,2,FALSE)</f>
        <v>361.34816573413599</v>
      </c>
      <c r="DG707" s="89"/>
      <c r="DH707" s="89"/>
      <c r="DI707" s="89"/>
      <c r="DJ707" s="56"/>
      <c r="DK707" s="53">
        <f>HLOOKUP(H707,'GDP-PI'!$8:$9,2,FALSE)</f>
        <v>81.039000000000001</v>
      </c>
      <c r="DL707" s="355">
        <f>LN(DK707/DK706)</f>
        <v>1.513136459537477E-2</v>
      </c>
      <c r="EC707"/>
    </row>
    <row r="708" spans="1:133" s="126" customFormat="1" ht="21" customHeight="1" x14ac:dyDescent="0.4">
      <c r="A708" s="233" t="s">
        <v>223</v>
      </c>
      <c r="B708" s="127" t="s">
        <v>223</v>
      </c>
      <c r="C708" s="127">
        <v>4057131</v>
      </c>
      <c r="D708" s="127" t="s">
        <v>222</v>
      </c>
      <c r="E708" s="127"/>
      <c r="F708" s="127"/>
      <c r="G708" s="127" t="s">
        <v>159</v>
      </c>
      <c r="H708" s="128">
        <v>2003</v>
      </c>
      <c r="I708" s="129"/>
      <c r="J708" s="125"/>
      <c r="K708" s="125"/>
      <c r="L708" s="47"/>
      <c r="M708" s="125"/>
      <c r="N708" s="125"/>
      <c r="O708" s="125"/>
      <c r="P708" s="59"/>
      <c r="Q708" s="59"/>
      <c r="R708" s="386"/>
      <c r="S708" s="119"/>
      <c r="T708" s="59"/>
      <c r="U708" s="59"/>
      <c r="V708" s="125"/>
      <c r="W708" s="125"/>
      <c r="X708" s="125"/>
      <c r="Y708" s="125"/>
      <c r="Z708" s="125"/>
      <c r="AA708" s="125"/>
      <c r="AB708" s="125"/>
      <c r="AC708" s="125">
        <f t="shared" si="1283"/>
        <v>73847.145927360776</v>
      </c>
      <c r="AD708" s="129"/>
      <c r="AE708" s="133">
        <v>7480.1201018312895</v>
      </c>
      <c r="AF708" s="134">
        <v>4.5227011167278314E-2</v>
      </c>
      <c r="AG708" s="61"/>
      <c r="AH708" s="134"/>
      <c r="AI708" s="134"/>
      <c r="AJ708" s="129">
        <f t="shared" si="1238"/>
        <v>73847.145927360776</v>
      </c>
      <c r="AK708" s="134"/>
      <c r="AL708" s="129"/>
      <c r="AM708" s="129"/>
      <c r="AN708" s="129"/>
      <c r="AO708" s="129"/>
      <c r="AP708" s="133"/>
      <c r="AQ708" s="134"/>
      <c r="AR708" s="93"/>
      <c r="AS708" s="93"/>
      <c r="AT708" s="93"/>
      <c r="AU708" s="93"/>
      <c r="AV708" s="93"/>
      <c r="AW708" s="134"/>
      <c r="AX708" s="62"/>
      <c r="AY708" s="93"/>
      <c r="AZ708" s="93"/>
      <c r="BA708" s="93"/>
      <c r="BB708" s="234">
        <f>IFERROR(INDEX('Total Customers'!$E$7:$AA$91,MATCH($C708,'Total Customers'!$C$7:$C$91,0),MATCH($G708,'Total Customers'!$E$5:$AA$5,0)),"NA")</f>
        <v>2056612</v>
      </c>
      <c r="BC708" s="411">
        <f t="shared" ref="BC708:BC752" si="1305">LN(BB708/BB707)</f>
        <v>1.6352368006932152E-2</v>
      </c>
      <c r="BD708" s="92"/>
      <c r="BE708" s="281" t="str">
        <f t="shared" si="1297"/>
        <v>NORTHERN ILLINOIS GAS COMPANY</v>
      </c>
      <c r="BF708" s="290">
        <f t="shared" si="1298"/>
        <v>4057131</v>
      </c>
      <c r="BG708" s="46" t="str">
        <f t="shared" si="1299"/>
        <v>IL</v>
      </c>
      <c r="BH708" s="46"/>
      <c r="BI708" s="46" t="str">
        <f t="shared" si="1300"/>
        <v>2003 Y</v>
      </c>
      <c r="BJ708" s="129"/>
      <c r="BK708" s="129"/>
      <c r="BL708" s="129">
        <f>INDEX('Dist. Plant Gas Additions'!$E$7:$AD$91,MATCH($C708,'Dist. Plant Gas Additions'!$C$7:$C$91,0),MATCH(Calculation!$G708,'Dist. Plant Gas Additions'!$E$5:$AD$5,0))</f>
        <v>117190</v>
      </c>
      <c r="BM708" s="129">
        <f>INDEX('Gen. Plant Additions'!$E$7:$AD$91,MATCH($C708,'Gen. Plant Additions'!$C$7:$C$91,0),MATCH(Calculation!$G708,'Gen. Plant Additions'!$E$5:$AD$5,0))</f>
        <v>19856</v>
      </c>
      <c r="BN708" s="393">
        <f t="shared" si="1284"/>
        <v>0.91174616373470663</v>
      </c>
      <c r="BO708" s="46">
        <f t="shared" si="1278"/>
        <v>18103.631827116336</v>
      </c>
      <c r="BP708" s="46">
        <f t="shared" si="1279"/>
        <v>-1752.3681728836636</v>
      </c>
      <c r="BQ708" s="129">
        <f>INDEX('Dist Plant Depreciation'!$D$7:$AC$94,MATCH($C708,'Dist Plant Depreciation'!$C$7:$C$94,0),MATCH(Calculation!$G708,'Dist Plant Depreciation'!$D$5:$AC$5,0))</f>
        <v>1423003</v>
      </c>
      <c r="BR708" s="129">
        <f>INDEX('Gen. Plant Depreciation'!$D$7:$AC$94,MATCH($C708,'Gen. Plant Depreciation'!$C$7:$C$94,0),MATCH(Calculation!$G708,'Gen. Plant Depreciation'!$D$5:$AC$5,0))</f>
        <v>116381</v>
      </c>
      <c r="BS708" s="129"/>
      <c r="BT708" s="129"/>
      <c r="BU708" s="129"/>
      <c r="BV708" s="129"/>
      <c r="BW708" s="129"/>
      <c r="BX708" s="129"/>
      <c r="BY708" s="129">
        <f>INDEX('Gross Dx Plant'!$D$7:$AC$91,MATCH($C708,'Gross Dx Plant'!$C$7:$C$91,0),MATCH(Calculation!$G708,'Gross Dx Plant'!$D$5:$AC$5,0))</f>
        <v>2552582</v>
      </c>
      <c r="BZ708" s="129">
        <f>INDEX('Gross Gen Plant'!$D$7:$AC$91,MATCH($C708,'Gross Gen Plant'!$C$7:$C$91,0),MATCH(Calculation!$G708,'Gross Gen Plant'!$D$5:$AC$5,0))</f>
        <v>247081</v>
      </c>
      <c r="CA708" s="129">
        <f t="shared" si="1197"/>
        <v>1260279</v>
      </c>
      <c r="CB708" s="129"/>
      <c r="CC708" s="133">
        <v>2003</v>
      </c>
      <c r="CD708" s="129"/>
      <c r="CE708" s="129"/>
      <c r="CF708" s="129"/>
      <c r="CG708" s="137"/>
      <c r="CH708" s="129">
        <f t="shared" si="1285"/>
        <v>137046</v>
      </c>
      <c r="CI708" s="46">
        <f t="shared" si="1294"/>
        <v>135293.63182711633</v>
      </c>
      <c r="CJ708" s="46">
        <f t="shared" si="1286"/>
        <v>366.41802821737571</v>
      </c>
      <c r="CK708" s="443">
        <v>0.94845360824742264</v>
      </c>
      <c r="CL708" s="46">
        <f>+CL703*CK708+CJ704*CK707+CJ705*CK706+CJ706*CK705+CJ707*CK704+CJ708</f>
        <v>7289.6074546561504</v>
      </c>
      <c r="CM708" s="134">
        <f t="shared" si="1287"/>
        <v>4.0477310016327678E-2</v>
      </c>
      <c r="CN708" s="135">
        <f t="shared" si="1288"/>
        <v>1.1034492627670121E-2</v>
      </c>
      <c r="CO708" s="135">
        <f t="shared" si="1301"/>
        <v>1.0743405769601666E-2</v>
      </c>
      <c r="CP708" s="134">
        <f>VLOOKUP($H708,RoR!$E:$F,2,FALSE)</f>
        <v>5.6666666666666671E-2</v>
      </c>
      <c r="CQ708" s="135">
        <v>1.8855119140166909E-2</v>
      </c>
      <c r="CR708" s="135">
        <f t="shared" si="1295"/>
        <v>3.7811547526499761E-2</v>
      </c>
      <c r="CS708" s="135">
        <f t="shared" si="1302"/>
        <v>2.0158535838931957E-2</v>
      </c>
      <c r="CT708" s="135">
        <f t="shared" si="1303"/>
        <v>2.1375012817671957E-2</v>
      </c>
      <c r="CU708" s="139">
        <f t="shared" si="1289"/>
        <v>0.85171695000000003</v>
      </c>
      <c r="CV708" s="335">
        <f t="shared" si="1290"/>
        <v>0.90497737556561086</v>
      </c>
      <c r="CW708" s="335">
        <f t="shared" si="1291"/>
        <v>0.5338235294117647</v>
      </c>
      <c r="CX708" s="335">
        <f t="shared" si="1292"/>
        <v>0.88972433127405692</v>
      </c>
      <c r="CY708" s="335">
        <f t="shared" si="1293"/>
        <v>0.42982423775949252</v>
      </c>
      <c r="CZ708" s="336">
        <f>INDEX('State Tax Lookup'!$D$7:$Z$91,MATCH(Calculation!$C708,'State Tax Lookup'!$B$7:$B$91,0),MATCH($H708,'State Tax Lookup'!$D$6:$Z$6,0))</f>
        <v>0.40076499999999998</v>
      </c>
      <c r="DA708" s="303">
        <v>0.37</v>
      </c>
      <c r="DB708" s="57">
        <f t="shared" si="1296"/>
        <v>10.548935706012882</v>
      </c>
      <c r="DC708" s="56">
        <f t="shared" si="1304"/>
        <v>8.2018459039179155E-3</v>
      </c>
      <c r="DD708" s="303">
        <f>VLOOKUP($H708,RoR!$E:$F,2,FALSE)</f>
        <v>5.6666666666666671E-2</v>
      </c>
      <c r="DE708" s="304">
        <f>HLOOKUP($H708,'GDP-PI'!$D$8:$CQ$11,3,FALSE)</f>
        <v>1.8855119140166909E-2</v>
      </c>
      <c r="DF708" s="303">
        <f>VLOOKUP(H708,'HW Dx Data'!$E:$F,2,FALSE)</f>
        <v>369.23301095560191</v>
      </c>
      <c r="DG708" s="89">
        <f ca="1">VLOOKUP(CC708,'ECI - Input Price'!M$13:N$33,2,FALSE)</f>
        <v>89.25</v>
      </c>
      <c r="DH708" s="89"/>
      <c r="DI708" s="89"/>
      <c r="DJ708" s="56"/>
      <c r="DK708" s="53">
        <f>HLOOKUP(H708,'GDP-PI'!$8:$9,2,FALSE)</f>
        <v>82.566999999999993</v>
      </c>
      <c r="DL708" s="355">
        <f t="shared" ref="DL708:DL727" si="1306">LN(DK708/DK707)</f>
        <v>1.8679564681853753E-2</v>
      </c>
      <c r="EC708"/>
    </row>
    <row r="709" spans="1:133" s="126" customFormat="1" ht="21" customHeight="1" x14ac:dyDescent="0.4">
      <c r="A709" s="233" t="s">
        <v>223</v>
      </c>
      <c r="B709" s="127" t="s">
        <v>223</v>
      </c>
      <c r="C709" s="127">
        <v>4057131</v>
      </c>
      <c r="D709" s="127" t="s">
        <v>222</v>
      </c>
      <c r="E709" s="127"/>
      <c r="F709" s="127"/>
      <c r="G709" s="127" t="s">
        <v>160</v>
      </c>
      <c r="H709" s="128">
        <v>2004</v>
      </c>
      <c r="I709" s="129"/>
      <c r="J709" s="125">
        <f>IFERROR(INDEX('Labor Expenditures'!$E$7:$W$91,MATCH($C709,'Labor Expenditures'!$C$7:$C$91,0),MATCH($G709,'Labor Expenditures'!$E$5:$W$5,0)),"NA")</f>
        <v>64527.2722849407</v>
      </c>
      <c r="K709" s="125">
        <f t="shared" ref="K709:K727" ca="1" si="1307">+J709/DG709</f>
        <v>683.91385569624492</v>
      </c>
      <c r="L709" s="47"/>
      <c r="M709" s="131"/>
      <c r="N709" s="131"/>
      <c r="O709" s="131"/>
      <c r="P709" s="59"/>
      <c r="Q709" s="59"/>
      <c r="R709" s="386"/>
      <c r="S709" s="119"/>
      <c r="T709" s="59"/>
      <c r="U709" s="59"/>
      <c r="V709" s="125">
        <f>IFERROR(INDEX('Non-Labor Expenditures'!$E$7:$AA$91,MATCH($C709,'Non-Labor Expenditures'!$C$7:$C$91,0),MATCH($G709,'Non-Labor Expenditures'!$E$5:$AA$5,0)),"NA")</f>
        <v>93447.542300605739</v>
      </c>
      <c r="W709" s="125">
        <f t="shared" ref="W709:W727" si="1308">+V709/DK709</f>
        <v>1102.2616987969252</v>
      </c>
      <c r="X709" s="125"/>
      <c r="Y709" s="125"/>
      <c r="Z709" s="125"/>
      <c r="AA709" s="125"/>
      <c r="AB709" s="125"/>
      <c r="AC709" s="125">
        <f t="shared" si="1283"/>
        <v>84177.437774261038</v>
      </c>
      <c r="AD709" s="129"/>
      <c r="AE709" s="133">
        <v>7738.6256879023222</v>
      </c>
      <c r="AF709" s="134">
        <v>3.3975263881462464E-2</v>
      </c>
      <c r="AG709" s="59">
        <f t="shared" ref="AG709:AG727" si="1309">+AF709*$AX709</f>
        <v>0</v>
      </c>
      <c r="AH709" s="134"/>
      <c r="AI709" s="134"/>
      <c r="AJ709" s="129">
        <f t="shared" si="1238"/>
        <v>242152.25235980749</v>
      </c>
      <c r="AK709" s="134"/>
      <c r="AL709" s="129"/>
      <c r="AM709" s="129"/>
      <c r="AN709" s="129"/>
      <c r="AO709" s="129"/>
      <c r="AP709" s="133"/>
      <c r="AQ709" s="134"/>
      <c r="AR709" s="93">
        <f t="shared" ref="AR709:AR727" si="1310">+J709/AJ709</f>
        <v>0.26647397104967402</v>
      </c>
      <c r="AS709" s="93">
        <f t="shared" ref="AS709:AS727" si="1311">+V709/AJ709</f>
        <v>0.38590408055240616</v>
      </c>
      <c r="AT709" s="93">
        <f t="shared" ref="AT709:AT727" si="1312">+AC709/AJ709</f>
        <v>0.34762194839791971</v>
      </c>
      <c r="AU709" s="93"/>
      <c r="AV709" s="93"/>
      <c r="AW709" s="134"/>
      <c r="AX709" s="62"/>
      <c r="AY709" s="93"/>
      <c r="AZ709" s="93"/>
      <c r="BA709" s="93"/>
      <c r="BB709" s="234">
        <f>IFERROR(INDEX('Total Customers'!$E$7:$AA$91,MATCH($C709,'Total Customers'!$C$7:$C$91,0),MATCH($G709,'Total Customers'!$E$5:$AA$5,0)),"NA")</f>
        <v>2092607</v>
      </c>
      <c r="BC709" s="411">
        <f t="shared" si="1305"/>
        <v>1.7350688411095216E-2</v>
      </c>
      <c r="BD709" s="92"/>
      <c r="BE709" s="281" t="str">
        <f t="shared" si="1297"/>
        <v>NORTHERN ILLINOIS GAS COMPANY</v>
      </c>
      <c r="BF709" s="290">
        <f t="shared" si="1298"/>
        <v>4057131</v>
      </c>
      <c r="BG709" s="46" t="str">
        <f t="shared" si="1299"/>
        <v>IL</v>
      </c>
      <c r="BH709" s="46"/>
      <c r="BI709" s="46" t="str">
        <f t="shared" si="1300"/>
        <v>2004 Y</v>
      </c>
      <c r="BJ709" s="129"/>
      <c r="BK709" s="129"/>
      <c r="BL709" s="129">
        <f>INDEX('Dist. Plant Gas Additions'!$E$7:$AD$91,MATCH($C709,'Dist. Plant Gas Additions'!$C$7:$C$91,0),MATCH(Calculation!$G709,'Dist. Plant Gas Additions'!$E$5:$AD$5,0))</f>
        <v>107642</v>
      </c>
      <c r="BM709" s="129">
        <f>INDEX('Gen. Plant Additions'!$E$7:$AD$91,MATCH($C709,'Gen. Plant Additions'!$C$7:$C$91,0),MATCH(Calculation!$G709,'Gen. Plant Additions'!$E$5:$AD$5,0))</f>
        <v>17672</v>
      </c>
      <c r="BN709" s="393">
        <f t="shared" si="1284"/>
        <v>0.91503438708853679</v>
      </c>
      <c r="BO709" s="46">
        <f t="shared" si="1278"/>
        <v>16170.487688628622</v>
      </c>
      <c r="BP709" s="46">
        <f t="shared" si="1279"/>
        <v>-1501.512311371378</v>
      </c>
      <c r="BQ709" s="129">
        <f>INDEX('Dist Plant Depreciation'!$D$7:$AC$94,MATCH($C709,'Dist Plant Depreciation'!$C$7:$C$94,0),MATCH(Calculation!$G709,'Dist Plant Depreciation'!$D$5:$AC$5,0))</f>
        <v>1507331</v>
      </c>
      <c r="BR709" s="129">
        <f>INDEX('Gen. Plant Depreciation'!$D$7:$AC$94,MATCH($C709,'Gen. Plant Depreciation'!$C$7:$C$94,0),MATCH(Calculation!$G709,'Gen. Plant Depreciation'!$D$5:$AC$5,0))</f>
        <v>126079</v>
      </c>
      <c r="BS709" s="129"/>
      <c r="BT709" s="129"/>
      <c r="BU709" s="129"/>
      <c r="BV709" s="129"/>
      <c r="BW709" s="129"/>
      <c r="BX709" s="129"/>
      <c r="BY709" s="129">
        <f>INDEX('Gross Dx Plant'!$D$7:$AC$91,MATCH($C709,'Gross Dx Plant'!$C$7:$C$91,0),MATCH(Calculation!$G709,'Gross Dx Plant'!$D$5:$AC$5,0))</f>
        <v>2651669</v>
      </c>
      <c r="BZ709" s="129">
        <f>INDEX('Gross Gen Plant'!$D$7:$AC$91,MATCH($C709,'Gross Gen Plant'!$C$7:$C$91,0),MATCH(Calculation!$G709,'Gross Gen Plant'!$D$5:$AC$5,0))</f>
        <v>246221</v>
      </c>
      <c r="CA709" s="129">
        <f t="shared" si="1197"/>
        <v>1264480</v>
      </c>
      <c r="CB709" s="129"/>
      <c r="CC709" s="133">
        <v>2004</v>
      </c>
      <c r="CD709" s="129"/>
      <c r="CE709" s="129"/>
      <c r="CF709" s="129"/>
      <c r="CG709" s="137"/>
      <c r="CH709" s="129">
        <f t="shared" si="1285"/>
        <v>125314</v>
      </c>
      <c r="CI709" s="46">
        <f t="shared" si="1294"/>
        <v>123812.48768862862</v>
      </c>
      <c r="CJ709" s="46">
        <f t="shared" si="1286"/>
        <v>298.42446397314438</v>
      </c>
      <c r="CK709" s="443">
        <v>0.9375</v>
      </c>
      <c r="CL709" s="46">
        <f>+CL703*CK709+CJ704*CK708+CJ705*CK707+CJ706*CK706+CJ707*CK705+CJ708*CK704+CJ709</f>
        <v>7505.5554152950372</v>
      </c>
      <c r="CM709" s="134">
        <f t="shared" si="1287"/>
        <v>2.9193770909590421E-2</v>
      </c>
      <c r="CN709" s="135">
        <f t="shared" si="1288"/>
        <v>1.1314258531380411E-2</v>
      </c>
      <c r="CO709" s="135">
        <f t="shared" si="1301"/>
        <v>1.1184822545438016E-2</v>
      </c>
      <c r="CP709" s="134">
        <f>VLOOKUP($H709,RoR!$E:$F,2,FALSE)</f>
        <v>5.6283333333333331E-2</v>
      </c>
      <c r="CQ709" s="135">
        <v>2.6778252812867276E-2</v>
      </c>
      <c r="CR709" s="135">
        <f t="shared" si="1295"/>
        <v>2.9505080520466055E-2</v>
      </c>
      <c r="CS709" s="135">
        <f t="shared" si="1302"/>
        <v>1.971711906309561E-2</v>
      </c>
      <c r="CT709" s="135">
        <f t="shared" si="1303"/>
        <v>5.5940039414565046E-2</v>
      </c>
      <c r="CU709" s="139">
        <f t="shared" si="1289"/>
        <v>0.85171695000000003</v>
      </c>
      <c r="CV709" s="335">
        <f t="shared" si="1290"/>
        <v>0.91114097628755619</v>
      </c>
      <c r="CW709" s="335">
        <f t="shared" si="1291"/>
        <v>0.53081877405981637</v>
      </c>
      <c r="CX709" s="335">
        <f t="shared" si="1292"/>
        <v>0.88811215519385678</v>
      </c>
      <c r="CY709" s="335">
        <f t="shared" si="1293"/>
        <v>0.42953609753547711</v>
      </c>
      <c r="CZ709" s="336">
        <f>INDEX('State Tax Lookup'!$D$7:$Z$91,MATCH(Calculation!$C709,'State Tax Lookup'!$B$7:$B$91,0),MATCH($H709,'State Tax Lookup'!$D$6:$Z$6,0))</f>
        <v>0.40076499999999998</v>
      </c>
      <c r="DA709" s="303">
        <v>0.37</v>
      </c>
      <c r="DB709" s="57">
        <f t="shared" si="1296"/>
        <v>11.547595436088084</v>
      </c>
      <c r="DC709" s="56">
        <f t="shared" si="1304"/>
        <v>9.0452254055522249E-2</v>
      </c>
      <c r="DD709" s="303">
        <f>VLOOKUP($H709,RoR!$E:$F,2,FALSE)</f>
        <v>5.6283333333333331E-2</v>
      </c>
      <c r="DE709" s="304">
        <f>HLOOKUP($H709,'GDP-PI'!$D$8:$CQ$11,3,FALSE)</f>
        <v>2.6778252812867276E-2</v>
      </c>
      <c r="DF709" s="303">
        <f>VLOOKUP(H709,'HW Dx Data'!$E:$F,2,FALSE)</f>
        <v>414.88719135228365</v>
      </c>
      <c r="DG709" s="89">
        <f ca="1">VLOOKUP(CC709,'ECI - Input Price'!M$13:N$33,2,FALSE)</f>
        <v>94.35</v>
      </c>
      <c r="DH709" s="89"/>
      <c r="DI709" s="89"/>
      <c r="DJ709" s="56">
        <f t="shared" ref="DJ709:DJ727" ca="1" si="1313">LN(DG709/DG708)</f>
        <v>5.5569851154810786E-2</v>
      </c>
      <c r="DK709" s="53">
        <f>HLOOKUP(H709,'GDP-PI'!$8:$9,2,FALSE)</f>
        <v>84.778000000000006</v>
      </c>
      <c r="DL709" s="355">
        <f t="shared" si="1306"/>
        <v>2.6425990216022755E-2</v>
      </c>
      <c r="EC709"/>
    </row>
    <row r="710" spans="1:133" s="126" customFormat="1" ht="21" customHeight="1" x14ac:dyDescent="0.4">
      <c r="A710" s="233" t="s">
        <v>223</v>
      </c>
      <c r="B710" s="127" t="s">
        <v>223</v>
      </c>
      <c r="C710" s="127">
        <v>4057131</v>
      </c>
      <c r="D710" s="127" t="s">
        <v>222</v>
      </c>
      <c r="E710" s="127"/>
      <c r="F710" s="127"/>
      <c r="G710" s="127" t="s">
        <v>161</v>
      </c>
      <c r="H710" s="128">
        <v>2005</v>
      </c>
      <c r="I710" s="129"/>
      <c r="J710" s="125">
        <f>IFERROR(INDEX('Labor Expenditures'!$E$7:$W$91,MATCH($C710,'Labor Expenditures'!$C$7:$C$91,0),MATCH($G710,'Labor Expenditures'!$E$5:$W$5,0)),"NA")</f>
        <v>68307.586646397118</v>
      </c>
      <c r="K710" s="125">
        <f t="shared" ca="1" si="1307"/>
        <v>688.41105211788488</v>
      </c>
      <c r="L710" s="47"/>
      <c r="M710" s="131">
        <f t="shared" ref="M710:M726" ca="1" si="1314">LN(K710/K709)</f>
        <v>6.5541512725185193E-3</v>
      </c>
      <c r="N710" s="131"/>
      <c r="O710" s="131"/>
      <c r="P710" s="59"/>
      <c r="Q710" s="61"/>
      <c r="R710" s="387"/>
      <c r="S710" s="49">
        <v>100</v>
      </c>
      <c r="T710" s="46"/>
      <c r="U710" s="46"/>
      <c r="V710" s="125">
        <f>IFERROR(INDEX('Non-Labor Expenditures'!$E$7:$AA$91,MATCH($C710,'Non-Labor Expenditures'!$C$7:$C$91,0),MATCH($G710,'Non-Labor Expenditures'!$E$5:$AA$5,0)),"NA")</f>
        <v>98922.143561323071</v>
      </c>
      <c r="W710" s="125">
        <f t="shared" si="1308"/>
        <v>1131.741663268652</v>
      </c>
      <c r="X710" s="131">
        <f>LN(W710/W709)</f>
        <v>2.6393582316354892E-2</v>
      </c>
      <c r="Y710" s="131"/>
      <c r="Z710" s="131"/>
      <c r="AA710" s="131"/>
      <c r="AB710" s="131"/>
      <c r="AC710" s="125">
        <f t="shared" si="1283"/>
        <v>97032.034656727614</v>
      </c>
      <c r="AD710" s="129"/>
      <c r="AE710" s="133">
        <v>7981.0810039255948</v>
      </c>
      <c r="AF710" s="134">
        <v>3.0849754304851696E-2</v>
      </c>
      <c r="AG710" s="59">
        <f t="shared" si="1309"/>
        <v>0</v>
      </c>
      <c r="AH710" s="134"/>
      <c r="AI710" s="134"/>
      <c r="AJ710" s="129">
        <f t="shared" si="1238"/>
        <v>264261.76486444782</v>
      </c>
      <c r="AK710" s="134">
        <f>LN(AJ710/AJ709)</f>
        <v>8.7373475166534695E-2</v>
      </c>
      <c r="AL710" s="129"/>
      <c r="AM710" s="129"/>
      <c r="AN710" s="129"/>
      <c r="AO710" s="129"/>
      <c r="AP710" s="133"/>
      <c r="AQ710" s="134"/>
      <c r="AR710" s="93">
        <f t="shared" si="1310"/>
        <v>0.25848456238622058</v>
      </c>
      <c r="AS710" s="93">
        <f t="shared" si="1311"/>
        <v>0.3743339245920228</v>
      </c>
      <c r="AT710" s="93">
        <f t="shared" si="1312"/>
        <v>0.36718151302175656</v>
      </c>
      <c r="AU710" s="93">
        <f t="shared" ref="AU710:AU726" ca="1" si="1315">+(((AR710+AR709)/2)*M710+((AS709+AS710)/2)*X710+((AT709+AT710)/2)*AF710)</f>
        <v>2.2778786584896897E-2</v>
      </c>
      <c r="AV710" s="132">
        <v>100</v>
      </c>
      <c r="AW710" s="134"/>
      <c r="AX710" s="15"/>
      <c r="AY710" s="93"/>
      <c r="AZ710" s="93"/>
      <c r="BA710" s="93"/>
      <c r="BB710" s="234">
        <f>IFERROR(INDEX('Total Customers'!$E$7:$AA$91,MATCH($C710,'Total Customers'!$C$7:$C$91,0),MATCH($G710,'Total Customers'!$E$5:$AA$5,0)),"NA")</f>
        <v>2106684</v>
      </c>
      <c r="BC710" s="411">
        <f t="shared" si="1305"/>
        <v>6.7044902247918297E-3</v>
      </c>
      <c r="BD710" s="92"/>
      <c r="BE710" s="281" t="str">
        <f t="shared" si="1297"/>
        <v>NORTHERN ILLINOIS GAS COMPANY</v>
      </c>
      <c r="BF710" s="290">
        <f t="shared" si="1298"/>
        <v>4057131</v>
      </c>
      <c r="BG710" s="46" t="str">
        <f t="shared" si="1299"/>
        <v>IL</v>
      </c>
      <c r="BH710" s="46"/>
      <c r="BI710" s="46" t="str">
        <f t="shared" si="1300"/>
        <v>2005 Y</v>
      </c>
      <c r="BJ710" s="129"/>
      <c r="BK710" s="129"/>
      <c r="BL710" s="129">
        <f>INDEX('Dist. Plant Gas Additions'!$E$7:$AD$91,MATCH($C710,'Dist. Plant Gas Additions'!$C$7:$C$91,0),MATCH(Calculation!$G710,'Dist. Plant Gas Additions'!$E$5:$AD$5,0))</f>
        <v>114566</v>
      </c>
      <c r="BM710" s="129">
        <f>INDEX('Gen. Plant Additions'!$E$7:$AD$91,MATCH($C710,'Gen. Plant Additions'!$C$7:$C$91,0),MATCH(Calculation!$G710,'Gen. Plant Additions'!$E$5:$AD$5,0))</f>
        <v>20992</v>
      </c>
      <c r="BN710" s="393">
        <f t="shared" si="1284"/>
        <v>0.9205697545496565</v>
      </c>
      <c r="BO710" s="46">
        <f t="shared" si="1278"/>
        <v>19324.60028750639</v>
      </c>
      <c r="BP710" s="46">
        <f t="shared" si="1279"/>
        <v>-1667.3997124936104</v>
      </c>
      <c r="BQ710" s="129">
        <f>INDEX('Dist Plant Depreciation'!$D$7:$AC$94,MATCH($C710,'Dist Plant Depreciation'!$C$7:$C$94,0),MATCH(Calculation!$G710,'Dist Plant Depreciation'!$D$5:$AC$5,0))</f>
        <v>1501953</v>
      </c>
      <c r="BR710" s="129">
        <f>INDEX('Gen. Plant Depreciation'!$D$7:$AC$94,MATCH($C710,'Gen. Plant Depreciation'!$C$7:$C$94,0),MATCH(Calculation!$G710,'Gen. Plant Depreciation'!$D$5:$AC$5,0))</f>
        <v>130135</v>
      </c>
      <c r="BS710" s="129"/>
      <c r="BT710" s="129"/>
      <c r="BU710" s="129"/>
      <c r="BV710" s="129"/>
      <c r="BW710" s="129"/>
      <c r="BX710" s="129"/>
      <c r="BY710" s="129">
        <f>INDEX('Gross Dx Plant'!$D$7:$AC$91,MATCH($C710,'Gross Dx Plant'!$C$7:$C$91,0),MATCH(Calculation!$G710,'Gross Dx Plant'!$D$5:$AC$5,0))</f>
        <v>2822164</v>
      </c>
      <c r="BZ710" s="129">
        <f>INDEX('Gross Gen Plant'!$D$7:$AC$91,MATCH($C710,'Gross Gen Plant'!$C$7:$C$91,0),MATCH(Calculation!$G710,'Gross Gen Plant'!$D$5:$AC$5,0))</f>
        <v>243507</v>
      </c>
      <c r="CA710" s="129">
        <f t="shared" si="1197"/>
        <v>1433583</v>
      </c>
      <c r="CB710" s="129"/>
      <c r="CC710" s="133">
        <v>2005</v>
      </c>
      <c r="CD710" s="129"/>
      <c r="CE710" s="129"/>
      <c r="CF710" s="129"/>
      <c r="CG710" s="137"/>
      <c r="CH710" s="129">
        <f t="shared" si="1285"/>
        <v>135558</v>
      </c>
      <c r="CI710" s="46">
        <f t="shared" si="1294"/>
        <v>133890.60028750639</v>
      </c>
      <c r="CJ710" s="46">
        <f t="shared" si="1286"/>
        <v>285.35620941367694</v>
      </c>
      <c r="CK710" s="443">
        <v>0.9263157894736842</v>
      </c>
      <c r="CL710" s="46">
        <f>+CL703*CK710+CJ704*CK709+CJ705*CK708+CJ706*CK707+CJ707*CK706+CJ708*CK705+CJ709*CK704+CJ710</f>
        <v>7703.7551341678745</v>
      </c>
      <c r="CM710" s="134">
        <f t="shared" si="1287"/>
        <v>2.6064421362143889E-2</v>
      </c>
      <c r="CN710" s="135">
        <f t="shared" si="1288"/>
        <v>1.1612263945614145E-2</v>
      </c>
      <c r="CO710" s="135">
        <f t="shared" si="1301"/>
        <v>1.1320338368221558E-2</v>
      </c>
      <c r="CP710" s="134">
        <f>VLOOKUP($H710,RoR!$E:$F,2,FALSE)</f>
        <v>5.2350000000000001E-2</v>
      </c>
      <c r="CQ710" s="135">
        <v>3.1010403642454332E-2</v>
      </c>
      <c r="CR710" s="135">
        <f t="shared" si="1295"/>
        <v>2.1339596357545669E-2</v>
      </c>
      <c r="CS710" s="135">
        <f t="shared" si="1302"/>
        <v>1.9581603240312065E-2</v>
      </c>
      <c r="CT710" s="135">
        <f t="shared" si="1303"/>
        <v>9.2129610649277341E-2</v>
      </c>
      <c r="CU710" s="139">
        <f t="shared" si="1289"/>
        <v>0.85171695000000003</v>
      </c>
      <c r="CV710" s="335">
        <f t="shared" si="1290"/>
        <v>0.97959983346802826</v>
      </c>
      <c r="CW710" s="335">
        <f t="shared" si="1291"/>
        <v>0.49744508118433622</v>
      </c>
      <c r="CX710" s="335">
        <f t="shared" si="1292"/>
        <v>0.87010519444335932</v>
      </c>
      <c r="CY710" s="335">
        <f t="shared" si="1293"/>
        <v>0.42399975420741998</v>
      </c>
      <c r="CZ710" s="336">
        <f>INDEX('State Tax Lookup'!$D$7:$Z$91,MATCH(Calculation!$C710,'State Tax Lookup'!$B$7:$B$91,0),MATCH($H710,'State Tax Lookup'!$D$6:$Z$6,0))</f>
        <v>0.40076499999999998</v>
      </c>
      <c r="DA710" s="303">
        <v>0.37</v>
      </c>
      <c r="DB710" s="57">
        <f t="shared" si="1296"/>
        <v>12.92802854522837</v>
      </c>
      <c r="DC710" s="56">
        <f t="shared" si="1304"/>
        <v>0.1129204818499837</v>
      </c>
      <c r="DD710" s="303">
        <f>VLOOKUP($H710,RoR!$E:$F,2,FALSE)</f>
        <v>5.2350000000000001E-2</v>
      </c>
      <c r="DE710" s="304">
        <f>HLOOKUP($H710,'GDP-PI'!$D$8:$CQ$11,3,FALSE)</f>
        <v>3.1010403642454332E-2</v>
      </c>
      <c r="DF710" s="303">
        <f>VLOOKUP(H710,'HW Dx Data'!$E:$F,2,FALSE)</f>
        <v>469.20514034936258</v>
      </c>
      <c r="DG710" s="89">
        <f ca="1">VLOOKUP(CC710,'ECI - Input Price'!M$13:N$33,2,FALSE)</f>
        <v>99.224999999999994</v>
      </c>
      <c r="DH710" s="89"/>
      <c r="DI710" s="89"/>
      <c r="DJ710" s="56">
        <f t="shared" ca="1" si="1313"/>
        <v>5.0378726854569796E-2</v>
      </c>
      <c r="DK710" s="53">
        <f>HLOOKUP(H710,'GDP-PI'!$8:$9,2,FALSE)</f>
        <v>87.406999999999996</v>
      </c>
      <c r="DL710" s="355">
        <f t="shared" si="1306"/>
        <v>3.0539295810733648E-2</v>
      </c>
      <c r="EC710"/>
    </row>
    <row r="711" spans="1:133" s="126" customFormat="1" ht="21" customHeight="1" x14ac:dyDescent="0.4">
      <c r="A711" s="233" t="s">
        <v>223</v>
      </c>
      <c r="B711" s="127" t="s">
        <v>223</v>
      </c>
      <c r="C711" s="127">
        <v>4057131</v>
      </c>
      <c r="D711" s="127" t="s">
        <v>222</v>
      </c>
      <c r="E711" s="127"/>
      <c r="F711" s="127"/>
      <c r="G711" s="127" t="s">
        <v>162</v>
      </c>
      <c r="H711" s="128">
        <v>2006</v>
      </c>
      <c r="I711" s="129"/>
      <c r="J711" s="125">
        <f>IFERROR(INDEX('Labor Expenditures'!$E$7:$W$91,MATCH($C711,'Labor Expenditures'!$C$7:$C$91,0),MATCH($G711,'Labor Expenditures'!$E$5:$W$5,0)),"NA")</f>
        <v>72860.734558007287</v>
      </c>
      <c r="K711" s="125">
        <f t="shared" ca="1" si="1307"/>
        <v>666.00305811706835</v>
      </c>
      <c r="L711" s="47"/>
      <c r="M711" s="131">
        <f t="shared" ca="1" si="1314"/>
        <v>-3.309185670194275E-2</v>
      </c>
      <c r="N711" s="131"/>
      <c r="O711" s="131"/>
      <c r="P711" s="59">
        <f t="shared" ref="P711:P727" ca="1" si="1316">+M711*$AX711</f>
        <v>-1.2438135280111843E-3</v>
      </c>
      <c r="Q711" s="61"/>
      <c r="R711" s="387"/>
      <c r="S711" s="49">
        <f ca="1">+S710*EXP(T711)</f>
        <v>109.05342002171435</v>
      </c>
      <c r="T711" s="61">
        <f ca="1">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</f>
        <v>8.666766812755386E-2</v>
      </c>
      <c r="U711" s="61"/>
      <c r="V711" s="125">
        <f>IFERROR(INDEX('Non-Labor Expenditures'!$E$7:$AA$91,MATCH($C711,'Non-Labor Expenditures'!$C$7:$C$91,0),MATCH($G711,'Non-Labor Expenditures'!$E$5:$AA$5,0)),"NA")</f>
        <v>105515.95214805925</v>
      </c>
      <c r="W711" s="125">
        <f t="shared" si="1308"/>
        <v>1171.4362873643811</v>
      </c>
      <c r="X711" s="131">
        <f t="shared" ref="X711:X726" si="1317">LN(W711/W710)</f>
        <v>3.4472850891354899E-2</v>
      </c>
      <c r="Y711" s="131">
        <f t="shared" ref="Y711:Y727" si="1318">+X711*AX711</f>
        <v>1.2957205355377469E-3</v>
      </c>
      <c r="Z711" s="131"/>
      <c r="AA711" s="131"/>
      <c r="AB711" s="131"/>
      <c r="AC711" s="125">
        <f t="shared" si="1283"/>
        <v>96507.746475541237</v>
      </c>
      <c r="AD711" s="129"/>
      <c r="AE711" s="133">
        <v>8218.2289074911132</v>
      </c>
      <c r="AF711" s="134">
        <v>2.9280858038819874E-2</v>
      </c>
      <c r="AG711" s="59">
        <f t="shared" si="1309"/>
        <v>1.1005706832497271E-3</v>
      </c>
      <c r="AH711" s="134"/>
      <c r="AI711" s="134"/>
      <c r="AJ711" s="129">
        <f t="shared" si="1238"/>
        <v>274884.43318160775</v>
      </c>
      <c r="AK711" s="134">
        <f t="shared" ref="AK711:AK727" si="1319">LN(AJ711/AJ710)</f>
        <v>3.9410620884723906E-2</v>
      </c>
      <c r="AL711" s="129"/>
      <c r="AM711" s="129"/>
      <c r="AN711" s="129"/>
      <c r="AO711" s="129"/>
      <c r="AP711" s="133">
        <f t="shared" ref="AP711:AP727" si="1320">+(AJ711*1000)/BB711</f>
        <v>128.15035474418954</v>
      </c>
      <c r="AQ711" s="134">
        <f>+BB711/Outputs!$B$14</f>
        <v>6.1849059420787174E-2</v>
      </c>
      <c r="AR711" s="93">
        <f t="shared" si="1310"/>
        <v>0.26505951506490155</v>
      </c>
      <c r="AS711" s="93">
        <f t="shared" si="1311"/>
        <v>0.38385568410251913</v>
      </c>
      <c r="AT711" s="93">
        <f t="shared" si="1312"/>
        <v>0.35108480083257942</v>
      </c>
      <c r="AU711" s="93">
        <f t="shared" ca="1" si="1315"/>
        <v>1.492168285488678E-2</v>
      </c>
      <c r="AV711" s="132">
        <f ca="1">+AV710*EXP(AU711)</f>
        <v>101.50335669715859</v>
      </c>
      <c r="AW711" s="134">
        <f ca="1">LN(AV711/AV710)</f>
        <v>1.4921682854886714E-2</v>
      </c>
      <c r="AX711" s="56">
        <f>+AJ711/$AL$11</f>
        <v>3.7586695095840991E-2</v>
      </c>
      <c r="AY711" s="135">
        <f ca="1">+AX711*AW711</f>
        <v>5.6085674378346503E-4</v>
      </c>
      <c r="AZ711" s="93"/>
      <c r="BA711" s="93"/>
      <c r="BB711" s="234">
        <f>IFERROR(INDEX('Total Customers'!$E$7:$AA$91,MATCH($C711,'Total Customers'!$C$7:$C$91,0),MATCH($G711,'Total Customers'!$E$5:$AA$5,0)),"NA")</f>
        <v>2145015</v>
      </c>
      <c r="BC711" s="411">
        <f t="shared" si="1305"/>
        <v>1.8031398057613349E-2</v>
      </c>
      <c r="BD711" s="92"/>
      <c r="BE711" s="281" t="str">
        <f t="shared" si="1297"/>
        <v>NORTHERN ILLINOIS GAS COMPANY</v>
      </c>
      <c r="BF711" s="290">
        <f t="shared" si="1298"/>
        <v>4057131</v>
      </c>
      <c r="BG711" s="46" t="str">
        <f t="shared" si="1299"/>
        <v>IL</v>
      </c>
      <c r="BH711" s="46"/>
      <c r="BI711" s="46" t="str">
        <f t="shared" si="1300"/>
        <v>2006 Y</v>
      </c>
      <c r="BJ711" s="129"/>
      <c r="BK711" s="129"/>
      <c r="BL711" s="129">
        <f>INDEX('Dist. Plant Gas Additions'!$E$7:$AD$91,MATCH($C711,'Dist. Plant Gas Additions'!$C$7:$C$91,0),MATCH(Calculation!$G711,'Dist. Plant Gas Additions'!$E$5:$AD$5,0))</f>
        <v>111073</v>
      </c>
      <c r="BM711" s="129">
        <f>INDEX('Gen. Plant Additions'!$E$7:$AD$91,MATCH($C711,'Gen. Plant Additions'!$C$7:$C$91,0),MATCH(Calculation!$G711,'Gen. Plant Additions'!$E$5:$AD$5,0))</f>
        <v>21060</v>
      </c>
      <c r="BN711" s="393">
        <f t="shared" si="1284"/>
        <v>0.92103817870232385</v>
      </c>
      <c r="BO711" s="46">
        <f t="shared" si="1278"/>
        <v>19397.064043470938</v>
      </c>
      <c r="BP711" s="46">
        <f t="shared" si="1279"/>
        <v>-1662.9359565290615</v>
      </c>
      <c r="BQ711" s="129">
        <f>INDEX('Dist Plant Depreciation'!$D$7:$AC$94,MATCH($C711,'Dist Plant Depreciation'!$C$7:$C$94,0),MATCH(Calculation!$G711,'Dist Plant Depreciation'!$D$5:$AC$5,0))</f>
        <v>1588374</v>
      </c>
      <c r="BR711" s="129">
        <f>INDEX('Gen. Plant Depreciation'!$D$7:$AC$94,MATCH($C711,'Gen. Plant Depreciation'!$C$7:$C$94,0),MATCH(Calculation!$G711,'Gen. Plant Depreciation'!$D$5:$AC$5,0))</f>
        <v>126980</v>
      </c>
      <c r="BS711" s="129"/>
      <c r="BT711" s="129"/>
      <c r="BU711" s="129"/>
      <c r="BV711" s="129"/>
      <c r="BW711" s="129"/>
      <c r="BX711" s="129"/>
      <c r="BY711" s="129">
        <f>INDEX('Gross Dx Plant'!$D$7:$AC$91,MATCH($C711,'Gross Dx Plant'!$C$7:$C$91,0),MATCH(Calculation!$G711,'Gross Dx Plant'!$D$5:$AC$5,0))</f>
        <v>2926410</v>
      </c>
      <c r="BZ711" s="129">
        <f>INDEX('Gross Gen Plant'!$D$7:$AC$91,MATCH($C711,'Gross Gen Plant'!$C$7:$C$91,0),MATCH(Calculation!$G711,'Gross Gen Plant'!$D$5:$AC$5,0))</f>
        <v>250885</v>
      </c>
      <c r="CA711" s="129">
        <f t="shared" si="1197"/>
        <v>1461941</v>
      </c>
      <c r="CB711" s="134"/>
      <c r="CC711" s="133">
        <v>2006</v>
      </c>
      <c r="CD711" s="129"/>
      <c r="CE711" s="129"/>
      <c r="CF711" s="129"/>
      <c r="CG711" s="137"/>
      <c r="CH711" s="129">
        <f t="shared" si="1285"/>
        <v>132133</v>
      </c>
      <c r="CI711" s="46">
        <f t="shared" si="1294"/>
        <v>130470.06404347093</v>
      </c>
      <c r="CJ711" s="46">
        <f t="shared" si="1286"/>
        <v>282.96273720903622</v>
      </c>
      <c r="CK711" s="443">
        <v>0.91489361702127658</v>
      </c>
      <c r="CL711" s="46">
        <f>+CL703*CK711+CJ704*CK710+CJ705*CK709+CJ706*CK708+CJ707*CK707+CJ708*CK706+CJ709*CK705+CJ710*CK704+CJ711</f>
        <v>7894.896969129868</v>
      </c>
      <c r="CM711" s="134">
        <f t="shared" si="1287"/>
        <v>2.4508707736000487E-2</v>
      </c>
      <c r="CN711" s="135">
        <f t="shared" si="1288"/>
        <v>1.191897985435655E-2</v>
      </c>
      <c r="CO711" s="135">
        <f t="shared" si="1301"/>
        <v>1.1615167443783702E-2</v>
      </c>
      <c r="CP711" s="134">
        <f>VLOOKUP($H711,RoR!$E:$F,2,FALSE)</f>
        <v>5.5874999999999994E-2</v>
      </c>
      <c r="CQ711" s="135">
        <v>3.0512430354548314E-2</v>
      </c>
      <c r="CR711" s="135">
        <f t="shared" si="1295"/>
        <v>2.536256964545168E-2</v>
      </c>
      <c r="CS711" s="135">
        <f t="shared" si="1302"/>
        <v>1.9286774164749922E-2</v>
      </c>
      <c r="CT711" s="135">
        <f t="shared" si="1303"/>
        <v>7.9087823893859641E-2</v>
      </c>
      <c r="CU711" s="139">
        <f t="shared" si="1289"/>
        <v>0.85171695000000003</v>
      </c>
      <c r="CV711" s="335">
        <f t="shared" si="1290"/>
        <v>0.91779957551769631</v>
      </c>
      <c r="CW711" s="335">
        <f t="shared" si="1291"/>
        <v>0.52757270693512304</v>
      </c>
      <c r="CX711" s="335">
        <f t="shared" si="1292"/>
        <v>0.88636824549024895</v>
      </c>
      <c r="CY711" s="335">
        <f t="shared" si="1293"/>
        <v>0.42918482841932087</v>
      </c>
      <c r="CZ711" s="336">
        <f>INDEX('State Tax Lookup'!$D$7:$Z$91,MATCH(Calculation!$C711,'State Tax Lookup'!$B$7:$B$91,0),MATCH($H711,'State Tax Lookup'!$D$6:$Z$6,0))</f>
        <v>0.40076499999999998</v>
      </c>
      <c r="DA711" s="303">
        <v>0.37</v>
      </c>
      <c r="DB711" s="57">
        <f t="shared" si="1296"/>
        <v>12.527364226246993</v>
      </c>
      <c r="DC711" s="56">
        <f t="shared" si="1304"/>
        <v>-3.1482320055615916E-2</v>
      </c>
      <c r="DD711" s="303">
        <f>VLOOKUP($H711,RoR!$E:$F,2,FALSE)</f>
        <v>5.5874999999999994E-2</v>
      </c>
      <c r="DE711" s="304">
        <f>HLOOKUP($H711,'GDP-PI'!$D$8:$CQ$11,3,FALSE)</f>
        <v>3.0512430354548314E-2</v>
      </c>
      <c r="DF711" s="303">
        <f>VLOOKUP(H711,'HW Dx Data'!$E:$F,2,FALSE)</f>
        <v>461.08567272971823</v>
      </c>
      <c r="DG711" s="89">
        <f ca="1">VLOOKUP(CC711,'ECI - Input Price'!M$13:N$33,2,FALSE)</f>
        <v>109.4</v>
      </c>
      <c r="DH711" s="89"/>
      <c r="DI711" s="89"/>
      <c r="DJ711" s="56">
        <f t="shared" ca="1" si="1313"/>
        <v>9.7620891318751846E-2</v>
      </c>
      <c r="DK711" s="53">
        <f>HLOOKUP(H711,'GDP-PI'!$8:$9,2,FALSE)</f>
        <v>90.073999999999998</v>
      </c>
      <c r="DL711" s="355">
        <f t="shared" si="1306"/>
        <v>3.005618372545445E-2</v>
      </c>
      <c r="EC711"/>
    </row>
    <row r="712" spans="1:133" s="126" customFormat="1" ht="21" customHeight="1" x14ac:dyDescent="0.4">
      <c r="A712" s="233" t="s">
        <v>223</v>
      </c>
      <c r="B712" s="127" t="s">
        <v>223</v>
      </c>
      <c r="C712" s="127">
        <v>4057131</v>
      </c>
      <c r="D712" s="127" t="s">
        <v>222</v>
      </c>
      <c r="E712" s="127"/>
      <c r="F712" s="127"/>
      <c r="G712" s="127" t="s">
        <v>163</v>
      </c>
      <c r="H712" s="128">
        <v>2007</v>
      </c>
      <c r="I712" s="129"/>
      <c r="J712" s="125">
        <f>IFERROR(INDEX('Labor Expenditures'!$E$7:$W$91,MATCH($C712,'Labor Expenditures'!$C$7:$C$91,0),MATCH($G712,'Labor Expenditures'!$E$5:$W$5,0)),"NA")</f>
        <v>67648.578433905044</v>
      </c>
      <c r="K712" s="125">
        <f t="shared" ca="1" si="1307"/>
        <v>647.19998501702992</v>
      </c>
      <c r="L712" s="47"/>
      <c r="M712" s="131">
        <f t="shared" ca="1" si="1314"/>
        <v>-2.8638919703383472E-2</v>
      </c>
      <c r="N712" s="131"/>
      <c r="O712" s="131"/>
      <c r="P712" s="59">
        <f t="shared" ca="1" si="1316"/>
        <v>-1.0123618702128237E-3</v>
      </c>
      <c r="Q712" s="61"/>
      <c r="R712" s="387"/>
      <c r="S712" s="49">
        <f t="shared" ref="S712:S725" ca="1" si="1321">+S711*EXP(T712)</f>
        <v>118.03463420490112</v>
      </c>
      <c r="T712" s="61">
        <f ca="1">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</f>
        <v>7.9140237495350832E-2</v>
      </c>
      <c r="U712" s="61"/>
      <c r="V712" s="125">
        <f>IFERROR(INDEX('Non-Labor Expenditures'!$E$7:$AA$91,MATCH($C712,'Non-Labor Expenditures'!$C$7:$C$91,0),MATCH($G712,'Non-Labor Expenditures'!$E$5:$AA$5,0)),"NA")</f>
        <v>97967.776583878833</v>
      </c>
      <c r="W712" s="125">
        <f t="shared" si="1308"/>
        <v>1059.1339983986554</v>
      </c>
      <c r="X712" s="131">
        <f t="shared" si="1317"/>
        <v>-0.10077900039867388</v>
      </c>
      <c r="Y712" s="131">
        <f t="shared" si="1318"/>
        <v>-3.5624534157874302E-3</v>
      </c>
      <c r="Z712" s="131"/>
      <c r="AA712" s="131"/>
      <c r="AB712" s="131"/>
      <c r="AC712" s="125">
        <f t="shared" si="1283"/>
        <v>105347.90716842213</v>
      </c>
      <c r="AD712" s="129"/>
      <c r="AE712" s="133">
        <v>8408.8194071644648</v>
      </c>
      <c r="AF712" s="134">
        <v>2.2926360006030051E-2</v>
      </c>
      <c r="AG712" s="59">
        <f t="shared" si="1309"/>
        <v>8.1042766044471309E-4</v>
      </c>
      <c r="AH712" s="134"/>
      <c r="AI712" s="134"/>
      <c r="AJ712" s="129">
        <f t="shared" si="1238"/>
        <v>270964.262186206</v>
      </c>
      <c r="AK712" s="134">
        <f t="shared" si="1319"/>
        <v>-1.4363828031831737E-2</v>
      </c>
      <c r="AL712" s="129"/>
      <c r="AM712" s="129"/>
      <c r="AN712" s="129"/>
      <c r="AO712" s="129"/>
      <c r="AP712" s="133">
        <f t="shared" si="1320"/>
        <v>125.28905230893142</v>
      </c>
      <c r="AQ712" s="134">
        <f>+BB712/Outputs!$B$15</f>
        <v>6.1889852978214144E-2</v>
      </c>
      <c r="AR712" s="93">
        <f t="shared" si="1310"/>
        <v>0.2496586741295688</v>
      </c>
      <c r="AS712" s="93">
        <f t="shared" si="1311"/>
        <v>0.36155238994785077</v>
      </c>
      <c r="AT712" s="93">
        <f t="shared" si="1312"/>
        <v>0.3887889359225804</v>
      </c>
      <c r="AU712" s="93">
        <f t="shared" ca="1" si="1315"/>
        <v>-3.6449920917126413E-2</v>
      </c>
      <c r="AV712" s="132">
        <f ca="1">+AV711*EXP(AU712)</f>
        <v>97.870184043545692</v>
      </c>
      <c r="AW712" s="134">
        <f ca="1">LN(AV712/AV711)</f>
        <v>-3.6449920917126462E-2</v>
      </c>
      <c r="AX712" s="56">
        <f>+AJ712/$AL$12</f>
        <v>3.5349164029159268E-2</v>
      </c>
      <c r="AY712" s="135">
        <f t="shared" ref="AY712:AY726" ca="1" si="1322">+AX712*AW712</f>
        <v>-1.2884742333493866E-3</v>
      </c>
      <c r="AZ712" s="93"/>
      <c r="BA712" s="93"/>
      <c r="BB712" s="234">
        <f>IFERROR(INDEX('Total Customers'!$E$7:$AA$91,MATCH($C712,'Total Customers'!$C$7:$C$91,0),MATCH($G712,'Total Customers'!$E$5:$AA$5,0)),"NA")</f>
        <v>2162713</v>
      </c>
      <c r="BC712" s="411">
        <f t="shared" si="1305"/>
        <v>8.2169067206796838E-3</v>
      </c>
      <c r="BD712" s="92"/>
      <c r="BE712" s="281" t="str">
        <f t="shared" si="1297"/>
        <v>NORTHERN ILLINOIS GAS COMPANY</v>
      </c>
      <c r="BF712" s="290">
        <f t="shared" si="1298"/>
        <v>4057131</v>
      </c>
      <c r="BG712" s="46" t="str">
        <f t="shared" si="1299"/>
        <v>IL</v>
      </c>
      <c r="BH712" s="46"/>
      <c r="BI712" s="46" t="str">
        <f t="shared" si="1300"/>
        <v>2007 Y</v>
      </c>
      <c r="BJ712" s="129"/>
      <c r="BK712" s="129"/>
      <c r="BL712" s="129">
        <f>INDEX('Dist. Plant Gas Additions'!$E$7:$AD$91,MATCH($C712,'Dist. Plant Gas Additions'!$C$7:$C$91,0),MATCH(Calculation!$G712,'Dist. Plant Gas Additions'!$E$5:$AD$5,0))</f>
        <v>105278</v>
      </c>
      <c r="BM712" s="129">
        <f>INDEX('Gen. Plant Additions'!$E$7:$AD$91,MATCH($C712,'Gen. Plant Additions'!$C$7:$C$91,0),MATCH(Calculation!$G712,'Gen. Plant Additions'!$E$5:$AD$5,0))</f>
        <v>15785</v>
      </c>
      <c r="BN712" s="393">
        <f t="shared" si="1284"/>
        <v>0.92184017930949691</v>
      </c>
      <c r="BO712" s="46">
        <f t="shared" si="1278"/>
        <v>14551.24723040041</v>
      </c>
      <c r="BP712" s="46">
        <f t="shared" si="1279"/>
        <v>-1233.7527695995905</v>
      </c>
      <c r="BQ712" s="129">
        <f>INDEX('Dist Plant Depreciation'!$D$7:$AC$94,MATCH($C712,'Dist Plant Depreciation'!$C$7:$C$94,0),MATCH(Calculation!$G712,'Dist Plant Depreciation'!$D$5:$AC$5,0))</f>
        <v>1675408</v>
      </c>
      <c r="BR712" s="129">
        <f>INDEX('Gen. Plant Depreciation'!$D$7:$AC$94,MATCH($C712,'Gen. Plant Depreciation'!$C$7:$C$94,0),MATCH(Calculation!$G712,'Gen. Plant Depreciation'!$D$5:$AC$5,0))</f>
        <v>143255</v>
      </c>
      <c r="BS712" s="129"/>
      <c r="BT712" s="129"/>
      <c r="BU712" s="129"/>
      <c r="BV712" s="129"/>
      <c r="BW712" s="129"/>
      <c r="BX712" s="129"/>
      <c r="BY712" s="129">
        <f>INDEX('Gross Dx Plant'!$D$7:$AC$91,MATCH($C712,'Gross Dx Plant'!$C$7:$C$91,0),MATCH(Calculation!$G712,'Gross Dx Plant'!$D$5:$AC$5,0))</f>
        <v>3014304</v>
      </c>
      <c r="BZ712" s="129">
        <f>INDEX('Gross Gen Plant'!$D$7:$AC$91,MATCH($C712,'Gross Gen Plant'!$C$7:$C$91,0),MATCH(Calculation!$G712,'Gross Gen Plant'!$D$5:$AC$5,0))</f>
        <v>255573</v>
      </c>
      <c r="CA712" s="129">
        <f t="shared" si="1197"/>
        <v>1451214</v>
      </c>
      <c r="CB712" s="129"/>
      <c r="CC712" s="133">
        <v>2007</v>
      </c>
      <c r="CD712" s="129"/>
      <c r="CE712" s="129"/>
      <c r="CF712" s="129"/>
      <c r="CG712" s="137"/>
      <c r="CH712" s="129">
        <f t="shared" si="1285"/>
        <v>121063</v>
      </c>
      <c r="CI712" s="46">
        <f t="shared" si="1294"/>
        <v>119829.2472304004</v>
      </c>
      <c r="CJ712" s="46">
        <f t="shared" si="1286"/>
        <v>240.61019658439579</v>
      </c>
      <c r="CK712" s="443">
        <v>0.90322580645161288</v>
      </c>
      <c r="CL712" s="46">
        <f>+CL703*CK712+CJ704*CK711+CJ705*CK710+CJ706*CK709+CJ707*CK708+CJ708*CK707+CJ709*CK706+CJ710*CK705+CJ711*CK704+CJ712</f>
        <v>8038.9301942356415</v>
      </c>
      <c r="CM712" s="134">
        <f t="shared" si="1287"/>
        <v>1.8079416438526719E-2</v>
      </c>
      <c r="CN712" s="135">
        <f t="shared" si="1288"/>
        <v>1.2232834938347082E-2</v>
      </c>
      <c r="CO712" s="135">
        <f t="shared" si="1301"/>
        <v>1.192135957943926E-2</v>
      </c>
      <c r="CP712" s="134">
        <f>VLOOKUP($H712,RoR!$E:$F,2,FALSE)</f>
        <v>5.5558333333333321E-2</v>
      </c>
      <c r="CQ712" s="135">
        <v>2.691120634145272E-2</v>
      </c>
      <c r="CR712" s="135">
        <f t="shared" si="1295"/>
        <v>2.86471269918806E-2</v>
      </c>
      <c r="CS712" s="135">
        <f t="shared" si="1302"/>
        <v>1.8980582029094365E-2</v>
      </c>
      <c r="CT712" s="135">
        <f t="shared" si="1303"/>
        <v>6.4575155250632399E-2</v>
      </c>
      <c r="CU712" s="139">
        <f t="shared" si="1289"/>
        <v>0.85171695000000003</v>
      </c>
      <c r="CV712" s="335">
        <f t="shared" si="1290"/>
        <v>0.92303077153834634</v>
      </c>
      <c r="CW712" s="335">
        <f t="shared" si="1291"/>
        <v>0.52502249887505614</v>
      </c>
      <c r="CX712" s="335">
        <f t="shared" si="1292"/>
        <v>0.88499666072084604</v>
      </c>
      <c r="CY712" s="335">
        <f t="shared" si="1293"/>
        <v>0.42887993290280618</v>
      </c>
      <c r="CZ712" s="336">
        <f>INDEX('State Tax Lookup'!$D$7:$Z$91,MATCH(Calculation!$C712,'State Tax Lookup'!$B$7:$B$91,0),MATCH($H712,'State Tax Lookup'!$D$6:$Z$6,0))</f>
        <v>0.40076499999999998</v>
      </c>
      <c r="DA712" s="303">
        <v>0.37</v>
      </c>
      <c r="DB712" s="57">
        <f t="shared" si="1296"/>
        <v>13.343797592336786</v>
      </c>
      <c r="DC712" s="56">
        <f t="shared" si="1304"/>
        <v>6.3136287324865592E-2</v>
      </c>
      <c r="DD712" s="303">
        <f>VLOOKUP($H712,RoR!$E:$F,2,FALSE)</f>
        <v>5.5558333333333321E-2</v>
      </c>
      <c r="DE712" s="304">
        <f>HLOOKUP($H712,'GDP-PI'!$D$8:$CQ$11,3,FALSE)</f>
        <v>2.691120634145272E-2</v>
      </c>
      <c r="DF712" s="303">
        <f>VLOOKUP(H712,'HW Dx Data'!$E:$F,2,FALSE)</f>
        <v>498.0223154772637</v>
      </c>
      <c r="DG712" s="89">
        <f ca="1">VLOOKUP(CC712,'ECI - Input Price'!M$13:N$33,2,FALSE)</f>
        <v>104.52499999999999</v>
      </c>
      <c r="DH712" s="89"/>
      <c r="DI712" s="89"/>
      <c r="DJ712" s="56">
        <f t="shared" ca="1" si="1313"/>
        <v>-4.5584612745252218E-2</v>
      </c>
      <c r="DK712" s="53">
        <f>HLOOKUP(H712,'GDP-PI'!$8:$9,2,FALSE)</f>
        <v>92.498000000000005</v>
      </c>
      <c r="DL712" s="355">
        <f t="shared" si="1306"/>
        <v>2.6555467950038037E-2</v>
      </c>
      <c r="EC712"/>
    </row>
    <row r="713" spans="1:133" s="126" customFormat="1" ht="21" customHeight="1" x14ac:dyDescent="0.4">
      <c r="A713" s="233" t="s">
        <v>223</v>
      </c>
      <c r="B713" s="127" t="s">
        <v>223</v>
      </c>
      <c r="C713" s="127">
        <v>4057131</v>
      </c>
      <c r="D713" s="127" t="s">
        <v>222</v>
      </c>
      <c r="E713" s="127"/>
      <c r="F713" s="127"/>
      <c r="G713" s="127" t="s">
        <v>164</v>
      </c>
      <c r="H713" s="128">
        <v>2008</v>
      </c>
      <c r="I713" s="129"/>
      <c r="J713" s="125">
        <f>IFERROR(INDEX('Labor Expenditures'!$E$7:$W$91,MATCH($C713,'Labor Expenditures'!$C$7:$C$91,0),MATCH($G713,'Labor Expenditures'!$E$5:$W$5,0)),"NA")</f>
        <v>72149.571579223761</v>
      </c>
      <c r="K713" s="125">
        <f t="shared" ca="1" si="1307"/>
        <v>668.67072825971968</v>
      </c>
      <c r="L713" s="47"/>
      <c r="M713" s="131">
        <f t="shared" ca="1" si="1314"/>
        <v>3.263641140856835E-2</v>
      </c>
      <c r="N713" s="131"/>
      <c r="O713" s="131"/>
      <c r="P713" s="59">
        <f t="shared" ca="1" si="1316"/>
        <v>1.1996634165748375E-3</v>
      </c>
      <c r="Q713" s="61"/>
      <c r="R713" s="387"/>
      <c r="S713" s="49">
        <f t="shared" ca="1" si="1321"/>
        <v>109.81593294756001</v>
      </c>
      <c r="T713" s="61">
        <f ca="1">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</f>
        <v>-7.2172464250808865E-2</v>
      </c>
      <c r="U713" s="61"/>
      <c r="V713" s="125">
        <f>IFERROR(INDEX('Non-Labor Expenditures'!$E$7:$AA$91,MATCH($C713,'Non-Labor Expenditures'!$C$7:$C$91,0),MATCH($G713,'Non-Labor Expenditures'!$E$5:$AA$5,0)),"NA")</f>
        <v>104486.05532785834</v>
      </c>
      <c r="W713" s="125">
        <f t="shared" si="1308"/>
        <v>1108.440712550479</v>
      </c>
      <c r="X713" s="131">
        <f t="shared" si="1317"/>
        <v>4.550267268199662E-2</v>
      </c>
      <c r="Y713" s="131">
        <f t="shared" si="1318"/>
        <v>1.672607048906091E-3</v>
      </c>
      <c r="Z713" s="131"/>
      <c r="AA713" s="131"/>
      <c r="AB713" s="131"/>
      <c r="AC713" s="125">
        <f t="shared" si="1283"/>
        <v>120728.91051828786</v>
      </c>
      <c r="AD713" s="129"/>
      <c r="AE713" s="133">
        <v>8606.406113588293</v>
      </c>
      <c r="AF713" s="134">
        <v>2.3225738407108405E-2</v>
      </c>
      <c r="AG713" s="59">
        <f t="shared" si="1309"/>
        <v>8.5374180209745528E-4</v>
      </c>
      <c r="AH713" s="134"/>
      <c r="AI713" s="134"/>
      <c r="AJ713" s="129">
        <f t="shared" si="1238"/>
        <v>297364.53742536996</v>
      </c>
      <c r="AK713" s="134">
        <f t="shared" si="1319"/>
        <v>9.2971846571340694E-2</v>
      </c>
      <c r="AL713" s="129"/>
      <c r="AM713" s="129"/>
      <c r="AN713" s="129"/>
      <c r="AO713" s="129"/>
      <c r="AP713" s="133">
        <f t="shared" si="1320"/>
        <v>136.81726984575624</v>
      </c>
      <c r="AQ713" s="134">
        <f>+BB713/Outputs!$B$16</f>
        <v>6.1864370331568989E-2</v>
      </c>
      <c r="AR713" s="93">
        <f t="shared" si="1310"/>
        <v>0.24263004662192192</v>
      </c>
      <c r="AS713" s="93">
        <f t="shared" si="1311"/>
        <v>0.35137362455024201</v>
      </c>
      <c r="AT713" s="93">
        <f t="shared" si="1312"/>
        <v>0.40599632882783604</v>
      </c>
      <c r="AU713" s="93">
        <f t="shared" ca="1" si="1315"/>
        <v>3.3483025477674067E-2</v>
      </c>
      <c r="AV713" s="132">
        <f t="shared" ref="AV713:AV726" ca="1" si="1323">+AV712*EXP(AU713)</f>
        <v>101.2026531496543</v>
      </c>
      <c r="AW713" s="134">
        <f t="shared" ref="AW713:AW726" ca="1" si="1324">LN(AV713/AV712)</f>
        <v>3.348302547767399E-2</v>
      </c>
      <c r="AX713" s="56">
        <f>+AJ713/$AL$13</f>
        <v>3.6758435281272324E-2</v>
      </c>
      <c r="AY713" s="135">
        <f t="shared" ca="1" si="1322"/>
        <v>1.2307836250422717E-3</v>
      </c>
      <c r="AZ713" s="93"/>
      <c r="BA713" s="93"/>
      <c r="BB713" s="234">
        <f>IFERROR(INDEX('Total Customers'!$E$7:$AA$91,MATCH($C713,'Total Customers'!$C$7:$C$91,0),MATCH($G713,'Total Customers'!$E$5:$AA$5,0)),"NA")</f>
        <v>2173443</v>
      </c>
      <c r="BC713" s="411">
        <f t="shared" si="1305"/>
        <v>4.9490940368799472E-3</v>
      </c>
      <c r="BD713" s="92"/>
      <c r="BE713" s="281" t="str">
        <f t="shared" si="1297"/>
        <v>NORTHERN ILLINOIS GAS COMPANY</v>
      </c>
      <c r="BF713" s="290">
        <f t="shared" si="1298"/>
        <v>4057131</v>
      </c>
      <c r="BG713" s="46" t="str">
        <f t="shared" si="1299"/>
        <v>IL</v>
      </c>
      <c r="BH713" s="46"/>
      <c r="BI713" s="46" t="str">
        <f t="shared" si="1300"/>
        <v>2008 Y</v>
      </c>
      <c r="BJ713" s="129"/>
      <c r="BK713" s="129"/>
      <c r="BL713" s="129">
        <f>INDEX('Dist. Plant Gas Additions'!$E$7:$AD$91,MATCH($C713,'Dist. Plant Gas Additions'!$C$7:$C$91,0),MATCH(Calculation!$G713,'Dist. Plant Gas Additions'!$E$5:$AD$5,0))</f>
        <v>121628</v>
      </c>
      <c r="BM713" s="129">
        <f>INDEX('Gen. Plant Additions'!$E$7:$AD$91,MATCH($C713,'Gen. Plant Additions'!$C$7:$C$91,0),MATCH(Calculation!$G713,'Gen. Plant Additions'!$E$5:$AD$5,0))</f>
        <v>22592</v>
      </c>
      <c r="BN713" s="393">
        <f t="shared" si="1284"/>
        <v>0.92237566082076927</v>
      </c>
      <c r="BO713" s="46">
        <f t="shared" si="1278"/>
        <v>20838.310929262818</v>
      </c>
      <c r="BP713" s="46">
        <f t="shared" si="1279"/>
        <v>-1753.6890707371822</v>
      </c>
      <c r="BQ713" s="129">
        <f>INDEX('Dist Plant Depreciation'!$D$7:$AC$94,MATCH($C713,'Dist Plant Depreciation'!$C$7:$C$94,0),MATCH(Calculation!$G713,'Dist Plant Depreciation'!$D$5:$AC$5,0))</f>
        <v>1754092</v>
      </c>
      <c r="BR713" s="129">
        <f>INDEX('Gen. Plant Depreciation'!$D$7:$AC$94,MATCH($C713,'Gen. Plant Depreciation'!$C$7:$C$94,0),MATCH(Calculation!$G713,'Gen. Plant Depreciation'!$D$5:$AC$5,0))</f>
        <v>159930</v>
      </c>
      <c r="BS713" s="129"/>
      <c r="BT713" s="129"/>
      <c r="BU713" s="129"/>
      <c r="BV713" s="129"/>
      <c r="BW713" s="129"/>
      <c r="BX713" s="129"/>
      <c r="BY713" s="129">
        <f>INDEX('Gross Dx Plant'!$D$7:$AC$91,MATCH($C713,'Gross Dx Plant'!$C$7:$C$91,0),MATCH(Calculation!$G713,'Gross Dx Plant'!$D$5:$AC$5,0))</f>
        <v>3122237</v>
      </c>
      <c r="BZ713" s="129">
        <f>INDEX('Gross Gen Plant'!$D$7:$AC$91,MATCH($C713,'Gross Gen Plant'!$C$7:$C$91,0),MATCH(Calculation!$G713,'Gross Gen Plant'!$D$5:$AC$5,0))</f>
        <v>262758</v>
      </c>
      <c r="CA713" s="129">
        <f t="shared" si="1197"/>
        <v>1470973</v>
      </c>
      <c r="CB713" s="129"/>
      <c r="CC713" s="133">
        <v>2008</v>
      </c>
      <c r="CD713" s="129"/>
      <c r="CE713" s="129"/>
      <c r="CF713" s="129"/>
      <c r="CG713" s="137"/>
      <c r="CH713" s="129">
        <f t="shared" si="1285"/>
        <v>144220</v>
      </c>
      <c r="CI713" s="46">
        <f t="shared" si="1294"/>
        <v>142466.31092926281</v>
      </c>
      <c r="CJ713" s="46">
        <f t="shared" si="1286"/>
        <v>249.99299870832459</v>
      </c>
      <c r="CK713" s="443">
        <v>0.89130434782608692</v>
      </c>
      <c r="CL713" s="46">
        <f>+CL703*CK713+CJ704*CK712+CJ705*CK711+CJ706*CK710+CJ707*CK709+CJ708*CK708+CJ709*CK707+CJ710*CK706+CJ711*CK705+CJ712*CK704+CJ713</f>
        <v>8187.8903520764443</v>
      </c>
      <c r="CM713" s="134">
        <f t="shared" si="1287"/>
        <v>1.836026249526751E-2</v>
      </c>
      <c r="CN713" s="135">
        <f t="shared" si="1288"/>
        <v>1.256794603590014E-2</v>
      </c>
      <c r="CO713" s="135">
        <f t="shared" si="1301"/>
        <v>1.2239920276201258E-2</v>
      </c>
      <c r="CP713" s="134">
        <f>VLOOKUP($H713,RoR!$E:$F,2,FALSE)</f>
        <v>5.6316666666666668E-2</v>
      </c>
      <c r="CQ713" s="135">
        <v>1.9092304698479889E-2</v>
      </c>
      <c r="CR713" s="135">
        <f t="shared" si="1295"/>
        <v>3.7224361968186778E-2</v>
      </c>
      <c r="CS713" s="135">
        <f t="shared" si="1302"/>
        <v>1.8662021332332367E-2</v>
      </c>
      <c r="CT713" s="135">
        <f t="shared" si="1303"/>
        <v>6.9030581091053131E-2</v>
      </c>
      <c r="CU713" s="139">
        <f t="shared" si="1289"/>
        <v>0.85171695000000003</v>
      </c>
      <c r="CV713" s="335">
        <f t="shared" si="1290"/>
        <v>0.91060168006009956</v>
      </c>
      <c r="CW713" s="335">
        <f t="shared" si="1291"/>
        <v>0.53108168097070152</v>
      </c>
      <c r="CX713" s="335">
        <f t="shared" si="1292"/>
        <v>0.88825329850328805</v>
      </c>
      <c r="CY713" s="335">
        <f t="shared" si="1293"/>
        <v>0.4295627335323573</v>
      </c>
      <c r="CZ713" s="336">
        <f>INDEX('State Tax Lookup'!$D$7:$Z$91,MATCH(Calculation!$C713,'State Tax Lookup'!$B$7:$B$91,0),MATCH($H713,'State Tax Lookup'!$D$6:$Z$6,0))</f>
        <v>0.40076499999999998</v>
      </c>
      <c r="DA713" s="303">
        <v>0.37</v>
      </c>
      <c r="DB713" s="57">
        <f t="shared" si="1296"/>
        <v>15.018031952169105</v>
      </c>
      <c r="DC713" s="56">
        <f t="shared" si="1304"/>
        <v>0.11819993220556615</v>
      </c>
      <c r="DD713" s="303">
        <f>VLOOKUP($H713,RoR!$E:$F,2,FALSE)</f>
        <v>5.6316666666666668E-2</v>
      </c>
      <c r="DE713" s="304">
        <f>HLOOKUP($H713,'GDP-PI'!$D$8:$CQ$11,3,FALSE)</f>
        <v>1.9092304698479889E-2</v>
      </c>
      <c r="DF713" s="303">
        <f>VLOOKUP(H713,'HW Dx Data'!$E:$F,2,FALSE)</f>
        <v>569.88120333515076</v>
      </c>
      <c r="DG713" s="89">
        <f ca="1">VLOOKUP(CC713,'ECI - Input Price'!M$13:N$33,2,FALSE)</f>
        <v>107.9</v>
      </c>
      <c r="DH713" s="89"/>
      <c r="DI713" s="89"/>
      <c r="DJ713" s="56">
        <f t="shared" ca="1" si="1313"/>
        <v>3.1778595021460486E-2</v>
      </c>
      <c r="DK713" s="53">
        <f>HLOOKUP(H713,'GDP-PI'!$8:$9,2,FALSE)</f>
        <v>94.263999999999996</v>
      </c>
      <c r="DL713" s="355">
        <f t="shared" si="1306"/>
        <v>1.8912333748032254E-2</v>
      </c>
      <c r="EC713"/>
    </row>
    <row r="714" spans="1:133" s="126" customFormat="1" ht="21" customHeight="1" x14ac:dyDescent="0.4">
      <c r="A714" s="233" t="s">
        <v>223</v>
      </c>
      <c r="B714" s="127" t="s">
        <v>223</v>
      </c>
      <c r="C714" s="127">
        <v>4057131</v>
      </c>
      <c r="D714" s="127" t="s">
        <v>222</v>
      </c>
      <c r="E714" s="127"/>
      <c r="F714" s="127"/>
      <c r="G714" s="127" t="s">
        <v>165</v>
      </c>
      <c r="H714" s="128">
        <v>2009</v>
      </c>
      <c r="I714" s="129"/>
      <c r="J714" s="125">
        <f>IFERROR(INDEX('Labor Expenditures'!$E$7:$W$91,MATCH($C714,'Labor Expenditures'!$C$7:$C$91,0),MATCH($G714,'Labor Expenditures'!$E$5:$W$5,0)),"NA")</f>
        <v>77318.023482481367</v>
      </c>
      <c r="K714" s="125">
        <f t="shared" ca="1" si="1307"/>
        <v>697.02973615038422</v>
      </c>
      <c r="L714" s="47"/>
      <c r="M714" s="131">
        <f t="shared" ca="1" si="1314"/>
        <v>4.1536318904585055E-2</v>
      </c>
      <c r="N714" s="131"/>
      <c r="O714" s="131"/>
      <c r="P714" s="59">
        <f t="shared" ca="1" si="1316"/>
        <v>1.5033711260429179E-3</v>
      </c>
      <c r="Q714" s="61"/>
      <c r="R714" s="387"/>
      <c r="S714" s="49">
        <f t="shared" ca="1" si="1321"/>
        <v>117.69373932224396</v>
      </c>
      <c r="T714" s="61">
        <f ca="1">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</f>
        <v>6.9280193666703488E-2</v>
      </c>
      <c r="U714" s="61"/>
      <c r="V714" s="125">
        <f>IFERROR(INDEX('Non-Labor Expenditures'!$E$7:$AA$91,MATCH($C714,'Non-Labor Expenditures'!$C$7:$C$91,0),MATCH($G714,'Non-Labor Expenditures'!$E$5:$AA$5,0)),"NA")</f>
        <v>111970.93901743327</v>
      </c>
      <c r="W714" s="125">
        <f t="shared" si="1308"/>
        <v>1178.6538702242474</v>
      </c>
      <c r="X714" s="131">
        <f t="shared" si="1317"/>
        <v>6.1418735087159587E-2</v>
      </c>
      <c r="Y714" s="131">
        <f t="shared" si="1318"/>
        <v>2.2229979777510381E-3</v>
      </c>
      <c r="Z714" s="131"/>
      <c r="AA714" s="131"/>
      <c r="AB714" s="131"/>
      <c r="AC714" s="125">
        <f t="shared" si="1283"/>
        <v>116798.46712705953</v>
      </c>
      <c r="AD714" s="129"/>
      <c r="AE714" s="133">
        <v>8812.6646650201383</v>
      </c>
      <c r="AF714" s="134">
        <v>2.368303046586025E-2</v>
      </c>
      <c r="AG714" s="59">
        <f t="shared" si="1309"/>
        <v>8.57186797447253E-4</v>
      </c>
      <c r="AH714" s="134"/>
      <c r="AI714" s="134"/>
      <c r="AJ714" s="129">
        <f t="shared" si="1238"/>
        <v>306087.42962697416</v>
      </c>
      <c r="AK714" s="134">
        <f t="shared" si="1319"/>
        <v>2.8911993974769189E-2</v>
      </c>
      <c r="AL714" s="129"/>
      <c r="AM714" s="129"/>
      <c r="AN714" s="129"/>
      <c r="AO714" s="129"/>
      <c r="AP714" s="133">
        <f t="shared" si="1320"/>
        <v>140.87727186102524</v>
      </c>
      <c r="AQ714" s="134">
        <f>+BB714/Outputs!$B$17</f>
        <v>6.1765067914670936E-2</v>
      </c>
      <c r="AR714" s="93">
        <f t="shared" si="1310"/>
        <v>0.25260110673838554</v>
      </c>
      <c r="AS714" s="93">
        <f t="shared" si="1311"/>
        <v>0.36581358193602131</v>
      </c>
      <c r="AT714" s="93">
        <f t="shared" si="1312"/>
        <v>0.3815853113255932</v>
      </c>
      <c r="AU714" s="93">
        <f t="shared" ca="1" si="1315"/>
        <v>4.1635565069322436E-2</v>
      </c>
      <c r="AV714" s="132">
        <f t="shared" ca="1" si="1323"/>
        <v>105.50523140593469</v>
      </c>
      <c r="AW714" s="134">
        <f t="shared" ca="1" si="1324"/>
        <v>4.1635565069322464E-2</v>
      </c>
      <c r="AX714" s="56">
        <f>+AJ714/$AL$14</f>
        <v>3.6194134812388631E-2</v>
      </c>
      <c r="AY714" s="135">
        <f t="shared" ca="1" si="1322"/>
        <v>1.5069632551090362E-3</v>
      </c>
      <c r="AZ714" s="93"/>
      <c r="BA714" s="93"/>
      <c r="BB714" s="234">
        <f>IFERROR(INDEX('Total Customers'!$E$7:$AA$91,MATCH($C714,'Total Customers'!$C$7:$C$91,0),MATCH($G714,'Total Customers'!$E$5:$AA$5,0)),"NA")</f>
        <v>2172724</v>
      </c>
      <c r="BC714" s="411">
        <f t="shared" si="1305"/>
        <v>-3.308662582727146E-4</v>
      </c>
      <c r="BD714" s="92"/>
      <c r="BE714" s="281" t="str">
        <f t="shared" si="1297"/>
        <v>NORTHERN ILLINOIS GAS COMPANY</v>
      </c>
      <c r="BF714" s="290">
        <f t="shared" si="1298"/>
        <v>4057131</v>
      </c>
      <c r="BG714" s="46" t="str">
        <f t="shared" si="1299"/>
        <v>IL</v>
      </c>
      <c r="BH714" s="46"/>
      <c r="BI714" s="46" t="str">
        <f t="shared" si="1300"/>
        <v>2009 Y</v>
      </c>
      <c r="BJ714" s="129"/>
      <c r="BK714" s="129"/>
      <c r="BL714" s="129">
        <f>INDEX('Dist. Plant Gas Additions'!$E$7:$AD$91,MATCH($C714,'Dist. Plant Gas Additions'!$C$7:$C$91,0),MATCH(Calculation!$G714,'Dist. Plant Gas Additions'!$E$5:$AD$5,0))</f>
        <v>112762</v>
      </c>
      <c r="BM714" s="129">
        <f>INDEX('Gen. Plant Additions'!$E$7:$AD$91,MATCH($C714,'Gen. Plant Additions'!$C$7:$C$91,0),MATCH(Calculation!$G714,'Gen. Plant Additions'!$E$5:$AD$5,0))</f>
        <v>33186</v>
      </c>
      <c r="BN714" s="393">
        <f t="shared" si="1284"/>
        <v>0.92121942545992597</v>
      </c>
      <c r="BO714" s="46">
        <f t="shared" si="1278"/>
        <v>30571.587853313104</v>
      </c>
      <c r="BP714" s="46">
        <f t="shared" si="1279"/>
        <v>-2614.4121466868964</v>
      </c>
      <c r="BQ714" s="129">
        <f>INDEX('Dist Plant Depreciation'!$D$7:$AC$94,MATCH($C714,'Dist Plant Depreciation'!$C$7:$C$94,0),MATCH(Calculation!$G714,'Dist Plant Depreciation'!$D$5:$AC$5,0))</f>
        <v>1832394</v>
      </c>
      <c r="BR714" s="129">
        <f>INDEX('Gen. Plant Depreciation'!$D$7:$AC$94,MATCH($C714,'Gen. Plant Depreciation'!$C$7:$C$94,0),MATCH(Calculation!$G714,'Gen. Plant Depreciation'!$D$5:$AC$5,0))</f>
        <v>172593</v>
      </c>
      <c r="BS714" s="129"/>
      <c r="BT714" s="129"/>
      <c r="BU714" s="129"/>
      <c r="BV714" s="129"/>
      <c r="BW714" s="129"/>
      <c r="BX714" s="129"/>
      <c r="BY714" s="129">
        <f>INDEX('Gross Dx Plant'!$D$7:$AC$91,MATCH($C714,'Gross Dx Plant'!$C$7:$C$91,0),MATCH(Calculation!$G714,'Gross Dx Plant'!$D$5:$AC$5,0))</f>
        <v>3222584</v>
      </c>
      <c r="BZ714" s="129">
        <f>INDEX('Gross Gen Plant'!$D$7:$AC$91,MATCH($C714,'Gross Gen Plant'!$C$7:$C$91,0),MATCH(Calculation!$G714,'Gross Gen Plant'!$D$5:$AC$5,0))</f>
        <v>275588</v>
      </c>
      <c r="CA714" s="129">
        <f t="shared" si="1197"/>
        <v>1493185</v>
      </c>
      <c r="CB714" s="129"/>
      <c r="CC714" s="133">
        <v>2009</v>
      </c>
      <c r="CD714" s="129"/>
      <c r="CE714" s="129"/>
      <c r="CF714" s="129"/>
      <c r="CG714" s="137"/>
      <c r="CH714" s="129">
        <f t="shared" si="1285"/>
        <v>145948</v>
      </c>
      <c r="CI714" s="46">
        <f t="shared" si="1294"/>
        <v>143333.5878533131</v>
      </c>
      <c r="CJ714" s="46">
        <f t="shared" si="1286"/>
        <v>260.16158235600369</v>
      </c>
      <c r="CK714" s="443">
        <v>0.87912087912087911</v>
      </c>
      <c r="CL714" s="46">
        <f>+CL703*CK714+CJ704*CK713+CJ705*CK712+CJ706*CK711+CJ707*CK710+CJ708*CK709+CJ709*CK708+CJ710*CK707+CJ711*CK706+CJ712*CK705+CJ713*CK704+CJ714</f>
        <v>8342.3551346680124</v>
      </c>
      <c r="CM714" s="134">
        <f t="shared" si="1287"/>
        <v>1.8689290339629915E-2</v>
      </c>
      <c r="CN714" s="135">
        <f t="shared" si="1288"/>
        <v>1.2908917342503363E-2</v>
      </c>
      <c r="CO714" s="135">
        <f t="shared" si="1301"/>
        <v>1.2569899438916862E-2</v>
      </c>
      <c r="CP714" s="134">
        <f>VLOOKUP($H714,RoR!$E:$F,2,FALSE)</f>
        <v>5.3133333333333324E-2</v>
      </c>
      <c r="CQ714" s="135">
        <v>7.7972502758210105E-3</v>
      </c>
      <c r="CR714" s="135">
        <f t="shared" si="1295"/>
        <v>4.5336083057512314E-2</v>
      </c>
      <c r="CS714" s="135">
        <f t="shared" si="1302"/>
        <v>1.8332042169616765E-2</v>
      </c>
      <c r="CT714" s="135">
        <f t="shared" si="1303"/>
        <v>6.3720160300892073E-2</v>
      </c>
      <c r="CU714" s="139">
        <f t="shared" si="1289"/>
        <v>0.85171695000000003</v>
      </c>
      <c r="CV714" s="335">
        <f t="shared" si="1290"/>
        <v>0.96515780330083989</v>
      </c>
      <c r="CW714" s="335">
        <f t="shared" si="1291"/>
        <v>0.50448557089084056</v>
      </c>
      <c r="CX714" s="335">
        <f t="shared" si="1292"/>
        <v>0.87391435735465484</v>
      </c>
      <c r="CY714" s="335">
        <f t="shared" si="1293"/>
        <v>0.42551605393279146</v>
      </c>
      <c r="CZ714" s="336">
        <f>INDEX('State Tax Lookup'!$D$7:$Z$91,MATCH(Calculation!$C714,'State Tax Lookup'!$B$7:$B$91,0),MATCH($H714,'State Tax Lookup'!$D$6:$Z$6,0))</f>
        <v>0.40076499999999998</v>
      </c>
      <c r="DA714" s="303">
        <v>0.37</v>
      </c>
      <c r="DB714" s="57">
        <f t="shared" si="1296"/>
        <v>14.264781537705803</v>
      </c>
      <c r="DC714" s="56">
        <f t="shared" si="1304"/>
        <v>-5.1457939285447396E-2</v>
      </c>
      <c r="DD714" s="303">
        <f>VLOOKUP($H714,RoR!$E:$F,2,FALSE)</f>
        <v>5.3133333333333324E-2</v>
      </c>
      <c r="DE714" s="304">
        <f>HLOOKUP($H714,'GDP-PI'!$D$8:$CQ$11,3,FALSE)</f>
        <v>7.7972502758210105E-3</v>
      </c>
      <c r="DF714" s="303">
        <f>VLOOKUP(H714,'HW Dx Data'!$E:$F,2,FALSE)</f>
        <v>550.94063679692806</v>
      </c>
      <c r="DG714" s="89">
        <f ca="1">VLOOKUP(CC714,'ECI - Input Price'!M$13:N$33,2,FALSE)</f>
        <v>110.925</v>
      </c>
      <c r="DH714" s="89"/>
      <c r="DI714" s="89"/>
      <c r="DJ714" s="56">
        <f t="shared" ca="1" si="1313"/>
        <v>2.7649425000884052E-2</v>
      </c>
      <c r="DK714" s="53">
        <f>HLOOKUP(H714,'GDP-PI'!$8:$9,2,FALSE)</f>
        <v>94.998999999999995</v>
      </c>
      <c r="DL714" s="355">
        <f t="shared" si="1306"/>
        <v>7.7670088183096342E-3</v>
      </c>
      <c r="EC714"/>
    </row>
    <row r="715" spans="1:133" s="126" customFormat="1" ht="21" customHeight="1" x14ac:dyDescent="0.4">
      <c r="A715" s="233" t="s">
        <v>223</v>
      </c>
      <c r="B715" s="127" t="s">
        <v>223</v>
      </c>
      <c r="C715" s="127">
        <v>4057131</v>
      </c>
      <c r="D715" s="127" t="s">
        <v>222</v>
      </c>
      <c r="E715" s="127"/>
      <c r="F715" s="127"/>
      <c r="G715" s="127" t="s">
        <v>166</v>
      </c>
      <c r="H715" s="128">
        <v>2010</v>
      </c>
      <c r="I715" s="129"/>
      <c r="J715" s="125">
        <f>IFERROR(INDEX('Labor Expenditures'!$E$7:$W$91,MATCH($C715,'Labor Expenditures'!$C$7:$C$91,0),MATCH($G715,'Labor Expenditures'!$E$5:$W$5,0)),"NA")</f>
        <v>85135.003723387475</v>
      </c>
      <c r="K715" s="125">
        <f t="shared" ca="1" si="1307"/>
        <v>728.11634572065407</v>
      </c>
      <c r="L715" s="47"/>
      <c r="M715" s="131">
        <f t="shared" ca="1" si="1314"/>
        <v>4.3632778070903419E-2</v>
      </c>
      <c r="N715" s="131"/>
      <c r="O715" s="131"/>
      <c r="P715" s="59">
        <f t="shared" ca="1" si="1316"/>
        <v>1.6478938799119156E-3</v>
      </c>
      <c r="Q715" s="61"/>
      <c r="R715" s="387"/>
      <c r="S715" s="49">
        <f t="shared" ca="1" si="1321"/>
        <v>96.784316765874067</v>
      </c>
      <c r="T715" s="61">
        <f ca="1">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</f>
        <v>-0.19560085675197819</v>
      </c>
      <c r="U715" s="61"/>
      <c r="V715" s="125">
        <f>IFERROR(INDEX('Non-Labor Expenditures'!$E$7:$AA$91,MATCH($C715,'Non-Labor Expenditures'!$C$7:$C$91,0),MATCH($G715,'Non-Labor Expenditures'!$E$5:$AA$5,0)),"NA")</f>
        <v>123291.38641678118</v>
      </c>
      <c r="W715" s="125">
        <f t="shared" si="1308"/>
        <v>1282.8287300542218</v>
      </c>
      <c r="X715" s="131">
        <f t="shared" si="1317"/>
        <v>8.4694585610729664E-2</v>
      </c>
      <c r="Y715" s="131">
        <f t="shared" si="1318"/>
        <v>3.1986890466336845E-3</v>
      </c>
      <c r="Z715" s="131"/>
      <c r="AA715" s="131"/>
      <c r="AB715" s="131"/>
      <c r="AC715" s="125">
        <f t="shared" si="1283"/>
        <v>120812.18987171201</v>
      </c>
      <c r="AD715" s="129"/>
      <c r="AE715" s="133">
        <v>8981.2051806924428</v>
      </c>
      <c r="AF715" s="134">
        <v>1.8944227157011845E-2</v>
      </c>
      <c r="AG715" s="59">
        <f t="shared" si="1309"/>
        <v>7.1547303132914078E-4</v>
      </c>
      <c r="AH715" s="134"/>
      <c r="AI715" s="134"/>
      <c r="AJ715" s="129">
        <f t="shared" si="1238"/>
        <v>329238.58001188067</v>
      </c>
      <c r="AK715" s="134">
        <f t="shared" si="1319"/>
        <v>7.291187628998827E-2</v>
      </c>
      <c r="AL715" s="129"/>
      <c r="AM715" s="129"/>
      <c r="AN715" s="129"/>
      <c r="AO715" s="129"/>
      <c r="AP715" s="133">
        <f t="shared" si="1320"/>
        <v>151.23374267547655</v>
      </c>
      <c r="AQ715" s="134">
        <f>+BB715/Outputs!$B$18</f>
        <v>6.1548525479719715E-2</v>
      </c>
      <c r="AR715" s="93">
        <f t="shared" si="1310"/>
        <v>0.2585814934577696</v>
      </c>
      <c r="AS715" s="93">
        <f t="shared" si="1311"/>
        <v>0.37447429888785261</v>
      </c>
      <c r="AT715" s="93">
        <f t="shared" si="1312"/>
        <v>0.36694420765437774</v>
      </c>
      <c r="AU715" s="93">
        <f t="shared" ca="1" si="1315"/>
        <v>4.9591502744187402E-2</v>
      </c>
      <c r="AV715" s="132">
        <f t="shared" ca="1" si="1323"/>
        <v>110.86930123657378</v>
      </c>
      <c r="AW715" s="134">
        <f t="shared" ca="1" si="1324"/>
        <v>4.9591502744187381E-2</v>
      </c>
      <c r="AX715" s="56">
        <f>+AJ715/$AL$15</f>
        <v>3.7767338060255576E-2</v>
      </c>
      <c r="AY715" s="135">
        <f t="shared" ca="1" si="1322"/>
        <v>1.8729390490558168E-3</v>
      </c>
      <c r="AZ715" s="93"/>
      <c r="BA715" s="93"/>
      <c r="BB715" s="234">
        <f>IFERROR(INDEX('Total Customers'!$E$7:$AA$91,MATCH($C715,'Total Customers'!$C$7:$C$91,0),MATCH($G715,'Total Customers'!$E$5:$AA$5,0)),"NA")</f>
        <v>2177018</v>
      </c>
      <c r="BC715" s="411">
        <f t="shared" si="1305"/>
        <v>1.9743706154911767E-3</v>
      </c>
      <c r="BD715" s="92"/>
      <c r="BE715" s="281" t="str">
        <f t="shared" si="1297"/>
        <v>NORTHERN ILLINOIS GAS COMPANY</v>
      </c>
      <c r="BF715" s="290">
        <f t="shared" si="1298"/>
        <v>4057131</v>
      </c>
      <c r="BG715" s="46" t="str">
        <f t="shared" si="1299"/>
        <v>IL</v>
      </c>
      <c r="BH715" s="46"/>
      <c r="BI715" s="46" t="str">
        <f t="shared" si="1300"/>
        <v>2010 Y</v>
      </c>
      <c r="BJ715" s="129"/>
      <c r="BK715" s="129"/>
      <c r="BL715" s="129">
        <f>INDEX('Dist. Plant Gas Additions'!$E$7:$AD$91,MATCH($C715,'Dist. Plant Gas Additions'!$C$7:$C$91,0),MATCH(Calculation!$G715,'Dist. Plant Gas Additions'!$E$5:$AD$5,0))</f>
        <v>110513</v>
      </c>
      <c r="BM715" s="129">
        <f>INDEX('Gen. Plant Additions'!$E$7:$AD$91,MATCH($C715,'Gen. Plant Additions'!$C$7:$C$91,0),MATCH(Calculation!$G715,'Gen. Plant Additions'!$E$5:$AD$5,0))</f>
        <v>20668</v>
      </c>
      <c r="BN715" s="393">
        <f t="shared" si="1284"/>
        <v>0.92345609260497075</v>
      </c>
      <c r="BO715" s="46">
        <f t="shared" si="1278"/>
        <v>19085.990521959535</v>
      </c>
      <c r="BP715" s="46">
        <f t="shared" si="1279"/>
        <v>-1582.0094780404652</v>
      </c>
      <c r="BQ715" s="129">
        <f>INDEX('Dist Plant Depreciation'!$D$7:$AC$94,MATCH($C715,'Dist Plant Depreciation'!$C$7:$C$94,0),MATCH(Calculation!$G715,'Dist Plant Depreciation'!$D$5:$AC$5,0))</f>
        <v>1924415</v>
      </c>
      <c r="BR715" s="129">
        <f>INDEX('Gen. Plant Depreciation'!$D$7:$AC$94,MATCH($C715,'Gen. Plant Depreciation'!$C$7:$C$94,0),MATCH(Calculation!$G715,'Gen. Plant Depreciation'!$D$5:$AC$5,0))</f>
        <v>183792</v>
      </c>
      <c r="BS715" s="129"/>
      <c r="BT715" s="129"/>
      <c r="BU715" s="129"/>
      <c r="BV715" s="129"/>
      <c r="BW715" s="129"/>
      <c r="BX715" s="129"/>
      <c r="BY715" s="129">
        <f>INDEX('Gross Dx Plant'!$D$7:$AC$91,MATCH($C715,'Gross Dx Plant'!$C$7:$C$91,0),MATCH(Calculation!$G715,'Gross Dx Plant'!$D$5:$AC$5,0))</f>
        <v>3321232</v>
      </c>
      <c r="BZ715" s="129">
        <f>INDEX('Gross Gen Plant'!$D$7:$AC$91,MATCH($C715,'Gross Gen Plant'!$C$7:$C$91,0),MATCH(Calculation!$G715,'Gross Gen Plant'!$D$5:$AC$5,0))</f>
        <v>275292</v>
      </c>
      <c r="CA715" s="129">
        <f t="shared" si="1197"/>
        <v>1488317</v>
      </c>
      <c r="CB715" s="129"/>
      <c r="CC715" s="133">
        <v>2010</v>
      </c>
      <c r="CD715" s="129"/>
      <c r="CE715" s="129"/>
      <c r="CF715" s="129"/>
      <c r="CG715" s="137"/>
      <c r="CH715" s="129">
        <f t="shared" si="1285"/>
        <v>131181</v>
      </c>
      <c r="CI715" s="46">
        <f t="shared" si="1294"/>
        <v>129598.99052195954</v>
      </c>
      <c r="CJ715" s="46">
        <f t="shared" si="1286"/>
        <v>227.77044202570985</v>
      </c>
      <c r="CK715" s="443">
        <v>0.8666666666666667</v>
      </c>
      <c r="CL715" s="46">
        <f>+CL703*CK715+CJ704*CK714+CJ705*CK713+CJ706*CK712+CJ707*CK711+CJ708*CK710+CJ709*CK709+CJ710*CK708+CJ711*CK707+CJ712*CK706+CJ713*CK705+CJ714*CK704+CJ715</f>
        <v>8459.5426793065981</v>
      </c>
      <c r="CM715" s="134">
        <f t="shared" si="1287"/>
        <v>1.3949548583461126E-2</v>
      </c>
      <c r="CN715" s="135">
        <f t="shared" si="1288"/>
        <v>1.3255596962970202E-2</v>
      </c>
      <c r="CO715" s="135">
        <f t="shared" si="1301"/>
        <v>1.2910820113791235E-2</v>
      </c>
      <c r="CP715" s="134">
        <f>VLOOKUP($H715,RoR!$E:$F,2,FALSE)</f>
        <v>4.9433333333333322E-2</v>
      </c>
      <c r="CQ715" s="135">
        <v>1.1684333519300205E-2</v>
      </c>
      <c r="CR715" s="135">
        <f t="shared" si="1295"/>
        <v>3.7748999814033117E-2</v>
      </c>
      <c r="CS715" s="135">
        <f t="shared" si="1302"/>
        <v>1.7991121494742392E-2</v>
      </c>
      <c r="CT715" s="135">
        <f t="shared" si="1303"/>
        <v>4.7937530248493419E-2</v>
      </c>
      <c r="CU715" s="139">
        <f t="shared" si="1289"/>
        <v>0.85171695000000003</v>
      </c>
      <c r="CV715" s="335">
        <f t="shared" si="1290"/>
        <v>1.037398205301105</v>
      </c>
      <c r="CW715" s="335">
        <f t="shared" si="1291"/>
        <v>0.46926837491571133</v>
      </c>
      <c r="CX715" s="335">
        <f t="shared" si="1292"/>
        <v>0.8548537519972772</v>
      </c>
      <c r="CY715" s="335">
        <f t="shared" si="1293"/>
        <v>0.41615833911547367</v>
      </c>
      <c r="CZ715" s="336">
        <f>INDEX('State Tax Lookup'!$D$7:$Z$91,MATCH(Calculation!$C715,'State Tax Lookup'!$B$7:$B$91,0),MATCH($H715,'State Tax Lookup'!$D$6:$Z$6,0))</f>
        <v>0.40076499999999998</v>
      </c>
      <c r="DA715" s="303">
        <v>0.37</v>
      </c>
      <c r="DB715" s="57">
        <f t="shared" si="1296"/>
        <v>14.481784570601331</v>
      </c>
      <c r="DC715" s="56">
        <f t="shared" si="1304"/>
        <v>1.5097953208253972E-2</v>
      </c>
      <c r="DD715" s="303">
        <f>VLOOKUP($H715,RoR!$E:$F,2,FALSE)</f>
        <v>4.9433333333333322E-2</v>
      </c>
      <c r="DE715" s="304">
        <f>HLOOKUP($H715,'GDP-PI'!$D$8:$CQ$11,3,FALSE)</f>
        <v>1.1684333519300205E-2</v>
      </c>
      <c r="DF715" s="303">
        <f>VLOOKUP(H715,'HW Dx Data'!$E:$F,2,FALSE)</f>
        <v>568.98950262971744</v>
      </c>
      <c r="DG715" s="89">
        <f ca="1">VLOOKUP(CC715,'ECI - Input Price'!M$13:N$33,2,FALSE)</f>
        <v>116.925</v>
      </c>
      <c r="DH715" s="89"/>
      <c r="DI715" s="89"/>
      <c r="DJ715" s="56">
        <f t="shared" ca="1" si="1313"/>
        <v>5.2678406346976722E-2</v>
      </c>
      <c r="DK715" s="53">
        <f>HLOOKUP(H715,'GDP-PI'!$8:$9,2,FALSE)</f>
        <v>96.108999999999995</v>
      </c>
      <c r="DL715" s="355">
        <f t="shared" si="1306"/>
        <v>1.1616598807150427E-2</v>
      </c>
      <c r="EC715"/>
    </row>
    <row r="716" spans="1:133" s="126" customFormat="1" ht="21" customHeight="1" x14ac:dyDescent="0.4">
      <c r="A716" s="233" t="s">
        <v>223</v>
      </c>
      <c r="B716" s="127" t="s">
        <v>223</v>
      </c>
      <c r="C716" s="127">
        <v>4057131</v>
      </c>
      <c r="D716" s="127" t="s">
        <v>222</v>
      </c>
      <c r="E716" s="127"/>
      <c r="F716" s="127"/>
      <c r="G716" s="127" t="s">
        <v>167</v>
      </c>
      <c r="H716" s="128">
        <v>2011</v>
      </c>
      <c r="I716" s="129"/>
      <c r="J716" s="125">
        <f>IFERROR(INDEX('Labor Expenditures'!$E$7:$W$91,MATCH($C716,'Labor Expenditures'!$C$7:$C$91,0),MATCH($G716,'Labor Expenditures'!$E$5:$W$5,0)),"NA")</f>
        <v>84659.048029339086</v>
      </c>
      <c r="K716" s="125">
        <f t="shared" ca="1" si="1307"/>
        <v>700.3850922799511</v>
      </c>
      <c r="L716" s="47"/>
      <c r="M716" s="131">
        <f t="shared" ca="1" si="1314"/>
        <v>-3.8830535373023119E-2</v>
      </c>
      <c r="N716" s="131"/>
      <c r="O716" s="131"/>
      <c r="P716" s="59">
        <f t="shared" ca="1" si="1316"/>
        <v>-1.4409402342702717E-3</v>
      </c>
      <c r="Q716" s="61"/>
      <c r="R716" s="387"/>
      <c r="S716" s="49">
        <f t="shared" ca="1" si="1321"/>
        <v>116.18269541151106</v>
      </c>
      <c r="T716" s="61">
        <f ca="1">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</f>
        <v>0.18267894832600667</v>
      </c>
      <c r="U716" s="61"/>
      <c r="V716" s="125">
        <f>IFERROR(INDEX('Non-Labor Expenditures'!$E$7:$AA$91,MATCH($C716,'Non-Labor Expenditures'!$C$7:$C$91,0),MATCH($G716,'Non-Labor Expenditures'!$E$5:$AA$5,0)),"NA")</f>
        <v>122602.11367553778</v>
      </c>
      <c r="W716" s="125">
        <f t="shared" si="1308"/>
        <v>1249.613846171088</v>
      </c>
      <c r="X716" s="131">
        <f t="shared" si="1317"/>
        <v>-2.6233004424363951E-2</v>
      </c>
      <c r="Y716" s="131">
        <f t="shared" si="1318"/>
        <v>-9.7346562898839486E-4</v>
      </c>
      <c r="Z716" s="131"/>
      <c r="AA716" s="131"/>
      <c r="AB716" s="131"/>
      <c r="AC716" s="125">
        <f t="shared" si="1283"/>
        <v>129411.82090762549</v>
      </c>
      <c r="AD716" s="129"/>
      <c r="AE716" s="133">
        <v>9125.457119735067</v>
      </c>
      <c r="AF716" s="134">
        <v>1.5933913014073573E-2</v>
      </c>
      <c r="AG716" s="59">
        <f t="shared" si="1309"/>
        <v>5.9128250823171143E-4</v>
      </c>
      <c r="AH716" s="134"/>
      <c r="AI716" s="134"/>
      <c r="AJ716" s="129">
        <f t="shared" si="1238"/>
        <v>336672.98261250235</v>
      </c>
      <c r="AK716" s="134">
        <f t="shared" si="1319"/>
        <v>2.2329426058340176E-2</v>
      </c>
      <c r="AL716" s="129"/>
      <c r="AM716" s="129"/>
      <c r="AN716" s="129"/>
      <c r="AO716" s="129"/>
      <c r="AP716" s="133">
        <f t="shared" si="1320"/>
        <v>154.09164342176913</v>
      </c>
      <c r="AQ716" s="134">
        <f>+BB716/Outputs!$B$19</f>
        <v>6.1472981071062777E-2</v>
      </c>
      <c r="AR716" s="93">
        <f t="shared" si="1310"/>
        <v>0.25145780149153935</v>
      </c>
      <c r="AS716" s="93">
        <f t="shared" si="1311"/>
        <v>0.36415786239862347</v>
      </c>
      <c r="AT716" s="93">
        <f t="shared" si="1312"/>
        <v>0.38438433610983724</v>
      </c>
      <c r="AU716" s="93">
        <f t="shared" ca="1" si="1315"/>
        <v>-1.3605017988918486E-2</v>
      </c>
      <c r="AV716" s="132">
        <f t="shared" ca="1" si="1323"/>
        <v>109.37113678467084</v>
      </c>
      <c r="AW716" s="134">
        <f t="shared" ca="1" si="1324"/>
        <v>-1.360501798891856E-2</v>
      </c>
      <c r="AX716" s="56">
        <f>+AJ716/$AL$16</f>
        <v>3.7108430785925794E-2</v>
      </c>
      <c r="AY716" s="135">
        <f t="shared" ca="1" si="1322"/>
        <v>-5.0486086838305978E-4</v>
      </c>
      <c r="AZ716" s="93"/>
      <c r="BA716" s="93"/>
      <c r="BB716" s="234">
        <f>IFERROR(INDEX('Total Customers'!$E$7:$AA$91,MATCH($C716,'Total Customers'!$C$7:$C$91,0),MATCH($G716,'Total Customers'!$E$5:$AA$5,0)),"NA")</f>
        <v>2184888</v>
      </c>
      <c r="BC716" s="411">
        <f t="shared" si="1305"/>
        <v>3.6085181752512122E-3</v>
      </c>
      <c r="BD716" s="92"/>
      <c r="BE716" s="281" t="str">
        <f t="shared" si="1297"/>
        <v>NORTHERN ILLINOIS GAS COMPANY</v>
      </c>
      <c r="BF716" s="290">
        <f t="shared" si="1298"/>
        <v>4057131</v>
      </c>
      <c r="BG716" s="46" t="str">
        <f t="shared" si="1299"/>
        <v>IL</v>
      </c>
      <c r="BH716" s="46"/>
      <c r="BI716" s="46" t="str">
        <f t="shared" si="1300"/>
        <v>2011 Y</v>
      </c>
      <c r="BJ716" s="129"/>
      <c r="BK716" s="129"/>
      <c r="BL716" s="129">
        <f>INDEX('Dist. Plant Gas Additions'!$E$7:$AD$91,MATCH($C716,'Dist. Plant Gas Additions'!$C$7:$C$91,0),MATCH(Calculation!$G716,'Dist. Plant Gas Additions'!$E$5:$AD$5,0))</f>
        <v>106288</v>
      </c>
      <c r="BM716" s="129">
        <f>INDEX('Gen. Plant Additions'!$E$7:$AD$91,MATCH($C716,'Gen. Plant Additions'!$C$7:$C$91,0),MATCH(Calculation!$G716,'Gen. Plant Additions'!$E$5:$AD$5,0))</f>
        <v>21907</v>
      </c>
      <c r="BN716" s="393">
        <f t="shared" si="1284"/>
        <v>0.92349262123797848</v>
      </c>
      <c r="BO716" s="46">
        <f t="shared" si="1278"/>
        <v>20230.952853460396</v>
      </c>
      <c r="BP716" s="46">
        <f t="shared" si="1279"/>
        <v>-1676.047146539604</v>
      </c>
      <c r="BQ716" s="129">
        <f>INDEX('Dist Plant Depreciation'!$D$7:$AC$94,MATCH($C716,'Dist Plant Depreciation'!$C$7:$C$94,0),MATCH(Calculation!$G716,'Dist Plant Depreciation'!$D$5:$AC$5,0))</f>
        <v>2016234</v>
      </c>
      <c r="BR716" s="129">
        <f>INDEX('Gen. Plant Depreciation'!$D$7:$AC$94,MATCH($C716,'Gen. Plant Depreciation'!$C$7:$C$94,0),MATCH(Calculation!$G716,'Gen. Plant Depreciation'!$D$5:$AC$5,0))</f>
        <v>200428</v>
      </c>
      <c r="BS716" s="129"/>
      <c r="BT716" s="129"/>
      <c r="BU716" s="129"/>
      <c r="BV716" s="129"/>
      <c r="BW716" s="129"/>
      <c r="BX716" s="129"/>
      <c r="BY716" s="129">
        <f>INDEX('Gross Dx Plant'!$D$7:$AC$91,MATCH($C716,'Gross Dx Plant'!$C$7:$C$91,0),MATCH(Calculation!$G716,'Gross Dx Plant'!$D$5:$AC$5,0))</f>
        <v>3413491</v>
      </c>
      <c r="BZ716" s="129">
        <f>INDEX('Gross Gen Plant'!$D$7:$AC$91,MATCH($C716,'Gross Gen Plant'!$C$7:$C$91,0),MATCH(Calculation!$G716,'Gross Gen Plant'!$D$5:$AC$5,0))</f>
        <v>282793</v>
      </c>
      <c r="CA716" s="129">
        <f t="shared" si="1197"/>
        <v>1479622</v>
      </c>
      <c r="CB716" s="129"/>
      <c r="CC716" s="133">
        <v>2011</v>
      </c>
      <c r="CD716" s="129"/>
      <c r="CE716" s="129"/>
      <c r="CF716" s="129"/>
      <c r="CG716" s="137"/>
      <c r="CH716" s="129">
        <f t="shared" si="1285"/>
        <v>128195</v>
      </c>
      <c r="CI716" s="46">
        <f t="shared" si="1294"/>
        <v>126518.95285346039</v>
      </c>
      <c r="CJ716" s="46">
        <f t="shared" si="1286"/>
        <v>206.86176829605972</v>
      </c>
      <c r="CK716" s="443">
        <v>0.8539325842696629</v>
      </c>
      <c r="CL716" s="46">
        <f>+CL703*CK716+CJ704*CK715+CJ705*CK714+CJ706*CK713+CJ707*CK712+CJ708*CK711+CJ709*CK710+CJ710*CK709+CJ711*CK708+CJ712*CK707+CJ713*CK706+CJ714*CK705+CJ715*CK704+CJ716</f>
        <v>8551.1279923816201</v>
      </c>
      <c r="CM716" s="134">
        <f t="shared" si="1287"/>
        <v>1.0768087842876913E-2</v>
      </c>
      <c r="CN716" s="135">
        <f t="shared" si="1288"/>
        <v>1.3626795157972604E-2</v>
      </c>
      <c r="CO716" s="135">
        <f t="shared" si="1301"/>
        <v>1.3263769821148722E-2</v>
      </c>
      <c r="CP716" s="134">
        <f>VLOOKUP($H716,RoR!$E:$F,2,FALSE)</f>
        <v>4.6391666666666664E-2</v>
      </c>
      <c r="CQ716" s="135">
        <v>2.0840920205183799E-2</v>
      </c>
      <c r="CR716" s="135">
        <f t="shared" si="1295"/>
        <v>2.5550746461482865E-2</v>
      </c>
      <c r="CS716" s="135">
        <f t="shared" si="1302"/>
        <v>1.7638171787384901E-2</v>
      </c>
      <c r="CT716" s="135">
        <f t="shared" si="1303"/>
        <v>2.4810540821321614E-2</v>
      </c>
      <c r="CU716" s="139">
        <f t="shared" si="1289"/>
        <v>0.85171695000000003</v>
      </c>
      <c r="CV716" s="335">
        <f t="shared" si="1290"/>
        <v>1.1054151524782025</v>
      </c>
      <c r="CW716" s="335">
        <f t="shared" si="1291"/>
        <v>0.43611011316687626</v>
      </c>
      <c r="CX716" s="335">
        <f t="shared" si="1292"/>
        <v>0.83698442246886229</v>
      </c>
      <c r="CY716" s="335">
        <f t="shared" si="1293"/>
        <v>0.40349573304423936</v>
      </c>
      <c r="CZ716" s="336">
        <f>INDEX('State Tax Lookup'!$D$7:$Z$91,MATCH(Calculation!$C716,'State Tax Lookup'!$B$7:$B$91,0),MATCH($H716,'State Tax Lookup'!$D$6:$Z$6,0))</f>
        <v>0.40076499999999998</v>
      </c>
      <c r="DA716" s="303">
        <v>0.37</v>
      </c>
      <c r="DB716" s="57">
        <f t="shared" si="1296"/>
        <v>15.29773249140141</v>
      </c>
      <c r="DC716" s="56">
        <f t="shared" si="1304"/>
        <v>5.4812991049102838E-2</v>
      </c>
      <c r="DD716" s="303">
        <f>VLOOKUP($H716,RoR!$E:$F,2,FALSE)</f>
        <v>4.6391666666666664E-2</v>
      </c>
      <c r="DE716" s="304">
        <f>HLOOKUP($H716,'GDP-PI'!$D$8:$CQ$11,3,FALSE)</f>
        <v>2.0840920205183799E-2</v>
      </c>
      <c r="DF716" s="303">
        <f>VLOOKUP(H716,'HW Dx Data'!$E:$F,2,FALSE)</f>
        <v>611.61109612283201</v>
      </c>
      <c r="DG716" s="89">
        <f ca="1">VLOOKUP(CC716,'ECI - Input Price'!M$13:N$33,2,FALSE)</f>
        <v>120.875</v>
      </c>
      <c r="DH716" s="89"/>
      <c r="DI716" s="89"/>
      <c r="DJ716" s="56">
        <f t="shared" ca="1" si="1313"/>
        <v>3.3224250161508609E-2</v>
      </c>
      <c r="DK716" s="53">
        <f>HLOOKUP(H716,'GDP-PI'!$8:$9,2,FALSE)</f>
        <v>98.111999999999995</v>
      </c>
      <c r="DL716" s="355">
        <f t="shared" si="1306"/>
        <v>2.0626719212849295E-2</v>
      </c>
      <c r="EC716"/>
    </row>
    <row r="717" spans="1:133" s="126" customFormat="1" ht="21" customHeight="1" x14ac:dyDescent="0.4">
      <c r="A717" s="233" t="s">
        <v>223</v>
      </c>
      <c r="B717" s="127" t="s">
        <v>223</v>
      </c>
      <c r="C717" s="127">
        <v>4057131</v>
      </c>
      <c r="D717" s="127" t="s">
        <v>222</v>
      </c>
      <c r="E717" s="127"/>
      <c r="F717" s="127"/>
      <c r="G717" s="127" t="s">
        <v>168</v>
      </c>
      <c r="H717" s="128">
        <v>2012</v>
      </c>
      <c r="I717" s="129"/>
      <c r="J717" s="125">
        <f>IFERROR(INDEX('Labor Expenditures'!$E$7:$W$91,MATCH($C717,'Labor Expenditures'!$C$7:$C$91,0),MATCH($G717,'Labor Expenditures'!$E$5:$W$5,0)),"NA")</f>
        <v>84205.961880325092</v>
      </c>
      <c r="K717" s="125">
        <f t="shared" ca="1" si="1307"/>
        <v>674.727258656451</v>
      </c>
      <c r="L717" s="47"/>
      <c r="M717" s="131">
        <f t="shared" ca="1" si="1314"/>
        <v>-3.7321767636782757E-2</v>
      </c>
      <c r="N717" s="131"/>
      <c r="O717" s="131"/>
      <c r="P717" s="59">
        <f t="shared" ca="1" si="1316"/>
        <v>-1.374364721210821E-3</v>
      </c>
      <c r="Q717" s="61"/>
      <c r="R717" s="387"/>
      <c r="S717" s="49">
        <f t="shared" ca="1" si="1321"/>
        <v>115.58127603580134</v>
      </c>
      <c r="T717" s="61">
        <f ca="1">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</f>
        <v>-5.1899414901634047E-3</v>
      </c>
      <c r="U717" s="61"/>
      <c r="V717" s="125">
        <f>IFERROR(INDEX('Non-Labor Expenditures'!$E$7:$AA$91,MATCH($C717,'Non-Labor Expenditures'!$C$7:$C$91,0),MATCH($G717,'Non-Labor Expenditures'!$E$5:$AA$5,0)),"NA")</f>
        <v>121945.96030694597</v>
      </c>
      <c r="W717" s="125">
        <f t="shared" si="1308"/>
        <v>1219.4596030694597</v>
      </c>
      <c r="X717" s="131">
        <f t="shared" si="1317"/>
        <v>-2.4426768213656375E-2</v>
      </c>
      <c r="Y717" s="131">
        <f t="shared" si="1318"/>
        <v>-8.9950960556746894E-4</v>
      </c>
      <c r="Z717" s="131"/>
      <c r="AA717" s="131"/>
      <c r="AB717" s="131"/>
      <c r="AC717" s="125">
        <f t="shared" si="1283"/>
        <v>139572.08828171733</v>
      </c>
      <c r="AD717" s="129"/>
      <c r="AE717" s="133">
        <v>9268.9481390541241</v>
      </c>
      <c r="AF717" s="134">
        <v>1.5601910254670668E-2</v>
      </c>
      <c r="AG717" s="59">
        <f t="shared" si="1309"/>
        <v>5.7453642727210133E-4</v>
      </c>
      <c r="AH717" s="134"/>
      <c r="AI717" s="134"/>
      <c r="AJ717" s="129">
        <f t="shared" si="1238"/>
        <v>345724.01046898839</v>
      </c>
      <c r="AK717" s="134">
        <f t="shared" si="1319"/>
        <v>2.6528717929164683E-2</v>
      </c>
      <c r="AL717" s="129"/>
      <c r="AM717" s="129"/>
      <c r="AN717" s="129"/>
      <c r="AO717" s="129"/>
      <c r="AP717" s="133">
        <f t="shared" si="1320"/>
        <v>158.0178842015433</v>
      </c>
      <c r="AQ717" s="134">
        <f>+BB717/Outputs!$B$20</f>
        <v>6.1262133016238528E-2</v>
      </c>
      <c r="AR717" s="93">
        <f t="shared" si="1310"/>
        <v>0.24356411279070941</v>
      </c>
      <c r="AS717" s="93">
        <f t="shared" si="1311"/>
        <v>0.35272632682214178</v>
      </c>
      <c r="AT717" s="93">
        <f t="shared" si="1312"/>
        <v>0.40370956038714878</v>
      </c>
      <c r="AU717" s="93">
        <f t="shared" ca="1" si="1315"/>
        <v>-1.18452432703442E-2</v>
      </c>
      <c r="AV717" s="132">
        <f t="shared" ca="1" si="1323"/>
        <v>108.08325177685076</v>
      </c>
      <c r="AW717" s="134">
        <f t="shared" ca="1" si="1324"/>
        <v>-1.1845243270344171E-2</v>
      </c>
      <c r="AX717" s="56">
        <f>+AJ717/$AL$17</f>
        <v>3.6824748886124706E-2</v>
      </c>
      <c r="AY717" s="135">
        <f t="shared" ca="1" si="1322"/>
        <v>-4.3619810892548267E-4</v>
      </c>
      <c r="AZ717" s="93"/>
      <c r="BA717" s="93"/>
      <c r="BB717" s="234">
        <f>IFERROR(INDEX('Total Customers'!$E$7:$AA$91,MATCH($C717,'Total Customers'!$C$7:$C$91,0),MATCH($G717,'Total Customers'!$E$5:$AA$5,0)),"NA")</f>
        <v>2187879</v>
      </c>
      <c r="BC717" s="411">
        <f t="shared" si="1305"/>
        <v>1.3680127326523501E-3</v>
      </c>
      <c r="BD717" s="92"/>
      <c r="BE717" s="281" t="str">
        <f t="shared" si="1297"/>
        <v>NORTHERN ILLINOIS GAS COMPANY</v>
      </c>
      <c r="BF717" s="290">
        <f t="shared" si="1298"/>
        <v>4057131</v>
      </c>
      <c r="BG717" s="46" t="str">
        <f t="shared" si="1299"/>
        <v>IL</v>
      </c>
      <c r="BH717" s="46"/>
      <c r="BI717" s="46" t="str">
        <f t="shared" si="1300"/>
        <v>2012 Y</v>
      </c>
      <c r="BJ717" s="129"/>
      <c r="BK717" s="129"/>
      <c r="BL717" s="129">
        <f>INDEX('Dist. Plant Gas Additions'!$E$7:$AD$91,MATCH($C717,'Dist. Plant Gas Additions'!$C$7:$C$91,0),MATCH(Calculation!$G717,'Dist. Plant Gas Additions'!$E$5:$AD$5,0))</f>
        <v>111344</v>
      </c>
      <c r="BM717" s="129">
        <f>INDEX('Gen. Plant Additions'!$E$7:$AD$91,MATCH($C717,'Gen. Plant Additions'!$C$7:$C$91,0),MATCH(Calculation!$G717,'Gen. Plant Additions'!$E$5:$AD$5,0))</f>
        <v>30621</v>
      </c>
      <c r="BN717" s="393">
        <f t="shared" si="1284"/>
        <v>0.92189426011617603</v>
      </c>
      <c r="BO717" s="46">
        <f t="shared" si="1278"/>
        <v>28229.324139017426</v>
      </c>
      <c r="BP717" s="46">
        <f t="shared" si="1279"/>
        <v>-2391.6758609825738</v>
      </c>
      <c r="BQ717" s="129">
        <f>INDEX('Dist Plant Depreciation'!$D$7:$AC$94,MATCH($C717,'Dist Plant Depreciation'!$C$7:$C$94,0),MATCH(Calculation!$G717,'Dist Plant Depreciation'!$D$5:$AC$5,0))</f>
        <v>2116200</v>
      </c>
      <c r="BR717" s="129">
        <f>INDEX('Gen. Plant Depreciation'!$D$7:$AC$94,MATCH($C717,'Gen. Plant Depreciation'!$C$7:$C$94,0),MATCH(Calculation!$G717,'Gen. Plant Depreciation'!$D$5:$AC$5,0))</f>
        <v>208885</v>
      </c>
      <c r="BS717" s="129"/>
      <c r="BT717" s="129"/>
      <c r="BU717" s="129"/>
      <c r="BV717" s="129"/>
      <c r="BW717" s="129"/>
      <c r="BX717" s="129"/>
      <c r="BY717" s="129">
        <f>INDEX('Gross Dx Plant'!$D$7:$AC$91,MATCH($C717,'Gross Dx Plant'!$C$7:$C$91,0),MATCH(Calculation!$G717,'Gross Dx Plant'!$D$5:$AC$5,0))</f>
        <v>3511380</v>
      </c>
      <c r="BZ717" s="129">
        <f>INDEX('Gross Gen Plant'!$D$7:$AC$91,MATCH($C717,'Gross Gen Plant'!$C$7:$C$91,0),MATCH(Calculation!$G717,'Gross Gen Plant'!$D$5:$AC$5,0))</f>
        <v>297495</v>
      </c>
      <c r="CA717" s="129">
        <f t="shared" si="1197"/>
        <v>1483790</v>
      </c>
      <c r="CB717" s="129"/>
      <c r="CC717" s="133">
        <v>2012</v>
      </c>
      <c r="CD717" s="129"/>
      <c r="CE717" s="129"/>
      <c r="CF717" s="129"/>
      <c r="CG717" s="137"/>
      <c r="CH717" s="129">
        <f t="shared" si="1285"/>
        <v>141965</v>
      </c>
      <c r="CI717" s="46">
        <f t="shared" si="1294"/>
        <v>139573.32413901744</v>
      </c>
      <c r="CJ717" s="46">
        <f t="shared" si="1286"/>
        <v>208.65494466239738</v>
      </c>
      <c r="CK717" s="443">
        <v>0.84090909090909094</v>
      </c>
      <c r="CL717" s="46">
        <f>+CL703*CK717+CJ704*CK716+CJ705*CK715+CJ706*CK714+CJ707*CK713+CJ708*CK712+CJ709*CK711+CJ710*CK710+CJ711*CK709+CJ712*CK708+CJ713*CK707+CJ714*CK706+CJ715*CK705+CJ716*CK704+CJ717</f>
        <v>8639.8931975080977</v>
      </c>
      <c r="CM717" s="134">
        <f t="shared" si="1287"/>
        <v>1.0327018159700548E-2</v>
      </c>
      <c r="CN717" s="135">
        <f t="shared" si="1288"/>
        <v>1.4020342069810206E-2</v>
      </c>
      <c r="CO717" s="135">
        <f t="shared" si="1301"/>
        <v>1.3634244730251002E-2</v>
      </c>
      <c r="CP717" s="134">
        <f>VLOOKUP($H717,RoR!$E:$F,2,FALSE)</f>
        <v>3.6733333333333333E-2</v>
      </c>
      <c r="CQ717" s="135">
        <v>1.924331376386168E-2</v>
      </c>
      <c r="CR717" s="135">
        <f t="shared" si="1295"/>
        <v>1.7490019569471653E-2</v>
      </c>
      <c r="CS717" s="135">
        <f t="shared" si="1302"/>
        <v>1.7267696878282623E-2</v>
      </c>
      <c r="CT717" s="135">
        <f t="shared" si="1303"/>
        <v>6.7122682943869583E-2</v>
      </c>
      <c r="CU717" s="139">
        <f t="shared" si="1289"/>
        <v>0.85171695000000003</v>
      </c>
      <c r="CV717" s="335">
        <f t="shared" si="1290"/>
        <v>1.3960631020522127</v>
      </c>
      <c r="CW717" s="335">
        <f t="shared" si="1291"/>
        <v>0.29441923774954631</v>
      </c>
      <c r="CX717" s="335">
        <f t="shared" si="1292"/>
        <v>0.76377954189366437</v>
      </c>
      <c r="CY717" s="335">
        <f t="shared" si="1293"/>
        <v>0.31393465103033691</v>
      </c>
      <c r="CZ717" s="336">
        <f>INDEX('State Tax Lookup'!$D$7:$Z$91,MATCH(Calculation!$C717,'State Tax Lookup'!$B$7:$B$91,0),MATCH($H717,'State Tax Lookup'!$D$6:$Z$6,0))</f>
        <v>0.40076499999999998</v>
      </c>
      <c r="DA717" s="303">
        <v>0.37</v>
      </c>
      <c r="DB717" s="57">
        <f t="shared" si="1296"/>
        <v>16.322067498704854</v>
      </c>
      <c r="DC717" s="56">
        <f t="shared" si="1304"/>
        <v>6.4813412242922641E-2</v>
      </c>
      <c r="DD717" s="303">
        <f>VLOOKUP($H717,RoR!$E:$F,2,FALSE)</f>
        <v>3.6733333333333333E-2</v>
      </c>
      <c r="DE717" s="304">
        <f>HLOOKUP($H717,'GDP-PI'!$D$8:$CQ$11,3,FALSE)</f>
        <v>1.924331376386168E-2</v>
      </c>
      <c r="DF717" s="303">
        <f>VLOOKUP(H717,'HW Dx Data'!$E:$F,2,FALSE)</f>
        <v>668.91932211262167</v>
      </c>
      <c r="DG717" s="89">
        <f ca="1">VLOOKUP(CC717,'ECI - Input Price'!M$13:N$33,2,FALSE)</f>
        <v>124.80000000000001</v>
      </c>
      <c r="DH717" s="89"/>
      <c r="DI717" s="89"/>
      <c r="DJ717" s="56">
        <f t="shared" ca="1" si="1313"/>
        <v>3.1955502161869064E-2</v>
      </c>
      <c r="DK717" s="53">
        <f>HLOOKUP(H717,'GDP-PI'!$8:$9,2,FALSE)</f>
        <v>100</v>
      </c>
      <c r="DL717" s="355">
        <f t="shared" si="1306"/>
        <v>1.9060502738742411E-2</v>
      </c>
      <c r="EC717"/>
    </row>
    <row r="718" spans="1:133" s="126" customFormat="1" ht="21" customHeight="1" x14ac:dyDescent="0.4">
      <c r="A718" s="233" t="s">
        <v>223</v>
      </c>
      <c r="B718" s="127" t="s">
        <v>223</v>
      </c>
      <c r="C718" s="127">
        <v>4057131</v>
      </c>
      <c r="D718" s="127" t="s">
        <v>222</v>
      </c>
      <c r="E718" s="127"/>
      <c r="F718" s="127"/>
      <c r="G718" s="127" t="s">
        <v>169</v>
      </c>
      <c r="H718" s="128">
        <v>2013</v>
      </c>
      <c r="I718" s="129"/>
      <c r="J718" s="125">
        <f>IFERROR(INDEX('Labor Expenditures'!$E$7:$W$91,MATCH($C718,'Labor Expenditures'!$C$7:$C$91,0),MATCH($G718,'Labor Expenditures'!$E$5:$W$5,0)),"NA")</f>
        <v>91947.353295889945</v>
      </c>
      <c r="K718" s="125">
        <f t="shared" ca="1" si="1307"/>
        <v>725.13685564581976</v>
      </c>
      <c r="L718" s="47"/>
      <c r="M718" s="131">
        <f t="shared" ca="1" si="1314"/>
        <v>7.2051855480480931E-2</v>
      </c>
      <c r="N718" s="131"/>
      <c r="O718" s="131"/>
      <c r="P718" s="59">
        <f t="shared" ca="1" si="1316"/>
        <v>2.6798362562684254E-3</v>
      </c>
      <c r="Q718" s="61"/>
      <c r="R718" s="387"/>
      <c r="S718" s="49">
        <f t="shared" ca="1" si="1321"/>
        <v>108.09986500129449</v>
      </c>
      <c r="T718" s="61">
        <f ca="1">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</f>
        <v>-6.691849529806132E-2</v>
      </c>
      <c r="U718" s="61"/>
      <c r="V718" s="125">
        <f>IFERROR(INDEX('Non-Labor Expenditures'!$E$7:$AA$91,MATCH($C718,'Non-Labor Expenditures'!$C$7:$C$91,0),MATCH($G718,'Non-Labor Expenditures'!$E$5:$AA$5,0)),"NA")</f>
        <v>133156.94096915462</v>
      </c>
      <c r="W718" s="125">
        <f t="shared" si="1308"/>
        <v>1308.3719745822038</v>
      </c>
      <c r="X718" s="131">
        <f t="shared" si="1317"/>
        <v>7.0375784531768695E-2</v>
      </c>
      <c r="Y718" s="131">
        <f t="shared" si="1318"/>
        <v>2.6174978797410637E-3</v>
      </c>
      <c r="Z718" s="131"/>
      <c r="AA718" s="131"/>
      <c r="AB718" s="131"/>
      <c r="AC718" s="125">
        <f t="shared" si="1283"/>
        <v>136806.68091984291</v>
      </c>
      <c r="AD718" s="129"/>
      <c r="AE718" s="133">
        <v>9410.9125222173843</v>
      </c>
      <c r="AF718" s="134">
        <v>1.5200018781876323E-2</v>
      </c>
      <c r="AG718" s="59">
        <f t="shared" si="1309"/>
        <v>5.6533674470976038E-4</v>
      </c>
      <c r="AH718" s="134"/>
      <c r="AI718" s="134"/>
      <c r="AJ718" s="129">
        <f t="shared" si="1238"/>
        <v>361910.97518488747</v>
      </c>
      <c r="AK718" s="134">
        <f t="shared" si="1319"/>
        <v>4.5757457522112813E-2</v>
      </c>
      <c r="AL718" s="129"/>
      <c r="AM718" s="129"/>
      <c r="AN718" s="129"/>
      <c r="AO718" s="129"/>
      <c r="AP718" s="133">
        <f t="shared" si="1320"/>
        <v>164.85463040470719</v>
      </c>
      <c r="AQ718" s="134">
        <f>+BB718/Outputs!$B$21</f>
        <v>6.1079104408845335E-2</v>
      </c>
      <c r="AR718" s="93">
        <f t="shared" si="1310"/>
        <v>0.2540606933760915</v>
      </c>
      <c r="AS718" s="93">
        <f t="shared" si="1311"/>
        <v>0.36792733600059924</v>
      </c>
      <c r="AT718" s="93">
        <f t="shared" si="1312"/>
        <v>0.37801197062330932</v>
      </c>
      <c r="AU718" s="93">
        <f t="shared" ca="1" si="1315"/>
        <v>4.9226769733915932E-2</v>
      </c>
      <c r="AV718" s="132">
        <f t="shared" ca="1" si="1323"/>
        <v>113.53697442061484</v>
      </c>
      <c r="AW718" s="134">
        <f t="shared" ca="1" si="1324"/>
        <v>4.9226769733915848E-2</v>
      </c>
      <c r="AX718" s="56">
        <f>+AJ718/$AL$18</f>
        <v>3.7193160931079716E-2</v>
      </c>
      <c r="AY718" s="135">
        <f t="shared" ca="1" si="1322"/>
        <v>1.8308991688307363E-3</v>
      </c>
      <c r="AZ718" s="93"/>
      <c r="BA718" s="93"/>
      <c r="BB718" s="234">
        <f>IFERROR(INDEX('Total Customers'!$E$7:$AA$91,MATCH($C718,'Total Customers'!$C$7:$C$91,0),MATCH($G718,'Total Customers'!$E$5:$AA$5,0)),"NA")</f>
        <v>2195334</v>
      </c>
      <c r="BC718" s="411">
        <f t="shared" si="1305"/>
        <v>3.4016175752735992E-3</v>
      </c>
      <c r="BD718" s="92"/>
      <c r="BE718" s="281" t="str">
        <f t="shared" si="1297"/>
        <v>NORTHERN ILLINOIS GAS COMPANY</v>
      </c>
      <c r="BF718" s="290">
        <f t="shared" si="1298"/>
        <v>4057131</v>
      </c>
      <c r="BG718" s="46" t="str">
        <f t="shared" si="1299"/>
        <v>IL</v>
      </c>
      <c r="BH718" s="46"/>
      <c r="BI718" s="46" t="str">
        <f t="shared" si="1300"/>
        <v>2013 Y</v>
      </c>
      <c r="BJ718" s="129"/>
      <c r="BK718" s="129"/>
      <c r="BL718" s="129">
        <f>INDEX('Dist. Plant Gas Additions'!$E$7:$AD$91,MATCH($C718,'Dist. Plant Gas Additions'!$C$7:$C$91,0),MATCH(Calculation!$G718,'Dist. Plant Gas Additions'!$E$5:$AD$5,0))</f>
        <v>127289</v>
      </c>
      <c r="BM718" s="129">
        <f>INDEX('Gen. Plant Additions'!$E$7:$AD$91,MATCH($C718,'Gen. Plant Additions'!$C$7:$C$91,0),MATCH(Calculation!$G718,'Gen. Plant Additions'!$E$5:$AD$5,0))</f>
        <v>14823</v>
      </c>
      <c r="BN718" s="393">
        <f t="shared" si="1284"/>
        <v>0.92541604661344345</v>
      </c>
      <c r="BO718" s="46">
        <f t="shared" si="1278"/>
        <v>13717.442058951072</v>
      </c>
      <c r="BP718" s="46">
        <f t="shared" si="1279"/>
        <v>-1105.5579410489281</v>
      </c>
      <c r="BQ718" s="129">
        <f>INDEX('Dist Plant Depreciation'!$D$7:$AC$94,MATCH($C718,'Dist Plant Depreciation'!$C$7:$C$94,0),MATCH(Calculation!$G718,'Dist Plant Depreciation'!$D$5:$AC$5,0))</f>
        <v>2349285</v>
      </c>
      <c r="BR718" s="129">
        <f>INDEX('Gen. Plant Depreciation'!$D$7:$AC$94,MATCH($C718,'Gen. Plant Depreciation'!$C$7:$C$94,0),MATCH(Calculation!$G718,'Gen. Plant Depreciation'!$D$5:$AC$5,0))</f>
        <v>155472</v>
      </c>
      <c r="BS718" s="129"/>
      <c r="BT718" s="129"/>
      <c r="BU718" s="129"/>
      <c r="BV718" s="129"/>
      <c r="BW718" s="129"/>
      <c r="BX718" s="129"/>
      <c r="BY718" s="129">
        <f>INDEX('Gross Dx Plant'!$D$7:$AC$91,MATCH($C718,'Gross Dx Plant'!$C$7:$C$91,0),MATCH(Calculation!$G718,'Gross Dx Plant'!$D$5:$AC$5,0))</f>
        <v>3559561</v>
      </c>
      <c r="BZ718" s="129">
        <f>INDEX('Gross Gen Plant'!$D$7:$AC$91,MATCH($C718,'Gross Gen Plant'!$C$7:$C$91,0),MATCH(Calculation!$G718,'Gross Gen Plant'!$D$5:$AC$5,0))</f>
        <v>286883</v>
      </c>
      <c r="CA718" s="129">
        <f t="shared" ref="CA718:CA787" si="1325">IF(OR(BQ718="NA",BR718="NA"),"NA",(SUM(BY718:BZ718)-SUM(BQ718:BR718)))</f>
        <v>1341687</v>
      </c>
      <c r="CB718" s="129"/>
      <c r="CC718" s="133">
        <v>2013</v>
      </c>
      <c r="CD718" s="129"/>
      <c r="CE718" s="129"/>
      <c r="CF718" s="129"/>
      <c r="CG718" s="137"/>
      <c r="CH718" s="129">
        <f t="shared" si="1285"/>
        <v>142112</v>
      </c>
      <c r="CI718" s="46">
        <f t="shared" si="1294"/>
        <v>141006.44205895107</v>
      </c>
      <c r="CJ718" s="46">
        <f t="shared" si="1286"/>
        <v>212.59974527214567</v>
      </c>
      <c r="CK718" s="443">
        <v>0.82758620689655171</v>
      </c>
      <c r="CL718" s="46">
        <f>+CL703*CK718+CJ704*CK717+CJ705*CK716+CJ706*CK715+CJ707*CK714+CJ708*CK713+CJ709*CK712+CJ710*CK711+CJ711*CK710+CJ712*CK709+CJ713*CK708+CJ714*CK707+CJ715*CK706+CJ716*CK705+CJ717*CK704+CJ718</f>
        <v>8727.8445057019471</v>
      </c>
      <c r="CM718" s="134">
        <f t="shared" si="1287"/>
        <v>1.0128211461680288E-2</v>
      </c>
      <c r="CN718" s="135">
        <f t="shared" si="1288"/>
        <v>1.4427080778527116E-2</v>
      </c>
      <c r="CO718" s="135">
        <f t="shared" si="1301"/>
        <v>1.4024739335436643E-2</v>
      </c>
      <c r="CP718" s="134">
        <f>VLOOKUP($H718,RoR!$E:$F,2,FALSE)</f>
        <v>4.2350000000000006E-2</v>
      </c>
      <c r="CQ718" s="135">
        <v>1.7730000000000024E-2</v>
      </c>
      <c r="CR718" s="135">
        <f t="shared" si="1295"/>
        <v>2.4619999999999982E-2</v>
      </c>
      <c r="CS718" s="135">
        <f t="shared" si="1302"/>
        <v>1.6877202273096983E-2</v>
      </c>
      <c r="CT718" s="135">
        <f t="shared" si="1303"/>
        <v>5.3376742735721204E-2</v>
      </c>
      <c r="CU718" s="139">
        <f t="shared" si="1289"/>
        <v>0.85171695000000003</v>
      </c>
      <c r="CV718" s="335">
        <f t="shared" si="1290"/>
        <v>1.2109103018193925</v>
      </c>
      <c r="CW718" s="335">
        <f t="shared" si="1291"/>
        <v>0.38468122786304604</v>
      </c>
      <c r="CX718" s="335">
        <f t="shared" si="1292"/>
        <v>0.80969194503422559</v>
      </c>
      <c r="CY718" s="335">
        <f t="shared" si="1293"/>
        <v>0.37716621754800816</v>
      </c>
      <c r="CZ718" s="336">
        <f>INDEX('State Tax Lookup'!$D$7:$Z$91,MATCH(Calculation!$C718,'State Tax Lookup'!$B$7:$B$91,0),MATCH($H718,'State Tax Lookup'!$D$6:$Z$6,0))</f>
        <v>0.40076499999999998</v>
      </c>
      <c r="DA718" s="303">
        <v>0.37</v>
      </c>
      <c r="DB718" s="57">
        <f t="shared" si="1296"/>
        <v>15.834302322081994</v>
      </c>
      <c r="DC718" s="56">
        <f t="shared" si="1304"/>
        <v>-3.0339406692483206E-2</v>
      </c>
      <c r="DD718" s="303">
        <f>VLOOKUP($H718,RoR!$E:$F,2,FALSE)</f>
        <v>4.2350000000000006E-2</v>
      </c>
      <c r="DE718" s="304">
        <f>HLOOKUP($H718,'GDP-PI'!$D$8:$CQ$11,3,FALSE)</f>
        <v>1.7730000000000024E-2</v>
      </c>
      <c r="DF718" s="303">
        <f>VLOOKUP(H718,'HW Dx Data'!$E:$F,2,FALSE)</f>
        <v>663.24840548821396</v>
      </c>
      <c r="DG718" s="89">
        <f ca="1">VLOOKUP(CC718,'ECI - Input Price'!M$13:N$33,2,FALSE)</f>
        <v>126.8</v>
      </c>
      <c r="DH718" s="89"/>
      <c r="DI718" s="89"/>
      <c r="DJ718" s="56">
        <f t="shared" ca="1" si="1313"/>
        <v>1.5898586067798204E-2</v>
      </c>
      <c r="DK718" s="53">
        <f>HLOOKUP(H718,'GDP-PI'!$8:$9,2,FALSE)</f>
        <v>101.773</v>
      </c>
      <c r="DL718" s="355">
        <f t="shared" si="1306"/>
        <v>1.7574657016510519E-2</v>
      </c>
      <c r="EC718"/>
    </row>
    <row r="719" spans="1:133" s="126" customFormat="1" ht="21" customHeight="1" x14ac:dyDescent="0.4">
      <c r="A719" s="233" t="s">
        <v>223</v>
      </c>
      <c r="B719" s="127" t="s">
        <v>223</v>
      </c>
      <c r="C719" s="127">
        <v>4057131</v>
      </c>
      <c r="D719" s="127" t="s">
        <v>222</v>
      </c>
      <c r="E719" s="127"/>
      <c r="F719" s="127"/>
      <c r="G719" s="127" t="s">
        <v>170</v>
      </c>
      <c r="H719" s="128">
        <v>2014</v>
      </c>
      <c r="I719" s="129"/>
      <c r="J719" s="125">
        <f>IFERROR(INDEX('Labor Expenditures'!$E$7:$W$91,MATCH($C719,'Labor Expenditures'!$C$7:$C$91,0),MATCH($G719,'Labor Expenditures'!$E$5:$W$5,0)),"NA")</f>
        <v>88050.747616550449</v>
      </c>
      <c r="K719" s="125">
        <f t="shared" ca="1" si="1307"/>
        <v>680.45400012790139</v>
      </c>
      <c r="L719" s="47"/>
      <c r="M719" s="131">
        <f t="shared" ca="1" si="1314"/>
        <v>-6.3600180808770113E-2</v>
      </c>
      <c r="N719" s="131"/>
      <c r="O719" s="131"/>
      <c r="P719" s="59">
        <f t="shared" ca="1" si="1316"/>
        <v>-2.2780528691696933E-3</v>
      </c>
      <c r="Q719" s="61"/>
      <c r="R719" s="387"/>
      <c r="S719" s="49">
        <f t="shared" ca="1" si="1321"/>
        <v>119.64797089893682</v>
      </c>
      <c r="T719" s="61">
        <f ca="1">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</f>
        <v>0.10149837975966713</v>
      </c>
      <c r="U719" s="61"/>
      <c r="V719" s="125">
        <f>IFERROR(INDEX('Non-Labor Expenditures'!$E$7:$AA$91,MATCH($C719,'Non-Labor Expenditures'!$C$7:$C$91,0),MATCH($G719,'Non-Labor Expenditures'!$E$5:$AA$5,0)),"NA")</f>
        <v>127513.92815992053</v>
      </c>
      <c r="W719" s="125">
        <f t="shared" si="1308"/>
        <v>1230.2712877354918</v>
      </c>
      <c r="X719" s="131">
        <f t="shared" si="1317"/>
        <v>-6.1548892643351304E-2</v>
      </c>
      <c r="Y719" s="131">
        <f t="shared" si="1318"/>
        <v>-2.2045791332258205E-3</v>
      </c>
      <c r="Z719" s="131"/>
      <c r="AA719" s="131"/>
      <c r="AB719" s="131"/>
      <c r="AC719" s="125">
        <f t="shared" si="1283"/>
        <v>139367.02346691102</v>
      </c>
      <c r="AD719" s="129"/>
      <c r="AE719" s="133">
        <v>9566.2312330710338</v>
      </c>
      <c r="AF719" s="134">
        <v>1.6369394790928034E-2</v>
      </c>
      <c r="AG719" s="59">
        <f t="shared" si="1309"/>
        <v>5.8632454021110127E-4</v>
      </c>
      <c r="AH719" s="134"/>
      <c r="AI719" s="134"/>
      <c r="AJ719" s="129">
        <f t="shared" si="1238"/>
        <v>354931.69924338197</v>
      </c>
      <c r="AK719" s="134">
        <f t="shared" si="1319"/>
        <v>-1.9472882210337744E-2</v>
      </c>
      <c r="AL719" s="129"/>
      <c r="AM719" s="129"/>
      <c r="AN719" s="129"/>
      <c r="AO719" s="129"/>
      <c r="AP719" s="133">
        <f t="shared" si="1320"/>
        <v>161.69434491320217</v>
      </c>
      <c r="AQ719" s="134">
        <f>+BB719/Outputs!$B$22</f>
        <v>6.0745630966939225E-2</v>
      </c>
      <c r="AR719" s="93">
        <f t="shared" si="1310"/>
        <v>0.24807800431533938</v>
      </c>
      <c r="AS719" s="93">
        <f t="shared" si="1311"/>
        <v>0.35926328482844899</v>
      </c>
      <c r="AT719" s="93">
        <f t="shared" si="1312"/>
        <v>0.39265871085621173</v>
      </c>
      <c r="AU719" s="93">
        <f t="shared" ca="1" si="1315"/>
        <v>-3.2039238388991302E-2</v>
      </c>
      <c r="AV719" s="132">
        <f t="shared" ca="1" si="1323"/>
        <v>109.95699241583343</v>
      </c>
      <c r="AW719" s="134">
        <f t="shared" ca="1" si="1324"/>
        <v>-3.2039238388991281E-2</v>
      </c>
      <c r="AX719" s="56">
        <f>+AJ719/$AL$19</f>
        <v>3.5818339511002814E-2</v>
      </c>
      <c r="AY719" s="135">
        <f t="shared" ca="1" si="1322"/>
        <v>-1.1475923182908446E-3</v>
      </c>
      <c r="AZ719" s="93"/>
      <c r="BA719" s="93"/>
      <c r="BB719" s="234">
        <f>IFERROR(INDEX('Total Customers'!$E$7:$AA$91,MATCH($C719,'Total Customers'!$C$7:$C$91,0),MATCH($G719,'Total Customers'!$E$5:$AA$5,0)),"NA")</f>
        <v>2195078</v>
      </c>
      <c r="BC719" s="411">
        <f t="shared" si="1305"/>
        <v>-1.1661775719006148E-4</v>
      </c>
      <c r="BD719" s="92"/>
      <c r="BE719" s="281" t="str">
        <f t="shared" si="1297"/>
        <v>NORTHERN ILLINOIS GAS COMPANY</v>
      </c>
      <c r="BF719" s="290">
        <f t="shared" si="1298"/>
        <v>4057131</v>
      </c>
      <c r="BG719" s="46" t="str">
        <f t="shared" si="1299"/>
        <v>IL</v>
      </c>
      <c r="BH719" s="46"/>
      <c r="BI719" s="46" t="str">
        <f t="shared" si="1300"/>
        <v>2014 Y</v>
      </c>
      <c r="BJ719" s="129"/>
      <c r="BK719" s="129"/>
      <c r="BL719" s="129">
        <f>INDEX('Dist. Plant Gas Additions'!$E$7:$AD$91,MATCH($C719,'Dist. Plant Gas Additions'!$C$7:$C$91,0),MATCH(Calculation!$G719,'Dist. Plant Gas Additions'!$E$5:$AD$5,0))</f>
        <v>138561</v>
      </c>
      <c r="BM719" s="129">
        <f>INDEX('Gen. Plant Additions'!$E$7:$AD$91,MATCH($C719,'Gen. Plant Additions'!$C$7:$C$91,0),MATCH(Calculation!$G719,'Gen. Plant Additions'!$E$5:$AD$5,0))</f>
        <v>19802</v>
      </c>
      <c r="BN719" s="393">
        <f t="shared" si="1284"/>
        <v>0.92637557667645953</v>
      </c>
      <c r="BO719" s="46">
        <f t="shared" si="1278"/>
        <v>18344.089169347251</v>
      </c>
      <c r="BP719" s="46">
        <f t="shared" si="1279"/>
        <v>-1457.9108306527487</v>
      </c>
      <c r="BQ719" s="129">
        <f>INDEX('Dist Plant Depreciation'!$D$7:$AC$94,MATCH($C719,'Dist Plant Depreciation'!$C$7:$C$94,0),MATCH(Calculation!$G719,'Dist Plant Depreciation'!$D$5:$AC$5,0))</f>
        <v>2423803</v>
      </c>
      <c r="BR719" s="129">
        <f>INDEX('Gen. Plant Depreciation'!$D$7:$AC$94,MATCH($C719,'Gen. Plant Depreciation'!$C$7:$C$94,0),MATCH(Calculation!$G719,'Gen. Plant Depreciation'!$D$5:$AC$5,0))</f>
        <v>158457</v>
      </c>
      <c r="BS719" s="129"/>
      <c r="BT719" s="129"/>
      <c r="BU719" s="129"/>
      <c r="BV719" s="129"/>
      <c r="BW719" s="129"/>
      <c r="BX719" s="129"/>
      <c r="BY719" s="129">
        <f>INDEX('Gross Dx Plant'!$D$7:$AC$91,MATCH($C719,'Gross Dx Plant'!$C$7:$C$91,0),MATCH(Calculation!$G719,'Gross Dx Plant'!$D$5:$AC$5,0))</f>
        <v>3687702</v>
      </c>
      <c r="BZ719" s="129">
        <f>INDEX('Gross Gen Plant'!$D$7:$AC$91,MATCH($C719,'Gross Gen Plant'!$C$7:$C$91,0),MATCH(Calculation!$G719,'Gross Gen Plant'!$D$5:$AC$5,0))</f>
        <v>293083</v>
      </c>
      <c r="CA719" s="129">
        <f t="shared" si="1325"/>
        <v>1398525</v>
      </c>
      <c r="CB719" s="129"/>
      <c r="CC719" s="133">
        <v>2014</v>
      </c>
      <c r="CD719" s="129"/>
      <c r="CE719" s="129"/>
      <c r="CF719" s="129"/>
      <c r="CG719" s="137"/>
      <c r="CH719" s="129">
        <f t="shared" si="1285"/>
        <v>158363</v>
      </c>
      <c r="CI719" s="46">
        <f t="shared" si="1294"/>
        <v>156905.08916934725</v>
      </c>
      <c r="CJ719" s="46">
        <f t="shared" si="1286"/>
        <v>229.23617639785169</v>
      </c>
      <c r="CK719" s="443">
        <v>0.81395348837209303</v>
      </c>
      <c r="CL719" s="46">
        <f>+CL703*CK719+CJ704*CK718+CJ705*CK717+CJ706*CK716+CJ707*CK715+CJ708*CK714+CJ709*CK713+CJ710*CK712+CJ711*CK711+CJ712*CK710+CJ713*CK709+CJ714*CK708+CJ715*CK707+CJ716*CK706+CJ717*CK705+CJ718*CK704+CJ719</f>
        <v>8827.5012783300408</v>
      </c>
      <c r="CM719" s="134">
        <f t="shared" si="1287"/>
        <v>1.1353560830916905E-2</v>
      </c>
      <c r="CN719" s="135">
        <f t="shared" si="1288"/>
        <v>1.4846667316896297E-2</v>
      </c>
      <c r="CO719" s="135">
        <f t="shared" si="1301"/>
        <v>1.4431363388411207E-2</v>
      </c>
      <c r="CP719" s="134">
        <f>VLOOKUP($H719,RoR!$E:$F,2,FALSE)</f>
        <v>4.1625000000000002E-2</v>
      </c>
      <c r="CQ719" s="135">
        <v>1.841352814597208E-2</v>
      </c>
      <c r="CR719" s="135">
        <f t="shared" si="1295"/>
        <v>2.3211471854027922E-2</v>
      </c>
      <c r="CS719" s="135">
        <f t="shared" si="1302"/>
        <v>1.647057822012242E-2</v>
      </c>
      <c r="CT719" s="135">
        <f t="shared" si="1303"/>
        <v>3.9072621432650924E-2</v>
      </c>
      <c r="CU719" s="139">
        <f t="shared" si="1289"/>
        <v>0.85171695000000003</v>
      </c>
      <c r="CV719" s="335">
        <f t="shared" si="1290"/>
        <v>1.2320012320012319</v>
      </c>
      <c r="CW719" s="335">
        <f t="shared" si="1291"/>
        <v>0.37439939939939942</v>
      </c>
      <c r="CX719" s="335">
        <f t="shared" si="1292"/>
        <v>0.80432100613819935</v>
      </c>
      <c r="CY719" s="335">
        <f t="shared" si="1293"/>
        <v>0.37100152660040037</v>
      </c>
      <c r="CZ719" s="336">
        <f>INDEX('State Tax Lookup'!$D$7:$Z$91,MATCH(Calculation!$C719,'State Tax Lookup'!$B$7:$B$91,0),MATCH($H719,'State Tax Lookup'!$D$6:$Z$6,0))</f>
        <v>0.40076499999999998</v>
      </c>
      <c r="DA719" s="303">
        <v>0.37</v>
      </c>
      <c r="DB719" s="57">
        <f t="shared" si="1296"/>
        <v>15.96809193562761</v>
      </c>
      <c r="DC719" s="56">
        <f t="shared" si="1304"/>
        <v>8.4138572549681892E-3</v>
      </c>
      <c r="DD719" s="303">
        <f>VLOOKUP($H719,RoR!$E:$F,2,FALSE)</f>
        <v>4.1625000000000002E-2</v>
      </c>
      <c r="DE719" s="304">
        <f>HLOOKUP($H719,'GDP-PI'!$D$8:$CQ$11,3,FALSE)</f>
        <v>1.841352814597208E-2</v>
      </c>
      <c r="DF719" s="303">
        <f>VLOOKUP(H719,'HW Dx Data'!$E:$F,2,FALSE)</f>
        <v>684.46914285042885</v>
      </c>
      <c r="DG719" s="89">
        <f ca="1">VLOOKUP(CC719,'ECI - Input Price'!M$13:N$33,2,FALSE)</f>
        <v>129.4</v>
      </c>
      <c r="DH719" s="89"/>
      <c r="DI719" s="89"/>
      <c r="DJ719" s="56">
        <f t="shared" ca="1" si="1313"/>
        <v>2.0297340063674733E-2</v>
      </c>
      <c r="DK719" s="53">
        <f>HLOOKUP(H719,'GDP-PI'!$8:$9,2,FALSE)</f>
        <v>103.64700000000001</v>
      </c>
      <c r="DL719" s="355">
        <f t="shared" si="1306"/>
        <v>1.8246051898256087E-2</v>
      </c>
      <c r="EC719"/>
    </row>
    <row r="720" spans="1:133" s="126" customFormat="1" ht="21" customHeight="1" x14ac:dyDescent="0.4">
      <c r="A720" s="233" t="s">
        <v>223</v>
      </c>
      <c r="B720" s="127" t="s">
        <v>223</v>
      </c>
      <c r="C720" s="127">
        <v>4057131</v>
      </c>
      <c r="D720" s="127" t="s">
        <v>222</v>
      </c>
      <c r="E720" s="127"/>
      <c r="F720" s="127"/>
      <c r="G720" s="127" t="s">
        <v>171</v>
      </c>
      <c r="H720" s="128">
        <v>2015</v>
      </c>
      <c r="I720" s="129"/>
      <c r="J720" s="125">
        <f>IFERROR(INDEX('Labor Expenditures'!$E$7:$W$91,MATCH($C720,'Labor Expenditures'!$C$7:$C$91,0),MATCH($G720,'Labor Expenditures'!$E$5:$W$5,0)),"NA")</f>
        <v>91111.757839461323</v>
      </c>
      <c r="K720" s="125">
        <f t="shared" ca="1" si="1307"/>
        <v>682.48507744914843</v>
      </c>
      <c r="L720" s="47"/>
      <c r="M720" s="131">
        <f t="shared" ca="1" si="1314"/>
        <v>2.9804396369146904E-3</v>
      </c>
      <c r="N720" s="131"/>
      <c r="O720" s="131"/>
      <c r="P720" s="59">
        <f t="shared" ca="1" si="1316"/>
        <v>1.0745014283037173E-4</v>
      </c>
      <c r="Q720" s="61"/>
      <c r="R720" s="387"/>
      <c r="S720" s="49">
        <f t="shared" ca="1" si="1321"/>
        <v>118.63926939559421</v>
      </c>
      <c r="T720" s="61">
        <f ca="1">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</f>
        <v>-8.4663159242038492E-3</v>
      </c>
      <c r="U720" s="61"/>
      <c r="V720" s="125">
        <f>IFERROR(INDEX('Non-Labor Expenditures'!$E$7:$AA$91,MATCH($C720,'Non-Labor Expenditures'!$C$7:$C$91,0),MATCH($G720,'Non-Labor Expenditures'!$E$5:$AA$5,0)),"NA")</f>
        <v>131946.84268054261</v>
      </c>
      <c r="W720" s="125">
        <f t="shared" si="1308"/>
        <v>1260.9719385749349</v>
      </c>
      <c r="X720" s="131">
        <f t="shared" si="1317"/>
        <v>2.4648099224975604E-2</v>
      </c>
      <c r="Y720" s="131">
        <f t="shared" si="1318"/>
        <v>8.8860775753285624E-4</v>
      </c>
      <c r="Z720" s="131"/>
      <c r="AA720" s="131"/>
      <c r="AB720" s="131"/>
      <c r="AC720" s="125">
        <f t="shared" si="1283"/>
        <v>136037.49525199953</v>
      </c>
      <c r="AD720" s="129"/>
      <c r="AE720" s="133">
        <v>9929.7219930261072</v>
      </c>
      <c r="AF720" s="134">
        <v>3.7293163636325066E-2</v>
      </c>
      <c r="AG720" s="59">
        <f t="shared" si="1309"/>
        <v>1.3444847899914878E-3</v>
      </c>
      <c r="AH720" s="134"/>
      <c r="AI720" s="134"/>
      <c r="AJ720" s="129">
        <f t="shared" si="1238"/>
        <v>359096.09577200346</v>
      </c>
      <c r="AK720" s="134">
        <f t="shared" si="1319"/>
        <v>1.1664654447199765E-2</v>
      </c>
      <c r="AL720" s="129"/>
      <c r="AM720" s="129"/>
      <c r="AN720" s="129"/>
      <c r="AO720" s="129"/>
      <c r="AP720" s="133">
        <f t="shared" si="1320"/>
        <v>163.35462248204533</v>
      </c>
      <c r="AQ720" s="134">
        <f>+BB720/Outputs!$B$23</f>
        <v>6.033905865994902E-2</v>
      </c>
      <c r="AR720" s="93">
        <f t="shared" si="1310"/>
        <v>0.25372528109386577</v>
      </c>
      <c r="AS720" s="93">
        <f t="shared" si="1311"/>
        <v>0.36744159636956347</v>
      </c>
      <c r="AT720" s="93">
        <f t="shared" si="1312"/>
        <v>0.37883312253657075</v>
      </c>
      <c r="AU720" s="93">
        <f t="shared" ca="1" si="1315"/>
        <v>2.4089429803807901E-2</v>
      </c>
      <c r="AV720" s="132">
        <f t="shared" ca="1" si="1323"/>
        <v>112.63795545576012</v>
      </c>
      <c r="AW720" s="134">
        <f t="shared" ca="1" si="1324"/>
        <v>2.4089429803807804E-2</v>
      </c>
      <c r="AX720" s="56">
        <f>+AJ720/$AL$20</f>
        <v>3.605177622104188E-2</v>
      </c>
      <c r="AY720" s="135">
        <f t="shared" ca="1" si="1322"/>
        <v>8.6846673257937577E-4</v>
      </c>
      <c r="AZ720" s="93"/>
      <c r="BA720" s="93"/>
      <c r="BB720" s="234">
        <f>IFERROR(INDEX('Total Customers'!$E$7:$AA$91,MATCH($C720,'Total Customers'!$C$7:$C$91,0),MATCH($G720,'Total Customers'!$E$5:$AA$5,0)),"NA")</f>
        <v>2198261</v>
      </c>
      <c r="BC720" s="411">
        <f t="shared" si="1305"/>
        <v>1.4490120416059569E-3</v>
      </c>
      <c r="BD720" s="92"/>
      <c r="BE720" s="281" t="str">
        <f t="shared" si="1297"/>
        <v>NORTHERN ILLINOIS GAS COMPANY</v>
      </c>
      <c r="BF720" s="290">
        <f t="shared" si="1298"/>
        <v>4057131</v>
      </c>
      <c r="BG720" s="46" t="str">
        <f t="shared" si="1299"/>
        <v>IL</v>
      </c>
      <c r="BH720" s="46"/>
      <c r="BI720" s="46" t="str">
        <f t="shared" si="1300"/>
        <v>2015 Y</v>
      </c>
      <c r="BJ720" s="129"/>
      <c r="BK720" s="129"/>
      <c r="BL720" s="129">
        <f>INDEX('Dist. Plant Gas Additions'!$E$7:$AD$91,MATCH($C720,'Dist. Plant Gas Additions'!$C$7:$C$91,0),MATCH(Calculation!$G720,'Dist. Plant Gas Additions'!$E$5:$AD$5,0))</f>
        <v>250988</v>
      </c>
      <c r="BM720" s="129">
        <f>INDEX('Gen. Plant Additions'!$E$7:$AD$91,MATCH($C720,'Gen. Plant Additions'!$C$7:$C$91,0),MATCH(Calculation!$G720,'Gen. Plant Additions'!$E$5:$AD$5,0))</f>
        <v>48683</v>
      </c>
      <c r="BN720" s="393">
        <f t="shared" si="1284"/>
        <v>0.92463474595975159</v>
      </c>
      <c r="BO720" s="46">
        <f t="shared" si="1278"/>
        <v>45013.99333755859</v>
      </c>
      <c r="BP720" s="46">
        <f t="shared" si="1279"/>
        <v>-3669.0066624414103</v>
      </c>
      <c r="BQ720" s="129">
        <f>INDEX('Dist Plant Depreciation'!$D$7:$AC$94,MATCH($C720,'Dist Plant Depreciation'!$C$7:$C$94,0),MATCH(Calculation!$G720,'Dist Plant Depreciation'!$D$5:$AC$5,0))</f>
        <v>2471127</v>
      </c>
      <c r="BR720" s="129">
        <f>INDEX('Gen. Plant Depreciation'!$D$7:$AC$94,MATCH($C720,'Gen. Plant Depreciation'!$C$7:$C$94,0),MATCH(Calculation!$G720,'Gen. Plant Depreciation'!$D$5:$AC$5,0))</f>
        <v>157151</v>
      </c>
      <c r="BS720" s="129"/>
      <c r="BT720" s="129"/>
      <c r="BU720" s="129"/>
      <c r="BV720" s="129"/>
      <c r="BW720" s="129"/>
      <c r="BX720" s="129"/>
      <c r="BY720" s="129">
        <f>INDEX('Gross Dx Plant'!$D$7:$AC$91,MATCH($C720,'Gross Dx Plant'!$C$7:$C$91,0),MATCH(Calculation!$G720,'Gross Dx Plant'!$D$5:$AC$5,0))</f>
        <v>3917155</v>
      </c>
      <c r="BZ720" s="129">
        <f>INDEX('Gross Gen Plant'!$D$7:$AC$91,MATCH($C720,'Gross Gen Plant'!$C$7:$C$91,0),MATCH(Calculation!$G720,'Gross Gen Plant'!$D$5:$AC$5,0))</f>
        <v>319280</v>
      </c>
      <c r="CA720" s="129">
        <f t="shared" si="1325"/>
        <v>1608157</v>
      </c>
      <c r="CB720" s="129"/>
      <c r="CC720" s="133">
        <v>2015</v>
      </c>
      <c r="CD720" s="129"/>
      <c r="CE720" s="129"/>
      <c r="CF720" s="129"/>
      <c r="CG720" s="137"/>
      <c r="CH720" s="129">
        <f t="shared" si="1285"/>
        <v>299671</v>
      </c>
      <c r="CI720" s="46">
        <f t="shared" si="1294"/>
        <v>296001.99333755858</v>
      </c>
      <c r="CJ720" s="46">
        <f t="shared" si="1286"/>
        <v>438.12253145735497</v>
      </c>
      <c r="CK720" s="443">
        <v>0.8</v>
      </c>
      <c r="CL720" s="46">
        <f>+CL703*CK720+CJ704*CK719+CJ705*CK718+CJ706*CK717+CJ707*CK716+CJ708*CK715+CJ709*CK714+CJ710*CK713+CJ711*CK712+CJ712*CK711+CJ713*CK710+CJ714*CK709+CJ715*CK708+CJ716*CK707+CJ717*CK706+CJ718*CK705+CJ719*CK704+CJ720</f>
        <v>9130.8092417073185</v>
      </c>
      <c r="CM720" s="134">
        <f t="shared" si="1287"/>
        <v>3.3782332501701179E-2</v>
      </c>
      <c r="CN720" s="135">
        <f t="shared" si="1288"/>
        <v>1.5272109720450934E-2</v>
      </c>
      <c r="CO720" s="135">
        <f t="shared" si="1301"/>
        <v>1.4848619271958116E-2</v>
      </c>
      <c r="CP720" s="134">
        <f>VLOOKUP($H720,RoR!$E:$F,2,FALSE)</f>
        <v>3.8866666666666674E-2</v>
      </c>
      <c r="CQ720" s="135">
        <v>9.5709475431029478E-3</v>
      </c>
      <c r="CR720" s="135">
        <f t="shared" si="1295"/>
        <v>2.9295719123563727E-2</v>
      </c>
      <c r="CS720" s="135">
        <f t="shared" si="1302"/>
        <v>1.6053322336575509E-2</v>
      </c>
      <c r="CT720" s="135">
        <f t="shared" si="1303"/>
        <v>3.5270373279175926E-3</v>
      </c>
      <c r="CU720" s="139">
        <f t="shared" si="1289"/>
        <v>0.85171695000000003</v>
      </c>
      <c r="CV720" s="335">
        <f t="shared" si="1290"/>
        <v>1.3194352816994324</v>
      </c>
      <c r="CW720" s="335">
        <f t="shared" si="1291"/>
        <v>0.33177530017152673</v>
      </c>
      <c r="CX720" s="335">
        <f t="shared" si="1292"/>
        <v>0.78242572977668579</v>
      </c>
      <c r="CY720" s="335">
        <f t="shared" si="1293"/>
        <v>0.34251158643433932</v>
      </c>
      <c r="CZ720" s="336">
        <f>INDEX('State Tax Lookup'!$D$7:$Z$91,MATCH(Calculation!$C720,'State Tax Lookup'!$B$7:$B$91,0),MATCH($H720,'State Tax Lookup'!$D$6:$Z$6,0))</f>
        <v>0.40076499999999998</v>
      </c>
      <c r="DA720" s="303">
        <v>0.37</v>
      </c>
      <c r="DB720" s="57">
        <f t="shared" si="1296"/>
        <v>15.410645771974862</v>
      </c>
      <c r="DC720" s="56">
        <f t="shared" si="1304"/>
        <v>-3.5533922556840965E-2</v>
      </c>
      <c r="DD720" s="303">
        <f>VLOOKUP($H720,RoR!$E:$F,2,FALSE)</f>
        <v>3.8866666666666674E-2</v>
      </c>
      <c r="DE720" s="304">
        <f>HLOOKUP($H720,'GDP-PI'!$D$8:$CQ$11,3,FALSE)</f>
        <v>9.5709475431029478E-3</v>
      </c>
      <c r="DF720" s="303">
        <f>VLOOKUP(H720,'HW Dx Data'!$E:$F,2,FALSE)</f>
        <v>675.61463308665782</v>
      </c>
      <c r="DG720" s="89">
        <f ca="1">VLOOKUP(CC720,'ECI - Input Price'!M$13:N$33,2,FALSE)</f>
        <v>133.5</v>
      </c>
      <c r="DH720" s="89"/>
      <c r="DI720" s="89"/>
      <c r="DJ720" s="56">
        <f t="shared" ca="1" si="1313"/>
        <v>3.1193095773504077E-2</v>
      </c>
      <c r="DK720" s="53">
        <f>HLOOKUP(H720,'GDP-PI'!$8:$9,2,FALSE)</f>
        <v>104.639</v>
      </c>
      <c r="DL720" s="355">
        <f t="shared" si="1306"/>
        <v>9.5254361854427965E-3</v>
      </c>
      <c r="EC720"/>
    </row>
    <row r="721" spans="1:133" s="126" customFormat="1" ht="21" customHeight="1" x14ac:dyDescent="0.4">
      <c r="A721" s="233" t="s">
        <v>223</v>
      </c>
      <c r="B721" s="127" t="s">
        <v>223</v>
      </c>
      <c r="C721" s="127">
        <v>4057131</v>
      </c>
      <c r="D721" s="127" t="s">
        <v>222</v>
      </c>
      <c r="E721" s="127"/>
      <c r="F721" s="127"/>
      <c r="G721" s="127" t="s">
        <v>172</v>
      </c>
      <c r="H721" s="128">
        <v>2016</v>
      </c>
      <c r="I721" s="129"/>
      <c r="J721" s="125">
        <f>IFERROR(INDEX('Labor Expenditures'!$E$7:$W$91,MATCH($C721,'Labor Expenditures'!$C$7:$C$91,0),MATCH($G721,'Labor Expenditures'!$E$5:$W$5,0)),"NA")</f>
        <v>90403.351230088912</v>
      </c>
      <c r="K721" s="125">
        <f t="shared" ca="1" si="1307"/>
        <v>660.11939561948827</v>
      </c>
      <c r="L721" s="47"/>
      <c r="M721" s="131">
        <f t="shared" ca="1" si="1314"/>
        <v>-3.3319941163344406E-2</v>
      </c>
      <c r="N721" s="131"/>
      <c r="O721" s="131"/>
      <c r="P721" s="59">
        <f t="shared" ca="1" si="1316"/>
        <v>-1.1594539581175505E-3</v>
      </c>
      <c r="Q721" s="61"/>
      <c r="R721" s="387"/>
      <c r="S721" s="49">
        <f t="shared" ca="1" si="1321"/>
        <v>298.86783989288693</v>
      </c>
      <c r="T721" s="61">
        <f ca="1">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</f>
        <v>0.92391392898141822</v>
      </c>
      <c r="U721" s="61"/>
      <c r="V721" s="125">
        <f>IFERROR(INDEX('Non-Labor Expenditures'!$E$7:$AA$91,MATCH($C721,'Non-Labor Expenditures'!$C$7:$C$91,0),MATCH($G721,'Non-Labor Expenditures'!$E$5:$AA$5,0)),"NA")</f>
        <v>130920.9375980678</v>
      </c>
      <c r="W721" s="125">
        <f t="shared" si="1308"/>
        <v>1238.186971306535</v>
      </c>
      <c r="X721" s="131">
        <f t="shared" si="1317"/>
        <v>-1.8234613661766541E-2</v>
      </c>
      <c r="Y721" s="131">
        <f t="shared" si="1318"/>
        <v>-6.3452077784994154E-4</v>
      </c>
      <c r="Z721" s="131"/>
      <c r="AA721" s="131"/>
      <c r="AB721" s="131"/>
      <c r="AC721" s="125">
        <f t="shared" si="1283"/>
        <v>136483.68472982611</v>
      </c>
      <c r="AD721" s="129"/>
      <c r="AE721" s="133">
        <v>10255.563334515544</v>
      </c>
      <c r="AF721" s="134">
        <v>3.2287841693048686E-2</v>
      </c>
      <c r="AG721" s="59">
        <f t="shared" si="1309"/>
        <v>1.1235393744110861E-3</v>
      </c>
      <c r="AH721" s="134"/>
      <c r="AI721" s="134"/>
      <c r="AJ721" s="129">
        <f t="shared" si="1238"/>
        <v>357807.97355798283</v>
      </c>
      <c r="AK721" s="134">
        <f t="shared" si="1319"/>
        <v>-3.5935731301776266E-3</v>
      </c>
      <c r="AL721" s="129"/>
      <c r="AM721" s="129"/>
      <c r="AN721" s="129"/>
      <c r="AO721" s="129"/>
      <c r="AP721" s="133">
        <f t="shared" si="1320"/>
        <v>162.06678722118852</v>
      </c>
      <c r="AQ721" s="134">
        <f>+BB721/Outputs!$B$24</f>
        <v>6.0076696816658698E-2</v>
      </c>
      <c r="AR721" s="93">
        <f t="shared" si="1310"/>
        <v>0.25265885030770291</v>
      </c>
      <c r="AS721" s="93">
        <f t="shared" si="1311"/>
        <v>0.3658972054094039</v>
      </c>
      <c r="AT721" s="93">
        <f t="shared" si="1312"/>
        <v>0.38144394428289319</v>
      </c>
      <c r="AU721" s="93">
        <f t="shared" ca="1" si="1315"/>
        <v>-2.8485668108257731E-3</v>
      </c>
      <c r="AV721" s="132">
        <f t="shared" ca="1" si="1323"/>
        <v>112.31755527152785</v>
      </c>
      <c r="AW721" s="134">
        <f t="shared" ca="1" si="1324"/>
        <v>-2.8485668108257853E-3</v>
      </c>
      <c r="AX721" s="56">
        <f>+AJ721/$AL$21</f>
        <v>3.4797599204439089E-2</v>
      </c>
      <c r="AY721" s="135">
        <f t="shared" ca="1" si="1322"/>
        <v>-9.9123286190182941E-5</v>
      </c>
      <c r="AZ721" s="93"/>
      <c r="BA721" s="93"/>
      <c r="BB721" s="234">
        <f>IFERROR(INDEX('Total Customers'!$E$7:$AA$91,MATCH($C721,'Total Customers'!$C$7:$C$91,0),MATCH($G721,'Total Customers'!$E$5:$AA$5,0)),"NA")</f>
        <v>2207781</v>
      </c>
      <c r="BC721" s="411">
        <f t="shared" si="1305"/>
        <v>4.321345468210694E-3</v>
      </c>
      <c r="BD721" s="92"/>
      <c r="BE721" s="281" t="str">
        <f t="shared" si="1297"/>
        <v>NORTHERN ILLINOIS GAS COMPANY</v>
      </c>
      <c r="BF721" s="290">
        <f t="shared" si="1298"/>
        <v>4057131</v>
      </c>
      <c r="BG721" s="46" t="str">
        <f t="shared" si="1299"/>
        <v>IL</v>
      </c>
      <c r="BH721" s="46"/>
      <c r="BI721" s="46" t="str">
        <f t="shared" si="1300"/>
        <v>2016 Y</v>
      </c>
      <c r="BJ721" s="129"/>
      <c r="BK721" s="129"/>
      <c r="BL721" s="129">
        <f>INDEX('Dist. Plant Gas Additions'!$E$7:$AD$91,MATCH($C721,'Dist. Plant Gas Additions'!$C$7:$C$91,0),MATCH(Calculation!$G721,'Dist. Plant Gas Additions'!$E$5:$AD$5,0))</f>
        <v>239184</v>
      </c>
      <c r="BM721" s="129">
        <f>INDEX('Gen. Plant Additions'!$E$7:$AD$91,MATCH($C721,'Gen. Plant Additions'!$C$7:$C$91,0),MATCH(Calculation!$G721,'Gen. Plant Additions'!$E$5:$AD$5,0))</f>
        <v>36902</v>
      </c>
      <c r="BN721" s="393">
        <f t="shared" si="1284"/>
        <v>0.92595988235813143</v>
      </c>
      <c r="BO721" s="46">
        <f t="shared" si="1278"/>
        <v>34169.771578779764</v>
      </c>
      <c r="BP721" s="46">
        <f t="shared" si="1279"/>
        <v>-2732.2284212202358</v>
      </c>
      <c r="BQ721" s="129">
        <f>INDEX('Dist Plant Depreciation'!$D$7:$AC$94,MATCH($C721,'Dist Plant Depreciation'!$C$7:$C$94,0),MATCH(Calculation!$G721,'Dist Plant Depreciation'!$D$5:$AC$5,0))</f>
        <v>2524941</v>
      </c>
      <c r="BR721" s="129">
        <f>INDEX('Gen. Plant Depreciation'!$D$7:$AC$94,MATCH($C721,'Gen. Plant Depreciation'!$C$7:$C$94,0),MATCH(Calculation!$G721,'Gen. Plant Depreciation'!$D$5:$AC$5,0))</f>
        <v>150737</v>
      </c>
      <c r="BS721" s="129"/>
      <c r="BT721" s="129"/>
      <c r="BU721" s="129"/>
      <c r="BV721" s="129"/>
      <c r="BW721" s="129"/>
      <c r="BX721" s="129"/>
      <c r="BY721" s="129">
        <f>INDEX('Gross Dx Plant'!$D$7:$AC$91,MATCH($C721,'Gross Dx Plant'!$C$7:$C$91,0),MATCH(Calculation!$G721,'Gross Dx Plant'!$D$5:$AC$5,0))</f>
        <v>4134797</v>
      </c>
      <c r="BZ721" s="129">
        <f>INDEX('Gross Gen Plant'!$D$7:$AC$91,MATCH($C721,'Gross Gen Plant'!$C$7:$C$91,0),MATCH(Calculation!$G721,'Gross Gen Plant'!$D$5:$AC$5,0))</f>
        <v>330620</v>
      </c>
      <c r="CA721" s="129">
        <f t="shared" si="1325"/>
        <v>1789739</v>
      </c>
      <c r="CB721" s="129"/>
      <c r="CC721" s="133">
        <v>2016</v>
      </c>
      <c r="CD721" s="129"/>
      <c r="CE721" s="129"/>
      <c r="CF721" s="129"/>
      <c r="CG721" s="137"/>
      <c r="CH721" s="129">
        <f t="shared" si="1285"/>
        <v>276086</v>
      </c>
      <c r="CI721" s="46">
        <f t="shared" si="1294"/>
        <v>273353.77157877979</v>
      </c>
      <c r="CJ721" s="46">
        <f t="shared" si="1286"/>
        <v>407.10576900976201</v>
      </c>
      <c r="CK721" s="443">
        <v>0.7857142857142857</v>
      </c>
      <c r="CL721" s="46">
        <f>+CL703*CK721+CJ704*CK720+CJ705*CK719+CJ706*CK718+CJ707*CK717+CJ708*CK716+CJ709*CK715+CJ710*CK714+CJ711*CK713+CJ712*CK712+CJ713*CK711+CJ714*CK710+CJ715*CK709+CJ716*CK708+CJ717*CK707+CJ718*CK706+CJ719*CK705+CJ720*CK704+CJ721</f>
        <v>9395.6485121617352</v>
      </c>
      <c r="CM721" s="134">
        <f t="shared" si="1287"/>
        <v>2.8592331721006007E-2</v>
      </c>
      <c r="CN721" s="135">
        <f t="shared" si="1288"/>
        <v>1.558092988138516E-2</v>
      </c>
      <c r="CO721" s="135">
        <f t="shared" si="1301"/>
        <v>1.5233235639577463E-2</v>
      </c>
      <c r="CP721" s="134">
        <f>VLOOKUP($H721,RoR!$E:$F,2,FALSE)</f>
        <v>3.6658333333333334E-2</v>
      </c>
      <c r="CQ721" s="135">
        <v>1.0483662879041455E-2</v>
      </c>
      <c r="CR721" s="135">
        <f t="shared" si="1295"/>
        <v>2.6174670454291879E-2</v>
      </c>
      <c r="CS721" s="135">
        <f t="shared" si="1302"/>
        <v>1.5668705968956163E-2</v>
      </c>
      <c r="CT721" s="135">
        <f t="shared" si="1303"/>
        <v>4.301363574220729E-3</v>
      </c>
      <c r="CU721" s="139">
        <f t="shared" si="1289"/>
        <v>0.85171695000000003</v>
      </c>
      <c r="CV721" s="335">
        <f t="shared" si="1290"/>
        <v>1.3989193348138562</v>
      </c>
      <c r="CW721" s="335">
        <f t="shared" si="1291"/>
        <v>0.29302682427824522</v>
      </c>
      <c r="CX721" s="335">
        <f t="shared" si="1292"/>
        <v>0.76309497491941802</v>
      </c>
      <c r="CY721" s="335">
        <f t="shared" si="1293"/>
        <v>0.31280857135128509</v>
      </c>
      <c r="CZ721" s="336">
        <f>INDEX('State Tax Lookup'!$D$7:$Z$91,MATCH(Calculation!$C721,'State Tax Lookup'!$B$7:$B$91,0),MATCH($H721,'State Tax Lookup'!$D$6:$Z$6,0))</f>
        <v>0.40076499999999998</v>
      </c>
      <c r="DA721" s="303">
        <v>0.37</v>
      </c>
      <c r="DB721" s="57">
        <f t="shared" si="1296"/>
        <v>14.947600055688579</v>
      </c>
      <c r="DC721" s="56">
        <f t="shared" si="1304"/>
        <v>-3.0507798929317927E-2</v>
      </c>
      <c r="DD721" s="303">
        <f>VLOOKUP($H721,RoR!$E:$F,2,FALSE)</f>
        <v>3.6658333333333334E-2</v>
      </c>
      <c r="DE721" s="304">
        <f>HLOOKUP($H721,'GDP-PI'!$D$8:$CQ$11,3,FALSE)</f>
        <v>1.0483662879041455E-2</v>
      </c>
      <c r="DF721" s="303">
        <f>VLOOKUP(H721,'HW Dx Data'!$E:$F,2,FALSE)</f>
        <v>671.45639385971219</v>
      </c>
      <c r="DG721" s="89">
        <f ca="1">VLOOKUP(CC721,'ECI - Input Price'!M$13:N$33,2,FALSE)</f>
        <v>136.94999999999999</v>
      </c>
      <c r="DH721" s="89"/>
      <c r="DI721" s="89"/>
      <c r="DJ721" s="56">
        <f t="shared" ca="1" si="1313"/>
        <v>2.5514417868782811E-2</v>
      </c>
      <c r="DK721" s="53">
        <f>HLOOKUP(H721,'GDP-PI'!$8:$9,2,FALSE)</f>
        <v>105.736</v>
      </c>
      <c r="DL721" s="355">
        <f t="shared" si="1306"/>
        <v>1.0429090367205095E-2</v>
      </c>
      <c r="EC721"/>
    </row>
    <row r="722" spans="1:133" s="126" customFormat="1" ht="21" customHeight="1" x14ac:dyDescent="0.4">
      <c r="A722" s="233" t="s">
        <v>223</v>
      </c>
      <c r="B722" s="127" t="s">
        <v>223</v>
      </c>
      <c r="C722" s="127">
        <v>4057131</v>
      </c>
      <c r="D722" s="127" t="s">
        <v>222</v>
      </c>
      <c r="E722" s="127"/>
      <c r="F722" s="127"/>
      <c r="G722" s="127" t="s">
        <v>173</v>
      </c>
      <c r="H722" s="128">
        <v>2017</v>
      </c>
      <c r="I722" s="129"/>
      <c r="J722" s="125">
        <f>IFERROR(INDEX('Labor Expenditures'!$E$7:$W$91,MATCH($C722,'Labor Expenditures'!$C$7:$C$91,0),MATCH($G722,'Labor Expenditures'!$E$5:$W$5,0)),"NA")</f>
        <v>89915.426275135251</v>
      </c>
      <c r="K722" s="125">
        <f t="shared" ca="1" si="1307"/>
        <v>640.19527429786581</v>
      </c>
      <c r="L722" s="47"/>
      <c r="M722" s="131">
        <f t="shared" ca="1" si="1314"/>
        <v>-3.0647475207680828E-2</v>
      </c>
      <c r="N722" s="131"/>
      <c r="O722" s="131"/>
      <c r="P722" s="59">
        <f t="shared" ca="1" si="1316"/>
        <v>-1.0292942257307182E-3</v>
      </c>
      <c r="Q722" s="61"/>
      <c r="R722" s="387"/>
      <c r="S722" s="49">
        <f t="shared" ca="1" si="1321"/>
        <v>166.06177109460174</v>
      </c>
      <c r="T722" s="61">
        <f ca="1">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</f>
        <v>-0.58764163446293771</v>
      </c>
      <c r="U722" s="61"/>
      <c r="V722" s="125">
        <f>IFERROR(INDEX('Non-Labor Expenditures'!$E$7:$AA$91,MATCH($C722,'Non-Labor Expenditures'!$C$7:$C$91,0),MATCH($G722,'Non-Labor Expenditures'!$E$5:$AA$5,0)),"NA")</f>
        <v>130214.33113148401</v>
      </c>
      <c r="W722" s="125">
        <f t="shared" si="1308"/>
        <v>1208.474456213715</v>
      </c>
      <c r="X722" s="131">
        <f t="shared" si="1317"/>
        <v>-2.4289405594260256E-2</v>
      </c>
      <c r="Y722" s="131">
        <f t="shared" si="1318"/>
        <v>-8.1575871275483668E-4</v>
      </c>
      <c r="Z722" s="131"/>
      <c r="AA722" s="131"/>
      <c r="AB722" s="131"/>
      <c r="AC722" s="125">
        <f t="shared" si="1283"/>
        <v>125094.31871627913</v>
      </c>
      <c r="AD722" s="129"/>
      <c r="AE722" s="133">
        <v>10606.417116735422</v>
      </c>
      <c r="AF722" s="134">
        <v>3.3638883631563733E-2</v>
      </c>
      <c r="AG722" s="59">
        <f t="shared" si="1309"/>
        <v>1.1297605576761711E-3</v>
      </c>
      <c r="AH722" s="134"/>
      <c r="AI722" s="134"/>
      <c r="AJ722" s="129">
        <f t="shared" si="1238"/>
        <v>345224.07612289838</v>
      </c>
      <c r="AK722" s="134">
        <f t="shared" si="1319"/>
        <v>-3.5802753575829141E-2</v>
      </c>
      <c r="AL722" s="129"/>
      <c r="AM722" s="129"/>
      <c r="AN722" s="129"/>
      <c r="AO722" s="129"/>
      <c r="AP722" s="133">
        <f t="shared" si="1320"/>
        <v>155.6772349299201</v>
      </c>
      <c r="AQ722" s="134">
        <f>+BB722/Outputs!$B$25</f>
        <v>5.9889512592347413E-2</v>
      </c>
      <c r="AR722" s="93">
        <f t="shared" si="1310"/>
        <v>0.2604552593345944</v>
      </c>
      <c r="AS722" s="93">
        <f t="shared" si="1311"/>
        <v>0.37718786184868586</v>
      </c>
      <c r="AT722" s="93">
        <f t="shared" si="1312"/>
        <v>0.3623568788167198</v>
      </c>
      <c r="AU722" s="93">
        <f t="shared" ca="1" si="1315"/>
        <v>-4.377058605167114E-3</v>
      </c>
      <c r="AV722" s="132">
        <f t="shared" ca="1" si="1323"/>
        <v>111.82700910755236</v>
      </c>
      <c r="AW722" s="134">
        <f t="shared" ca="1" si="1324"/>
        <v>-4.3770586051670715E-3</v>
      </c>
      <c r="AX722" s="56">
        <f>+AJ722/$AL$22</f>
        <v>3.358495989492661E-2</v>
      </c>
      <c r="AY722" s="135">
        <f t="shared" ca="1" si="1322"/>
        <v>-1.4700333771227949E-4</v>
      </c>
      <c r="AZ722" s="93"/>
      <c r="BA722" s="93"/>
      <c r="BB722" s="234">
        <f>IFERROR(INDEX('Total Customers'!$E$7:$AA$91,MATCH($C722,'Total Customers'!$C$7:$C$91,0),MATCH($G722,'Total Customers'!$E$5:$AA$5,0)),"NA")</f>
        <v>2217563</v>
      </c>
      <c r="BC722" s="411">
        <f t="shared" si="1305"/>
        <v>4.4209064569668173E-3</v>
      </c>
      <c r="BD722" s="92"/>
      <c r="BE722" s="281" t="str">
        <f t="shared" si="1297"/>
        <v>NORTHERN ILLINOIS GAS COMPANY</v>
      </c>
      <c r="BF722" s="290">
        <f t="shared" si="1298"/>
        <v>4057131</v>
      </c>
      <c r="BG722" s="46" t="str">
        <f t="shared" si="1299"/>
        <v>IL</v>
      </c>
      <c r="BH722" s="46"/>
      <c r="BI722" s="46" t="str">
        <f t="shared" si="1300"/>
        <v>2017 Y</v>
      </c>
      <c r="BJ722" s="129"/>
      <c r="BK722" s="129"/>
      <c r="BL722" s="129">
        <f>INDEX('Dist. Plant Gas Additions'!$E$7:$AD$91,MATCH($C722,'Dist. Plant Gas Additions'!$C$7:$C$91,0),MATCH(Calculation!$G722,'Dist. Plant Gas Additions'!$E$5:$AD$5,0))</f>
        <v>267330</v>
      </c>
      <c r="BM722" s="129">
        <f>INDEX('Gen. Plant Additions'!$E$7:$AD$91,MATCH($C722,'Gen. Plant Additions'!$C$7:$C$91,0),MATCH(Calculation!$G722,'Gen. Plant Additions'!$E$5:$AD$5,0))</f>
        <v>47239</v>
      </c>
      <c r="BN722" s="393">
        <f t="shared" si="1284"/>
        <v>0.92314218210563637</v>
      </c>
      <c r="BO722" s="46">
        <f t="shared" si="1278"/>
        <v>43608.313540488154</v>
      </c>
      <c r="BP722" s="46">
        <f t="shared" si="1279"/>
        <v>-3630.6864595118459</v>
      </c>
      <c r="BQ722" s="129">
        <f>INDEX('Dist Plant Depreciation'!$D$7:$AC$94,MATCH($C722,'Dist Plant Depreciation'!$C$7:$C$94,0),MATCH(Calculation!$G722,'Dist Plant Depreciation'!$D$5:$AC$5,0))</f>
        <v>2573746</v>
      </c>
      <c r="BR722" s="129">
        <f>INDEX('Gen. Plant Depreciation'!$D$7:$AC$94,MATCH($C722,'Gen. Plant Depreciation'!$C$7:$C$94,0),MATCH(Calculation!$G722,'Gen. Plant Depreciation'!$D$5:$AC$5,0))</f>
        <v>145649</v>
      </c>
      <c r="BS722" s="129"/>
      <c r="BT722" s="129"/>
      <c r="BU722" s="129"/>
      <c r="BV722" s="129"/>
      <c r="BW722" s="129"/>
      <c r="BX722" s="129"/>
      <c r="BY722" s="129">
        <f>INDEX('Gross Dx Plant'!$D$7:$AC$91,MATCH($C722,'Gross Dx Plant'!$C$7:$C$91,0),MATCH(Calculation!$G722,'Gross Dx Plant'!$D$5:$AC$5,0))</f>
        <v>4371057</v>
      </c>
      <c r="BZ722" s="129">
        <f>INDEX('Gross Gen Plant'!$D$7:$AC$91,MATCH($C722,'Gross Gen Plant'!$C$7:$C$91,0),MATCH(Calculation!$G722,'Gross Gen Plant'!$D$5:$AC$5,0))</f>
        <v>363920</v>
      </c>
      <c r="CA722" s="129">
        <f t="shared" si="1325"/>
        <v>2015582</v>
      </c>
      <c r="CB722" s="129"/>
      <c r="CC722" s="133">
        <v>2017</v>
      </c>
      <c r="CD722" s="129"/>
      <c r="CE722" s="129"/>
      <c r="CF722" s="129"/>
      <c r="CG722" s="137"/>
      <c r="CH722" s="129">
        <f t="shared" si="1285"/>
        <v>314569</v>
      </c>
      <c r="CI722" s="46">
        <f t="shared" si="1294"/>
        <v>310938.31354048813</v>
      </c>
      <c r="CJ722" s="46">
        <f t="shared" si="1286"/>
        <v>436.44839729005037</v>
      </c>
      <c r="CK722" s="443">
        <v>0.77108433734939763</v>
      </c>
      <c r="CL722" s="46">
        <f>+CL703*CK722+CJ704*CK721+CJ705*CK720+CJ706*CK719+CJ707*CK718+CJ708*CK717+CJ709*CK716+CJ710*CK715+CJ711*CK714+CJ712*CK713+CJ713*CK712+CJ714*CK711+CJ715*CK710+CJ716*CK709+CJ717*CK708+CJ718*CK707+CJ719*CK706+CJ720*CK705+CJ721*CK704+CJ722</f>
        <v>9682.4894001044231</v>
      </c>
      <c r="CM722" s="134">
        <f t="shared" si="1287"/>
        <v>3.0072379803030392E-2</v>
      </c>
      <c r="CN722" s="135">
        <f t="shared" si="1288"/>
        <v>1.5923063655873287E-2</v>
      </c>
      <c r="CO722" s="135">
        <f t="shared" si="1301"/>
        <v>1.5592034419236461E-2</v>
      </c>
      <c r="CP722" s="134">
        <f>VLOOKUP($H722,RoR!$E:$F,2,FALSE)</f>
        <v>3.7433333333333339E-2</v>
      </c>
      <c r="CQ722" s="135">
        <v>1.9056896421275615E-2</v>
      </c>
      <c r="CR722" s="135">
        <f t="shared" si="1295"/>
        <v>1.8376436912057724E-2</v>
      </c>
      <c r="CS722" s="135">
        <f t="shared" si="1302"/>
        <v>1.5309907189297164E-2</v>
      </c>
      <c r="CT722" s="135">
        <f t="shared" si="1303"/>
        <v>1.3976271617800498E-2</v>
      </c>
      <c r="CU722" s="139">
        <f t="shared" si="1289"/>
        <v>0.90351694999999999</v>
      </c>
      <c r="CV722" s="335">
        <f t="shared" si="1290"/>
        <v>1.3699568463593395</v>
      </c>
      <c r="CW722" s="335">
        <f t="shared" si="1291"/>
        <v>0.30714603739982199</v>
      </c>
      <c r="CX722" s="335">
        <f t="shared" si="1292"/>
        <v>0.77007188472689425</v>
      </c>
      <c r="CY722" s="335">
        <f t="shared" si="1293"/>
        <v>0.32402839633793828</v>
      </c>
      <c r="CZ722" s="336">
        <f>INDEX('State Tax Lookup'!$D$7:$Z$91,MATCH(Calculation!$C722,'State Tax Lookup'!$B$7:$B$91,0),MATCH($H722,'State Tax Lookup'!$D$6:$Z$6,0))</f>
        <v>0.26076499999999997</v>
      </c>
      <c r="DA722" s="303">
        <v>0.37</v>
      </c>
      <c r="DB722" s="57">
        <f t="shared" si="1296"/>
        <v>13.314069651962495</v>
      </c>
      <c r="DC722" s="56">
        <f t="shared" si="1304"/>
        <v>-0.11572941091041908</v>
      </c>
      <c r="DD722" s="303">
        <f>VLOOKUP($H722,RoR!$E:$F,2,FALSE)</f>
        <v>3.7433333333333339E-2</v>
      </c>
      <c r="DE722" s="304">
        <f>HLOOKUP($H722,'GDP-PI'!$D$8:$CQ$11,3,FALSE)</f>
        <v>1.9056896421275615E-2</v>
      </c>
      <c r="DF722" s="303">
        <f>VLOOKUP(H722,'HW Dx Data'!$E:$F,2,FALSE)</f>
        <v>712.42858370229726</v>
      </c>
      <c r="DG722" s="89">
        <f ca="1">VLOOKUP(CC722,'ECI - Input Price'!M$13:N$33,2,FALSE)</f>
        <v>140.44999999999999</v>
      </c>
      <c r="DH722" s="89"/>
      <c r="DI722" s="89"/>
      <c r="DJ722" s="56">
        <f t="shared" ca="1" si="1313"/>
        <v>2.5235657841165486E-2</v>
      </c>
      <c r="DK722" s="53">
        <f>HLOOKUP(H722,'GDP-PI'!$8:$9,2,FALSE)</f>
        <v>107.751</v>
      </c>
      <c r="DL722" s="355">
        <f t="shared" si="1306"/>
        <v>1.8877588227745139E-2</v>
      </c>
      <c r="EC722"/>
    </row>
    <row r="723" spans="1:133" s="126" customFormat="1" ht="21" customHeight="1" x14ac:dyDescent="0.4">
      <c r="A723" s="233" t="s">
        <v>223</v>
      </c>
      <c r="B723" s="127" t="s">
        <v>223</v>
      </c>
      <c r="C723" s="127">
        <v>4057131</v>
      </c>
      <c r="D723" s="127" t="s">
        <v>222</v>
      </c>
      <c r="E723" s="127"/>
      <c r="F723" s="127"/>
      <c r="G723" s="127" t="s">
        <v>174</v>
      </c>
      <c r="H723" s="128">
        <v>2018</v>
      </c>
      <c r="I723" s="129"/>
      <c r="J723" s="125">
        <f>IFERROR(INDEX('Labor Expenditures'!$E$7:$W$91,MATCH($C723,'Labor Expenditures'!$C$7:$C$91,0),MATCH($G723,'Labor Expenditures'!$E$5:$W$5,0)),"NA")</f>
        <v>89526.937494975733</v>
      </c>
      <c r="K723" s="125">
        <f t="shared" ca="1" si="1307"/>
        <v>619.77803734839551</v>
      </c>
      <c r="L723" s="47"/>
      <c r="M723" s="131">
        <f t="shared" ca="1" si="1314"/>
        <v>-3.2411836242158938E-2</v>
      </c>
      <c r="N723" s="131"/>
      <c r="O723" s="131"/>
      <c r="P723" s="59">
        <f t="shared" ca="1" si="1316"/>
        <v>-1.0270003664445747E-3</v>
      </c>
      <c r="Q723" s="61"/>
      <c r="R723" s="387"/>
      <c r="S723" s="49">
        <f t="shared" ca="1" si="1321"/>
        <v>114.47164642542148</v>
      </c>
      <c r="T723" s="61">
        <f ca="1">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</f>
        <v>-0.37203267130988571</v>
      </c>
      <c r="U723" s="61"/>
      <c r="V723" s="125">
        <f>IFERROR(INDEX('Non-Labor Expenditures'!$E$7:$AA$91,MATCH($C723,'Non-Labor Expenditures'!$C$7:$C$91,0),MATCH($G723,'Non-Labor Expenditures'!$E$5:$AA$5,0)),"NA")</f>
        <v>129651.72681811774</v>
      </c>
      <c r="W723" s="125">
        <f t="shared" si="1308"/>
        <v>1175.2118962502286</v>
      </c>
      <c r="X723" s="131">
        <f t="shared" si="1317"/>
        <v>-2.7910315596676057E-2</v>
      </c>
      <c r="Y723" s="131">
        <f t="shared" si="1318"/>
        <v>-8.8436533281277454E-4</v>
      </c>
      <c r="Z723" s="131"/>
      <c r="AA723" s="131"/>
      <c r="AB723" s="131"/>
      <c r="AC723" s="125">
        <f t="shared" si="1283"/>
        <v>133421.10706821989</v>
      </c>
      <c r="AD723" s="129"/>
      <c r="AE723" s="133">
        <v>11078.117327908009</v>
      </c>
      <c r="AF723" s="134">
        <v>4.3512544312274526E-2</v>
      </c>
      <c r="AG723" s="59">
        <f t="shared" si="1309"/>
        <v>1.3787370335876139E-3</v>
      </c>
      <c r="AH723" s="134"/>
      <c r="AI723" s="134"/>
      <c r="AJ723" s="129">
        <f t="shared" si="1238"/>
        <v>352599.77138131333</v>
      </c>
      <c r="AK723" s="134">
        <f t="shared" si="1319"/>
        <v>2.1139919375334302E-2</v>
      </c>
      <c r="AL723" s="129"/>
      <c r="AM723" s="129"/>
      <c r="AN723" s="129"/>
      <c r="AO723" s="129"/>
      <c r="AP723" s="133">
        <f t="shared" si="1320"/>
        <v>158.33844724996266</v>
      </c>
      <c r="AQ723" s="134">
        <f>+BB723/Outputs!$B$26</f>
        <v>5.9614266643065898E-2</v>
      </c>
      <c r="AR723" s="93">
        <f t="shared" si="1310"/>
        <v>0.25390526245735501</v>
      </c>
      <c r="AS723" s="93">
        <f t="shared" si="1311"/>
        <v>0.36770224299977772</v>
      </c>
      <c r="AT723" s="93">
        <f t="shared" si="1312"/>
        <v>0.37839249454286739</v>
      </c>
      <c r="AU723" s="93">
        <f t="shared" ca="1" si="1315"/>
        <v>-2.6147984901576E-3</v>
      </c>
      <c r="AV723" s="132">
        <f t="shared" ca="1" si="1323"/>
        <v>111.53498597019275</v>
      </c>
      <c r="AW723" s="134">
        <f t="shared" ca="1" si="1324"/>
        <v>-2.6147984901576183E-3</v>
      </c>
      <c r="AX723" s="56">
        <f>+AJ723/$AL$23</f>
        <v>3.1685966779899002E-2</v>
      </c>
      <c r="AY723" s="135">
        <f t="shared" ca="1" si="1322"/>
        <v>-8.2852418095264355E-5</v>
      </c>
      <c r="AZ723" s="93"/>
      <c r="BA723" s="93"/>
      <c r="BB723" s="234">
        <f>IFERROR(INDEX('Total Customers'!$E$7:$AA$91,MATCH($C723,'Total Customers'!$C$7:$C$91,0),MATCH($G723,'Total Customers'!$E$5:$AA$5,0)),"NA")</f>
        <v>2226874</v>
      </c>
      <c r="BC723" s="411">
        <f t="shared" si="1305"/>
        <v>4.1899631480104126E-3</v>
      </c>
      <c r="BD723" s="92"/>
      <c r="BE723" s="281" t="str">
        <f t="shared" si="1297"/>
        <v>NORTHERN ILLINOIS GAS COMPANY</v>
      </c>
      <c r="BF723" s="290">
        <f t="shared" si="1298"/>
        <v>4057131</v>
      </c>
      <c r="BG723" s="46" t="str">
        <f t="shared" si="1299"/>
        <v>IL</v>
      </c>
      <c r="BH723" s="46"/>
      <c r="BI723" s="46" t="str">
        <f t="shared" si="1300"/>
        <v>2018 Y</v>
      </c>
      <c r="BJ723" s="129"/>
      <c r="BK723" s="129"/>
      <c r="BL723" s="129">
        <f>INDEX('Dist. Plant Gas Additions'!$E$7:$AD$91,MATCH($C723,'Dist. Plant Gas Additions'!$C$7:$C$91,0),MATCH(Calculation!$G723,'Dist. Plant Gas Additions'!$E$5:$AD$5,0))</f>
        <v>371808</v>
      </c>
      <c r="BM723" s="129">
        <f>INDEX('Gen. Plant Additions'!$E$7:$AD$91,MATCH($C723,'Gen. Plant Additions'!$C$7:$C$91,0),MATCH(Calculation!$G723,'Gen. Plant Additions'!$E$5:$AD$5,0))</f>
        <v>57230</v>
      </c>
      <c r="BN723" s="393">
        <f t="shared" si="1284"/>
        <v>0.92213746275963215</v>
      </c>
      <c r="BO723" s="46">
        <f t="shared" si="1278"/>
        <v>52773.926993733745</v>
      </c>
      <c r="BP723" s="46">
        <f t="shared" si="1279"/>
        <v>-4456.0730062662551</v>
      </c>
      <c r="BQ723" s="129">
        <f>INDEX('Dist Plant Depreciation'!$D$7:$AC$94,MATCH($C723,'Dist Plant Depreciation'!$C$7:$C$94,0),MATCH(Calculation!$G723,'Dist Plant Depreciation'!$D$5:$AC$5,0))</f>
        <v>2639154</v>
      </c>
      <c r="BR723" s="129">
        <f>INDEX('Gen. Plant Depreciation'!$D$7:$AC$94,MATCH($C723,'Gen. Plant Depreciation'!$C$7:$C$94,0),MATCH(Calculation!$G723,'Gen. Plant Depreciation'!$D$5:$AC$5,0))</f>
        <v>151760</v>
      </c>
      <c r="BS723" s="129"/>
      <c r="BT723" s="129"/>
      <c r="BU723" s="129"/>
      <c r="BV723" s="129"/>
      <c r="BW723" s="129"/>
      <c r="BX723" s="129"/>
      <c r="BY723" s="129">
        <f>INDEX('Gross Dx Plant'!$D$7:$AC$91,MATCH($C723,'Gross Dx Plant'!$C$7:$C$91,0),MATCH(Calculation!$G723,'Gross Dx Plant'!$D$5:$AC$5,0))</f>
        <v>4718665</v>
      </c>
      <c r="BZ723" s="129">
        <f>INDEX('Gross Gen Plant'!$D$7:$AC$91,MATCH($C723,'Gross Gen Plant'!$C$7:$C$91,0),MATCH(Calculation!$G723,'Gross Gen Plant'!$D$5:$AC$5,0))</f>
        <v>398430</v>
      </c>
      <c r="CA723" s="129">
        <f t="shared" si="1325"/>
        <v>2326181</v>
      </c>
      <c r="CB723" s="129"/>
      <c r="CC723" s="133">
        <v>2018</v>
      </c>
      <c r="CD723" s="129"/>
      <c r="CE723" s="129"/>
      <c r="CF723" s="129"/>
      <c r="CG723" s="137"/>
      <c r="CH723" s="129">
        <f t="shared" si="1285"/>
        <v>429038</v>
      </c>
      <c r="CI723" s="46">
        <f t="shared" si="1294"/>
        <v>424581.92699373374</v>
      </c>
      <c r="CJ723" s="46">
        <f t="shared" si="1286"/>
        <v>562.25835524874617</v>
      </c>
      <c r="CK723" s="443">
        <v>0.75609756097560976</v>
      </c>
      <c r="CL723" s="46">
        <f>+CL703*CK723++CJ704*CK722+CJ705*CK721+CJ706*CK720+CJ707*CK719+CJ708*CK718+CJ709*CK717+CJ710*CK716+CJ711*CK715+CJ712*CK714+CJ713*CK713+CJ714*CK712+CJ715*CK711+CJ716*CK710+CJ717*CK709+CJ718*CK708+CJ719*CK707+CJ720*CK706+CJ721*CK705+CJ722*CK704+CJ723</f>
        <v>10087.310851339751</v>
      </c>
      <c r="CM723" s="134">
        <f t="shared" si="1287"/>
        <v>4.0959244965343075E-2</v>
      </c>
      <c r="CN723" s="135">
        <f t="shared" si="1288"/>
        <v>1.6259961411547771E-2</v>
      </c>
      <c r="CO723" s="135">
        <f t="shared" si="1301"/>
        <v>1.5921318316268741E-2</v>
      </c>
      <c r="CP723" s="134">
        <f>VLOOKUP($H723,RoR!$E:$F,2,FALSE)</f>
        <v>3.9299999999999995E-2</v>
      </c>
      <c r="CQ723" s="135">
        <v>2.386056741932796E-2</v>
      </c>
      <c r="CR723" s="135">
        <f t="shared" si="1295"/>
        <v>1.5439432580672034E-2</v>
      </c>
      <c r="CS723" s="135">
        <f t="shared" si="1302"/>
        <v>1.4980623292264884E-2</v>
      </c>
      <c r="CT723" s="135">
        <f t="shared" si="1303"/>
        <v>3.8270792163076606E-2</v>
      </c>
      <c r="CU723" s="139">
        <f t="shared" si="1289"/>
        <v>0.90351694999999999</v>
      </c>
      <c r="CV723" s="335">
        <f t="shared" si="1290"/>
        <v>1.3048868010700074</v>
      </c>
      <c r="CW723" s="335">
        <f t="shared" si="1291"/>
        <v>0.33886768447837151</v>
      </c>
      <c r="CX723" s="335">
        <f t="shared" si="1292"/>
        <v>0.78602506232557801</v>
      </c>
      <c r="CY723" s="335">
        <f t="shared" si="1293"/>
        <v>0.34756768162358759</v>
      </c>
      <c r="CZ723" s="336">
        <f>INDEX('State Tax Lookup'!$D$7:$Z$91,MATCH(Calculation!$C723,'State Tax Lookup'!$B$7:$B$91,0),MATCH($H723,'State Tax Lookup'!$D$6:$Z$6,0))</f>
        <v>0.26076499999999997</v>
      </c>
      <c r="DA723" s="303">
        <v>0.37</v>
      </c>
      <c r="DB723" s="57">
        <f t="shared" si="1296"/>
        <v>13.779628518548234</v>
      </c>
      <c r="DC723" s="56">
        <f t="shared" si="1304"/>
        <v>3.4369962559106224E-2</v>
      </c>
      <c r="DD723" s="303">
        <f>VLOOKUP($H723,RoR!$E:$F,2,FALSE)</f>
        <v>3.9299999999999995E-2</v>
      </c>
      <c r="DE723" s="304">
        <f>HLOOKUP($H723,'GDP-PI'!$D$8:$CQ$11,3,FALSE)</f>
        <v>2.386056741932796E-2</v>
      </c>
      <c r="DF723" s="303">
        <f>VLOOKUP(H723,'HW Dx Data'!$E:$F,2,FALSE)</f>
        <v>755.13671434174842</v>
      </c>
      <c r="DG723" s="89">
        <f ca="1">VLOOKUP(CC723,'ECI - Input Price'!M$13:N$33,2,FALSE)</f>
        <v>144.44999999999999</v>
      </c>
      <c r="DH723" s="89"/>
      <c r="DI723" s="89"/>
      <c r="DJ723" s="56">
        <f t="shared" ca="1" si="1313"/>
        <v>2.80818733619915E-2</v>
      </c>
      <c r="DK723" s="53">
        <f>HLOOKUP(H723,'GDP-PI'!$8:$9,2,FALSE)</f>
        <v>110.322</v>
      </c>
      <c r="DL723" s="355">
        <f t="shared" si="1306"/>
        <v>2.3580352716508712E-2</v>
      </c>
      <c r="EC723"/>
    </row>
    <row r="724" spans="1:133" s="126" customFormat="1" ht="21" customHeight="1" x14ac:dyDescent="0.4">
      <c r="A724" s="233" t="s">
        <v>223</v>
      </c>
      <c r="B724" s="127" t="s">
        <v>223</v>
      </c>
      <c r="C724" s="127">
        <v>4057131</v>
      </c>
      <c r="D724" s="127" t="s">
        <v>222</v>
      </c>
      <c r="E724" s="127"/>
      <c r="F724" s="127"/>
      <c r="G724" s="127" t="s">
        <v>175</v>
      </c>
      <c r="H724" s="128">
        <v>2019</v>
      </c>
      <c r="I724" s="129"/>
      <c r="J724" s="125">
        <f>IFERROR(INDEX('Labor Expenditures'!$E$7:$W$91,MATCH($C724,'Labor Expenditures'!$C$7:$C$91,0),MATCH($G724,'Labor Expenditures'!$E$5:$W$5,0)),"NA")</f>
        <v>108080.99902040682</v>
      </c>
      <c r="K724" s="125">
        <f t="shared" ca="1" si="1307"/>
        <v>722.1045533349378</v>
      </c>
      <c r="L724" s="47"/>
      <c r="M724" s="131">
        <f t="shared" ca="1" si="1314"/>
        <v>0.15280852945845147</v>
      </c>
      <c r="N724" s="131"/>
      <c r="O724" s="131"/>
      <c r="P724" s="59">
        <f t="shared" ca="1" si="1316"/>
        <v>5.4167746169271848E-3</v>
      </c>
      <c r="Q724" s="61"/>
      <c r="R724" s="387"/>
      <c r="S724" s="49">
        <f t="shared" ca="1" si="1321"/>
        <v>116.69804485380313</v>
      </c>
      <c r="T724" s="61">
        <f ca="1">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</f>
        <v>1.9262622686186788E-2</v>
      </c>
      <c r="U724" s="61"/>
      <c r="V724" s="125">
        <f>IFERROR(INDEX('Non-Labor Expenditures'!$E$7:$AA$91,MATCH($C724,'Non-Labor Expenditures'!$C$7:$C$91,0),MATCH($G724,'Non-Labor Expenditures'!$E$5:$AA$5,0)),"NA")</f>
        <v>156521.47332761652</v>
      </c>
      <c r="W724" s="125">
        <f t="shared" si="1308"/>
        <v>1393.5564497909197</v>
      </c>
      <c r="X724" s="131">
        <f t="shared" si="1317"/>
        <v>0.17041060790622123</v>
      </c>
      <c r="Y724" s="131">
        <f t="shared" si="1318"/>
        <v>6.0407351515841525E-3</v>
      </c>
      <c r="Z724" s="131"/>
      <c r="AA724" s="131"/>
      <c r="AB724" s="131"/>
      <c r="AC724" s="125">
        <f t="shared" si="1283"/>
        <v>139261.92125178437</v>
      </c>
      <c r="AD724" s="129"/>
      <c r="AE724" s="133">
        <v>11662.857342899339</v>
      </c>
      <c r="AF724" s="134">
        <v>5.1437455410459458E-2</v>
      </c>
      <c r="AG724" s="59">
        <f t="shared" si="1309"/>
        <v>1.8233609328886229E-3</v>
      </c>
      <c r="AH724" s="134"/>
      <c r="AI724" s="134"/>
      <c r="AJ724" s="129">
        <f t="shared" si="1238"/>
        <v>403864.39359980769</v>
      </c>
      <c r="AK724" s="134">
        <f t="shared" si="1319"/>
        <v>0.13574554062465874</v>
      </c>
      <c r="AL724" s="129"/>
      <c r="AM724" s="129"/>
      <c r="AN724" s="129"/>
      <c r="AO724" s="129"/>
      <c r="AP724" s="133">
        <f t="shared" si="1320"/>
        <v>180.59660426977479</v>
      </c>
      <c r="AQ724" s="134">
        <f>+BB724/Outputs!$B$27</f>
        <v>5.9372315918272786E-2</v>
      </c>
      <c r="AR724" s="93">
        <f t="shared" si="1310"/>
        <v>0.26761705347935449</v>
      </c>
      <c r="AS724" s="93">
        <f t="shared" si="1311"/>
        <v>0.3875594774089316</v>
      </c>
      <c r="AT724" s="93">
        <f t="shared" si="1312"/>
        <v>0.34482346911171396</v>
      </c>
      <c r="AU724" s="93">
        <f t="shared" ca="1" si="1315"/>
        <v>0.12279902798190809</v>
      </c>
      <c r="AV724" s="132">
        <f t="shared" ca="1" si="1323"/>
        <v>126.10783133202516</v>
      </c>
      <c r="AW724" s="134">
        <f t="shared" ca="1" si="1324"/>
        <v>0.12279902798190814</v>
      </c>
      <c r="AX724" s="56">
        <f>+AJ724/$AL$24</f>
        <v>3.5448116908945206E-2</v>
      </c>
      <c r="AY724" s="135">
        <f t="shared" ca="1" si="1322"/>
        <v>4.3529943002075131E-3</v>
      </c>
      <c r="AZ724" s="93"/>
      <c r="BA724" s="93"/>
      <c r="BB724" s="234">
        <f>IFERROR(INDEX('Total Customers'!$E$7:$AA$91,MATCH($C724,'Total Customers'!$C$7:$C$91,0),MATCH($G724,'Total Customers'!$E$5:$AA$5,0)),"NA")</f>
        <v>2236279</v>
      </c>
      <c r="BC724" s="411">
        <f t="shared" si="1305"/>
        <v>4.2145155772495948E-3</v>
      </c>
      <c r="BD724" s="92"/>
      <c r="BE724" s="281" t="str">
        <f t="shared" si="1297"/>
        <v>NORTHERN ILLINOIS GAS COMPANY</v>
      </c>
      <c r="BF724" s="290">
        <f t="shared" si="1298"/>
        <v>4057131</v>
      </c>
      <c r="BG724" s="46" t="str">
        <f t="shared" si="1299"/>
        <v>IL</v>
      </c>
      <c r="BH724" s="46"/>
      <c r="BI724" s="46" t="str">
        <f t="shared" si="1300"/>
        <v>2019 Y</v>
      </c>
      <c r="BJ724" s="129"/>
      <c r="BK724" s="129"/>
      <c r="BL724" s="129">
        <f>INDEX('Dist. Plant Gas Additions'!$E$7:$AD$91,MATCH($C724,'Dist. Plant Gas Additions'!$C$7:$C$91,0),MATCH(Calculation!$G724,'Dist. Plant Gas Additions'!$E$5:$AD$5,0))</f>
        <v>473456</v>
      </c>
      <c r="BM724" s="129">
        <f>INDEX('Gen. Plant Additions'!$E$7:$AD$91,MATCH($C724,'Gen. Plant Additions'!$C$7:$C$91,0),MATCH(Calculation!$G724,'Gen. Plant Additions'!$E$5:$AD$5,0))</f>
        <v>58647</v>
      </c>
      <c r="BN724" s="393">
        <f t="shared" si="1284"/>
        <v>0.92142639594632769</v>
      </c>
      <c r="BO724" s="46">
        <f t="shared" si="1278"/>
        <v>54038.893843064281</v>
      </c>
      <c r="BP724" s="46">
        <f t="shared" si="1279"/>
        <v>-4608.1061569357189</v>
      </c>
      <c r="BQ724" s="129">
        <f>INDEX('Dist Plant Depreciation'!$D$7:$AC$94,MATCH($C724,'Dist Plant Depreciation'!$C$7:$C$94,0),MATCH(Calculation!$G724,'Dist Plant Depreciation'!$D$5:$AC$5,0))</f>
        <v>2710187</v>
      </c>
      <c r="BR724" s="129">
        <f>INDEX('Gen. Plant Depreciation'!$D$7:$AC$94,MATCH($C724,'Gen. Plant Depreciation'!$C$7:$C$94,0),MATCH(Calculation!$G724,'Gen. Plant Depreciation'!$D$5:$AC$5,0))</f>
        <v>163976</v>
      </c>
      <c r="BS724" s="129"/>
      <c r="BT724" s="129"/>
      <c r="BU724" s="129"/>
      <c r="BV724" s="129"/>
      <c r="BW724" s="129"/>
      <c r="BX724" s="129"/>
      <c r="BY724" s="129">
        <f>INDEX('Gross Dx Plant'!$D$7:$AC$91,MATCH($C724,'Gross Dx Plant'!$C$7:$C$91,0),MATCH(Calculation!$G724,'Gross Dx Plant'!$D$5:$AC$5,0))</f>
        <v>5167315</v>
      </c>
      <c r="BZ724" s="129">
        <f>INDEX('Gross Gen Plant'!$D$7:$AC$91,MATCH($C724,'Gross Gen Plant'!$C$7:$C$91,0),MATCH(Calculation!$G724,'Gross Gen Plant'!$D$5:$AC$5,0))</f>
        <v>440637</v>
      </c>
      <c r="CA724" s="129">
        <f t="shared" si="1325"/>
        <v>2733789</v>
      </c>
      <c r="CB724" s="129"/>
      <c r="CC724" s="133">
        <v>2019</v>
      </c>
      <c r="CD724" s="129"/>
      <c r="CE724" s="129"/>
      <c r="CF724" s="129"/>
      <c r="CG724" s="137"/>
      <c r="CH724" s="129">
        <f t="shared" si="1285"/>
        <v>532103</v>
      </c>
      <c r="CI724" s="46">
        <f t="shared" si="1294"/>
        <v>527494.89384306432</v>
      </c>
      <c r="CJ724" s="46">
        <f t="shared" si="1286"/>
        <v>681.92384698262299</v>
      </c>
      <c r="CK724" s="443">
        <v>0.7407407407407407</v>
      </c>
      <c r="CL724" s="46">
        <f>CL703*CK724+CJ704*CK723+CJ705*CK722+CJ706*CK721+CJ707*CK720+CJ708*CK719+CJ709*CK718+CJ710*CK717+CJ711*CK716+CJ712*CK715+CJ713*CK714+CJ714*CK713+CJ715*CK712+CJ716*CK711+CJ717*CK710+CJ718*CK709+CJ719*CK708+CJ720*CK707+CJ721*CK706+CJ722*CK705+CJ723*CK704+CJ724</f>
        <v>10602.511021191664</v>
      </c>
      <c r="CM724" s="134">
        <f t="shared" si="1287"/>
        <v>4.9812579232254676E-2</v>
      </c>
      <c r="CN724" s="135">
        <f t="shared" si="1288"/>
        <v>1.6528059815720558E-2</v>
      </c>
      <c r="CO724" s="135">
        <f t="shared" si="1301"/>
        <v>1.6237028294380538E-2</v>
      </c>
      <c r="CP724" s="134">
        <f>VLOOKUP($H724,RoR!$E:$F,2,FALSE)</f>
        <v>3.3875000000000009E-2</v>
      </c>
      <c r="CQ724" s="135">
        <v>1.8092492884465461E-2</v>
      </c>
      <c r="CR724" s="135">
        <f t="shared" si="1295"/>
        <v>1.5782507115534548E-2</v>
      </c>
      <c r="CS724" s="135">
        <f t="shared" si="1302"/>
        <v>1.4664913314153087E-2</v>
      </c>
      <c r="CT724" s="135">
        <f t="shared" si="1303"/>
        <v>4.8445665544254078E-2</v>
      </c>
      <c r="CU724" s="139">
        <f t="shared" si="1289"/>
        <v>0.90351694999999999</v>
      </c>
      <c r="CV724" s="335">
        <f t="shared" si="1290"/>
        <v>1.513861292459078</v>
      </c>
      <c r="CW724" s="335">
        <f t="shared" si="1291"/>
        <v>0.23699261992619944</v>
      </c>
      <c r="CX724" s="335">
        <f t="shared" si="1292"/>
        <v>0.73619765810468829</v>
      </c>
      <c r="CY724" s="335">
        <f t="shared" si="1293"/>
        <v>0.26412854465362851</v>
      </c>
      <c r="CZ724" s="336">
        <f>INDEX('State Tax Lookup'!$D$7:$Z$91,MATCH(Calculation!$C724,'State Tax Lookup'!$B$7:$B$91,0),MATCH($H724,'State Tax Lookup'!$D$6:$Z$6,0))</f>
        <v>0.26076499999999997</v>
      </c>
      <c r="DA724" s="303">
        <v>0.37</v>
      </c>
      <c r="DB724" s="57">
        <f t="shared" si="1296"/>
        <v>13.805653786637123</v>
      </c>
      <c r="DC724" s="56">
        <f t="shared" si="1304"/>
        <v>1.8868957382858684E-3</v>
      </c>
      <c r="DD724" s="303">
        <f>VLOOKUP($H724,RoR!$E:$F,2,FALSE)</f>
        <v>3.3875000000000009E-2</v>
      </c>
      <c r="DE724" s="304">
        <f>HLOOKUP($H724,'GDP-PI'!$D$8:$CQ$11,3,FALSE)</f>
        <v>1.8092492884465461E-2</v>
      </c>
      <c r="DF724" s="303">
        <f>VLOOKUP(H724,'HW Dx Data'!$E:$F,2,FALSE)</f>
        <v>773.53929793938721</v>
      </c>
      <c r="DG724" s="89">
        <f ca="1">VLOOKUP(CC724,'ECI - Input Price'!M$13:N$33,2,FALSE)</f>
        <v>149.67500000000001</v>
      </c>
      <c r="DH724" s="89"/>
      <c r="DI724" s="89"/>
      <c r="DJ724" s="56">
        <f t="shared" ca="1" si="1313"/>
        <v>3.5532849899171604E-2</v>
      </c>
      <c r="DK724" s="53">
        <f>HLOOKUP(H724,'GDP-PI'!$8:$9,2,FALSE)</f>
        <v>112.318</v>
      </c>
      <c r="DL724" s="355">
        <f t="shared" si="1306"/>
        <v>1.7930771451401852E-2</v>
      </c>
      <c r="EC724"/>
    </row>
    <row r="725" spans="1:133" s="126" customFormat="1" ht="21" customHeight="1" x14ac:dyDescent="0.4">
      <c r="A725" s="233" t="s">
        <v>223</v>
      </c>
      <c r="B725" s="126" t="s">
        <v>223</v>
      </c>
      <c r="C725" s="126">
        <v>4057131</v>
      </c>
      <c r="D725" s="126" t="s">
        <v>222</v>
      </c>
      <c r="G725" s="127" t="s">
        <v>176</v>
      </c>
      <c r="H725" s="128">
        <v>2020</v>
      </c>
      <c r="I725" s="129"/>
      <c r="J725" s="125">
        <f>IFERROR(INDEX('Labor Expenditures'!$E$7:$W$91,MATCH($C725,'Labor Expenditures'!$C$7:$C$91,0),MATCH($G725,'Labor Expenditures'!$E$5:$W$5,0)),"NA")</f>
        <v>114243.80814133145</v>
      </c>
      <c r="K725" s="125">
        <f t="shared" ca="1" si="1307"/>
        <v>745.96022292740088</v>
      </c>
      <c r="L725" s="47"/>
      <c r="M725" s="131">
        <f t="shared" ca="1" si="1314"/>
        <v>3.2502339187543555E-2</v>
      </c>
      <c r="N725" s="131"/>
      <c r="O725" s="131"/>
      <c r="P725" s="59">
        <f t="shared" ca="1" si="1316"/>
        <v>1.2067610844459539E-3</v>
      </c>
      <c r="Q725" s="61"/>
      <c r="R725" s="387"/>
      <c r="S725" s="49">
        <f t="shared" ca="1" si="1321"/>
        <v>117.13860897615579</v>
      </c>
      <c r="T725" s="61">
        <f ca="1">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</f>
        <v>3.7681401647664922E-3</v>
      </c>
      <c r="U725" s="61"/>
      <c r="V725" s="125">
        <f>IFERROR(INDEX('Non-Labor Expenditures'!$E$7:$AA$91,MATCH($C725,'Non-Labor Expenditures'!$C$7:$C$91,0),MATCH($G725,'Non-Labor Expenditures'!$E$5:$AA$5,0)),"NA")</f>
        <v>165446.37198868339</v>
      </c>
      <c r="W725" s="125">
        <f t="shared" si="1308"/>
        <v>1456.0993107793613</v>
      </c>
      <c r="X725" s="131">
        <f t="shared" si="1317"/>
        <v>4.3902078923519362E-2</v>
      </c>
      <c r="Y725" s="131">
        <f t="shared" si="1318"/>
        <v>1.6300156141217763E-3</v>
      </c>
      <c r="Z725" s="131"/>
      <c r="AA725" s="131"/>
      <c r="AB725" s="131"/>
      <c r="AC725" s="125">
        <f t="shared" si="1283"/>
        <v>151077.50960404138</v>
      </c>
      <c r="AD725" s="129"/>
      <c r="AE725" s="133">
        <v>12137.803905961067</v>
      </c>
      <c r="AF725" s="134">
        <v>3.9915665861752152E-2</v>
      </c>
      <c r="AG725" s="59">
        <f t="shared" si="1309"/>
        <v>1.4820063240300839E-3</v>
      </c>
      <c r="AH725" s="134"/>
      <c r="AI725" s="134"/>
      <c r="AJ725" s="129">
        <f t="shared" si="1238"/>
        <v>430767.68973405624</v>
      </c>
      <c r="AK725" s="134">
        <f t="shared" si="1319"/>
        <v>6.4489779643715342E-2</v>
      </c>
      <c r="AL725" s="129"/>
      <c r="AM725" s="129"/>
      <c r="AN725" s="129"/>
      <c r="AO725" s="129"/>
      <c r="AP725" s="133">
        <f t="shared" si="1320"/>
        <v>191.75331664375199</v>
      </c>
      <c r="AQ725" s="134">
        <f>+BB725/Outputs!$B$28</f>
        <v>5.9221657894188096E-2</v>
      </c>
      <c r="AR725" s="93">
        <f t="shared" si="1310"/>
        <v>0.26520978909040821</v>
      </c>
      <c r="AS725" s="93">
        <f t="shared" si="1311"/>
        <v>0.38407330895876912</v>
      </c>
      <c r="AT725" s="93">
        <f t="shared" si="1312"/>
        <v>0.35071690195082261</v>
      </c>
      <c r="AU725" s="93">
        <f t="shared" ca="1" si="1315"/>
        <v>3.9478679648605783E-2</v>
      </c>
      <c r="AV725" s="132">
        <f t="shared" ca="1" si="1323"/>
        <v>131.18598180864643</v>
      </c>
      <c r="AW725" s="134">
        <f t="shared" ca="1" si="1324"/>
        <v>3.947867964860579E-2</v>
      </c>
      <c r="AX725" s="56">
        <f>+AJ725/$AL$25</f>
        <v>3.7128437971271994E-2</v>
      </c>
      <c r="AY725" s="135">
        <f t="shared" ca="1" si="1322"/>
        <v>1.465781708520978E-3</v>
      </c>
      <c r="AZ725" s="93"/>
      <c r="BA725" s="93"/>
      <c r="BB725" s="234">
        <f>IFERROR(INDEX('Total Customers'!$E$7:$AA$91,MATCH($C725,'Total Customers'!$C$7:$C$91,0),MATCH($G725,'Total Customers'!$E$5:$AA$5,0)),"NA")</f>
        <v>2246468</v>
      </c>
      <c r="BC725" s="411">
        <f t="shared" si="1305"/>
        <v>4.5458811511473983E-3</v>
      </c>
      <c r="BD725" s="92"/>
      <c r="BE725" s="281" t="str">
        <f t="shared" si="1297"/>
        <v>NORTHERN ILLINOIS GAS COMPANY</v>
      </c>
      <c r="BF725" s="290">
        <f t="shared" si="1298"/>
        <v>4057131</v>
      </c>
      <c r="BG725" s="46" t="str">
        <f t="shared" si="1299"/>
        <v>IL</v>
      </c>
      <c r="BH725" s="46"/>
      <c r="BI725" s="46" t="str">
        <f t="shared" si="1300"/>
        <v>2020 Y</v>
      </c>
      <c r="BJ725" s="129"/>
      <c r="BK725" s="129"/>
      <c r="BL725" s="129">
        <f>INDEX('Dist. Plant Gas Additions'!$E$7:$AD$91,MATCH($C725,'Dist. Plant Gas Additions'!$C$7:$C$91,0),MATCH(Calculation!$G725,'Dist. Plant Gas Additions'!$E$5:$AD$5,0))</f>
        <v>411692</v>
      </c>
      <c r="BM725" s="129">
        <f>INDEX('Gen. Plant Additions'!$E$7:$AD$91,MATCH($C725,'Gen. Plant Additions'!$C$7:$C$91,0),MATCH(Calculation!$G725,'Gen. Plant Additions'!$E$5:$AD$5,0))</f>
        <v>64520</v>
      </c>
      <c r="BN725" s="393">
        <f t="shared" si="1284"/>
        <v>0.91999811912993867</v>
      </c>
      <c r="BO725" s="46">
        <f t="shared" si="1278"/>
        <v>59358.278646263643</v>
      </c>
      <c r="BP725" s="46">
        <f t="shared" si="1279"/>
        <v>-5161.7213537363568</v>
      </c>
      <c r="BQ725" s="129">
        <f>INDEX('Dist Plant Depreciation'!$D$7:$AC$94,MATCH($C725,'Dist Plant Depreciation'!$C$7:$C$94,0),MATCH(Calculation!$G725,'Dist Plant Depreciation'!$D$5:$AC$5,0))</f>
        <v>2789253</v>
      </c>
      <c r="BR725" s="129">
        <f>INDEX('Gen. Plant Depreciation'!$D$7:$AC$94,MATCH($C725,'Gen. Plant Depreciation'!$C$7:$C$94,0),MATCH(Calculation!$G725,'Gen. Plant Depreciation'!$D$5:$AC$5,0))</f>
        <v>174352</v>
      </c>
      <c r="BS725" s="129"/>
      <c r="BT725" s="129"/>
      <c r="BU725" s="129"/>
      <c r="BV725" s="129"/>
      <c r="BW725" s="129"/>
      <c r="BX725" s="129"/>
      <c r="BY725" s="129">
        <f>INDEX('Gross Dx Plant'!$D$7:$AC$91,MATCH($C725,'Gross Dx Plant'!$C$7:$C$91,0),MATCH(Calculation!$G725,'Gross Dx Plant'!$D$5:$AC$5,0))</f>
        <v>5556566</v>
      </c>
      <c r="BZ725" s="129">
        <f>INDEX('Gross Gen Plant'!$D$7:$AC$91,MATCH($C725,'Gross Gen Plant'!$C$7:$C$91,0),MATCH(Calculation!$G725,'Gross Gen Plant'!$D$5:$AC$5,0))</f>
        <v>483192</v>
      </c>
      <c r="CA725" s="129">
        <f t="shared" si="1325"/>
        <v>3076153</v>
      </c>
      <c r="CB725" s="129"/>
      <c r="CC725" s="133">
        <v>2020</v>
      </c>
      <c r="CD725" s="129"/>
      <c r="CE725" s="129"/>
      <c r="CF725" s="129"/>
      <c r="CG725" s="137"/>
      <c r="CH725" s="129">
        <f t="shared" si="1285"/>
        <v>476212</v>
      </c>
      <c r="CI725" s="46">
        <f t="shared" si="1294"/>
        <v>471050.27864626364</v>
      </c>
      <c r="CJ725" s="46">
        <f t="shared" si="1286"/>
        <v>579.34051326718156</v>
      </c>
      <c r="CK725" s="443">
        <v>0.72499999999999998</v>
      </c>
      <c r="CL725" s="46">
        <f>CL703*CK725+CJ704*CK724+CJ705*CK723+CJ706*CK722+CJ707*CK721+CJ708*CK720+CJ709*CK719+CJ710*CK718+CJ711*CK717+CJ712*CK716+CJ713*CK715+CJ714*CK714+CJ715*CK713+CJ716*CK712+CJ717*CK711+CJ718*CK710+CJ719*CK709+CJ720*CK708+CJ721*CK707+CJ722*CK706+CJ723*CK705+CJ724*CK704+CJ725</f>
        <v>11004.410949715128</v>
      </c>
      <c r="CM725" s="134">
        <f t="shared" si="1287"/>
        <v>3.7205325993869713E-2</v>
      </c>
      <c r="CN725" s="135">
        <f t="shared" si="1288"/>
        <v>1.6735713303109037E-2</v>
      </c>
      <c r="CO725" s="135">
        <f t="shared" si="1301"/>
        <v>1.6507911510125789E-2</v>
      </c>
      <c r="CP725" s="134">
        <f>VLOOKUP($H725,RoR!$E:$F,2,FALSE)</f>
        <v>2.4766666666666666E-2</v>
      </c>
      <c r="CQ725" s="135">
        <v>1.1618796630994188E-2</v>
      </c>
      <c r="CR725" s="135">
        <f t="shared" si="1295"/>
        <v>1.3147870035672478E-2</v>
      </c>
      <c r="CS725" s="135">
        <f t="shared" si="1302"/>
        <v>1.4394030098407836E-2</v>
      </c>
      <c r="CT725" s="135">
        <f t="shared" si="1303"/>
        <v>4.5144642961987357E-2</v>
      </c>
      <c r="CU725" s="139">
        <f t="shared" si="1289"/>
        <v>0.90351694999999999</v>
      </c>
      <c r="CV725" s="335">
        <f t="shared" si="1290"/>
        <v>2.0706077233668081</v>
      </c>
      <c r="CW725" s="335">
        <f t="shared" si="1291"/>
        <v>-3.4421265141318998E-2</v>
      </c>
      <c r="CX725" s="335">
        <f t="shared" si="1292"/>
        <v>0.62416226176410472</v>
      </c>
      <c r="CY725" s="335">
        <f t="shared" si="1293"/>
        <v>-4.4485877841158712E-2</v>
      </c>
      <c r="CZ725" s="336">
        <f>INDEX('State Tax Lookup'!$D$7:$Z$91,MATCH(Calculation!$C725,'State Tax Lookup'!$B$7:$B$91,0),MATCH($H725,'State Tax Lookup'!$D$6:$Z$6,0))</f>
        <v>0.26076499999999997</v>
      </c>
      <c r="DA725" s="303">
        <v>0.37</v>
      </c>
      <c r="DB725" s="57">
        <f t="shared" si="1296"/>
        <v>14.249219765211912</v>
      </c>
      <c r="DC725" s="56">
        <f t="shared" si="1304"/>
        <v>3.1623948952122768E-2</v>
      </c>
      <c r="DD725" s="303">
        <f>VLOOKUP($H725,RoR!$E:$F,2,FALSE)</f>
        <v>2.4766666666666666E-2</v>
      </c>
      <c r="DE725" s="304">
        <f>HLOOKUP($H725,'GDP-PI'!$D$8:$CQ$11,3,FALSE)</f>
        <v>1.1618796630994188E-2</v>
      </c>
      <c r="DF725" s="303">
        <f>VLOOKUP(H725,'HW Dx Data'!$E:$F,2,FALSE)</f>
        <v>813.080162458833</v>
      </c>
      <c r="DG725" s="89">
        <f ca="1">VLOOKUP(CC725,'ECI - Input Price'!M$13:N$33,2,FALSE)</f>
        <v>153.15</v>
      </c>
      <c r="DH725" s="89"/>
      <c r="DI725" s="89"/>
      <c r="DJ725" s="56">
        <f t="shared" ca="1" si="1313"/>
        <v>2.2951556467368479E-2</v>
      </c>
      <c r="DK725" s="53">
        <f>HLOOKUP(H725,'GDP-PI'!$8:$9,2,FALSE)</f>
        <v>113.623</v>
      </c>
      <c r="DL725" s="355">
        <f t="shared" si="1306"/>
        <v>1.1551816731392881E-2</v>
      </c>
      <c r="EC725"/>
    </row>
    <row r="726" spans="1:133" s="126" customFormat="1" ht="21" customHeight="1" x14ac:dyDescent="0.4">
      <c r="A726" s="233" t="s">
        <v>223</v>
      </c>
      <c r="B726" s="126" t="s">
        <v>223</v>
      </c>
      <c r="C726" s="126">
        <v>4057131</v>
      </c>
      <c r="D726" s="126" t="s">
        <v>222</v>
      </c>
      <c r="G726" s="127" t="s">
        <v>177</v>
      </c>
      <c r="H726" s="128">
        <v>2021</v>
      </c>
      <c r="I726" s="129"/>
      <c r="J726" s="125">
        <v>132080.88306601488</v>
      </c>
      <c r="K726" s="125">
        <f t="shared" ca="1" si="1307"/>
        <v>839.94202267736011</v>
      </c>
      <c r="L726" s="47"/>
      <c r="M726" s="130">
        <f t="shared" ca="1" si="1314"/>
        <v>0.11866059052361524</v>
      </c>
      <c r="N726" s="130"/>
      <c r="O726" s="130"/>
      <c r="P726" s="59">
        <f t="shared" ca="1" si="1316"/>
        <v>5.1554094529847778E-3</v>
      </c>
      <c r="Q726" s="61"/>
      <c r="R726" s="387"/>
      <c r="S726" s="132">
        <f ca="1">+S725*EXP(T726)</f>
        <v>121.18515100732465</v>
      </c>
      <c r="T726" s="134">
        <f ca="1">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</f>
        <v>3.3961623980540194E-2</v>
      </c>
      <c r="U726" s="134"/>
      <c r="V726" s="125">
        <f>IFERROR(INDEX('Non-Labor Expenditures'!$D$7:$AA$91,MATCH($C726,'Non-Labor Expenditures'!$C$7:$C$91,0),MATCH($G726,'Non-Labor Expenditures'!$D$5:$AA$5,0)),"NA")</f>
        <v>196100.30004486439</v>
      </c>
      <c r="W726" s="125">
        <f t="shared" si="1308"/>
        <v>1654.9945146836392</v>
      </c>
      <c r="X726" s="131">
        <f t="shared" si="1317"/>
        <v>0.12803653903168757</v>
      </c>
      <c r="Y726" s="131">
        <f t="shared" si="1318"/>
        <v>5.562763346606223E-3</v>
      </c>
      <c r="Z726" s="131"/>
      <c r="AA726" s="131"/>
      <c r="AB726" s="131"/>
      <c r="AC726" s="125">
        <f t="shared" si="1283"/>
        <v>229899.11017500432</v>
      </c>
      <c r="AD726" s="129"/>
      <c r="AE726" s="133">
        <v>12630.897272189439</v>
      </c>
      <c r="AF726" s="134"/>
      <c r="AG726" s="59">
        <f t="shared" si="1309"/>
        <v>0</v>
      </c>
      <c r="AH726" s="134"/>
      <c r="AI726" s="134"/>
      <c r="AJ726" s="129">
        <f t="shared" si="1238"/>
        <v>558080.29328588361</v>
      </c>
      <c r="AK726" s="134">
        <f t="shared" si="1319"/>
        <v>0.25893390495479846</v>
      </c>
      <c r="AL726" s="129"/>
      <c r="AM726" s="134"/>
      <c r="AN726" s="134"/>
      <c r="AO726" s="134"/>
      <c r="AP726" s="133">
        <f t="shared" si="1320"/>
        <v>247.72080523684724</v>
      </c>
      <c r="AQ726" s="134">
        <f>+BB726/Outputs!$B$29</f>
        <v>5.83547613838694E-2</v>
      </c>
      <c r="AR726" s="93">
        <f t="shared" si="1310"/>
        <v>0.23667003593397767</v>
      </c>
      <c r="AS726" s="93">
        <f t="shared" si="1311"/>
        <v>0.35138366719645042</v>
      </c>
      <c r="AT726" s="93">
        <f t="shared" si="1312"/>
        <v>0.41194629686957179</v>
      </c>
      <c r="AU726" s="93">
        <f t="shared" ca="1" si="1315"/>
        <v>7.6859361121453501E-2</v>
      </c>
      <c r="AV726" s="132">
        <f t="shared" ca="1" si="1323"/>
        <v>141.6664549737603</v>
      </c>
      <c r="AW726" s="134">
        <f t="shared" ca="1" si="1324"/>
        <v>7.6859361121453459E-2</v>
      </c>
      <c r="AX726" s="56">
        <f>+AJ726/$AL$26</f>
        <v>4.3446686302802226E-2</v>
      </c>
      <c r="AY726" s="135">
        <f t="shared" ca="1" si="1322"/>
        <v>3.3392845520775821E-3</v>
      </c>
      <c r="AZ726" s="93"/>
      <c r="BA726" s="93"/>
      <c r="BB726" s="234">
        <f>INDEX('Total Customers'!$D$7:$D$91,MATCH(Calculation!$C726,'Total Customers'!$C$7:$C$91,0))</f>
        <v>2252860</v>
      </c>
      <c r="BC726" s="411">
        <f t="shared" si="1305"/>
        <v>2.8413151031690099E-3</v>
      </c>
      <c r="BD726" s="91"/>
      <c r="BE726" s="281" t="str">
        <f t="shared" si="1297"/>
        <v>NORTHERN ILLINOIS GAS COMPANY</v>
      </c>
      <c r="BF726" s="290">
        <f t="shared" si="1298"/>
        <v>4057131</v>
      </c>
      <c r="BG726" s="46" t="str">
        <f t="shared" si="1299"/>
        <v>IL</v>
      </c>
      <c r="BH726" s="46"/>
      <c r="BI726" s="46" t="str">
        <f t="shared" si="1300"/>
        <v>2021 Y</v>
      </c>
      <c r="BJ726" s="129"/>
      <c r="BK726" s="129"/>
      <c r="BL726" s="129">
        <f>INDEX('Dist. Plant Gas Additions'!$D$7:$AD$91,MATCH($C726,'Dist. Plant Gas Additions'!$C$7:$C$91,0),MATCH(Calculation!$G726,'Dist. Plant Gas Additions'!$D$5:$AD$5,0))</f>
        <v>378489</v>
      </c>
      <c r="BM726" s="129">
        <f>INDEX('Gen. Plant Additions'!$D$7:$AD$91,MATCH($C726,'Gen. Plant Additions'!$C$7:$C$91,0),MATCH(Calculation!$G726,'Gen. Plant Additions'!$D$5:$AD$5,0))</f>
        <v>51980</v>
      </c>
      <c r="BN726" s="343">
        <v>0.91999811912993867</v>
      </c>
      <c r="BO726" s="46">
        <f t="shared" si="1278"/>
        <v>47821.502232374209</v>
      </c>
      <c r="BP726" s="46">
        <f t="shared" si="1279"/>
        <v>-4158.4977676257913</v>
      </c>
      <c r="BQ726" s="129"/>
      <c r="BR726" s="129"/>
      <c r="BS726" s="137"/>
      <c r="BT726" s="137"/>
      <c r="BU726" s="333"/>
      <c r="BV726" s="93"/>
      <c r="BW726" s="334"/>
      <c r="BX726" s="334"/>
      <c r="BY726" s="129"/>
      <c r="BZ726" s="129"/>
      <c r="CA726" s="129"/>
      <c r="CB726" s="129"/>
      <c r="CC726" s="133">
        <v>2021</v>
      </c>
      <c r="CD726" s="129"/>
      <c r="CE726" s="129"/>
      <c r="CF726" s="129"/>
      <c r="CG726" s="137"/>
      <c r="CH726" s="129">
        <f t="shared" si="1285"/>
        <v>430469</v>
      </c>
      <c r="CI726" s="46">
        <f t="shared" si="1294"/>
        <v>426310.50223237422</v>
      </c>
      <c r="CJ726" s="46">
        <f t="shared" si="1286"/>
        <v>456.91342126294751</v>
      </c>
      <c r="CK726" s="443">
        <v>0.70886075949367089</v>
      </c>
      <c r="CL726" s="129">
        <f>CL703*CK726+CJ704*CK725+CJ705*CK724+CJ706*CK723+CJ707*CK722+CJ708*CK721+CJ709*CK720+CJ710*CK719+CJ711*CK718+CJ712*CK717+CJ713*CK716+CJ714*CK715+CJ715*CK714+CJ716*CK713+CJ717*CK712+CJ708*CK711+CJ719*CK710+CJ720*CK709+CJ721*CK708+CJ722*CK707+CJ723*CK706+CJ724*CK705+CJ726+CJ725*CK704</f>
        <v>11414.630983295116</v>
      </c>
      <c r="CM726" s="134"/>
      <c r="CN726" s="135">
        <f t="shared" si="1288"/>
        <v>4.2431519411921135E-3</v>
      </c>
      <c r="CO726" s="135">
        <f t="shared" si="1301"/>
        <v>1.2502308353340569E-2</v>
      </c>
      <c r="CP726" s="134">
        <f>VLOOKUP($H726,RoR!$E:$F,2,FALSE)</f>
        <v>2.7033333333333336E-2</v>
      </c>
      <c r="CQ726" s="135"/>
      <c r="CR726" s="135"/>
      <c r="CS726" s="135">
        <f t="shared" si="1302"/>
        <v>1.8399633255193056E-2</v>
      </c>
      <c r="CT726" s="135">
        <f t="shared" si="1303"/>
        <v>7.433422950153494E-2</v>
      </c>
      <c r="CU726" s="139">
        <f t="shared" si="1289"/>
        <v>0.90351694999999999</v>
      </c>
      <c r="CV726" s="335">
        <f t="shared" si="1290"/>
        <v>1.8969932656739068</v>
      </c>
      <c r="CW726" s="335">
        <f t="shared" si="1291"/>
        <v>5.0215782983970621E-2</v>
      </c>
      <c r="CX726" s="335">
        <f t="shared" si="1292"/>
        <v>0.655952481704143</v>
      </c>
      <c r="CY726" s="335">
        <f t="shared" si="1293"/>
        <v>6.2485378865697057E-2</v>
      </c>
      <c r="CZ726" s="336">
        <f>CZ725</f>
        <v>0.26076499999999997</v>
      </c>
      <c r="DA726" s="303">
        <v>0.37</v>
      </c>
      <c r="DB726" s="141">
        <f t="shared" si="1296"/>
        <v>20.891541694101832</v>
      </c>
      <c r="DC726" s="135">
        <f t="shared" si="1304"/>
        <v>0.38264222152747834</v>
      </c>
      <c r="DD726" s="336">
        <f>VLOOKUP($H726,RoR!$E:$F,2,FALSE)</f>
        <v>2.7033333333333336E-2</v>
      </c>
      <c r="DE726" s="342">
        <f>HLOOKUP($H726,'GDP-PI'!$D$8:$CR$11,3,FALSE)</f>
        <v>4.2834637353352578E-2</v>
      </c>
      <c r="DF726" s="336">
        <f>VLOOKUP(H726,'HW Dx Data'!$E:$F,2,FALSE)</f>
        <v>933.02249921662576</v>
      </c>
      <c r="DG726" s="89">
        <f ca="1">VLOOKUP(CC726,'ECI - Input Price'!M$13:N$33,2,FALSE)</f>
        <v>157.25</v>
      </c>
      <c r="DH726" s="89"/>
      <c r="DI726" s="89"/>
      <c r="DJ726" s="135">
        <f t="shared" ca="1" si="1313"/>
        <v>2.6419062301765574E-2</v>
      </c>
      <c r="DK726" s="137">
        <f>HLOOKUP(H726,'GDP-PI'!$8:$9,2,FALSE)</f>
        <v>118.49</v>
      </c>
      <c r="DL726" s="356">
        <f t="shared" si="1306"/>
        <v>4.194261824609434E-2</v>
      </c>
      <c r="EC726"/>
    </row>
    <row r="727" spans="1:133" s="126" customFormat="1" ht="21" customHeight="1" thickBot="1" x14ac:dyDescent="0.45">
      <c r="A727" s="235"/>
      <c r="B727" s="236"/>
      <c r="C727" s="236"/>
      <c r="D727" s="236"/>
      <c r="E727" s="236"/>
      <c r="F727" s="236"/>
      <c r="G727" s="237" t="s">
        <v>178</v>
      </c>
      <c r="H727" s="238"/>
      <c r="I727" s="239"/>
      <c r="J727" s="240">
        <v>163380.74873429697</v>
      </c>
      <c r="K727" s="240">
        <f t="shared" ca="1" si="1307"/>
        <v>1005.1107273718668</v>
      </c>
      <c r="L727" s="47"/>
      <c r="M727" s="241">
        <f t="shared" ref="M727" ca="1" si="1326">LN(K727/K726)</f>
        <v>0.17952012208047594</v>
      </c>
      <c r="N727" s="241"/>
      <c r="O727" s="241"/>
      <c r="P727" s="242">
        <f t="shared" ca="1" si="1316"/>
        <v>7.6013431447137566E-3</v>
      </c>
      <c r="Q727" s="61"/>
      <c r="R727" s="387"/>
      <c r="S727" s="206">
        <f ca="1">+S726*EXP(T727)</f>
        <v>119.71111340418007</v>
      </c>
      <c r="T727" s="243">
        <f ca="1">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</f>
        <v>-1.2238097623010353E-2</v>
      </c>
      <c r="U727" s="243"/>
      <c r="V727" s="239">
        <v>196100</v>
      </c>
      <c r="W727" s="240">
        <f t="shared" si="1308"/>
        <v>1541.0609037328095</v>
      </c>
      <c r="X727" s="244">
        <f t="shared" ref="X727" si="1327">LN(W727/W726)</f>
        <v>-7.1326616661314748E-2</v>
      </c>
      <c r="Y727" s="244">
        <f t="shared" si="1318"/>
        <v>-3.0201521830018662E-3</v>
      </c>
      <c r="Z727" s="206"/>
      <c r="AA727" s="243"/>
      <c r="AB727" s="243"/>
      <c r="AC727" s="240">
        <f t="shared" si="1283"/>
        <v>200822.4615257713</v>
      </c>
      <c r="AD727" s="243"/>
      <c r="AE727" s="245">
        <v>12773.15606495582</v>
      </c>
      <c r="AF727" s="243">
        <v>1.1199809566080007E-2</v>
      </c>
      <c r="AG727" s="242">
        <f t="shared" si="1309"/>
        <v>4.7422870862943051E-4</v>
      </c>
      <c r="AH727" s="206"/>
      <c r="AI727" s="243"/>
      <c r="AJ727" s="239">
        <f t="shared" si="1238"/>
        <v>560303.2102600683</v>
      </c>
      <c r="AK727" s="243">
        <f t="shared" si="1319"/>
        <v>3.9752372856750161E-3</v>
      </c>
      <c r="AL727" s="239"/>
      <c r="AM727" s="243"/>
      <c r="AN727" s="243"/>
      <c r="AO727" s="243"/>
      <c r="AP727" s="245">
        <f t="shared" si="1320"/>
        <v>248.02943678652915</v>
      </c>
      <c r="AQ727" s="243"/>
      <c r="AR727" s="207">
        <f t="shared" si="1310"/>
        <v>0.29159345465549402</v>
      </c>
      <c r="AS727" s="207">
        <f t="shared" si="1311"/>
        <v>0.34998907093353782</v>
      </c>
      <c r="AT727" s="207">
        <f t="shared" si="1312"/>
        <v>0.35841747441096811</v>
      </c>
      <c r="AU727" s="207"/>
      <c r="AV727" s="206"/>
      <c r="AW727" s="243"/>
      <c r="AX727" s="248">
        <f>+AJ727/$AL$27</f>
        <v>4.2342568936679974E-2</v>
      </c>
      <c r="AY727" s="249"/>
      <c r="AZ727" s="206"/>
      <c r="BA727" s="243"/>
      <c r="BB727" s="250">
        <v>2259019</v>
      </c>
      <c r="BC727" s="412">
        <f t="shared" si="1305"/>
        <v>2.7301281020876192E-3</v>
      </c>
      <c r="BD727" s="91"/>
      <c r="BE727" s="401">
        <f t="shared" si="1297"/>
        <v>0</v>
      </c>
      <c r="BF727" s="402">
        <f t="shared" si="1298"/>
        <v>0</v>
      </c>
      <c r="BG727" s="313">
        <f t="shared" si="1299"/>
        <v>0</v>
      </c>
      <c r="BH727" s="313"/>
      <c r="BI727" s="313" t="str">
        <f t="shared" si="1300"/>
        <v>2022Y</v>
      </c>
      <c r="BJ727" s="239"/>
      <c r="BK727" s="239"/>
      <c r="BL727" s="239"/>
      <c r="BM727" s="239"/>
      <c r="BN727" s="337">
        <v>0.91999811912993867</v>
      </c>
      <c r="BO727" s="313">
        <f t="shared" si="1278"/>
        <v>0</v>
      </c>
      <c r="BP727" s="313">
        <f t="shared" si="1279"/>
        <v>0</v>
      </c>
      <c r="BQ727" s="239"/>
      <c r="BR727" s="239"/>
      <c r="BS727" s="310"/>
      <c r="BT727" s="310"/>
      <c r="BU727" s="311"/>
      <c r="BV727" s="207"/>
      <c r="BW727" s="312"/>
      <c r="BX727" s="312"/>
      <c r="BY727" s="239"/>
      <c r="BZ727" s="239"/>
      <c r="CA727" s="239"/>
      <c r="CB727" s="239"/>
      <c r="CC727" s="245">
        <v>2022</v>
      </c>
      <c r="CD727" s="239"/>
      <c r="CE727" s="239"/>
      <c r="CF727" s="239"/>
      <c r="CG727" s="310"/>
      <c r="CH727" s="239">
        <v>510580</v>
      </c>
      <c r="CI727" s="313">
        <f t="shared" si="1294"/>
        <v>510580</v>
      </c>
      <c r="CJ727" s="313">
        <f t="shared" si="1286"/>
        <v>495.31921498627298</v>
      </c>
      <c r="CK727" s="443">
        <v>0.69230769230769229</v>
      </c>
      <c r="CL727" s="239">
        <f>+CL703*CK727+CJ704*CK726+CJ705*CK725+CJ706*CK724+CJ707*CK723+CJ708*CK722+CJ709*CK721+CJ710*CK720+CJ711*CK719+CJ712*CK718+CJ713*CK717+CJ714*CK716+CJ715*CK715+CJ716*CK714+CJ717*CK713+CJ718*CK712+CJ719*CK711+CJ720*CK710+CJ721*CK709+CJ722*CK708+CJ723*CK707+CJ724*CK706+CJ725*CK705+CJ726*CK704+CJ727*CK703</f>
        <v>11572.764263202171</v>
      </c>
      <c r="CM727" s="243">
        <f t="shared" ref="CM727" si="1328">LN(CL727/CL726)</f>
        <v>1.3758477000039054E-2</v>
      </c>
      <c r="CN727" s="249">
        <f t="shared" si="1288"/>
        <v>2.9539801643406329E-2</v>
      </c>
      <c r="CO727" s="249">
        <f t="shared" si="1301"/>
        <v>1.6839555629235826E-2</v>
      </c>
      <c r="CP727" s="243"/>
      <c r="CQ727" s="249"/>
      <c r="CR727" s="249"/>
      <c r="CS727" s="248">
        <f t="shared" si="1302"/>
        <v>1.4062385979297799E-2</v>
      </c>
      <c r="CT727" s="249">
        <f t="shared" si="1303"/>
        <v>0.10114668178709289</v>
      </c>
      <c r="CU727" s="314">
        <f t="shared" si="1289"/>
        <v>0.90351694999999999</v>
      </c>
      <c r="CV727" s="315"/>
      <c r="CW727" s="315"/>
      <c r="CX727" s="315"/>
      <c r="CY727" s="315"/>
      <c r="CZ727" s="316">
        <f>CZ726</f>
        <v>0.26076499999999997</v>
      </c>
      <c r="DA727" s="360">
        <v>0.37</v>
      </c>
      <c r="DB727" s="318">
        <f t="shared" si="1296"/>
        <v>17.593425649910841</v>
      </c>
      <c r="DC727" s="249"/>
      <c r="DD727" s="316">
        <v>0.04</v>
      </c>
      <c r="DE727" s="319">
        <v>7.0000000000000001E-3</v>
      </c>
      <c r="DF727" s="316">
        <v>1030.81</v>
      </c>
      <c r="DG727" s="89">
        <f ca="1">VLOOKUP(CC727,'ECI - Input Price'!M$13:N$33,2,FALSE)</f>
        <v>162.55000000000001</v>
      </c>
      <c r="DH727" s="89"/>
      <c r="DI727" s="89"/>
      <c r="DJ727" s="249">
        <f t="shared" ca="1" si="1313"/>
        <v>3.3148751169364422E-2</v>
      </c>
      <c r="DK727" s="310">
        <v>127.25</v>
      </c>
      <c r="DL727" s="357">
        <f t="shared" si="1306"/>
        <v>7.1325086601983473E-2</v>
      </c>
      <c r="EC727"/>
    </row>
    <row r="728" spans="1:133" s="126" customFormat="1" ht="21" customHeight="1" x14ac:dyDescent="0.4">
      <c r="A728" s="251" t="s">
        <v>224</v>
      </c>
      <c r="B728" s="252" t="s">
        <v>224</v>
      </c>
      <c r="C728" s="252">
        <v>4012860</v>
      </c>
      <c r="D728" s="252" t="s">
        <v>225</v>
      </c>
      <c r="E728" s="252"/>
      <c r="F728" s="252"/>
      <c r="G728" s="252" t="s">
        <v>150</v>
      </c>
      <c r="H728" s="253">
        <v>1998</v>
      </c>
      <c r="I728" s="254"/>
      <c r="J728" s="255"/>
      <c r="K728" s="255"/>
      <c r="L728" s="47"/>
      <c r="M728" s="255"/>
      <c r="N728" s="255"/>
      <c r="O728" s="255"/>
      <c r="P728" s="219"/>
      <c r="Q728" s="61"/>
      <c r="R728" s="387"/>
      <c r="S728" s="257"/>
      <c r="T728" s="258"/>
      <c r="U728" s="258"/>
      <c r="V728" s="259"/>
      <c r="W728" s="259"/>
      <c r="X728" s="259"/>
      <c r="Y728" s="255"/>
      <c r="Z728" s="259"/>
      <c r="AA728" s="259"/>
      <c r="AB728" s="259"/>
      <c r="AC728" s="255"/>
      <c r="AD728" s="254"/>
      <c r="AE728" s="260">
        <v>1798.8499391037922</v>
      </c>
      <c r="AF728" s="256"/>
      <c r="AG728" s="225"/>
      <c r="AH728" s="256"/>
      <c r="AI728" s="256"/>
      <c r="AJ728" s="254">
        <f t="shared" si="1238"/>
        <v>0</v>
      </c>
      <c r="AK728" s="254"/>
      <c r="AL728" s="254"/>
      <c r="AM728" s="256"/>
      <c r="AN728" s="256"/>
      <c r="AO728" s="256"/>
      <c r="AP728" s="226">
        <f>+(AP725+AP726+AP727)/3</f>
        <v>229.16785288904279</v>
      </c>
      <c r="AQ728" s="256"/>
      <c r="AR728" s="261"/>
      <c r="AS728" s="261"/>
      <c r="AT728" s="261"/>
      <c r="AU728" s="261"/>
      <c r="AV728" s="261"/>
      <c r="AW728" s="256">
        <f ca="1">AVERAGE(AW737:AW751)</f>
        <v>3.9911294750565405E-3</v>
      </c>
      <c r="AX728" s="261"/>
      <c r="AY728" s="261"/>
      <c r="AZ728" s="261"/>
      <c r="BA728" s="261"/>
      <c r="BB728" s="262">
        <f>IFERROR(INDEX('Total Customers'!$E$7:$AA$91,MATCH($C728,'Total Customers'!$C$7:$C$91,0),MATCH($G728,'Total Customers'!$E$5:$AA$5,0)),"NA")</f>
        <v>659531</v>
      </c>
      <c r="BC728" s="413"/>
      <c r="BD728" s="92"/>
      <c r="BE728" s="407" t="str">
        <f t="shared" si="1297"/>
        <v>NORTHERN INDIANA PUBLIC SERVICE COMPANY</v>
      </c>
      <c r="BF728" s="408">
        <f t="shared" si="1298"/>
        <v>4012860</v>
      </c>
      <c r="BG728" s="218" t="str">
        <f t="shared" si="1299"/>
        <v>IN</v>
      </c>
      <c r="BH728" s="218"/>
      <c r="BI728" s="218" t="str">
        <f t="shared" si="1300"/>
        <v>1998 Y</v>
      </c>
      <c r="BJ728" s="254">
        <f>INDEX('Gross Dx Plant'!$D$7:$AC$91,MATCH($C728,'Gross Dx Plant'!$C$7:$C$91,0),MATCH(Calculation!$G728,'Gross Dx Plant'!$D$5:$AC$5,0))</f>
        <v>844327</v>
      </c>
      <c r="BK728" s="254">
        <f>INDEX('Gross Gen Plant'!$D$7:$AC$91,MATCH($C728,'Gross Gen Plant'!$C$7:$C$91,0),MATCH(Calculation!$G728,'Gross Gen Plant'!$D$5:$AC$5,0))</f>
        <v>85950</v>
      </c>
      <c r="BL728" s="254">
        <f>INDEX('Dist. Plant Gas Additions'!$E$7:$AD$91,MATCH($C728,'Dist. Plant Gas Additions'!$C$7:$C$91,0),MATCH(Calculation!$G728,'Dist. Plant Gas Additions'!$E$5:$AD$5,0))</f>
        <v>36444</v>
      </c>
      <c r="BM728" s="254">
        <f>INDEX('Gen. Plant Additions'!$E$7:$AD$91,MATCH($C728,'Gen. Plant Additions'!$C$7:$C$91,0),MATCH(Calculation!$G728,'Gen. Plant Additions'!$E$5:$AD$5,0))</f>
        <v>4375</v>
      </c>
      <c r="BN728" s="409">
        <f>+(BY728/(BY728+BZ728))</f>
        <v>0.90760816401996391</v>
      </c>
      <c r="BO728" s="218">
        <f t="shared" si="1278"/>
        <v>3970.7857175873423</v>
      </c>
      <c r="BP728" s="218">
        <f t="shared" si="1279"/>
        <v>-404.21428241265767</v>
      </c>
      <c r="BQ728" s="254">
        <f>INDEX('Dist Plant Depreciation'!$D$7:$AC$94,MATCH($C728,'Dist Plant Depreciation'!$C$7:$C$94,0),MATCH(Calculation!$G728,'Dist Plant Depreciation'!$D$5:$AC$5,0))</f>
        <v>532951</v>
      </c>
      <c r="BR728" s="254">
        <f>INDEX('Gen. Plant Depreciation'!$D$7:$AC$94,MATCH($C728,'Gen. Plant Depreciation'!$C$7:$C$94,0),MATCH(Calculation!$G728,'Gen. Plant Depreciation'!$D$5:$AC$5,0))</f>
        <v>34463</v>
      </c>
      <c r="BS728" s="254"/>
      <c r="BT728" s="254"/>
      <c r="BU728" s="254"/>
      <c r="BV728" s="254"/>
      <c r="BW728" s="254"/>
      <c r="BX728" s="254"/>
      <c r="BY728" s="254">
        <f>INDEX('Gross Dx Plant'!$D$7:$AC$91,MATCH($C728,'Gross Dx Plant'!$C$7:$C$91,0),MATCH(Calculation!$G728,'Gross Dx Plant'!$D$5:$AC$5,0))</f>
        <v>844327</v>
      </c>
      <c r="BZ728" s="254">
        <f>INDEX('Gross Gen Plant'!$D$7:$AC$91,MATCH($C728,'Gross Gen Plant'!$C$7:$C$91,0),MATCH(Calculation!$G728,'Gross Gen Plant'!$D$5:$AC$5,0))</f>
        <v>85950</v>
      </c>
      <c r="CA728" s="254">
        <f t="shared" si="1325"/>
        <v>362863</v>
      </c>
      <c r="CB728" s="254"/>
      <c r="CC728" s="260">
        <v>1998</v>
      </c>
      <c r="CD728" s="254">
        <f>BJ728+BK728</f>
        <v>930277</v>
      </c>
      <c r="CE728" s="254">
        <f>532951+34463</f>
        <v>567414</v>
      </c>
      <c r="CF728" s="254">
        <f>+CD728-CE728</f>
        <v>362863</v>
      </c>
      <c r="CG728" s="254">
        <f>CF728/$BX$3</f>
        <v>1798.8499391037922</v>
      </c>
      <c r="CH728" s="323"/>
      <c r="CI728" s="344"/>
      <c r="CJ728" s="344"/>
      <c r="CK728" s="443">
        <v>1</v>
      </c>
      <c r="CL728" s="254">
        <f>+CG728</f>
        <v>1798.8499391037922</v>
      </c>
      <c r="CM728" s="256"/>
      <c r="CN728" s="325"/>
      <c r="CO728" s="325"/>
      <c r="CP728" s="256" t="e">
        <f>VLOOKUP($H728,RoR!$E:$F,2,FALSE)</f>
        <v>#N/A</v>
      </c>
      <c r="CQ728" s="325">
        <v>1.1028127770464469E-2</v>
      </c>
      <c r="CR728" s="325"/>
      <c r="CS728" s="325"/>
      <c r="CT728" s="325"/>
      <c r="CU728" s="327"/>
      <c r="CV728" s="331" t="e">
        <f>2/(DD728*39)</f>
        <v>#N/A</v>
      </c>
      <c r="CW728" s="328" t="e">
        <f>+(DD728*40-(1+DD728))/(DD728*40)</f>
        <v>#N/A</v>
      </c>
      <c r="CX728" s="328" t="e">
        <f>+(1-(1/(1+DD728)^40))</f>
        <v>#N/A</v>
      </c>
      <c r="CY728" s="328" t="e">
        <f>+CX728*CW728*CV728</f>
        <v>#N/A</v>
      </c>
      <c r="CZ728" s="329">
        <f>INDEX('State Tax Lookup'!$D$7:$Z$91,MATCH(Calculation!$C728,'State Tax Lookup'!$B$7:$B$91,0),MATCH($H728,'State Tax Lookup'!$D$6:$Z$6,0))</f>
        <v>0.39989833000000002</v>
      </c>
      <c r="DA728" s="351">
        <v>0.37</v>
      </c>
      <c r="DB728" s="344"/>
      <c r="DC728" s="326"/>
      <c r="DD728" s="351" t="e">
        <f>VLOOKUP($H728,RoR!$E:$F,2,FALSE)</f>
        <v>#N/A</v>
      </c>
      <c r="DE728" s="354">
        <f>HLOOKUP($H728,'GDP-PI'!$D$8:$CQ$11,3,FALSE)</f>
        <v>1.1028127770464469E-2</v>
      </c>
      <c r="DF728" s="351">
        <f>VLOOKUP(H728,'HW Dx Data'!$E:$F,2,FALSE)</f>
        <v>329.24564746449528</v>
      </c>
      <c r="DG728" s="351"/>
      <c r="DH728" s="351"/>
      <c r="DI728" s="351"/>
      <c r="DJ728" s="326"/>
      <c r="DK728" s="344">
        <f>HLOOKUP(H728,'GDP-PI'!$8:$9,2,FALSE)</f>
        <v>75.266999999999996</v>
      </c>
      <c r="DL728" s="292"/>
      <c r="EC728"/>
    </row>
    <row r="729" spans="1:133" s="126" customFormat="1" ht="21" customHeight="1" x14ac:dyDescent="0.4">
      <c r="A729" s="233" t="s">
        <v>224</v>
      </c>
      <c r="B729" s="127" t="s">
        <v>224</v>
      </c>
      <c r="C729" s="127">
        <v>4012860</v>
      </c>
      <c r="D729" s="127" t="s">
        <v>225</v>
      </c>
      <c r="E729" s="127"/>
      <c r="F729" s="127"/>
      <c r="G729" s="127" t="s">
        <v>155</v>
      </c>
      <c r="H729" s="128">
        <v>1999</v>
      </c>
      <c r="I729" s="129"/>
      <c r="J729" s="125"/>
      <c r="K729" s="129"/>
      <c r="L729" s="47"/>
      <c r="M729" s="129"/>
      <c r="N729" s="129"/>
      <c r="O729" s="129"/>
      <c r="P729" s="47"/>
      <c r="Q729" s="47"/>
      <c r="R729" s="386"/>
      <c r="S729" s="119"/>
      <c r="T729" s="47"/>
      <c r="U729" s="46"/>
      <c r="V729" s="135"/>
      <c r="W729" s="135"/>
      <c r="X729" s="135"/>
      <c r="Y729" s="143"/>
      <c r="Z729" s="135"/>
      <c r="AA729" s="135"/>
      <c r="AB729" s="135"/>
      <c r="AC729" s="125">
        <f t="shared" ref="AC729:AC752" si="1329">+CL728*DB729</f>
        <v>0</v>
      </c>
      <c r="AD729" s="129"/>
      <c r="AE729" s="133">
        <v>1888.5867884948532</v>
      </c>
      <c r="AF729" s="134">
        <v>4.8681280442325586E-2</v>
      </c>
      <c r="AG729" s="61"/>
      <c r="AH729" s="134"/>
      <c r="AI729" s="134"/>
      <c r="AJ729" s="129">
        <f t="shared" si="1238"/>
        <v>0</v>
      </c>
      <c r="AK729" s="134"/>
      <c r="AL729" s="129"/>
      <c r="AM729" s="134"/>
      <c r="AN729" s="134"/>
      <c r="AO729" s="134"/>
      <c r="AP729" s="133"/>
      <c r="AQ729" s="134"/>
      <c r="AR729" s="93"/>
      <c r="AS729" s="93"/>
      <c r="AT729" s="93"/>
      <c r="AU729" s="93"/>
      <c r="AV729" s="93"/>
      <c r="AW729" s="134"/>
      <c r="AX729" s="93"/>
      <c r="AY729" s="93"/>
      <c r="AZ729" s="93"/>
      <c r="BA729" s="93"/>
      <c r="BB729" s="234">
        <f>IFERROR(INDEX('Total Customers'!$E$7:$AA$91,MATCH($C729,'Total Customers'!$C$7:$C$91,0),MATCH($G729,'Total Customers'!$E$5:$AA$5,0)),"NA")</f>
        <v>691549</v>
      </c>
      <c r="BC729" s="411">
        <f t="shared" si="1305"/>
        <v>4.7405032682925424E-2</v>
      </c>
      <c r="BD729" s="92"/>
      <c r="BE729" s="281" t="str">
        <f t="shared" si="1297"/>
        <v>NORTHERN INDIANA PUBLIC SERVICE COMPANY</v>
      </c>
      <c r="BF729" s="290">
        <f t="shared" si="1298"/>
        <v>4012860</v>
      </c>
      <c r="BG729" s="46" t="str">
        <f t="shared" si="1299"/>
        <v>IN</v>
      </c>
      <c r="BH729" s="46"/>
      <c r="BI729" s="46" t="str">
        <f t="shared" si="1300"/>
        <v>1999 Y</v>
      </c>
      <c r="BJ729" s="129"/>
      <c r="BK729" s="129"/>
      <c r="BL729" s="129">
        <f>INDEX('Dist. Plant Gas Additions'!$E$7:$AD$91,MATCH($C729,'Dist. Plant Gas Additions'!$C$7:$C$91,0),MATCH(Calculation!$G729,'Dist. Plant Gas Additions'!$E$5:$AD$5,0))</f>
        <v>31879</v>
      </c>
      <c r="BM729" s="129">
        <f>INDEX('Gen. Plant Additions'!$E$7:$AD$91,MATCH($C729,'Gen. Plant Additions'!$C$7:$C$91,0),MATCH(Calculation!$G729,'Gen. Plant Additions'!$E$5:$AD$5,0))</f>
        <v>1213</v>
      </c>
      <c r="BN729" s="393">
        <f t="shared" ref="BN729:BN750" si="1330">+(BY729/(BY729+BZ729))</f>
        <v>0.91098089438331464</v>
      </c>
      <c r="BO729" s="46">
        <f t="shared" si="1278"/>
        <v>1105.0198248869606</v>
      </c>
      <c r="BP729" s="46">
        <f t="shared" si="1279"/>
        <v>-107.98017511303942</v>
      </c>
      <c r="BQ729" s="129">
        <f>INDEX('Dist Plant Depreciation'!$D$7:$AC$94,MATCH($C729,'Dist Plant Depreciation'!$C$7:$C$94,0),MATCH(Calculation!$G729,'Dist Plant Depreciation'!$D$5:$AC$5,0))</f>
        <v>576582</v>
      </c>
      <c r="BR729" s="129">
        <f>INDEX('Gen. Plant Depreciation'!$D$7:$AC$94,MATCH($C729,'Gen. Plant Depreciation'!$C$7:$C$94,0),MATCH(Calculation!$G729,'Gen. Plant Depreciation'!$D$5:$AC$5,0))</f>
        <v>37753</v>
      </c>
      <c r="BS729" s="129"/>
      <c r="BT729" s="129"/>
      <c r="BU729" s="129"/>
      <c r="BV729" s="129"/>
      <c r="BW729" s="129"/>
      <c r="BX729" s="129"/>
      <c r="BY729" s="129">
        <f>INDEX('Gross Dx Plant'!$D$7:$AC$91,MATCH($C729,'Gross Dx Plant'!$C$7:$C$91,0),MATCH(Calculation!$G729,'Gross Dx Plant'!$D$5:$AC$5,0))</f>
        <v>871376</v>
      </c>
      <c r="BZ729" s="129">
        <f>INDEX('Gross Gen Plant'!$D$7:$AC$91,MATCH($C729,'Gross Gen Plant'!$C$7:$C$91,0),MATCH(Calculation!$G729,'Gross Gen Plant'!$D$5:$AC$5,0))</f>
        <v>85149</v>
      </c>
      <c r="CA729" s="129">
        <f t="shared" si="1325"/>
        <v>342190</v>
      </c>
      <c r="CB729" s="129"/>
      <c r="CC729" s="133">
        <v>1999</v>
      </c>
      <c r="CD729" s="129"/>
      <c r="CE729" s="129"/>
      <c r="CF729" s="129"/>
      <c r="CG729" s="137"/>
      <c r="CH729" s="129">
        <f t="shared" ref="CH729:CH751" si="1331">+BM729+BL729</f>
        <v>33092</v>
      </c>
      <c r="CI729" s="46">
        <f>+CH729+BP729</f>
        <v>32984.019824886964</v>
      </c>
      <c r="CJ729" s="46">
        <f t="shared" ref="CJ729:CJ752" si="1332">+CI729/$DF729</f>
        <v>98.364335090572794</v>
      </c>
      <c r="CK729" s="443">
        <v>0.99009900990099009</v>
      </c>
      <c r="CL729" s="46">
        <f>+CL728*CK729+CJ729</f>
        <v>1879.4038787576937</v>
      </c>
      <c r="CM729" s="134">
        <f t="shared" ref="CM729:CM750" si="1333">LN(CL729/CL728)</f>
        <v>4.3807102808452417E-2</v>
      </c>
      <c r="CN729" s="135">
        <f t="shared" ref="CN729:CN752" si="1334">+(CL728-CL729+CJ729)/CL728</f>
        <v>9.9009900990099046E-3</v>
      </c>
      <c r="CO729" s="135"/>
      <c r="CP729" s="134">
        <f>VLOOKUP($H729,RoR!$E:$F,2,FALSE)</f>
        <v>7.0416666666666669E-2</v>
      </c>
      <c r="CQ729" s="135">
        <v>1.4335631817396832E-2</v>
      </c>
      <c r="CR729" s="135">
        <f>+CP729-CQ729</f>
        <v>5.6081034849269837E-2</v>
      </c>
      <c r="CS729" s="135"/>
      <c r="CT729" s="135"/>
      <c r="CU729" s="139">
        <f t="shared" ref="CU729:CU753" si="1335">1-CZ729*DA729</f>
        <v>0.85203761789999999</v>
      </c>
      <c r="CV729" s="335">
        <f t="shared" ref="CV729:CV751" si="1336">2/(DD729*39)</f>
        <v>0.72826581702321336</v>
      </c>
      <c r="CW729" s="335">
        <f t="shared" ref="CW729:CW751" si="1337">+(DD729*40-(1+DD729))/(DD729*40)</f>
        <v>0.61997041420118348</v>
      </c>
      <c r="CX729" s="335">
        <f t="shared" ref="CX729:CX751" si="1338">+(1-(1/(1+DD729)^40))</f>
        <v>0.93425155319585029</v>
      </c>
      <c r="CY729" s="335">
        <f t="shared" ref="CY729:CY751" si="1339">+CX729*CW729*CV729</f>
        <v>0.42181762214141483</v>
      </c>
      <c r="CZ729" s="336">
        <f>INDEX('State Tax Lookup'!$D$7:$Z$91,MATCH(Calculation!$C729,'State Tax Lookup'!$B$7:$B$91,0),MATCH($H729,'State Tax Lookup'!$D$6:$Z$6,0))</f>
        <v>0.39989833000000002</v>
      </c>
      <c r="DA729" s="303">
        <v>0.37</v>
      </c>
      <c r="DB729" s="57"/>
      <c r="DC729" s="56"/>
      <c r="DD729" s="303">
        <f>VLOOKUP($H729,RoR!$E:$F,2,FALSE)</f>
        <v>7.0416666666666669E-2</v>
      </c>
      <c r="DE729" s="304">
        <f>HLOOKUP($H729,'GDP-PI'!$D$8:$CQ$11,3,FALSE)</f>
        <v>1.4335631817396832E-2</v>
      </c>
      <c r="DF729" s="303">
        <f>VLOOKUP(H729,'HW Dx Data'!$E:$F,2,FALSE)</f>
        <v>335.32499146683239</v>
      </c>
      <c r="DG729" s="89"/>
      <c r="DH729" s="89"/>
      <c r="DI729" s="89"/>
      <c r="DJ729" s="56"/>
      <c r="DK729" s="53">
        <f>HLOOKUP(H729,'GDP-PI'!$8:$9,2,FALSE)</f>
        <v>76.346000000000004</v>
      </c>
      <c r="DL729" s="298"/>
      <c r="EC729"/>
    </row>
    <row r="730" spans="1:133" s="126" customFormat="1" ht="21" customHeight="1" x14ac:dyDescent="0.4">
      <c r="A730" s="233" t="s">
        <v>224</v>
      </c>
      <c r="B730" s="127" t="s">
        <v>224</v>
      </c>
      <c r="C730" s="127">
        <v>4012860</v>
      </c>
      <c r="D730" s="127" t="s">
        <v>225</v>
      </c>
      <c r="E730" s="127"/>
      <c r="F730" s="127"/>
      <c r="G730" s="127" t="s">
        <v>156</v>
      </c>
      <c r="H730" s="128">
        <v>2000</v>
      </c>
      <c r="I730" s="129"/>
      <c r="J730" s="125"/>
      <c r="K730" s="125"/>
      <c r="L730" s="47"/>
      <c r="M730" s="125"/>
      <c r="N730" s="125"/>
      <c r="O730" s="125"/>
      <c r="P730" s="47"/>
      <c r="Q730" s="47"/>
      <c r="R730" s="386"/>
      <c r="S730" s="119"/>
      <c r="T730" s="47"/>
      <c r="U730" s="47"/>
      <c r="V730" s="125"/>
      <c r="W730" s="125"/>
      <c r="X730" s="125"/>
      <c r="Y730" s="125"/>
      <c r="Z730" s="125"/>
      <c r="AA730" s="125"/>
      <c r="AB730" s="125"/>
      <c r="AC730" s="125">
        <f t="shared" si="1329"/>
        <v>0</v>
      </c>
      <c r="AD730" s="129"/>
      <c r="AE730" s="133">
        <v>2057.6427093592197</v>
      </c>
      <c r="AF730" s="134">
        <v>8.5732193300941464E-2</v>
      </c>
      <c r="AG730" s="61"/>
      <c r="AH730" s="134"/>
      <c r="AI730" s="134"/>
      <c r="AJ730" s="129">
        <f t="shared" si="1238"/>
        <v>0</v>
      </c>
      <c r="AK730" s="134"/>
      <c r="AL730" s="129"/>
      <c r="AM730" s="129"/>
      <c r="AN730" s="129"/>
      <c r="AO730" s="129"/>
      <c r="AP730" s="133"/>
      <c r="AQ730" s="134"/>
      <c r="AR730" s="93"/>
      <c r="AS730" s="93"/>
      <c r="AT730" s="93"/>
      <c r="AU730" s="93"/>
      <c r="AV730" s="93"/>
      <c r="AW730" s="134"/>
      <c r="AX730" s="93"/>
      <c r="AY730" s="93"/>
      <c r="AZ730" s="93"/>
      <c r="BA730" s="93"/>
      <c r="BB730" s="234">
        <f>IFERROR(INDEX('Total Customers'!$E$7:$AA$91,MATCH($C730,'Total Customers'!$C$7:$C$91,0),MATCH($G730,'Total Customers'!$E$5:$AA$5,0)),"NA")</f>
        <v>698076</v>
      </c>
      <c r="BC730" s="411">
        <f t="shared" si="1305"/>
        <v>9.3939703139602152E-3</v>
      </c>
      <c r="BD730" s="92"/>
      <c r="BE730" s="281" t="str">
        <f t="shared" si="1297"/>
        <v>NORTHERN INDIANA PUBLIC SERVICE COMPANY</v>
      </c>
      <c r="BF730" s="290">
        <f t="shared" si="1298"/>
        <v>4012860</v>
      </c>
      <c r="BG730" s="46" t="str">
        <f t="shared" si="1299"/>
        <v>IN</v>
      </c>
      <c r="BH730" s="46"/>
      <c r="BI730" s="46" t="str">
        <f t="shared" si="1300"/>
        <v>2000 Y</v>
      </c>
      <c r="BJ730" s="129"/>
      <c r="BK730" s="129"/>
      <c r="BL730" s="129">
        <f>INDEX('Dist. Plant Gas Additions'!$E$7:$AD$91,MATCH($C730,'Dist. Plant Gas Additions'!$C$7:$C$91,0),MATCH(Calculation!$G730,'Dist. Plant Gas Additions'!$E$5:$AD$5,0))</f>
        <v>44945</v>
      </c>
      <c r="BM730" s="129">
        <f>INDEX('Gen. Plant Additions'!$E$7:$AD$91,MATCH($C730,'Gen. Plant Additions'!$C$7:$C$91,0),MATCH(Calculation!$G730,'Gen. Plant Additions'!$E$5:$AD$5,0))</f>
        <v>17004</v>
      </c>
      <c r="BN730" s="393">
        <f t="shared" si="1330"/>
        <v>0.90304628871403536</v>
      </c>
      <c r="BO730" s="46">
        <f t="shared" si="1278"/>
        <v>15355.399093293458</v>
      </c>
      <c r="BP730" s="46">
        <f t="shared" si="1279"/>
        <v>-1648.6009067065424</v>
      </c>
      <c r="BQ730" s="129">
        <f>INDEX('Dist Plant Depreciation'!$D$7:$AC$94,MATCH($C730,'Dist Plant Depreciation'!$C$7:$C$94,0),MATCH(Calculation!$G730,'Dist Plant Depreciation'!$D$5:$AC$5,0))</f>
        <v>624198</v>
      </c>
      <c r="BR730" s="129">
        <f>INDEX('Gen. Plant Depreciation'!$D$7:$AC$94,MATCH($C730,'Gen. Plant Depreciation'!$C$7:$C$94,0),MATCH(Calculation!$G730,'Gen. Plant Depreciation'!$D$5:$AC$5,0))</f>
        <v>39483</v>
      </c>
      <c r="BS730" s="129"/>
      <c r="BT730" s="129"/>
      <c r="BU730" s="129"/>
      <c r="BV730" s="129"/>
      <c r="BW730" s="129"/>
      <c r="BX730" s="129"/>
      <c r="BY730" s="129">
        <f>INDEX('Gross Dx Plant'!$D$7:$AC$91,MATCH($C730,'Gross Dx Plant'!$C$7:$C$91,0),MATCH(Calculation!$G730,'Gross Dx Plant'!$D$5:$AC$5,0))</f>
        <v>913099</v>
      </c>
      <c r="BZ730" s="129">
        <f>INDEX('Gross Gen Plant'!$D$7:$AC$91,MATCH($C730,'Gross Gen Plant'!$C$7:$C$91,0),MATCH(Calculation!$G730,'Gross Gen Plant'!$D$5:$AC$5,0))</f>
        <v>98033</v>
      </c>
      <c r="CA730" s="129">
        <f t="shared" si="1325"/>
        <v>347451</v>
      </c>
      <c r="CB730" s="129"/>
      <c r="CC730" s="133">
        <v>2000</v>
      </c>
      <c r="CD730" s="129"/>
      <c r="CE730" s="129"/>
      <c r="CF730" s="129"/>
      <c r="CG730" s="137"/>
      <c r="CH730" s="129">
        <f t="shared" si="1331"/>
        <v>61949</v>
      </c>
      <c r="CI730" s="46">
        <f t="shared" ref="CI730:CI752" si="1340">+CH730+BP730</f>
        <v>60300.399093293454</v>
      </c>
      <c r="CJ730" s="46">
        <f t="shared" si="1332"/>
        <v>174.01019292545058</v>
      </c>
      <c r="CK730" s="443">
        <v>0.98</v>
      </c>
      <c r="CL730" s="46">
        <f>+CL728*CK730+CJ729*CK729+CJ730</f>
        <v>2034.2735640299122</v>
      </c>
      <c r="CM730" s="134">
        <f t="shared" si="1333"/>
        <v>7.9184143380222213E-2</v>
      </c>
      <c r="CN730" s="135">
        <f t="shared" si="1334"/>
        <v>1.0184350404706086E-2</v>
      </c>
      <c r="CO730" s="135"/>
      <c r="CP730" s="134">
        <f>VLOOKUP($H730,RoR!$E:$F,2,FALSE)</f>
        <v>7.6225000000000001E-2</v>
      </c>
      <c r="CQ730" s="135">
        <v>2.2568307442433211E-2</v>
      </c>
      <c r="CR730" s="135">
        <f t="shared" ref="CR730:CR750" si="1341">+CP730-CQ730</f>
        <v>5.365669255756679E-2</v>
      </c>
      <c r="CS730" s="135"/>
      <c r="CT730" s="135"/>
      <c r="CU730" s="139">
        <f t="shared" si="1335"/>
        <v>0.85203761789999999</v>
      </c>
      <c r="CV730" s="335">
        <f t="shared" si="1336"/>
        <v>0.67277207323124022</v>
      </c>
      <c r="CW730" s="335">
        <f t="shared" si="1337"/>
        <v>0.6470236142997704</v>
      </c>
      <c r="CX730" s="335">
        <f t="shared" si="1338"/>
        <v>0.94704866037543145</v>
      </c>
      <c r="CY730" s="335">
        <f t="shared" si="1339"/>
        <v>0.41224973107878493</v>
      </c>
      <c r="CZ730" s="336">
        <f>INDEX('State Tax Lookup'!$D$7:$Z$91,MATCH(Calculation!$C730,'State Tax Lookup'!$B$7:$B$91,0),MATCH($H730,'State Tax Lookup'!$D$6:$Z$6,0))</f>
        <v>0.39989833000000002</v>
      </c>
      <c r="DA730" s="303">
        <v>0.37</v>
      </c>
      <c r="DB730" s="57"/>
      <c r="DC730" s="56"/>
      <c r="DD730" s="303">
        <f>VLOOKUP($H730,RoR!$E:$F,2,FALSE)</f>
        <v>7.6225000000000001E-2</v>
      </c>
      <c r="DE730" s="304">
        <f>HLOOKUP($H730,'GDP-PI'!$D$8:$CQ$11,3,FALSE)</f>
        <v>2.2568307442433211E-2</v>
      </c>
      <c r="DF730" s="303">
        <f>VLOOKUP(H730,'HW Dx Data'!$E:$F,2,FALSE)</f>
        <v>346.53371782150339</v>
      </c>
      <c r="DG730" s="89"/>
      <c r="DH730" s="89"/>
      <c r="DI730" s="89"/>
      <c r="DJ730" s="56"/>
      <c r="DK730" s="53">
        <f>HLOOKUP(H730,'GDP-PI'!$8:$9,2,FALSE)</f>
        <v>78.069000000000003</v>
      </c>
      <c r="DL730" s="298"/>
      <c r="EC730"/>
    </row>
    <row r="731" spans="1:133" s="126" customFormat="1" ht="21" customHeight="1" x14ac:dyDescent="0.4">
      <c r="A731" s="233" t="s">
        <v>224</v>
      </c>
      <c r="B731" s="127" t="s">
        <v>224</v>
      </c>
      <c r="C731" s="127">
        <v>4012860</v>
      </c>
      <c r="D731" s="127" t="s">
        <v>225</v>
      </c>
      <c r="E731" s="127"/>
      <c r="F731" s="127"/>
      <c r="G731" s="127" t="s">
        <v>157</v>
      </c>
      <c r="H731" s="128">
        <v>2001</v>
      </c>
      <c r="I731" s="129"/>
      <c r="J731" s="125"/>
      <c r="K731" s="125"/>
      <c r="L731" s="47"/>
      <c r="M731" s="125"/>
      <c r="N731" s="125"/>
      <c r="O731" s="125"/>
      <c r="P731" s="47"/>
      <c r="Q731" s="47"/>
      <c r="R731" s="386"/>
      <c r="S731" s="119"/>
      <c r="T731" s="47"/>
      <c r="U731" s="47"/>
      <c r="V731" s="125"/>
      <c r="W731" s="125"/>
      <c r="X731" s="125"/>
      <c r="Y731" s="125"/>
      <c r="Z731" s="125"/>
      <c r="AA731" s="125"/>
      <c r="AB731" s="125"/>
      <c r="AC731" s="125">
        <f t="shared" si="1329"/>
        <v>21376.296738171739</v>
      </c>
      <c r="AD731" s="129"/>
      <c r="AE731" s="133">
        <v>2169.2799691399714</v>
      </c>
      <c r="AF731" s="134">
        <v>5.2834289307365286E-2</v>
      </c>
      <c r="AG731" s="61"/>
      <c r="AH731" s="134"/>
      <c r="AI731" s="134"/>
      <c r="AJ731" s="129">
        <f t="shared" si="1238"/>
        <v>21376.296738171739</v>
      </c>
      <c r="AK731" s="134"/>
      <c r="AL731" s="129"/>
      <c r="AM731" s="129"/>
      <c r="AN731" s="129"/>
      <c r="AO731" s="129"/>
      <c r="AP731" s="133"/>
      <c r="AQ731" s="134"/>
      <c r="AR731" s="93"/>
      <c r="AS731" s="93"/>
      <c r="AT731" s="93"/>
      <c r="AU731" s="93"/>
      <c r="AV731" s="93"/>
      <c r="AW731" s="134"/>
      <c r="AX731" s="93"/>
      <c r="AY731" s="93"/>
      <c r="AZ731" s="93"/>
      <c r="BA731" s="93"/>
      <c r="BB731" s="234">
        <f>IFERROR(INDEX('Total Customers'!$E$7:$AA$91,MATCH($C731,'Total Customers'!$C$7:$C$91,0),MATCH($G731,'Total Customers'!$E$5:$AA$5,0)),"NA")</f>
        <v>702194</v>
      </c>
      <c r="BC731" s="411">
        <f t="shared" si="1305"/>
        <v>5.8817397670405131E-3</v>
      </c>
      <c r="BD731" s="92"/>
      <c r="BE731" s="281" t="str">
        <f t="shared" si="1297"/>
        <v>NORTHERN INDIANA PUBLIC SERVICE COMPANY</v>
      </c>
      <c r="BF731" s="290">
        <f t="shared" si="1298"/>
        <v>4012860</v>
      </c>
      <c r="BG731" s="46" t="str">
        <f t="shared" si="1299"/>
        <v>IN</v>
      </c>
      <c r="BH731" s="46"/>
      <c r="BI731" s="46" t="str">
        <f t="shared" si="1300"/>
        <v>2001 Y</v>
      </c>
      <c r="BJ731" s="129"/>
      <c r="BK731" s="129"/>
      <c r="BL731" s="129">
        <f>INDEX('Dist. Plant Gas Additions'!$E$7:$AD$91,MATCH($C731,'Dist. Plant Gas Additions'!$C$7:$C$91,0),MATCH(Calculation!$G731,'Dist. Plant Gas Additions'!$E$5:$AD$5,0))</f>
        <v>40816</v>
      </c>
      <c r="BM731" s="129">
        <f>INDEX('Gen. Plant Additions'!$E$7:$AD$91,MATCH($C731,'Gen. Plant Additions'!$C$7:$C$91,0),MATCH(Calculation!$G731,'Gen. Plant Additions'!$E$5:$AD$5,0))</f>
        <v>2180</v>
      </c>
      <c r="BN731" s="393">
        <f t="shared" si="1330"/>
        <v>0.90818681497133313</v>
      </c>
      <c r="BO731" s="46">
        <f t="shared" si="1278"/>
        <v>1979.8472566375062</v>
      </c>
      <c r="BP731" s="46">
        <f t="shared" si="1279"/>
        <v>-200.15274336249377</v>
      </c>
      <c r="BQ731" s="129">
        <f>INDEX('Dist Plant Depreciation'!$D$7:$AC$94,MATCH($C731,'Dist Plant Depreciation'!$C$7:$C$94,0),MATCH(Calculation!$G731,'Dist Plant Depreciation'!$D$5:$AC$5,0))</f>
        <v>740726</v>
      </c>
      <c r="BR731" s="129">
        <f>INDEX('Gen. Plant Depreciation'!$D$7:$AC$94,MATCH($C731,'Gen. Plant Depreciation'!$C$7:$C$94,0),MATCH(Calculation!$G731,'Gen. Plant Depreciation'!$D$5:$AC$5,0))</f>
        <v>107836</v>
      </c>
      <c r="BS731" s="129"/>
      <c r="BT731" s="129"/>
      <c r="BU731" s="129"/>
      <c r="BV731" s="129"/>
      <c r="BW731" s="129"/>
      <c r="BX731" s="129"/>
      <c r="BY731" s="129">
        <f>INDEX('Gross Dx Plant'!$D$7:$AC$91,MATCH($C731,'Gross Dx Plant'!$C$7:$C$91,0),MATCH(Calculation!$G731,'Gross Dx Plant'!$D$5:$AC$5,0))</f>
        <v>950739</v>
      </c>
      <c r="BZ731" s="129">
        <f>INDEX('Gross Gen Plant'!$D$7:$AC$91,MATCH($C731,'Gross Gen Plant'!$C$7:$C$91,0),MATCH(Calculation!$G731,'Gross Gen Plant'!$D$5:$AC$5,0))</f>
        <v>96115</v>
      </c>
      <c r="CA731" s="129">
        <f t="shared" si="1325"/>
        <v>198292</v>
      </c>
      <c r="CB731" s="129"/>
      <c r="CC731" s="133">
        <v>2001</v>
      </c>
      <c r="CD731" s="129"/>
      <c r="CE731" s="129"/>
      <c r="CF731" s="129"/>
      <c r="CG731" s="137"/>
      <c r="CH731" s="129">
        <f t="shared" si="1331"/>
        <v>42996</v>
      </c>
      <c r="CI731" s="46">
        <f t="shared" si="1340"/>
        <v>42795.847256637506</v>
      </c>
      <c r="CJ731" s="46">
        <f t="shared" si="1332"/>
        <v>121.08124053846065</v>
      </c>
      <c r="CK731" s="443">
        <v>0.96969696969696972</v>
      </c>
      <c r="CL731" s="46">
        <f>+CL728*CK731+CJ729*CK730+CJ730*CK728+CJ731</f>
        <v>2135.8278167411986</v>
      </c>
      <c r="CM731" s="134">
        <f t="shared" si="1333"/>
        <v>4.8715523536313622E-2</v>
      </c>
      <c r="CN731" s="135">
        <f t="shared" si="1334"/>
        <v>9.5989979776815986E-3</v>
      </c>
      <c r="CO731" s="135">
        <f>+(CN731+CN730+CN729)/3</f>
        <v>9.8947794937991954E-3</v>
      </c>
      <c r="CP731" s="134">
        <f>VLOOKUP($H731,RoR!$E:$F,2,FALSE)</f>
        <v>7.0824999999999999E-2</v>
      </c>
      <c r="CQ731" s="135">
        <v>2.2454495382290052E-2</v>
      </c>
      <c r="CR731" s="135">
        <f t="shared" si="1341"/>
        <v>4.8370504617709947E-2</v>
      </c>
      <c r="CS731" s="135">
        <f>+$CR$2-CO731</f>
        <v>2.100716211473443E-2</v>
      </c>
      <c r="CT731" s="135">
        <f>+((DF729/DF728-1)+(DF730/DF729-1)+(DF731/DF730-1))/3</f>
        <v>2.3947275901631187E-2</v>
      </c>
      <c r="CU731" s="139">
        <f t="shared" si="1335"/>
        <v>0.85203761789999999</v>
      </c>
      <c r="CV731" s="335">
        <f t="shared" si="1336"/>
        <v>0.72406708481540816</v>
      </c>
      <c r="CW731" s="335">
        <f t="shared" si="1337"/>
        <v>0.62201729615248857</v>
      </c>
      <c r="CX731" s="335">
        <f t="shared" si="1338"/>
        <v>0.9352469954311422</v>
      </c>
      <c r="CY731" s="335">
        <f t="shared" si="1339"/>
        <v>0.42121864641655071</v>
      </c>
      <c r="CZ731" s="336">
        <f>INDEX('State Tax Lookup'!$D$7:$Z$91,MATCH(Calculation!$C731,'State Tax Lookup'!$B$7:$B$91,0),MATCH($H731,'State Tax Lookup'!$D$6:$Z$6,0))</f>
        <v>0.39989833000000002</v>
      </c>
      <c r="DA731" s="303">
        <v>0.37</v>
      </c>
      <c r="DB731" s="57">
        <f t="shared" ref="DB731:DB753" si="1342">+(DF731*CS731-CT731)*CU731/(1-CZ731)</f>
        <v>10.508073798995413</v>
      </c>
      <c r="DC731" s="56"/>
      <c r="DD731" s="303">
        <f>VLOOKUP($H731,RoR!$E:$F,2,FALSE)</f>
        <v>7.0824999999999999E-2</v>
      </c>
      <c r="DE731" s="304">
        <f>HLOOKUP($H731,'GDP-PI'!$D$8:$CQ$11,3,FALSE)</f>
        <v>2.2454495382290052E-2</v>
      </c>
      <c r="DF731" s="303">
        <f>VLOOKUP(H731,'HW Dx Data'!$E:$F,2,FALSE)</f>
        <v>353.44738017483138</v>
      </c>
      <c r="DG731" s="89"/>
      <c r="DH731" s="89"/>
      <c r="DI731" s="89"/>
      <c r="DJ731" s="56"/>
      <c r="DK731" s="53">
        <f>HLOOKUP(H731,'GDP-PI'!$8:$9,2,FALSE)</f>
        <v>79.822000000000003</v>
      </c>
      <c r="DL731" s="298"/>
      <c r="EC731"/>
    </row>
    <row r="732" spans="1:133" s="126" customFormat="1" ht="21" customHeight="1" x14ac:dyDescent="0.4">
      <c r="A732" s="233" t="s">
        <v>224</v>
      </c>
      <c r="B732" s="127" t="s">
        <v>224</v>
      </c>
      <c r="C732" s="127">
        <v>4012860</v>
      </c>
      <c r="D732" s="127" t="s">
        <v>225</v>
      </c>
      <c r="E732" s="127"/>
      <c r="F732" s="127"/>
      <c r="G732" s="127" t="s">
        <v>158</v>
      </c>
      <c r="H732" s="128">
        <v>2002</v>
      </c>
      <c r="I732" s="129"/>
      <c r="J732" s="125"/>
      <c r="K732" s="125"/>
      <c r="L732" s="47"/>
      <c r="M732" s="125"/>
      <c r="N732" s="125"/>
      <c r="O732" s="125"/>
      <c r="P732" s="47"/>
      <c r="Q732" s="47"/>
      <c r="R732" s="386"/>
      <c r="S732" s="119"/>
      <c r="T732" s="47"/>
      <c r="U732" s="47"/>
      <c r="V732" s="125"/>
      <c r="W732" s="125"/>
      <c r="X732" s="125"/>
      <c r="Y732" s="125"/>
      <c r="Z732" s="125"/>
      <c r="AA732" s="125"/>
      <c r="AB732" s="125"/>
      <c r="AC732" s="125">
        <f t="shared" si="1329"/>
        <v>22351.525664167133</v>
      </c>
      <c r="AD732" s="129"/>
      <c r="AE732" s="133">
        <v>2265.1727158680715</v>
      </c>
      <c r="AF732" s="134">
        <v>4.3255709239647104E-2</v>
      </c>
      <c r="AG732" s="61"/>
      <c r="AH732" s="134"/>
      <c r="AI732" s="134"/>
      <c r="AJ732" s="129">
        <f t="shared" si="1238"/>
        <v>22351.525664167133</v>
      </c>
      <c r="AK732" s="134"/>
      <c r="AL732" s="129"/>
      <c r="AM732" s="129"/>
      <c r="AN732" s="129"/>
      <c r="AO732" s="129"/>
      <c r="AP732" s="133"/>
      <c r="AQ732" s="134"/>
      <c r="AR732" s="93"/>
      <c r="AS732" s="93"/>
      <c r="AT732" s="93"/>
      <c r="AU732" s="93"/>
      <c r="AV732" s="93"/>
      <c r="AW732" s="134"/>
      <c r="AX732" s="93"/>
      <c r="AY732" s="93"/>
      <c r="AZ732" s="93"/>
      <c r="BA732" s="93"/>
      <c r="BB732" s="234">
        <f>IFERROR(INDEX('Total Customers'!$E$7:$AA$91,MATCH($C732,'Total Customers'!$C$7:$C$91,0),MATCH($G732,'Total Customers'!$E$5:$AA$5,0)),"NA")</f>
        <v>735439</v>
      </c>
      <c r="BC732" s="411">
        <f t="shared" si="1305"/>
        <v>4.6257880700713905E-2</v>
      </c>
      <c r="BD732" s="92"/>
      <c r="BE732" s="281" t="str">
        <f t="shared" si="1297"/>
        <v>NORTHERN INDIANA PUBLIC SERVICE COMPANY</v>
      </c>
      <c r="BF732" s="290">
        <f t="shared" si="1298"/>
        <v>4012860</v>
      </c>
      <c r="BG732" s="46" t="str">
        <f t="shared" si="1299"/>
        <v>IN</v>
      </c>
      <c r="BH732" s="46"/>
      <c r="BI732" s="46" t="str">
        <f t="shared" si="1300"/>
        <v>2002 Y</v>
      </c>
      <c r="BJ732" s="129"/>
      <c r="BK732" s="129"/>
      <c r="BL732" s="129">
        <f>INDEX('Dist. Plant Gas Additions'!$E$7:$AD$91,MATCH($C732,'Dist. Plant Gas Additions'!$C$7:$C$91,0),MATCH(Calculation!$G732,'Dist. Plant Gas Additions'!$E$5:$AD$5,0))</f>
        <v>37118</v>
      </c>
      <c r="BM732" s="129">
        <f>INDEX('Gen. Plant Additions'!$E$7:$AD$91,MATCH($C732,'Gen. Plant Additions'!$C$7:$C$91,0),MATCH(Calculation!$G732,'Gen. Plant Additions'!$E$5:$AD$5,0))</f>
        <v>2134</v>
      </c>
      <c r="BN732" s="393">
        <f t="shared" si="1330"/>
        <v>0.91501389907092978</v>
      </c>
      <c r="BO732" s="46">
        <f t="shared" si="1278"/>
        <v>1952.6396606173641</v>
      </c>
      <c r="BP732" s="46">
        <f t="shared" si="1279"/>
        <v>-181.36033938263586</v>
      </c>
      <c r="BQ732" s="129">
        <f>INDEX('Dist Plant Depreciation'!$D$7:$AC$94,MATCH($C732,'Dist Plant Depreciation'!$C$7:$C$94,0),MATCH(Calculation!$G732,'Dist Plant Depreciation'!$D$5:$AC$5,0))</f>
        <v>724461</v>
      </c>
      <c r="BR732" s="129">
        <f>INDEX('Gen. Plant Depreciation'!$D$7:$AC$94,MATCH($C732,'Gen. Plant Depreciation'!$C$7:$C$94,0),MATCH(Calculation!$G732,'Gen. Plant Depreciation'!$D$5:$AC$5,0))</f>
        <v>43750</v>
      </c>
      <c r="BS732" s="129"/>
      <c r="BT732" s="129"/>
      <c r="BU732" s="129"/>
      <c r="BV732" s="129"/>
      <c r="BW732" s="129"/>
      <c r="BX732" s="129"/>
      <c r="BY732" s="129">
        <f>INDEX('Gross Dx Plant'!$D$7:$AC$91,MATCH($C732,'Gross Dx Plant'!$C$7:$C$91,0),MATCH(Calculation!$G732,'Gross Dx Plant'!$D$5:$AC$5,0))</f>
        <v>977287</v>
      </c>
      <c r="BZ732" s="129">
        <f>INDEX('Gross Gen Plant'!$D$7:$AC$91,MATCH($C732,'Gross Gen Plant'!$C$7:$C$91,0),MATCH(Calculation!$G732,'Gross Gen Plant'!$D$5:$AC$5,0))</f>
        <v>90770</v>
      </c>
      <c r="CA732" s="129">
        <f t="shared" si="1325"/>
        <v>299846</v>
      </c>
      <c r="CB732" s="129"/>
      <c r="CC732" s="133">
        <v>2002</v>
      </c>
      <c r="CD732" s="129"/>
      <c r="CE732" s="129"/>
      <c r="CF732" s="129"/>
      <c r="CG732" s="137"/>
      <c r="CH732" s="129">
        <f t="shared" si="1331"/>
        <v>39252</v>
      </c>
      <c r="CI732" s="46">
        <f t="shared" si="1340"/>
        <v>39070.639660617366</v>
      </c>
      <c r="CJ732" s="46">
        <f t="shared" si="1332"/>
        <v>108.12463813463444</v>
      </c>
      <c r="CK732" s="443">
        <v>0.95918367346938771</v>
      </c>
      <c r="CL732" s="46">
        <f>+CL728*CK732+CJ729*CK731+CJ730*CK730+CJ731*CK729+CJ732</f>
        <v>2219.3481338496354</v>
      </c>
      <c r="CM732" s="134">
        <f t="shared" si="1333"/>
        <v>3.8359211655506605E-2</v>
      </c>
      <c r="CN732" s="135">
        <f t="shared" si="1334"/>
        <v>1.1519805498056692E-2</v>
      </c>
      <c r="CO732" s="135">
        <f t="shared" ref="CO732:CO752" si="1343">+(CN732+CN731+CN730)/3</f>
        <v>1.0434384626814792E-2</v>
      </c>
      <c r="CP732" s="134">
        <f>VLOOKUP($H732,RoR!$E:$F,2,FALSE)</f>
        <v>6.4916666666666664E-2</v>
      </c>
      <c r="CQ732" s="135">
        <v>1.5246423291824351E-2</v>
      </c>
      <c r="CR732" s="135">
        <f t="shared" si="1341"/>
        <v>4.9670243374842313E-2</v>
      </c>
      <c r="CS732" s="135">
        <f t="shared" ref="CS732:CS752" si="1344">+$CR$2-CO732</f>
        <v>2.0467556981718833E-2</v>
      </c>
      <c r="CT732" s="135">
        <f t="shared" ref="CT732:CT752" si="1345">+((DF730/DF729-1)+(DF731/DF730-1)+(DF732/DF731-1))/3</f>
        <v>2.5243621214759093E-2</v>
      </c>
      <c r="CU732" s="139">
        <f t="shared" si="1335"/>
        <v>0.85203761789999999</v>
      </c>
      <c r="CV732" s="335">
        <f t="shared" si="1336"/>
        <v>0.78996741384417901</v>
      </c>
      <c r="CW732" s="335">
        <f t="shared" si="1337"/>
        <v>0.58989088575096271</v>
      </c>
      <c r="CX732" s="335">
        <f t="shared" si="1338"/>
        <v>0.91920675783645744</v>
      </c>
      <c r="CY732" s="335">
        <f t="shared" si="1339"/>
        <v>0.42834536472275586</v>
      </c>
      <c r="CZ732" s="336">
        <f>INDEX('State Tax Lookup'!$D$7:$Z$91,MATCH(Calculation!$C732,'State Tax Lookup'!$B$7:$B$91,0),MATCH($H732,'State Tax Lookup'!$D$6:$Z$6,0))</f>
        <v>0.39989833000000002</v>
      </c>
      <c r="DA732" s="303">
        <v>0.37</v>
      </c>
      <c r="DB732" s="57">
        <f t="shared" si="1342"/>
        <v>10.465040996736629</v>
      </c>
      <c r="DC732" s="56">
        <f t="shared" ref="DC732:DC752" si="1346">LN(DB732/DB731)</f>
        <v>-4.1036215236707257E-3</v>
      </c>
      <c r="DD732" s="303">
        <f>VLOOKUP($H732,RoR!$E:$F,2,FALSE)</f>
        <v>6.4916666666666664E-2</v>
      </c>
      <c r="DE732" s="304">
        <f>HLOOKUP($H732,'GDP-PI'!$D$8:$CQ$11,3,FALSE)</f>
        <v>1.5246423291824351E-2</v>
      </c>
      <c r="DF732" s="303">
        <f>VLOOKUP(H732,'HW Dx Data'!$E:$F,2,FALSE)</f>
        <v>361.34816573413599</v>
      </c>
      <c r="DG732" s="89"/>
      <c r="DH732" s="89"/>
      <c r="DI732" s="89"/>
      <c r="DJ732" s="56"/>
      <c r="DK732" s="53">
        <f>HLOOKUP(H732,'GDP-PI'!$8:$9,2,FALSE)</f>
        <v>81.039000000000001</v>
      </c>
      <c r="DL732" s="355">
        <f>LN(DK732/DK731)</f>
        <v>1.513136459537477E-2</v>
      </c>
      <c r="EC732"/>
    </row>
    <row r="733" spans="1:133" s="126" customFormat="1" ht="21" customHeight="1" x14ac:dyDescent="0.4">
      <c r="A733" s="233" t="s">
        <v>224</v>
      </c>
      <c r="B733" s="127" t="s">
        <v>224</v>
      </c>
      <c r="C733" s="127">
        <v>4012860</v>
      </c>
      <c r="D733" s="127" t="s">
        <v>225</v>
      </c>
      <c r="E733" s="127"/>
      <c r="F733" s="127"/>
      <c r="G733" s="127" t="s">
        <v>159</v>
      </c>
      <c r="H733" s="128">
        <v>2003</v>
      </c>
      <c r="I733" s="129"/>
      <c r="J733" s="125"/>
      <c r="K733" s="125"/>
      <c r="L733" s="47"/>
      <c r="M733" s="125"/>
      <c r="N733" s="125"/>
      <c r="O733" s="125"/>
      <c r="P733" s="59"/>
      <c r="Q733" s="59"/>
      <c r="R733" s="386"/>
      <c r="S733" s="119"/>
      <c r="T733" s="59"/>
      <c r="U733" s="59"/>
      <c r="V733" s="125"/>
      <c r="W733" s="125"/>
      <c r="X733" s="125"/>
      <c r="Y733" s="125"/>
      <c r="Z733" s="125"/>
      <c r="AA733" s="125"/>
      <c r="AB733" s="125"/>
      <c r="AC733" s="125">
        <f t="shared" si="1329"/>
        <v>23428.343140727142</v>
      </c>
      <c r="AD733" s="129"/>
      <c r="AE733" s="133">
        <v>2365.518630133437</v>
      </c>
      <c r="AF733" s="134">
        <v>4.3346281553662255E-2</v>
      </c>
      <c r="AG733" s="61"/>
      <c r="AH733" s="134"/>
      <c r="AI733" s="134"/>
      <c r="AJ733" s="129">
        <f t="shared" si="1238"/>
        <v>23428.343140727142</v>
      </c>
      <c r="AK733" s="134"/>
      <c r="AL733" s="129"/>
      <c r="AM733" s="129"/>
      <c r="AN733" s="129"/>
      <c r="AO733" s="129"/>
      <c r="AP733" s="133"/>
      <c r="AQ733" s="134"/>
      <c r="AR733" s="93"/>
      <c r="AS733" s="93"/>
      <c r="AT733" s="93"/>
      <c r="AU733" s="93"/>
      <c r="AV733" s="93"/>
      <c r="AW733" s="134"/>
      <c r="AX733" s="93"/>
      <c r="AY733" s="93"/>
      <c r="AZ733" s="93"/>
      <c r="BA733" s="93"/>
      <c r="BB733" s="234">
        <f>IFERROR(INDEX('Total Customers'!$E$7:$AA$91,MATCH($C733,'Total Customers'!$C$7:$C$91,0),MATCH($G733,'Total Customers'!$E$5:$AA$5,0)),"NA")</f>
        <v>715066</v>
      </c>
      <c r="BC733" s="411">
        <f t="shared" si="1305"/>
        <v>-2.8092753698122797E-2</v>
      </c>
      <c r="BD733" s="92"/>
      <c r="BE733" s="281" t="str">
        <f t="shared" si="1297"/>
        <v>NORTHERN INDIANA PUBLIC SERVICE COMPANY</v>
      </c>
      <c r="BF733" s="290">
        <f t="shared" si="1298"/>
        <v>4012860</v>
      </c>
      <c r="BG733" s="46" t="str">
        <f t="shared" si="1299"/>
        <v>IN</v>
      </c>
      <c r="BH733" s="46"/>
      <c r="BI733" s="46" t="str">
        <f t="shared" si="1300"/>
        <v>2003 Y</v>
      </c>
      <c r="BJ733" s="129"/>
      <c r="BK733" s="129"/>
      <c r="BL733" s="129">
        <f>INDEX('Dist. Plant Gas Additions'!$E$7:$AD$91,MATCH($C733,'Dist. Plant Gas Additions'!$C$7:$C$91,0),MATCH(Calculation!$G733,'Dist. Plant Gas Additions'!$E$5:$AD$5,0))</f>
        <v>40086</v>
      </c>
      <c r="BM733" s="129">
        <f>INDEX('Gen. Plant Additions'!$E$7:$AD$91,MATCH($C733,'Gen. Plant Additions'!$C$7:$C$91,0),MATCH(Calculation!$G733,'Gen. Plant Additions'!$E$5:$AD$5,0))</f>
        <v>1676</v>
      </c>
      <c r="BN733" s="393">
        <f t="shared" si="1330"/>
        <v>0.91766888879837438</v>
      </c>
      <c r="BO733" s="46">
        <f t="shared" si="1278"/>
        <v>1538.0130576260754</v>
      </c>
      <c r="BP733" s="46">
        <f t="shared" si="1279"/>
        <v>-137.98694237392465</v>
      </c>
      <c r="BQ733" s="129">
        <f>INDEX('Dist Plant Depreciation'!$D$7:$AC$94,MATCH($C733,'Dist Plant Depreciation'!$C$7:$C$94,0),MATCH(Calculation!$G733,'Dist Plant Depreciation'!$D$5:$AC$5,0))</f>
        <v>776416</v>
      </c>
      <c r="BR733" s="129">
        <f>INDEX('Gen. Plant Depreciation'!$D$7:$AC$94,MATCH($C733,'Gen. Plant Depreciation'!$C$7:$C$94,0),MATCH(Calculation!$G733,'Gen. Plant Depreciation'!$D$5:$AC$5,0))</f>
        <v>46909</v>
      </c>
      <c r="BS733" s="129"/>
      <c r="BT733" s="129"/>
      <c r="BU733" s="129"/>
      <c r="BV733" s="129"/>
      <c r="BW733" s="129"/>
      <c r="BX733" s="129"/>
      <c r="BY733" s="129">
        <f>INDEX('Gross Dx Plant'!$D$7:$AC$91,MATCH($C733,'Gross Dx Plant'!$C$7:$C$91,0),MATCH(Calculation!$G733,'Gross Dx Plant'!$D$5:$AC$5,0))</f>
        <v>1013836</v>
      </c>
      <c r="BZ733" s="129">
        <f>INDEX('Gross Gen Plant'!$D$7:$AC$91,MATCH($C733,'Gross Gen Plant'!$C$7:$C$91,0),MATCH(Calculation!$G733,'Gross Gen Plant'!$D$5:$AC$5,0))</f>
        <v>90959</v>
      </c>
      <c r="CA733" s="129">
        <f t="shared" si="1325"/>
        <v>281470</v>
      </c>
      <c r="CB733" s="129"/>
      <c r="CC733" s="133">
        <v>2003</v>
      </c>
      <c r="CD733" s="129"/>
      <c r="CE733" s="129"/>
      <c r="CF733" s="129"/>
      <c r="CG733" s="137"/>
      <c r="CH733" s="129">
        <f t="shared" si="1331"/>
        <v>41762</v>
      </c>
      <c r="CI733" s="46">
        <f t="shared" si="1340"/>
        <v>41624.013057626078</v>
      </c>
      <c r="CJ733" s="46">
        <f t="shared" si="1332"/>
        <v>112.73101760294969</v>
      </c>
      <c r="CK733" s="443">
        <v>0.94845360824742264</v>
      </c>
      <c r="CL733" s="46">
        <f>+CL728*CK733+CJ729*CK732+CJ730*CK731+CJ731*CK730+CJ732*CK729+CJ733</f>
        <v>2307.6570669790372</v>
      </c>
      <c r="CM733" s="134">
        <f t="shared" si="1333"/>
        <v>3.9019233743870688E-2</v>
      </c>
      <c r="CN733" s="135">
        <f t="shared" si="1334"/>
        <v>1.1004170143953872E-2</v>
      </c>
      <c r="CO733" s="135">
        <f t="shared" si="1343"/>
        <v>1.0707657873230721E-2</v>
      </c>
      <c r="CP733" s="134">
        <f>VLOOKUP($H733,RoR!$E:$F,2,FALSE)</f>
        <v>5.6666666666666671E-2</v>
      </c>
      <c r="CQ733" s="135">
        <v>1.8855119140166909E-2</v>
      </c>
      <c r="CR733" s="135">
        <f t="shared" si="1341"/>
        <v>3.7811547526499761E-2</v>
      </c>
      <c r="CS733" s="135">
        <f t="shared" si="1344"/>
        <v>2.0194283735302902E-2</v>
      </c>
      <c r="CT733" s="135">
        <f t="shared" si="1345"/>
        <v>2.1375012817671957E-2</v>
      </c>
      <c r="CU733" s="139">
        <f t="shared" si="1335"/>
        <v>0.85203761789999999</v>
      </c>
      <c r="CV733" s="335">
        <f t="shared" si="1336"/>
        <v>0.90497737556561086</v>
      </c>
      <c r="CW733" s="335">
        <f t="shared" si="1337"/>
        <v>0.5338235294117647</v>
      </c>
      <c r="CX733" s="335">
        <f t="shared" si="1338"/>
        <v>0.88972433127405692</v>
      </c>
      <c r="CY733" s="335">
        <f t="shared" si="1339"/>
        <v>0.42982423775949252</v>
      </c>
      <c r="CZ733" s="336">
        <f>INDEX('State Tax Lookup'!$D$7:$Z$91,MATCH(Calculation!$C733,'State Tax Lookup'!$B$7:$B$91,0),MATCH($H733,'State Tax Lookup'!$D$6:$Z$6,0))</f>
        <v>0.39989833000000002</v>
      </c>
      <c r="DA733" s="303">
        <v>0.37</v>
      </c>
      <c r="DB733" s="57">
        <f t="shared" si="1342"/>
        <v>10.556407434866392</v>
      </c>
      <c r="DC733" s="56">
        <f t="shared" si="1346"/>
        <v>8.6927419639015336E-3</v>
      </c>
      <c r="DD733" s="303">
        <f>VLOOKUP($H733,RoR!$E:$F,2,FALSE)</f>
        <v>5.6666666666666671E-2</v>
      </c>
      <c r="DE733" s="304">
        <f>HLOOKUP($H733,'GDP-PI'!$D$8:$CQ$11,3,FALSE)</f>
        <v>1.8855119140166909E-2</v>
      </c>
      <c r="DF733" s="303">
        <f>VLOOKUP(H733,'HW Dx Data'!$E:$F,2,FALSE)</f>
        <v>369.23301095560191</v>
      </c>
      <c r="DG733" s="89">
        <f ca="1">VLOOKUP(CC733,'ECI - Input Price'!M$13:N$33,2,FALSE)</f>
        <v>89.25</v>
      </c>
      <c r="DH733" s="89"/>
      <c r="DI733" s="89"/>
      <c r="DJ733" s="56"/>
      <c r="DK733" s="53">
        <f>HLOOKUP(H733,'GDP-PI'!$8:$9,2,FALSE)</f>
        <v>82.566999999999993</v>
      </c>
      <c r="DL733" s="355">
        <f t="shared" ref="DL733:DL752" si="1347">LN(DK733/DK732)</f>
        <v>1.8679564681853753E-2</v>
      </c>
      <c r="EC733"/>
    </row>
    <row r="734" spans="1:133" s="126" customFormat="1" ht="21" customHeight="1" x14ac:dyDescent="0.4">
      <c r="A734" s="233" t="s">
        <v>224</v>
      </c>
      <c r="B734" s="127" t="s">
        <v>224</v>
      </c>
      <c r="C734" s="127">
        <v>4012860</v>
      </c>
      <c r="D734" s="127" t="s">
        <v>225</v>
      </c>
      <c r="E734" s="127"/>
      <c r="F734" s="127"/>
      <c r="G734" s="127" t="s">
        <v>160</v>
      </c>
      <c r="H734" s="128">
        <v>2004</v>
      </c>
      <c r="I734" s="129"/>
      <c r="J734" s="125">
        <f>IFERROR(INDEX('Labor Expenditures'!$E$7:$W$91,MATCH($C734,'Labor Expenditures'!$C$7:$C$91,0),MATCH($G734,'Labor Expenditures'!$E$5:$W$5,0)),"NA")</f>
        <v>55225.789681167189</v>
      </c>
      <c r="K734" s="125">
        <f t="shared" ref="K734:K752" ca="1" si="1348">+J734/DG734</f>
        <v>585.32898443208467</v>
      </c>
      <c r="L734" s="47"/>
      <c r="M734" s="131"/>
      <c r="N734" s="131"/>
      <c r="O734" s="131"/>
      <c r="P734" s="59"/>
      <c r="Q734" s="59"/>
      <c r="R734" s="386"/>
      <c r="S734" s="119"/>
      <c r="T734" s="59"/>
      <c r="U734" s="59"/>
      <c r="V734" s="125">
        <f>IFERROR(INDEX('Non-Labor Expenditures'!$E$7:$AA$91,MATCH($C734,'Non-Labor Expenditures'!$C$7:$C$91,0),MATCH($G734,'Non-Labor Expenditures'!$E$5:$AA$5,0)),"NA")</f>
        <v>79977.258213030465</v>
      </c>
      <c r="W734" s="125">
        <f t="shared" ref="W734:W752" si="1349">+V734/DK734</f>
        <v>943.37278790524033</v>
      </c>
      <c r="X734" s="125"/>
      <c r="Y734" s="125"/>
      <c r="Z734" s="125"/>
      <c r="AA734" s="125"/>
      <c r="AB734" s="125"/>
      <c r="AC734" s="125">
        <f t="shared" si="1329"/>
        <v>26503.616024877188</v>
      </c>
      <c r="AD734" s="129"/>
      <c r="AE734" s="133">
        <v>2440.8948912991741</v>
      </c>
      <c r="AF734" s="134">
        <v>3.1367438966896054E-2</v>
      </c>
      <c r="AG734" s="59">
        <f t="shared" ref="AG734:AG752" si="1350">+AF734*$AX734</f>
        <v>0</v>
      </c>
      <c r="AH734" s="134"/>
      <c r="AI734" s="134"/>
      <c r="AJ734" s="129">
        <f t="shared" ref="AJ734:AJ797" si="1351">+J734+V734+AC734</f>
        <v>161706.66391907484</v>
      </c>
      <c r="AK734" s="134"/>
      <c r="AL734" s="129"/>
      <c r="AM734" s="129"/>
      <c r="AN734" s="129"/>
      <c r="AO734" s="129"/>
      <c r="AP734" s="133"/>
      <c r="AQ734" s="134"/>
      <c r="AR734" s="93">
        <f t="shared" ref="AR734:AR752" si="1352">+J734/AJ734</f>
        <v>0.34151832919393238</v>
      </c>
      <c r="AS734" s="93">
        <f t="shared" ref="AS734:AS752" si="1353">+V734/AJ734</f>
        <v>0.49458232749798497</v>
      </c>
      <c r="AT734" s="93">
        <f t="shared" ref="AT734:AT752" si="1354">+AC734/AJ734</f>
        <v>0.16389934330808265</v>
      </c>
      <c r="AU734" s="93"/>
      <c r="AV734" s="93"/>
      <c r="AW734" s="134"/>
      <c r="AX734" s="93"/>
      <c r="AY734" s="93"/>
      <c r="AZ734" s="93"/>
      <c r="BA734" s="93"/>
      <c r="BB734" s="234">
        <f>IFERROR(INDEX('Total Customers'!$E$7:$AA$91,MATCH($C734,'Total Customers'!$C$7:$C$91,0),MATCH($G734,'Total Customers'!$E$5:$AA$5,0)),"NA")</f>
        <v>654096</v>
      </c>
      <c r="BC734" s="411">
        <f t="shared" si="1305"/>
        <v>-8.9120716450647799E-2</v>
      </c>
      <c r="BD734" s="92"/>
      <c r="BE734" s="281" t="str">
        <f t="shared" si="1297"/>
        <v>NORTHERN INDIANA PUBLIC SERVICE COMPANY</v>
      </c>
      <c r="BF734" s="290">
        <f t="shared" si="1298"/>
        <v>4012860</v>
      </c>
      <c r="BG734" s="46" t="str">
        <f t="shared" si="1299"/>
        <v>IN</v>
      </c>
      <c r="BH734" s="46"/>
      <c r="BI734" s="46" t="str">
        <f t="shared" si="1300"/>
        <v>2004 Y</v>
      </c>
      <c r="BJ734" s="129"/>
      <c r="BK734" s="129"/>
      <c r="BL734" s="129">
        <f>INDEX('Dist. Plant Gas Additions'!$E$7:$AD$91,MATCH($C734,'Dist. Plant Gas Additions'!$C$7:$C$91,0),MATCH(Calculation!$G734,'Dist. Plant Gas Additions'!$E$5:$AD$5,0))</f>
        <v>36162</v>
      </c>
      <c r="BM734" s="129">
        <f>INDEX('Gen. Plant Additions'!$E$7:$AD$91,MATCH($C734,'Gen. Plant Additions'!$C$7:$C$91,0),MATCH(Calculation!$G734,'Gen. Plant Additions'!$E$5:$AD$5,0))</f>
        <v>807</v>
      </c>
      <c r="BN734" s="393">
        <f t="shared" si="1330"/>
        <v>0.92709324421439687</v>
      </c>
      <c r="BO734" s="46">
        <f t="shared" si="1278"/>
        <v>748.16424808101829</v>
      </c>
      <c r="BP734" s="46">
        <f t="shared" si="1279"/>
        <v>-58.835751918981714</v>
      </c>
      <c r="BQ734" s="129">
        <f>INDEX('Dist Plant Depreciation'!$D$7:$AC$94,MATCH($C734,'Dist Plant Depreciation'!$C$7:$C$94,0),MATCH(Calculation!$G734,'Dist Plant Depreciation'!$D$5:$AC$5,0))</f>
        <v>832691</v>
      </c>
      <c r="BR734" s="129">
        <f>INDEX('Gen. Plant Depreciation'!$D$7:$AC$94,MATCH($C734,'Gen. Plant Depreciation'!$C$7:$C$94,0),MATCH(Calculation!$G734,'Gen. Plant Depreciation'!$D$5:$AC$5,0))</f>
        <v>43241</v>
      </c>
      <c r="BS734" s="129"/>
      <c r="BT734" s="129"/>
      <c r="BU734" s="129"/>
      <c r="BV734" s="129"/>
      <c r="BW734" s="129"/>
      <c r="BX734" s="129"/>
      <c r="BY734" s="129">
        <f>INDEX('Gross Dx Plant'!$D$7:$AC$91,MATCH($C734,'Gross Dx Plant'!$C$7:$C$91,0),MATCH(Calculation!$G734,'Gross Dx Plant'!$D$5:$AC$5,0))</f>
        <v>1051384</v>
      </c>
      <c r="BZ734" s="129">
        <f>INDEX('Gross Gen Plant'!$D$7:$AC$91,MATCH($C734,'Gross Gen Plant'!$C$7:$C$91,0),MATCH(Calculation!$G734,'Gross Gen Plant'!$D$5:$AC$5,0))</f>
        <v>82681</v>
      </c>
      <c r="CA734" s="129">
        <f t="shared" si="1325"/>
        <v>258133</v>
      </c>
      <c r="CB734" s="129"/>
      <c r="CC734" s="133">
        <v>2004</v>
      </c>
      <c r="CD734" s="129"/>
      <c r="CE734" s="129"/>
      <c r="CF734" s="129"/>
      <c r="CG734" s="137"/>
      <c r="CH734" s="129">
        <f t="shared" si="1331"/>
        <v>36969</v>
      </c>
      <c r="CI734" s="46">
        <f t="shared" si="1340"/>
        <v>36910.164248081019</v>
      </c>
      <c r="CJ734" s="46">
        <f t="shared" si="1332"/>
        <v>88.96433781861522</v>
      </c>
      <c r="CK734" s="443">
        <v>0.9375</v>
      </c>
      <c r="CL734" s="46">
        <f>+CL728*CK734+CJ729*CK733+CJ730*CK732+CJ731*CK731+CJ732*CK730+CJ733*CK729+CJ734</f>
        <v>2370.5770266623322</v>
      </c>
      <c r="CM734" s="134">
        <f t="shared" si="1333"/>
        <v>2.6900643570021084E-2</v>
      </c>
      <c r="CN734" s="135">
        <f t="shared" si="1334"/>
        <v>1.1286069541266371E-2</v>
      </c>
      <c r="CO734" s="135">
        <f t="shared" si="1343"/>
        <v>1.1270015061092313E-2</v>
      </c>
      <c r="CP734" s="134">
        <f>VLOOKUP($H734,RoR!$E:$F,2,FALSE)</f>
        <v>5.6283333333333331E-2</v>
      </c>
      <c r="CQ734" s="135">
        <v>2.6778252812867276E-2</v>
      </c>
      <c r="CR734" s="135">
        <f t="shared" si="1341"/>
        <v>2.9505080520466055E-2</v>
      </c>
      <c r="CS734" s="135">
        <f t="shared" si="1344"/>
        <v>1.9631926547441312E-2</v>
      </c>
      <c r="CT734" s="135">
        <f t="shared" si="1345"/>
        <v>5.5940039414565046E-2</v>
      </c>
      <c r="CU734" s="139">
        <f t="shared" si="1335"/>
        <v>0.85203761789999999</v>
      </c>
      <c r="CV734" s="335">
        <f t="shared" si="1336"/>
        <v>0.91114097628755619</v>
      </c>
      <c r="CW734" s="335">
        <f t="shared" si="1337"/>
        <v>0.53081877405981637</v>
      </c>
      <c r="CX734" s="335">
        <f t="shared" si="1338"/>
        <v>0.88811215519385678</v>
      </c>
      <c r="CY734" s="335">
        <f t="shared" si="1339"/>
        <v>0.42953609753547711</v>
      </c>
      <c r="CZ734" s="336">
        <f>INDEX('State Tax Lookup'!$D$7:$Z$91,MATCH(Calculation!$C734,'State Tax Lookup'!$B$7:$B$91,0),MATCH($H734,'State Tax Lookup'!$D$6:$Z$6,0))</f>
        <v>0.39989833000000002</v>
      </c>
      <c r="DA734" s="303">
        <v>0.37</v>
      </c>
      <c r="DB734" s="57">
        <f t="shared" si="1342"/>
        <v>11.485075665758767</v>
      </c>
      <c r="DC734" s="56">
        <f t="shared" si="1346"/>
        <v>8.4315408980229337E-2</v>
      </c>
      <c r="DD734" s="303">
        <f>VLOOKUP($H734,RoR!$E:$F,2,FALSE)</f>
        <v>5.6283333333333331E-2</v>
      </c>
      <c r="DE734" s="304">
        <f>HLOOKUP($H734,'GDP-PI'!$D$8:$CQ$11,3,FALSE)</f>
        <v>2.6778252812867276E-2</v>
      </c>
      <c r="DF734" s="303">
        <f>VLOOKUP(H734,'HW Dx Data'!$E:$F,2,FALSE)</f>
        <v>414.88719135228365</v>
      </c>
      <c r="DG734" s="89">
        <f ca="1">VLOOKUP(CC734,'ECI - Input Price'!M$13:N$33,2,FALSE)</f>
        <v>94.35</v>
      </c>
      <c r="DH734" s="89"/>
      <c r="DI734" s="89"/>
      <c r="DJ734" s="56">
        <f t="shared" ref="DJ734:DJ752" ca="1" si="1355">LN(DG734/DG733)</f>
        <v>5.5569851154810786E-2</v>
      </c>
      <c r="DK734" s="53">
        <f>HLOOKUP(H734,'GDP-PI'!$8:$9,2,FALSE)</f>
        <v>84.778000000000006</v>
      </c>
      <c r="DL734" s="355">
        <f t="shared" si="1347"/>
        <v>2.6425990216022755E-2</v>
      </c>
      <c r="EC734"/>
    </row>
    <row r="735" spans="1:133" s="126" customFormat="1" ht="21" customHeight="1" x14ac:dyDescent="0.4">
      <c r="A735" s="233" t="s">
        <v>224</v>
      </c>
      <c r="B735" s="127" t="s">
        <v>224</v>
      </c>
      <c r="C735" s="127">
        <v>4012860</v>
      </c>
      <c r="D735" s="127" t="s">
        <v>225</v>
      </c>
      <c r="E735" s="127"/>
      <c r="F735" s="127"/>
      <c r="G735" s="127" t="s">
        <v>161</v>
      </c>
      <c r="H735" s="128">
        <v>2005</v>
      </c>
      <c r="I735" s="129"/>
      <c r="J735" s="125">
        <f>IFERROR(INDEX('Labor Expenditures'!$E$7:$W$91,MATCH($C735,'Labor Expenditures'!$C$7:$C$91,0),MATCH($G735,'Labor Expenditures'!$E$5:$W$5,0)),"NA")</f>
        <v>57117.807367375484</v>
      </c>
      <c r="K735" s="125">
        <f t="shared" ca="1" si="1348"/>
        <v>575.63927807886614</v>
      </c>
      <c r="L735" s="47"/>
      <c r="M735" s="131">
        <f t="shared" ref="M735:M751" ca="1" si="1356">LN(K735/K734)</f>
        <v>-1.6692844531558771E-2</v>
      </c>
      <c r="N735" s="131"/>
      <c r="O735" s="131"/>
      <c r="P735" s="59"/>
      <c r="Q735" s="61"/>
      <c r="R735" s="387"/>
      <c r="S735" s="49">
        <v>100</v>
      </c>
      <c r="T735" s="46"/>
      <c r="U735" s="46"/>
      <c r="V735" s="125">
        <f>IFERROR(INDEX('Non-Labor Expenditures'!$E$7:$AA$91,MATCH($C735,'Non-Labor Expenditures'!$C$7:$C$91,0),MATCH($G735,'Non-Labor Expenditures'!$E$5:$AA$5,0)),"NA")</f>
        <v>82717.253202818785</v>
      </c>
      <c r="W735" s="125">
        <f t="shared" si="1349"/>
        <v>946.34586706806988</v>
      </c>
      <c r="X735" s="131">
        <f>LN(W735/W734)</f>
        <v>3.146586512277335E-3</v>
      </c>
      <c r="Y735" s="131"/>
      <c r="Z735" s="131"/>
      <c r="AA735" s="131"/>
      <c r="AB735" s="131"/>
      <c r="AC735" s="125">
        <f t="shared" si="1329"/>
        <v>30657.870629782788</v>
      </c>
      <c r="AD735" s="129"/>
      <c r="AE735" s="133">
        <v>2501.6314443599899</v>
      </c>
      <c r="AF735" s="134">
        <v>2.457836598714731E-2</v>
      </c>
      <c r="AG735" s="59">
        <f t="shared" si="1350"/>
        <v>0</v>
      </c>
      <c r="AH735" s="134"/>
      <c r="AI735" s="134"/>
      <c r="AJ735" s="129">
        <f t="shared" si="1351"/>
        <v>170492.93119997706</v>
      </c>
      <c r="AK735" s="134">
        <f>LN(AJ735/AJ734)</f>
        <v>5.2909859271809322E-2</v>
      </c>
      <c r="AL735" s="129"/>
      <c r="AM735" s="129"/>
      <c r="AN735" s="129"/>
      <c r="AO735" s="129"/>
      <c r="AP735" s="133"/>
      <c r="AQ735" s="134"/>
      <c r="AR735" s="93">
        <f t="shared" si="1352"/>
        <v>0.3350156922364132</v>
      </c>
      <c r="AS735" s="93">
        <f t="shared" si="1353"/>
        <v>0.48516529465844455</v>
      </c>
      <c r="AT735" s="93">
        <f t="shared" si="1354"/>
        <v>0.17981901310514223</v>
      </c>
      <c r="AU735" s="93">
        <f t="shared" ref="AU735:AU751" ca="1" si="1357">+(((AR735+AR734)/2)*M735+((AS734+AS735)/2)*X735+((AT734+AT735)/2)*AF735)</f>
        <v>1.1880948684559346E-4</v>
      </c>
      <c r="AV735" s="132">
        <v>100</v>
      </c>
      <c r="AW735" s="134"/>
      <c r="AX735" s="93"/>
      <c r="AY735" s="93"/>
      <c r="AZ735" s="93"/>
      <c r="BA735" s="93"/>
      <c r="BB735" s="234">
        <f>IFERROR(INDEX('Total Customers'!$E$7:$AA$91,MATCH($C735,'Total Customers'!$C$7:$C$91,0),MATCH($G735,'Total Customers'!$E$5:$AA$5,0)),"NA")</f>
        <v>764604</v>
      </c>
      <c r="BC735" s="411">
        <f t="shared" si="1305"/>
        <v>0.15610392306664495</v>
      </c>
      <c r="BD735" s="92"/>
      <c r="BE735" s="281" t="str">
        <f t="shared" si="1297"/>
        <v>NORTHERN INDIANA PUBLIC SERVICE COMPANY</v>
      </c>
      <c r="BF735" s="290">
        <f t="shared" si="1298"/>
        <v>4012860</v>
      </c>
      <c r="BG735" s="46" t="str">
        <f t="shared" si="1299"/>
        <v>IN</v>
      </c>
      <c r="BH735" s="46"/>
      <c r="BI735" s="46" t="str">
        <f t="shared" si="1300"/>
        <v>2005 Y</v>
      </c>
      <c r="BJ735" s="129"/>
      <c r="BK735" s="129"/>
      <c r="BL735" s="129">
        <f>INDEX('Dist. Plant Gas Additions'!$E$7:$AD$91,MATCH($C735,'Dist. Plant Gas Additions'!$C$7:$C$91,0),MATCH(Calculation!$G735,'Dist. Plant Gas Additions'!$E$5:$AD$5,0))</f>
        <v>32919</v>
      </c>
      <c r="BM735" s="129">
        <f>INDEX('Gen. Plant Additions'!$E$7:$AD$91,MATCH($C735,'Gen. Plant Additions'!$C$7:$C$91,0),MATCH(Calculation!$G735,'Gen. Plant Additions'!$E$5:$AD$5,0))</f>
        <v>2438</v>
      </c>
      <c r="BN735" s="393">
        <f t="shared" si="1330"/>
        <v>0.92683532235969102</v>
      </c>
      <c r="BO735" s="46">
        <f t="shared" si="1278"/>
        <v>2259.6245159129267</v>
      </c>
      <c r="BP735" s="46">
        <f t="shared" si="1279"/>
        <v>-178.37548408707335</v>
      </c>
      <c r="BQ735" s="129">
        <f>INDEX('Dist Plant Depreciation'!$D$7:$AC$94,MATCH($C735,'Dist Plant Depreciation'!$C$7:$C$94,0),MATCH(Calculation!$G735,'Dist Plant Depreciation'!$D$5:$AC$5,0))</f>
        <v>890318</v>
      </c>
      <c r="BR735" s="129">
        <f>INDEX('Gen. Plant Depreciation'!$D$7:$AC$94,MATCH($C735,'Gen. Plant Depreciation'!$C$7:$C$94,0),MATCH(Calculation!$G735,'Gen. Plant Depreciation'!$D$5:$AC$5,0))</f>
        <v>45731</v>
      </c>
      <c r="BS735" s="129"/>
      <c r="BT735" s="129"/>
      <c r="BU735" s="129"/>
      <c r="BV735" s="129"/>
      <c r="BW735" s="129"/>
      <c r="BX735" s="129"/>
      <c r="BY735" s="129">
        <f>INDEX('Gross Dx Plant'!$D$7:$AC$91,MATCH($C735,'Gross Dx Plant'!$C$7:$C$91,0),MATCH(Calculation!$G735,'Gross Dx Plant'!$D$5:$AC$5,0))</f>
        <v>1079119</v>
      </c>
      <c r="BZ735" s="129">
        <f>INDEX('Gross Gen Plant'!$D$7:$AC$91,MATCH($C735,'Gross Gen Plant'!$C$7:$C$91,0),MATCH(Calculation!$G735,'Gross Gen Plant'!$D$5:$AC$5,0))</f>
        <v>85186</v>
      </c>
      <c r="CA735" s="129">
        <f t="shared" si="1325"/>
        <v>228256</v>
      </c>
      <c r="CB735" s="129"/>
      <c r="CC735" s="133">
        <v>2005</v>
      </c>
      <c r="CD735" s="129"/>
      <c r="CE735" s="129"/>
      <c r="CF735" s="129"/>
      <c r="CG735" s="137"/>
      <c r="CH735" s="129">
        <f t="shared" si="1331"/>
        <v>35357</v>
      </c>
      <c r="CI735" s="46">
        <f t="shared" si="1340"/>
        <v>35178.624515912925</v>
      </c>
      <c r="CJ735" s="46">
        <f t="shared" si="1332"/>
        <v>74.97493418277449</v>
      </c>
      <c r="CK735" s="443">
        <v>0.9263157894736842</v>
      </c>
      <c r="CL735" s="46">
        <f>+CL728*CK735+CJ729*CK734+CJ730*CK733+CJ731*CK732+CJ732*CK731+CJ733*CK730+CJ734*CK729+CJ735</f>
        <v>2418.0823782460252</v>
      </c>
      <c r="CM735" s="134">
        <f t="shared" si="1333"/>
        <v>1.9841423687513234E-2</v>
      </c>
      <c r="CN735" s="135">
        <f t="shared" si="1334"/>
        <v>1.1587719905375706E-2</v>
      </c>
      <c r="CO735" s="135">
        <f t="shared" si="1343"/>
        <v>1.1292653196865315E-2</v>
      </c>
      <c r="CP735" s="134">
        <f>VLOOKUP($H735,RoR!$E:$F,2,FALSE)</f>
        <v>5.2350000000000001E-2</v>
      </c>
      <c r="CQ735" s="135">
        <v>3.1010403642454332E-2</v>
      </c>
      <c r="CR735" s="135">
        <f t="shared" si="1341"/>
        <v>2.1339596357545669E-2</v>
      </c>
      <c r="CS735" s="135">
        <f t="shared" si="1344"/>
        <v>1.960928841166831E-2</v>
      </c>
      <c r="CT735" s="135">
        <f t="shared" si="1345"/>
        <v>9.2129610649277341E-2</v>
      </c>
      <c r="CU735" s="139">
        <f t="shared" si="1335"/>
        <v>0.85203761789999999</v>
      </c>
      <c r="CV735" s="335">
        <f t="shared" si="1336"/>
        <v>0.97959983346802826</v>
      </c>
      <c r="CW735" s="335">
        <f t="shared" si="1337"/>
        <v>0.49744508118433622</v>
      </c>
      <c r="CX735" s="335">
        <f t="shared" si="1338"/>
        <v>0.87010519444335932</v>
      </c>
      <c r="CY735" s="335">
        <f t="shared" si="1339"/>
        <v>0.42399975420741998</v>
      </c>
      <c r="CZ735" s="336">
        <f>INDEX('State Tax Lookup'!$D$7:$Z$91,MATCH(Calculation!$C735,'State Tax Lookup'!$B$7:$B$91,0),MATCH($H735,'State Tax Lookup'!$D$6:$Z$6,0))</f>
        <v>0.39989833000000002</v>
      </c>
      <c r="DA735" s="303">
        <v>0.37</v>
      </c>
      <c r="DB735" s="57">
        <f t="shared" si="1342"/>
        <v>12.932661662104993</v>
      </c>
      <c r="DC735" s="56">
        <f t="shared" si="1346"/>
        <v>0.11870759892624504</v>
      </c>
      <c r="DD735" s="303">
        <f>VLOOKUP($H735,RoR!$E:$F,2,FALSE)</f>
        <v>5.2350000000000001E-2</v>
      </c>
      <c r="DE735" s="304">
        <f>HLOOKUP($H735,'GDP-PI'!$D$8:$CQ$11,3,FALSE)</f>
        <v>3.1010403642454332E-2</v>
      </c>
      <c r="DF735" s="303">
        <f>VLOOKUP(H735,'HW Dx Data'!$E:$F,2,FALSE)</f>
        <v>469.20514034936258</v>
      </c>
      <c r="DG735" s="89">
        <f ca="1">VLOOKUP(CC735,'ECI - Input Price'!M$13:N$33,2,FALSE)</f>
        <v>99.224999999999994</v>
      </c>
      <c r="DH735" s="89"/>
      <c r="DI735" s="89"/>
      <c r="DJ735" s="56">
        <f t="shared" ca="1" si="1355"/>
        <v>5.0378726854569796E-2</v>
      </c>
      <c r="DK735" s="53">
        <f>HLOOKUP(H735,'GDP-PI'!$8:$9,2,FALSE)</f>
        <v>87.406999999999996</v>
      </c>
      <c r="DL735" s="355">
        <f t="shared" si="1347"/>
        <v>3.0539295810733648E-2</v>
      </c>
      <c r="EC735"/>
    </row>
    <row r="736" spans="1:133" s="126" customFormat="1" ht="21" customHeight="1" x14ac:dyDescent="0.4">
      <c r="A736" s="233" t="s">
        <v>224</v>
      </c>
      <c r="B736" s="127" t="s">
        <v>224</v>
      </c>
      <c r="C736" s="127">
        <v>4012860</v>
      </c>
      <c r="D736" s="127" t="s">
        <v>225</v>
      </c>
      <c r="E736" s="127"/>
      <c r="F736" s="127"/>
      <c r="G736" s="127" t="s">
        <v>162</v>
      </c>
      <c r="H736" s="128">
        <v>2006</v>
      </c>
      <c r="I736" s="129"/>
      <c r="J736" s="125">
        <f>IFERROR(INDEX('Labor Expenditures'!$E$7:$W$91,MATCH($C736,'Labor Expenditures'!$C$7:$C$91,0),MATCH($G736,'Labor Expenditures'!$E$5:$W$5,0)),"NA")</f>
        <v>55777.59994864391</v>
      </c>
      <c r="K736" s="125">
        <f t="shared" ca="1" si="1348"/>
        <v>509.85009093824414</v>
      </c>
      <c r="L736" s="47"/>
      <c r="M736" s="131">
        <f t="shared" ca="1" si="1356"/>
        <v>-0.12136446800909913</v>
      </c>
      <c r="N736" s="131"/>
      <c r="O736" s="131"/>
      <c r="P736" s="59">
        <f t="shared" ref="P736:P752" ca="1" si="1358">+M736*$AX736</f>
        <v>-2.7688346471829413E-3</v>
      </c>
      <c r="Q736" s="61"/>
      <c r="R736" s="387"/>
      <c r="S736" s="49">
        <f ca="1">+S735*EXP(T736)</f>
        <v>109.18914653255017</v>
      </c>
      <c r="T736" s="61">
        <f ca="1">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</f>
        <v>8.7911481655565032E-2</v>
      </c>
      <c r="U736" s="61"/>
      <c r="V736" s="125">
        <f>IFERROR(INDEX('Non-Labor Expenditures'!$E$7:$AA$91,MATCH($C736,'Non-Labor Expenditures'!$C$7:$C$91,0),MATCH($G736,'Non-Labor Expenditures'!$E$5:$AA$5,0)),"NA")</f>
        <v>80776.382544278138</v>
      </c>
      <c r="W736" s="125">
        <f t="shared" si="1349"/>
        <v>896.77801079421522</v>
      </c>
      <c r="X736" s="131">
        <f t="shared" ref="X736:X751" si="1359">LN(W736/W735)</f>
        <v>-5.3799760415801534E-2</v>
      </c>
      <c r="Y736" s="131">
        <f t="shared" ref="Y736:Y752" si="1360">+X736*AX736</f>
        <v>-1.227399115186204E-3</v>
      </c>
      <c r="Z736" s="131"/>
      <c r="AA736" s="131"/>
      <c r="AB736" s="131"/>
      <c r="AC736" s="125">
        <f t="shared" si="1329"/>
        <v>30294.195911419101</v>
      </c>
      <c r="AD736" s="129"/>
      <c r="AE736" s="133">
        <v>2593.6751631410334</v>
      </c>
      <c r="AF736" s="134">
        <v>3.6132755033834646E-2</v>
      </c>
      <c r="AG736" s="59">
        <f t="shared" si="1350"/>
        <v>8.243403170387104E-4</v>
      </c>
      <c r="AH736" s="134"/>
      <c r="AI736" s="134"/>
      <c r="AJ736" s="129">
        <f t="shared" si="1351"/>
        <v>166848.17840434116</v>
      </c>
      <c r="AK736" s="134">
        <f t="shared" ref="AK736:AK752" si="1361">LN(AJ736/AJ735)</f>
        <v>-2.1609549053288338E-2</v>
      </c>
      <c r="AL736" s="129"/>
      <c r="AM736" s="129"/>
      <c r="AN736" s="129"/>
      <c r="AO736" s="129"/>
      <c r="AP736" s="133">
        <f t="shared" ref="AP736:AP752" si="1362">+(AJ736*1000)/BB736</f>
        <v>234.84098397031437</v>
      </c>
      <c r="AQ736" s="134">
        <f>+BB736/Outputs!$B$14</f>
        <v>2.0485678092631021E-2</v>
      </c>
      <c r="AR736" s="93">
        <f t="shared" si="1352"/>
        <v>0.33430152179109829</v>
      </c>
      <c r="AS736" s="93">
        <f t="shared" si="1353"/>
        <v>0.48413104246498895</v>
      </c>
      <c r="AT736" s="93">
        <f t="shared" si="1354"/>
        <v>0.18156743574391274</v>
      </c>
      <c r="AU736" s="93">
        <f t="shared" ca="1" si="1357"/>
        <v>-6.0160675145062827E-2</v>
      </c>
      <c r="AV736" s="132">
        <f ca="1">+AV735*EXP(AU736)</f>
        <v>94.161322758708209</v>
      </c>
      <c r="AW736" s="134">
        <f ca="1">LN(AV736/AV735)</f>
        <v>-6.0160675145062799E-2</v>
      </c>
      <c r="AX736" s="135">
        <f>+AJ736/$AL$11</f>
        <v>2.2814211544810233E-2</v>
      </c>
      <c r="AY736" s="135">
        <f ca="1">+AX736*AW736</f>
        <v>-1.3725183694380696E-3</v>
      </c>
      <c r="AZ736" s="93"/>
      <c r="BA736" s="93"/>
      <c r="BB736" s="234">
        <f>IFERROR(INDEX('Total Customers'!$E$7:$AA$91,MATCH($C736,'Total Customers'!$C$7:$C$91,0),MATCH($G736,'Total Customers'!$E$5:$AA$5,0)),"NA")</f>
        <v>710473</v>
      </c>
      <c r="BC736" s="411">
        <f t="shared" si="1305"/>
        <v>-7.342710733459562E-2</v>
      </c>
      <c r="BD736" s="92"/>
      <c r="BE736" s="281" t="str">
        <f t="shared" si="1297"/>
        <v>NORTHERN INDIANA PUBLIC SERVICE COMPANY</v>
      </c>
      <c r="BF736" s="290">
        <f t="shared" si="1298"/>
        <v>4012860</v>
      </c>
      <c r="BG736" s="46" t="str">
        <f t="shared" si="1299"/>
        <v>IN</v>
      </c>
      <c r="BH736" s="46"/>
      <c r="BI736" s="46" t="str">
        <f t="shared" si="1300"/>
        <v>2006 Y</v>
      </c>
      <c r="BJ736" s="129"/>
      <c r="BK736" s="129"/>
      <c r="BL736" s="129">
        <f>INDEX('Dist. Plant Gas Additions'!$E$7:$AD$91,MATCH($C736,'Dist. Plant Gas Additions'!$C$7:$C$91,0),MATCH(Calculation!$G736,'Dist. Plant Gas Additions'!$E$5:$AD$5,0))</f>
        <v>46886</v>
      </c>
      <c r="BM736" s="129">
        <f>INDEX('Gen. Plant Additions'!$E$7:$AD$91,MATCH($C736,'Gen. Plant Additions'!$C$7:$C$91,0),MATCH(Calculation!$G736,'Gen. Plant Additions'!$E$5:$AD$5,0))</f>
        <v>2689</v>
      </c>
      <c r="BN736" s="393">
        <f t="shared" si="1330"/>
        <v>0.92953082456413816</v>
      </c>
      <c r="BO736" s="46">
        <f t="shared" si="1278"/>
        <v>2499.5083872529676</v>
      </c>
      <c r="BP736" s="46">
        <f t="shared" si="1279"/>
        <v>-189.49161274703238</v>
      </c>
      <c r="BQ736" s="129">
        <f>INDEX('Dist Plant Depreciation'!$D$7:$AC$94,MATCH($C736,'Dist Plant Depreciation'!$C$7:$C$94,0),MATCH(Calculation!$G736,'Dist Plant Depreciation'!$D$5:$AC$5,0))</f>
        <v>949185</v>
      </c>
      <c r="BR736" s="129">
        <f>INDEX('Gen. Plant Depreciation'!$D$7:$AC$94,MATCH($C736,'Gen. Plant Depreciation'!$C$7:$C$94,0),MATCH(Calculation!$G736,'Gen. Plant Depreciation'!$D$5:$AC$5,0))</f>
        <v>46327</v>
      </c>
      <c r="BS736" s="129"/>
      <c r="BT736" s="129"/>
      <c r="BU736" s="129"/>
      <c r="BV736" s="129"/>
      <c r="BW736" s="129"/>
      <c r="BX736" s="129"/>
      <c r="BY736" s="129">
        <f>INDEX('Gross Dx Plant'!$D$7:$AC$91,MATCH($C736,'Gross Dx Plant'!$C$7:$C$91,0),MATCH(Calculation!$G736,'Gross Dx Plant'!$D$5:$AC$5,0))</f>
        <v>1121122</v>
      </c>
      <c r="BZ736" s="129">
        <f>INDEX('Gross Gen Plant'!$D$7:$AC$91,MATCH($C736,'Gross Gen Plant'!$C$7:$C$91,0),MATCH(Calculation!$G736,'Gross Gen Plant'!$D$5:$AC$5,0))</f>
        <v>84994</v>
      </c>
      <c r="CA736" s="129">
        <f t="shared" si="1325"/>
        <v>210604</v>
      </c>
      <c r="CB736" s="134"/>
      <c r="CC736" s="133">
        <v>2006</v>
      </c>
      <c r="CD736" s="129"/>
      <c r="CE736" s="129"/>
      <c r="CF736" s="129"/>
      <c r="CG736" s="137"/>
      <c r="CH736" s="129">
        <f t="shared" si="1331"/>
        <v>49575</v>
      </c>
      <c r="CI736" s="46">
        <f t="shared" si="1340"/>
        <v>49385.508387252965</v>
      </c>
      <c r="CJ736" s="46">
        <f t="shared" si="1332"/>
        <v>107.1070113605591</v>
      </c>
      <c r="CK736" s="443">
        <v>0.91489361702127658</v>
      </c>
      <c r="CL736" s="46">
        <f>+CL728*CK736+CJ729*CK735+CJ730*CK734+CJ731*CK733+CJ732*CK732+CJ733*CK731+CJ734*CK730+CJ735*CK729+CJ736</f>
        <v>2496.3982436115584</v>
      </c>
      <c r="CM736" s="134">
        <f t="shared" si="1333"/>
        <v>3.1874170143188232E-2</v>
      </c>
      <c r="CN736" s="135">
        <f t="shared" si="1334"/>
        <v>1.1906602626131271E-2</v>
      </c>
      <c r="CO736" s="135">
        <f t="shared" si="1343"/>
        <v>1.1593464024257783E-2</v>
      </c>
      <c r="CP736" s="134">
        <f>VLOOKUP($H736,RoR!$E:$F,2,FALSE)</f>
        <v>5.5874999999999994E-2</v>
      </c>
      <c r="CQ736" s="135">
        <v>3.0512430354548314E-2</v>
      </c>
      <c r="CR736" s="135">
        <f t="shared" si="1341"/>
        <v>2.536256964545168E-2</v>
      </c>
      <c r="CS736" s="135">
        <f t="shared" si="1344"/>
        <v>1.930847758427584E-2</v>
      </c>
      <c r="CT736" s="135">
        <f t="shared" si="1345"/>
        <v>7.9087823893859641E-2</v>
      </c>
      <c r="CU736" s="139">
        <f t="shared" si="1335"/>
        <v>0.85203761789999999</v>
      </c>
      <c r="CV736" s="335">
        <f t="shared" si="1336"/>
        <v>0.91779957551769631</v>
      </c>
      <c r="CW736" s="335">
        <f t="shared" si="1337"/>
        <v>0.52757270693512304</v>
      </c>
      <c r="CX736" s="335">
        <f t="shared" si="1338"/>
        <v>0.88636824549024895</v>
      </c>
      <c r="CY736" s="335">
        <f t="shared" si="1339"/>
        <v>0.42918482841932087</v>
      </c>
      <c r="CZ736" s="336">
        <f>INDEX('State Tax Lookup'!$D$7:$Z$91,MATCH(Calculation!$C736,'State Tax Lookup'!$B$7:$B$91,0),MATCH($H736,'State Tax Lookup'!$D$6:$Z$6,0))</f>
        <v>0.39989833000000002</v>
      </c>
      <c r="DA736" s="303">
        <v>0.37</v>
      </c>
      <c r="DB736" s="57">
        <f t="shared" si="1342"/>
        <v>12.528190182417703</v>
      </c>
      <c r="DC736" s="56">
        <f t="shared" si="1346"/>
        <v>-3.177470354801748E-2</v>
      </c>
      <c r="DD736" s="303">
        <f>VLOOKUP($H736,RoR!$E:$F,2,FALSE)</f>
        <v>5.5874999999999994E-2</v>
      </c>
      <c r="DE736" s="304">
        <f>HLOOKUP($H736,'GDP-PI'!$D$8:$CQ$11,3,FALSE)</f>
        <v>3.0512430354548314E-2</v>
      </c>
      <c r="DF736" s="303">
        <f>VLOOKUP(H736,'HW Dx Data'!$E:$F,2,FALSE)</f>
        <v>461.08567272971823</v>
      </c>
      <c r="DG736" s="89">
        <f ca="1">VLOOKUP(CC736,'ECI - Input Price'!M$13:N$33,2,FALSE)</f>
        <v>109.4</v>
      </c>
      <c r="DH736" s="89"/>
      <c r="DI736" s="89"/>
      <c r="DJ736" s="56">
        <f t="shared" ca="1" si="1355"/>
        <v>9.7620891318751846E-2</v>
      </c>
      <c r="DK736" s="53">
        <f>HLOOKUP(H736,'GDP-PI'!$8:$9,2,FALSE)</f>
        <v>90.073999999999998</v>
      </c>
      <c r="DL736" s="355">
        <f t="shared" si="1347"/>
        <v>3.005618372545445E-2</v>
      </c>
      <c r="EC736"/>
    </row>
    <row r="737" spans="1:133" s="126" customFormat="1" ht="21" customHeight="1" x14ac:dyDescent="0.4">
      <c r="A737" s="233" t="s">
        <v>224</v>
      </c>
      <c r="B737" s="127" t="s">
        <v>224</v>
      </c>
      <c r="C737" s="127">
        <v>4012860</v>
      </c>
      <c r="D737" s="127" t="s">
        <v>225</v>
      </c>
      <c r="E737" s="127"/>
      <c r="F737" s="127"/>
      <c r="G737" s="127" t="s">
        <v>163</v>
      </c>
      <c r="H737" s="128">
        <v>2007</v>
      </c>
      <c r="I737" s="129"/>
      <c r="J737" s="125">
        <f>IFERROR(INDEX('Labor Expenditures'!$E$7:$W$91,MATCH($C737,'Labor Expenditures'!$C$7:$C$91,0),MATCH($G737,'Labor Expenditures'!$E$5:$W$5,0)),"NA")</f>
        <v>57300.331631253488</v>
      </c>
      <c r="K737" s="125">
        <f t="shared" ca="1" si="1348"/>
        <v>548.19738465681405</v>
      </c>
      <c r="L737" s="47"/>
      <c r="M737" s="131">
        <f t="shared" ca="1" si="1356"/>
        <v>7.2518669901443816E-2</v>
      </c>
      <c r="N737" s="131"/>
      <c r="O737" s="131"/>
      <c r="P737" s="59">
        <f t="shared" ca="1" si="1358"/>
        <v>1.6423241808033709E-3</v>
      </c>
      <c r="Q737" s="61"/>
      <c r="R737" s="387"/>
      <c r="S737" s="49">
        <f t="shared" ref="S737:S750" ca="1" si="1363">+S736*EXP(T737)</f>
        <v>118.30124168625954</v>
      </c>
      <c r="T737" s="61">
        <f ca="1">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</f>
        <v>8.0152599365563654E-2</v>
      </c>
      <c r="U737" s="61"/>
      <c r="V737" s="125">
        <f>IFERROR(INDEX('Non-Labor Expenditures'!$E$7:$AA$91,MATCH($C737,'Non-Labor Expenditures'!$C$7:$C$91,0),MATCH($G737,'Non-Labor Expenditures'!$E$5:$AA$5,0)),"NA")</f>
        <v>82981.582427744157</v>
      </c>
      <c r="W737" s="125">
        <f t="shared" si="1349"/>
        <v>897.11758554502967</v>
      </c>
      <c r="X737" s="131">
        <f t="shared" si="1359"/>
        <v>3.7858920615375859E-4</v>
      </c>
      <c r="Y737" s="131">
        <f t="shared" si="1360"/>
        <v>8.5738777159382371E-6</v>
      </c>
      <c r="Z737" s="131"/>
      <c r="AA737" s="131"/>
      <c r="AB737" s="131"/>
      <c r="AC737" s="125">
        <f t="shared" si="1329"/>
        <v>33314.969645359255</v>
      </c>
      <c r="AD737" s="129"/>
      <c r="AE737" s="133">
        <v>2645.1887979305352</v>
      </c>
      <c r="AF737" s="134">
        <v>1.9666590126957088E-2</v>
      </c>
      <c r="AG737" s="59">
        <f t="shared" si="1350"/>
        <v>4.4538760243873973E-4</v>
      </c>
      <c r="AH737" s="134"/>
      <c r="AI737" s="134"/>
      <c r="AJ737" s="129">
        <f t="shared" si="1351"/>
        <v>173596.88370435691</v>
      </c>
      <c r="AK737" s="134">
        <f t="shared" si="1361"/>
        <v>3.9651563480205418E-2</v>
      </c>
      <c r="AL737" s="129"/>
      <c r="AM737" s="129"/>
      <c r="AN737" s="129"/>
      <c r="AO737" s="129"/>
      <c r="AP737" s="133">
        <f t="shared" si="1362"/>
        <v>240.84419584807802</v>
      </c>
      <c r="AQ737" s="134">
        <f>+BB737/Outputs!$B$15</f>
        <v>2.0626536058599584E-2</v>
      </c>
      <c r="AR737" s="93">
        <f t="shared" si="1352"/>
        <v>0.33007695995763647</v>
      </c>
      <c r="AS737" s="93">
        <f t="shared" si="1353"/>
        <v>0.47801308789082542</v>
      </c>
      <c r="AT737" s="93">
        <f t="shared" si="1354"/>
        <v>0.19190995215153808</v>
      </c>
      <c r="AU737" s="93">
        <f t="shared" ca="1" si="1357"/>
        <v>2.794456394975111E-2</v>
      </c>
      <c r="AV737" s="132">
        <f ca="1">+AV736*EXP(AU737)</f>
        <v>96.829729957903737</v>
      </c>
      <c r="AW737" s="134">
        <f ca="1">LN(AV737/AV736)</f>
        <v>2.7944563949751099E-2</v>
      </c>
      <c r="AX737" s="135">
        <f>+AJ737/$AL$12</f>
        <v>2.2646915381037247E-2</v>
      </c>
      <c r="AY737" s="135">
        <f t="shared" ref="AY737:AY751" ca="1" si="1364">+AX737*AW737</f>
        <v>6.3285817512999712E-4</v>
      </c>
      <c r="AZ737" s="93"/>
      <c r="BA737" s="93"/>
      <c r="BB737" s="234">
        <f>IFERROR(INDEX('Total Customers'!$E$7:$AA$91,MATCH($C737,'Total Customers'!$C$7:$C$91,0),MATCH($G737,'Total Customers'!$E$5:$AA$5,0)),"NA")</f>
        <v>720785</v>
      </c>
      <c r="BC737" s="411">
        <f t="shared" si="1305"/>
        <v>1.440995045909186E-2</v>
      </c>
      <c r="BD737" s="92"/>
      <c r="BE737" s="281" t="str">
        <f t="shared" si="1297"/>
        <v>NORTHERN INDIANA PUBLIC SERVICE COMPANY</v>
      </c>
      <c r="BF737" s="290">
        <f t="shared" si="1298"/>
        <v>4012860</v>
      </c>
      <c r="BG737" s="46" t="str">
        <f t="shared" si="1299"/>
        <v>IN</v>
      </c>
      <c r="BH737" s="46"/>
      <c r="BI737" s="46" t="str">
        <f t="shared" si="1300"/>
        <v>2007 Y</v>
      </c>
      <c r="BJ737" s="129"/>
      <c r="BK737" s="129"/>
      <c r="BL737" s="129">
        <f>INDEX('Dist. Plant Gas Additions'!$E$7:$AD$91,MATCH($C737,'Dist. Plant Gas Additions'!$C$7:$C$91,0),MATCH(Calculation!$G737,'Dist. Plant Gas Additions'!$E$5:$AD$5,0))</f>
        <v>37090</v>
      </c>
      <c r="BM737" s="129">
        <f>INDEX('Gen. Plant Additions'!$E$7:$AD$91,MATCH($C737,'Gen. Plant Additions'!$C$7:$C$91,0),MATCH(Calculation!$G737,'Gen. Plant Additions'!$E$5:$AD$5,0))</f>
        <v>-3205</v>
      </c>
      <c r="BN737" s="393">
        <f t="shared" si="1330"/>
        <v>0.9418500699268727</v>
      </c>
      <c r="BO737" s="46">
        <f t="shared" si="1278"/>
        <v>-3018.6294741156271</v>
      </c>
      <c r="BP737" s="46">
        <f t="shared" si="1279"/>
        <v>186.37052588437291</v>
      </c>
      <c r="BQ737" s="129">
        <f>INDEX('Dist Plant Depreciation'!$D$7:$AC$94,MATCH($C737,'Dist Plant Depreciation'!$C$7:$C$94,0),MATCH(Calculation!$G737,'Dist Plant Depreciation'!$D$5:$AC$5,0))</f>
        <v>1010440</v>
      </c>
      <c r="BR737" s="129">
        <f>INDEX('Gen. Plant Depreciation'!$D$7:$AC$94,MATCH($C737,'Gen. Plant Depreciation'!$C$7:$C$94,0),MATCH(Calculation!$G737,'Gen. Plant Depreciation'!$D$5:$AC$5,0))</f>
        <v>40600</v>
      </c>
      <c r="BS737" s="129"/>
      <c r="BT737" s="129"/>
      <c r="BU737" s="129"/>
      <c r="BV737" s="129"/>
      <c r="BW737" s="129"/>
      <c r="BX737" s="129"/>
      <c r="BY737" s="129">
        <f>INDEX('Gross Dx Plant'!$D$7:$AC$91,MATCH($C737,'Gross Dx Plant'!$C$7:$C$91,0),MATCH(Calculation!$G737,'Gross Dx Plant'!$D$5:$AC$5,0))</f>
        <v>1153626</v>
      </c>
      <c r="BZ737" s="129">
        <f>INDEX('Gross Gen Plant'!$D$7:$AC$91,MATCH($C737,'Gross Gen Plant'!$C$7:$C$91,0),MATCH(Calculation!$G737,'Gross Gen Plant'!$D$5:$AC$5,0))</f>
        <v>71225</v>
      </c>
      <c r="CA737" s="129">
        <f t="shared" si="1325"/>
        <v>173811</v>
      </c>
      <c r="CB737" s="129"/>
      <c r="CC737" s="133">
        <v>2007</v>
      </c>
      <c r="CD737" s="129"/>
      <c r="CE737" s="129"/>
      <c r="CF737" s="129"/>
      <c r="CG737" s="137"/>
      <c r="CH737" s="129">
        <f t="shared" si="1331"/>
        <v>33885</v>
      </c>
      <c r="CI737" s="46">
        <f t="shared" si="1340"/>
        <v>34071.370525884369</v>
      </c>
      <c r="CJ737" s="46">
        <f t="shared" si="1332"/>
        <v>68.413341063307911</v>
      </c>
      <c r="CK737" s="443">
        <v>0.90322580645161288</v>
      </c>
      <c r="CL737" s="46">
        <f>+CL728*CK737+CJ729*CK736+CJ730*CK735+CJ731*CK734+CJ732*CK733+CJ733*CK732+CJ734*CK731+CJ735*CK730+CJ736*CK729+CJ737</f>
        <v>2534.3473675057376</v>
      </c>
      <c r="CM737" s="134">
        <f t="shared" si="1333"/>
        <v>1.5087164672863392E-2</v>
      </c>
      <c r="CN737" s="135">
        <f t="shared" si="1334"/>
        <v>1.2203268147255206E-2</v>
      </c>
      <c r="CO737" s="135">
        <f t="shared" si="1343"/>
        <v>1.1899196892920729E-2</v>
      </c>
      <c r="CP737" s="134">
        <f>VLOOKUP($H737,RoR!$E:$F,2,FALSE)</f>
        <v>5.5558333333333321E-2</v>
      </c>
      <c r="CQ737" s="135">
        <v>2.691120634145272E-2</v>
      </c>
      <c r="CR737" s="135">
        <f t="shared" si="1341"/>
        <v>2.86471269918806E-2</v>
      </c>
      <c r="CS737" s="135">
        <f t="shared" si="1344"/>
        <v>1.9002744715612897E-2</v>
      </c>
      <c r="CT737" s="135">
        <f t="shared" si="1345"/>
        <v>6.4575155250632399E-2</v>
      </c>
      <c r="CU737" s="139">
        <f t="shared" si="1335"/>
        <v>0.85203761789999999</v>
      </c>
      <c r="CV737" s="335">
        <f t="shared" si="1336"/>
        <v>0.92303077153834634</v>
      </c>
      <c r="CW737" s="335">
        <f t="shared" si="1337"/>
        <v>0.52502249887505614</v>
      </c>
      <c r="CX737" s="335">
        <f t="shared" si="1338"/>
        <v>0.88499666072084604</v>
      </c>
      <c r="CY737" s="335">
        <f t="shared" si="1339"/>
        <v>0.42887993290280618</v>
      </c>
      <c r="CZ737" s="336">
        <f>INDEX('State Tax Lookup'!$D$7:$Z$91,MATCH(Calculation!$C737,'State Tax Lookup'!$B$7:$B$91,0),MATCH($H737,'State Tax Lookup'!$D$6:$Z$6,0))</f>
        <v>0.39989833000000002</v>
      </c>
      <c r="DA737" s="303">
        <v>0.37</v>
      </c>
      <c r="DB737" s="57">
        <f t="shared" si="1342"/>
        <v>13.345214342549061</v>
      </c>
      <c r="DC737" s="56">
        <f t="shared" si="1346"/>
        <v>6.317652464262731E-2</v>
      </c>
      <c r="DD737" s="303">
        <f>VLOOKUP($H737,RoR!$E:$F,2,FALSE)</f>
        <v>5.5558333333333321E-2</v>
      </c>
      <c r="DE737" s="304">
        <f>HLOOKUP($H737,'GDP-PI'!$D$8:$CQ$11,3,FALSE)</f>
        <v>2.691120634145272E-2</v>
      </c>
      <c r="DF737" s="303">
        <f>VLOOKUP(H737,'HW Dx Data'!$E:$F,2,FALSE)</f>
        <v>498.0223154772637</v>
      </c>
      <c r="DG737" s="89">
        <f ca="1">VLOOKUP(CC737,'ECI - Input Price'!M$13:N$33,2,FALSE)</f>
        <v>104.52499999999999</v>
      </c>
      <c r="DH737" s="89"/>
      <c r="DI737" s="89"/>
      <c r="DJ737" s="56">
        <f t="shared" ca="1" si="1355"/>
        <v>-4.5584612745252218E-2</v>
      </c>
      <c r="DK737" s="53">
        <f>HLOOKUP(H737,'GDP-PI'!$8:$9,2,FALSE)</f>
        <v>92.498000000000005</v>
      </c>
      <c r="DL737" s="355">
        <f t="shared" si="1347"/>
        <v>2.6555467950038037E-2</v>
      </c>
      <c r="EC737"/>
    </row>
    <row r="738" spans="1:133" s="126" customFormat="1" ht="21" customHeight="1" x14ac:dyDescent="0.4">
      <c r="A738" s="233" t="s">
        <v>224</v>
      </c>
      <c r="B738" s="127" t="s">
        <v>224</v>
      </c>
      <c r="C738" s="127">
        <v>4012860</v>
      </c>
      <c r="D738" s="127" t="s">
        <v>225</v>
      </c>
      <c r="E738" s="127"/>
      <c r="F738" s="127"/>
      <c r="G738" s="127" t="s">
        <v>164</v>
      </c>
      <c r="H738" s="128">
        <v>2008</v>
      </c>
      <c r="I738" s="129"/>
      <c r="J738" s="125">
        <f>IFERROR(INDEX('Labor Expenditures'!$E$7:$W$91,MATCH($C738,'Labor Expenditures'!$C$7:$C$91,0),MATCH($G738,'Labor Expenditures'!$E$5:$W$5,0)),"NA")</f>
        <v>58336.005173820064</v>
      </c>
      <c r="K738" s="125">
        <f t="shared" ca="1" si="1348"/>
        <v>540.64879679165949</v>
      </c>
      <c r="L738" s="47"/>
      <c r="M738" s="131">
        <f t="shared" ca="1" si="1356"/>
        <v>-1.3865519170104458E-2</v>
      </c>
      <c r="N738" s="131"/>
      <c r="O738" s="131"/>
      <c r="P738" s="59">
        <f t="shared" ca="1" si="1358"/>
        <v>-3.1002611676447133E-4</v>
      </c>
      <c r="Q738" s="61"/>
      <c r="R738" s="387"/>
      <c r="S738" s="49">
        <f t="shared" ca="1" si="1363"/>
        <v>109.93201610732186</v>
      </c>
      <c r="T738" s="61">
        <f ca="1">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</f>
        <v>-7.3372127667383699E-2</v>
      </c>
      <c r="U738" s="61"/>
      <c r="V738" s="125">
        <f>IFERROR(INDEX('Non-Labor Expenditures'!$E$7:$AA$91,MATCH($C738,'Non-Labor Expenditures'!$C$7:$C$91,0),MATCH($G738,'Non-Labor Expenditures'!$E$5:$AA$5,0)),"NA")</f>
        <v>84481.431154515682</v>
      </c>
      <c r="W738" s="125">
        <f t="shared" si="1349"/>
        <v>896.22158145756259</v>
      </c>
      <c r="X738" s="131">
        <f t="shared" si="1359"/>
        <v>-9.9925789667653893E-4</v>
      </c>
      <c r="Y738" s="131">
        <f t="shared" si="1360"/>
        <v>-2.2342909886909544E-5</v>
      </c>
      <c r="Z738" s="131"/>
      <c r="AA738" s="131"/>
      <c r="AB738" s="131"/>
      <c r="AC738" s="125">
        <f t="shared" si="1329"/>
        <v>38064.127329715251</v>
      </c>
      <c r="AD738" s="129"/>
      <c r="AE738" s="133">
        <v>2697.6735409178964</v>
      </c>
      <c r="AF738" s="134">
        <v>1.9647308120672023E-2</v>
      </c>
      <c r="AG738" s="59">
        <f t="shared" si="1350"/>
        <v>4.3930404385147319E-4</v>
      </c>
      <c r="AH738" s="134"/>
      <c r="AI738" s="134"/>
      <c r="AJ738" s="129">
        <f t="shared" si="1351"/>
        <v>180881.56365805102</v>
      </c>
      <c r="AK738" s="134">
        <f t="shared" si="1361"/>
        <v>4.110662160505657E-2</v>
      </c>
      <c r="AL738" s="129"/>
      <c r="AM738" s="129"/>
      <c r="AN738" s="129"/>
      <c r="AO738" s="129"/>
      <c r="AP738" s="133">
        <f t="shared" si="1362"/>
        <v>251.28686667664741</v>
      </c>
      <c r="AQ738" s="134">
        <f>+BB738/Outputs!$B$16</f>
        <v>2.0488815633278774E-2</v>
      </c>
      <c r="AR738" s="93">
        <f t="shared" si="1352"/>
        <v>0.32250940335799966</v>
      </c>
      <c r="AS738" s="93">
        <f t="shared" si="1353"/>
        <v>0.46705385250994552</v>
      </c>
      <c r="AT738" s="93">
        <f t="shared" si="1354"/>
        <v>0.21043674413205474</v>
      </c>
      <c r="AU738" s="93">
        <f t="shared" ca="1" si="1357"/>
        <v>-1.0438924102834594E-3</v>
      </c>
      <c r="AV738" s="132">
        <f t="shared" ref="AV738:AV751" ca="1" si="1365">+AV737*EXP(AU738)</f>
        <v>96.728702877586272</v>
      </c>
      <c r="AW738" s="134">
        <f t="shared" ref="AW738:AW751" ca="1" si="1366">LN(AV738/AV737)</f>
        <v>-1.0438924102834078E-3</v>
      </c>
      <c r="AX738" s="135">
        <f>+AJ738/$AL$13</f>
        <v>2.2359502948358458E-2</v>
      </c>
      <c r="AY738" s="135">
        <f t="shared" ca="1" si="1364"/>
        <v>-2.3340915425500872E-5</v>
      </c>
      <c r="AZ738" s="93"/>
      <c r="BA738" s="93"/>
      <c r="BB738" s="234">
        <f>IFERROR(INDEX('Total Customers'!$E$7:$AA$91,MATCH($C738,'Total Customers'!$C$7:$C$91,0),MATCH($G738,'Total Customers'!$E$5:$AA$5,0)),"NA")</f>
        <v>719821</v>
      </c>
      <c r="BC738" s="411">
        <f t="shared" si="1305"/>
        <v>-1.3383258765912545E-3</v>
      </c>
      <c r="BD738" s="92"/>
      <c r="BE738" s="281" t="str">
        <f t="shared" si="1297"/>
        <v>NORTHERN INDIANA PUBLIC SERVICE COMPANY</v>
      </c>
      <c r="BF738" s="290">
        <f t="shared" si="1298"/>
        <v>4012860</v>
      </c>
      <c r="BG738" s="46" t="str">
        <f t="shared" si="1299"/>
        <v>IN</v>
      </c>
      <c r="BH738" s="46"/>
      <c r="BI738" s="46" t="str">
        <f t="shared" si="1300"/>
        <v>2008 Y</v>
      </c>
      <c r="BJ738" s="129"/>
      <c r="BK738" s="129"/>
      <c r="BL738" s="129">
        <f>INDEX('Dist. Plant Gas Additions'!$E$7:$AD$91,MATCH($C738,'Dist. Plant Gas Additions'!$C$7:$C$91,0),MATCH(Calculation!$G738,'Dist. Plant Gas Additions'!$E$5:$AD$5,0))</f>
        <v>37490</v>
      </c>
      <c r="BM738" s="129">
        <f>INDEX('Gen. Plant Additions'!$E$7:$AD$91,MATCH($C738,'Gen. Plant Additions'!$C$7:$C$91,0),MATCH(Calculation!$G738,'Gen. Plant Additions'!$E$5:$AD$5,0))</f>
        <v>2349</v>
      </c>
      <c r="BN738" s="393">
        <f t="shared" si="1330"/>
        <v>0.94508768800903631</v>
      </c>
      <c r="BO738" s="46">
        <f t="shared" si="1278"/>
        <v>2220.0109791332261</v>
      </c>
      <c r="BP738" s="46">
        <f t="shared" si="1279"/>
        <v>-128.9890208667739</v>
      </c>
      <c r="BQ738" s="129">
        <f>INDEX('Dist Plant Depreciation'!$D$7:$AC$94,MATCH($C738,'Dist Plant Depreciation'!$C$7:$C$94,0),MATCH(Calculation!$G738,'Dist Plant Depreciation'!$D$5:$AC$5,0))</f>
        <v>1081021</v>
      </c>
      <c r="BR738" s="129">
        <f>INDEX('Gen. Plant Depreciation'!$D$7:$AC$94,MATCH($C738,'Gen. Plant Depreciation'!$C$7:$C$94,0),MATCH(Calculation!$G738,'Gen. Plant Depreciation'!$D$5:$AC$5,0))</f>
        <v>39348</v>
      </c>
      <c r="BS738" s="129"/>
      <c r="BT738" s="129"/>
      <c r="BU738" s="129"/>
      <c r="BV738" s="129"/>
      <c r="BW738" s="129"/>
      <c r="BX738" s="129"/>
      <c r="BY738" s="129">
        <f>INDEX('Gross Dx Plant'!$D$7:$AC$91,MATCH($C738,'Gross Dx Plant'!$C$7:$C$91,0),MATCH(Calculation!$G738,'Gross Dx Plant'!$D$5:$AC$5,0))</f>
        <v>1192299</v>
      </c>
      <c r="BZ738" s="129">
        <f>INDEX('Gross Gen Plant'!$D$7:$AC$91,MATCH($C738,'Gross Gen Plant'!$C$7:$C$91,0),MATCH(Calculation!$G738,'Gross Gen Plant'!$D$5:$AC$5,0))</f>
        <v>69276</v>
      </c>
      <c r="CA738" s="129">
        <f t="shared" si="1325"/>
        <v>141206</v>
      </c>
      <c r="CB738" s="129"/>
      <c r="CC738" s="133">
        <v>2008</v>
      </c>
      <c r="CD738" s="129"/>
      <c r="CE738" s="129"/>
      <c r="CF738" s="129"/>
      <c r="CG738" s="137"/>
      <c r="CH738" s="129">
        <f t="shared" si="1331"/>
        <v>39839</v>
      </c>
      <c r="CI738" s="46">
        <f t="shared" si="1340"/>
        <v>39710.010979133229</v>
      </c>
      <c r="CJ738" s="46">
        <f t="shared" si="1332"/>
        <v>69.68120855142422</v>
      </c>
      <c r="CK738" s="443">
        <v>0.89130434782608692</v>
      </c>
      <c r="CL738" s="46">
        <f>+CL728*CK738+CJ729*CK737+CJ730*CK736+CJ731*CK735+CJ732*CK734+CJ733*CK733+CJ734*CK732+CJ735*CK731+CJ736*CK730+CJ737*CK729+CJ738</f>
        <v>2572.233413852744</v>
      </c>
      <c r="CM738" s="134">
        <f t="shared" si="1333"/>
        <v>1.4838398962577099E-2</v>
      </c>
      <c r="CN738" s="135">
        <f t="shared" si="1334"/>
        <v>1.2545700171997368E-2</v>
      </c>
      <c r="CO738" s="135">
        <f t="shared" si="1343"/>
        <v>1.221852364846128E-2</v>
      </c>
      <c r="CP738" s="134">
        <f>VLOOKUP($H738,RoR!$E:$F,2,FALSE)</f>
        <v>5.6316666666666668E-2</v>
      </c>
      <c r="CQ738" s="135">
        <v>1.9092304698479889E-2</v>
      </c>
      <c r="CR738" s="135">
        <f t="shared" si="1341"/>
        <v>3.7224361968186778E-2</v>
      </c>
      <c r="CS738" s="135">
        <f t="shared" si="1344"/>
        <v>1.8683417960072345E-2</v>
      </c>
      <c r="CT738" s="135">
        <f t="shared" si="1345"/>
        <v>6.9030581091053131E-2</v>
      </c>
      <c r="CU738" s="139">
        <f t="shared" si="1335"/>
        <v>0.85203761789999999</v>
      </c>
      <c r="CV738" s="335">
        <f t="shared" si="1336"/>
        <v>0.91060168006009956</v>
      </c>
      <c r="CW738" s="335">
        <f t="shared" si="1337"/>
        <v>0.53108168097070152</v>
      </c>
      <c r="CX738" s="335">
        <f t="shared" si="1338"/>
        <v>0.88825329850328805</v>
      </c>
      <c r="CY738" s="335">
        <f t="shared" si="1339"/>
        <v>0.4295627335323573</v>
      </c>
      <c r="CZ738" s="336">
        <f>INDEX('State Tax Lookup'!$D$7:$Z$91,MATCH(Calculation!$C738,'State Tax Lookup'!$B$7:$B$91,0),MATCH($H738,'State Tax Lookup'!$D$6:$Z$6,0))</f>
        <v>0.39989833000000002</v>
      </c>
      <c r="DA738" s="303">
        <v>0.37</v>
      </c>
      <c r="DB738" s="57">
        <f t="shared" si="1342"/>
        <v>15.019301543962117</v>
      </c>
      <c r="DC738" s="56">
        <f t="shared" si="1346"/>
        <v>0.11817829915645435</v>
      </c>
      <c r="DD738" s="303">
        <f>VLOOKUP($H738,RoR!$E:$F,2,FALSE)</f>
        <v>5.6316666666666668E-2</v>
      </c>
      <c r="DE738" s="304">
        <f>HLOOKUP($H738,'GDP-PI'!$D$8:$CQ$11,3,FALSE)</f>
        <v>1.9092304698479889E-2</v>
      </c>
      <c r="DF738" s="303">
        <f>VLOOKUP(H738,'HW Dx Data'!$E:$F,2,FALSE)</f>
        <v>569.88120333515076</v>
      </c>
      <c r="DG738" s="89">
        <f ca="1">VLOOKUP(CC738,'ECI - Input Price'!M$13:N$33,2,FALSE)</f>
        <v>107.9</v>
      </c>
      <c r="DH738" s="89"/>
      <c r="DI738" s="89"/>
      <c r="DJ738" s="56">
        <f t="shared" ca="1" si="1355"/>
        <v>3.1778595021460486E-2</v>
      </c>
      <c r="DK738" s="53">
        <f>HLOOKUP(H738,'GDP-PI'!$8:$9,2,FALSE)</f>
        <v>94.263999999999996</v>
      </c>
      <c r="DL738" s="355">
        <f t="shared" si="1347"/>
        <v>1.8912333748032254E-2</v>
      </c>
      <c r="EC738"/>
    </row>
    <row r="739" spans="1:133" s="126" customFormat="1" ht="21" customHeight="1" x14ac:dyDescent="0.4">
      <c r="A739" s="233" t="s">
        <v>224</v>
      </c>
      <c r="B739" s="127" t="s">
        <v>224</v>
      </c>
      <c r="C739" s="127">
        <v>4012860</v>
      </c>
      <c r="D739" s="127" t="s">
        <v>225</v>
      </c>
      <c r="E739" s="127"/>
      <c r="F739" s="127"/>
      <c r="G739" s="127" t="s">
        <v>165</v>
      </c>
      <c r="H739" s="128">
        <v>2009</v>
      </c>
      <c r="I739" s="129"/>
      <c r="J739" s="125">
        <f>IFERROR(INDEX('Labor Expenditures'!$E$7:$W$91,MATCH($C739,'Labor Expenditures'!$C$7:$C$91,0),MATCH($G739,'Labor Expenditures'!$E$5:$W$5,0)),"NA")</f>
        <v>65460.433223629181</v>
      </c>
      <c r="K739" s="125">
        <f t="shared" ca="1" si="1348"/>
        <v>590.13237073364155</v>
      </c>
      <c r="L739" s="47"/>
      <c r="M739" s="131">
        <f t="shared" ca="1" si="1356"/>
        <v>8.7576975006821101E-2</v>
      </c>
      <c r="N739" s="131"/>
      <c r="O739" s="131"/>
      <c r="P739" s="59">
        <f t="shared" ca="1" si="1358"/>
        <v>2.0396262155951876E-3</v>
      </c>
      <c r="Q739" s="61"/>
      <c r="R739" s="387"/>
      <c r="S739" s="49">
        <f t="shared" ca="1" si="1363"/>
        <v>117.6411585475649</v>
      </c>
      <c r="T739" s="61">
        <f ca="1">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</f>
        <v>6.7776822540660558E-2</v>
      </c>
      <c r="U739" s="61"/>
      <c r="V739" s="125">
        <f>IFERROR(INDEX('Non-Labor Expenditures'!$E$7:$AA$91,MATCH($C739,'Non-Labor Expenditures'!$C$7:$C$91,0),MATCH($G739,'Non-Labor Expenditures'!$E$5:$AA$5,0)),"NA")</f>
        <v>94798.933630248488</v>
      </c>
      <c r="W739" s="125">
        <f t="shared" si="1349"/>
        <v>997.8940160448899</v>
      </c>
      <c r="X739" s="131">
        <f t="shared" si="1359"/>
        <v>0.10745939118939547</v>
      </c>
      <c r="Y739" s="131">
        <f t="shared" si="1360"/>
        <v>2.5026782594936457E-3</v>
      </c>
      <c r="Z739" s="131"/>
      <c r="AA739" s="131"/>
      <c r="AB739" s="131"/>
      <c r="AC739" s="125">
        <f t="shared" si="1329"/>
        <v>36696.054645436125</v>
      </c>
      <c r="AD739" s="129"/>
      <c r="AE739" s="133">
        <v>2745.2304169817412</v>
      </c>
      <c r="AF739" s="134">
        <v>1.7475261987985172E-2</v>
      </c>
      <c r="AG739" s="59">
        <f t="shared" si="1350"/>
        <v>4.0699056427003226E-4</v>
      </c>
      <c r="AH739" s="134"/>
      <c r="AI739" s="134"/>
      <c r="AJ739" s="129">
        <f t="shared" si="1351"/>
        <v>196955.42149931379</v>
      </c>
      <c r="AK739" s="134">
        <f t="shared" si="1361"/>
        <v>8.5134943667336427E-2</v>
      </c>
      <c r="AL739" s="129"/>
      <c r="AM739" s="129"/>
      <c r="AN739" s="129"/>
      <c r="AO739" s="129"/>
      <c r="AP739" s="133">
        <f t="shared" si="1362"/>
        <v>274.19469654159968</v>
      </c>
      <c r="AQ739" s="134">
        <f>+BB739/Outputs!$B$17</f>
        <v>2.0419600974835143E-2</v>
      </c>
      <c r="AR739" s="93">
        <f t="shared" si="1352"/>
        <v>0.33236167212516793</v>
      </c>
      <c r="AS739" s="93">
        <f t="shared" si="1353"/>
        <v>0.48132177783478164</v>
      </c>
      <c r="AT739" s="93">
        <f t="shared" si="1354"/>
        <v>0.18631655004005046</v>
      </c>
      <c r="AU739" s="93">
        <f t="shared" ca="1" si="1357"/>
        <v>8.3098431713118329E-2</v>
      </c>
      <c r="AV739" s="132">
        <f t="shared" ca="1" si="1365"/>
        <v>105.11012542367037</v>
      </c>
      <c r="AW739" s="134">
        <f t="shared" ca="1" si="1366"/>
        <v>8.3098431713118245E-2</v>
      </c>
      <c r="AX739" s="135">
        <f>+AJ739/$AL$14</f>
        <v>2.3289525762180383E-2</v>
      </c>
      <c r="AY739" s="135">
        <f t="shared" ca="1" si="1364"/>
        <v>1.9353230661794548E-3</v>
      </c>
      <c r="AZ739" s="93"/>
      <c r="BA739" s="93"/>
      <c r="BB739" s="234">
        <f>IFERROR(INDEX('Total Customers'!$E$7:$AA$91,MATCH($C739,'Total Customers'!$C$7:$C$91,0),MATCH($G739,'Total Customers'!$E$5:$AA$5,0)),"NA")</f>
        <v>718305</v>
      </c>
      <c r="BC739" s="411">
        <f t="shared" si="1305"/>
        <v>-2.1083000537403269E-3</v>
      </c>
      <c r="BD739" s="92"/>
      <c r="BE739" s="281" t="str">
        <f t="shared" si="1297"/>
        <v>NORTHERN INDIANA PUBLIC SERVICE COMPANY</v>
      </c>
      <c r="BF739" s="290">
        <f t="shared" si="1298"/>
        <v>4012860</v>
      </c>
      <c r="BG739" s="46" t="str">
        <f t="shared" si="1299"/>
        <v>IN</v>
      </c>
      <c r="BH739" s="46"/>
      <c r="BI739" s="46" t="str">
        <f t="shared" si="1300"/>
        <v>2009 Y</v>
      </c>
      <c r="BJ739" s="129"/>
      <c r="BK739" s="129"/>
      <c r="BL739" s="129">
        <f>INDEX('Dist. Plant Gas Additions'!$E$7:$AD$91,MATCH($C739,'Dist. Plant Gas Additions'!$C$7:$C$91,0),MATCH(Calculation!$G739,'Dist. Plant Gas Additions'!$E$5:$AD$5,0))</f>
        <v>34996</v>
      </c>
      <c r="BM739" s="129">
        <f>INDEX('Gen. Plant Additions'!$E$7:$AD$91,MATCH($C739,'Gen. Plant Additions'!$C$7:$C$91,0),MATCH(Calculation!$G739,'Gen. Plant Additions'!$E$5:$AD$5,0))</f>
        <v>1325</v>
      </c>
      <c r="BN739" s="393">
        <f t="shared" si="1330"/>
        <v>0.94907152650183269</v>
      </c>
      <c r="BO739" s="46">
        <f t="shared" si="1278"/>
        <v>1257.5197726149283</v>
      </c>
      <c r="BP739" s="46">
        <f t="shared" si="1279"/>
        <v>-67.480227385071657</v>
      </c>
      <c r="BQ739" s="129">
        <f>INDEX('Dist Plant Depreciation'!$D$7:$AC$94,MATCH($C739,'Dist Plant Depreciation'!$C$7:$C$94,0),MATCH(Calculation!$G739,'Dist Plant Depreciation'!$D$5:$AC$5,0))</f>
        <v>1143360</v>
      </c>
      <c r="BR739" s="129">
        <f>INDEX('Gen. Plant Depreciation'!$D$7:$AC$94,MATCH($C739,'Gen. Plant Depreciation'!$C$7:$C$94,0),MATCH(Calculation!$G739,'Gen. Plant Depreciation'!$D$5:$AC$5,0))</f>
        <v>38248</v>
      </c>
      <c r="BS739" s="129"/>
      <c r="BT739" s="129"/>
      <c r="BU739" s="129"/>
      <c r="BV739" s="129"/>
      <c r="BW739" s="129"/>
      <c r="BX739" s="129"/>
      <c r="BY739" s="129">
        <f>INDEX('Gross Dx Plant'!$D$7:$AC$91,MATCH($C739,'Gross Dx Plant'!$C$7:$C$91,0),MATCH(Calculation!$G739,'Gross Dx Plant'!$D$5:$AC$5,0))</f>
        <v>1221102</v>
      </c>
      <c r="BZ739" s="129">
        <f>INDEX('Gross Gen Plant'!$D$7:$AC$91,MATCH($C739,'Gross Gen Plant'!$C$7:$C$91,0),MATCH(Calculation!$G739,'Gross Gen Plant'!$D$5:$AC$5,0))</f>
        <v>65526</v>
      </c>
      <c r="CA739" s="129">
        <f t="shared" si="1325"/>
        <v>105020</v>
      </c>
      <c r="CB739" s="129"/>
      <c r="CC739" s="133">
        <v>2009</v>
      </c>
      <c r="CD739" s="129"/>
      <c r="CE739" s="129"/>
      <c r="CF739" s="129"/>
      <c r="CG739" s="137"/>
      <c r="CH739" s="129">
        <f t="shared" si="1331"/>
        <v>36321</v>
      </c>
      <c r="CI739" s="46">
        <f t="shared" si="1340"/>
        <v>36253.519772614927</v>
      </c>
      <c r="CJ739" s="46">
        <f t="shared" si="1332"/>
        <v>65.802951082691081</v>
      </c>
      <c r="CK739" s="443">
        <v>0.87912087912087911</v>
      </c>
      <c r="CL739" s="46">
        <f>+CL728*CK739+CJ729*CK738+CJ730*CK737+CJ731*CK736+CJ732*CK735+CJ733*CK734+CJ734*CK733+CJ735*CK732+CJ736*CK731+CJ737*CK730+CJ738*CK729+CJ739</f>
        <v>2604.8628841590703</v>
      </c>
      <c r="CM739" s="134">
        <f t="shared" si="1333"/>
        <v>1.2605484036085347E-2</v>
      </c>
      <c r="CN739" s="135">
        <f t="shared" si="1334"/>
        <v>1.2896761467178381E-2</v>
      </c>
      <c r="CO739" s="135">
        <f t="shared" si="1343"/>
        <v>1.2548576595476984E-2</v>
      </c>
      <c r="CP739" s="134">
        <f>VLOOKUP($H739,RoR!$E:$F,2,FALSE)</f>
        <v>5.3133333333333324E-2</v>
      </c>
      <c r="CQ739" s="135">
        <v>7.7972502758210105E-3</v>
      </c>
      <c r="CR739" s="135">
        <f t="shared" si="1341"/>
        <v>4.5336083057512314E-2</v>
      </c>
      <c r="CS739" s="135">
        <f t="shared" si="1344"/>
        <v>1.8353365013056643E-2</v>
      </c>
      <c r="CT739" s="135">
        <f t="shared" si="1345"/>
        <v>6.3720160300892073E-2</v>
      </c>
      <c r="CU739" s="139">
        <f t="shared" si="1335"/>
        <v>0.85203761789999999</v>
      </c>
      <c r="CV739" s="335">
        <f t="shared" si="1336"/>
        <v>0.96515780330083989</v>
      </c>
      <c r="CW739" s="335">
        <f t="shared" si="1337"/>
        <v>0.50448557089084056</v>
      </c>
      <c r="CX739" s="335">
        <f t="shared" si="1338"/>
        <v>0.87391435735465484</v>
      </c>
      <c r="CY739" s="335">
        <f t="shared" si="1339"/>
        <v>0.42551605393279146</v>
      </c>
      <c r="CZ739" s="336">
        <f>INDEX('State Tax Lookup'!$D$7:$Z$91,MATCH(Calculation!$C739,'State Tax Lookup'!$B$7:$B$91,0),MATCH($H739,'State Tax Lookup'!$D$6:$Z$6,0))</f>
        <v>0.39989833000000002</v>
      </c>
      <c r="DA739" s="303">
        <v>0.37</v>
      </c>
      <c r="DB739" s="57">
        <f t="shared" si="1342"/>
        <v>14.266222671632283</v>
      </c>
      <c r="DC739" s="56">
        <f t="shared" si="1346"/>
        <v>-5.1441451233103494E-2</v>
      </c>
      <c r="DD739" s="303">
        <f>VLOOKUP($H739,RoR!$E:$F,2,FALSE)</f>
        <v>5.3133333333333324E-2</v>
      </c>
      <c r="DE739" s="304">
        <f>HLOOKUP($H739,'GDP-PI'!$D$8:$CQ$11,3,FALSE)</f>
        <v>7.7972502758210105E-3</v>
      </c>
      <c r="DF739" s="303">
        <f>VLOOKUP(H739,'HW Dx Data'!$E:$F,2,FALSE)</f>
        <v>550.94063679692806</v>
      </c>
      <c r="DG739" s="89">
        <f ca="1">VLOOKUP(CC739,'ECI - Input Price'!M$13:N$33,2,FALSE)</f>
        <v>110.925</v>
      </c>
      <c r="DH739" s="89"/>
      <c r="DI739" s="89"/>
      <c r="DJ739" s="56">
        <f t="shared" ca="1" si="1355"/>
        <v>2.7649425000884052E-2</v>
      </c>
      <c r="DK739" s="53">
        <f>HLOOKUP(H739,'GDP-PI'!$8:$9,2,FALSE)</f>
        <v>94.998999999999995</v>
      </c>
      <c r="DL739" s="355">
        <f t="shared" si="1347"/>
        <v>7.7670088183096342E-3</v>
      </c>
      <c r="EC739"/>
    </row>
    <row r="740" spans="1:133" s="126" customFormat="1" ht="21" customHeight="1" x14ac:dyDescent="0.4">
      <c r="A740" s="233" t="s">
        <v>224</v>
      </c>
      <c r="B740" s="127" t="s">
        <v>224</v>
      </c>
      <c r="C740" s="127">
        <v>4012860</v>
      </c>
      <c r="D740" s="127" t="s">
        <v>225</v>
      </c>
      <c r="E740" s="127"/>
      <c r="F740" s="127"/>
      <c r="G740" s="127" t="s">
        <v>166</v>
      </c>
      <c r="H740" s="128">
        <v>2010</v>
      </c>
      <c r="I740" s="129"/>
      <c r="J740" s="125">
        <f>IFERROR(INDEX('Labor Expenditures'!$E$7:$W$91,MATCH($C740,'Labor Expenditures'!$C$7:$C$91,0),MATCH($G740,'Labor Expenditures'!$E$5:$W$5,0)),"NA")</f>
        <v>69623.825830962989</v>
      </c>
      <c r="K740" s="125">
        <f t="shared" ca="1" si="1348"/>
        <v>595.45713774610215</v>
      </c>
      <c r="L740" s="47"/>
      <c r="M740" s="131">
        <f t="shared" ca="1" si="1356"/>
        <v>8.982540377065763E-3</v>
      </c>
      <c r="N740" s="131"/>
      <c r="O740" s="131"/>
      <c r="P740" s="59">
        <f t="shared" ca="1" si="1358"/>
        <v>2.1448078625431195E-4</v>
      </c>
      <c r="Q740" s="61"/>
      <c r="R740" s="387"/>
      <c r="S740" s="49">
        <f t="shared" ca="1" si="1363"/>
        <v>96.581789721749729</v>
      </c>
      <c r="T740" s="61">
        <f ca="1">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</f>
        <v>-0.1972487506318901</v>
      </c>
      <c r="U740" s="61"/>
      <c r="V740" s="125">
        <f>IFERROR(INDEX('Non-Labor Expenditures'!$E$7:$AA$91,MATCH($C740,'Non-Labor Expenditures'!$C$7:$C$91,0),MATCH($G740,'Non-Labor Expenditures'!$E$5:$AA$5,0)),"NA")</f>
        <v>100828.30374014312</v>
      </c>
      <c r="W740" s="125">
        <f t="shared" si="1349"/>
        <v>1049.1036608449065</v>
      </c>
      <c r="X740" s="131">
        <f t="shared" si="1359"/>
        <v>5.0044347916891774E-2</v>
      </c>
      <c r="Y740" s="131">
        <f t="shared" si="1360"/>
        <v>1.1949349113090776E-3</v>
      </c>
      <c r="Z740" s="131"/>
      <c r="AA740" s="131"/>
      <c r="AB740" s="131"/>
      <c r="AC740" s="125">
        <f t="shared" si="1329"/>
        <v>37701.294444393461</v>
      </c>
      <c r="AD740" s="129"/>
      <c r="AE740" s="133">
        <v>2769.4800565853811</v>
      </c>
      <c r="AF740" s="134">
        <v>8.7945853252530889E-3</v>
      </c>
      <c r="AG740" s="59">
        <f t="shared" si="1350"/>
        <v>2.0999288577170695E-4</v>
      </c>
      <c r="AH740" s="134"/>
      <c r="AI740" s="134"/>
      <c r="AJ740" s="129">
        <f t="shared" si="1351"/>
        <v>208153.42401549956</v>
      </c>
      <c r="AK740" s="134">
        <f t="shared" si="1361"/>
        <v>5.5298006930114406E-2</v>
      </c>
      <c r="AL740" s="129"/>
      <c r="AM740" s="129"/>
      <c r="AN740" s="129"/>
      <c r="AO740" s="129"/>
      <c r="AP740" s="133">
        <f t="shared" si="1362"/>
        <v>261.82194892889299</v>
      </c>
      <c r="AQ740" s="134">
        <f>+BB740/Outputs!$B$18</f>
        <v>2.2476730637211676E-2</v>
      </c>
      <c r="AR740" s="93">
        <f t="shared" si="1352"/>
        <v>0.33448321189171815</v>
      </c>
      <c r="AS740" s="93">
        <f t="shared" si="1353"/>
        <v>0.48439416366571619</v>
      </c>
      <c r="AT740" s="93">
        <f t="shared" si="1354"/>
        <v>0.18112262444256569</v>
      </c>
      <c r="AU740" s="93">
        <f t="shared" ca="1" si="1357"/>
        <v>2.877503041654448E-2</v>
      </c>
      <c r="AV740" s="132">
        <f t="shared" ca="1" si="1365"/>
        <v>108.17860860523926</v>
      </c>
      <c r="AW740" s="134">
        <f t="shared" ca="1" si="1366"/>
        <v>2.8775030416544535E-2</v>
      </c>
      <c r="AX740" s="135">
        <f>+AJ740/$AL$15</f>
        <v>2.3877519860854134E-2</v>
      </c>
      <c r="AY740" s="135">
        <f t="shared" ca="1" si="1364"/>
        <v>6.8707636026772397E-4</v>
      </c>
      <c r="AZ740" s="93"/>
      <c r="BA740" s="93"/>
      <c r="BB740" s="234">
        <f>IFERROR(INDEX('Total Customers'!$E$7:$AA$91,MATCH($C740,'Total Customers'!$C$7:$C$91,0),MATCH($G740,'Total Customers'!$E$5:$AA$5,0)),"NA")</f>
        <v>795019</v>
      </c>
      <c r="BC740" s="411">
        <f t="shared" si="1305"/>
        <v>0.10147174380343141</v>
      </c>
      <c r="BD740" s="92"/>
      <c r="BE740" s="281" t="str">
        <f t="shared" si="1297"/>
        <v>NORTHERN INDIANA PUBLIC SERVICE COMPANY</v>
      </c>
      <c r="BF740" s="290">
        <f t="shared" si="1298"/>
        <v>4012860</v>
      </c>
      <c r="BG740" s="46" t="str">
        <f t="shared" si="1299"/>
        <v>IN</v>
      </c>
      <c r="BH740" s="46"/>
      <c r="BI740" s="46" t="str">
        <f t="shared" si="1300"/>
        <v>2010 Y</v>
      </c>
      <c r="BJ740" s="129"/>
      <c r="BK740" s="129"/>
      <c r="BL740" s="129">
        <f>INDEX('Dist. Plant Gas Additions'!$E$7:$AD$91,MATCH($C740,'Dist. Plant Gas Additions'!$C$7:$C$91,0),MATCH(Calculation!$G740,'Dist. Plant Gas Additions'!$E$5:$AD$5,0))</f>
        <v>24429</v>
      </c>
      <c r="BM740" s="129">
        <f>INDEX('Gen. Plant Additions'!$E$7:$AD$91,MATCH($C740,'Gen. Plant Additions'!$C$7:$C$91,0),MATCH(Calculation!$G740,'Gen. Plant Additions'!$E$5:$AD$5,0))</f>
        <v>371</v>
      </c>
      <c r="BN740" s="393">
        <f t="shared" si="1330"/>
        <v>0.95138455840523783</v>
      </c>
      <c r="BO740" s="46">
        <f t="shared" si="1278"/>
        <v>352.96367116834324</v>
      </c>
      <c r="BP740" s="46">
        <f t="shared" si="1279"/>
        <v>-18.03632883165676</v>
      </c>
      <c r="BQ740" s="129">
        <f>INDEX('Dist Plant Depreciation'!$D$7:$AC$94,MATCH($C740,'Dist Plant Depreciation'!$C$7:$C$94,0),MATCH(Calculation!$G740,'Dist Plant Depreciation'!$D$5:$AC$5,0))</f>
        <v>1198204</v>
      </c>
      <c r="BR740" s="129">
        <f>INDEX('Gen. Plant Depreciation'!$D$7:$AC$94,MATCH($C740,'Gen. Plant Depreciation'!$C$7:$C$94,0),MATCH(Calculation!$G740,'Gen. Plant Depreciation'!$D$5:$AC$5,0))</f>
        <v>36658</v>
      </c>
      <c r="BS740" s="129"/>
      <c r="BT740" s="129"/>
      <c r="BU740" s="129"/>
      <c r="BV740" s="129"/>
      <c r="BW740" s="129"/>
      <c r="BX740" s="129"/>
      <c r="BY740" s="129">
        <f>INDEX('Gross Dx Plant'!$D$7:$AC$91,MATCH($C740,'Gross Dx Plant'!$C$7:$C$91,0),MATCH(Calculation!$G740,'Gross Dx Plant'!$D$5:$AC$5,0))</f>
        <v>1356310</v>
      </c>
      <c r="BZ740" s="129">
        <f>INDEX('Gross Gen Plant'!$D$7:$AC$91,MATCH($C740,'Gross Gen Plant'!$C$7:$C$91,0),MATCH(Calculation!$G740,'Gross Gen Plant'!$D$5:$AC$5,0))</f>
        <v>69307</v>
      </c>
      <c r="CA740" s="129">
        <f t="shared" si="1325"/>
        <v>190755</v>
      </c>
      <c r="CB740" s="129"/>
      <c r="CC740" s="133">
        <v>2010</v>
      </c>
      <c r="CD740" s="129"/>
      <c r="CE740" s="129"/>
      <c r="CF740" s="129"/>
      <c r="CG740" s="137"/>
      <c r="CH740" s="129">
        <f t="shared" si="1331"/>
        <v>24800</v>
      </c>
      <c r="CI740" s="46">
        <f t="shared" si="1340"/>
        <v>24781.963671168342</v>
      </c>
      <c r="CJ740" s="46">
        <f t="shared" si="1332"/>
        <v>43.554342490736168</v>
      </c>
      <c r="CK740" s="443">
        <v>0.8666666666666667</v>
      </c>
      <c r="CL740" s="46">
        <f>+CL728*CK740+CJ729*CK739+CJ730*CK738+CJ731*CK737+CJ732*CK736+CJ733*CK735+CJ734*CK734+CJ735*CK733+CJ736*CK732+CJ737*CK731+CJ738*CK730+CJ739*CK729+CJ740</f>
        <v>2613.8674100612366</v>
      </c>
      <c r="CM740" s="134">
        <f t="shared" si="1333"/>
        <v>3.4508527286481617E-3</v>
      </c>
      <c r="CN740" s="135">
        <f t="shared" si="1334"/>
        <v>1.3263583583872066E-2</v>
      </c>
      <c r="CO740" s="135">
        <f t="shared" si="1343"/>
        <v>1.2902015074349271E-2</v>
      </c>
      <c r="CP740" s="134">
        <f>VLOOKUP($H740,RoR!$E:$F,2,FALSE)</f>
        <v>4.9433333333333322E-2</v>
      </c>
      <c r="CQ740" s="135">
        <v>1.1684333519300205E-2</v>
      </c>
      <c r="CR740" s="135">
        <f t="shared" si="1341"/>
        <v>3.7748999814033117E-2</v>
      </c>
      <c r="CS740" s="135">
        <f t="shared" si="1344"/>
        <v>1.7999926534184356E-2</v>
      </c>
      <c r="CT740" s="135">
        <f t="shared" si="1345"/>
        <v>4.7937530248493419E-2</v>
      </c>
      <c r="CU740" s="139">
        <f t="shared" si="1335"/>
        <v>0.85203761789999999</v>
      </c>
      <c r="CV740" s="335">
        <f t="shared" si="1336"/>
        <v>1.037398205301105</v>
      </c>
      <c r="CW740" s="335">
        <f t="shared" si="1337"/>
        <v>0.46926837491571133</v>
      </c>
      <c r="CX740" s="335">
        <f t="shared" si="1338"/>
        <v>0.8548537519972772</v>
      </c>
      <c r="CY740" s="335">
        <f t="shared" si="1339"/>
        <v>0.41615833911547367</v>
      </c>
      <c r="CZ740" s="336">
        <f>INDEX('State Tax Lookup'!$D$7:$Z$91,MATCH(Calculation!$C740,'State Tax Lookup'!$B$7:$B$91,0),MATCH($H740,'State Tax Lookup'!$D$6:$Z$6,0))</f>
        <v>0.39989833000000002</v>
      </c>
      <c r="DA740" s="303">
        <v>0.37</v>
      </c>
      <c r="DB740" s="57">
        <f t="shared" si="1342"/>
        <v>14.473427631706073</v>
      </c>
      <c r="DC740" s="56">
        <f t="shared" si="1346"/>
        <v>1.4419698790958486E-2</v>
      </c>
      <c r="DD740" s="303">
        <f>VLOOKUP($H740,RoR!$E:$F,2,FALSE)</f>
        <v>4.9433333333333322E-2</v>
      </c>
      <c r="DE740" s="304">
        <f>HLOOKUP($H740,'GDP-PI'!$D$8:$CQ$11,3,FALSE)</f>
        <v>1.1684333519300205E-2</v>
      </c>
      <c r="DF740" s="303">
        <f>VLOOKUP(H740,'HW Dx Data'!$E:$F,2,FALSE)</f>
        <v>568.98950262971744</v>
      </c>
      <c r="DG740" s="89">
        <f ca="1">VLOOKUP(CC740,'ECI - Input Price'!M$13:N$33,2,FALSE)</f>
        <v>116.925</v>
      </c>
      <c r="DH740" s="89"/>
      <c r="DI740" s="89"/>
      <c r="DJ740" s="56">
        <f t="shared" ca="1" si="1355"/>
        <v>5.2678406346976722E-2</v>
      </c>
      <c r="DK740" s="53">
        <f>HLOOKUP(H740,'GDP-PI'!$8:$9,2,FALSE)</f>
        <v>96.108999999999995</v>
      </c>
      <c r="DL740" s="355">
        <f t="shared" si="1347"/>
        <v>1.1616598807150427E-2</v>
      </c>
      <c r="EC740"/>
    </row>
    <row r="741" spans="1:133" s="126" customFormat="1" ht="21" customHeight="1" x14ac:dyDescent="0.4">
      <c r="A741" s="233" t="s">
        <v>224</v>
      </c>
      <c r="B741" s="127" t="s">
        <v>224</v>
      </c>
      <c r="C741" s="127">
        <v>4012860</v>
      </c>
      <c r="D741" s="127" t="s">
        <v>225</v>
      </c>
      <c r="E741" s="127"/>
      <c r="F741" s="127"/>
      <c r="G741" s="127" t="s">
        <v>167</v>
      </c>
      <c r="H741" s="128">
        <v>2011</v>
      </c>
      <c r="I741" s="129"/>
      <c r="J741" s="125">
        <f>IFERROR(INDEX('Labor Expenditures'!$E$7:$W$91,MATCH($C741,'Labor Expenditures'!$C$7:$C$91,0),MATCH($G741,'Labor Expenditures'!$E$5:$W$5,0)),"NA")</f>
        <v>79700.076581267931</v>
      </c>
      <c r="K741" s="125">
        <f t="shared" ca="1" si="1348"/>
        <v>659.35947533623937</v>
      </c>
      <c r="L741" s="47"/>
      <c r="M741" s="131">
        <f t="shared" ca="1" si="1356"/>
        <v>0.10193946258530745</v>
      </c>
      <c r="N741" s="131"/>
      <c r="O741" s="131"/>
      <c r="P741" s="59">
        <f t="shared" ca="1" si="1358"/>
        <v>2.640781731609183E-3</v>
      </c>
      <c r="Q741" s="61"/>
      <c r="R741" s="387"/>
      <c r="S741" s="49">
        <f t="shared" ca="1" si="1363"/>
        <v>116.10675850623528</v>
      </c>
      <c r="T741" s="61">
        <f ca="1">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</f>
        <v>0.18411988856027695</v>
      </c>
      <c r="U741" s="61"/>
      <c r="V741" s="125">
        <f>IFERROR(INDEX('Non-Labor Expenditures'!$E$7:$AA$91,MATCH($C741,'Non-Labor Expenditures'!$C$7:$C$91,0),MATCH($G741,'Non-Labor Expenditures'!$E$5:$AA$5,0)),"NA")</f>
        <v>115420.59681062493</v>
      </c>
      <c r="W741" s="125">
        <f t="shared" si="1349"/>
        <v>1176.4167156986398</v>
      </c>
      <c r="X741" s="131">
        <f t="shared" si="1359"/>
        <v>0.11453699353396735</v>
      </c>
      <c r="Y741" s="131">
        <f t="shared" si="1360"/>
        <v>2.9671257082096365E-3</v>
      </c>
      <c r="Z741" s="131"/>
      <c r="AA741" s="131"/>
      <c r="AB741" s="131"/>
      <c r="AC741" s="125">
        <f t="shared" si="1329"/>
        <v>39910.703111314229</v>
      </c>
      <c r="AD741" s="129"/>
      <c r="AE741" s="133">
        <v>2830.6999112543108</v>
      </c>
      <c r="AF741" s="134">
        <v>2.1864402164810084E-2</v>
      </c>
      <c r="AG741" s="59">
        <f t="shared" si="1350"/>
        <v>5.6640590743813372E-4</v>
      </c>
      <c r="AH741" s="134"/>
      <c r="AI741" s="134"/>
      <c r="AJ741" s="129">
        <f t="shared" si="1351"/>
        <v>235031.37650320708</v>
      </c>
      <c r="AK741" s="134">
        <f t="shared" si="1361"/>
        <v>0.12144359901060996</v>
      </c>
      <c r="AL741" s="129"/>
      <c r="AM741" s="129"/>
      <c r="AN741" s="129"/>
      <c r="AO741" s="129"/>
      <c r="AP741" s="133">
        <f t="shared" si="1362"/>
        <v>295.64401728243456</v>
      </c>
      <c r="AQ741" s="134">
        <f>+BB741/Outputs!$B$19</f>
        <v>2.2367211484000352E-2</v>
      </c>
      <c r="AR741" s="93">
        <f t="shared" si="1352"/>
        <v>0.33910398588922191</v>
      </c>
      <c r="AS741" s="93">
        <f t="shared" si="1353"/>
        <v>0.49108590745563702</v>
      </c>
      <c r="AT741" s="93">
        <f t="shared" si="1354"/>
        <v>0.16981010665514115</v>
      </c>
      <c r="AU741" s="93">
        <f t="shared" ca="1" si="1357"/>
        <v>9.4033302955094045E-2</v>
      </c>
      <c r="AV741" s="132">
        <f t="shared" ca="1" si="1365"/>
        <v>118.84462259427069</v>
      </c>
      <c r="AW741" s="134">
        <f t="shared" ca="1" si="1366"/>
        <v>9.4033302955094086E-2</v>
      </c>
      <c r="AX741" s="135">
        <f>+AJ741/$AL$16</f>
        <v>2.5905391931993562E-2</v>
      </c>
      <c r="AY741" s="135">
        <f t="shared" ca="1" si="1364"/>
        <v>2.4359695677116009E-3</v>
      </c>
      <c r="AZ741" s="93"/>
      <c r="BA741" s="93"/>
      <c r="BB741" s="234">
        <f>IFERROR(INDEX('Total Customers'!$E$7:$AA$91,MATCH($C741,'Total Customers'!$C$7:$C$91,0),MATCH($G741,'Total Customers'!$E$5:$AA$5,0)),"NA")</f>
        <v>794981</v>
      </c>
      <c r="BC741" s="411">
        <f t="shared" si="1305"/>
        <v>-4.7798742147451226E-5</v>
      </c>
      <c r="BD741" s="92"/>
      <c r="BE741" s="281" t="str">
        <f t="shared" si="1297"/>
        <v>NORTHERN INDIANA PUBLIC SERVICE COMPANY</v>
      </c>
      <c r="BF741" s="290">
        <f t="shared" si="1298"/>
        <v>4012860</v>
      </c>
      <c r="BG741" s="46" t="str">
        <f t="shared" si="1299"/>
        <v>IN</v>
      </c>
      <c r="BH741" s="46"/>
      <c r="BI741" s="46" t="str">
        <f t="shared" si="1300"/>
        <v>2011 Y</v>
      </c>
      <c r="BJ741" s="129"/>
      <c r="BK741" s="129"/>
      <c r="BL741" s="129">
        <f>INDEX('Dist. Plant Gas Additions'!$E$7:$AD$91,MATCH($C741,'Dist. Plant Gas Additions'!$C$7:$C$91,0),MATCH(Calculation!$G741,'Dist. Plant Gas Additions'!$E$5:$AD$5,0))</f>
        <v>44416</v>
      </c>
      <c r="BM741" s="129">
        <f>INDEX('Gen. Plant Additions'!$E$7:$AD$91,MATCH($C741,'Gen. Plant Additions'!$C$7:$C$91,0),MATCH(Calculation!$G741,'Gen. Plant Additions'!$E$5:$AD$5,0))</f>
        <v>5404</v>
      </c>
      <c r="BN741" s="393">
        <f t="shared" si="1330"/>
        <v>0.9511301268851059</v>
      </c>
      <c r="BO741" s="46">
        <f t="shared" si="1278"/>
        <v>5139.9072056871119</v>
      </c>
      <c r="BP741" s="46">
        <f t="shared" si="1279"/>
        <v>-264.09279431288815</v>
      </c>
      <c r="BQ741" s="129">
        <f>INDEX('Dist Plant Depreciation'!$D$7:$AC$94,MATCH($C741,'Dist Plant Depreciation'!$C$7:$C$94,0),MATCH(Calculation!$G741,'Dist Plant Depreciation'!$D$5:$AC$5,0))</f>
        <v>1256274</v>
      </c>
      <c r="BR741" s="129">
        <f>INDEX('Gen. Plant Depreciation'!$D$7:$AC$94,MATCH($C741,'Gen. Plant Depreciation'!$C$7:$C$94,0),MATCH(Calculation!$G741,'Gen. Plant Depreciation'!$D$5:$AC$5,0))</f>
        <v>40576</v>
      </c>
      <c r="BS741" s="129"/>
      <c r="BT741" s="129"/>
      <c r="BU741" s="129"/>
      <c r="BV741" s="129"/>
      <c r="BW741" s="129"/>
      <c r="BX741" s="129"/>
      <c r="BY741" s="129">
        <f>INDEX('Gross Dx Plant'!$D$7:$AC$91,MATCH($C741,'Gross Dx Plant'!$C$7:$C$91,0),MATCH(Calculation!$G741,'Gross Dx Plant'!$D$5:$AC$5,0))</f>
        <v>1396279</v>
      </c>
      <c r="BZ741" s="129">
        <f>INDEX('Gross Gen Plant'!$D$7:$AC$91,MATCH($C741,'Gross Gen Plant'!$C$7:$C$91,0),MATCH(Calculation!$G741,'Gross Gen Plant'!$D$5:$AC$5,0))</f>
        <v>71742</v>
      </c>
      <c r="CA741" s="129">
        <f t="shared" si="1325"/>
        <v>171171</v>
      </c>
      <c r="CB741" s="129"/>
      <c r="CC741" s="133">
        <v>2011</v>
      </c>
      <c r="CD741" s="129"/>
      <c r="CE741" s="129"/>
      <c r="CF741" s="129"/>
      <c r="CG741" s="137"/>
      <c r="CH741" s="129">
        <f t="shared" si="1331"/>
        <v>49820</v>
      </c>
      <c r="CI741" s="46">
        <f t="shared" si="1340"/>
        <v>49555.907205687108</v>
      </c>
      <c r="CJ741" s="46">
        <f t="shared" si="1332"/>
        <v>81.025193165780337</v>
      </c>
      <c r="CK741" s="443">
        <v>0.8539325842696629</v>
      </c>
      <c r="CL741" s="46">
        <f>+CL728*CK741+CJ729*CK740+CJ730*CK739+CJ731*CK738+CJ732*CK737+CJ733*CK736+CJ734*CK735+CJ735*CK734+CJ736*CK733+CJ737*CK732+CJ738*CK731+CJ739*CK730+CJ740*CK729+CJ741</f>
        <v>2659.1496656461409</v>
      </c>
      <c r="CM741" s="134">
        <f t="shared" si="1333"/>
        <v>1.7175506208518713E-2</v>
      </c>
      <c r="CN741" s="135">
        <f t="shared" si="1334"/>
        <v>1.3674349908987412E-2</v>
      </c>
      <c r="CO741" s="135">
        <f t="shared" si="1343"/>
        <v>1.3278231653345953E-2</v>
      </c>
      <c r="CP741" s="134">
        <f>VLOOKUP($H741,RoR!$E:$F,2,FALSE)</f>
        <v>4.6391666666666664E-2</v>
      </c>
      <c r="CQ741" s="135">
        <v>2.0840920205183799E-2</v>
      </c>
      <c r="CR741" s="135">
        <f t="shared" si="1341"/>
        <v>2.5550746461482865E-2</v>
      </c>
      <c r="CS741" s="135">
        <f t="shared" si="1344"/>
        <v>1.7623709955187673E-2</v>
      </c>
      <c r="CT741" s="135">
        <f t="shared" si="1345"/>
        <v>2.4810540821321614E-2</v>
      </c>
      <c r="CU741" s="139">
        <f t="shared" si="1335"/>
        <v>0.85203761789999999</v>
      </c>
      <c r="CV741" s="335">
        <f t="shared" si="1336"/>
        <v>1.1054151524782025</v>
      </c>
      <c r="CW741" s="335">
        <f t="shared" si="1337"/>
        <v>0.43611011316687626</v>
      </c>
      <c r="CX741" s="335">
        <f t="shared" si="1338"/>
        <v>0.83698442246886229</v>
      </c>
      <c r="CY741" s="335">
        <f t="shared" si="1339"/>
        <v>0.40349573304423936</v>
      </c>
      <c r="CZ741" s="336">
        <f>INDEX('State Tax Lookup'!$D$7:$Z$91,MATCH(Calculation!$C741,'State Tax Lookup'!$B$7:$B$91,0),MATCH($H741,'State Tax Lookup'!$D$6:$Z$6,0))</f>
        <v>0.39989833000000002</v>
      </c>
      <c r="DA741" s="303">
        <v>0.37</v>
      </c>
      <c r="DB741" s="57">
        <f t="shared" si="1342"/>
        <v>15.268832289538061</v>
      </c>
      <c r="DC741" s="56">
        <f t="shared" si="1346"/>
        <v>5.349925433929386E-2</v>
      </c>
      <c r="DD741" s="303">
        <f>VLOOKUP($H741,RoR!$E:$F,2,FALSE)</f>
        <v>4.6391666666666664E-2</v>
      </c>
      <c r="DE741" s="304">
        <f>HLOOKUP($H741,'GDP-PI'!$D$8:$CQ$11,3,FALSE)</f>
        <v>2.0840920205183799E-2</v>
      </c>
      <c r="DF741" s="303">
        <f>VLOOKUP(H741,'HW Dx Data'!$E:$F,2,FALSE)</f>
        <v>611.61109612283201</v>
      </c>
      <c r="DG741" s="89">
        <f ca="1">VLOOKUP(CC741,'ECI - Input Price'!M$13:N$33,2,FALSE)</f>
        <v>120.875</v>
      </c>
      <c r="DH741" s="89"/>
      <c r="DI741" s="89"/>
      <c r="DJ741" s="56">
        <f t="shared" ca="1" si="1355"/>
        <v>3.3224250161508609E-2</v>
      </c>
      <c r="DK741" s="53">
        <f>HLOOKUP(H741,'GDP-PI'!$8:$9,2,FALSE)</f>
        <v>98.111999999999995</v>
      </c>
      <c r="DL741" s="355">
        <f t="shared" si="1347"/>
        <v>2.0626719212849295E-2</v>
      </c>
      <c r="EC741"/>
    </row>
    <row r="742" spans="1:133" s="126" customFormat="1" ht="21" customHeight="1" x14ac:dyDescent="0.4">
      <c r="A742" s="233" t="s">
        <v>224</v>
      </c>
      <c r="B742" s="127" t="s">
        <v>224</v>
      </c>
      <c r="C742" s="127">
        <v>4012860</v>
      </c>
      <c r="D742" s="127" t="s">
        <v>225</v>
      </c>
      <c r="E742" s="127"/>
      <c r="F742" s="127"/>
      <c r="G742" s="127" t="s">
        <v>168</v>
      </c>
      <c r="H742" s="128">
        <v>2012</v>
      </c>
      <c r="I742" s="129"/>
      <c r="J742" s="125">
        <f>IFERROR(INDEX('Labor Expenditures'!$E$7:$W$91,MATCH($C742,'Labor Expenditures'!$C$7:$C$91,0),MATCH($G742,'Labor Expenditures'!$E$5:$W$5,0)),"NA")</f>
        <v>67311.612741434088</v>
      </c>
      <c r="K742" s="125">
        <f t="shared" ca="1" si="1348"/>
        <v>539.35587132559363</v>
      </c>
      <c r="L742" s="47"/>
      <c r="M742" s="131">
        <f t="shared" ca="1" si="1356"/>
        <v>-0.200893275182702</v>
      </c>
      <c r="N742" s="131"/>
      <c r="O742" s="131"/>
      <c r="P742" s="59">
        <f t="shared" ca="1" si="1358"/>
        <v>-4.4525729050238546E-3</v>
      </c>
      <c r="Q742" s="61"/>
      <c r="R742" s="387"/>
      <c r="S742" s="49">
        <f t="shared" ca="1" si="1363"/>
        <v>115.66458835927985</v>
      </c>
      <c r="T742" s="61">
        <f ca="1">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</f>
        <v>-3.8155767689525832E-3</v>
      </c>
      <c r="U742" s="61"/>
      <c r="V742" s="125">
        <f>IFERROR(INDEX('Non-Labor Expenditures'!$E$7:$AA$91,MATCH($C742,'Non-Labor Expenditures'!$C$7:$C$91,0),MATCH($G742,'Non-Labor Expenditures'!$E$5:$AA$5,0)),"NA")</f>
        <v>97479.787324670979</v>
      </c>
      <c r="W742" s="125">
        <f t="shared" si="1349"/>
        <v>974.79787324670974</v>
      </c>
      <c r="X742" s="131">
        <f t="shared" si="1359"/>
        <v>-0.18799827575957562</v>
      </c>
      <c r="Y742" s="131">
        <f t="shared" si="1360"/>
        <v>-4.1667697839910872E-3</v>
      </c>
      <c r="Z742" s="131"/>
      <c r="AA742" s="131"/>
      <c r="AB742" s="131"/>
      <c r="AC742" s="125">
        <f t="shared" si="1329"/>
        <v>43291.01908216859</v>
      </c>
      <c r="AD742" s="129"/>
      <c r="AE742" s="133">
        <v>2924.6772769441313</v>
      </c>
      <c r="AF742" s="134">
        <v>3.2660142386653011E-2</v>
      </c>
      <c r="AG742" s="59">
        <f t="shared" si="1350"/>
        <v>7.2387522644936156E-4</v>
      </c>
      <c r="AH742" s="134"/>
      <c r="AI742" s="134"/>
      <c r="AJ742" s="129">
        <f t="shared" si="1351"/>
        <v>208082.41914827365</v>
      </c>
      <c r="AK742" s="134">
        <f t="shared" si="1361"/>
        <v>-0.12178477514467352</v>
      </c>
      <c r="AL742" s="129"/>
      <c r="AM742" s="129"/>
      <c r="AN742" s="129"/>
      <c r="AO742" s="129"/>
      <c r="AP742" s="133">
        <f t="shared" si="1362"/>
        <v>260.76406082954497</v>
      </c>
      <c r="AQ742" s="134">
        <f>+BB742/Outputs!$B$20</f>
        <v>2.2343770751140208E-2</v>
      </c>
      <c r="AR742" s="93">
        <f t="shared" si="1352"/>
        <v>0.3234853430527917</v>
      </c>
      <c r="AS742" s="93">
        <f t="shared" si="1353"/>
        <v>0.46846719546839583</v>
      </c>
      <c r="AT742" s="93">
        <f t="shared" si="1354"/>
        <v>0.20804746147881256</v>
      </c>
      <c r="AU742" s="93">
        <f t="shared" ca="1" si="1357"/>
        <v>-0.15058159363230461</v>
      </c>
      <c r="AV742" s="132">
        <f t="shared" ca="1" si="1365"/>
        <v>102.23104040675395</v>
      </c>
      <c r="AW742" s="134">
        <f t="shared" ca="1" si="1366"/>
        <v>-0.15058159363230461</v>
      </c>
      <c r="AX742" s="135">
        <f>+AJ742/$AL$17</f>
        <v>2.2163872339551787E-2</v>
      </c>
      <c r="AY742" s="135">
        <f t="shared" ca="1" si="1364"/>
        <v>-3.3374712179526636E-3</v>
      </c>
      <c r="AZ742" s="93"/>
      <c r="BA742" s="93"/>
      <c r="BB742" s="234">
        <f>IFERROR(INDEX('Total Customers'!$E$7:$AA$91,MATCH($C742,'Total Customers'!$C$7:$C$91,0),MATCH($G742,'Total Customers'!$E$5:$AA$5,0)),"NA")</f>
        <v>797972</v>
      </c>
      <c r="BC742" s="411">
        <f t="shared" si="1305"/>
        <v>3.7552941172539198E-3</v>
      </c>
      <c r="BD742" s="92"/>
      <c r="BE742" s="281" t="str">
        <f t="shared" si="1297"/>
        <v>NORTHERN INDIANA PUBLIC SERVICE COMPANY</v>
      </c>
      <c r="BF742" s="290">
        <f t="shared" si="1298"/>
        <v>4012860</v>
      </c>
      <c r="BG742" s="46" t="str">
        <f t="shared" si="1299"/>
        <v>IN</v>
      </c>
      <c r="BH742" s="46"/>
      <c r="BI742" s="46" t="str">
        <f t="shared" si="1300"/>
        <v>2012 Y</v>
      </c>
      <c r="BJ742" s="129"/>
      <c r="BK742" s="129"/>
      <c r="BL742" s="129">
        <f>INDEX('Dist. Plant Gas Additions'!$E$7:$AD$91,MATCH($C742,'Dist. Plant Gas Additions'!$C$7:$C$91,0),MATCH(Calculation!$G742,'Dist. Plant Gas Additions'!$E$5:$AD$5,0))</f>
        <v>75555</v>
      </c>
      <c r="BM742" s="129">
        <f>INDEX('Gen. Plant Additions'!$E$7:$AD$91,MATCH($C742,'Gen. Plant Additions'!$C$7:$C$91,0),MATCH(Calculation!$G742,'Gen. Plant Additions'!$E$5:$AD$5,0))</f>
        <v>1603</v>
      </c>
      <c r="BN742" s="393">
        <f t="shared" si="1330"/>
        <v>0.9551542892026581</v>
      </c>
      <c r="BO742" s="46">
        <f t="shared" si="1278"/>
        <v>1531.112325591861</v>
      </c>
      <c r="BP742" s="46">
        <f t="shared" si="1279"/>
        <v>-71.887674408138992</v>
      </c>
      <c r="BQ742" s="129">
        <f>INDEX('Dist Plant Depreciation'!$D$7:$AC$94,MATCH($C742,'Dist Plant Depreciation'!$C$7:$C$94,0),MATCH(Calculation!$G742,'Dist Plant Depreciation'!$D$5:$AC$5,0))</f>
        <v>1240285</v>
      </c>
      <c r="BR742" s="129">
        <f>INDEX('Gen. Plant Depreciation'!$D$7:$AC$94,MATCH($C742,'Gen. Plant Depreciation'!$C$7:$C$94,0),MATCH(Calculation!$G742,'Gen. Plant Depreciation'!$D$5:$AC$5,0))</f>
        <v>33278</v>
      </c>
      <c r="BS742" s="129"/>
      <c r="BT742" s="129"/>
      <c r="BU742" s="129"/>
      <c r="BV742" s="129"/>
      <c r="BW742" s="129"/>
      <c r="BX742" s="129"/>
      <c r="BY742" s="129">
        <f>INDEX('Gross Dx Plant'!$D$7:$AC$91,MATCH($C742,'Gross Dx Plant'!$C$7:$C$91,0),MATCH(Calculation!$G742,'Gross Dx Plant'!$D$5:$AC$5,0))</f>
        <v>1464497</v>
      </c>
      <c r="BZ742" s="129">
        <f>INDEX('Gross Gen Plant'!$D$7:$AC$91,MATCH($C742,'Gross Gen Plant'!$C$7:$C$91,0),MATCH(Calculation!$G742,'Gross Gen Plant'!$D$5:$AC$5,0))</f>
        <v>68760</v>
      </c>
      <c r="CA742" s="129">
        <f t="shared" si="1325"/>
        <v>259694</v>
      </c>
      <c r="CB742" s="129"/>
      <c r="CC742" s="133">
        <v>2012</v>
      </c>
      <c r="CD742" s="129"/>
      <c r="CE742" s="129"/>
      <c r="CF742" s="129"/>
      <c r="CG742" s="137"/>
      <c r="CH742" s="129">
        <f t="shared" si="1331"/>
        <v>77158</v>
      </c>
      <c r="CI742" s="46">
        <f t="shared" si="1340"/>
        <v>77086.112325591865</v>
      </c>
      <c r="CJ742" s="46">
        <f t="shared" si="1332"/>
        <v>115.23977522750251</v>
      </c>
      <c r="CK742" s="443">
        <v>0.84090909090909094</v>
      </c>
      <c r="CL742" s="46">
        <f>+CL728*CK742+CJ729*CK741+CJ730*CK740+CJ731*CK739+CJ732*CK738+CJ733*CK737+CJ734*CK736+CJ735*CK735+CJ736*CK734+CJ737*CK733+CJ738*CK732+CJ739*CK731+CJ740*CK730+CJ741*CK729+CJ742</f>
        <v>2737.0482504428569</v>
      </c>
      <c r="CM742" s="134">
        <f t="shared" si="1333"/>
        <v>2.8873661737923564E-2</v>
      </c>
      <c r="CN742" s="135">
        <f t="shared" si="1334"/>
        <v>1.4042530555237864E-2</v>
      </c>
      <c r="CO742" s="135">
        <f t="shared" si="1343"/>
        <v>1.3660154682699113E-2</v>
      </c>
      <c r="CP742" s="134">
        <f>VLOOKUP($H742,RoR!$E:$F,2,FALSE)</f>
        <v>3.6733333333333333E-2</v>
      </c>
      <c r="CQ742" s="135">
        <v>1.924331376386168E-2</v>
      </c>
      <c r="CR742" s="135">
        <f t="shared" si="1341"/>
        <v>1.7490019569471653E-2</v>
      </c>
      <c r="CS742" s="135">
        <f t="shared" si="1344"/>
        <v>1.7241786925834512E-2</v>
      </c>
      <c r="CT742" s="135">
        <f t="shared" si="1345"/>
        <v>6.7122682943869583E-2</v>
      </c>
      <c r="CU742" s="139">
        <f t="shared" si="1335"/>
        <v>0.85203761789999999</v>
      </c>
      <c r="CV742" s="335">
        <f t="shared" si="1336"/>
        <v>1.3960631020522127</v>
      </c>
      <c r="CW742" s="335">
        <f t="shared" si="1337"/>
        <v>0.29441923774954631</v>
      </c>
      <c r="CX742" s="335">
        <f t="shared" si="1338"/>
        <v>0.76377954189366437</v>
      </c>
      <c r="CY742" s="335">
        <f t="shared" si="1339"/>
        <v>0.31393465103033691</v>
      </c>
      <c r="CZ742" s="336">
        <f>INDEX('State Tax Lookup'!$D$7:$Z$91,MATCH(Calculation!$C742,'State Tax Lookup'!$B$7:$B$91,0),MATCH($H742,'State Tax Lookup'!$D$6:$Z$6,0))</f>
        <v>0.39989833000000002</v>
      </c>
      <c r="DA742" s="303">
        <v>0.37</v>
      </c>
      <c r="DB742" s="57">
        <f t="shared" si="1342"/>
        <v>16.280023513324664</v>
      </c>
      <c r="DC742" s="56">
        <f t="shared" si="1346"/>
        <v>6.412515946241211E-2</v>
      </c>
      <c r="DD742" s="303">
        <f>VLOOKUP($H742,RoR!$E:$F,2,FALSE)</f>
        <v>3.6733333333333333E-2</v>
      </c>
      <c r="DE742" s="304">
        <f>HLOOKUP($H742,'GDP-PI'!$D$8:$CQ$11,3,FALSE)</f>
        <v>1.924331376386168E-2</v>
      </c>
      <c r="DF742" s="303">
        <f>VLOOKUP(H742,'HW Dx Data'!$E:$F,2,FALSE)</f>
        <v>668.91932211262167</v>
      </c>
      <c r="DG742" s="89">
        <f ca="1">VLOOKUP(CC742,'ECI - Input Price'!M$13:N$33,2,FALSE)</f>
        <v>124.80000000000001</v>
      </c>
      <c r="DH742" s="89"/>
      <c r="DI742" s="89"/>
      <c r="DJ742" s="56">
        <f t="shared" ca="1" si="1355"/>
        <v>3.1955502161869064E-2</v>
      </c>
      <c r="DK742" s="53">
        <f>HLOOKUP(H742,'GDP-PI'!$8:$9,2,FALSE)</f>
        <v>100</v>
      </c>
      <c r="DL742" s="355">
        <f t="shared" si="1347"/>
        <v>1.9060502738742411E-2</v>
      </c>
      <c r="EC742"/>
    </row>
    <row r="743" spans="1:133" s="126" customFormat="1" ht="21" customHeight="1" x14ac:dyDescent="0.4">
      <c r="A743" s="233" t="s">
        <v>224</v>
      </c>
      <c r="B743" s="127" t="s">
        <v>224</v>
      </c>
      <c r="C743" s="127">
        <v>4012860</v>
      </c>
      <c r="D743" s="127" t="s">
        <v>225</v>
      </c>
      <c r="E743" s="127"/>
      <c r="F743" s="127"/>
      <c r="G743" s="127" t="s">
        <v>169</v>
      </c>
      <c r="H743" s="128">
        <v>2013</v>
      </c>
      <c r="I743" s="129"/>
      <c r="J743" s="125">
        <f>IFERROR(INDEX('Labor Expenditures'!$E$7:$W$91,MATCH($C743,'Labor Expenditures'!$C$7:$C$91,0),MATCH($G743,'Labor Expenditures'!$E$5:$W$5,0)),"NA")</f>
        <v>68476.141857405091</v>
      </c>
      <c r="K743" s="125">
        <f t="shared" ca="1" si="1348"/>
        <v>540.03266449057639</v>
      </c>
      <c r="L743" s="47"/>
      <c r="M743" s="131">
        <f t="shared" ca="1" si="1356"/>
        <v>1.2540308354570889E-3</v>
      </c>
      <c r="N743" s="131"/>
      <c r="O743" s="131"/>
      <c r="P743" s="59">
        <f t="shared" ca="1" si="1358"/>
        <v>2.7183357376546383E-5</v>
      </c>
      <c r="Q743" s="61"/>
      <c r="R743" s="387"/>
      <c r="S743" s="49">
        <f t="shared" ca="1" si="1363"/>
        <v>107.88827398142496</v>
      </c>
      <c r="T743" s="61">
        <f ca="1">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</f>
        <v>-6.9598331554329748E-2</v>
      </c>
      <c r="U743" s="61"/>
      <c r="V743" s="125">
        <f>IFERROR(INDEX('Non-Labor Expenditures'!$E$7:$AA$91,MATCH($C743,'Non-Labor Expenditures'!$C$7:$C$91,0),MATCH($G743,'Non-Labor Expenditures'!$E$5:$AA$5,0)),"NA")</f>
        <v>99166.242988633443</v>
      </c>
      <c r="W743" s="125">
        <f t="shared" si="1349"/>
        <v>974.38655624412615</v>
      </c>
      <c r="X743" s="131">
        <f t="shared" si="1359"/>
        <v>-4.2204011325527147E-4</v>
      </c>
      <c r="Y743" s="131">
        <f t="shared" si="1360"/>
        <v>-9.1484729892423174E-6</v>
      </c>
      <c r="Z743" s="131"/>
      <c r="AA743" s="131"/>
      <c r="AB743" s="131"/>
      <c r="AC743" s="125">
        <f t="shared" si="1329"/>
        <v>43285.279466204025</v>
      </c>
      <c r="AD743" s="129"/>
      <c r="AE743" s="133">
        <v>3029.2649917429667</v>
      </c>
      <c r="AF743" s="134">
        <v>3.5135871184153344E-2</v>
      </c>
      <c r="AG743" s="59">
        <f t="shared" si="1350"/>
        <v>7.6163274150033513E-4</v>
      </c>
      <c r="AH743" s="134"/>
      <c r="AI743" s="134"/>
      <c r="AJ743" s="129">
        <f t="shared" si="1351"/>
        <v>210927.66431224256</v>
      </c>
      <c r="AK743" s="134">
        <f t="shared" si="1361"/>
        <v>1.3581004412241022E-2</v>
      </c>
      <c r="AL743" s="129"/>
      <c r="AM743" s="129"/>
      <c r="AN743" s="129"/>
      <c r="AO743" s="129"/>
      <c r="AP743" s="133">
        <f t="shared" si="1362"/>
        <v>262.62974350857024</v>
      </c>
      <c r="AQ743" s="134">
        <f>+BB743/Outputs!$B$21</f>
        <v>2.2345068530623048E-2</v>
      </c>
      <c r="AR743" s="93">
        <f t="shared" si="1352"/>
        <v>0.3246427730600468</v>
      </c>
      <c r="AS743" s="93">
        <f t="shared" si="1353"/>
        <v>0.47014337029700698</v>
      </c>
      <c r="AT743" s="93">
        <f t="shared" si="1354"/>
        <v>0.2052138566429462</v>
      </c>
      <c r="AU743" s="93">
        <f t="shared" ca="1" si="1357"/>
        <v>7.4684688861867592E-3</v>
      </c>
      <c r="AV743" s="132">
        <f t="shared" ca="1" si="1365"/>
        <v>102.99740798523926</v>
      </c>
      <c r="AW743" s="134">
        <f t="shared" ca="1" si="1366"/>
        <v>7.4684688861868208E-3</v>
      </c>
      <c r="AX743" s="135">
        <f>+AJ743/$AL$18</f>
        <v>2.1676785456904785E-2</v>
      </c>
      <c r="AY743" s="135">
        <f t="shared" ca="1" si="1364"/>
        <v>1.6189239773744036E-4</v>
      </c>
      <c r="AZ743" s="93"/>
      <c r="BA743" s="93"/>
      <c r="BB743" s="234">
        <f>IFERROR(INDEX('Total Customers'!$E$7:$AA$91,MATCH($C743,'Total Customers'!$C$7:$C$91,0),MATCH($G743,'Total Customers'!$E$5:$AA$5,0)),"NA")</f>
        <v>803137</v>
      </c>
      <c r="BC743" s="411">
        <f t="shared" si="1305"/>
        <v>6.4518004912787448E-3</v>
      </c>
      <c r="BD743" s="92"/>
      <c r="BE743" s="281" t="str">
        <f t="shared" si="1297"/>
        <v>NORTHERN INDIANA PUBLIC SERVICE COMPANY</v>
      </c>
      <c r="BF743" s="290">
        <f t="shared" si="1298"/>
        <v>4012860</v>
      </c>
      <c r="BG743" s="46" t="str">
        <f t="shared" si="1299"/>
        <v>IN</v>
      </c>
      <c r="BH743" s="46"/>
      <c r="BI743" s="46" t="str">
        <f t="shared" si="1300"/>
        <v>2013 Y</v>
      </c>
      <c r="BJ743" s="129"/>
      <c r="BK743" s="129"/>
      <c r="BL743" s="129">
        <f>INDEX('Dist. Plant Gas Additions'!$E$7:$AD$91,MATCH($C743,'Dist. Plant Gas Additions'!$C$7:$C$91,0),MATCH(Calculation!$G743,'Dist. Plant Gas Additions'!$E$5:$AD$5,0))</f>
        <v>83381</v>
      </c>
      <c r="BM743" s="129">
        <f>INDEX('Gen. Plant Additions'!$E$7:$AD$91,MATCH($C743,'Gen. Plant Additions'!$C$7:$C$91,0),MATCH(Calculation!$G743,'Gen. Plant Additions'!$E$5:$AD$5,0))</f>
        <v>1058</v>
      </c>
      <c r="BN743" s="393">
        <f t="shared" si="1330"/>
        <v>0.95747487909389328</v>
      </c>
      <c r="BO743" s="46">
        <f t="shared" si="1278"/>
        <v>1013.0084220813391</v>
      </c>
      <c r="BP743" s="46">
        <f t="shared" si="1279"/>
        <v>-44.991577918660937</v>
      </c>
      <c r="BQ743" s="129">
        <f>INDEX('Dist Plant Depreciation'!$D$7:$AC$94,MATCH($C743,'Dist Plant Depreciation'!$C$7:$C$94,0),MATCH(Calculation!$G743,'Dist Plant Depreciation'!$D$5:$AC$5,0))</f>
        <v>1213218</v>
      </c>
      <c r="BR743" s="129">
        <f>INDEX('Gen. Plant Depreciation'!$D$7:$AC$94,MATCH($C743,'Gen. Plant Depreciation'!$C$7:$C$94,0),MATCH(Calculation!$G743,'Gen. Plant Depreciation'!$D$5:$AC$5,0))</f>
        <v>30381</v>
      </c>
      <c r="BS743" s="129"/>
      <c r="BT743" s="129"/>
      <c r="BU743" s="129"/>
      <c r="BV743" s="129"/>
      <c r="BW743" s="129"/>
      <c r="BX743" s="129"/>
      <c r="BY743" s="129">
        <f>INDEX('Gross Dx Plant'!$D$7:$AC$91,MATCH($C743,'Gross Dx Plant'!$C$7:$C$91,0),MATCH(Calculation!$G743,'Gross Dx Plant'!$D$5:$AC$5,0))</f>
        <v>1528398</v>
      </c>
      <c r="BZ743" s="129">
        <f>INDEX('Gross Gen Plant'!$D$7:$AC$91,MATCH($C743,'Gross Gen Plant'!$C$7:$C$91,0),MATCH(Calculation!$G743,'Gross Gen Plant'!$D$5:$AC$5,0))</f>
        <v>67882</v>
      </c>
      <c r="CA743" s="129">
        <f t="shared" si="1325"/>
        <v>352681</v>
      </c>
      <c r="CB743" s="129"/>
      <c r="CC743" s="133">
        <v>2013</v>
      </c>
      <c r="CD743" s="129"/>
      <c r="CE743" s="129"/>
      <c r="CF743" s="129"/>
      <c r="CG743" s="137"/>
      <c r="CH743" s="129">
        <f t="shared" si="1331"/>
        <v>84439</v>
      </c>
      <c r="CI743" s="46">
        <f t="shared" si="1340"/>
        <v>84394.008422081344</v>
      </c>
      <c r="CJ743" s="46">
        <f t="shared" si="1332"/>
        <v>127.24343959780698</v>
      </c>
      <c r="CK743" s="443">
        <v>0.82758620689655171</v>
      </c>
      <c r="CL743" s="46">
        <f>+CL728*CK743+CJ729*CK742+CJ730*CK741+CJ731*CK740+CJ732*CK739+CJ733*CK738+CJ734*CK737+CJ735*CK736+CJ736*CK735+CJ737*CK734+CJ738*CK733+CJ739*CK732+CJ740*CK731+CJ741*CK730+CJ742*CK729+CJ743</f>
        <v>2824.9705211336764</v>
      </c>
      <c r="CM743" s="134">
        <f t="shared" si="1333"/>
        <v>3.1617870691426304E-2</v>
      </c>
      <c r="CN743" s="135">
        <f t="shared" si="1334"/>
        <v>1.4366268077526702E-2</v>
      </c>
      <c r="CO743" s="135">
        <f t="shared" si="1343"/>
        <v>1.4027716180583993E-2</v>
      </c>
      <c r="CP743" s="134">
        <f>VLOOKUP($H743,RoR!$E:$F,2,FALSE)</f>
        <v>4.2350000000000006E-2</v>
      </c>
      <c r="CQ743" s="135">
        <v>1.7730000000000024E-2</v>
      </c>
      <c r="CR743" s="135">
        <f t="shared" si="1341"/>
        <v>2.4619999999999982E-2</v>
      </c>
      <c r="CS743" s="135">
        <f t="shared" si="1344"/>
        <v>1.6874225427949634E-2</v>
      </c>
      <c r="CT743" s="135">
        <f t="shared" si="1345"/>
        <v>5.3376742735721204E-2</v>
      </c>
      <c r="CU743" s="139">
        <f t="shared" si="1335"/>
        <v>0.85203761789999999</v>
      </c>
      <c r="CV743" s="335">
        <f t="shared" si="1336"/>
        <v>1.2109103018193925</v>
      </c>
      <c r="CW743" s="335">
        <f t="shared" si="1337"/>
        <v>0.38468122786304604</v>
      </c>
      <c r="CX743" s="335">
        <f t="shared" si="1338"/>
        <v>0.80969194503422559</v>
      </c>
      <c r="CY743" s="335">
        <f t="shared" si="1339"/>
        <v>0.37716621754800816</v>
      </c>
      <c r="CZ743" s="336">
        <f>INDEX('State Tax Lookup'!$D$7:$Z$91,MATCH(Calculation!$C743,'State Tax Lookup'!$B$7:$B$91,0),MATCH($H743,'State Tax Lookup'!$D$6:$Z$6,0))</f>
        <v>0.39989833000000002</v>
      </c>
      <c r="DA743" s="303">
        <v>0.37</v>
      </c>
      <c r="DB743" s="57">
        <f t="shared" si="1342"/>
        <v>15.814583999094802</v>
      </c>
      <c r="DC743" s="56">
        <f t="shared" si="1346"/>
        <v>-2.9006252667986756E-2</v>
      </c>
      <c r="DD743" s="303">
        <f>VLOOKUP($H743,RoR!$E:$F,2,FALSE)</f>
        <v>4.2350000000000006E-2</v>
      </c>
      <c r="DE743" s="304">
        <f>HLOOKUP($H743,'GDP-PI'!$D$8:$CQ$11,3,FALSE)</f>
        <v>1.7730000000000024E-2</v>
      </c>
      <c r="DF743" s="303">
        <f>VLOOKUP(H743,'HW Dx Data'!$E:$F,2,FALSE)</f>
        <v>663.24840548821396</v>
      </c>
      <c r="DG743" s="89">
        <f ca="1">VLOOKUP(CC743,'ECI - Input Price'!M$13:N$33,2,FALSE)</f>
        <v>126.8</v>
      </c>
      <c r="DH743" s="89"/>
      <c r="DI743" s="89"/>
      <c r="DJ743" s="56">
        <f t="shared" ca="1" si="1355"/>
        <v>1.5898586067798204E-2</v>
      </c>
      <c r="DK743" s="53">
        <f>HLOOKUP(H743,'GDP-PI'!$8:$9,2,FALSE)</f>
        <v>101.773</v>
      </c>
      <c r="DL743" s="355">
        <f t="shared" si="1347"/>
        <v>1.7574657016510519E-2</v>
      </c>
      <c r="EC743"/>
    </row>
    <row r="744" spans="1:133" s="126" customFormat="1" ht="21" customHeight="1" x14ac:dyDescent="0.4">
      <c r="A744" s="233" t="s">
        <v>224</v>
      </c>
      <c r="B744" s="127" t="s">
        <v>224</v>
      </c>
      <c r="C744" s="127">
        <v>4012860</v>
      </c>
      <c r="D744" s="127" t="s">
        <v>225</v>
      </c>
      <c r="E744" s="127"/>
      <c r="F744" s="127"/>
      <c r="G744" s="127" t="s">
        <v>170</v>
      </c>
      <c r="H744" s="128">
        <v>2014</v>
      </c>
      <c r="I744" s="129"/>
      <c r="J744" s="125">
        <f>IFERROR(INDEX('Labor Expenditures'!$E$7:$W$91,MATCH($C744,'Labor Expenditures'!$C$7:$C$91,0),MATCH($G744,'Labor Expenditures'!$E$5:$W$5,0)),"NA")</f>
        <v>67458.197059734492</v>
      </c>
      <c r="K744" s="125">
        <f t="shared" ca="1" si="1348"/>
        <v>521.31527866873637</v>
      </c>
      <c r="L744" s="47"/>
      <c r="M744" s="131">
        <f t="shared" ca="1" si="1356"/>
        <v>-3.5274627398379534E-2</v>
      </c>
      <c r="N744" s="131"/>
      <c r="O744" s="131"/>
      <c r="P744" s="59">
        <f t="shared" ca="1" si="1358"/>
        <v>-7.4897421010921791E-4</v>
      </c>
      <c r="Q744" s="61"/>
      <c r="R744" s="387"/>
      <c r="S744" s="49">
        <f t="shared" ca="1" si="1363"/>
        <v>119.68611698798563</v>
      </c>
      <c r="T744" s="61">
        <f ca="1">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</f>
        <v>0.10377643262883683</v>
      </c>
      <c r="U744" s="61"/>
      <c r="V744" s="125">
        <f>IFERROR(INDEX('Non-Labor Expenditures'!$E$7:$AA$91,MATCH($C744,'Non-Labor Expenditures'!$C$7:$C$91,0),MATCH($G744,'Non-Labor Expenditures'!$E$5:$AA$5,0)),"NA")</f>
        <v>97692.068795744068</v>
      </c>
      <c r="W744" s="125">
        <f t="shared" si="1349"/>
        <v>942.54603409403126</v>
      </c>
      <c r="X744" s="131">
        <f t="shared" si="1359"/>
        <v>-3.3223339232961072E-2</v>
      </c>
      <c r="Y744" s="131">
        <f t="shared" si="1360"/>
        <v>-7.0541990360869741E-4</v>
      </c>
      <c r="Z744" s="131"/>
      <c r="AA744" s="131"/>
      <c r="AB744" s="131"/>
      <c r="AC744" s="125">
        <f t="shared" si="1329"/>
        <v>45248.781055767235</v>
      </c>
      <c r="AD744" s="129"/>
      <c r="AE744" s="133">
        <v>3149.8670225964015</v>
      </c>
      <c r="AF744" s="134">
        <v>3.9040223785496542E-2</v>
      </c>
      <c r="AG744" s="59">
        <f t="shared" si="1350"/>
        <v>8.2892784215695564E-4</v>
      </c>
      <c r="AH744" s="134"/>
      <c r="AI744" s="134"/>
      <c r="AJ744" s="129">
        <f t="shared" si="1351"/>
        <v>210399.04691124579</v>
      </c>
      <c r="AK744" s="134">
        <f t="shared" si="1361"/>
        <v>-2.5093005702656814E-3</v>
      </c>
      <c r="AL744" s="129"/>
      <c r="AM744" s="129"/>
      <c r="AN744" s="129"/>
      <c r="AO744" s="129"/>
      <c r="AP744" s="133">
        <f t="shared" si="1362"/>
        <v>260.64938028749089</v>
      </c>
      <c r="AQ744" s="134">
        <f>+BB744/Outputs!$B$22</f>
        <v>2.2338405067361605E-2</v>
      </c>
      <c r="AR744" s="93">
        <f t="shared" si="1352"/>
        <v>0.32062025969248276</v>
      </c>
      <c r="AS744" s="93">
        <f t="shared" si="1353"/>
        <v>0.46431801963891139</v>
      </c>
      <c r="AT744" s="93">
        <f t="shared" si="1354"/>
        <v>0.21506172066860582</v>
      </c>
      <c r="AU744" s="93">
        <f t="shared" ca="1" si="1357"/>
        <v>-1.8699844111208716E-2</v>
      </c>
      <c r="AV744" s="132">
        <f t="shared" ca="1" si="1365"/>
        <v>101.08926906573248</v>
      </c>
      <c r="AW744" s="134">
        <f t="shared" ca="1" si="1366"/>
        <v>-1.8699844111208713E-2</v>
      </c>
      <c r="AX744" s="135">
        <f>+AJ744/$AL$19</f>
        <v>2.1232661132052799E-2</v>
      </c>
      <c r="AY744" s="135">
        <f t="shared" ca="1" si="1364"/>
        <v>-3.9704745323550765E-4</v>
      </c>
      <c r="AZ744" s="93"/>
      <c r="BA744" s="93"/>
      <c r="BB744" s="234">
        <f>IFERROR(INDEX('Total Customers'!$E$7:$AA$91,MATCH($C744,'Total Customers'!$C$7:$C$91,0),MATCH($G744,'Total Customers'!$E$5:$AA$5,0)),"NA")</f>
        <v>807211</v>
      </c>
      <c r="BC744" s="411">
        <f t="shared" si="1305"/>
        <v>5.059786694162456E-3</v>
      </c>
      <c r="BD744" s="92"/>
      <c r="BE744" s="281" t="str">
        <f t="shared" si="1297"/>
        <v>NORTHERN INDIANA PUBLIC SERVICE COMPANY</v>
      </c>
      <c r="BF744" s="290">
        <f t="shared" si="1298"/>
        <v>4012860</v>
      </c>
      <c r="BG744" s="46" t="str">
        <f t="shared" si="1299"/>
        <v>IN</v>
      </c>
      <c r="BH744" s="46"/>
      <c r="BI744" s="46" t="str">
        <f t="shared" si="1300"/>
        <v>2014 Y</v>
      </c>
      <c r="BJ744" s="129"/>
      <c r="BK744" s="129"/>
      <c r="BL744" s="129">
        <f>INDEX('Dist. Plant Gas Additions'!$E$7:$AD$91,MATCH($C744,'Dist. Plant Gas Additions'!$C$7:$C$91,0),MATCH(Calculation!$G744,'Dist. Plant Gas Additions'!$E$5:$AD$5,0))</f>
        <v>97440</v>
      </c>
      <c r="BM744" s="129">
        <f>INDEX('Gen. Plant Additions'!$E$7:$AD$91,MATCH($C744,'Gen. Plant Additions'!$C$7:$C$91,0),MATCH(Calculation!$G744,'Gen. Plant Additions'!$E$5:$AD$5,0))</f>
        <v>1671</v>
      </c>
      <c r="BN744" s="393">
        <f t="shared" si="1330"/>
        <v>0.96011112244825325</v>
      </c>
      <c r="BO744" s="46">
        <f t="shared" si="1278"/>
        <v>1604.3456856110313</v>
      </c>
      <c r="BP744" s="46">
        <f t="shared" si="1279"/>
        <v>-66.654314388968714</v>
      </c>
      <c r="BQ744" s="129">
        <f>INDEX('Dist Plant Depreciation'!$D$7:$AC$94,MATCH($C744,'Dist Plant Depreciation'!$C$7:$C$94,0),MATCH(Calculation!$G744,'Dist Plant Depreciation'!$D$5:$AC$5,0))</f>
        <v>1203051</v>
      </c>
      <c r="BR744" s="129">
        <f>INDEX('Gen. Plant Depreciation'!$D$7:$AC$94,MATCH($C744,'Gen. Plant Depreciation'!$C$7:$C$94,0),MATCH(Calculation!$G744,'Gen. Plant Depreciation'!$D$5:$AC$5,0))</f>
        <v>24840</v>
      </c>
      <c r="BS744" s="129"/>
      <c r="BT744" s="129"/>
      <c r="BU744" s="129"/>
      <c r="BV744" s="129"/>
      <c r="BW744" s="129"/>
      <c r="BX744" s="129"/>
      <c r="BY744" s="129">
        <f>INDEX('Gross Dx Plant'!$D$7:$AC$91,MATCH($C744,'Gross Dx Plant'!$C$7:$C$91,0),MATCH(Calculation!$G744,'Gross Dx Plant'!$D$5:$AC$5,0))</f>
        <v>1618467</v>
      </c>
      <c r="BZ744" s="129">
        <f>INDEX('Gross Gen Plant'!$D$7:$AC$91,MATCH($C744,'Gross Gen Plant'!$C$7:$C$91,0),MATCH(Calculation!$G744,'Gross Gen Plant'!$D$5:$AC$5,0))</f>
        <v>67241</v>
      </c>
      <c r="CA744" s="129">
        <f t="shared" si="1325"/>
        <v>457817</v>
      </c>
      <c r="CB744" s="129"/>
      <c r="CC744" s="133">
        <v>2014</v>
      </c>
      <c r="CD744" s="129"/>
      <c r="CE744" s="129"/>
      <c r="CF744" s="129"/>
      <c r="CG744" s="137"/>
      <c r="CH744" s="129">
        <f t="shared" si="1331"/>
        <v>99111</v>
      </c>
      <c r="CI744" s="46">
        <f t="shared" si="1340"/>
        <v>99044.345685611028</v>
      </c>
      <c r="CJ744" s="46">
        <f t="shared" si="1332"/>
        <v>144.70242628198994</v>
      </c>
      <c r="CK744" s="443">
        <v>0.81395348837209303</v>
      </c>
      <c r="CL744" s="46">
        <f>+CL728*CK744+CJ729*CK743+CJ730*CK742+CJ731*CK741+CJ732*CK740+CJ733*CK739+CJ734*CK738+CJ735*CK737+CJ736*CK736+CJ737*CK735+CJ738*CK734+CJ739*CK733+CJ740*CK732+CJ741*CK731+CJ742*CK730+CJ743*CK729+CJ744</f>
        <v>2928.2014937996437</v>
      </c>
      <c r="CM744" s="134">
        <f t="shared" si="1333"/>
        <v>3.5890480372712155E-2</v>
      </c>
      <c r="CN744" s="135">
        <f t="shared" si="1334"/>
        <v>1.4680313761072412E-2</v>
      </c>
      <c r="CO744" s="135">
        <f t="shared" si="1343"/>
        <v>1.4363037464612325E-2</v>
      </c>
      <c r="CP744" s="134">
        <f>VLOOKUP($H744,RoR!$E:$F,2,FALSE)</f>
        <v>4.1625000000000002E-2</v>
      </c>
      <c r="CQ744" s="135">
        <v>1.841352814597208E-2</v>
      </c>
      <c r="CR744" s="135">
        <f t="shared" si="1341"/>
        <v>2.3211471854027922E-2</v>
      </c>
      <c r="CS744" s="135">
        <f t="shared" si="1344"/>
        <v>1.6538904143921299E-2</v>
      </c>
      <c r="CT744" s="135">
        <f t="shared" si="1345"/>
        <v>3.9072621432650924E-2</v>
      </c>
      <c r="CU744" s="139">
        <f t="shared" si="1335"/>
        <v>0.85203761789999999</v>
      </c>
      <c r="CV744" s="335">
        <f t="shared" si="1336"/>
        <v>1.2320012320012319</v>
      </c>
      <c r="CW744" s="335">
        <f t="shared" si="1337"/>
        <v>0.37439939939939942</v>
      </c>
      <c r="CX744" s="335">
        <f t="shared" si="1338"/>
        <v>0.80432100613819935</v>
      </c>
      <c r="CY744" s="335">
        <f t="shared" si="1339"/>
        <v>0.37100152660040037</v>
      </c>
      <c r="CZ744" s="336">
        <f>INDEX('State Tax Lookup'!$D$7:$Z$91,MATCH(Calculation!$C744,'State Tax Lookup'!$B$7:$B$91,0),MATCH($H744,'State Tax Lookup'!$D$6:$Z$6,0))</f>
        <v>0.39989833000000002</v>
      </c>
      <c r="DA744" s="303">
        <v>0.37</v>
      </c>
      <c r="DB744" s="57">
        <f t="shared" si="1342"/>
        <v>16.017434772242737</v>
      </c>
      <c r="DC744" s="56">
        <f t="shared" si="1346"/>
        <v>1.2745250029199708E-2</v>
      </c>
      <c r="DD744" s="303">
        <f>VLOOKUP($H744,RoR!$E:$F,2,FALSE)</f>
        <v>4.1625000000000002E-2</v>
      </c>
      <c r="DE744" s="304">
        <f>HLOOKUP($H744,'GDP-PI'!$D$8:$CQ$11,3,FALSE)</f>
        <v>1.841352814597208E-2</v>
      </c>
      <c r="DF744" s="303">
        <f>VLOOKUP(H744,'HW Dx Data'!$E:$F,2,FALSE)</f>
        <v>684.46914285042885</v>
      </c>
      <c r="DG744" s="89">
        <f ca="1">VLOOKUP(CC744,'ECI - Input Price'!M$13:N$33,2,FALSE)</f>
        <v>129.4</v>
      </c>
      <c r="DH744" s="89"/>
      <c r="DI744" s="89"/>
      <c r="DJ744" s="56">
        <f t="shared" ca="1" si="1355"/>
        <v>2.0297340063674733E-2</v>
      </c>
      <c r="DK744" s="53">
        <f>HLOOKUP(H744,'GDP-PI'!$8:$9,2,FALSE)</f>
        <v>103.64700000000001</v>
      </c>
      <c r="DL744" s="355">
        <f t="shared" si="1347"/>
        <v>1.8246051898256087E-2</v>
      </c>
      <c r="EC744"/>
    </row>
    <row r="745" spans="1:133" s="126" customFormat="1" ht="21" customHeight="1" x14ac:dyDescent="0.4">
      <c r="A745" s="233" t="s">
        <v>224</v>
      </c>
      <c r="B745" s="127" t="s">
        <v>224</v>
      </c>
      <c r="C745" s="127">
        <v>4012860</v>
      </c>
      <c r="D745" s="127" t="s">
        <v>225</v>
      </c>
      <c r="E745" s="127"/>
      <c r="F745" s="127"/>
      <c r="G745" s="127" t="s">
        <v>171</v>
      </c>
      <c r="H745" s="128">
        <v>2015</v>
      </c>
      <c r="I745" s="129"/>
      <c r="J745" s="125">
        <f>IFERROR(INDEX('Labor Expenditures'!$E$7:$W$91,MATCH($C745,'Labor Expenditures'!$C$7:$C$91,0),MATCH($G745,'Labor Expenditures'!$E$5:$W$5,0)),"NA")</f>
        <v>57577.594027725972</v>
      </c>
      <c r="K745" s="125">
        <f t="shared" ca="1" si="1348"/>
        <v>431.29283915899606</v>
      </c>
      <c r="L745" s="47"/>
      <c r="M745" s="131">
        <f t="shared" ca="1" si="1356"/>
        <v>-0.18956769953563093</v>
      </c>
      <c r="N745" s="131"/>
      <c r="O745" s="131"/>
      <c r="P745" s="59">
        <f t="shared" ca="1" si="1358"/>
        <v>-3.5499797154588159E-3</v>
      </c>
      <c r="Q745" s="61"/>
      <c r="R745" s="387"/>
      <c r="S745" s="49">
        <f t="shared" ca="1" si="1363"/>
        <v>118.6643427054605</v>
      </c>
      <c r="T745" s="61">
        <f ca="1">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</f>
        <v>-8.5737660670342219E-3</v>
      </c>
      <c r="U745" s="61"/>
      <c r="V745" s="125">
        <f>IFERROR(INDEX('Non-Labor Expenditures'!$E$7:$AA$91,MATCH($C745,'Non-Labor Expenditures'!$C$7:$C$91,0),MATCH($G745,'Non-Labor Expenditures'!$E$5:$AA$5,0)),"NA")</f>
        <v>83383.110163308709</v>
      </c>
      <c r="W745" s="125">
        <f t="shared" si="1349"/>
        <v>796.86455492988955</v>
      </c>
      <c r="X745" s="131">
        <f t="shared" si="1359"/>
        <v>-0.16790003994756972</v>
      </c>
      <c r="Y745" s="131">
        <f t="shared" si="1360"/>
        <v>-3.1442156944388412E-3</v>
      </c>
      <c r="Z745" s="131"/>
      <c r="AA745" s="131"/>
      <c r="AB745" s="131"/>
      <c r="AC745" s="125">
        <f t="shared" si="1329"/>
        <v>45567.946379074994</v>
      </c>
      <c r="AD745" s="129"/>
      <c r="AE745" s="133">
        <v>3267.1463267780118</v>
      </c>
      <c r="AF745" s="134">
        <v>3.6556684059515829E-2</v>
      </c>
      <c r="AG745" s="59">
        <f t="shared" si="1350"/>
        <v>6.8458649439550429E-4</v>
      </c>
      <c r="AH745" s="134"/>
      <c r="AI745" s="134"/>
      <c r="AJ745" s="129">
        <f t="shared" si="1351"/>
        <v>186528.65057010969</v>
      </c>
      <c r="AK745" s="134">
        <f t="shared" si="1361"/>
        <v>-0.12042110131877734</v>
      </c>
      <c r="AL745" s="129"/>
      <c r="AM745" s="129"/>
      <c r="AN745" s="129"/>
      <c r="AO745" s="129"/>
      <c r="AP745" s="133">
        <f t="shared" si="1362"/>
        <v>229.76715237210118</v>
      </c>
      <c r="AQ745" s="134">
        <f>+BB745/Outputs!$B$23</f>
        <v>2.2283165304340647E-2</v>
      </c>
      <c r="AR745" s="93">
        <f t="shared" si="1352"/>
        <v>0.3086796256325488</v>
      </c>
      <c r="AS745" s="93">
        <f t="shared" si="1353"/>
        <v>0.4470257513173177</v>
      </c>
      <c r="AT745" s="93">
        <f t="shared" si="1354"/>
        <v>0.24429462305013339</v>
      </c>
      <c r="AU745" s="93">
        <f t="shared" ca="1" si="1357"/>
        <v>-0.127758521200281</v>
      </c>
      <c r="AV745" s="132">
        <f t="shared" ca="1" si="1365"/>
        <v>88.965215602565749</v>
      </c>
      <c r="AW745" s="134">
        <f t="shared" ca="1" si="1366"/>
        <v>-0.12775852120028103</v>
      </c>
      <c r="AX745" s="135">
        <f>+AJ745/$AL$20</f>
        <v>1.8726712009244834E-2</v>
      </c>
      <c r="AY745" s="135">
        <f t="shared" ca="1" si="1364"/>
        <v>-2.3924970332446635E-3</v>
      </c>
      <c r="AZ745" s="93"/>
      <c r="BA745" s="93"/>
      <c r="BB745" s="234">
        <f>IFERROR(INDEX('Total Customers'!$E$7:$AA$91,MATCH($C745,'Total Customers'!$C$7:$C$91,0),MATCH($G745,'Total Customers'!$E$5:$AA$5,0)),"NA")</f>
        <v>811816</v>
      </c>
      <c r="BC745" s="411">
        <f t="shared" si="1305"/>
        <v>5.6886171982106016E-3</v>
      </c>
      <c r="BD745" s="92"/>
      <c r="BE745" s="281" t="str">
        <f t="shared" si="1297"/>
        <v>NORTHERN INDIANA PUBLIC SERVICE COMPANY</v>
      </c>
      <c r="BF745" s="290">
        <f t="shared" si="1298"/>
        <v>4012860</v>
      </c>
      <c r="BG745" s="46" t="str">
        <f t="shared" si="1299"/>
        <v>IN</v>
      </c>
      <c r="BH745" s="46"/>
      <c r="BI745" s="46" t="str">
        <f t="shared" si="1300"/>
        <v>2015 Y</v>
      </c>
      <c r="BJ745" s="129"/>
      <c r="BK745" s="129"/>
      <c r="BL745" s="129">
        <f>INDEX('Dist. Plant Gas Additions'!$E$7:$AD$91,MATCH($C745,'Dist. Plant Gas Additions'!$C$7:$C$91,0),MATCH(Calculation!$G745,'Dist. Plant Gas Additions'!$E$5:$AD$5,0))</f>
        <v>92122</v>
      </c>
      <c r="BM745" s="129">
        <f>INDEX('Gen. Plant Additions'!$E$7:$AD$91,MATCH($C745,'Gen. Plant Additions'!$C$7:$C$91,0),MATCH(Calculation!$G745,'Gen. Plant Additions'!$E$5:$AD$5,0))</f>
        <v>4562</v>
      </c>
      <c r="BN745" s="393">
        <f t="shared" si="1330"/>
        <v>0.96061606942428068</v>
      </c>
      <c r="BO745" s="46">
        <f t="shared" si="1278"/>
        <v>4382.3305087135686</v>
      </c>
      <c r="BP745" s="46">
        <f t="shared" si="1279"/>
        <v>-179.66949128643137</v>
      </c>
      <c r="BQ745" s="129">
        <f>INDEX('Dist Plant Depreciation'!$D$7:$AC$94,MATCH($C745,'Dist Plant Depreciation'!$C$7:$C$94,0),MATCH(Calculation!$G745,'Dist Plant Depreciation'!$D$5:$AC$5,0))</f>
        <v>1187830</v>
      </c>
      <c r="BR745" s="129">
        <f>INDEX('Gen. Plant Depreciation'!$D$7:$AC$94,MATCH($C745,'Gen. Plant Depreciation'!$C$7:$C$94,0),MATCH(Calculation!$G745,'Gen. Plant Depreciation'!$D$5:$AC$5,0))</f>
        <v>21757</v>
      </c>
      <c r="BS745" s="129"/>
      <c r="BT745" s="129"/>
      <c r="BU745" s="129"/>
      <c r="BV745" s="129"/>
      <c r="BW745" s="129"/>
      <c r="BX745" s="129"/>
      <c r="BY745" s="129">
        <f>INDEX('Gross Dx Plant'!$D$7:$AC$91,MATCH($C745,'Gross Dx Plant'!$C$7:$C$91,0),MATCH(Calculation!$G745,'Gross Dx Plant'!$D$5:$AC$5,0))</f>
        <v>1703155</v>
      </c>
      <c r="BZ745" s="129">
        <f>INDEX('Gross Gen Plant'!$D$7:$AC$91,MATCH($C745,'Gross Gen Plant'!$C$7:$C$91,0),MATCH(Calculation!$G745,'Gross Gen Plant'!$D$5:$AC$5,0))</f>
        <v>69827</v>
      </c>
      <c r="CA745" s="129">
        <f t="shared" si="1325"/>
        <v>563395</v>
      </c>
      <c r="CB745" s="129"/>
      <c r="CC745" s="133">
        <v>2015</v>
      </c>
      <c r="CD745" s="129"/>
      <c r="CE745" s="129"/>
      <c r="CF745" s="129"/>
      <c r="CG745" s="137"/>
      <c r="CH745" s="129">
        <f t="shared" si="1331"/>
        <v>96684</v>
      </c>
      <c r="CI745" s="46">
        <f t="shared" si="1340"/>
        <v>96504.330508713567</v>
      </c>
      <c r="CJ745" s="46">
        <f t="shared" si="1332"/>
        <v>142.83931368954737</v>
      </c>
      <c r="CK745" s="443">
        <v>0.8</v>
      </c>
      <c r="CL745" s="46">
        <f>+CL728*CK745+CJ729*CK744+CJ730*CK743+CJ731*CK742+CJ732*CK741+CJ733*CK740+CJ734*CK739+CJ735*CK738+CJ736*CK737+CJ737*CK736+CJ738*CK735+CJ739*CK734+CJ740*CK733+CJ741*CK732+CJ742*CK731+CJ743*CK730+CJ744*CK729+CJ745</f>
        <v>3027.190361153408</v>
      </c>
      <c r="CM745" s="134">
        <f t="shared" si="1333"/>
        <v>3.324650587073702E-2</v>
      </c>
      <c r="CN745" s="135">
        <f t="shared" si="1334"/>
        <v>1.4975214796056444E-2</v>
      </c>
      <c r="CO745" s="135">
        <f t="shared" si="1343"/>
        <v>1.4673932211551853E-2</v>
      </c>
      <c r="CP745" s="134">
        <f>VLOOKUP($H745,RoR!$E:$F,2,FALSE)</f>
        <v>3.8866666666666674E-2</v>
      </c>
      <c r="CQ745" s="135">
        <v>9.5709475431029478E-3</v>
      </c>
      <c r="CR745" s="135">
        <f t="shared" si="1341"/>
        <v>2.9295719123563727E-2</v>
      </c>
      <c r="CS745" s="135">
        <f t="shared" si="1344"/>
        <v>1.6228009396981772E-2</v>
      </c>
      <c r="CT745" s="135">
        <f t="shared" si="1345"/>
        <v>3.5270373279175926E-3</v>
      </c>
      <c r="CU745" s="139">
        <f t="shared" si="1335"/>
        <v>0.85203761789999999</v>
      </c>
      <c r="CV745" s="335">
        <f t="shared" si="1336"/>
        <v>1.3194352816994324</v>
      </c>
      <c r="CW745" s="335">
        <f t="shared" si="1337"/>
        <v>0.33177530017152673</v>
      </c>
      <c r="CX745" s="335">
        <f t="shared" si="1338"/>
        <v>0.78242572977668579</v>
      </c>
      <c r="CY745" s="335">
        <f t="shared" si="1339"/>
        <v>0.34251158643433932</v>
      </c>
      <c r="CZ745" s="336">
        <f>INDEX('State Tax Lookup'!$D$7:$Z$91,MATCH(Calculation!$C745,'State Tax Lookup'!$B$7:$B$91,0),MATCH($H745,'State Tax Lookup'!$D$6:$Z$6,0))</f>
        <v>0.39989833000000002</v>
      </c>
      <c r="DA745" s="303">
        <v>0.37</v>
      </c>
      <c r="DB745" s="57">
        <f t="shared" si="1342"/>
        <v>15.561752316417911</v>
      </c>
      <c r="DC745" s="56">
        <f t="shared" si="1346"/>
        <v>-2.8861673096149495E-2</v>
      </c>
      <c r="DD745" s="303">
        <f>VLOOKUP($H745,RoR!$E:$F,2,FALSE)</f>
        <v>3.8866666666666674E-2</v>
      </c>
      <c r="DE745" s="304">
        <f>HLOOKUP($H745,'GDP-PI'!$D$8:$CQ$11,3,FALSE)</f>
        <v>9.5709475431029478E-3</v>
      </c>
      <c r="DF745" s="303">
        <f>VLOOKUP(H745,'HW Dx Data'!$E:$F,2,FALSE)</f>
        <v>675.61463308665782</v>
      </c>
      <c r="DG745" s="89">
        <f ca="1">VLOOKUP(CC745,'ECI - Input Price'!M$13:N$33,2,FALSE)</f>
        <v>133.5</v>
      </c>
      <c r="DH745" s="89"/>
      <c r="DI745" s="89"/>
      <c r="DJ745" s="56">
        <f t="shared" ca="1" si="1355"/>
        <v>3.1193095773504077E-2</v>
      </c>
      <c r="DK745" s="53">
        <f>HLOOKUP(H745,'GDP-PI'!$8:$9,2,FALSE)</f>
        <v>104.639</v>
      </c>
      <c r="DL745" s="355">
        <f t="shared" si="1347"/>
        <v>9.5254361854427965E-3</v>
      </c>
      <c r="EC745"/>
    </row>
    <row r="746" spans="1:133" s="126" customFormat="1" ht="21" customHeight="1" x14ac:dyDescent="0.4">
      <c r="A746" s="233" t="s">
        <v>224</v>
      </c>
      <c r="B746" s="127" t="s">
        <v>224</v>
      </c>
      <c r="C746" s="127">
        <v>4012860</v>
      </c>
      <c r="D746" s="127" t="s">
        <v>225</v>
      </c>
      <c r="E746" s="127"/>
      <c r="F746" s="127"/>
      <c r="G746" s="127" t="s">
        <v>172</v>
      </c>
      <c r="H746" s="128">
        <v>2016</v>
      </c>
      <c r="I746" s="129"/>
      <c r="J746" s="125">
        <f>IFERROR(INDEX('Labor Expenditures'!$E$7:$W$91,MATCH($C746,'Labor Expenditures'!$C$7:$C$91,0),MATCH($G746,'Labor Expenditures'!$E$5:$W$5,0)),"NA")</f>
        <v>60165.521599705586</v>
      </c>
      <c r="K746" s="125">
        <f t="shared" ca="1" si="1348"/>
        <v>439.32472873096452</v>
      </c>
      <c r="L746" s="47"/>
      <c r="M746" s="131">
        <f t="shared" ca="1" si="1356"/>
        <v>1.8451540020693151E-2</v>
      </c>
      <c r="N746" s="131"/>
      <c r="O746" s="131"/>
      <c r="P746" s="59">
        <f t="shared" ca="1" si="1358"/>
        <v>3.4673670116770527E-4</v>
      </c>
      <c r="Q746" s="61"/>
      <c r="R746" s="387"/>
      <c r="S746" s="49">
        <f t="shared" ca="1" si="1363"/>
        <v>299.27780058411332</v>
      </c>
      <c r="T746" s="61">
        <f ca="1">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</f>
        <v>0.92507338293953578</v>
      </c>
      <c r="U746" s="61"/>
      <c r="V746" s="125">
        <f>IFERROR(INDEX('Non-Labor Expenditures'!$E$7:$AA$91,MATCH($C746,'Non-Labor Expenditures'!$C$7:$C$91,0),MATCH($G746,'Non-Labor Expenditures'!$E$5:$AA$5,0)),"NA")</f>
        <v>87130.912645731441</v>
      </c>
      <c r="W746" s="125">
        <f t="shared" si="1349"/>
        <v>824.04207314189523</v>
      </c>
      <c r="X746" s="131">
        <f t="shared" si="1359"/>
        <v>3.3536867522270766E-2</v>
      </c>
      <c r="Y746" s="131">
        <f t="shared" si="1360"/>
        <v>6.3021638297558664E-4</v>
      </c>
      <c r="Z746" s="131"/>
      <c r="AA746" s="131"/>
      <c r="AB746" s="131"/>
      <c r="AC746" s="125">
        <f t="shared" si="1329"/>
        <v>45930.616940072345</v>
      </c>
      <c r="AD746" s="129"/>
      <c r="AE746" s="133">
        <v>3428.7199200807304</v>
      </c>
      <c r="AF746" s="134">
        <v>4.8270069421110826E-2</v>
      </c>
      <c r="AG746" s="59">
        <f t="shared" si="1350"/>
        <v>9.0707900898471183E-4</v>
      </c>
      <c r="AH746" s="134"/>
      <c r="AI746" s="134"/>
      <c r="AJ746" s="129">
        <f t="shared" si="1351"/>
        <v>193227.05118550936</v>
      </c>
      <c r="AK746" s="134">
        <f t="shared" si="1361"/>
        <v>3.5281078820166484E-2</v>
      </c>
      <c r="AL746" s="129"/>
      <c r="AM746" s="129"/>
      <c r="AN746" s="129"/>
      <c r="AO746" s="129"/>
      <c r="AP746" s="133">
        <f t="shared" si="1362"/>
        <v>235.66918628127712</v>
      </c>
      <c r="AQ746" s="134">
        <f>+BB746/Outputs!$B$24</f>
        <v>2.2310801811209084E-2</v>
      </c>
      <c r="AR746" s="93">
        <f t="shared" si="1352"/>
        <v>0.311372146035304</v>
      </c>
      <c r="AS746" s="93">
        <f t="shared" si="1353"/>
        <v>0.45092502375394961</v>
      </c>
      <c r="AT746" s="93">
        <f t="shared" si="1354"/>
        <v>0.23770283021074645</v>
      </c>
      <c r="AU746" s="93">
        <f t="shared" ca="1" si="1357"/>
        <v>3.2410708397308904E-2</v>
      </c>
      <c r="AV746" s="132">
        <f t="shared" ca="1" si="1365"/>
        <v>91.89587713180822</v>
      </c>
      <c r="AW746" s="134">
        <f t="shared" ca="1" si="1366"/>
        <v>3.2410708397308995E-2</v>
      </c>
      <c r="AX746" s="135">
        <f>+AJ746/$AL$21</f>
        <v>1.8791748590027975E-2</v>
      </c>
      <c r="AY746" s="135">
        <f t="shared" ca="1" si="1364"/>
        <v>6.0905388382693918E-4</v>
      </c>
      <c r="AZ746" s="93"/>
      <c r="BA746" s="93"/>
      <c r="BB746" s="234">
        <f>IFERROR(INDEX('Total Customers'!$E$7:$AA$91,MATCH($C746,'Total Customers'!$C$7:$C$91,0),MATCH($G746,'Total Customers'!$E$5:$AA$5,0)),"NA")</f>
        <v>819908</v>
      </c>
      <c r="BC746" s="411">
        <f t="shared" si="1305"/>
        <v>9.9184253434301643E-3</v>
      </c>
      <c r="BD746" s="92"/>
      <c r="BE746" s="281" t="str">
        <f t="shared" si="1297"/>
        <v>NORTHERN INDIANA PUBLIC SERVICE COMPANY</v>
      </c>
      <c r="BF746" s="290">
        <f t="shared" si="1298"/>
        <v>4012860</v>
      </c>
      <c r="BG746" s="46" t="str">
        <f t="shared" si="1299"/>
        <v>IN</v>
      </c>
      <c r="BH746" s="46"/>
      <c r="BI746" s="46" t="str">
        <f t="shared" si="1300"/>
        <v>2016 Y</v>
      </c>
      <c r="BJ746" s="129"/>
      <c r="BK746" s="129"/>
      <c r="BL746" s="129">
        <f>INDEX('Dist. Plant Gas Additions'!$E$7:$AD$91,MATCH($C746,'Dist. Plant Gas Additions'!$C$7:$C$91,0),MATCH(Calculation!$G746,'Dist. Plant Gas Additions'!$E$5:$AD$5,0))</f>
        <v>124523</v>
      </c>
      <c r="BM746" s="129">
        <f>INDEX('Gen. Plant Additions'!$E$7:$AD$91,MATCH($C746,'Gen. Plant Additions'!$C$7:$C$91,0),MATCH(Calculation!$G746,'Gen. Plant Additions'!$E$5:$AD$5,0))</f>
        <v>2445</v>
      </c>
      <c r="BN746" s="393">
        <f t="shared" si="1330"/>
        <v>0.96573703785008225</v>
      </c>
      <c r="BO746" s="46">
        <f t="shared" si="1278"/>
        <v>2361.2270575434509</v>
      </c>
      <c r="BP746" s="46">
        <f t="shared" si="1279"/>
        <v>-83.772942456549117</v>
      </c>
      <c r="BQ746" s="129">
        <f>INDEX('Dist Plant Depreciation'!$D$7:$AC$94,MATCH($C746,'Dist Plant Depreciation'!$C$7:$C$94,0),MATCH(Calculation!$G746,'Dist Plant Depreciation'!$D$5:$AC$5,0))</f>
        <v>1165320</v>
      </c>
      <c r="BR746" s="129">
        <f>INDEX('Gen. Plant Depreciation'!$D$7:$AC$94,MATCH($C746,'Gen. Plant Depreciation'!$C$7:$C$94,0),MATCH(Calculation!$G746,'Gen. Plant Depreciation'!$D$5:$AC$5,0))</f>
        <v>6020</v>
      </c>
      <c r="BS746" s="129"/>
      <c r="BT746" s="129"/>
      <c r="BU746" s="129"/>
      <c r="BV746" s="129"/>
      <c r="BW746" s="129"/>
      <c r="BX746" s="129"/>
      <c r="BY746" s="129">
        <f>INDEX('Gross Dx Plant'!$D$7:$AC$91,MATCH($C746,'Gross Dx Plant'!$C$7:$C$91,0),MATCH(Calculation!$G746,'Gross Dx Plant'!$D$5:$AC$5,0))</f>
        <v>1821297</v>
      </c>
      <c r="BZ746" s="129">
        <f>INDEX('Gross Gen Plant'!$D$7:$AC$91,MATCH($C746,'Gross Gen Plant'!$C$7:$C$91,0),MATCH(Calculation!$G746,'Gross Gen Plant'!$D$5:$AC$5,0))</f>
        <v>64617</v>
      </c>
      <c r="CA746" s="129">
        <f t="shared" si="1325"/>
        <v>714574</v>
      </c>
      <c r="CB746" s="129"/>
      <c r="CC746" s="133">
        <v>2016</v>
      </c>
      <c r="CD746" s="129"/>
      <c r="CE746" s="129"/>
      <c r="CF746" s="129"/>
      <c r="CG746" s="137"/>
      <c r="CH746" s="129">
        <f t="shared" si="1331"/>
        <v>126968</v>
      </c>
      <c r="CI746" s="46">
        <f t="shared" si="1340"/>
        <v>126884.22705754345</v>
      </c>
      <c r="CJ746" s="46">
        <f t="shared" si="1332"/>
        <v>188.96867796310457</v>
      </c>
      <c r="CK746" s="443">
        <v>0.7857142857142857</v>
      </c>
      <c r="CL746" s="46">
        <f>+CL728*CK746+CJ729*CK745+CJ730*CK744+CJ731*CK743+CJ732*CK742+CJ733*CK741+CJ734*CK740+CJ735*CK739+CJ736*CK738+CJ737*CK737+CJ738*CK736+CJ739*CK735+CJ740*CK734+CJ741*CK733+CJ742*CK732+CJ743*CK731+CJ744*CK730+CJ745*CK729+CJ746</f>
        <v>3169.8865536970584</v>
      </c>
      <c r="CM746" s="134">
        <f t="shared" si="1333"/>
        <v>4.6060883981053874E-2</v>
      </c>
      <c r="CN746" s="135">
        <f t="shared" si="1334"/>
        <v>1.5285621285416511E-2</v>
      </c>
      <c r="CO746" s="135">
        <f t="shared" si="1343"/>
        <v>1.4980383280848455E-2</v>
      </c>
      <c r="CP746" s="134">
        <f>VLOOKUP($H746,RoR!$E:$F,2,FALSE)</f>
        <v>3.6658333333333334E-2</v>
      </c>
      <c r="CQ746" s="135">
        <v>1.0483662879041455E-2</v>
      </c>
      <c r="CR746" s="135">
        <f t="shared" si="1341"/>
        <v>2.6174670454291879E-2</v>
      </c>
      <c r="CS746" s="135">
        <f t="shared" si="1344"/>
        <v>1.592155832768517E-2</v>
      </c>
      <c r="CT746" s="135">
        <f t="shared" si="1345"/>
        <v>4.301363574220729E-3</v>
      </c>
      <c r="CU746" s="139">
        <f t="shared" si="1335"/>
        <v>0.85203761789999999</v>
      </c>
      <c r="CV746" s="335">
        <f t="shared" si="1336"/>
        <v>1.3989193348138562</v>
      </c>
      <c r="CW746" s="335">
        <f t="shared" si="1337"/>
        <v>0.29302682427824522</v>
      </c>
      <c r="CX746" s="335">
        <f t="shared" si="1338"/>
        <v>0.76309497491941802</v>
      </c>
      <c r="CY746" s="335">
        <f t="shared" si="1339"/>
        <v>0.31280857135128509</v>
      </c>
      <c r="CZ746" s="336">
        <f>INDEX('State Tax Lookup'!$D$7:$Z$91,MATCH(Calculation!$C746,'State Tax Lookup'!$B$7:$B$91,0),MATCH($H746,'State Tax Lookup'!$D$6:$Z$6,0))</f>
        <v>0.39989833000000002</v>
      </c>
      <c r="DA746" s="303">
        <v>0.37</v>
      </c>
      <c r="DB746" s="57">
        <f t="shared" si="1342"/>
        <v>15.172688685019478</v>
      </c>
      <c r="DC746" s="56">
        <f t="shared" si="1346"/>
        <v>-2.5319114507836624E-2</v>
      </c>
      <c r="DD746" s="303">
        <f>VLOOKUP($H746,RoR!$E:$F,2,FALSE)</f>
        <v>3.6658333333333334E-2</v>
      </c>
      <c r="DE746" s="304">
        <f>HLOOKUP($H746,'GDP-PI'!$D$8:$CQ$11,3,FALSE)</f>
        <v>1.0483662879041455E-2</v>
      </c>
      <c r="DF746" s="303">
        <f>VLOOKUP(H746,'HW Dx Data'!$E:$F,2,FALSE)</f>
        <v>671.45639385971219</v>
      </c>
      <c r="DG746" s="89">
        <f ca="1">VLOOKUP(CC746,'ECI - Input Price'!M$13:N$33,2,FALSE)</f>
        <v>136.94999999999999</v>
      </c>
      <c r="DH746" s="89"/>
      <c r="DI746" s="89"/>
      <c r="DJ746" s="56">
        <f t="shared" ca="1" si="1355"/>
        <v>2.5514417868782811E-2</v>
      </c>
      <c r="DK746" s="53">
        <f>HLOOKUP(H746,'GDP-PI'!$8:$9,2,FALSE)</f>
        <v>105.736</v>
      </c>
      <c r="DL746" s="355">
        <f t="shared" si="1347"/>
        <v>1.0429090367205095E-2</v>
      </c>
      <c r="EC746"/>
    </row>
    <row r="747" spans="1:133" s="126" customFormat="1" ht="21" customHeight="1" x14ac:dyDescent="0.4">
      <c r="A747" s="233" t="s">
        <v>224</v>
      </c>
      <c r="B747" s="127" t="s">
        <v>224</v>
      </c>
      <c r="C747" s="127">
        <v>4012860</v>
      </c>
      <c r="D747" s="127" t="s">
        <v>225</v>
      </c>
      <c r="E747" s="127"/>
      <c r="F747" s="127"/>
      <c r="G747" s="127" t="s">
        <v>173</v>
      </c>
      <c r="H747" s="128">
        <v>2017</v>
      </c>
      <c r="I747" s="129"/>
      <c r="J747" s="125">
        <f>IFERROR(INDEX('Labor Expenditures'!$E$7:$W$91,MATCH($C747,'Labor Expenditures'!$C$7:$C$91,0),MATCH($G747,'Labor Expenditures'!$E$5:$W$5,0)),"NA")</f>
        <v>68576.73338614589</v>
      </c>
      <c r="K747" s="125">
        <f t="shared" ca="1" si="1348"/>
        <v>488.26438865180415</v>
      </c>
      <c r="L747" s="47"/>
      <c r="M747" s="131">
        <f t="shared" ca="1" si="1356"/>
        <v>0.1056181985545937</v>
      </c>
      <c r="N747" s="131"/>
      <c r="O747" s="131"/>
      <c r="P747" s="59">
        <f t="shared" ca="1" si="1358"/>
        <v>2.1676994072753939E-3</v>
      </c>
      <c r="Q747" s="61"/>
      <c r="R747" s="387"/>
      <c r="S747" s="49">
        <f t="shared" ca="1" si="1363"/>
        <v>166.46080906977392</v>
      </c>
      <c r="T747" s="61">
        <f ca="1">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</f>
        <v>-0.58661234023720699</v>
      </c>
      <c r="U747" s="61"/>
      <c r="V747" s="125">
        <f>IFERROR(INDEX('Non-Labor Expenditures'!$E$7:$AA$91,MATCH($C747,'Non-Labor Expenditures'!$C$7:$C$91,0),MATCH($G747,'Non-Labor Expenditures'!$E$5:$AA$5,0)),"NA")</f>
        <v>99311.918310156107</v>
      </c>
      <c r="W747" s="125">
        <f t="shared" si="1349"/>
        <v>921.67978311251034</v>
      </c>
      <c r="X747" s="131">
        <f t="shared" si="1359"/>
        <v>0.1119762681680142</v>
      </c>
      <c r="Y747" s="131">
        <f t="shared" si="1360"/>
        <v>2.2981919163414643E-3</v>
      </c>
      <c r="Z747" s="131"/>
      <c r="AA747" s="131"/>
      <c r="AB747" s="131"/>
      <c r="AC747" s="125">
        <f t="shared" si="1329"/>
        <v>43079.328549596212</v>
      </c>
      <c r="AD747" s="129"/>
      <c r="AE747" s="133">
        <v>3552.8600499108034</v>
      </c>
      <c r="AF747" s="134">
        <v>3.5565936611158561E-2</v>
      </c>
      <c r="AG747" s="59">
        <f t="shared" si="1350"/>
        <v>7.2995242075968422E-4</v>
      </c>
      <c r="AH747" s="134"/>
      <c r="AI747" s="134"/>
      <c r="AJ747" s="129">
        <f t="shared" si="1351"/>
        <v>210967.98024589822</v>
      </c>
      <c r="AK747" s="134">
        <f t="shared" si="1361"/>
        <v>8.7840441106231848E-2</v>
      </c>
      <c r="AL747" s="129"/>
      <c r="AM747" s="129"/>
      <c r="AN747" s="129"/>
      <c r="AO747" s="129"/>
      <c r="AP747" s="133">
        <f t="shared" si="1362"/>
        <v>257.11278269441249</v>
      </c>
      <c r="AQ747" s="134">
        <f>+BB747/Outputs!$B$25</f>
        <v>2.215989448726419E-2</v>
      </c>
      <c r="AR747" s="93">
        <f t="shared" si="1352"/>
        <v>0.32505754335901982</v>
      </c>
      <c r="AS747" s="93">
        <f t="shared" si="1353"/>
        <v>0.47074403515832586</v>
      </c>
      <c r="AT747" s="93">
        <f t="shared" si="1354"/>
        <v>0.2041984214826543</v>
      </c>
      <c r="AU747" s="93">
        <f t="shared" ca="1" si="1357"/>
        <v>9.3070125454764702E-2</v>
      </c>
      <c r="AV747" s="132">
        <f t="shared" ca="1" si="1365"/>
        <v>100.85928133604166</v>
      </c>
      <c r="AW747" s="134">
        <f t="shared" ca="1" si="1366"/>
        <v>9.3070125454764646E-2</v>
      </c>
      <c r="AX747" s="135">
        <f>+AJ747/$AL$22</f>
        <v>2.0523919522779186E-2</v>
      </c>
      <c r="AY747" s="135">
        <f t="shared" ca="1" si="1364"/>
        <v>1.9101637648085523E-3</v>
      </c>
      <c r="AZ747" s="93"/>
      <c r="BA747" s="93"/>
      <c r="BB747" s="234">
        <f>IFERROR(INDEX('Total Customers'!$E$7:$AA$91,MATCH($C747,'Total Customers'!$C$7:$C$91,0),MATCH($G747,'Total Customers'!$E$5:$AA$5,0)),"NA")</f>
        <v>820527</v>
      </c>
      <c r="BC747" s="411">
        <f t="shared" si="1305"/>
        <v>7.5467791089405423E-4</v>
      </c>
      <c r="BD747" s="92"/>
      <c r="BE747" s="281" t="str">
        <f t="shared" si="1297"/>
        <v>NORTHERN INDIANA PUBLIC SERVICE COMPANY</v>
      </c>
      <c r="BF747" s="290">
        <f t="shared" si="1298"/>
        <v>4012860</v>
      </c>
      <c r="BG747" s="46" t="str">
        <f t="shared" si="1299"/>
        <v>IN</v>
      </c>
      <c r="BH747" s="46"/>
      <c r="BI747" s="46" t="str">
        <f t="shared" si="1300"/>
        <v>2017 Y</v>
      </c>
      <c r="BJ747" s="129"/>
      <c r="BK747" s="129"/>
      <c r="BL747" s="129">
        <f>INDEX('Dist. Plant Gas Additions'!$E$7:$AD$91,MATCH($C747,'Dist. Plant Gas Additions'!$C$7:$C$91,0),MATCH(Calculation!$G747,'Dist. Plant Gas Additions'!$E$5:$AD$5,0))</f>
        <v>105974</v>
      </c>
      <c r="BM747" s="129">
        <f>INDEX('Gen. Plant Additions'!$E$7:$AD$91,MATCH($C747,'Gen. Plant Additions'!$C$7:$C$91,0),MATCH(Calculation!$G747,'Gen. Plant Additions'!$E$5:$AD$5,0))</f>
        <v>3499</v>
      </c>
      <c r="BN747" s="393">
        <f t="shared" si="1330"/>
        <v>0.96655244361034942</v>
      </c>
      <c r="BO747" s="46">
        <f t="shared" si="1278"/>
        <v>3381.9670001926124</v>
      </c>
      <c r="BP747" s="46">
        <f t="shared" si="1279"/>
        <v>-117.03299980738757</v>
      </c>
      <c r="BQ747" s="129">
        <f>INDEX('Dist Plant Depreciation'!$D$7:$AC$94,MATCH($C747,'Dist Plant Depreciation'!$C$7:$C$94,0),MATCH(Calculation!$G747,'Dist Plant Depreciation'!$D$5:$AC$5,0))</f>
        <v>1144589</v>
      </c>
      <c r="BR747" s="129">
        <f>INDEX('Gen. Plant Depreciation'!$D$7:$AC$94,MATCH($C747,'Gen. Plant Depreciation'!$C$7:$C$94,0),MATCH(Calculation!$G747,'Gen. Plant Depreciation'!$D$5:$AC$5,0))</f>
        <v>-6494</v>
      </c>
      <c r="BS747" s="129"/>
      <c r="BT747" s="129"/>
      <c r="BU747" s="129"/>
      <c r="BV747" s="129"/>
      <c r="BW747" s="129"/>
      <c r="BX747" s="129"/>
      <c r="BY747" s="129">
        <f>INDEX('Gross Dx Plant'!$D$7:$AC$91,MATCH($C747,'Gross Dx Plant'!$C$7:$C$91,0),MATCH(Calculation!$G747,'Gross Dx Plant'!$D$5:$AC$5,0))</f>
        <v>1916919</v>
      </c>
      <c r="BZ747" s="129">
        <f>INDEX('Gross Gen Plant'!$D$7:$AC$91,MATCH($C747,'Gross Gen Plant'!$C$7:$C$91,0),MATCH(Calculation!$G747,'Gross Gen Plant'!$D$5:$AC$5,0))</f>
        <v>66335</v>
      </c>
      <c r="CA747" s="129">
        <f t="shared" si="1325"/>
        <v>845159</v>
      </c>
      <c r="CB747" s="129"/>
      <c r="CC747" s="133">
        <v>2017</v>
      </c>
      <c r="CD747" s="129"/>
      <c r="CE747" s="129"/>
      <c r="CF747" s="129"/>
      <c r="CG747" s="137"/>
      <c r="CH747" s="129">
        <f t="shared" si="1331"/>
        <v>109473</v>
      </c>
      <c r="CI747" s="46">
        <f t="shared" si="1340"/>
        <v>109355.96700019261</v>
      </c>
      <c r="CJ747" s="46">
        <f t="shared" si="1332"/>
        <v>153.49744451843782</v>
      </c>
      <c r="CK747" s="443">
        <v>0.77108433734939763</v>
      </c>
      <c r="CL747" s="46">
        <f>+CL728*CK747+CJ729*CK746+CJ730*CK745+CJ731*CK744+CJ732*CK743+CJ733*CK742+CJ734*CK741+CJ735*CK740+CJ736*CK739+CJ737*CK738+CJ738*CK737+CJ739*CK736+CJ740*CK735+CJ741*CK734+CJ742*CK733+CJ743*CK732+CJ744*CK731+CJ745*CK730+CJ746*CK729+CJ747</f>
        <v>3274.1692142833795</v>
      </c>
      <c r="CM747" s="134">
        <f t="shared" si="1333"/>
        <v>3.23683621067535E-2</v>
      </c>
      <c r="CN747" s="135">
        <f t="shared" si="1334"/>
        <v>1.5525724059341252E-2</v>
      </c>
      <c r="CO747" s="135">
        <f t="shared" si="1343"/>
        <v>1.5262186713604735E-2</v>
      </c>
      <c r="CP747" s="134">
        <f>VLOOKUP($H747,RoR!$E:$F,2,FALSE)</f>
        <v>3.7433333333333339E-2</v>
      </c>
      <c r="CQ747" s="135">
        <v>1.9056896421275615E-2</v>
      </c>
      <c r="CR747" s="135">
        <f t="shared" si="1341"/>
        <v>1.8376436912057724E-2</v>
      </c>
      <c r="CS747" s="135">
        <f t="shared" si="1344"/>
        <v>1.563975489492889E-2</v>
      </c>
      <c r="CT747" s="135">
        <f t="shared" si="1345"/>
        <v>1.3976271617800498E-2</v>
      </c>
      <c r="CU747" s="139">
        <f t="shared" si="1335"/>
        <v>0.90383761790000006</v>
      </c>
      <c r="CV747" s="335">
        <f t="shared" si="1336"/>
        <v>1.3699568463593395</v>
      </c>
      <c r="CW747" s="335">
        <f t="shared" si="1337"/>
        <v>0.30714603739982199</v>
      </c>
      <c r="CX747" s="335">
        <f t="shared" si="1338"/>
        <v>0.77007188472689425</v>
      </c>
      <c r="CY747" s="335">
        <f t="shared" si="1339"/>
        <v>0.32402839633793828</v>
      </c>
      <c r="CZ747" s="336">
        <f>INDEX('State Tax Lookup'!$D$7:$Z$91,MATCH(Calculation!$C747,'State Tax Lookup'!$B$7:$B$91,0),MATCH($H747,'State Tax Lookup'!$D$6:$Z$6,0))</f>
        <v>0.25989833000000001</v>
      </c>
      <c r="DA747" s="303">
        <v>0.37</v>
      </c>
      <c r="DB747" s="57">
        <f t="shared" si="1342"/>
        <v>13.590179907023019</v>
      </c>
      <c r="DC747" s="56">
        <f t="shared" si="1346"/>
        <v>-0.11014954837102227</v>
      </c>
      <c r="DD747" s="303">
        <f>VLOOKUP($H747,RoR!$E:$F,2,FALSE)</f>
        <v>3.7433333333333339E-2</v>
      </c>
      <c r="DE747" s="304">
        <f>HLOOKUP($H747,'GDP-PI'!$D$8:$CQ$11,3,FALSE)</f>
        <v>1.9056896421275615E-2</v>
      </c>
      <c r="DF747" s="303">
        <f>VLOOKUP(H747,'HW Dx Data'!$E:$F,2,FALSE)</f>
        <v>712.42858370229726</v>
      </c>
      <c r="DG747" s="89">
        <f ca="1">VLOOKUP(CC747,'ECI - Input Price'!M$13:N$33,2,FALSE)</f>
        <v>140.44999999999999</v>
      </c>
      <c r="DH747" s="89"/>
      <c r="DI747" s="89"/>
      <c r="DJ747" s="56">
        <f t="shared" ca="1" si="1355"/>
        <v>2.5235657841165486E-2</v>
      </c>
      <c r="DK747" s="53">
        <f>HLOOKUP(H747,'GDP-PI'!$8:$9,2,FALSE)</f>
        <v>107.751</v>
      </c>
      <c r="DL747" s="355">
        <f t="shared" si="1347"/>
        <v>1.8877588227745139E-2</v>
      </c>
      <c r="EC747"/>
    </row>
    <row r="748" spans="1:133" s="126" customFormat="1" ht="21" customHeight="1" x14ac:dyDescent="0.4">
      <c r="A748" s="233" t="s">
        <v>224</v>
      </c>
      <c r="B748" s="127" t="s">
        <v>224</v>
      </c>
      <c r="C748" s="127">
        <v>4012860</v>
      </c>
      <c r="D748" s="127" t="s">
        <v>225</v>
      </c>
      <c r="E748" s="127"/>
      <c r="F748" s="127"/>
      <c r="G748" s="127" t="s">
        <v>174</v>
      </c>
      <c r="H748" s="128">
        <v>2018</v>
      </c>
      <c r="I748" s="129"/>
      <c r="J748" s="125">
        <f>IFERROR(INDEX('Labor Expenditures'!$E$7:$W$91,MATCH($C748,'Labor Expenditures'!$C$7:$C$91,0),MATCH($G748,'Labor Expenditures'!$E$5:$W$5,0)),"NA")</f>
        <v>62540.781337337976</v>
      </c>
      <c r="K748" s="125">
        <f t="shared" ca="1" si="1348"/>
        <v>432.95798779742461</v>
      </c>
      <c r="L748" s="47"/>
      <c r="M748" s="131">
        <f t="shared" ca="1" si="1356"/>
        <v>-0.12021634174434914</v>
      </c>
      <c r="N748" s="131"/>
      <c r="O748" s="131"/>
      <c r="P748" s="59">
        <f t="shared" ca="1" si="1358"/>
        <v>-2.1531198921116521E-3</v>
      </c>
      <c r="Q748" s="61"/>
      <c r="R748" s="387"/>
      <c r="S748" s="49">
        <f t="shared" ca="1" si="1363"/>
        <v>114.8646214129534</v>
      </c>
      <c r="T748" s="61">
        <f ca="1">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</f>
        <v>-0.37100567094344111</v>
      </c>
      <c r="U748" s="61"/>
      <c r="V748" s="125">
        <f>IFERROR(INDEX('Non-Labor Expenditures'!$E$7:$AA$91,MATCH($C748,'Non-Labor Expenditures'!$C$7:$C$91,0),MATCH($G748,'Non-Labor Expenditures'!$E$5:$AA$5,0)),"NA")</f>
        <v>90570.732383147028</v>
      </c>
      <c r="W748" s="125">
        <f t="shared" si="1349"/>
        <v>820.96709979103923</v>
      </c>
      <c r="X748" s="131">
        <f t="shared" si="1359"/>
        <v>-0.11571482109886633</v>
      </c>
      <c r="Y748" s="131">
        <f t="shared" si="1360"/>
        <v>-2.0724959644001276E-3</v>
      </c>
      <c r="Z748" s="131"/>
      <c r="AA748" s="131"/>
      <c r="AB748" s="131"/>
      <c r="AC748" s="125">
        <f t="shared" si="1329"/>
        <v>46194.209110077383</v>
      </c>
      <c r="AD748" s="129"/>
      <c r="AE748" s="133">
        <v>3705.5536497606636</v>
      </c>
      <c r="AF748" s="134">
        <v>4.2079753728328811E-2</v>
      </c>
      <c r="AG748" s="59">
        <f t="shared" si="1350"/>
        <v>7.5366421480616268E-4</v>
      </c>
      <c r="AH748" s="134"/>
      <c r="AI748" s="134"/>
      <c r="AJ748" s="129">
        <f t="shared" si="1351"/>
        <v>199305.72283056239</v>
      </c>
      <c r="AK748" s="134">
        <f t="shared" si="1361"/>
        <v>-5.6866428110807186E-2</v>
      </c>
      <c r="AL748" s="129"/>
      <c r="AM748" s="129"/>
      <c r="AN748" s="129"/>
      <c r="AO748" s="129"/>
      <c r="AP748" s="133">
        <f t="shared" si="1362"/>
        <v>240.80802222977522</v>
      </c>
      <c r="AQ748" s="134">
        <f>+BB748/Outputs!$B$26</f>
        <v>2.2156613371120262E-2</v>
      </c>
      <c r="AR748" s="93">
        <f t="shared" si="1352"/>
        <v>0.3137932039739087</v>
      </c>
      <c r="AS748" s="93">
        <f t="shared" si="1353"/>
        <v>0.45443116784029708</v>
      </c>
      <c r="AT748" s="93">
        <f t="shared" si="1354"/>
        <v>0.2317756281857942</v>
      </c>
      <c r="AU748" s="93">
        <f t="shared" ca="1" si="1357"/>
        <v>-8.2755551111555331E-2</v>
      </c>
      <c r="AV748" s="132">
        <f t="shared" ca="1" si="1365"/>
        <v>92.848649260657098</v>
      </c>
      <c r="AW748" s="134">
        <f t="shared" ca="1" si="1366"/>
        <v>-8.2755551111555289E-2</v>
      </c>
      <c r="AX748" s="135">
        <f>+AJ748/$AL$23</f>
        <v>1.7910376084230337E-2</v>
      </c>
      <c r="AY748" s="135">
        <f t="shared" ca="1" si="1364"/>
        <v>-1.4821830434657011E-3</v>
      </c>
      <c r="AZ748" s="93"/>
      <c r="BA748" s="93"/>
      <c r="BB748" s="234">
        <f>IFERROR(INDEX('Total Customers'!$E$7:$AA$91,MATCH($C748,'Total Customers'!$C$7:$C$91,0),MATCH($G748,'Total Customers'!$E$5:$AA$5,0)),"NA")</f>
        <v>827654</v>
      </c>
      <c r="BC748" s="411">
        <f t="shared" si="1305"/>
        <v>8.6483759023903099E-3</v>
      </c>
      <c r="BD748" s="92"/>
      <c r="BE748" s="281" t="str">
        <f t="shared" si="1297"/>
        <v>NORTHERN INDIANA PUBLIC SERVICE COMPANY</v>
      </c>
      <c r="BF748" s="290">
        <f t="shared" si="1298"/>
        <v>4012860</v>
      </c>
      <c r="BG748" s="46" t="str">
        <f t="shared" si="1299"/>
        <v>IN</v>
      </c>
      <c r="BH748" s="46"/>
      <c r="BI748" s="46" t="str">
        <f t="shared" si="1300"/>
        <v>2018 Y</v>
      </c>
      <c r="BJ748" s="129"/>
      <c r="BK748" s="129"/>
      <c r="BL748" s="129">
        <f>INDEX('Dist. Plant Gas Additions'!$E$7:$AD$91,MATCH($C748,'Dist. Plant Gas Additions'!$C$7:$C$91,0),MATCH(Calculation!$G748,'Dist. Plant Gas Additions'!$E$5:$AD$5,0))</f>
        <v>135793</v>
      </c>
      <c r="BM748" s="129">
        <f>INDEX('Gen. Plant Additions'!$E$7:$AD$91,MATCH($C748,'Gen. Plant Additions'!$C$7:$C$91,0),MATCH(Calculation!$G748,'Gen. Plant Additions'!$E$5:$AD$5,0))</f>
        <v>3252</v>
      </c>
      <c r="BN748" s="393">
        <f t="shared" si="1330"/>
        <v>0.97532993160995718</v>
      </c>
      <c r="BO748" s="46">
        <f t="shared" si="1278"/>
        <v>3171.772937595581</v>
      </c>
      <c r="BP748" s="46">
        <f t="shared" si="1279"/>
        <v>-80.22706240441903</v>
      </c>
      <c r="BQ748" s="129">
        <f>INDEX('Dist Plant Depreciation'!$D$7:$AC$94,MATCH($C748,'Dist Plant Depreciation'!$C$7:$C$94,0),MATCH(Calculation!$G748,'Dist Plant Depreciation'!$D$5:$AC$5,0))</f>
        <v>1142437</v>
      </c>
      <c r="BR748" s="129">
        <f>INDEX('Gen. Plant Depreciation'!$D$7:$AC$94,MATCH($C748,'Gen. Plant Depreciation'!$C$7:$C$94,0),MATCH(Calculation!$G748,'Gen. Plant Depreciation'!$D$5:$AC$5,0))</f>
        <v>-39625</v>
      </c>
      <c r="BS748" s="129"/>
      <c r="BT748" s="129"/>
      <c r="BU748" s="129"/>
      <c r="BV748" s="129"/>
      <c r="BW748" s="129"/>
      <c r="BX748" s="129"/>
      <c r="BY748" s="129">
        <f>INDEX('Gross Dx Plant'!$D$7:$AC$91,MATCH($C748,'Gross Dx Plant'!$C$7:$C$91,0),MATCH(Calculation!$G748,'Gross Dx Plant'!$D$5:$AC$5,0))</f>
        <v>2038936</v>
      </c>
      <c r="BZ748" s="129">
        <f>INDEX('Gross Gen Plant'!$D$7:$AC$91,MATCH($C748,'Gross Gen Plant'!$C$7:$C$91,0),MATCH(Calculation!$G748,'Gross Gen Plant'!$D$5:$AC$5,0))</f>
        <v>51573</v>
      </c>
      <c r="CA748" s="129">
        <f t="shared" si="1325"/>
        <v>987697</v>
      </c>
      <c r="CB748" s="129"/>
      <c r="CC748" s="133">
        <v>2018</v>
      </c>
      <c r="CD748" s="129"/>
      <c r="CE748" s="129"/>
      <c r="CF748" s="129"/>
      <c r="CG748" s="137"/>
      <c r="CH748" s="129">
        <f t="shared" si="1331"/>
        <v>139045</v>
      </c>
      <c r="CI748" s="46">
        <f t="shared" si="1340"/>
        <v>138964.77293759558</v>
      </c>
      <c r="CJ748" s="46">
        <f t="shared" si="1332"/>
        <v>184.0259787378117</v>
      </c>
      <c r="CK748" s="443">
        <v>0.75609756097560976</v>
      </c>
      <c r="CL748" s="46">
        <f>+CL728*CK748++CJ729*CK747+CJ730*CK746+CJ731*CK745+CJ732*CK744+CJ733*CK743+CJ734*CK742+CJ735*CK741+CJ736*CK740+CJ737*CK739+CJ738*CK738+CJ739*CK737+CJ740*CK736+CJ741*CK735+CJ742*CK734+CJ743*CK733+CJ744*CK732+CJ745*CK731+CJ746*CK730+CJ747*CK729+CJ748</f>
        <v>3406.3141184947158</v>
      </c>
      <c r="CM748" s="134">
        <f t="shared" si="1333"/>
        <v>3.9566641152230145E-2</v>
      </c>
      <c r="CN748" s="135">
        <f t="shared" si="1334"/>
        <v>1.5845569098917399E-2</v>
      </c>
      <c r="CO748" s="135">
        <f t="shared" si="1343"/>
        <v>1.5552304814558387E-2</v>
      </c>
      <c r="CP748" s="134">
        <f>VLOOKUP($H748,RoR!$E:$F,2,FALSE)</f>
        <v>3.9299999999999995E-2</v>
      </c>
      <c r="CQ748" s="135">
        <v>2.386056741932796E-2</v>
      </c>
      <c r="CR748" s="135">
        <f t="shared" si="1341"/>
        <v>1.5439432580672034E-2</v>
      </c>
      <c r="CS748" s="135">
        <f t="shared" si="1344"/>
        <v>1.5349636793975238E-2</v>
      </c>
      <c r="CT748" s="135">
        <f t="shared" si="1345"/>
        <v>3.8270792163076606E-2</v>
      </c>
      <c r="CU748" s="139">
        <f t="shared" si="1335"/>
        <v>0.90383761790000006</v>
      </c>
      <c r="CV748" s="335">
        <f t="shared" si="1336"/>
        <v>1.3048868010700074</v>
      </c>
      <c r="CW748" s="335">
        <f t="shared" si="1337"/>
        <v>0.33886768447837151</v>
      </c>
      <c r="CX748" s="335">
        <f t="shared" si="1338"/>
        <v>0.78602506232557801</v>
      </c>
      <c r="CY748" s="335">
        <f t="shared" si="1339"/>
        <v>0.34756768162358759</v>
      </c>
      <c r="CZ748" s="336">
        <f>INDEX('State Tax Lookup'!$D$7:$Z$91,MATCH(Calculation!$C748,'State Tax Lookup'!$B$7:$B$91,0),MATCH($H748,'State Tax Lookup'!$D$6:$Z$6,0))</f>
        <v>0.25989833000000001</v>
      </c>
      <c r="DA748" s="303">
        <v>0.37</v>
      </c>
      <c r="DB748" s="57">
        <f t="shared" si="1342"/>
        <v>14.108681038401357</v>
      </c>
      <c r="DC748" s="56">
        <f t="shared" si="1346"/>
        <v>3.7442818148511671E-2</v>
      </c>
      <c r="DD748" s="303">
        <f>VLOOKUP($H748,RoR!$E:$F,2,FALSE)</f>
        <v>3.9299999999999995E-2</v>
      </c>
      <c r="DE748" s="304">
        <f>HLOOKUP($H748,'GDP-PI'!$D$8:$CQ$11,3,FALSE)</f>
        <v>2.386056741932796E-2</v>
      </c>
      <c r="DF748" s="303">
        <f>VLOOKUP(H748,'HW Dx Data'!$E:$F,2,FALSE)</f>
        <v>755.13671434174842</v>
      </c>
      <c r="DG748" s="89">
        <f ca="1">VLOOKUP(CC748,'ECI - Input Price'!M$13:N$33,2,FALSE)</f>
        <v>144.44999999999999</v>
      </c>
      <c r="DH748" s="89"/>
      <c r="DI748" s="89"/>
      <c r="DJ748" s="56">
        <f t="shared" ca="1" si="1355"/>
        <v>2.80818733619915E-2</v>
      </c>
      <c r="DK748" s="53">
        <f>HLOOKUP(H748,'GDP-PI'!$8:$9,2,FALSE)</f>
        <v>110.322</v>
      </c>
      <c r="DL748" s="355">
        <f t="shared" si="1347"/>
        <v>2.3580352716508712E-2</v>
      </c>
      <c r="EC748"/>
    </row>
    <row r="749" spans="1:133" s="126" customFormat="1" ht="21" customHeight="1" x14ac:dyDescent="0.4">
      <c r="A749" s="233" t="s">
        <v>224</v>
      </c>
      <c r="B749" s="127" t="s">
        <v>224</v>
      </c>
      <c r="C749" s="127">
        <v>4012860</v>
      </c>
      <c r="D749" s="127" t="s">
        <v>225</v>
      </c>
      <c r="E749" s="127"/>
      <c r="F749" s="127"/>
      <c r="G749" s="127" t="s">
        <v>175</v>
      </c>
      <c r="H749" s="128">
        <v>2019</v>
      </c>
      <c r="I749" s="129"/>
      <c r="J749" s="125">
        <f>IFERROR(INDEX('Labor Expenditures'!$E$7:$W$91,MATCH($C749,'Labor Expenditures'!$C$7:$C$91,0),MATCH($G749,'Labor Expenditures'!$E$5:$W$5,0)),"NA")</f>
        <v>75638.079796177262</v>
      </c>
      <c r="K749" s="125">
        <f t="shared" ca="1" si="1348"/>
        <v>505.34878768115755</v>
      </c>
      <c r="L749" s="47"/>
      <c r="M749" s="131">
        <f t="shared" ca="1" si="1356"/>
        <v>0.15460816212589759</v>
      </c>
      <c r="N749" s="131"/>
      <c r="O749" s="131"/>
      <c r="P749" s="59">
        <f t="shared" ca="1" si="1358"/>
        <v>3.1682494167768411E-3</v>
      </c>
      <c r="Q749" s="61"/>
      <c r="R749" s="387"/>
      <c r="S749" s="49">
        <f t="shared" ca="1" si="1363"/>
        <v>116.46608070637052</v>
      </c>
      <c r="T749" s="61">
        <f ca="1">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</f>
        <v>1.3845848069259608E-2</v>
      </c>
      <c r="U749" s="61"/>
      <c r="V749" s="125">
        <f>IFERROR(INDEX('Non-Labor Expenditures'!$E$7:$AA$91,MATCH($C749,'Non-Labor Expenditures'!$C$7:$C$91,0),MATCH($G749,'Non-Labor Expenditures'!$E$5:$AA$5,0)),"NA")</f>
        <v>109538.06678946562</v>
      </c>
      <c r="W749" s="125">
        <f t="shared" si="1349"/>
        <v>975.24944166977355</v>
      </c>
      <c r="X749" s="131">
        <f t="shared" si="1359"/>
        <v>0.17221024057366754</v>
      </c>
      <c r="Y749" s="131">
        <f t="shared" si="1360"/>
        <v>3.5289533667455086E-3</v>
      </c>
      <c r="Z749" s="131"/>
      <c r="AA749" s="131"/>
      <c r="AB749" s="131"/>
      <c r="AC749" s="125">
        <f t="shared" si="1329"/>
        <v>48292.917452577261</v>
      </c>
      <c r="AD749" s="129"/>
      <c r="AE749" s="133">
        <v>3845.9746168864017</v>
      </c>
      <c r="AF749" s="134">
        <v>3.7194366553464177E-2</v>
      </c>
      <c r="AG749" s="59">
        <f t="shared" si="1350"/>
        <v>7.6219152029269224E-4</v>
      </c>
      <c r="AH749" s="134"/>
      <c r="AI749" s="134"/>
      <c r="AJ749" s="129">
        <f t="shared" si="1351"/>
        <v>233469.06403822015</v>
      </c>
      <c r="AK749" s="134">
        <f t="shared" si="1361"/>
        <v>0.15820963881202699</v>
      </c>
      <c r="AL749" s="129"/>
      <c r="AM749" s="129"/>
      <c r="AN749" s="129"/>
      <c r="AO749" s="129"/>
      <c r="AP749" s="133">
        <f t="shared" si="1362"/>
        <v>280.15458427016978</v>
      </c>
      <c r="AQ749" s="134">
        <f>+BB749/Outputs!$B$27</f>
        <v>2.2125322667261093E-2</v>
      </c>
      <c r="AR749" s="93">
        <f t="shared" si="1352"/>
        <v>0.32397474204031973</v>
      </c>
      <c r="AS749" s="93">
        <f t="shared" si="1353"/>
        <v>0.46917593660945867</v>
      </c>
      <c r="AT749" s="93">
        <f t="shared" si="1354"/>
        <v>0.20684932135022158</v>
      </c>
      <c r="AU749" s="93">
        <f t="shared" ca="1" si="1357"/>
        <v>0.13698655440072341</v>
      </c>
      <c r="AV749" s="132">
        <f t="shared" ca="1" si="1365"/>
        <v>106.48001282701078</v>
      </c>
      <c r="AW749" s="134">
        <f t="shared" ca="1" si="1366"/>
        <v>0.13698655440072338</v>
      </c>
      <c r="AX749" s="135">
        <f>+AJ749/$AL$24</f>
        <v>2.0492122622846602E-2</v>
      </c>
      <c r="AY749" s="135">
        <f t="shared" ca="1" si="1364"/>
        <v>2.8071452704608703E-3</v>
      </c>
      <c r="AZ749" s="93"/>
      <c r="BA749" s="93"/>
      <c r="BB749" s="234">
        <f>IFERROR(INDEX('Total Customers'!$E$7:$AA$91,MATCH($C749,'Total Customers'!$C$7:$C$91,0),MATCH($G749,'Total Customers'!$E$5:$AA$5,0)),"NA")</f>
        <v>833358</v>
      </c>
      <c r="BC749" s="411">
        <f t="shared" si="1305"/>
        <v>6.8681290948227865E-3</v>
      </c>
      <c r="BD749" s="92"/>
      <c r="BE749" s="281" t="str">
        <f t="shared" si="1297"/>
        <v>NORTHERN INDIANA PUBLIC SERVICE COMPANY</v>
      </c>
      <c r="BF749" s="290">
        <f t="shared" si="1298"/>
        <v>4012860</v>
      </c>
      <c r="BG749" s="46" t="str">
        <f t="shared" si="1299"/>
        <v>IN</v>
      </c>
      <c r="BH749" s="46"/>
      <c r="BI749" s="46" t="str">
        <f t="shared" si="1300"/>
        <v>2019 Y</v>
      </c>
      <c r="BJ749" s="129"/>
      <c r="BK749" s="129"/>
      <c r="BL749" s="129">
        <f>INDEX('Dist. Plant Gas Additions'!$E$7:$AD$91,MATCH($C749,'Dist. Plant Gas Additions'!$C$7:$C$91,0),MATCH(Calculation!$G749,'Dist. Plant Gas Additions'!$E$5:$AD$5,0))</f>
        <v>131761</v>
      </c>
      <c r="BM749" s="129">
        <f>INDEX('Gen. Plant Additions'!$E$7:$AD$91,MATCH($C749,'Gen. Plant Additions'!$C$7:$C$91,0),MATCH(Calculation!$G749,'Gen. Plant Additions'!$E$5:$AD$5,0))</f>
        <v>2851</v>
      </c>
      <c r="BN749" s="393">
        <f t="shared" si="1330"/>
        <v>0.97623101968615289</v>
      </c>
      <c r="BO749" s="46">
        <f t="shared" si="1278"/>
        <v>2783.234637125222</v>
      </c>
      <c r="BP749" s="46">
        <f t="shared" si="1279"/>
        <v>-67.76536287477802</v>
      </c>
      <c r="BQ749" s="129">
        <f>INDEX('Dist Plant Depreciation'!$D$7:$AC$94,MATCH($C749,'Dist Plant Depreciation'!$C$7:$C$94,0),MATCH(Calculation!$G749,'Dist Plant Depreciation'!$D$5:$AC$5,0))</f>
        <v>1168899</v>
      </c>
      <c r="BR749" s="129">
        <f>INDEX('Gen. Plant Depreciation'!$D$7:$AC$94,MATCH($C749,'Gen. Plant Depreciation'!$C$7:$C$94,0),MATCH(Calculation!$G749,'Gen. Plant Depreciation'!$D$5:$AC$5,0))</f>
        <v>-59933</v>
      </c>
      <c r="BS749" s="129"/>
      <c r="BT749" s="129"/>
      <c r="BU749" s="129"/>
      <c r="BV749" s="129"/>
      <c r="BW749" s="129"/>
      <c r="BX749" s="129"/>
      <c r="BY749" s="129">
        <f>INDEX('Gross Dx Plant'!$D$7:$AC$91,MATCH($C749,'Gross Dx Plant'!$C$7:$C$91,0),MATCH(Calculation!$G749,'Gross Dx Plant'!$D$5:$AC$5,0))</f>
        <v>2171088</v>
      </c>
      <c r="BZ749" s="129">
        <f>INDEX('Gross Gen Plant'!$D$7:$AC$91,MATCH($C749,'Gross Gen Plant'!$C$7:$C$91,0),MATCH(Calculation!$G749,'Gross Gen Plant'!$D$5:$AC$5,0))</f>
        <v>52861</v>
      </c>
      <c r="CA749" s="129">
        <f t="shared" si="1325"/>
        <v>1114983</v>
      </c>
      <c r="CB749" s="129"/>
      <c r="CC749" s="133">
        <v>2019</v>
      </c>
      <c r="CD749" s="129"/>
      <c r="CE749" s="129"/>
      <c r="CF749" s="129"/>
      <c r="CG749" s="137"/>
      <c r="CH749" s="129">
        <f t="shared" si="1331"/>
        <v>134612</v>
      </c>
      <c r="CI749" s="46">
        <f t="shared" si="1340"/>
        <v>134544.23463712522</v>
      </c>
      <c r="CJ749" s="46">
        <f t="shared" si="1332"/>
        <v>173.93328948578875</v>
      </c>
      <c r="CK749" s="443">
        <v>0.7407407407407407</v>
      </c>
      <c r="CL749" s="46">
        <f>CL728*CK749+CJ729*CK748+CJ730*CK747+CJ731*CK746+CJ732*CK745+CJ733*CK744+CJ734*CK743+CJ735*CK742+CJ736*CK741+CJ737*CK740+CJ738*CK739+CJ739*CK738+CJ740*CK737+CJ741*CK736+CJ742*CK735+CJ743*CK734+CJ744*CK733+CJ745*CK732+CJ746*CK731+CJ747*CK730+CJ748*CK729+CJ749</f>
        <v>3525.3266750447606</v>
      </c>
      <c r="CM749" s="134">
        <f t="shared" si="1333"/>
        <v>3.4342302711329376E-2</v>
      </c>
      <c r="CN749" s="135">
        <f t="shared" si="1334"/>
        <v>1.6123214426276688E-2</v>
      </c>
      <c r="CO749" s="135">
        <f t="shared" si="1343"/>
        <v>1.5831502528178446E-2</v>
      </c>
      <c r="CP749" s="134">
        <f>VLOOKUP($H749,RoR!$E:$F,2,FALSE)</f>
        <v>3.3875000000000009E-2</v>
      </c>
      <c r="CQ749" s="135">
        <v>1.8092492884465461E-2</v>
      </c>
      <c r="CR749" s="135">
        <f t="shared" si="1341"/>
        <v>1.5782507115534548E-2</v>
      </c>
      <c r="CS749" s="135">
        <f t="shared" si="1344"/>
        <v>1.5070439080355179E-2</v>
      </c>
      <c r="CT749" s="135">
        <f t="shared" si="1345"/>
        <v>4.8445665544254078E-2</v>
      </c>
      <c r="CU749" s="139">
        <f t="shared" si="1335"/>
        <v>0.90383761790000006</v>
      </c>
      <c r="CV749" s="335">
        <f t="shared" si="1336"/>
        <v>1.513861292459078</v>
      </c>
      <c r="CW749" s="335">
        <f t="shared" si="1337"/>
        <v>0.23699261992619944</v>
      </c>
      <c r="CX749" s="335">
        <f t="shared" si="1338"/>
        <v>0.73619765810468829</v>
      </c>
      <c r="CY749" s="335">
        <f t="shared" si="1339"/>
        <v>0.26412854465362851</v>
      </c>
      <c r="CZ749" s="336">
        <f>INDEX('State Tax Lookup'!$D$7:$Z$91,MATCH(Calculation!$C749,'State Tax Lookup'!$B$7:$B$91,0),MATCH($H749,'State Tax Lookup'!$D$6:$Z$6,0))</f>
        <v>0.25989833000000001</v>
      </c>
      <c r="DA749" s="303">
        <v>0.37</v>
      </c>
      <c r="DB749" s="57">
        <f t="shared" si="1342"/>
        <v>14.177470360225728</v>
      </c>
      <c r="DC749" s="56">
        <f t="shared" si="1346"/>
        <v>4.8638258677310394E-3</v>
      </c>
      <c r="DD749" s="303">
        <f>VLOOKUP($H749,RoR!$E:$F,2,FALSE)</f>
        <v>3.3875000000000009E-2</v>
      </c>
      <c r="DE749" s="304">
        <f>HLOOKUP($H749,'GDP-PI'!$D$8:$CQ$11,3,FALSE)</f>
        <v>1.8092492884465461E-2</v>
      </c>
      <c r="DF749" s="303">
        <f>VLOOKUP(H749,'HW Dx Data'!$E:$F,2,FALSE)</f>
        <v>773.53929793938721</v>
      </c>
      <c r="DG749" s="89">
        <f ca="1">VLOOKUP(CC749,'ECI - Input Price'!M$13:N$33,2,FALSE)</f>
        <v>149.67500000000001</v>
      </c>
      <c r="DH749" s="89"/>
      <c r="DI749" s="89"/>
      <c r="DJ749" s="56">
        <f t="shared" ca="1" si="1355"/>
        <v>3.5532849899171604E-2</v>
      </c>
      <c r="DK749" s="53">
        <f>HLOOKUP(H749,'GDP-PI'!$8:$9,2,FALSE)</f>
        <v>112.318</v>
      </c>
      <c r="DL749" s="355">
        <f t="shared" si="1347"/>
        <v>1.7930771451401852E-2</v>
      </c>
      <c r="EC749"/>
    </row>
    <row r="750" spans="1:133" s="126" customFormat="1" ht="21" customHeight="1" x14ac:dyDescent="0.4">
      <c r="A750" s="233" t="s">
        <v>224</v>
      </c>
      <c r="B750" s="126" t="s">
        <v>224</v>
      </c>
      <c r="C750" s="126">
        <v>4012860</v>
      </c>
      <c r="D750" s="126" t="s">
        <v>225</v>
      </c>
      <c r="G750" s="127" t="s">
        <v>176</v>
      </c>
      <c r="H750" s="128">
        <v>2020</v>
      </c>
      <c r="I750" s="129"/>
      <c r="J750" s="125">
        <f>IFERROR(INDEX('Labor Expenditures'!$E$7:$W$91,MATCH($C750,'Labor Expenditures'!$C$7:$C$91,0),MATCH($G750,'Labor Expenditures'!$E$5:$W$5,0)),"NA")</f>
        <v>71808.601458848716</v>
      </c>
      <c r="K750" s="125">
        <f t="shared" ca="1" si="1348"/>
        <v>468.87758053443497</v>
      </c>
      <c r="L750" s="47"/>
      <c r="M750" s="131">
        <f t="shared" ca="1" si="1356"/>
        <v>-7.4907147489686229E-2</v>
      </c>
      <c r="N750" s="131"/>
      <c r="O750" s="131"/>
      <c r="P750" s="59">
        <f t="shared" ca="1" si="1358"/>
        <v>-1.467522533938012E-3</v>
      </c>
      <c r="Q750" s="61"/>
      <c r="R750" s="387"/>
      <c r="S750" s="49">
        <f t="shared" ca="1" si="1363"/>
        <v>116.76477686279824</v>
      </c>
      <c r="T750" s="61">
        <f ca="1">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</f>
        <v>2.5613790803205349E-3</v>
      </c>
      <c r="U750" s="61"/>
      <c r="V750" s="125">
        <f>IFERROR(INDEX('Non-Labor Expenditures'!$E$7:$AA$91,MATCH($C750,'Non-Labor Expenditures'!$C$7:$C$91,0),MATCH($G750,'Non-Labor Expenditures'!$E$5:$AA$5,0)),"NA")</f>
        <v>103992.26690912139</v>
      </c>
      <c r="W750" s="125">
        <f t="shared" si="1349"/>
        <v>915.23958097499087</v>
      </c>
      <c r="X750" s="131">
        <f t="shared" si="1359"/>
        <v>-6.3507407753710859E-2</v>
      </c>
      <c r="Y750" s="131">
        <f t="shared" si="1360"/>
        <v>-1.2441877053640654E-3</v>
      </c>
      <c r="Z750" s="131"/>
      <c r="AA750" s="131"/>
      <c r="AB750" s="131"/>
      <c r="AC750" s="125">
        <f t="shared" si="1329"/>
        <v>51498.360338783648</v>
      </c>
      <c r="AD750" s="129"/>
      <c r="AE750" s="133">
        <v>3973.5678352695031</v>
      </c>
      <c r="AF750" s="134">
        <v>3.2637342899933343E-2</v>
      </c>
      <c r="AG750" s="59">
        <f t="shared" si="1350"/>
        <v>6.394054206924466E-4</v>
      </c>
      <c r="AH750" s="134"/>
      <c r="AI750" s="134"/>
      <c r="AJ750" s="129">
        <f t="shared" si="1351"/>
        <v>227299.22870675375</v>
      </c>
      <c r="AK750" s="134">
        <f t="shared" si="1361"/>
        <v>-2.6782242702968743E-2</v>
      </c>
      <c r="AL750" s="129"/>
      <c r="AM750" s="129"/>
      <c r="AN750" s="129"/>
      <c r="AO750" s="129"/>
      <c r="AP750" s="133">
        <f t="shared" si="1362"/>
        <v>272.75100101847437</v>
      </c>
      <c r="AQ750" s="134">
        <f>+BB750/Outputs!$B$28</f>
        <v>2.1969083191652319E-2</v>
      </c>
      <c r="AR750" s="93">
        <f t="shared" si="1352"/>
        <v>0.31592100803602535</v>
      </c>
      <c r="AS750" s="93">
        <f t="shared" si="1353"/>
        <v>0.45751262554122102</v>
      </c>
      <c r="AT750" s="93">
        <f t="shared" si="1354"/>
        <v>0.2265663664227536</v>
      </c>
      <c r="AU750" s="93">
        <f t="shared" ca="1" si="1357"/>
        <v>-4.6319408643069201E-2</v>
      </c>
      <c r="AV750" s="132">
        <f t="shared" ca="1" si="1365"/>
        <v>101.66040398636468</v>
      </c>
      <c r="AW750" s="134">
        <f t="shared" ca="1" si="1366"/>
        <v>-4.6319408643069229E-2</v>
      </c>
      <c r="AX750" s="135">
        <f>+AJ750/$AL$25</f>
        <v>1.9591221707382082E-2</v>
      </c>
      <c r="AY750" s="135">
        <f t="shared" ca="1" si="1364"/>
        <v>-9.074538040811991E-4</v>
      </c>
      <c r="AZ750" s="93"/>
      <c r="BA750" s="93"/>
      <c r="BB750" s="234">
        <v>833358</v>
      </c>
      <c r="BC750" s="411">
        <f t="shared" si="1305"/>
        <v>0</v>
      </c>
      <c r="BD750" s="92"/>
      <c r="BE750" s="281" t="str">
        <f t="shared" si="1297"/>
        <v>NORTHERN INDIANA PUBLIC SERVICE COMPANY</v>
      </c>
      <c r="BF750" s="290">
        <f t="shared" si="1298"/>
        <v>4012860</v>
      </c>
      <c r="BG750" s="46" t="str">
        <f t="shared" si="1299"/>
        <v>IN</v>
      </c>
      <c r="BH750" s="46"/>
      <c r="BI750" s="46" t="str">
        <f t="shared" si="1300"/>
        <v>2020 Y</v>
      </c>
      <c r="BJ750" s="129"/>
      <c r="BK750" s="129"/>
      <c r="BL750" s="129">
        <f>INDEX('Dist. Plant Gas Additions'!$E$7:$AD$91,MATCH($C750,'Dist. Plant Gas Additions'!$C$7:$C$91,0),MATCH(Calculation!$G750,'Dist. Plant Gas Additions'!$E$5:$AD$5,0))</f>
        <v>130762</v>
      </c>
      <c r="BM750" s="129">
        <f>INDEX('Gen. Plant Additions'!$E$7:$AD$91,MATCH($C750,'Gen. Plant Additions'!$C$7:$C$91,0),MATCH(Calculation!$G750,'Gen. Plant Additions'!$E$5:$AD$5,0))</f>
        <v>2102</v>
      </c>
      <c r="BN750" s="393">
        <f t="shared" si="1330"/>
        <v>0.9775124363656249</v>
      </c>
      <c r="BO750" s="46">
        <f t="shared" si="1278"/>
        <v>2054.7311412405434</v>
      </c>
      <c r="BP750" s="46">
        <f t="shared" si="1279"/>
        <v>-47.268858759456634</v>
      </c>
      <c r="BQ750" s="129">
        <f>INDEX('Dist Plant Depreciation'!$D$7:$AC$94,MATCH($C750,'Dist Plant Depreciation'!$C$7:$C$94,0),MATCH(Calculation!$G750,'Dist Plant Depreciation'!$D$5:$AC$5,0))</f>
        <v>1182511</v>
      </c>
      <c r="BR750" s="129">
        <f>INDEX('Gen. Plant Depreciation'!$D$7:$AC$94,MATCH($C750,'Gen. Plant Depreciation'!$C$7:$C$94,0),MATCH(Calculation!$G750,'Gen. Plant Depreciation'!$D$5:$AC$5,0))</f>
        <v>-77207</v>
      </c>
      <c r="BS750" s="129"/>
      <c r="BT750" s="129"/>
      <c r="BU750" s="129"/>
      <c r="BV750" s="129"/>
      <c r="BW750" s="129"/>
      <c r="BX750" s="129"/>
      <c r="BY750" s="129">
        <f>INDEX('Gross Dx Plant'!$D$7:$AC$91,MATCH($C750,'Gross Dx Plant'!$C$7:$C$91,0),MATCH(Calculation!$G750,'Gross Dx Plant'!$D$5:$AC$5,0))</f>
        <v>2288079</v>
      </c>
      <c r="BZ750" s="129">
        <f>INDEX('Gross Gen Plant'!$D$7:$AC$91,MATCH($C750,'Gross Gen Plant'!$C$7:$C$91,0),MATCH(Calculation!$G750,'Gross Gen Plant'!$D$5:$AC$5,0))</f>
        <v>52637</v>
      </c>
      <c r="CA750" s="129">
        <f t="shared" si="1325"/>
        <v>1235412</v>
      </c>
      <c r="CB750" s="129"/>
      <c r="CC750" s="133">
        <v>2020</v>
      </c>
      <c r="CD750" s="129"/>
      <c r="CE750" s="129"/>
      <c r="CF750" s="129"/>
      <c r="CG750" s="137"/>
      <c r="CH750" s="129">
        <f t="shared" si="1331"/>
        <v>132864</v>
      </c>
      <c r="CI750" s="46">
        <f t="shared" si="1340"/>
        <v>132816.73114124054</v>
      </c>
      <c r="CJ750" s="46">
        <f t="shared" si="1332"/>
        <v>163.35010651297887</v>
      </c>
      <c r="CK750" s="443">
        <v>0.72499999999999998</v>
      </c>
      <c r="CL750" s="46">
        <f>CL728*CK750+CJ729*CK749+CJ730*CK748+CJ731*CK747+CJ732*CK746+CJ733*CK745+CJ734*CK744+CJ735*CK743+CJ736*CK742+CJ737*CK741+CJ738*CK740+CJ739*CK739+CJ740*CK738+CJ741*CK737+CJ742*CK736+CJ743*CK735+CJ744*CK734+CJ745*CK733+CJ746*CK732+CJ747*CK731+CJ748*CK730+CJ749*CK729+CJ750</f>
        <v>3630.7362881632253</v>
      </c>
      <c r="CM750" s="134">
        <f t="shared" si="1333"/>
        <v>2.9462356171581952E-2</v>
      </c>
      <c r="CN750" s="135">
        <f t="shared" si="1334"/>
        <v>1.6435496263272831E-2</v>
      </c>
      <c r="CO750" s="135">
        <f t="shared" si="1343"/>
        <v>1.6134759929488974E-2</v>
      </c>
      <c r="CP750" s="134">
        <f>VLOOKUP($H750,RoR!$E:$F,2,FALSE)</f>
        <v>2.4766666666666666E-2</v>
      </c>
      <c r="CQ750" s="135">
        <v>1.1618796630994188E-2</v>
      </c>
      <c r="CR750" s="135">
        <f t="shared" si="1341"/>
        <v>1.3147870035672478E-2</v>
      </c>
      <c r="CS750" s="135">
        <f t="shared" si="1344"/>
        <v>1.4767181679044651E-2</v>
      </c>
      <c r="CT750" s="135">
        <f t="shared" si="1345"/>
        <v>4.5144642961987357E-2</v>
      </c>
      <c r="CU750" s="139">
        <f t="shared" si="1335"/>
        <v>0.90383761790000006</v>
      </c>
      <c r="CV750" s="335">
        <f t="shared" si="1336"/>
        <v>2.0706077233668081</v>
      </c>
      <c r="CW750" s="335">
        <f t="shared" si="1337"/>
        <v>-3.4421265141318998E-2</v>
      </c>
      <c r="CX750" s="335">
        <f t="shared" si="1338"/>
        <v>0.62416226176410472</v>
      </c>
      <c r="CY750" s="335">
        <f t="shared" si="1339"/>
        <v>-4.4485877841158712E-2</v>
      </c>
      <c r="CZ750" s="336">
        <f>INDEX('State Tax Lookup'!$D$7:$Z$91,MATCH(Calculation!$C750,'State Tax Lookup'!$B$7:$B$91,0),MATCH($H750,'State Tax Lookup'!$D$6:$Z$6,0))</f>
        <v>0.25989833000000001</v>
      </c>
      <c r="DA750" s="303">
        <v>0.37</v>
      </c>
      <c r="DB750" s="57">
        <f t="shared" si="1342"/>
        <v>14.608110137234242</v>
      </c>
      <c r="DC750" s="56">
        <f t="shared" si="1346"/>
        <v>2.9922753055920411E-2</v>
      </c>
      <c r="DD750" s="303">
        <f>VLOOKUP($H750,RoR!$E:$F,2,FALSE)</f>
        <v>2.4766666666666666E-2</v>
      </c>
      <c r="DE750" s="304">
        <f>HLOOKUP($H750,'GDP-PI'!$D$8:$CQ$11,3,FALSE)</f>
        <v>1.1618796630994188E-2</v>
      </c>
      <c r="DF750" s="303">
        <f>VLOOKUP(H750,'HW Dx Data'!$E:$F,2,FALSE)</f>
        <v>813.080162458833</v>
      </c>
      <c r="DG750" s="89">
        <f ca="1">VLOOKUP(CC750,'ECI - Input Price'!M$13:N$33,2,FALSE)</f>
        <v>153.15</v>
      </c>
      <c r="DH750" s="89"/>
      <c r="DI750" s="89"/>
      <c r="DJ750" s="56">
        <f t="shared" ca="1" si="1355"/>
        <v>2.2951556467368479E-2</v>
      </c>
      <c r="DK750" s="53">
        <f>HLOOKUP(H750,'GDP-PI'!$8:$9,2,FALSE)</f>
        <v>113.623</v>
      </c>
      <c r="DL750" s="355">
        <f t="shared" si="1347"/>
        <v>1.1551816731392881E-2</v>
      </c>
      <c r="EC750"/>
    </row>
    <row r="751" spans="1:133" s="126" customFormat="1" ht="21" customHeight="1" x14ac:dyDescent="0.4">
      <c r="A751" s="233" t="s">
        <v>224</v>
      </c>
      <c r="B751" s="126" t="s">
        <v>224</v>
      </c>
      <c r="C751" s="126">
        <v>4012860</v>
      </c>
      <c r="D751" s="126" t="s">
        <v>225</v>
      </c>
      <c r="G751" s="127" t="s">
        <v>177</v>
      </c>
      <c r="H751" s="128">
        <v>2021</v>
      </c>
      <c r="I751" s="129"/>
      <c r="J751" s="125">
        <v>73969.422788119467</v>
      </c>
      <c r="K751" s="125">
        <f t="shared" ca="1" si="1348"/>
        <v>470.39378561602206</v>
      </c>
      <c r="L751" s="47"/>
      <c r="M751" s="130">
        <f t="shared" ca="1" si="1356"/>
        <v>3.2284735874716615E-3</v>
      </c>
      <c r="N751" s="130"/>
      <c r="O751" s="130"/>
      <c r="P751" s="59">
        <f t="shared" ca="1" si="1358"/>
        <v>5.8477540836423602E-5</v>
      </c>
      <c r="Q751" s="61"/>
      <c r="R751" s="387"/>
      <c r="S751" s="132">
        <f ca="1">+S750*EXP(T751)</f>
        <v>120.17724221066405</v>
      </c>
      <c r="T751" s="134">
        <f ca="1">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</f>
        <v>2.8806214527555413E-2</v>
      </c>
      <c r="U751" s="134"/>
      <c r="V751" s="125">
        <v>104270.15019530093</v>
      </c>
      <c r="W751" s="125">
        <f t="shared" si="1349"/>
        <v>879.991140140948</v>
      </c>
      <c r="X751" s="131">
        <f t="shared" si="1359"/>
        <v>-3.9274028733380539E-2</v>
      </c>
      <c r="Y751" s="131">
        <f t="shared" si="1360"/>
        <v>-7.1137290017779758E-4</v>
      </c>
      <c r="Z751" s="131"/>
      <c r="AA751" s="131"/>
      <c r="AB751" s="131"/>
      <c r="AC751" s="125">
        <f t="shared" si="1329"/>
        <v>54425.874446907605</v>
      </c>
      <c r="AD751" s="129"/>
      <c r="AE751" s="133">
        <v>4189.2448323549233</v>
      </c>
      <c r="AF751" s="134"/>
      <c r="AG751" s="59">
        <f t="shared" si="1350"/>
        <v>0</v>
      </c>
      <c r="AH751" s="134"/>
      <c r="AI751" s="134"/>
      <c r="AJ751" s="129">
        <f t="shared" si="1351"/>
        <v>232665.447430328</v>
      </c>
      <c r="AK751" s="134">
        <f t="shared" si="1361"/>
        <v>2.3334236240085109E-2</v>
      </c>
      <c r="AL751" s="129"/>
      <c r="AM751" s="134"/>
      <c r="AN751" s="134"/>
      <c r="AO751" s="134"/>
      <c r="AP751" s="133">
        <f t="shared" si="1362"/>
        <v>272.76136861703168</v>
      </c>
      <c r="AQ751" s="134">
        <f>+BB751/Outputs!$B$29</f>
        <v>2.2094853413190611E-2</v>
      </c>
      <c r="AR751" s="93">
        <f t="shared" si="1352"/>
        <v>0.31792182124623258</v>
      </c>
      <c r="AS751" s="93">
        <f t="shared" si="1353"/>
        <v>0.44815485645553266</v>
      </c>
      <c r="AT751" s="93">
        <f t="shared" si="1354"/>
        <v>0.23392332229823473</v>
      </c>
      <c r="AU751" s="93">
        <f t="shared" ca="1" si="1357"/>
        <v>-1.6761432938941414E-2</v>
      </c>
      <c r="AV751" s="132">
        <f t="shared" ca="1" si="1365"/>
        <v>99.970631011610493</v>
      </c>
      <c r="AW751" s="134">
        <f t="shared" ca="1" si="1366"/>
        <v>-1.6761432938941397E-2</v>
      </c>
      <c r="AX751" s="135">
        <f>+AJ751/$AL$26</f>
        <v>1.8113061560531319E-2</v>
      </c>
      <c r="AY751" s="135">
        <f t="shared" ca="1" si="1364"/>
        <v>-3.0360086666576293E-4</v>
      </c>
      <c r="AZ751" s="93"/>
      <c r="BA751" s="93"/>
      <c r="BB751" s="234">
        <f>INDEX('Total Customers'!$D$7:$D$91,MATCH(Calculation!$C751,'Total Customers'!$C$7:$C$91,0))</f>
        <v>853000</v>
      </c>
      <c r="BC751" s="411">
        <f>LN(BB751/BB750)</f>
        <v>2.3296225741568099E-2</v>
      </c>
      <c r="BD751" s="91"/>
      <c r="BE751" s="281" t="str">
        <f t="shared" si="1297"/>
        <v>NORTHERN INDIANA PUBLIC SERVICE COMPANY</v>
      </c>
      <c r="BF751" s="290">
        <f t="shared" si="1298"/>
        <v>4012860</v>
      </c>
      <c r="BG751" s="46" t="str">
        <f t="shared" si="1299"/>
        <v>IN</v>
      </c>
      <c r="BH751" s="46"/>
      <c r="BI751" s="46" t="str">
        <f t="shared" si="1300"/>
        <v>2021 Y</v>
      </c>
      <c r="BJ751" s="129"/>
      <c r="BK751" s="129"/>
      <c r="BL751" s="129">
        <f>INDEX('Dist. Plant Gas Additions'!$D$7:$AD$91,MATCH($C751,'Dist. Plant Gas Additions'!$C$7:$C$91,0),MATCH(Calculation!$G751,'Dist. Plant Gas Additions'!$D$5:$AD$5,0))</f>
        <v>244298</v>
      </c>
      <c r="BM751" s="129">
        <f>INDEX('Gen. Plant Additions'!$D$7:$AD$91,MATCH($C751,'Gen. Plant Additions'!$C$7:$C$91,0),MATCH(Calculation!$G751,'Gen. Plant Additions'!$D$5:$AD$5,0))</f>
        <v>5136</v>
      </c>
      <c r="BN751" s="343">
        <v>0.9775124363656249</v>
      </c>
      <c r="BO751" s="46">
        <f t="shared" si="1278"/>
        <v>5020.5038731738496</v>
      </c>
      <c r="BP751" s="46">
        <f t="shared" si="1279"/>
        <v>-115.49612682615043</v>
      </c>
      <c r="BQ751" s="129"/>
      <c r="BR751" s="129"/>
      <c r="BS751" s="137"/>
      <c r="BT751" s="137"/>
      <c r="BU751" s="333"/>
      <c r="BV751" s="93"/>
      <c r="BW751" s="334"/>
      <c r="BX751" s="334"/>
      <c r="BY751" s="129"/>
      <c r="BZ751" s="129"/>
      <c r="CA751" s="129"/>
      <c r="CB751" s="129"/>
      <c r="CC751" s="133">
        <v>2021</v>
      </c>
      <c r="CD751" s="129"/>
      <c r="CE751" s="129"/>
      <c r="CF751" s="129"/>
      <c r="CG751" s="137"/>
      <c r="CH751" s="129">
        <f t="shared" si="1331"/>
        <v>249434</v>
      </c>
      <c r="CI751" s="46">
        <f t="shared" si="1340"/>
        <v>249318.50387317385</v>
      </c>
      <c r="CJ751" s="46">
        <f t="shared" si="1332"/>
        <v>267.21596111830524</v>
      </c>
      <c r="CK751" s="443">
        <v>0.70886075949367089</v>
      </c>
      <c r="CL751" s="129">
        <f>CL728*CK751+CJ729*CK750+CJ730*CK749+CJ731*CK748+CJ732*CK747+CJ733*CK746+CJ734*CK745+CJ735*CK744+CJ736*CK743+CJ737*CK742+CJ738*CK741+CJ739*CK740+CJ740*CK739+CJ741*CK738+CJ742*CK737+CJ733*CK736+CJ744*CK735+CJ745*CK734+CJ746*CK733+CJ747*CK732+CJ748*CK731+CJ749*CK730+CJ751+CJ750*CK729</f>
        <v>3823.7382063323889</v>
      </c>
      <c r="CM751" s="134"/>
      <c r="CN751" s="135">
        <f t="shared" si="1334"/>
        <v>2.0440493899568275E-2</v>
      </c>
      <c r="CO751" s="135">
        <f t="shared" si="1343"/>
        <v>1.766640152970593E-2</v>
      </c>
      <c r="CP751" s="134">
        <f>VLOOKUP($H751,RoR!$E:$F,2,FALSE)</f>
        <v>2.7033333333333336E-2</v>
      </c>
      <c r="CQ751" s="135"/>
      <c r="CR751" s="135"/>
      <c r="CS751" s="135">
        <f t="shared" si="1344"/>
        <v>1.3235540078827695E-2</v>
      </c>
      <c r="CT751" s="135">
        <f t="shared" si="1345"/>
        <v>7.433422950153494E-2</v>
      </c>
      <c r="CU751" s="139">
        <f t="shared" si="1335"/>
        <v>0.90383761790000006</v>
      </c>
      <c r="CV751" s="335">
        <f t="shared" si="1336"/>
        <v>1.8969932656739068</v>
      </c>
      <c r="CW751" s="335">
        <f t="shared" si="1337"/>
        <v>5.0215782983970621E-2</v>
      </c>
      <c r="CX751" s="335">
        <f t="shared" si="1338"/>
        <v>0.655952481704143</v>
      </c>
      <c r="CY751" s="335">
        <f t="shared" si="1339"/>
        <v>6.2485378865697057E-2</v>
      </c>
      <c r="CZ751" s="336">
        <f>CZ750</f>
        <v>0.25989833000000001</v>
      </c>
      <c r="DA751" s="303">
        <v>0.37</v>
      </c>
      <c r="DB751" s="141">
        <f t="shared" si="1342"/>
        <v>14.990313293847468</v>
      </c>
      <c r="DC751" s="135">
        <f t="shared" si="1346"/>
        <v>2.5827348746927686E-2</v>
      </c>
      <c r="DD751" s="336">
        <f>VLOOKUP($H751,RoR!$E:$F,2,FALSE)</f>
        <v>2.7033333333333336E-2</v>
      </c>
      <c r="DE751" s="342">
        <f>HLOOKUP($H751,'GDP-PI'!$D$8:$CR$11,3,FALSE)</f>
        <v>4.2834637353352578E-2</v>
      </c>
      <c r="DF751" s="336">
        <f>VLOOKUP(H751,'HW Dx Data'!$E:$F,2,FALSE)</f>
        <v>933.02249921662576</v>
      </c>
      <c r="DG751" s="89">
        <f ca="1">VLOOKUP(CC751,'ECI - Input Price'!M$13:N$33,2,FALSE)</f>
        <v>157.25</v>
      </c>
      <c r="DH751" s="89"/>
      <c r="DI751" s="89"/>
      <c r="DJ751" s="135">
        <f t="shared" ca="1" si="1355"/>
        <v>2.6419062301765574E-2</v>
      </c>
      <c r="DK751" s="137">
        <f>HLOOKUP(H751,'GDP-PI'!$8:$9,2,FALSE)</f>
        <v>118.49</v>
      </c>
      <c r="DL751" s="356">
        <f t="shared" si="1347"/>
        <v>4.194261824609434E-2</v>
      </c>
      <c r="EC751"/>
    </row>
    <row r="752" spans="1:133" s="126" customFormat="1" ht="21" customHeight="1" thickBot="1" x14ac:dyDescent="0.45">
      <c r="A752" s="235"/>
      <c r="B752" s="236"/>
      <c r="C752" s="236"/>
      <c r="D752" s="236"/>
      <c r="E752" s="236"/>
      <c r="F752" s="236"/>
      <c r="G752" s="237" t="s">
        <v>178</v>
      </c>
      <c r="H752" s="238"/>
      <c r="I752" s="239"/>
      <c r="J752" s="240">
        <v>79312.495392555385</v>
      </c>
      <c r="K752" s="240">
        <f t="shared" ca="1" si="1348"/>
        <v>487.92676341159876</v>
      </c>
      <c r="L752" s="47"/>
      <c r="M752" s="241">
        <f t="shared" ref="M752" ca="1" si="1367">LN(K752/K751)</f>
        <v>3.6595133967679189E-2</v>
      </c>
      <c r="N752" s="241"/>
      <c r="O752" s="241"/>
      <c r="P752" s="242">
        <f t="shared" ca="1" si="1358"/>
        <v>0</v>
      </c>
      <c r="Q752" s="61"/>
      <c r="R752" s="387"/>
      <c r="S752" s="206">
        <f ca="1">+S751*EXP(T752)</f>
        <v>117.8164883829516</v>
      </c>
      <c r="T752" s="243">
        <f ca="1">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</f>
        <v>-1.9839440767724113E-2</v>
      </c>
      <c r="U752" s="243"/>
      <c r="V752" s="239">
        <v>111801.95133649376</v>
      </c>
      <c r="W752" s="240">
        <f t="shared" si="1349"/>
        <v>878.60079635751481</v>
      </c>
      <c r="X752" s="244">
        <f t="shared" ref="X752" si="1368">LN(W752/W751)</f>
        <v>-1.581201464939471E-3</v>
      </c>
      <c r="Y752" s="244">
        <f t="shared" si="1360"/>
        <v>0</v>
      </c>
      <c r="Z752" s="206"/>
      <c r="AA752" s="243"/>
      <c r="AB752" s="243"/>
      <c r="AC752" s="240">
        <f t="shared" si="1329"/>
        <v>67385.376862004094</v>
      </c>
      <c r="AD752" s="243"/>
      <c r="AE752" s="245">
        <v>4403.8042380473644</v>
      </c>
      <c r="AF752" s="243">
        <v>4.9948280180584691E-2</v>
      </c>
      <c r="AG752" s="242">
        <f t="shared" si="1350"/>
        <v>0</v>
      </c>
      <c r="AH752" s="206"/>
      <c r="AI752" s="243"/>
      <c r="AJ752" s="239">
        <f t="shared" si="1351"/>
        <v>258499.82359105325</v>
      </c>
      <c r="AK752" s="243">
        <f t="shared" si="1361"/>
        <v>0.10529343770545226</v>
      </c>
      <c r="AL752" s="239"/>
      <c r="AM752" s="243"/>
      <c r="AN752" s="243"/>
      <c r="AO752" s="243"/>
      <c r="AP752" s="245">
        <f t="shared" si="1362"/>
        <v>303.04785884062517</v>
      </c>
      <c r="AQ752" s="243"/>
      <c r="AR752" s="207">
        <f t="shared" si="1352"/>
        <v>0.30681837337741386</v>
      </c>
      <c r="AS752" s="207">
        <f t="shared" si="1353"/>
        <v>0.43250300825490873</v>
      </c>
      <c r="AT752" s="207">
        <f t="shared" si="1354"/>
        <v>0.26067861836767736</v>
      </c>
      <c r="AU752" s="207"/>
      <c r="AV752" s="206"/>
      <c r="AW752" s="243"/>
      <c r="AX752" s="249"/>
      <c r="AY752" s="249"/>
      <c r="AZ752" s="206"/>
      <c r="BA752" s="243"/>
      <c r="BB752" s="250">
        <v>853000</v>
      </c>
      <c r="BC752" s="412">
        <f t="shared" si="1305"/>
        <v>0</v>
      </c>
      <c r="BD752" s="91"/>
      <c r="BE752" s="401">
        <f t="shared" si="1297"/>
        <v>0</v>
      </c>
      <c r="BF752" s="402">
        <f t="shared" si="1298"/>
        <v>0</v>
      </c>
      <c r="BG752" s="313">
        <f t="shared" si="1299"/>
        <v>0</v>
      </c>
      <c r="BH752" s="313"/>
      <c r="BI752" s="313" t="str">
        <f t="shared" si="1300"/>
        <v>2022Y</v>
      </c>
      <c r="BJ752" s="239"/>
      <c r="BK752" s="239"/>
      <c r="BL752" s="239"/>
      <c r="BM752" s="239"/>
      <c r="BN752" s="337">
        <v>0.9775124363656249</v>
      </c>
      <c r="BO752" s="313">
        <f t="shared" si="1278"/>
        <v>0</v>
      </c>
      <c r="BP752" s="313">
        <f t="shared" si="1279"/>
        <v>0</v>
      </c>
      <c r="BQ752" s="239"/>
      <c r="BR752" s="239"/>
      <c r="BS752" s="310"/>
      <c r="BT752" s="310"/>
      <c r="BU752" s="311"/>
      <c r="BV752" s="207"/>
      <c r="BW752" s="312"/>
      <c r="BX752" s="312"/>
      <c r="BY752" s="239"/>
      <c r="BZ752" s="239"/>
      <c r="CA752" s="239"/>
      <c r="CB752" s="239"/>
      <c r="CC752" s="245">
        <v>2022</v>
      </c>
      <c r="CD752" s="239"/>
      <c r="CE752" s="239"/>
      <c r="CF752" s="239"/>
      <c r="CG752" s="310"/>
      <c r="CH752" s="239">
        <v>236266</v>
      </c>
      <c r="CI752" s="313">
        <f t="shared" si="1340"/>
        <v>236266</v>
      </c>
      <c r="CJ752" s="313">
        <f t="shared" si="1332"/>
        <v>229.20421804212222</v>
      </c>
      <c r="CK752" s="443">
        <v>0.69230769230769229</v>
      </c>
      <c r="CL752" s="239">
        <f>+CL728*CK752+CJ729*CK751+CJ730*CK750+CJ731*CK749+CJ732*CK748+CJ733*CK747+CJ734*CK746+CJ735*CK745+CJ736*CK744+CJ737*CK743+CJ738*CK742+CJ739*CK741+CJ740*CK740+CJ741*CK739+CJ742*CK738+CJ743*CK737+CJ744*CK736+CJ745*CK735+CJ746*CK734+CJ747*CK733+CJ748*CK732+CJ749*CK731+CJ750*CK730+CJ751*CK729+CJ752*CK728</f>
        <v>4001.1759339658961</v>
      </c>
      <c r="CM752" s="243">
        <f t="shared" ref="CM752" si="1369">LN(CL752/CL751)</f>
        <v>4.535976924820722E-2</v>
      </c>
      <c r="CN752" s="249">
        <f t="shared" si="1334"/>
        <v>1.3538188969863569E-2</v>
      </c>
      <c r="CO752" s="249">
        <f t="shared" si="1343"/>
        <v>1.6804726377568222E-2</v>
      </c>
      <c r="CP752" s="243"/>
      <c r="CQ752" s="249"/>
      <c r="CR752" s="249"/>
      <c r="CS752" s="248">
        <f t="shared" si="1344"/>
        <v>1.4097215230965403E-2</v>
      </c>
      <c r="CT752" s="249">
        <f t="shared" si="1345"/>
        <v>0.10114668178709289</v>
      </c>
      <c r="CU752" s="314">
        <f t="shared" si="1335"/>
        <v>0.90383761790000006</v>
      </c>
      <c r="CV752" s="315"/>
      <c r="CW752" s="315"/>
      <c r="CX752" s="315"/>
      <c r="CY752" s="315"/>
      <c r="CZ752" s="316">
        <f>CZ751</f>
        <v>0.25989833000000001</v>
      </c>
      <c r="DA752" s="360">
        <v>0.37</v>
      </c>
      <c r="DB752" s="318">
        <f t="shared" si="1342"/>
        <v>17.622905446405561</v>
      </c>
      <c r="DC752" s="249">
        <f t="shared" si="1346"/>
        <v>0.16179528962999945</v>
      </c>
      <c r="DD752" s="316">
        <v>0.04</v>
      </c>
      <c r="DE752" s="319">
        <v>7.0000000000000001E-3</v>
      </c>
      <c r="DF752" s="316">
        <v>1030.81</v>
      </c>
      <c r="DG752" s="89">
        <f ca="1">VLOOKUP(CC752,'ECI - Input Price'!M$13:N$33,2,FALSE)</f>
        <v>162.55000000000001</v>
      </c>
      <c r="DH752" s="89"/>
      <c r="DI752" s="89"/>
      <c r="DJ752" s="249">
        <f t="shared" ca="1" si="1355"/>
        <v>3.3148751169364422E-2</v>
      </c>
      <c r="DK752" s="310">
        <v>127.25</v>
      </c>
      <c r="DL752" s="357">
        <f t="shared" si="1347"/>
        <v>7.1325086601983473E-2</v>
      </c>
      <c r="EC752"/>
    </row>
    <row r="753" spans="1:133" s="126" customFormat="1" ht="21" customHeight="1" x14ac:dyDescent="0.4">
      <c r="A753" s="251" t="s">
        <v>226</v>
      </c>
      <c r="B753" s="252" t="s">
        <v>227</v>
      </c>
      <c r="C753" s="252">
        <v>4061925</v>
      </c>
      <c r="D753" s="252" t="s">
        <v>214</v>
      </c>
      <c r="E753" s="252"/>
      <c r="F753" s="252"/>
      <c r="G753" s="252" t="s">
        <v>150</v>
      </c>
      <c r="H753" s="253">
        <v>1998</v>
      </c>
      <c r="I753" s="254"/>
      <c r="J753" s="255"/>
      <c r="K753" s="255"/>
      <c r="L753" s="47"/>
      <c r="M753" s="255"/>
      <c r="N753" s="255"/>
      <c r="O753" s="255"/>
      <c r="P753" s="219"/>
      <c r="Q753" s="218"/>
      <c r="R753" s="385"/>
      <c r="S753" s="257"/>
      <c r="T753" s="258"/>
      <c r="U753" s="258"/>
      <c r="V753" s="259"/>
      <c r="W753" s="259"/>
      <c r="X753" s="259"/>
      <c r="Y753" s="255"/>
      <c r="Z753" s="259"/>
      <c r="AA753" s="259"/>
      <c r="AB753" s="259"/>
      <c r="AC753" s="255"/>
      <c r="AD753" s="254"/>
      <c r="AE753" s="260">
        <v>298.67225683281367</v>
      </c>
      <c r="AF753" s="256"/>
      <c r="AG753" s="225"/>
      <c r="AH753" s="256"/>
      <c r="AI753" s="256"/>
      <c r="AJ753" s="254">
        <f t="shared" si="1351"/>
        <v>0</v>
      </c>
      <c r="AK753" s="254"/>
      <c r="AL753" s="254"/>
      <c r="AM753" s="256"/>
      <c r="AN753" s="256"/>
      <c r="AO753" s="256"/>
      <c r="AP753" s="226">
        <f>+(AP750+AP751+AP752)/3</f>
        <v>282.85340949204374</v>
      </c>
      <c r="AQ753" s="256"/>
      <c r="AR753" s="261"/>
      <c r="AS753" s="261"/>
      <c r="AT753" s="261"/>
      <c r="AU753" s="261"/>
      <c r="AV753" s="261"/>
      <c r="AW753" s="256">
        <f ca="1">AVERAGE(AW762:AW776)</f>
        <v>1.5294592618979249E-2</v>
      </c>
      <c r="AX753" s="223"/>
      <c r="AY753" s="261"/>
      <c r="AZ753" s="261"/>
      <c r="BA753" s="261"/>
      <c r="BB753" s="262">
        <v>79589</v>
      </c>
      <c r="BC753" s="413"/>
      <c r="BD753" s="92"/>
      <c r="BE753" s="407" t="str">
        <f t="shared" si="1297"/>
        <v>NORTHERN STATES POWER COMPANY - WI</v>
      </c>
      <c r="BF753" s="408">
        <f t="shared" si="1298"/>
        <v>4061925</v>
      </c>
      <c r="BG753" s="218" t="str">
        <f t="shared" si="1299"/>
        <v>WI</v>
      </c>
      <c r="BH753" s="218"/>
      <c r="BI753" s="218" t="str">
        <f t="shared" si="1300"/>
        <v>1998 Y</v>
      </c>
      <c r="BJ753" s="254">
        <f>INDEX('Gross Dx Plant'!$D$7:$AC$91,MATCH($C753,'Gross Dx Plant'!$C$7:$C$91,0),MATCH(Calculation!$G753,'Gross Dx Plant'!$D$5:$AC$5,0))</f>
        <v>103355</v>
      </c>
      <c r="BK753" s="254">
        <f>INDEX('Gross Gen Plant'!$D$7:$AC$91,MATCH($C753,'Gross Gen Plant'!$C$7:$C$91,0),MATCH(Calculation!$G753,'Gross Gen Plant'!$D$5:$AC$5,0))</f>
        <v>2828</v>
      </c>
      <c r="BL753" s="254">
        <f>INDEX('Dist. Plant Gas Additions'!$E$7:$AD$91,MATCH($C753,'Dist. Plant Gas Additions'!$C$7:$C$91,0),MATCH(Calculation!$G753,'Dist. Plant Gas Additions'!$E$5:$AD$5,0))</f>
        <v>6740</v>
      </c>
      <c r="BM753" s="254">
        <f>INDEX('Gen. Plant Additions'!$E$7:$AD$91,MATCH($C753,'Gen. Plant Additions'!$C$7:$C$91,0),MATCH(Calculation!$G753,'Gen. Plant Additions'!$E$5:$AD$5,0))</f>
        <v>61</v>
      </c>
      <c r="BN753" s="409">
        <f>+(BY753/(BY753+BZ753))</f>
        <v>0.97336673478805458</v>
      </c>
      <c r="BO753" s="218">
        <f t="shared" si="1278"/>
        <v>59.375370822071332</v>
      </c>
      <c r="BP753" s="218">
        <f t="shared" si="1279"/>
        <v>-1.6246291779286679</v>
      </c>
      <c r="BQ753" s="254">
        <f>INDEX('Dist Plant Depreciation'!$D$7:$AC$94,MATCH($C753,'Dist Plant Depreciation'!$C$7:$C$94,0),MATCH(Calculation!$G753,'Dist Plant Depreciation'!$D$5:$AC$5,0))</f>
        <v>44476</v>
      </c>
      <c r="BR753" s="254">
        <f>INDEX('Gen. Plant Depreciation'!$D$7:$AC$94,MATCH($C753,'Gen. Plant Depreciation'!$C$7:$C$94,0),MATCH(Calculation!$G753,'Gen. Plant Depreciation'!$D$5:$AC$5,0))</f>
        <v>1459</v>
      </c>
      <c r="BS753" s="254"/>
      <c r="BT753" s="254"/>
      <c r="BU753" s="254"/>
      <c r="BV753" s="254"/>
      <c r="BW753" s="254"/>
      <c r="BX753" s="254"/>
      <c r="BY753" s="254">
        <f>INDEX('Gross Dx Plant'!$D$7:$AC$91,MATCH($C753,'Gross Dx Plant'!$C$7:$C$91,0),MATCH(Calculation!$G753,'Gross Dx Plant'!$D$5:$AC$5,0))</f>
        <v>103355</v>
      </c>
      <c r="BZ753" s="254">
        <f>INDEX('Gross Gen Plant'!$D$7:$AC$91,MATCH($C753,'Gross Gen Plant'!$C$7:$C$91,0),MATCH(Calculation!$G753,'Gross Gen Plant'!$D$5:$AC$5,0))</f>
        <v>2828</v>
      </c>
      <c r="CA753" s="254">
        <f t="shared" si="1325"/>
        <v>60248</v>
      </c>
      <c r="CB753" s="254"/>
      <c r="CC753" s="260">
        <v>1998</v>
      </c>
      <c r="CD753" s="254">
        <f>BJ753+BK753</f>
        <v>106183</v>
      </c>
      <c r="CE753" s="254">
        <f>44476+1459</f>
        <v>45935</v>
      </c>
      <c r="CF753" s="254">
        <f>+CD753-CE753</f>
        <v>60248</v>
      </c>
      <c r="CG753" s="254">
        <f>CF753/$BX$3</f>
        <v>298.67225683281367</v>
      </c>
      <c r="CH753" s="323"/>
      <c r="CI753" s="344"/>
      <c r="CJ753" s="344"/>
      <c r="CK753" s="443">
        <v>1</v>
      </c>
      <c r="CL753" s="254">
        <f>+CG753</f>
        <v>298.67225683281367</v>
      </c>
      <c r="CM753" s="256"/>
      <c r="CN753" s="325"/>
      <c r="CO753" s="325"/>
      <c r="CP753" s="256" t="e">
        <f>VLOOKUP($H753,RoR!$E:$F,2,FALSE)</f>
        <v>#N/A</v>
      </c>
      <c r="CQ753" s="325">
        <v>1.1028127770464469E-2</v>
      </c>
      <c r="CR753" s="325"/>
      <c r="CS753" s="326"/>
      <c r="CT753" s="325"/>
      <c r="CU753" s="327">
        <f t="shared" si="1335"/>
        <v>0.90383761790000006</v>
      </c>
      <c r="CV753" s="328"/>
      <c r="CW753" s="328"/>
      <c r="CX753" s="328"/>
      <c r="CY753" s="328"/>
      <c r="CZ753" s="329">
        <f>CZ752</f>
        <v>0.25989833000000001</v>
      </c>
      <c r="DA753" s="351">
        <v>0.37</v>
      </c>
      <c r="DB753" s="331">
        <f t="shared" si="1342"/>
        <v>0</v>
      </c>
      <c r="DC753" s="326"/>
      <c r="DD753" s="351" t="e">
        <f>VLOOKUP($H753,RoR!$E:$F,2,FALSE)</f>
        <v>#N/A</v>
      </c>
      <c r="DE753" s="354">
        <f>HLOOKUP($H753,'GDP-PI'!$D$8:$CQ$11,3,FALSE)</f>
        <v>1.1028127770464469E-2</v>
      </c>
      <c r="DF753" s="351">
        <f>VLOOKUP(H753,'HW Dx Data'!$E:$F,2,FALSE)</f>
        <v>329.24564746449528</v>
      </c>
      <c r="DG753" s="351"/>
      <c r="DH753" s="351"/>
      <c r="DI753" s="351"/>
      <c r="DJ753" s="326"/>
      <c r="DK753" s="344">
        <f>HLOOKUP(H753,'GDP-PI'!$8:$9,2,FALSE)</f>
        <v>75.266999999999996</v>
      </c>
      <c r="DL753" s="292"/>
      <c r="EC753"/>
    </row>
    <row r="754" spans="1:133" s="126" customFormat="1" ht="21" customHeight="1" x14ac:dyDescent="0.4">
      <c r="A754" s="233" t="s">
        <v>226</v>
      </c>
      <c r="B754" s="127" t="s">
        <v>227</v>
      </c>
      <c r="C754" s="127">
        <v>4061925</v>
      </c>
      <c r="D754" s="127" t="s">
        <v>214</v>
      </c>
      <c r="E754" s="127"/>
      <c r="F754" s="127"/>
      <c r="G754" s="127" t="s">
        <v>155</v>
      </c>
      <c r="H754" s="128">
        <v>1999</v>
      </c>
      <c r="I754" s="129"/>
      <c r="J754" s="125"/>
      <c r="K754" s="129"/>
      <c r="L754" s="47"/>
      <c r="M754" s="129"/>
      <c r="N754" s="129"/>
      <c r="O754" s="129"/>
      <c r="P754" s="47"/>
      <c r="Q754" s="47"/>
      <c r="R754" s="386"/>
      <c r="S754" s="119"/>
      <c r="T754" s="47"/>
      <c r="U754" s="46"/>
      <c r="V754" s="135"/>
      <c r="W754" s="135"/>
      <c r="X754" s="135"/>
      <c r="Y754" s="143"/>
      <c r="Z754" s="135"/>
      <c r="AA754" s="135"/>
      <c r="AB754" s="135"/>
      <c r="AC754" s="125">
        <f t="shared" ref="AC754:AC777" si="1370">+CL753*DB754</f>
        <v>0</v>
      </c>
      <c r="AD754" s="129"/>
      <c r="AE754" s="133">
        <v>316.19773253467815</v>
      </c>
      <c r="AF754" s="134">
        <v>5.7020912559276063E-2</v>
      </c>
      <c r="AG754" s="61"/>
      <c r="AH754" s="134"/>
      <c r="AI754" s="134"/>
      <c r="AJ754" s="129">
        <f t="shared" si="1351"/>
        <v>0</v>
      </c>
      <c r="AK754" s="134"/>
      <c r="AL754" s="129"/>
      <c r="AM754" s="134"/>
      <c r="AN754" s="134"/>
      <c r="AO754" s="134"/>
      <c r="AP754" s="133"/>
      <c r="AQ754" s="134"/>
      <c r="AR754" s="93"/>
      <c r="AS754" s="93"/>
      <c r="AT754" s="93"/>
      <c r="AU754" s="93"/>
      <c r="AV754" s="93"/>
      <c r="AW754" s="134"/>
      <c r="AX754" s="62"/>
      <c r="AY754" s="93"/>
      <c r="AZ754" s="93"/>
      <c r="BA754" s="93"/>
      <c r="BB754" s="234">
        <v>83092</v>
      </c>
      <c r="BC754" s="411">
        <f t="shared" ref="BC754:BC777" si="1371">LN(BB754/BB753)</f>
        <v>4.3072535326124518E-2</v>
      </c>
      <c r="BD754" s="92"/>
      <c r="BE754" s="281" t="str">
        <f t="shared" si="1297"/>
        <v>NORTHERN STATES POWER COMPANY - WI</v>
      </c>
      <c r="BF754" s="290">
        <f t="shared" si="1298"/>
        <v>4061925</v>
      </c>
      <c r="BG754" s="46" t="str">
        <f t="shared" si="1299"/>
        <v>WI</v>
      </c>
      <c r="BH754" s="46"/>
      <c r="BI754" s="46" t="str">
        <f t="shared" si="1300"/>
        <v>1999 Y</v>
      </c>
      <c r="BJ754" s="129"/>
      <c r="BK754" s="129"/>
      <c r="BL754" s="129">
        <f>INDEX('Dist. Plant Gas Additions'!$E$7:$AD$91,MATCH($C754,'Dist. Plant Gas Additions'!$C$7:$C$91,0),MATCH(Calculation!$G754,'Dist. Plant Gas Additions'!$E$5:$AD$5,0))</f>
        <v>6291</v>
      </c>
      <c r="BM754" s="129">
        <f>INDEX('Gen. Plant Additions'!$E$7:$AD$91,MATCH($C754,'Gen. Plant Additions'!$C$7:$C$91,0),MATCH(Calculation!$G754,'Gen. Plant Additions'!$E$5:$AD$5,0))</f>
        <v>84</v>
      </c>
      <c r="BN754" s="393">
        <f t="shared" ref="BN754:BN775" si="1372">+(BY754/(BY754+BZ754))</f>
        <v>0.97706017769144993</v>
      </c>
      <c r="BO754" s="46">
        <f t="shared" si="1278"/>
        <v>82.073054926081795</v>
      </c>
      <c r="BP754" s="46">
        <f t="shared" si="1279"/>
        <v>-1.9269450739182048</v>
      </c>
      <c r="BQ754" s="129">
        <f>INDEX('Dist Plant Depreciation'!$D$7:$AC$94,MATCH($C754,'Dist Plant Depreciation'!$C$7:$C$94,0),MATCH(Calculation!$G754,'Dist Plant Depreciation'!$D$5:$AC$5,0))</f>
        <v>47841</v>
      </c>
      <c r="BR754" s="129">
        <f>INDEX('Gen. Plant Depreciation'!$D$7:$AC$94,MATCH($C754,'Gen. Plant Depreciation'!$C$7:$C$94,0),MATCH(Calculation!$G754,'Gen. Plant Depreciation'!$D$5:$AC$5,0))</f>
        <v>1248</v>
      </c>
      <c r="BS754" s="129"/>
      <c r="BT754" s="129"/>
      <c r="BU754" s="129"/>
      <c r="BV754" s="129"/>
      <c r="BW754" s="129"/>
      <c r="BX754" s="129"/>
      <c r="BY754" s="129">
        <f>INDEX('Gross Dx Plant'!$D$7:$AC$91,MATCH($C754,'Gross Dx Plant'!$C$7:$C$91,0),MATCH(Calculation!$G754,'Gross Dx Plant'!$D$5:$AC$5,0))</f>
        <v>108653</v>
      </c>
      <c r="BZ754" s="129">
        <f>INDEX('Gross Gen Plant'!$D$7:$AC$91,MATCH($C754,'Gross Gen Plant'!$C$7:$C$91,0),MATCH(Calculation!$G754,'Gross Gen Plant'!$D$5:$AC$5,0))</f>
        <v>2551</v>
      </c>
      <c r="CA754" s="129">
        <f t="shared" si="1325"/>
        <v>62115</v>
      </c>
      <c r="CB754" s="129"/>
      <c r="CC754" s="133">
        <v>1999</v>
      </c>
      <c r="CD754" s="129"/>
      <c r="CE754" s="129"/>
      <c r="CF754" s="129"/>
      <c r="CG754" s="137"/>
      <c r="CH754" s="129">
        <f t="shared" ref="CH754:CH776" si="1373">+BM754+BL754</f>
        <v>6375</v>
      </c>
      <c r="CI754" s="46">
        <f>+CH754+BP754</f>
        <v>6373.0730549260816</v>
      </c>
      <c r="CJ754" s="46">
        <f t="shared" ref="CJ754:CJ777" si="1374">+CI754/$DF754</f>
        <v>19.005660827867207</v>
      </c>
      <c r="CK754" s="443">
        <v>0.99009900990099009</v>
      </c>
      <c r="CL754" s="46">
        <f>+CL753*CK754+CJ754</f>
        <v>314.72076660293021</v>
      </c>
      <c r="CM754" s="134">
        <f t="shared" ref="CM754:CM775" si="1375">LN(CL754/CL753)</f>
        <v>5.2338949257244867E-2</v>
      </c>
      <c r="CN754" s="135">
        <f t="shared" ref="CN754:CN777" si="1376">+(CL753-CL754+CJ754)/CL753</f>
        <v>9.900990099010026E-3</v>
      </c>
      <c r="CO754" s="135"/>
      <c r="CP754" s="134">
        <f>VLOOKUP($H754,RoR!$E:$F,2,FALSE)</f>
        <v>7.0416666666666669E-2</v>
      </c>
      <c r="CQ754" s="135">
        <v>1.4335631817396832E-2</v>
      </c>
      <c r="CR754" s="135">
        <f>+CP754-CQ754</f>
        <v>5.6081034849269837E-2</v>
      </c>
      <c r="CS754" s="135"/>
      <c r="CT754" s="135"/>
      <c r="CU754" s="139">
        <f t="shared" ref="CU754:CU777" si="1377">1-CZ754*DA754</f>
        <v>0.85150049999999999</v>
      </c>
      <c r="CV754" s="335">
        <f t="shared" ref="CV754:CV776" si="1378">2/(DD754*39)</f>
        <v>0.72826581702321336</v>
      </c>
      <c r="CW754" s="335">
        <f t="shared" ref="CW754:CW776" si="1379">+(DD754*40-(1+DD754))/(DD754*40)</f>
        <v>0.61997041420118348</v>
      </c>
      <c r="CX754" s="335">
        <f t="shared" ref="CX754:CX776" si="1380">+(1-(1/(1+DD754)^40))</f>
        <v>0.93425155319585029</v>
      </c>
      <c r="CY754" s="335">
        <f t="shared" ref="CY754:CY776" si="1381">+CX754*CW754*CV754</f>
        <v>0.42181762214141483</v>
      </c>
      <c r="CZ754" s="336">
        <f>INDEX('State Tax Lookup'!$D$7:$Z$91,MATCH(Calculation!$C754,'State Tax Lookup'!$B$7:$B$91,0),MATCH($H754,'State Tax Lookup'!$D$6:$Z$6,0))</f>
        <v>0.40134999999999998</v>
      </c>
      <c r="DA754" s="303">
        <v>0.37</v>
      </c>
      <c r="DB754" s="57"/>
      <c r="DC754" s="56"/>
      <c r="DD754" s="303">
        <f>VLOOKUP($H754,RoR!$E:$F,2,FALSE)</f>
        <v>7.0416666666666669E-2</v>
      </c>
      <c r="DE754" s="304">
        <f>HLOOKUP($H754,'GDP-PI'!$D$8:$CQ$11,3,FALSE)</f>
        <v>1.4335631817396832E-2</v>
      </c>
      <c r="DF754" s="303">
        <f>VLOOKUP(H754,'HW Dx Data'!$E:$F,2,FALSE)</f>
        <v>335.32499146683239</v>
      </c>
      <c r="DG754" s="89"/>
      <c r="DH754" s="89"/>
      <c r="DI754" s="89"/>
      <c r="DJ754" s="56"/>
      <c r="DK754" s="53">
        <f>HLOOKUP(H754,'GDP-PI'!$8:$9,2,FALSE)</f>
        <v>76.346000000000004</v>
      </c>
      <c r="DL754" s="298"/>
      <c r="EC754"/>
    </row>
    <row r="755" spans="1:133" s="126" customFormat="1" ht="21" customHeight="1" x14ac:dyDescent="0.4">
      <c r="A755" s="233" t="s">
        <v>226</v>
      </c>
      <c r="B755" s="127" t="s">
        <v>227</v>
      </c>
      <c r="C755" s="127">
        <v>4061925</v>
      </c>
      <c r="D755" s="127" t="s">
        <v>214</v>
      </c>
      <c r="E755" s="127"/>
      <c r="F755" s="127"/>
      <c r="G755" s="127" t="s">
        <v>156</v>
      </c>
      <c r="H755" s="128">
        <v>2000</v>
      </c>
      <c r="I755" s="129"/>
      <c r="J755" s="125"/>
      <c r="K755" s="125"/>
      <c r="L755" s="47"/>
      <c r="M755" s="125"/>
      <c r="N755" s="125"/>
      <c r="O755" s="125"/>
      <c r="P755" s="47"/>
      <c r="Q755" s="47"/>
      <c r="R755" s="386"/>
      <c r="S755" s="119"/>
      <c r="T755" s="47"/>
      <c r="U755" s="47"/>
      <c r="V755" s="125"/>
      <c r="W755" s="125"/>
      <c r="X755" s="125"/>
      <c r="Y755" s="125"/>
      <c r="Z755" s="125"/>
      <c r="AA755" s="125"/>
      <c r="AB755" s="125"/>
      <c r="AC755" s="125">
        <f t="shared" si="1370"/>
        <v>0</v>
      </c>
      <c r="AD755" s="129"/>
      <c r="AE755" s="133">
        <v>336.0506179818413</v>
      </c>
      <c r="AF755" s="134">
        <v>6.0894043607212657E-2</v>
      </c>
      <c r="AG755" s="61"/>
      <c r="AH755" s="134"/>
      <c r="AI755" s="134"/>
      <c r="AJ755" s="129">
        <f t="shared" si="1351"/>
        <v>0</v>
      </c>
      <c r="AK755" s="134"/>
      <c r="AL755" s="129"/>
      <c r="AM755" s="129"/>
      <c r="AN755" s="129"/>
      <c r="AO755" s="129"/>
      <c r="AP755" s="133"/>
      <c r="AQ755" s="134"/>
      <c r="AR755" s="93"/>
      <c r="AS755" s="93"/>
      <c r="AT755" s="93"/>
      <c r="AU755" s="93"/>
      <c r="AV755" s="93"/>
      <c r="AW755" s="134"/>
      <c r="AX755" s="62"/>
      <c r="AY755" s="93"/>
      <c r="AZ755" s="93"/>
      <c r="BA755" s="93"/>
      <c r="BB755" s="234">
        <v>86807</v>
      </c>
      <c r="BC755" s="411">
        <f t="shared" si="1371"/>
        <v>4.3738835903510465E-2</v>
      </c>
      <c r="BD755" s="92"/>
      <c r="BE755" s="281" t="str">
        <f t="shared" si="1297"/>
        <v>NORTHERN STATES POWER COMPANY - WI</v>
      </c>
      <c r="BF755" s="290">
        <f t="shared" si="1298"/>
        <v>4061925</v>
      </c>
      <c r="BG755" s="46" t="str">
        <f t="shared" si="1299"/>
        <v>WI</v>
      </c>
      <c r="BH755" s="46"/>
      <c r="BI755" s="46" t="str">
        <f t="shared" si="1300"/>
        <v>2000 Y</v>
      </c>
      <c r="BJ755" s="129"/>
      <c r="BK755" s="129"/>
      <c r="BL755" s="129">
        <f>INDEX('Dist. Plant Gas Additions'!$E$7:$AD$91,MATCH($C755,'Dist. Plant Gas Additions'!$C$7:$C$91,0),MATCH(Calculation!$G755,'Dist. Plant Gas Additions'!$E$5:$AD$5,0))</f>
        <v>7313</v>
      </c>
      <c r="BM755" s="129">
        <f>INDEX('Gen. Plant Additions'!$E$7:$AD$91,MATCH($C755,'Gen. Plant Additions'!$C$7:$C$91,0),MATCH(Calculation!$G755,'Gen. Plant Additions'!$E$5:$AD$5,0))</f>
        <v>130</v>
      </c>
      <c r="BN755" s="393">
        <f t="shared" si="1372"/>
        <v>0.97735247749656728</v>
      </c>
      <c r="BO755" s="46">
        <f t="shared" si="1278"/>
        <v>127.05582207455375</v>
      </c>
      <c r="BP755" s="46">
        <f t="shared" si="1279"/>
        <v>-2.9441779254462546</v>
      </c>
      <c r="BQ755" s="129">
        <f>INDEX('Dist Plant Depreciation'!$D$7:$AC$94,MATCH($C755,'Dist Plant Depreciation'!$C$7:$C$94,0),MATCH(Calculation!$G755,'Dist Plant Depreciation'!$D$5:$AC$5,0))</f>
        <v>51310</v>
      </c>
      <c r="BR755" s="129">
        <f>INDEX('Gen. Plant Depreciation'!$D$7:$AC$94,MATCH($C755,'Gen. Plant Depreciation'!$C$7:$C$94,0),MATCH(Calculation!$G755,'Gen. Plant Depreciation'!$D$5:$AC$5,0))</f>
        <v>1349</v>
      </c>
      <c r="BS755" s="129"/>
      <c r="BT755" s="129"/>
      <c r="BU755" s="129"/>
      <c r="BV755" s="129"/>
      <c r="BW755" s="129"/>
      <c r="BX755" s="129"/>
      <c r="BY755" s="129">
        <f>INDEX('Gross Dx Plant'!$D$7:$AC$91,MATCH($C755,'Gross Dx Plant'!$C$7:$C$91,0),MATCH(Calculation!$G755,'Gross Dx Plant'!$D$5:$AC$5,0))</f>
        <v>115310</v>
      </c>
      <c r="BZ755" s="129">
        <f>INDEX('Gross Gen Plant'!$D$7:$AC$91,MATCH($C755,'Gross Gen Plant'!$C$7:$C$91,0),MATCH(Calculation!$G755,'Gross Gen Plant'!$D$5:$AC$5,0))</f>
        <v>2672</v>
      </c>
      <c r="CA755" s="129">
        <f t="shared" si="1325"/>
        <v>65323</v>
      </c>
      <c r="CB755" s="129"/>
      <c r="CC755" s="133">
        <v>2000</v>
      </c>
      <c r="CD755" s="129"/>
      <c r="CE755" s="129"/>
      <c r="CF755" s="129"/>
      <c r="CG755" s="137"/>
      <c r="CH755" s="129">
        <f t="shared" si="1373"/>
        <v>7443</v>
      </c>
      <c r="CI755" s="46">
        <f t="shared" ref="CI755:CI777" si="1382">+CH755+BP755</f>
        <v>7440.0558220745534</v>
      </c>
      <c r="CJ755" s="46">
        <f t="shared" si="1374"/>
        <v>21.469933341109577</v>
      </c>
      <c r="CK755" s="443">
        <v>0.98</v>
      </c>
      <c r="CL755" s="46">
        <f>+CL753*CK755+CJ754*CK754+CJ755</f>
        <v>332.98623100545234</v>
      </c>
      <c r="CM755" s="134">
        <f t="shared" si="1375"/>
        <v>5.6415350330546718E-2</v>
      </c>
      <c r="CN755" s="135">
        <f t="shared" si="1376"/>
        <v>1.0181943102059077E-2</v>
      </c>
      <c r="CO755" s="135"/>
      <c r="CP755" s="134">
        <f>VLOOKUP($H755,RoR!$E:$F,2,FALSE)</f>
        <v>7.6225000000000001E-2</v>
      </c>
      <c r="CQ755" s="135">
        <v>2.2568307442433211E-2</v>
      </c>
      <c r="CR755" s="135">
        <f t="shared" ref="CR755:CR775" si="1383">+CP755-CQ755</f>
        <v>5.365669255756679E-2</v>
      </c>
      <c r="CS755" s="135"/>
      <c r="CT755" s="135"/>
      <c r="CU755" s="139">
        <f t="shared" si="1377"/>
        <v>0.85150049999999999</v>
      </c>
      <c r="CV755" s="335">
        <f t="shared" si="1378"/>
        <v>0.67277207323124022</v>
      </c>
      <c r="CW755" s="335">
        <f t="shared" si="1379"/>
        <v>0.6470236142997704</v>
      </c>
      <c r="CX755" s="335">
        <f t="shared" si="1380"/>
        <v>0.94704866037543145</v>
      </c>
      <c r="CY755" s="335">
        <f t="shared" si="1381"/>
        <v>0.41224973107878493</v>
      </c>
      <c r="CZ755" s="336">
        <f>INDEX('State Tax Lookup'!$D$7:$Z$91,MATCH(Calculation!$C755,'State Tax Lookup'!$B$7:$B$91,0),MATCH($H755,'State Tax Lookup'!$D$6:$Z$6,0))</f>
        <v>0.40134999999999998</v>
      </c>
      <c r="DA755" s="303">
        <v>0.37</v>
      </c>
      <c r="DB755" s="57"/>
      <c r="DC755" s="56"/>
      <c r="DD755" s="303">
        <f>VLOOKUP($H755,RoR!$E:$F,2,FALSE)</f>
        <v>7.6225000000000001E-2</v>
      </c>
      <c r="DE755" s="304">
        <f>HLOOKUP($H755,'GDP-PI'!$D$8:$CQ$11,3,FALSE)</f>
        <v>2.2568307442433211E-2</v>
      </c>
      <c r="DF755" s="303">
        <f>VLOOKUP(H755,'HW Dx Data'!$E:$F,2,FALSE)</f>
        <v>346.53371782150339</v>
      </c>
      <c r="DG755" s="89"/>
      <c r="DH755" s="89"/>
      <c r="DI755" s="89"/>
      <c r="DJ755" s="56"/>
      <c r="DK755" s="53">
        <f>HLOOKUP(H755,'GDP-PI'!$8:$9,2,FALSE)</f>
        <v>78.069000000000003</v>
      </c>
      <c r="DL755" s="298"/>
      <c r="EC755"/>
    </row>
    <row r="756" spans="1:133" s="126" customFormat="1" ht="21" customHeight="1" x14ac:dyDescent="0.4">
      <c r="A756" s="233" t="s">
        <v>226</v>
      </c>
      <c r="B756" s="127" t="s">
        <v>227</v>
      </c>
      <c r="C756" s="127">
        <v>4061925</v>
      </c>
      <c r="D756" s="127" t="s">
        <v>214</v>
      </c>
      <c r="E756" s="127"/>
      <c r="F756" s="127"/>
      <c r="G756" s="127" t="s">
        <v>157</v>
      </c>
      <c r="H756" s="128">
        <v>2001</v>
      </c>
      <c r="I756" s="129"/>
      <c r="J756" s="125"/>
      <c r="K756" s="125"/>
      <c r="L756" s="47"/>
      <c r="M756" s="125"/>
      <c r="N756" s="125"/>
      <c r="O756" s="125"/>
      <c r="P756" s="47"/>
      <c r="Q756" s="47"/>
      <c r="R756" s="386"/>
      <c r="S756" s="119"/>
      <c r="T756" s="47"/>
      <c r="U756" s="47"/>
      <c r="V756" s="125"/>
      <c r="W756" s="125"/>
      <c r="X756" s="125"/>
      <c r="Y756" s="125"/>
      <c r="Z756" s="125"/>
      <c r="AA756" s="125"/>
      <c r="AB756" s="125"/>
      <c r="AC756" s="125">
        <f t="shared" si="1370"/>
        <v>3493.2467029405602</v>
      </c>
      <c r="AD756" s="129"/>
      <c r="AE756" s="133">
        <v>345.36400726237986</v>
      </c>
      <c r="AF756" s="134">
        <v>2.7337156953250844E-2</v>
      </c>
      <c r="AG756" s="61"/>
      <c r="AH756" s="134"/>
      <c r="AI756" s="134"/>
      <c r="AJ756" s="129">
        <f t="shared" si="1351"/>
        <v>3493.2467029405602</v>
      </c>
      <c r="AK756" s="134"/>
      <c r="AL756" s="129"/>
      <c r="AM756" s="129"/>
      <c r="AN756" s="129"/>
      <c r="AO756" s="129"/>
      <c r="AP756" s="133"/>
      <c r="AQ756" s="134"/>
      <c r="AR756" s="93"/>
      <c r="AS756" s="93"/>
      <c r="AT756" s="93"/>
      <c r="AU756" s="93"/>
      <c r="AV756" s="93"/>
      <c r="AW756" s="134"/>
      <c r="AX756" s="62"/>
      <c r="AY756" s="93"/>
      <c r="AZ756" s="93"/>
      <c r="BA756" s="93"/>
      <c r="BB756" s="234">
        <v>88512</v>
      </c>
      <c r="BC756" s="411">
        <f t="shared" si="1371"/>
        <v>1.9450872466344325E-2</v>
      </c>
      <c r="BD756" s="92"/>
      <c r="BE756" s="281" t="str">
        <f t="shared" si="1297"/>
        <v>NORTHERN STATES POWER COMPANY - WI</v>
      </c>
      <c r="BF756" s="290">
        <f t="shared" si="1298"/>
        <v>4061925</v>
      </c>
      <c r="BG756" s="46" t="str">
        <f t="shared" si="1299"/>
        <v>WI</v>
      </c>
      <c r="BH756" s="46"/>
      <c r="BI756" s="46" t="str">
        <f t="shared" si="1300"/>
        <v>2001 Y</v>
      </c>
      <c r="BJ756" s="129"/>
      <c r="BK756" s="129"/>
      <c r="BL756" s="129">
        <f>INDEX('Dist. Plant Gas Additions'!$E$7:$AD$91,MATCH($C756,'Dist. Plant Gas Additions'!$C$7:$C$91,0),MATCH(Calculation!$G756,'Dist. Plant Gas Additions'!$E$5:$AD$5,0))</f>
        <v>3838</v>
      </c>
      <c r="BM756" s="129">
        <f>INDEX('Gen. Plant Additions'!$E$7:$AD$91,MATCH($C756,'Gen. Plant Additions'!$C$7:$C$91,0),MATCH(Calculation!$G756,'Gen. Plant Additions'!$E$5:$AD$5,0))</f>
        <v>46</v>
      </c>
      <c r="BN756" s="393">
        <f t="shared" si="1372"/>
        <v>0.97786053700323916</v>
      </c>
      <c r="BO756" s="46">
        <f t="shared" si="1278"/>
        <v>44.981584702149</v>
      </c>
      <c r="BP756" s="46">
        <f t="shared" si="1279"/>
        <v>-1.0184152978509999</v>
      </c>
      <c r="BQ756" s="129">
        <f>INDEX('Dist Plant Depreciation'!$D$7:$AC$94,MATCH($C756,'Dist Plant Depreciation'!$C$7:$C$94,0),MATCH(Calculation!$G756,'Dist Plant Depreciation'!$D$5:$AC$5,0))</f>
        <v>55568</v>
      </c>
      <c r="BR756" s="129">
        <f>INDEX('Gen. Plant Depreciation'!$D$7:$AC$94,MATCH($C756,'Gen. Plant Depreciation'!$C$7:$C$94,0),MATCH(Calculation!$G756,'Gen. Plant Depreciation'!$D$5:$AC$5,0))</f>
        <v>1445</v>
      </c>
      <c r="BS756" s="129"/>
      <c r="BT756" s="129"/>
      <c r="BU756" s="129"/>
      <c r="BV756" s="129"/>
      <c r="BW756" s="129"/>
      <c r="BX756" s="129"/>
      <c r="BY756" s="129">
        <f>INDEX('Gross Dx Plant'!$D$7:$AC$91,MATCH($C756,'Gross Dx Plant'!$C$7:$C$91,0),MATCH(Calculation!$G756,'Gross Dx Plant'!$D$5:$AC$5,0))</f>
        <v>118945</v>
      </c>
      <c r="BZ756" s="129">
        <f>INDEX('Gross Gen Plant'!$D$7:$AC$91,MATCH($C756,'Gross Gen Plant'!$C$7:$C$91,0),MATCH(Calculation!$G756,'Gross Gen Plant'!$D$5:$AC$5,0))</f>
        <v>2693</v>
      </c>
      <c r="CA756" s="129">
        <f t="shared" si="1325"/>
        <v>64625</v>
      </c>
      <c r="CB756" s="129"/>
      <c r="CC756" s="133">
        <v>2001</v>
      </c>
      <c r="CD756" s="129"/>
      <c r="CE756" s="129"/>
      <c r="CF756" s="129"/>
      <c r="CG756" s="137"/>
      <c r="CH756" s="129">
        <f t="shared" si="1373"/>
        <v>3884</v>
      </c>
      <c r="CI756" s="46">
        <f t="shared" si="1382"/>
        <v>3882.9815847021491</v>
      </c>
      <c r="CJ756" s="46">
        <f t="shared" si="1374"/>
        <v>10.986024518788192</v>
      </c>
      <c r="CK756" s="443">
        <v>0.96969696969696972</v>
      </c>
      <c r="CL756" s="46">
        <f>+CL753*CK756+CJ754*CK755+CJ755*CK753+CJ756</f>
        <v>340.70308785454216</v>
      </c>
      <c r="CM756" s="134">
        <f t="shared" si="1375"/>
        <v>2.2910247097706504E-2</v>
      </c>
      <c r="CN756" s="135">
        <f t="shared" si="1376"/>
        <v>9.8177262760298332E-3</v>
      </c>
      <c r="CO756" s="135">
        <f>+(CN756+CN755+CN754)/3</f>
        <v>9.9668864923663138E-3</v>
      </c>
      <c r="CP756" s="134">
        <f>VLOOKUP($H756,RoR!$E:$F,2,FALSE)</f>
        <v>7.0824999999999999E-2</v>
      </c>
      <c r="CQ756" s="135">
        <v>2.2454495382290052E-2</v>
      </c>
      <c r="CR756" s="135">
        <f t="shared" si="1383"/>
        <v>4.8370504617709947E-2</v>
      </c>
      <c r="CS756" s="135">
        <f>+$CR$2-CO756</f>
        <v>2.0935055116167313E-2</v>
      </c>
      <c r="CT756" s="135">
        <f>+((DF754/DF753-1)+(DF755/DF754-1)+(DF756/DF755-1))/3</f>
        <v>2.3947275901631187E-2</v>
      </c>
      <c r="CU756" s="139">
        <f t="shared" si="1377"/>
        <v>0.85150049999999999</v>
      </c>
      <c r="CV756" s="335">
        <f t="shared" si="1378"/>
        <v>0.72406708481540816</v>
      </c>
      <c r="CW756" s="335">
        <f t="shared" si="1379"/>
        <v>0.62201729615248857</v>
      </c>
      <c r="CX756" s="335">
        <f t="shared" si="1380"/>
        <v>0.9352469954311422</v>
      </c>
      <c r="CY756" s="335">
        <f t="shared" si="1381"/>
        <v>0.42121864641655071</v>
      </c>
      <c r="CZ756" s="336">
        <f>INDEX('State Tax Lookup'!$D$7:$Z$91,MATCH(Calculation!$C756,'State Tax Lookup'!$B$7:$B$91,0),MATCH($H756,'State Tax Lookup'!$D$6:$Z$6,0))</f>
        <v>0.40134999999999998</v>
      </c>
      <c r="DA756" s="303">
        <v>0.37</v>
      </c>
      <c r="DB756" s="57">
        <f t="shared" ref="DB756:DB778" si="1384">+(DF756*CS756-CT756)*CU756/(1-CZ756)</f>
        <v>10.490664110623126</v>
      </c>
      <c r="DC756" s="56"/>
      <c r="DD756" s="303">
        <f>VLOOKUP($H756,RoR!$E:$F,2,FALSE)</f>
        <v>7.0824999999999999E-2</v>
      </c>
      <c r="DE756" s="304">
        <f>HLOOKUP($H756,'GDP-PI'!$D$8:$CQ$11,3,FALSE)</f>
        <v>2.2454495382290052E-2</v>
      </c>
      <c r="DF756" s="303">
        <f>VLOOKUP(H756,'HW Dx Data'!$E:$F,2,FALSE)</f>
        <v>353.44738017483138</v>
      </c>
      <c r="DG756" s="89"/>
      <c r="DH756" s="89"/>
      <c r="DI756" s="89"/>
      <c r="DJ756" s="56"/>
      <c r="DK756" s="53">
        <f>HLOOKUP(H756,'GDP-PI'!$8:$9,2,FALSE)</f>
        <v>79.822000000000003</v>
      </c>
      <c r="DL756" s="298"/>
      <c r="EC756"/>
    </row>
    <row r="757" spans="1:133" s="126" customFormat="1" ht="21" customHeight="1" x14ac:dyDescent="0.4">
      <c r="A757" s="233" t="s">
        <v>226</v>
      </c>
      <c r="B757" s="127" t="s">
        <v>227</v>
      </c>
      <c r="C757" s="127">
        <v>4061925</v>
      </c>
      <c r="D757" s="127" t="s">
        <v>214</v>
      </c>
      <c r="E757" s="127"/>
      <c r="F757" s="127"/>
      <c r="G757" s="127" t="s">
        <v>158</v>
      </c>
      <c r="H757" s="128">
        <v>2002</v>
      </c>
      <c r="I757" s="129"/>
      <c r="J757" s="125"/>
      <c r="K757" s="125"/>
      <c r="L757" s="47"/>
      <c r="M757" s="125"/>
      <c r="N757" s="125"/>
      <c r="O757" s="125"/>
      <c r="P757" s="47"/>
      <c r="Q757" s="47"/>
      <c r="R757" s="386"/>
      <c r="S757" s="119"/>
      <c r="T757" s="47"/>
      <c r="U757" s="47"/>
      <c r="V757" s="125"/>
      <c r="W757" s="125"/>
      <c r="X757" s="125"/>
      <c r="Y757" s="125"/>
      <c r="Z757" s="125"/>
      <c r="AA757" s="125"/>
      <c r="AB757" s="125"/>
      <c r="AC757" s="125">
        <f t="shared" si="1370"/>
        <v>3567.9438986301802</v>
      </c>
      <c r="AD757" s="129"/>
      <c r="AE757" s="133">
        <v>356.98022984878327</v>
      </c>
      <c r="AF757" s="134">
        <v>3.3081447345801658E-2</v>
      </c>
      <c r="AG757" s="61"/>
      <c r="AH757" s="134"/>
      <c r="AI757" s="134"/>
      <c r="AJ757" s="129">
        <f t="shared" si="1351"/>
        <v>3567.9438986301802</v>
      </c>
      <c r="AK757" s="134"/>
      <c r="AL757" s="129"/>
      <c r="AM757" s="129"/>
      <c r="AN757" s="129"/>
      <c r="AO757" s="129"/>
      <c r="AP757" s="133"/>
      <c r="AQ757" s="134"/>
      <c r="AR757" s="93"/>
      <c r="AS757" s="93"/>
      <c r="AT757" s="93"/>
      <c r="AU757" s="93"/>
      <c r="AV757" s="93"/>
      <c r="AW757" s="134"/>
      <c r="AX757" s="62"/>
      <c r="AY757" s="93"/>
      <c r="AZ757" s="93"/>
      <c r="BA757" s="93"/>
      <c r="BB757" s="234">
        <v>91173</v>
      </c>
      <c r="BC757" s="411">
        <f t="shared" si="1371"/>
        <v>2.9620664574182172E-2</v>
      </c>
      <c r="BD757" s="92"/>
      <c r="BE757" s="281" t="str">
        <f t="shared" si="1297"/>
        <v>NORTHERN STATES POWER COMPANY - WI</v>
      </c>
      <c r="BF757" s="290">
        <f t="shared" si="1298"/>
        <v>4061925</v>
      </c>
      <c r="BG757" s="46" t="str">
        <f t="shared" si="1299"/>
        <v>WI</v>
      </c>
      <c r="BH757" s="46"/>
      <c r="BI757" s="46" t="str">
        <f t="shared" si="1300"/>
        <v>2002 Y</v>
      </c>
      <c r="BJ757" s="129"/>
      <c r="BK757" s="129"/>
      <c r="BL757" s="129">
        <f>INDEX('Dist. Plant Gas Additions'!$E$7:$AD$91,MATCH($C757,'Dist. Plant Gas Additions'!$C$7:$C$91,0),MATCH(Calculation!$G757,'Dist. Plant Gas Additions'!$E$5:$AD$5,0))</f>
        <v>4884</v>
      </c>
      <c r="BM757" s="129">
        <f>INDEX('Gen. Plant Additions'!$E$7:$AD$91,MATCH($C757,'Gen. Plant Additions'!$C$7:$C$91,0),MATCH(Calculation!$G757,'Gen. Plant Additions'!$E$5:$AD$5,0))</f>
        <v>36</v>
      </c>
      <c r="BN757" s="393">
        <f t="shared" si="1372"/>
        <v>0.97853978436572087</v>
      </c>
      <c r="BO757" s="46">
        <f t="shared" si="1278"/>
        <v>35.227432237165949</v>
      </c>
      <c r="BP757" s="46">
        <f t="shared" si="1279"/>
        <v>-0.7725677628340506</v>
      </c>
      <c r="BQ757" s="129">
        <f>INDEX('Dist Plant Depreciation'!$D$7:$AC$94,MATCH($C757,'Dist Plant Depreciation'!$C$7:$C$94,0),MATCH(Calculation!$G757,'Dist Plant Depreciation'!$D$5:$AC$5,0))</f>
        <v>59655</v>
      </c>
      <c r="BR757" s="129">
        <f>INDEX('Gen. Plant Depreciation'!$D$7:$AC$94,MATCH($C757,'Gen. Plant Depreciation'!$C$7:$C$94,0),MATCH(Calculation!$G757,'Gen. Plant Depreciation'!$D$5:$AC$5,0))</f>
        <v>1535</v>
      </c>
      <c r="BS757" s="129"/>
      <c r="BT757" s="129"/>
      <c r="BU757" s="129"/>
      <c r="BV757" s="129"/>
      <c r="BW757" s="129"/>
      <c r="BX757" s="129"/>
      <c r="BY757" s="129">
        <f>INDEX('Gross Dx Plant'!$D$7:$AC$91,MATCH($C757,'Gross Dx Plant'!$C$7:$C$91,0),MATCH(Calculation!$G757,'Gross Dx Plant'!$D$5:$AC$5,0))</f>
        <v>123251</v>
      </c>
      <c r="BZ757" s="129">
        <f>INDEX('Gross Gen Plant'!$D$7:$AC$91,MATCH($C757,'Gross Gen Plant'!$C$7:$C$91,0),MATCH(Calculation!$G757,'Gross Gen Plant'!$D$5:$AC$5,0))</f>
        <v>2703</v>
      </c>
      <c r="CA757" s="129">
        <f t="shared" si="1325"/>
        <v>64764</v>
      </c>
      <c r="CB757" s="129"/>
      <c r="CC757" s="133">
        <v>2002</v>
      </c>
      <c r="CD757" s="129"/>
      <c r="CE757" s="129"/>
      <c r="CF757" s="129"/>
      <c r="CG757" s="137"/>
      <c r="CH757" s="129">
        <f t="shared" si="1373"/>
        <v>4920</v>
      </c>
      <c r="CI757" s="46">
        <f t="shared" si="1382"/>
        <v>4919.2274322371659</v>
      </c>
      <c r="CJ757" s="46">
        <f t="shared" si="1374"/>
        <v>13.613539236439673</v>
      </c>
      <c r="CK757" s="443">
        <v>0.95918367346938771</v>
      </c>
      <c r="CL757" s="46">
        <f>+CL753*CK757+CJ754*CK756+CJ755*CK755+CJ756*CK754+CJ757</f>
        <v>350.44261009368921</v>
      </c>
      <c r="CM757" s="134">
        <f t="shared" si="1375"/>
        <v>2.8185567926398133E-2</v>
      </c>
      <c r="CN757" s="135">
        <f t="shared" si="1376"/>
        <v>1.1370654201251541E-2</v>
      </c>
      <c r="CO757" s="135">
        <f t="shared" ref="CO757:CO777" si="1385">+(CN757+CN756+CN755)/3</f>
        <v>1.0456774526446817E-2</v>
      </c>
      <c r="CP757" s="134">
        <f>VLOOKUP($H757,RoR!$E:$F,2,FALSE)</f>
        <v>6.4916666666666664E-2</v>
      </c>
      <c r="CQ757" s="135">
        <v>1.5246423291824351E-2</v>
      </c>
      <c r="CR757" s="135">
        <f t="shared" si="1383"/>
        <v>4.9670243374842313E-2</v>
      </c>
      <c r="CS757" s="135">
        <f t="shared" ref="CS757:CS777" si="1386">+$CR$2-CO757</f>
        <v>2.044516708208681E-2</v>
      </c>
      <c r="CT757" s="135">
        <f t="shared" ref="CT757:CT776" si="1387">+((DF755/DF754-1)+(DF756/DF755-1)+(DF757/DF756-1))/3</f>
        <v>2.5243621214759093E-2</v>
      </c>
      <c r="CU757" s="139">
        <f t="shared" si="1377"/>
        <v>0.85150049999999999</v>
      </c>
      <c r="CV757" s="335">
        <f t="shared" si="1378"/>
        <v>0.78996741384417901</v>
      </c>
      <c r="CW757" s="335">
        <f t="shared" si="1379"/>
        <v>0.58989088575096271</v>
      </c>
      <c r="CX757" s="335">
        <f t="shared" si="1380"/>
        <v>0.91920675783645744</v>
      </c>
      <c r="CY757" s="335">
        <f t="shared" si="1381"/>
        <v>0.42834536472275586</v>
      </c>
      <c r="CZ757" s="336">
        <f>INDEX('State Tax Lookup'!$D$7:$Z$91,MATCH(Calculation!$C757,'State Tax Lookup'!$B$7:$B$91,0),MATCH($H757,'State Tax Lookup'!$D$6:$Z$6,0))</f>
        <v>0.40134999999999998</v>
      </c>
      <c r="DA757" s="303">
        <v>0.37</v>
      </c>
      <c r="DB757" s="57">
        <f t="shared" si="1384"/>
        <v>10.472296923101142</v>
      </c>
      <c r="DC757" s="56">
        <f t="shared" ref="DC757:DC777" si="1388">LN(DB757/DB756)</f>
        <v>-1.7523471223818345E-3</v>
      </c>
      <c r="DD757" s="303">
        <f>VLOOKUP($H757,RoR!$E:$F,2,FALSE)</f>
        <v>6.4916666666666664E-2</v>
      </c>
      <c r="DE757" s="304">
        <f>HLOOKUP($H757,'GDP-PI'!$D$8:$CQ$11,3,FALSE)</f>
        <v>1.5246423291824351E-2</v>
      </c>
      <c r="DF757" s="303">
        <f>VLOOKUP(H757,'HW Dx Data'!$E:$F,2,FALSE)</f>
        <v>361.34816573413599</v>
      </c>
      <c r="DG757" s="89"/>
      <c r="DH757" s="89"/>
      <c r="DI757" s="89"/>
      <c r="DJ757" s="56"/>
      <c r="DK757" s="53">
        <f>HLOOKUP(H757,'GDP-PI'!$8:$9,2,FALSE)</f>
        <v>81.039000000000001</v>
      </c>
      <c r="DL757" s="355">
        <f>LN(DK757/DK756)</f>
        <v>1.513136459537477E-2</v>
      </c>
      <c r="EC757"/>
    </row>
    <row r="758" spans="1:133" s="126" customFormat="1" ht="21" customHeight="1" x14ac:dyDescent="0.4">
      <c r="A758" s="233" t="s">
        <v>226</v>
      </c>
      <c r="B758" s="127" t="s">
        <v>227</v>
      </c>
      <c r="C758" s="127">
        <v>4061925</v>
      </c>
      <c r="D758" s="127" t="s">
        <v>214</v>
      </c>
      <c r="E758" s="127"/>
      <c r="F758" s="127"/>
      <c r="G758" s="127" t="s">
        <v>159</v>
      </c>
      <c r="H758" s="128">
        <v>2003</v>
      </c>
      <c r="I758" s="129"/>
      <c r="J758" s="125"/>
      <c r="K758" s="125"/>
      <c r="L758" s="47"/>
      <c r="M758" s="125"/>
      <c r="N758" s="125"/>
      <c r="O758" s="125"/>
      <c r="P758" s="59"/>
      <c r="Q758" s="59"/>
      <c r="R758" s="386"/>
      <c r="S758" s="119"/>
      <c r="T758" s="59"/>
      <c r="U758" s="59"/>
      <c r="V758" s="125"/>
      <c r="W758" s="125"/>
      <c r="X758" s="125"/>
      <c r="Y758" s="125"/>
      <c r="Z758" s="125"/>
      <c r="AA758" s="125"/>
      <c r="AB758" s="125"/>
      <c r="AC758" s="125">
        <f t="shared" si="1370"/>
        <v>3699.1193014002561</v>
      </c>
      <c r="AD758" s="129"/>
      <c r="AE758" s="133">
        <v>376.477624866582</v>
      </c>
      <c r="AF758" s="134">
        <v>5.3178214497377585E-2</v>
      </c>
      <c r="AG758" s="61"/>
      <c r="AH758" s="134"/>
      <c r="AI758" s="134"/>
      <c r="AJ758" s="129">
        <f t="shared" si="1351"/>
        <v>3699.1193014002561</v>
      </c>
      <c r="AK758" s="134"/>
      <c r="AL758" s="129"/>
      <c r="AM758" s="129"/>
      <c r="AN758" s="129"/>
      <c r="AO758" s="129"/>
      <c r="AP758" s="133"/>
      <c r="AQ758" s="134"/>
      <c r="AR758" s="93"/>
      <c r="AS758" s="93"/>
      <c r="AT758" s="93"/>
      <c r="AU758" s="93"/>
      <c r="AV758" s="93"/>
      <c r="AW758" s="134"/>
      <c r="AX758" s="62"/>
      <c r="AY758" s="93"/>
      <c r="AZ758" s="93"/>
      <c r="BA758" s="93"/>
      <c r="BB758" s="234">
        <v>93446</v>
      </c>
      <c r="BC758" s="411">
        <f t="shared" si="1371"/>
        <v>2.4624928730685541E-2</v>
      </c>
      <c r="BD758" s="92"/>
      <c r="BE758" s="281" t="str">
        <f t="shared" si="1297"/>
        <v>NORTHERN STATES POWER COMPANY - WI</v>
      </c>
      <c r="BF758" s="290">
        <f t="shared" si="1298"/>
        <v>4061925</v>
      </c>
      <c r="BG758" s="46" t="str">
        <f t="shared" si="1299"/>
        <v>WI</v>
      </c>
      <c r="BH758" s="46"/>
      <c r="BI758" s="46" t="str">
        <f t="shared" si="1300"/>
        <v>2003 Y</v>
      </c>
      <c r="BJ758" s="129"/>
      <c r="BK758" s="129"/>
      <c r="BL758" s="129">
        <f>INDEX('Dist. Plant Gas Additions'!$E$7:$AD$91,MATCH($C758,'Dist. Plant Gas Additions'!$C$7:$C$91,0),MATCH(Calculation!$G758,'Dist. Plant Gas Additions'!$E$5:$AD$5,0))</f>
        <v>7292</v>
      </c>
      <c r="BM758" s="129">
        <f>INDEX('Gen. Plant Additions'!$E$7:$AD$91,MATCH($C758,'Gen. Plant Additions'!$C$7:$C$91,0),MATCH(Calculation!$G758,'Gen. Plant Additions'!$E$5:$AD$5,0))</f>
        <v>653</v>
      </c>
      <c r="BN758" s="393">
        <f t="shared" si="1372"/>
        <v>0.9771780638261014</v>
      </c>
      <c r="BO758" s="46">
        <f t="shared" si="1278"/>
        <v>638.09727567844425</v>
      </c>
      <c r="BP758" s="46">
        <f t="shared" si="1279"/>
        <v>-14.902724321555752</v>
      </c>
      <c r="BQ758" s="129">
        <f>INDEX('Dist Plant Depreciation'!$D$7:$AC$94,MATCH($C758,'Dist Plant Depreciation'!$C$7:$C$94,0),MATCH(Calculation!$G758,'Dist Plant Depreciation'!$D$5:$AC$5,0))</f>
        <v>63727</v>
      </c>
      <c r="BR758" s="129">
        <f>INDEX('Gen. Plant Depreciation'!$D$7:$AC$94,MATCH($C758,'Gen. Plant Depreciation'!$C$7:$C$94,0),MATCH(Calculation!$G758,'Gen. Plant Depreciation'!$D$5:$AC$5,0))</f>
        <v>1348</v>
      </c>
      <c r="BS758" s="129"/>
      <c r="BT758" s="129"/>
      <c r="BU758" s="129"/>
      <c r="BV758" s="129"/>
      <c r="BW758" s="129"/>
      <c r="BX758" s="129"/>
      <c r="BY758" s="129">
        <f>INDEX('Gross Dx Plant'!$D$7:$AC$91,MATCH($C758,'Gross Dx Plant'!$C$7:$C$91,0),MATCH(Calculation!$G758,'Gross Dx Plant'!$D$5:$AC$5,0))</f>
        <v>129737</v>
      </c>
      <c r="BZ758" s="129">
        <f>INDEX('Gross Gen Plant'!$D$7:$AC$91,MATCH($C758,'Gross Gen Plant'!$C$7:$C$91,0),MATCH(Calculation!$G758,'Gross Gen Plant'!$D$5:$AC$5,0))</f>
        <v>3030</v>
      </c>
      <c r="CA758" s="129">
        <f t="shared" si="1325"/>
        <v>67692</v>
      </c>
      <c r="CB758" s="129"/>
      <c r="CC758" s="133">
        <v>2003</v>
      </c>
      <c r="CD758" s="129"/>
      <c r="CE758" s="129"/>
      <c r="CF758" s="129"/>
      <c r="CG758" s="137"/>
      <c r="CH758" s="129">
        <f t="shared" si="1373"/>
        <v>7945</v>
      </c>
      <c r="CI758" s="46">
        <f t="shared" si="1382"/>
        <v>7930.097275678444</v>
      </c>
      <c r="CJ758" s="46">
        <f t="shared" si="1374"/>
        <v>21.477216392853865</v>
      </c>
      <c r="CK758" s="443">
        <v>0.94845360824742264</v>
      </c>
      <c r="CL758" s="46">
        <f>+CL753*CK758+CJ754*CK757+CJ755*CK756+CJ756*CK755+CJ757*CK754+CJ758</f>
        <v>368.04830068705337</v>
      </c>
      <c r="CM758" s="134">
        <f t="shared" si="1375"/>
        <v>4.9017225605443415E-2</v>
      </c>
      <c r="CN758" s="135">
        <f t="shared" si="1376"/>
        <v>1.104753157287201E-2</v>
      </c>
      <c r="CO758" s="135">
        <f t="shared" si="1385"/>
        <v>1.0745304016717796E-2</v>
      </c>
      <c r="CP758" s="134">
        <f>VLOOKUP($H758,RoR!$E:$F,2,FALSE)</f>
        <v>5.6666666666666671E-2</v>
      </c>
      <c r="CQ758" s="135">
        <v>1.8855119140166909E-2</v>
      </c>
      <c r="CR758" s="135">
        <f t="shared" si="1383"/>
        <v>3.7811547526499761E-2</v>
      </c>
      <c r="CS758" s="135">
        <f t="shared" si="1386"/>
        <v>2.0156637591815831E-2</v>
      </c>
      <c r="CT758" s="135">
        <f t="shared" si="1387"/>
        <v>2.1375012817671957E-2</v>
      </c>
      <c r="CU758" s="139">
        <f t="shared" si="1377"/>
        <v>0.85150049999999999</v>
      </c>
      <c r="CV758" s="335">
        <f t="shared" si="1378"/>
        <v>0.90497737556561086</v>
      </c>
      <c r="CW758" s="335">
        <f t="shared" si="1379"/>
        <v>0.5338235294117647</v>
      </c>
      <c r="CX758" s="335">
        <f t="shared" si="1380"/>
        <v>0.88972433127405692</v>
      </c>
      <c r="CY758" s="335">
        <f t="shared" si="1381"/>
        <v>0.42982423775949252</v>
      </c>
      <c r="CZ758" s="336">
        <f>INDEX('State Tax Lookup'!$D$7:$Z$91,MATCH(Calculation!$C758,'State Tax Lookup'!$B$7:$B$91,0),MATCH($H758,'State Tax Lookup'!$D$6:$Z$6,0))</f>
        <v>0.40134999999999998</v>
      </c>
      <c r="DA758" s="303">
        <v>0.37</v>
      </c>
      <c r="DB758" s="57">
        <f t="shared" si="1384"/>
        <v>10.55556372100788</v>
      </c>
      <c r="DC758" s="56">
        <f t="shared" si="1388"/>
        <v>7.9197056263030849E-3</v>
      </c>
      <c r="DD758" s="303">
        <f>VLOOKUP($H758,RoR!$E:$F,2,FALSE)</f>
        <v>5.6666666666666671E-2</v>
      </c>
      <c r="DE758" s="304">
        <f>HLOOKUP($H758,'GDP-PI'!$D$8:$CQ$11,3,FALSE)</f>
        <v>1.8855119140166909E-2</v>
      </c>
      <c r="DF758" s="303">
        <f>VLOOKUP(H758,'HW Dx Data'!$E:$F,2,FALSE)</f>
        <v>369.23301095560191</v>
      </c>
      <c r="DG758" s="89">
        <f ca="1">VLOOKUP(CC758,'ECI - Input Price'!M$13:N$33,2,FALSE)</f>
        <v>89.25</v>
      </c>
      <c r="DH758" s="89"/>
      <c r="DI758" s="89"/>
      <c r="DJ758" s="56"/>
      <c r="DK758" s="53">
        <f>HLOOKUP(H758,'GDP-PI'!$8:$9,2,FALSE)</f>
        <v>82.566999999999993</v>
      </c>
      <c r="DL758" s="355">
        <f t="shared" ref="DL758:DL777" si="1389">LN(DK758/DK757)</f>
        <v>1.8679564681853753E-2</v>
      </c>
      <c r="EC758"/>
    </row>
    <row r="759" spans="1:133" s="126" customFormat="1" ht="21" customHeight="1" x14ac:dyDescent="0.4">
      <c r="A759" s="233" t="s">
        <v>226</v>
      </c>
      <c r="B759" s="127" t="s">
        <v>227</v>
      </c>
      <c r="C759" s="127">
        <v>4061925</v>
      </c>
      <c r="D759" s="127" t="s">
        <v>214</v>
      </c>
      <c r="E759" s="127"/>
      <c r="F759" s="127"/>
      <c r="G759" s="127" t="s">
        <v>160</v>
      </c>
      <c r="H759" s="128">
        <v>2004</v>
      </c>
      <c r="I759" s="129"/>
      <c r="J759" s="125">
        <f>IFERROR(INDEX('Labor Expenditures'!$E$7:$W$91,MATCH($C759,'Labor Expenditures'!$C$7:$C$91,0),MATCH($G759,'Labor Expenditures'!$E$5:$W$5,0)),"NA")</f>
        <v>5054.4588218450399</v>
      </c>
      <c r="K759" s="125">
        <f t="shared" ref="K759:K777" ca="1" si="1390">+J759/DG759</f>
        <v>53.571370660784737</v>
      </c>
      <c r="L759" s="47"/>
      <c r="M759" s="131"/>
      <c r="N759" s="131"/>
      <c r="O759" s="131"/>
      <c r="P759" s="59"/>
      <c r="Q759" s="59"/>
      <c r="R759" s="386"/>
      <c r="S759" s="119"/>
      <c r="T759" s="59"/>
      <c r="U759" s="59"/>
      <c r="V759" s="125">
        <f>IFERROR(INDEX('Non-Labor Expenditures'!$E$7:$AA$91,MATCH($C759,'Non-Labor Expenditures'!$C$7:$C$91,0),MATCH($G759,'Non-Labor Expenditures'!$E$5:$AA$5,0)),"NA")</f>
        <v>7319.8004167187655</v>
      </c>
      <c r="W759" s="125">
        <f t="shared" ref="W759:W777" si="1391">+V759/DK759</f>
        <v>86.340800876627952</v>
      </c>
      <c r="X759" s="125"/>
      <c r="Y759" s="125"/>
      <c r="Z759" s="125"/>
      <c r="AA759" s="125"/>
      <c r="AB759" s="125"/>
      <c r="AC759" s="125">
        <f t="shared" si="1370"/>
        <v>4240.1977480302694</v>
      </c>
      <c r="AD759" s="129"/>
      <c r="AE759" s="133">
        <v>395.09849256081048</v>
      </c>
      <c r="AF759" s="134">
        <v>4.8276465905498805E-2</v>
      </c>
      <c r="AG759" s="59">
        <f t="shared" ref="AG759:AG777" si="1392">+AF759*$AX759</f>
        <v>0</v>
      </c>
      <c r="AH759" s="134"/>
      <c r="AI759" s="134"/>
      <c r="AJ759" s="129">
        <f t="shared" si="1351"/>
        <v>16614.456986594076</v>
      </c>
      <c r="AK759" s="134"/>
      <c r="AL759" s="129"/>
      <c r="AM759" s="129"/>
      <c r="AN759" s="129"/>
      <c r="AO759" s="129"/>
      <c r="AP759" s="133"/>
      <c r="AQ759" s="134"/>
      <c r="AR759" s="93">
        <f t="shared" ref="AR759:AR777" si="1393">+J759/AJ759</f>
        <v>0.30422052468662669</v>
      </c>
      <c r="AS759" s="93">
        <f t="shared" ref="AS759:AS777" si="1394">+V759/AJ759</f>
        <v>0.44056814030244795</v>
      </c>
      <c r="AT759" s="93">
        <f t="shared" ref="AT759:AT777" si="1395">+AC759/AJ759</f>
        <v>0.2552113350109253</v>
      </c>
      <c r="AU759" s="93"/>
      <c r="AV759" s="93"/>
      <c r="AW759" s="134"/>
      <c r="AX759" s="62"/>
      <c r="AY759" s="93"/>
      <c r="AZ759" s="93"/>
      <c r="BA759" s="93"/>
      <c r="BB759" s="234">
        <v>95920</v>
      </c>
      <c r="BC759" s="411">
        <f t="shared" si="1371"/>
        <v>2.6130781372098056E-2</v>
      </c>
      <c r="BD759" s="92"/>
      <c r="BE759" s="281" t="str">
        <f t="shared" si="1297"/>
        <v>NORTHERN STATES POWER COMPANY - WI</v>
      </c>
      <c r="BF759" s="290">
        <f t="shared" si="1298"/>
        <v>4061925</v>
      </c>
      <c r="BG759" s="46" t="str">
        <f t="shared" si="1299"/>
        <v>WI</v>
      </c>
      <c r="BH759" s="46"/>
      <c r="BI759" s="46" t="str">
        <f t="shared" si="1300"/>
        <v>2004 Y</v>
      </c>
      <c r="BJ759" s="129"/>
      <c r="BK759" s="129"/>
      <c r="BL759" s="129">
        <f>INDEX('Dist. Plant Gas Additions'!$E$7:$AD$91,MATCH($C759,'Dist. Plant Gas Additions'!$C$7:$C$91,0),MATCH(Calculation!$G759,'Dist. Plant Gas Additions'!$E$5:$AD$5,0))</f>
        <v>8263</v>
      </c>
      <c r="BM759" s="129">
        <f>INDEX('Gen. Plant Additions'!$E$7:$AD$91,MATCH($C759,'Gen. Plant Additions'!$C$7:$C$91,0),MATCH(Calculation!$G759,'Gen. Plant Additions'!$E$5:$AD$5,0))</f>
        <v>372</v>
      </c>
      <c r="BN759" s="393">
        <f t="shared" si="1372"/>
        <v>0.97607933005149095</v>
      </c>
      <c r="BO759" s="46">
        <f t="shared" ref="BO759:BO822" si="1396">+BN759*BM759</f>
        <v>363.10151077915464</v>
      </c>
      <c r="BP759" s="46">
        <f t="shared" ref="BP759:BP822" si="1397">+BO759-BM759</f>
        <v>-8.898489220845363</v>
      </c>
      <c r="BQ759" s="129">
        <f>INDEX('Dist Plant Depreciation'!$D$7:$AC$94,MATCH($C759,'Dist Plant Depreciation'!$C$7:$C$94,0),MATCH(Calculation!$G759,'Dist Plant Depreciation'!$D$5:$AC$5,0))</f>
        <v>69053</v>
      </c>
      <c r="BR759" s="129">
        <f>INDEX('Gen. Plant Depreciation'!$D$7:$AC$94,MATCH($C759,'Gen. Plant Depreciation'!$C$7:$C$94,0),MATCH(Calculation!$G759,'Gen. Plant Depreciation'!$D$5:$AC$5,0))</f>
        <v>1533</v>
      </c>
      <c r="BS759" s="129"/>
      <c r="BT759" s="129"/>
      <c r="BU759" s="129"/>
      <c r="BV759" s="129"/>
      <c r="BW759" s="129"/>
      <c r="BX759" s="129"/>
      <c r="BY759" s="129">
        <f>INDEX('Gross Dx Plant'!$D$7:$AC$91,MATCH($C759,'Gross Dx Plant'!$C$7:$C$91,0),MATCH(Calculation!$G759,'Gross Dx Plant'!$D$5:$AC$5,0))</f>
        <v>138002</v>
      </c>
      <c r="BZ759" s="129">
        <f>INDEX('Gross Gen Plant'!$D$7:$AC$91,MATCH($C759,'Gross Gen Plant'!$C$7:$C$91,0),MATCH(Calculation!$G759,'Gross Gen Plant'!$D$5:$AC$5,0))</f>
        <v>3382</v>
      </c>
      <c r="CA759" s="129">
        <f t="shared" si="1325"/>
        <v>70798</v>
      </c>
      <c r="CB759" s="129"/>
      <c r="CC759" s="133">
        <v>2004</v>
      </c>
      <c r="CD759" s="129"/>
      <c r="CE759" s="129"/>
      <c r="CF759" s="129"/>
      <c r="CG759" s="137"/>
      <c r="CH759" s="129">
        <f t="shared" si="1373"/>
        <v>8635</v>
      </c>
      <c r="CI759" s="46">
        <f t="shared" si="1382"/>
        <v>8626.1015107791554</v>
      </c>
      <c r="CJ759" s="46">
        <f t="shared" si="1374"/>
        <v>20.791438469486689</v>
      </c>
      <c r="CK759" s="443">
        <v>0.9375</v>
      </c>
      <c r="CL759" s="46">
        <f>+CL753*CK759+CJ754*CK758+CJ755*CK757+CJ756*CK756+CJ757*CK755+CJ758*CK754+CJ759</f>
        <v>384.67523019342565</v>
      </c>
      <c r="CM759" s="134">
        <f t="shared" si="1375"/>
        <v>4.4185238930264693E-2</v>
      </c>
      <c r="CN759" s="135">
        <f t="shared" si="1376"/>
        <v>1.131511531323558E-2</v>
      </c>
      <c r="CO759" s="135">
        <f t="shared" si="1385"/>
        <v>1.1244433695786376E-2</v>
      </c>
      <c r="CP759" s="134">
        <f>VLOOKUP($H759,RoR!$E:$F,2,FALSE)</f>
        <v>5.6283333333333331E-2</v>
      </c>
      <c r="CQ759" s="135">
        <v>2.6778252812867276E-2</v>
      </c>
      <c r="CR759" s="135">
        <f t="shared" si="1383"/>
        <v>2.9505080520466055E-2</v>
      </c>
      <c r="CS759" s="135">
        <f t="shared" si="1386"/>
        <v>1.965750791274725E-2</v>
      </c>
      <c r="CT759" s="135">
        <f t="shared" si="1387"/>
        <v>5.5940039414565046E-2</v>
      </c>
      <c r="CU759" s="139">
        <f t="shared" si="1377"/>
        <v>0.85150049999999999</v>
      </c>
      <c r="CV759" s="335">
        <f t="shared" si="1378"/>
        <v>0.91114097628755619</v>
      </c>
      <c r="CW759" s="335">
        <f t="shared" si="1379"/>
        <v>0.53081877405981637</v>
      </c>
      <c r="CX759" s="335">
        <f t="shared" si="1380"/>
        <v>0.88811215519385678</v>
      </c>
      <c r="CY759" s="335">
        <f t="shared" si="1381"/>
        <v>0.42953609753547711</v>
      </c>
      <c r="CZ759" s="336">
        <f>INDEX('State Tax Lookup'!$D$7:$Z$91,MATCH(Calculation!$C759,'State Tax Lookup'!$B$7:$B$91,0),MATCH($H759,'State Tax Lookup'!$D$6:$Z$6,0))</f>
        <v>0.40134999999999998</v>
      </c>
      <c r="DA759" s="303">
        <v>0.37</v>
      </c>
      <c r="DB759" s="57">
        <f t="shared" si="1384"/>
        <v>11.520764367380286</v>
      </c>
      <c r="DC759" s="56">
        <f t="shared" si="1388"/>
        <v>8.7497916568497217E-2</v>
      </c>
      <c r="DD759" s="303">
        <f>VLOOKUP($H759,RoR!$E:$F,2,FALSE)</f>
        <v>5.6283333333333331E-2</v>
      </c>
      <c r="DE759" s="304">
        <f>HLOOKUP($H759,'GDP-PI'!$D$8:$CQ$11,3,FALSE)</f>
        <v>2.6778252812867276E-2</v>
      </c>
      <c r="DF759" s="303">
        <f>VLOOKUP(H759,'HW Dx Data'!$E:$F,2,FALSE)</f>
        <v>414.88719135228365</v>
      </c>
      <c r="DG759" s="89">
        <f ca="1">VLOOKUP(CC759,'ECI - Input Price'!M$13:N$33,2,FALSE)</f>
        <v>94.35</v>
      </c>
      <c r="DH759" s="89"/>
      <c r="DI759" s="89"/>
      <c r="DJ759" s="56">
        <f t="shared" ref="DJ759:DJ777" ca="1" si="1398">LN(DG759/DG758)</f>
        <v>5.5569851154810786E-2</v>
      </c>
      <c r="DK759" s="53">
        <f>HLOOKUP(H759,'GDP-PI'!$8:$9,2,FALSE)</f>
        <v>84.778000000000006</v>
      </c>
      <c r="DL759" s="355">
        <f t="shared" si="1389"/>
        <v>2.6425990216022755E-2</v>
      </c>
      <c r="EC759"/>
    </row>
    <row r="760" spans="1:133" s="126" customFormat="1" ht="21" customHeight="1" x14ac:dyDescent="0.4">
      <c r="A760" s="233" t="s">
        <v>226</v>
      </c>
      <c r="B760" s="127" t="s">
        <v>227</v>
      </c>
      <c r="C760" s="127">
        <v>4061925</v>
      </c>
      <c r="D760" s="127" t="s">
        <v>214</v>
      </c>
      <c r="E760" s="127"/>
      <c r="F760" s="127"/>
      <c r="G760" s="127" t="s">
        <v>161</v>
      </c>
      <c r="H760" s="128">
        <v>2005</v>
      </c>
      <c r="I760" s="129"/>
      <c r="J760" s="125">
        <f>IFERROR(INDEX('Labor Expenditures'!$E$7:$W$91,MATCH($C760,'Labor Expenditures'!$C$7:$C$91,0),MATCH($G760,'Labor Expenditures'!$E$5:$W$5,0)),"NA")</f>
        <v>5019.49758134064</v>
      </c>
      <c r="K760" s="125">
        <f t="shared" ca="1" si="1390"/>
        <v>50.587025259164932</v>
      </c>
      <c r="L760" s="47"/>
      <c r="M760" s="131">
        <f t="shared" ref="M760:M776" ca="1" si="1399">LN(K760/K759)</f>
        <v>-5.7319670306138874E-2</v>
      </c>
      <c r="N760" s="131"/>
      <c r="O760" s="131"/>
      <c r="P760" s="59"/>
      <c r="Q760" s="61"/>
      <c r="R760" s="387"/>
      <c r="S760" s="49">
        <v>100</v>
      </c>
      <c r="T760" s="46"/>
      <c r="U760" s="46"/>
      <c r="V760" s="125">
        <f>IFERROR(INDEX('Non-Labor Expenditures'!$E$7:$AA$91,MATCH($C760,'Non-Labor Expenditures'!$C$7:$C$91,0),MATCH($G760,'Non-Labor Expenditures'!$E$5:$AA$5,0)),"NA")</f>
        <v>7269.170010609394</v>
      </c>
      <c r="W760" s="125">
        <f t="shared" si="1391"/>
        <v>83.164620803933261</v>
      </c>
      <c r="X760" s="131">
        <f>LN(W760/W759)</f>
        <v>-3.7480239262302539E-2</v>
      </c>
      <c r="Y760" s="131"/>
      <c r="Z760" s="131"/>
      <c r="AA760" s="131"/>
      <c r="AB760" s="131"/>
      <c r="AC760" s="125">
        <f t="shared" si="1370"/>
        <v>4977.6041366802483</v>
      </c>
      <c r="AD760" s="129"/>
      <c r="AE760" s="133">
        <v>411.84490701818453</v>
      </c>
      <c r="AF760" s="134">
        <v>4.1511757127995701E-2</v>
      </c>
      <c r="AG760" s="59">
        <f t="shared" si="1392"/>
        <v>0</v>
      </c>
      <c r="AH760" s="134"/>
      <c r="AI760" s="134"/>
      <c r="AJ760" s="129">
        <f t="shared" si="1351"/>
        <v>17266.271728630283</v>
      </c>
      <c r="AK760" s="134">
        <f>LN(AJ760/AJ759)</f>
        <v>3.848176832292842E-2</v>
      </c>
      <c r="AL760" s="129"/>
      <c r="AM760" s="129"/>
      <c r="AN760" s="129"/>
      <c r="AO760" s="129"/>
      <c r="AP760" s="133"/>
      <c r="AQ760" s="134"/>
      <c r="AR760" s="93">
        <f t="shared" si="1393"/>
        <v>0.2907111425228816</v>
      </c>
      <c r="AS760" s="93">
        <f t="shared" si="1394"/>
        <v>0.42100403172480655</v>
      </c>
      <c r="AT760" s="93">
        <f t="shared" si="1395"/>
        <v>0.28828482575231179</v>
      </c>
      <c r="AU760" s="93">
        <f t="shared" ref="AU760:AU776" ca="1" si="1400">+(((AR760+AR759)/2)*M760+((AS759+AS760)/2)*X760+((AT759+AT760)/2)*AF760)</f>
        <v>-2.191586877142606E-2</v>
      </c>
      <c r="AV760" s="132">
        <v>100</v>
      </c>
      <c r="AW760" s="134"/>
      <c r="AX760" s="15"/>
      <c r="AY760" s="93"/>
      <c r="AZ760" s="93"/>
      <c r="BA760" s="93"/>
      <c r="BB760" s="234">
        <v>97866</v>
      </c>
      <c r="BC760" s="411">
        <f t="shared" si="1371"/>
        <v>2.0084685340689551E-2</v>
      </c>
      <c r="BD760" s="92"/>
      <c r="BE760" s="281" t="str">
        <f t="shared" si="1297"/>
        <v>NORTHERN STATES POWER COMPANY - WI</v>
      </c>
      <c r="BF760" s="290">
        <f t="shared" si="1298"/>
        <v>4061925</v>
      </c>
      <c r="BG760" s="46" t="str">
        <f t="shared" si="1299"/>
        <v>WI</v>
      </c>
      <c r="BH760" s="46"/>
      <c r="BI760" s="46" t="str">
        <f t="shared" si="1300"/>
        <v>2005 Y</v>
      </c>
      <c r="BJ760" s="129"/>
      <c r="BK760" s="129"/>
      <c r="BL760" s="129">
        <f>INDEX('Dist. Plant Gas Additions'!$E$7:$AD$91,MATCH($C760,'Dist. Plant Gas Additions'!$C$7:$C$91,0),MATCH(Calculation!$G760,'Dist. Plant Gas Additions'!$E$5:$AD$5,0))</f>
        <v>8735</v>
      </c>
      <c r="BM760" s="129">
        <f>INDEX('Gen. Plant Additions'!$E$7:$AD$91,MATCH($C760,'Gen. Plant Additions'!$C$7:$C$91,0),MATCH(Calculation!$G760,'Gen. Plant Additions'!$E$5:$AD$5,0))</f>
        <v>233</v>
      </c>
      <c r="BN760" s="393">
        <f t="shared" si="1372"/>
        <v>0.97590843604930366</v>
      </c>
      <c r="BO760" s="46">
        <f t="shared" si="1396"/>
        <v>227.38666559948774</v>
      </c>
      <c r="BP760" s="46">
        <f t="shared" si="1397"/>
        <v>-5.6133344005122581</v>
      </c>
      <c r="BQ760" s="129">
        <f>INDEX('Dist Plant Depreciation'!$D$7:$AC$94,MATCH($C760,'Dist Plant Depreciation'!$C$7:$C$94,0),MATCH(Calculation!$G760,'Dist Plant Depreciation'!$D$5:$AC$5,0))</f>
        <v>74054</v>
      </c>
      <c r="BR760" s="129">
        <f>INDEX('Gen. Plant Depreciation'!$D$7:$AC$94,MATCH($C760,'Gen. Plant Depreciation'!$C$7:$C$94,0),MATCH(Calculation!$G760,'Gen. Plant Depreciation'!$D$5:$AC$5,0))</f>
        <v>1738</v>
      </c>
      <c r="BS760" s="129"/>
      <c r="BT760" s="129"/>
      <c r="BU760" s="129"/>
      <c r="BV760" s="129"/>
      <c r="BW760" s="129"/>
      <c r="BX760" s="129"/>
      <c r="BY760" s="129">
        <f>INDEX('Gross Dx Plant'!$D$7:$AC$91,MATCH($C760,'Gross Dx Plant'!$C$7:$C$91,0),MATCH(Calculation!$G760,'Gross Dx Plant'!$D$5:$AC$5,0))</f>
        <v>146316</v>
      </c>
      <c r="BZ760" s="129">
        <f>INDEX('Gross Gen Plant'!$D$7:$AC$91,MATCH($C760,'Gross Gen Plant'!$C$7:$C$91,0),MATCH(Calculation!$G760,'Gross Gen Plant'!$D$5:$AC$5,0))</f>
        <v>3612</v>
      </c>
      <c r="CA760" s="129">
        <f t="shared" si="1325"/>
        <v>74136</v>
      </c>
      <c r="CB760" s="129"/>
      <c r="CC760" s="133">
        <v>2005</v>
      </c>
      <c r="CD760" s="129"/>
      <c r="CE760" s="129"/>
      <c r="CF760" s="129"/>
      <c r="CG760" s="137"/>
      <c r="CH760" s="129">
        <f t="shared" si="1373"/>
        <v>8968</v>
      </c>
      <c r="CI760" s="46">
        <f t="shared" si="1382"/>
        <v>8962.386665599488</v>
      </c>
      <c r="CJ760" s="46">
        <f t="shared" si="1374"/>
        <v>19.101211591429369</v>
      </c>
      <c r="CK760" s="443">
        <v>0.9263157894736842</v>
      </c>
      <c r="CL760" s="46">
        <f>+CL753*CK760+CJ754*CK759+CJ755*CK758+CJ756*CK757+CJ757*CK756+CJ758*CK755+CJ759*CK754+CJ760</f>
        <v>399.31895955297193</v>
      </c>
      <c r="CM760" s="134">
        <f t="shared" si="1375"/>
        <v>3.7361074564413947E-2</v>
      </c>
      <c r="CN760" s="135">
        <f t="shared" si="1376"/>
        <v>1.1587650781782168E-2</v>
      </c>
      <c r="CO760" s="135">
        <f t="shared" si="1385"/>
        <v>1.1316765889296587E-2</v>
      </c>
      <c r="CP760" s="134">
        <f>VLOOKUP($H760,RoR!$E:$F,2,FALSE)</f>
        <v>5.2350000000000001E-2</v>
      </c>
      <c r="CQ760" s="135">
        <v>3.1010403642454332E-2</v>
      </c>
      <c r="CR760" s="135">
        <f t="shared" si="1383"/>
        <v>2.1339596357545669E-2</v>
      </c>
      <c r="CS760" s="135">
        <f t="shared" si="1386"/>
        <v>1.9585175719237038E-2</v>
      </c>
      <c r="CT760" s="135">
        <f t="shared" si="1387"/>
        <v>9.2129610649277341E-2</v>
      </c>
      <c r="CU760" s="139">
        <f t="shared" si="1377"/>
        <v>0.85150049999999999</v>
      </c>
      <c r="CV760" s="335">
        <f t="shared" si="1378"/>
        <v>0.97959983346802826</v>
      </c>
      <c r="CW760" s="335">
        <f t="shared" si="1379"/>
        <v>0.49744508118433622</v>
      </c>
      <c r="CX760" s="335">
        <f t="shared" si="1380"/>
        <v>0.87010519444335932</v>
      </c>
      <c r="CY760" s="335">
        <f t="shared" si="1381"/>
        <v>0.42399975420741998</v>
      </c>
      <c r="CZ760" s="336">
        <f>INDEX('State Tax Lookup'!$D$7:$Z$91,MATCH(Calculation!$C760,'State Tax Lookup'!$B$7:$B$91,0),MATCH($H760,'State Tax Lookup'!$D$6:$Z$6,0))</f>
        <v>0.40134999999999998</v>
      </c>
      <c r="DA760" s="303">
        <v>0.37</v>
      </c>
      <c r="DB760" s="57">
        <f t="shared" si="1384"/>
        <v>12.939757348497244</v>
      </c>
      <c r="DC760" s="56">
        <f t="shared" si="1388"/>
        <v>0.11615353244711925</v>
      </c>
      <c r="DD760" s="303">
        <f>VLOOKUP($H760,RoR!$E:$F,2,FALSE)</f>
        <v>5.2350000000000001E-2</v>
      </c>
      <c r="DE760" s="304">
        <f>HLOOKUP($H760,'GDP-PI'!$D$8:$CQ$11,3,FALSE)</f>
        <v>3.1010403642454332E-2</v>
      </c>
      <c r="DF760" s="303">
        <f>VLOOKUP(H760,'HW Dx Data'!$E:$F,2,FALSE)</f>
        <v>469.20514034936258</v>
      </c>
      <c r="DG760" s="89">
        <f ca="1">VLOOKUP(CC760,'ECI - Input Price'!M$13:N$33,2,FALSE)</f>
        <v>99.224999999999994</v>
      </c>
      <c r="DH760" s="89"/>
      <c r="DI760" s="89"/>
      <c r="DJ760" s="56">
        <f t="shared" ca="1" si="1398"/>
        <v>5.0378726854569796E-2</v>
      </c>
      <c r="DK760" s="53">
        <f>HLOOKUP(H760,'GDP-PI'!$8:$9,2,FALSE)</f>
        <v>87.406999999999996</v>
      </c>
      <c r="DL760" s="355">
        <f t="shared" si="1389"/>
        <v>3.0539295810733648E-2</v>
      </c>
      <c r="EC760"/>
    </row>
    <row r="761" spans="1:133" s="126" customFormat="1" ht="21" customHeight="1" x14ac:dyDescent="0.4">
      <c r="A761" s="233" t="s">
        <v>226</v>
      </c>
      <c r="B761" s="127" t="s">
        <v>227</v>
      </c>
      <c r="C761" s="127">
        <v>4061925</v>
      </c>
      <c r="D761" s="127" t="s">
        <v>214</v>
      </c>
      <c r="E761" s="127"/>
      <c r="F761" s="127"/>
      <c r="G761" s="127" t="s">
        <v>162</v>
      </c>
      <c r="H761" s="128">
        <v>2006</v>
      </c>
      <c r="I761" s="129"/>
      <c r="J761" s="125">
        <f>IFERROR(INDEX('Labor Expenditures'!$E$7:$W$91,MATCH($C761,'Labor Expenditures'!$C$7:$C$91,0),MATCH($G761,'Labor Expenditures'!$E$5:$W$5,0)),"NA")</f>
        <v>4900.6011282137024</v>
      </c>
      <c r="K761" s="125">
        <f t="shared" ca="1" si="1390"/>
        <v>44.795257113470768</v>
      </c>
      <c r="L761" s="47"/>
      <c r="M761" s="131">
        <f t="shared" ca="1" si="1399"/>
        <v>-0.12159285979604723</v>
      </c>
      <c r="N761" s="131"/>
      <c r="O761" s="131"/>
      <c r="P761" s="59">
        <f t="shared" ref="P761:P777" ca="1" si="1401">+M761*$AX761</f>
        <v>-2.8280800550217815E-4</v>
      </c>
      <c r="Q761" s="61"/>
      <c r="R761" s="387"/>
      <c r="S761" s="49">
        <f ca="1">+S760*EXP(T761)</f>
        <v>109.49189215743836</v>
      </c>
      <c r="T761" s="61">
        <f ca="1">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</f>
        <v>9.0680316302747976E-2</v>
      </c>
      <c r="U761" s="61"/>
      <c r="V761" s="125">
        <f>IFERROR(INDEX('Non-Labor Expenditures'!$E$7:$AA$91,MATCH($C761,'Non-Labor Expenditures'!$C$7:$C$91,0),MATCH($G761,'Non-Labor Expenditures'!$E$5:$AA$5,0)),"NA")</f>
        <v>7096.9857396873394</v>
      </c>
      <c r="W761" s="125">
        <f t="shared" si="1391"/>
        <v>78.790613714138814</v>
      </c>
      <c r="X761" s="131">
        <f t="shared" ref="X761:X776" si="1402">LN(W761/W760)</f>
        <v>-5.4028152202749591E-2</v>
      </c>
      <c r="Y761" s="131">
        <f t="shared" ref="Y761:Y777" si="1403">+X761*AX761</f>
        <v>-1.2566193435253374E-4</v>
      </c>
      <c r="Z761" s="131"/>
      <c r="AA761" s="131"/>
      <c r="AB761" s="131"/>
      <c r="AC761" s="125">
        <f t="shared" si="1370"/>
        <v>5012.2297416544707</v>
      </c>
      <c r="AD761" s="129"/>
      <c r="AE761" s="133">
        <v>421.6109346859339</v>
      </c>
      <c r="AF761" s="134">
        <v>2.3436093850673922E-2</v>
      </c>
      <c r="AG761" s="59">
        <f t="shared" si="1392"/>
        <v>5.4509080301164328E-5</v>
      </c>
      <c r="AH761" s="134"/>
      <c r="AI761" s="134"/>
      <c r="AJ761" s="129">
        <f t="shared" si="1351"/>
        <v>17009.816609555513</v>
      </c>
      <c r="AK761" s="134">
        <f t="shared" ref="AK761:AK777" si="1404">LN(AJ761/AJ760)</f>
        <v>-1.4964362458083994E-2</v>
      </c>
      <c r="AL761" s="129"/>
      <c r="AM761" s="129"/>
      <c r="AN761" s="129"/>
      <c r="AO761" s="129"/>
      <c r="AP761" s="133">
        <f t="shared" ref="AP761:AP776" si="1405">+(AJ761*1000)/BB762</f>
        <v>167.78110898053396</v>
      </c>
      <c r="AQ761" s="134">
        <f>+BB762/Outputs!$B$14</f>
        <v>2.9232054289311843E-3</v>
      </c>
      <c r="AR761" s="93">
        <f t="shared" si="1393"/>
        <v>0.28810428946428018</v>
      </c>
      <c r="AS761" s="93">
        <f t="shared" si="1394"/>
        <v>0.41722882160296215</v>
      </c>
      <c r="AT761" s="93">
        <f t="shared" si="1395"/>
        <v>0.29466688893275766</v>
      </c>
      <c r="AU761" s="93">
        <f t="shared" ca="1" si="1400"/>
        <v>-5.100294237728533E-2</v>
      </c>
      <c r="AV761" s="132">
        <f ca="1">+AV760*EXP(AU761)</f>
        <v>95.02758744581655</v>
      </c>
      <c r="AW761" s="134">
        <f ca="1">LN(AV761/AV760)</f>
        <v>-5.1002942377285386E-2</v>
      </c>
      <c r="AX761" s="56">
        <f>+AJ761/$AL$11</f>
        <v>2.325860301143865E-3</v>
      </c>
      <c r="AY761" s="135">
        <f ca="1">+AX761*AW761</f>
        <v>-1.1862571891685618E-4</v>
      </c>
      <c r="AZ761" s="93"/>
      <c r="BA761" s="93"/>
      <c r="BB761" s="234">
        <v>100346</v>
      </c>
      <c r="BC761" s="411">
        <f t="shared" si="1371"/>
        <v>2.5025017899657505E-2</v>
      </c>
      <c r="BD761" s="92"/>
      <c r="BE761" s="281" t="str">
        <f t="shared" si="1297"/>
        <v>NORTHERN STATES POWER COMPANY - WI</v>
      </c>
      <c r="BF761" s="290">
        <f t="shared" si="1298"/>
        <v>4061925</v>
      </c>
      <c r="BG761" s="46" t="str">
        <f t="shared" si="1299"/>
        <v>WI</v>
      </c>
      <c r="BH761" s="46"/>
      <c r="BI761" s="46" t="str">
        <f t="shared" si="1300"/>
        <v>2006 Y</v>
      </c>
      <c r="BJ761" s="129"/>
      <c r="BK761" s="129"/>
      <c r="BL761" s="129">
        <f>INDEX('Dist. Plant Gas Additions'!$E$7:$AD$91,MATCH($C761,'Dist. Plant Gas Additions'!$C$7:$C$91,0),MATCH(Calculation!$G761,'Dist. Plant Gas Additions'!$E$5:$AD$5,0))</f>
        <v>5032</v>
      </c>
      <c r="BM761" s="129">
        <f>INDEX('Gen. Plant Additions'!$E$7:$AD$91,MATCH($C761,'Gen. Plant Additions'!$C$7:$C$91,0),MATCH(Calculation!$G761,'Gen. Plant Additions'!$E$5:$AD$5,0))</f>
        <v>642</v>
      </c>
      <c r="BN761" s="393">
        <f t="shared" si="1372"/>
        <v>0.97255023423283904</v>
      </c>
      <c r="BO761" s="46">
        <f t="shared" si="1396"/>
        <v>624.37725037748271</v>
      </c>
      <c r="BP761" s="46">
        <f t="shared" si="1397"/>
        <v>-17.62274962251729</v>
      </c>
      <c r="BQ761" s="129">
        <f>INDEX('Dist Plant Depreciation'!$D$7:$AC$94,MATCH($C761,'Dist Plant Depreciation'!$C$7:$C$94,0),MATCH(Calculation!$G761,'Dist Plant Depreciation'!$D$5:$AC$5,0))</f>
        <v>78931</v>
      </c>
      <c r="BR761" s="129">
        <f>INDEX('Gen. Plant Depreciation'!$D$7:$AC$94,MATCH($C761,'Gen. Plant Depreciation'!$C$7:$C$94,0),MATCH(Calculation!$G761,'Gen. Plant Depreciation'!$D$5:$AC$5,0))</f>
        <v>1976</v>
      </c>
      <c r="BS761" s="129"/>
      <c r="BT761" s="129"/>
      <c r="BU761" s="129"/>
      <c r="BV761" s="129"/>
      <c r="BW761" s="129"/>
      <c r="BX761" s="129"/>
      <c r="BY761" s="129">
        <f>INDEX('Gross Dx Plant'!$D$7:$AC$91,MATCH($C761,'Gross Dx Plant'!$C$7:$C$91,0),MATCH(Calculation!$G761,'Gross Dx Plant'!$D$5:$AC$5,0))</f>
        <v>150720</v>
      </c>
      <c r="BZ761" s="129">
        <f>INDEX('Gross Gen Plant'!$D$7:$AC$91,MATCH($C761,'Gross Gen Plant'!$C$7:$C$91,0),MATCH(Calculation!$G761,'Gross Gen Plant'!$D$5:$AC$5,0))</f>
        <v>4254</v>
      </c>
      <c r="CA761" s="129">
        <f t="shared" si="1325"/>
        <v>74067</v>
      </c>
      <c r="CB761" s="134"/>
      <c r="CC761" s="133">
        <v>2006</v>
      </c>
      <c r="CD761" s="129"/>
      <c r="CE761" s="129"/>
      <c r="CF761" s="129"/>
      <c r="CG761" s="137"/>
      <c r="CH761" s="129">
        <f t="shared" si="1373"/>
        <v>5674</v>
      </c>
      <c r="CI761" s="46">
        <f t="shared" si="1382"/>
        <v>5656.3772503774826</v>
      </c>
      <c r="CJ761" s="46">
        <f t="shared" si="1374"/>
        <v>12.267518998997762</v>
      </c>
      <c r="CK761" s="443">
        <v>0.91489361702127658</v>
      </c>
      <c r="CL761" s="46">
        <f>+CL753*CK761+CJ754*CK760+CJ755*CK759+CJ756*CK758+CJ757*CK757+CJ758*CK756+CJ759*CK755+CJ760*CK754+CJ761</f>
        <v>406.84587778542755</v>
      </c>
      <c r="CM761" s="134">
        <f t="shared" si="1375"/>
        <v>1.8673940148012415E-2</v>
      </c>
      <c r="CN761" s="135">
        <f t="shared" si="1376"/>
        <v>1.1871714711089946E-2</v>
      </c>
      <c r="CO761" s="135">
        <f t="shared" si="1385"/>
        <v>1.1591493602035896E-2</v>
      </c>
      <c r="CP761" s="134">
        <f>VLOOKUP($H761,RoR!$E:$F,2,FALSE)</f>
        <v>5.5874999999999994E-2</v>
      </c>
      <c r="CQ761" s="135">
        <v>3.0512430354548314E-2</v>
      </c>
      <c r="CR761" s="135">
        <f t="shared" si="1383"/>
        <v>2.536256964545168E-2</v>
      </c>
      <c r="CS761" s="135">
        <f t="shared" si="1386"/>
        <v>1.9310448006497727E-2</v>
      </c>
      <c r="CT761" s="135">
        <f t="shared" si="1387"/>
        <v>7.9087823893859641E-2</v>
      </c>
      <c r="CU761" s="139">
        <f t="shared" si="1377"/>
        <v>0.85150049999999999</v>
      </c>
      <c r="CV761" s="335">
        <f t="shared" si="1378"/>
        <v>0.91779957551769631</v>
      </c>
      <c r="CW761" s="335">
        <f t="shared" si="1379"/>
        <v>0.52757270693512304</v>
      </c>
      <c r="CX761" s="335">
        <f t="shared" si="1380"/>
        <v>0.88636824549024895</v>
      </c>
      <c r="CY761" s="335">
        <f t="shared" si="1381"/>
        <v>0.42918482841932087</v>
      </c>
      <c r="CZ761" s="336">
        <f>INDEX('State Tax Lookup'!$D$7:$Z$91,MATCH(Calculation!$C761,'State Tax Lookup'!$B$7:$B$91,0),MATCH($H761,'State Tax Lookup'!$D$6:$Z$6,0))</f>
        <v>0.40134999999999998</v>
      </c>
      <c r="DA761" s="303">
        <v>0.37</v>
      </c>
      <c r="DB761" s="57">
        <f t="shared" si="1384"/>
        <v>12.551945310249087</v>
      </c>
      <c r="DC761" s="56">
        <f t="shared" si="1388"/>
        <v>-3.042887848229215E-2</v>
      </c>
      <c r="DD761" s="303">
        <f>VLOOKUP($H761,RoR!$E:$F,2,FALSE)</f>
        <v>5.5874999999999994E-2</v>
      </c>
      <c r="DE761" s="304">
        <f>HLOOKUP($H761,'GDP-PI'!$D$8:$CQ$11,3,FALSE)</f>
        <v>3.0512430354548314E-2</v>
      </c>
      <c r="DF761" s="303">
        <f>VLOOKUP(H761,'HW Dx Data'!$E:$F,2,FALSE)</f>
        <v>461.08567272971823</v>
      </c>
      <c r="DG761" s="89">
        <f ca="1">VLOOKUP(CC761,'ECI - Input Price'!M$13:N$33,2,FALSE)</f>
        <v>109.4</v>
      </c>
      <c r="DH761" s="89"/>
      <c r="DI761" s="89"/>
      <c r="DJ761" s="56">
        <f t="shared" ca="1" si="1398"/>
        <v>9.7620891318751846E-2</v>
      </c>
      <c r="DK761" s="53">
        <f>HLOOKUP(H761,'GDP-PI'!$8:$9,2,FALSE)</f>
        <v>90.073999999999998</v>
      </c>
      <c r="DL761" s="355">
        <f t="shared" si="1389"/>
        <v>3.005618372545445E-2</v>
      </c>
      <c r="EC761"/>
    </row>
    <row r="762" spans="1:133" s="126" customFormat="1" ht="21" customHeight="1" x14ac:dyDescent="0.4">
      <c r="A762" s="233" t="s">
        <v>226</v>
      </c>
      <c r="B762" s="127" t="s">
        <v>227</v>
      </c>
      <c r="C762" s="127">
        <v>4061925</v>
      </c>
      <c r="D762" s="127" t="s">
        <v>214</v>
      </c>
      <c r="E762" s="127"/>
      <c r="F762" s="127"/>
      <c r="G762" s="127" t="s">
        <v>163</v>
      </c>
      <c r="H762" s="128">
        <v>2007</v>
      </c>
      <c r="I762" s="129"/>
      <c r="J762" s="125">
        <f>IFERROR(INDEX('Labor Expenditures'!$E$7:$W$91,MATCH($C762,'Labor Expenditures'!$C$7:$C$91,0),MATCH($G762,'Labor Expenditures'!$E$5:$W$5,0)),"NA")</f>
        <v>5312.4845523249087</v>
      </c>
      <c r="K762" s="125">
        <f t="shared" ca="1" si="1390"/>
        <v>50.82501365534474</v>
      </c>
      <c r="L762" s="47"/>
      <c r="M762" s="131">
        <f t="shared" ca="1" si="1399"/>
        <v>0.12628636237450941</v>
      </c>
      <c r="N762" s="131"/>
      <c r="O762" s="131"/>
      <c r="P762" s="59">
        <f t="shared" ca="1" si="1401"/>
        <v>3.0394542396624651E-4</v>
      </c>
      <c r="Q762" s="61"/>
      <c r="R762" s="387"/>
      <c r="S762" s="49">
        <f t="shared" ref="S762:S775" ca="1" si="1406">+S761*EXP(T762)</f>
        <v>118.43458436506519</v>
      </c>
      <c r="T762" s="61">
        <f ca="1">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</f>
        <v>7.8510275184760295E-2</v>
      </c>
      <c r="U762" s="61"/>
      <c r="V762" s="125">
        <f>IFERROR(INDEX('Non-Labor Expenditures'!$E$7:$AA$91,MATCH($C762,'Non-Labor Expenditures'!$C$7:$C$91,0),MATCH($G762,'Non-Labor Expenditures'!$E$5:$AA$5,0)),"NA")</f>
        <v>7693.4698670124135</v>
      </c>
      <c r="W762" s="125">
        <f t="shared" si="1391"/>
        <v>83.174445577335874</v>
      </c>
      <c r="X762" s="131">
        <f t="shared" si="1402"/>
        <v>5.4146281679219255E-2</v>
      </c>
      <c r="Y762" s="131">
        <f t="shared" si="1403"/>
        <v>1.3031901649348648E-4</v>
      </c>
      <c r="Z762" s="131"/>
      <c r="AA762" s="131"/>
      <c r="AB762" s="131"/>
      <c r="AC762" s="125">
        <f t="shared" si="1370"/>
        <v>5443.0112574212562</v>
      </c>
      <c r="AD762" s="129"/>
      <c r="AE762" s="133">
        <v>433.43273147702655</v>
      </c>
      <c r="AF762" s="134">
        <v>2.7653675756573709E-2</v>
      </c>
      <c r="AG762" s="59">
        <f t="shared" si="1392"/>
        <v>6.6556736958902843E-5</v>
      </c>
      <c r="AH762" s="134"/>
      <c r="AI762" s="134"/>
      <c r="AJ762" s="129">
        <f t="shared" si="1351"/>
        <v>18448.965676758577</v>
      </c>
      <c r="AK762" s="134">
        <f t="shared" si="1404"/>
        <v>8.1217683016366574E-2</v>
      </c>
      <c r="AL762" s="129"/>
      <c r="AM762" s="129"/>
      <c r="AN762" s="129"/>
      <c r="AO762" s="129"/>
      <c r="AP762" s="133">
        <f t="shared" si="1405"/>
        <v>177.67236800715136</v>
      </c>
      <c r="AQ762" s="134">
        <f>+BB763/Outputs!$B$15</f>
        <v>2.9714791854947107E-3</v>
      </c>
      <c r="AR762" s="93">
        <f t="shared" si="1393"/>
        <v>0.28795568518062825</v>
      </c>
      <c r="AS762" s="93">
        <f t="shared" si="1394"/>
        <v>0.4170136148447825</v>
      </c>
      <c r="AT762" s="93">
        <f t="shared" si="1395"/>
        <v>0.29503069997458936</v>
      </c>
      <c r="AU762" s="93">
        <f t="shared" ca="1" si="1400"/>
        <v>6.7113475289096211E-2</v>
      </c>
      <c r="AV762" s="132">
        <f ca="1">+AV761*EXP(AU762)</f>
        <v>101.62410072759846</v>
      </c>
      <c r="AW762" s="134">
        <f ca="1">LN(AV762/AV761)</f>
        <v>6.7113475289096294E-2</v>
      </c>
      <c r="AX762" s="56">
        <f>+AJ762/$AL$12</f>
        <v>2.4067953043486914E-3</v>
      </c>
      <c r="AY762" s="135">
        <f t="shared" ref="AY762:AY776" ca="1" si="1407">+AX762*AW762</f>
        <v>1.6152839718431888E-4</v>
      </c>
      <c r="AZ762" s="93"/>
      <c r="BA762" s="93"/>
      <c r="BB762" s="234">
        <v>101381</v>
      </c>
      <c r="BC762" s="411">
        <f t="shared" si="1371"/>
        <v>1.0261482914426722E-2</v>
      </c>
      <c r="BD762" s="92"/>
      <c r="BE762" s="281" t="str">
        <f t="shared" si="1297"/>
        <v>NORTHERN STATES POWER COMPANY - WI</v>
      </c>
      <c r="BF762" s="290">
        <f t="shared" si="1298"/>
        <v>4061925</v>
      </c>
      <c r="BG762" s="46" t="str">
        <f t="shared" si="1299"/>
        <v>WI</v>
      </c>
      <c r="BH762" s="46"/>
      <c r="BI762" s="46" t="str">
        <f t="shared" si="1300"/>
        <v>2007 Y</v>
      </c>
      <c r="BJ762" s="129"/>
      <c r="BK762" s="129"/>
      <c r="BL762" s="129">
        <f>INDEX('Dist. Plant Gas Additions'!$E$7:$AD$91,MATCH($C762,'Dist. Plant Gas Additions'!$C$7:$C$91,0),MATCH(Calculation!$G762,'Dist. Plant Gas Additions'!$E$5:$AD$5,0))</f>
        <v>6844</v>
      </c>
      <c r="BM762" s="129">
        <f>INDEX('Gen. Plant Additions'!$E$7:$AD$91,MATCH($C762,'Gen. Plant Additions'!$C$7:$C$91,0),MATCH(Calculation!$G762,'Gen. Plant Additions'!$E$5:$AD$5,0))</f>
        <v>381</v>
      </c>
      <c r="BN762" s="393">
        <f t="shared" si="1372"/>
        <v>0.9713641418509823</v>
      </c>
      <c r="BO762" s="46">
        <f t="shared" si="1396"/>
        <v>370.08973804522424</v>
      </c>
      <c r="BP762" s="46">
        <f t="shared" si="1397"/>
        <v>-10.910261954775763</v>
      </c>
      <c r="BQ762" s="129">
        <f>INDEX('Dist Plant Depreciation'!$D$7:$AC$94,MATCH($C762,'Dist Plant Depreciation'!$C$7:$C$94,0),MATCH(Calculation!$G762,'Dist Plant Depreciation'!$D$5:$AC$5,0))</f>
        <v>84375</v>
      </c>
      <c r="BR762" s="129">
        <f>INDEX('Gen. Plant Depreciation'!$D$7:$AC$94,MATCH($C762,'Gen. Plant Depreciation'!$C$7:$C$94,0),MATCH(Calculation!$G762,'Gen. Plant Depreciation'!$D$5:$AC$5,0))</f>
        <v>1879</v>
      </c>
      <c r="BS762" s="129"/>
      <c r="BT762" s="129"/>
      <c r="BU762" s="129"/>
      <c r="BV762" s="129"/>
      <c r="BW762" s="129"/>
      <c r="BX762" s="129"/>
      <c r="BY762" s="129">
        <f>INDEX('Gross Dx Plant'!$D$7:$AC$91,MATCH($C762,'Gross Dx Plant'!$C$7:$C$91,0),MATCH(Calculation!$G762,'Gross Dx Plant'!$D$5:$AC$5,0))</f>
        <v>157225</v>
      </c>
      <c r="BZ762" s="129">
        <f>INDEX('Gross Gen Plant'!$D$7:$AC$91,MATCH($C762,'Gross Gen Plant'!$C$7:$C$91,0),MATCH(Calculation!$G762,'Gross Gen Plant'!$D$5:$AC$5,0))</f>
        <v>4635</v>
      </c>
      <c r="CA762" s="129">
        <f t="shared" si="1325"/>
        <v>75606</v>
      </c>
      <c r="CB762" s="129"/>
      <c r="CC762" s="133">
        <v>2007</v>
      </c>
      <c r="CD762" s="129"/>
      <c r="CE762" s="129"/>
      <c r="CF762" s="129"/>
      <c r="CG762" s="137"/>
      <c r="CH762" s="129">
        <f t="shared" si="1373"/>
        <v>7225</v>
      </c>
      <c r="CI762" s="46">
        <f t="shared" si="1382"/>
        <v>7214.0897380452243</v>
      </c>
      <c r="CJ762" s="46">
        <f t="shared" si="1374"/>
        <v>14.485474875020074</v>
      </c>
      <c r="CK762" s="443">
        <v>0.90322580645161288</v>
      </c>
      <c r="CL762" s="46">
        <f>+CL753*CK762+CJ754*CK761+CJ755*CK760+CJ756*CK759+CJ757*CK758+CJ758*CK757+CJ759*CK756+CJ760*CK755+CJ761*CK754+CJ762</f>
        <v>416.36850531479564</v>
      </c>
      <c r="CM762" s="134">
        <f t="shared" si="1375"/>
        <v>2.3136263163143891E-2</v>
      </c>
      <c r="CN762" s="135">
        <f t="shared" si="1376"/>
        <v>1.2198347375832107E-2</v>
      </c>
      <c r="CO762" s="135">
        <f t="shared" si="1385"/>
        <v>1.1885904289568074E-2</v>
      </c>
      <c r="CP762" s="134">
        <f>VLOOKUP($H762,RoR!$E:$F,2,FALSE)</f>
        <v>5.5558333333333321E-2</v>
      </c>
      <c r="CQ762" s="135">
        <v>2.691120634145272E-2</v>
      </c>
      <c r="CR762" s="135">
        <f t="shared" si="1383"/>
        <v>2.86471269918806E-2</v>
      </c>
      <c r="CS762" s="135">
        <f t="shared" si="1386"/>
        <v>1.9016037318965551E-2</v>
      </c>
      <c r="CT762" s="135">
        <f t="shared" si="1387"/>
        <v>6.4575155250632399E-2</v>
      </c>
      <c r="CU762" s="139">
        <f t="shared" si="1377"/>
        <v>0.85150049999999999</v>
      </c>
      <c r="CV762" s="335">
        <f t="shared" si="1378"/>
        <v>0.92303077153834634</v>
      </c>
      <c r="CW762" s="335">
        <f t="shared" si="1379"/>
        <v>0.52502249887505614</v>
      </c>
      <c r="CX762" s="335">
        <f t="shared" si="1380"/>
        <v>0.88499666072084604</v>
      </c>
      <c r="CY762" s="335">
        <f t="shared" si="1381"/>
        <v>0.42887993290280618</v>
      </c>
      <c r="CZ762" s="336">
        <f>INDEX('State Tax Lookup'!$D$7:$Z$91,MATCH(Calculation!$C762,'State Tax Lookup'!$B$7:$B$91,0),MATCH($H762,'State Tax Lookup'!$D$6:$Z$6,0))</f>
        <v>0.40134999999999998</v>
      </c>
      <c r="DA762" s="303">
        <v>0.37</v>
      </c>
      <c r="DB762" s="57">
        <f t="shared" si="1384"/>
        <v>13.378558207469233</v>
      </c>
      <c r="DC762" s="56">
        <f t="shared" si="1388"/>
        <v>6.3777633238039408E-2</v>
      </c>
      <c r="DD762" s="303">
        <f>VLOOKUP($H762,RoR!$E:$F,2,FALSE)</f>
        <v>5.5558333333333321E-2</v>
      </c>
      <c r="DE762" s="304">
        <f>HLOOKUP($H762,'GDP-PI'!$D$8:$CQ$11,3,FALSE)</f>
        <v>2.691120634145272E-2</v>
      </c>
      <c r="DF762" s="303">
        <f>VLOOKUP(H762,'HW Dx Data'!$E:$F,2,FALSE)</f>
        <v>498.0223154772637</v>
      </c>
      <c r="DG762" s="89">
        <f ca="1">VLOOKUP(CC762,'ECI - Input Price'!M$13:N$33,2,FALSE)</f>
        <v>104.52499999999999</v>
      </c>
      <c r="DH762" s="89"/>
      <c r="DI762" s="89"/>
      <c r="DJ762" s="56">
        <f t="shared" ca="1" si="1398"/>
        <v>-4.5584612745252218E-2</v>
      </c>
      <c r="DK762" s="53">
        <f>HLOOKUP(H762,'GDP-PI'!$8:$9,2,FALSE)</f>
        <v>92.498000000000005</v>
      </c>
      <c r="DL762" s="355">
        <f t="shared" si="1389"/>
        <v>2.6555467950038037E-2</v>
      </c>
      <c r="EC762"/>
    </row>
    <row r="763" spans="1:133" s="126" customFormat="1" ht="21" customHeight="1" x14ac:dyDescent="0.4">
      <c r="A763" s="233" t="s">
        <v>226</v>
      </c>
      <c r="B763" s="127" t="s">
        <v>227</v>
      </c>
      <c r="C763" s="127">
        <v>4061925</v>
      </c>
      <c r="D763" s="127" t="s">
        <v>214</v>
      </c>
      <c r="E763" s="127"/>
      <c r="F763" s="127"/>
      <c r="G763" s="127" t="s">
        <v>164</v>
      </c>
      <c r="H763" s="128">
        <v>2008</v>
      </c>
      <c r="I763" s="129"/>
      <c r="J763" s="125">
        <f>IFERROR(INDEX('Labor Expenditures'!$E$7:$W$91,MATCH($C763,'Labor Expenditures'!$C$7:$C$91,0),MATCH($G763,'Labor Expenditures'!$E$5:$W$5,0)),"NA")</f>
        <v>5524.1275789528063</v>
      </c>
      <c r="K763" s="125">
        <f t="shared" ca="1" si="1390"/>
        <v>51.196733817912936</v>
      </c>
      <c r="L763" s="47"/>
      <c r="M763" s="131">
        <f t="shared" ca="1" si="1399"/>
        <v>7.2871092035867915E-3</v>
      </c>
      <c r="N763" s="131"/>
      <c r="O763" s="131"/>
      <c r="P763" s="59">
        <f t="shared" ca="1" si="1401"/>
        <v>1.7832288126259103E-5</v>
      </c>
      <c r="Q763" s="61"/>
      <c r="R763" s="387"/>
      <c r="S763" s="49">
        <f t="shared" ca="1" si="1406"/>
        <v>110.09005095436117</v>
      </c>
      <c r="T763" s="61">
        <f ca="1">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</f>
        <v>-7.3062101550619235E-2</v>
      </c>
      <c r="U763" s="61"/>
      <c r="V763" s="125">
        <f>IFERROR(INDEX('Non-Labor Expenditures'!$E$7:$AA$91,MATCH($C763,'Non-Labor Expenditures'!$C$7:$C$91,0),MATCH($G763,'Non-Labor Expenditures'!$E$5:$AA$5,0)),"NA")</f>
        <v>7999.9684990343085</v>
      </c>
      <c r="W763" s="125">
        <f t="shared" si="1391"/>
        <v>84.867696034905251</v>
      </c>
      <c r="X763" s="131">
        <f t="shared" si="1402"/>
        <v>2.0153370477014758E-2</v>
      </c>
      <c r="Y763" s="131">
        <f t="shared" si="1403"/>
        <v>4.9317321728138789E-5</v>
      </c>
      <c r="Z763" s="131"/>
      <c r="AA763" s="131"/>
      <c r="AB763" s="131"/>
      <c r="AC763" s="125">
        <f t="shared" si="1370"/>
        <v>6272.2005899587411</v>
      </c>
      <c r="AD763" s="129"/>
      <c r="AE763" s="133">
        <v>439.44565107228584</v>
      </c>
      <c r="AF763" s="134">
        <v>1.3777439855219051E-2</v>
      </c>
      <c r="AG763" s="59">
        <f t="shared" si="1392"/>
        <v>3.3714779108777964E-5</v>
      </c>
      <c r="AH763" s="134"/>
      <c r="AI763" s="134"/>
      <c r="AJ763" s="129">
        <f t="shared" si="1351"/>
        <v>19796.296667945855</v>
      </c>
      <c r="AK763" s="134">
        <f t="shared" si="1404"/>
        <v>7.0486575199689802E-2</v>
      </c>
      <c r="AL763" s="129"/>
      <c r="AM763" s="129"/>
      <c r="AN763" s="129"/>
      <c r="AO763" s="129"/>
      <c r="AP763" s="133">
        <f t="shared" si="1405"/>
        <v>185.47146360562004</v>
      </c>
      <c r="AQ763" s="134">
        <f>+BB764/Outputs!$B$16</f>
        <v>3.038079934619871E-3</v>
      </c>
      <c r="AR763" s="93">
        <f t="shared" si="1393"/>
        <v>0.27904853476445768</v>
      </c>
      <c r="AS763" s="93">
        <f t="shared" si="1394"/>
        <v>0.40411439741594951</v>
      </c>
      <c r="AT763" s="93">
        <f t="shared" si="1395"/>
        <v>0.31683706781959287</v>
      </c>
      <c r="AU763" s="93">
        <f t="shared" ca="1" si="1400"/>
        <v>1.4555145039955558E-2</v>
      </c>
      <c r="AV763" s="132">
        <f t="shared" ref="AV763:AV776" ca="1" si="1408">+AV762*EXP(AU763)</f>
        <v>103.11407131789194</v>
      </c>
      <c r="AW763" s="134">
        <f t="shared" ref="AW763:AW776" ca="1" si="1409">LN(AV763/AV762)</f>
        <v>1.4555145039955556E-2</v>
      </c>
      <c r="AX763" s="56">
        <f>+AJ763/$AL$13</f>
        <v>2.4471004383304512E-3</v>
      </c>
      <c r="AY763" s="135">
        <f t="shared" ca="1" si="1407"/>
        <v>3.5617901807238532E-5</v>
      </c>
      <c r="AZ763" s="93"/>
      <c r="BA763" s="93"/>
      <c r="BB763" s="234">
        <v>103837</v>
      </c>
      <c r="BC763" s="411">
        <f t="shared" si="1371"/>
        <v>2.3936665063481306E-2</v>
      </c>
      <c r="BD763" s="92"/>
      <c r="BE763" s="281" t="str">
        <f t="shared" si="1297"/>
        <v>NORTHERN STATES POWER COMPANY - WI</v>
      </c>
      <c r="BF763" s="290">
        <f t="shared" si="1298"/>
        <v>4061925</v>
      </c>
      <c r="BG763" s="46" t="str">
        <f t="shared" si="1299"/>
        <v>WI</v>
      </c>
      <c r="BH763" s="46"/>
      <c r="BI763" s="46" t="str">
        <f t="shared" si="1300"/>
        <v>2008 Y</v>
      </c>
      <c r="BJ763" s="129"/>
      <c r="BK763" s="129"/>
      <c r="BL763" s="129">
        <f>INDEX('Dist. Plant Gas Additions'!$E$7:$AD$91,MATCH($C763,'Dist. Plant Gas Additions'!$C$7:$C$91,0),MATCH(Calculation!$G763,'Dist. Plant Gas Additions'!$E$5:$AD$5,0))</f>
        <v>4148</v>
      </c>
      <c r="BM763" s="129">
        <f>INDEX('Gen. Plant Additions'!$E$7:$AD$91,MATCH($C763,'Gen. Plant Additions'!$C$7:$C$91,0),MATCH(Calculation!$G763,'Gen. Plant Additions'!$E$5:$AD$5,0))</f>
        <v>902</v>
      </c>
      <c r="BN763" s="393">
        <f t="shared" si="1372"/>
        <v>0.96671735902814926</v>
      </c>
      <c r="BO763" s="46">
        <f t="shared" si="1396"/>
        <v>871.97905784339059</v>
      </c>
      <c r="BP763" s="46">
        <f t="shared" si="1397"/>
        <v>-30.020942156609408</v>
      </c>
      <c r="BQ763" s="129">
        <f>INDEX('Dist Plant Depreciation'!$D$7:$AC$94,MATCH($C763,'Dist Plant Depreciation'!$C$7:$C$94,0),MATCH(Calculation!$G763,'Dist Plant Depreciation'!$D$5:$AC$5,0))</f>
        <v>89674</v>
      </c>
      <c r="BR763" s="129">
        <f>INDEX('Gen. Plant Depreciation'!$D$7:$AC$94,MATCH($C763,'Gen. Plant Depreciation'!$C$7:$C$94,0),MATCH(Calculation!$G763,'Gen. Plant Depreciation'!$D$5:$AC$5,0))</f>
        <v>2081</v>
      </c>
      <c r="BS763" s="129"/>
      <c r="BT763" s="129"/>
      <c r="BU763" s="129"/>
      <c r="BV763" s="129"/>
      <c r="BW763" s="129"/>
      <c r="BX763" s="129"/>
      <c r="BY763" s="129">
        <f>INDEX('Gross Dx Plant'!$D$7:$AC$91,MATCH($C763,'Gross Dx Plant'!$C$7:$C$91,0),MATCH(Calculation!$G763,'Gross Dx Plant'!$D$5:$AC$5,0))</f>
        <v>160826</v>
      </c>
      <c r="BZ763" s="129">
        <f>INDEX('Gross Gen Plant'!$D$7:$AC$91,MATCH($C763,'Gross Gen Plant'!$C$7:$C$91,0),MATCH(Calculation!$G763,'Gross Gen Plant'!$D$5:$AC$5,0))</f>
        <v>5537</v>
      </c>
      <c r="CA763" s="129">
        <f t="shared" si="1325"/>
        <v>74608</v>
      </c>
      <c r="CB763" s="129"/>
      <c r="CC763" s="133">
        <v>2008</v>
      </c>
      <c r="CD763" s="129"/>
      <c r="CE763" s="129"/>
      <c r="CF763" s="129"/>
      <c r="CG763" s="137"/>
      <c r="CH763" s="129">
        <f t="shared" si="1373"/>
        <v>5050</v>
      </c>
      <c r="CI763" s="46">
        <f t="shared" si="1382"/>
        <v>5019.9790578433904</v>
      </c>
      <c r="CJ763" s="46">
        <f t="shared" si="1374"/>
        <v>8.8088166945402993</v>
      </c>
      <c r="CK763" s="443">
        <v>0.89130434782608692</v>
      </c>
      <c r="CL763" s="46">
        <f>+CL753*CK763+CJ754*CK762+CJ755*CK761+CJ756*CK760+CJ757*CK759+CJ758*CK758+CJ759*CK757+CJ760*CK756+CJ761*CK755+CJ762*CK754+CJ763</f>
        <v>419.96458875342557</v>
      </c>
      <c r="CM763" s="134">
        <f t="shared" si="1375"/>
        <v>8.599697002085795E-3</v>
      </c>
      <c r="CN763" s="135">
        <f t="shared" si="1376"/>
        <v>1.2519518622017957E-2</v>
      </c>
      <c r="CO763" s="135">
        <f t="shared" si="1385"/>
        <v>1.2196526902980004E-2</v>
      </c>
      <c r="CP763" s="134">
        <f>VLOOKUP($H763,RoR!$E:$F,2,FALSE)</f>
        <v>5.6316666666666668E-2</v>
      </c>
      <c r="CQ763" s="135">
        <v>1.9092304698479889E-2</v>
      </c>
      <c r="CR763" s="135">
        <f t="shared" si="1383"/>
        <v>3.7224361968186778E-2</v>
      </c>
      <c r="CS763" s="135">
        <f t="shared" si="1386"/>
        <v>1.8705414705553619E-2</v>
      </c>
      <c r="CT763" s="135">
        <f t="shared" si="1387"/>
        <v>6.9030581091053131E-2</v>
      </c>
      <c r="CU763" s="139">
        <f t="shared" si="1377"/>
        <v>0.85150049999999999</v>
      </c>
      <c r="CV763" s="335">
        <f t="shared" si="1378"/>
        <v>0.91060168006009956</v>
      </c>
      <c r="CW763" s="335">
        <f t="shared" si="1379"/>
        <v>0.53108168097070152</v>
      </c>
      <c r="CX763" s="335">
        <f t="shared" si="1380"/>
        <v>0.88825329850328805</v>
      </c>
      <c r="CY763" s="335">
        <f t="shared" si="1381"/>
        <v>0.4295627335323573</v>
      </c>
      <c r="CZ763" s="336">
        <f>INDEX('State Tax Lookup'!$D$7:$Z$91,MATCH(Calculation!$C763,'State Tax Lookup'!$B$7:$B$91,0),MATCH($H763,'State Tax Lookup'!$D$6:$Z$6,0))</f>
        <v>0.40134999999999998</v>
      </c>
      <c r="DA763" s="303">
        <v>0.37</v>
      </c>
      <c r="DB763" s="57">
        <f t="shared" si="1384"/>
        <v>15.064061065849927</v>
      </c>
      <c r="DC763" s="56">
        <f t="shared" si="1388"/>
        <v>0.1186585535026977</v>
      </c>
      <c r="DD763" s="303">
        <f>VLOOKUP($H763,RoR!$E:$F,2,FALSE)</f>
        <v>5.6316666666666668E-2</v>
      </c>
      <c r="DE763" s="304">
        <f>HLOOKUP($H763,'GDP-PI'!$D$8:$CQ$11,3,FALSE)</f>
        <v>1.9092304698479889E-2</v>
      </c>
      <c r="DF763" s="303">
        <f>VLOOKUP(H763,'HW Dx Data'!$E:$F,2,FALSE)</f>
        <v>569.88120333515076</v>
      </c>
      <c r="DG763" s="89">
        <f ca="1">VLOOKUP(CC763,'ECI - Input Price'!M$13:N$33,2,FALSE)</f>
        <v>107.9</v>
      </c>
      <c r="DH763" s="89"/>
      <c r="DI763" s="89"/>
      <c r="DJ763" s="56">
        <f t="shared" ca="1" si="1398"/>
        <v>3.1778595021460486E-2</v>
      </c>
      <c r="DK763" s="53">
        <f>HLOOKUP(H763,'GDP-PI'!$8:$9,2,FALSE)</f>
        <v>94.263999999999996</v>
      </c>
      <c r="DL763" s="355">
        <f t="shared" si="1389"/>
        <v>1.8912333748032254E-2</v>
      </c>
      <c r="EC763"/>
    </row>
    <row r="764" spans="1:133" s="126" customFormat="1" ht="21" customHeight="1" x14ac:dyDescent="0.4">
      <c r="A764" s="233" t="s">
        <v>226</v>
      </c>
      <c r="B764" s="127" t="s">
        <v>227</v>
      </c>
      <c r="C764" s="127">
        <v>4061925</v>
      </c>
      <c r="D764" s="127" t="s">
        <v>214</v>
      </c>
      <c r="E764" s="127"/>
      <c r="F764" s="127"/>
      <c r="G764" s="127" t="s">
        <v>165</v>
      </c>
      <c r="H764" s="128">
        <v>2009</v>
      </c>
      <c r="I764" s="129"/>
      <c r="J764" s="125">
        <f>IFERROR(INDEX('Labor Expenditures'!$E$7:$W$91,MATCH($C764,'Labor Expenditures'!$C$7:$C$91,0),MATCH($G764,'Labor Expenditures'!$E$5:$W$5,0)),"NA")</f>
        <v>6074.3033029610115</v>
      </c>
      <c r="K764" s="125">
        <f t="shared" ca="1" si="1390"/>
        <v>54.760453486238553</v>
      </c>
      <c r="L764" s="47"/>
      <c r="M764" s="131">
        <f t="shared" ca="1" si="1399"/>
        <v>6.7292544335317964E-2</v>
      </c>
      <c r="N764" s="131"/>
      <c r="O764" s="131"/>
      <c r="P764" s="59">
        <f t="shared" ca="1" si="1401"/>
        <v>1.6612532181994541E-4</v>
      </c>
      <c r="Q764" s="61"/>
      <c r="R764" s="387"/>
      <c r="S764" s="49">
        <f t="shared" ca="1" si="1406"/>
        <v>117.5702317742459</v>
      </c>
      <c r="T764" s="61">
        <f ca="1">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</f>
        <v>6.5737196325065361E-2</v>
      </c>
      <c r="U764" s="61"/>
      <c r="V764" s="125">
        <f>IFERROR(INDEX('Non-Labor Expenditures'!$E$7:$AA$91,MATCH($C764,'Non-Labor Expenditures'!$C$7:$C$91,0),MATCH($G764,'Non-Labor Expenditures'!$E$5:$AA$5,0)),"NA")</f>
        <v>8796.7257060489574</v>
      </c>
      <c r="W764" s="125">
        <f t="shared" si="1391"/>
        <v>92.598087411961785</v>
      </c>
      <c r="X764" s="131">
        <f t="shared" si="1402"/>
        <v>8.7174960517892405E-2</v>
      </c>
      <c r="Y764" s="131">
        <f t="shared" si="1403"/>
        <v>2.1520910694819965E-4</v>
      </c>
      <c r="Z764" s="131"/>
      <c r="AA764" s="131"/>
      <c r="AB764" s="131"/>
      <c r="AC764" s="125">
        <f t="shared" si="1370"/>
        <v>6006.3598635828539</v>
      </c>
      <c r="AD764" s="129"/>
      <c r="AE764" s="133">
        <v>464.23505574479339</v>
      </c>
      <c r="AF764" s="134">
        <v>5.4876960947250801E-2</v>
      </c>
      <c r="AG764" s="59">
        <f t="shared" si="1392"/>
        <v>1.3547493095870231E-4</v>
      </c>
      <c r="AH764" s="134"/>
      <c r="AI764" s="134"/>
      <c r="AJ764" s="129">
        <f t="shared" si="1351"/>
        <v>20877.388872592823</v>
      </c>
      <c r="AK764" s="134">
        <f t="shared" si="1404"/>
        <v>5.3171817965476452E-2</v>
      </c>
      <c r="AL764" s="129"/>
      <c r="AM764" s="129"/>
      <c r="AN764" s="129"/>
      <c r="AO764" s="129"/>
      <c r="AP764" s="133">
        <f t="shared" si="1405"/>
        <v>198.73574618606983</v>
      </c>
      <c r="AQ764" s="134">
        <f>+BB765/Outputs!$B$17</f>
        <v>2.9863351946699613E-3</v>
      </c>
      <c r="AR764" s="93">
        <f t="shared" si="1393"/>
        <v>0.29095129376716095</v>
      </c>
      <c r="AS764" s="93">
        <f t="shared" si="1394"/>
        <v>0.42135181558058832</v>
      </c>
      <c r="AT764" s="93">
        <f t="shared" si="1395"/>
        <v>0.28769689065225074</v>
      </c>
      <c r="AU764" s="93">
        <f t="shared" ca="1" si="1400"/>
        <v>7.1745854844880608E-2</v>
      </c>
      <c r="AV764" s="132">
        <f t="shared" ca="1" si="1408"/>
        <v>110.78392901306923</v>
      </c>
      <c r="AW764" s="134">
        <f t="shared" ca="1" si="1409"/>
        <v>7.1745854844880649E-2</v>
      </c>
      <c r="AX764" s="56">
        <f>+AJ764/$AL$14</f>
        <v>2.4687032339295251E-3</v>
      </c>
      <c r="AY764" s="135">
        <f t="shared" ca="1" si="1407"/>
        <v>1.7711922387659516E-4</v>
      </c>
      <c r="AZ764" s="93"/>
      <c r="BA764" s="93"/>
      <c r="BB764" s="234">
        <v>106735</v>
      </c>
      <c r="BC764" s="411">
        <f t="shared" si="1371"/>
        <v>2.7526765075548749E-2</v>
      </c>
      <c r="BD764" s="92"/>
      <c r="BE764" s="281" t="str">
        <f t="shared" si="1297"/>
        <v>NORTHERN STATES POWER COMPANY - WI</v>
      </c>
      <c r="BF764" s="290">
        <f t="shared" si="1298"/>
        <v>4061925</v>
      </c>
      <c r="BG764" s="46" t="str">
        <f t="shared" si="1299"/>
        <v>WI</v>
      </c>
      <c r="BH764" s="46"/>
      <c r="BI764" s="46" t="str">
        <f t="shared" si="1300"/>
        <v>2009 Y</v>
      </c>
      <c r="BJ764" s="129"/>
      <c r="BK764" s="129"/>
      <c r="BL764" s="129">
        <f>INDEX('Dist. Plant Gas Additions'!$E$7:$AD$91,MATCH($C764,'Dist. Plant Gas Additions'!$C$7:$C$91,0),MATCH(Calculation!$G764,'Dist. Plant Gas Additions'!$E$5:$AD$5,0))</f>
        <v>9896</v>
      </c>
      <c r="BM764" s="129">
        <f>INDEX('Gen. Plant Additions'!$E$7:$AD$91,MATCH($C764,'Gen. Plant Additions'!$C$7:$C$91,0),MATCH(Calculation!$G764,'Gen. Plant Additions'!$E$5:$AD$5,0))</f>
        <v>5409</v>
      </c>
      <c r="BN764" s="393">
        <f t="shared" si="1372"/>
        <v>0.93963348705840821</v>
      </c>
      <c r="BO764" s="46">
        <f t="shared" si="1396"/>
        <v>5082.4775314989301</v>
      </c>
      <c r="BP764" s="46">
        <f t="shared" si="1397"/>
        <v>-326.52246850106985</v>
      </c>
      <c r="BQ764" s="129">
        <f>INDEX('Dist Plant Depreciation'!$D$7:$AC$94,MATCH($C764,'Dist Plant Depreciation'!$C$7:$C$94,0),MATCH(Calculation!$G764,'Dist Plant Depreciation'!$D$5:$AC$5,0))</f>
        <v>94963</v>
      </c>
      <c r="BR764" s="129">
        <f>INDEX('Gen. Plant Depreciation'!$D$7:$AC$94,MATCH($C764,'Gen. Plant Depreciation'!$C$7:$C$94,0),MATCH(Calculation!$G764,'Gen. Plant Depreciation'!$D$5:$AC$5,0))</f>
        <v>3212</v>
      </c>
      <c r="BS764" s="129"/>
      <c r="BT764" s="129"/>
      <c r="BU764" s="129"/>
      <c r="BV764" s="129"/>
      <c r="BW764" s="129"/>
      <c r="BX764" s="129"/>
      <c r="BY764" s="129">
        <f>INDEX('Gross Dx Plant'!$D$7:$AC$91,MATCH($C764,'Gross Dx Plant'!$C$7:$C$91,0),MATCH(Calculation!$G764,'Gross Dx Plant'!$D$5:$AC$5,0))</f>
        <v>170333</v>
      </c>
      <c r="BZ764" s="129">
        <f>INDEX('Gross Gen Plant'!$D$7:$AC$91,MATCH($C764,'Gross Gen Plant'!$C$7:$C$91,0),MATCH(Calculation!$G764,'Gross Gen Plant'!$D$5:$AC$5,0))</f>
        <v>10943</v>
      </c>
      <c r="CA764" s="129">
        <f t="shared" si="1325"/>
        <v>83101</v>
      </c>
      <c r="CB764" s="129"/>
      <c r="CC764" s="133">
        <v>2009</v>
      </c>
      <c r="CD764" s="129"/>
      <c r="CE764" s="129"/>
      <c r="CF764" s="129"/>
      <c r="CG764" s="137"/>
      <c r="CH764" s="129">
        <f t="shared" si="1373"/>
        <v>15305</v>
      </c>
      <c r="CI764" s="46">
        <f t="shared" si="1382"/>
        <v>14978.477531498931</v>
      </c>
      <c r="CJ764" s="46">
        <f t="shared" si="1374"/>
        <v>27.18709881082863</v>
      </c>
      <c r="CK764" s="443">
        <v>0.87912087912087911</v>
      </c>
      <c r="CL764" s="46">
        <f>+CL753*CK764+CJ754*CK763+CJ755*CK762+CJ756*CK761+CJ757*CK760+CJ758*CK759+CJ759*CK758+CJ760*CK757+CJ761*CK756+CJ762*CK755+CJ763*CK754+CJ764</f>
        <v>441.7389394179271</v>
      </c>
      <c r="CM764" s="134">
        <f t="shared" si="1375"/>
        <v>5.0548677552110677E-2</v>
      </c>
      <c r="CN764" s="135">
        <f t="shared" si="1376"/>
        <v>1.2888582254979356E-2</v>
      </c>
      <c r="CO764" s="135">
        <f t="shared" si="1385"/>
        <v>1.253548275094314E-2</v>
      </c>
      <c r="CP764" s="134">
        <f>VLOOKUP($H764,RoR!$E:$F,2,FALSE)</f>
        <v>5.3133333333333324E-2</v>
      </c>
      <c r="CQ764" s="135">
        <v>7.7972502758210105E-3</v>
      </c>
      <c r="CR764" s="135">
        <f t="shared" si="1383"/>
        <v>4.5336083057512314E-2</v>
      </c>
      <c r="CS764" s="135">
        <f t="shared" si="1386"/>
        <v>1.8366458857590487E-2</v>
      </c>
      <c r="CT764" s="135">
        <f t="shared" si="1387"/>
        <v>6.3720160300892073E-2</v>
      </c>
      <c r="CU764" s="139">
        <f t="shared" si="1377"/>
        <v>0.85150049999999999</v>
      </c>
      <c r="CV764" s="335">
        <f t="shared" si="1378"/>
        <v>0.96515780330083989</v>
      </c>
      <c r="CW764" s="335">
        <f t="shared" si="1379"/>
        <v>0.50448557089084056</v>
      </c>
      <c r="CX764" s="335">
        <f t="shared" si="1380"/>
        <v>0.87391435735465484</v>
      </c>
      <c r="CY764" s="335">
        <f t="shared" si="1381"/>
        <v>0.42551605393279146</v>
      </c>
      <c r="CZ764" s="336">
        <f>INDEX('State Tax Lookup'!$D$7:$Z$91,MATCH(Calculation!$C764,'State Tax Lookup'!$B$7:$B$91,0),MATCH($H764,'State Tax Lookup'!$D$6:$Z$6,0))</f>
        <v>0.40134999999999998</v>
      </c>
      <c r="DA764" s="303">
        <v>0.37</v>
      </c>
      <c r="DB764" s="57">
        <f t="shared" si="1384"/>
        <v>14.302062660595835</v>
      </c>
      <c r="DC764" s="56">
        <f t="shared" si="1388"/>
        <v>-5.1908076243557921E-2</v>
      </c>
      <c r="DD764" s="303">
        <f>VLOOKUP($H764,RoR!$E:$F,2,FALSE)</f>
        <v>5.3133333333333324E-2</v>
      </c>
      <c r="DE764" s="304">
        <f>HLOOKUP($H764,'GDP-PI'!$D$8:$CQ$11,3,FALSE)</f>
        <v>7.7972502758210105E-3</v>
      </c>
      <c r="DF764" s="303">
        <f>VLOOKUP(H764,'HW Dx Data'!$E:$F,2,FALSE)</f>
        <v>550.94063679692806</v>
      </c>
      <c r="DG764" s="89">
        <f ca="1">VLOOKUP(CC764,'ECI - Input Price'!M$13:N$33,2,FALSE)</f>
        <v>110.925</v>
      </c>
      <c r="DH764" s="89"/>
      <c r="DI764" s="89"/>
      <c r="DJ764" s="56">
        <f t="shared" ca="1" si="1398"/>
        <v>2.7649425000884052E-2</v>
      </c>
      <c r="DK764" s="53">
        <f>HLOOKUP(H764,'GDP-PI'!$8:$9,2,FALSE)</f>
        <v>94.998999999999995</v>
      </c>
      <c r="DL764" s="355">
        <f t="shared" si="1389"/>
        <v>7.7670088183096342E-3</v>
      </c>
      <c r="EC764"/>
    </row>
    <row r="765" spans="1:133" s="126" customFormat="1" ht="21" customHeight="1" x14ac:dyDescent="0.4">
      <c r="A765" s="233" t="s">
        <v>226</v>
      </c>
      <c r="B765" s="127" t="s">
        <v>227</v>
      </c>
      <c r="C765" s="127">
        <v>4061925</v>
      </c>
      <c r="D765" s="127" t="s">
        <v>214</v>
      </c>
      <c r="E765" s="127"/>
      <c r="F765" s="127"/>
      <c r="G765" s="127" t="s">
        <v>166</v>
      </c>
      <c r="H765" s="128">
        <v>2010</v>
      </c>
      <c r="I765" s="129"/>
      <c r="J765" s="125">
        <f>IFERROR(INDEX('Labor Expenditures'!$E$7:$W$91,MATCH($C765,'Labor Expenditures'!$C$7:$C$91,0),MATCH($G765,'Labor Expenditures'!$E$5:$W$5,0)),"NA")</f>
        <v>6506.5934302235391</v>
      </c>
      <c r="K765" s="125">
        <f t="shared" ca="1" si="1390"/>
        <v>55.647581186431808</v>
      </c>
      <c r="L765" s="47"/>
      <c r="M765" s="131">
        <f t="shared" ca="1" si="1399"/>
        <v>1.6070330295732061E-2</v>
      </c>
      <c r="N765" s="131"/>
      <c r="O765" s="131"/>
      <c r="P765" s="59">
        <f t="shared" ca="1" si="1401"/>
        <v>4.1208895432712565E-5</v>
      </c>
      <c r="Q765" s="61"/>
      <c r="R765" s="387"/>
      <c r="S765" s="49">
        <f t="shared" ca="1" si="1406"/>
        <v>96.502859577359715</v>
      </c>
      <c r="T765" s="61">
        <f ca="1">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</f>
        <v>-0.19746323141814442</v>
      </c>
      <c r="U765" s="61"/>
      <c r="V765" s="125">
        <f>IFERROR(INDEX('Non-Labor Expenditures'!$E$7:$AA$91,MATCH($C765,'Non-Labor Expenditures'!$C$7:$C$91,0),MATCH($G765,'Non-Labor Expenditures'!$E$5:$AA$5,0)),"NA")</f>
        <v>9422.7625509835452</v>
      </c>
      <c r="W765" s="125">
        <f t="shared" si="1391"/>
        <v>98.042457532421992</v>
      </c>
      <c r="X765" s="131">
        <f t="shared" si="1402"/>
        <v>5.7132137835558469E-2</v>
      </c>
      <c r="Y765" s="131">
        <f t="shared" si="1403"/>
        <v>1.4650304322233603E-4</v>
      </c>
      <c r="Z765" s="131"/>
      <c r="AA765" s="131"/>
      <c r="AB765" s="131"/>
      <c r="AC765" s="125">
        <f t="shared" si="1370"/>
        <v>6424.915198976596</v>
      </c>
      <c r="AD765" s="129"/>
      <c r="AE765" s="133">
        <v>481.27687686980846</v>
      </c>
      <c r="AF765" s="134">
        <v>3.605172247176848E-2</v>
      </c>
      <c r="AG765" s="59">
        <f t="shared" si="1392"/>
        <v>9.2446865382899985E-5</v>
      </c>
      <c r="AH765" s="134"/>
      <c r="AI765" s="134"/>
      <c r="AJ765" s="129">
        <f t="shared" si="1351"/>
        <v>22354.271180183681</v>
      </c>
      <c r="AK765" s="134">
        <f t="shared" si="1404"/>
        <v>6.8350705860324129E-2</v>
      </c>
      <c r="AL765" s="129"/>
      <c r="AM765" s="129"/>
      <c r="AN765" s="129"/>
      <c r="AO765" s="129"/>
      <c r="AP765" s="133">
        <f t="shared" si="1405"/>
        <v>210.6905860526266</v>
      </c>
      <c r="AQ765" s="134">
        <f>+BB766/Outputs!$B$18</f>
        <v>2.9996529901903713E-3</v>
      </c>
      <c r="AR765" s="93">
        <f t="shared" si="1393"/>
        <v>0.29106712438880217</v>
      </c>
      <c r="AS765" s="93">
        <f t="shared" si="1394"/>
        <v>0.42151955995490076</v>
      </c>
      <c r="AT765" s="93">
        <f t="shared" si="1395"/>
        <v>0.28741331565629702</v>
      </c>
      <c r="AU765" s="93">
        <f t="shared" ca="1" si="1400"/>
        <v>3.9120992685611714E-2</v>
      </c>
      <c r="AV765" s="132">
        <f t="shared" ca="1" si="1408"/>
        <v>115.20379742421333</v>
      </c>
      <c r="AW765" s="134">
        <f t="shared" ca="1" si="1409"/>
        <v>3.9120992685611804E-2</v>
      </c>
      <c r="AX765" s="56">
        <f>+AJ765/$AL$15</f>
        <v>2.5642842850377989E-3</v>
      </c>
      <c r="AY765" s="135">
        <f t="shared" ca="1" si="1407"/>
        <v>1.0031734675879302E-4</v>
      </c>
      <c r="AZ765" s="93"/>
      <c r="BA765" s="93"/>
      <c r="BB765" s="234">
        <v>105051</v>
      </c>
      <c r="BC765" s="411">
        <f t="shared" si="1371"/>
        <v>-1.5903180490826351E-2</v>
      </c>
      <c r="BD765" s="92"/>
      <c r="BE765" s="281" t="str">
        <f t="shared" si="1297"/>
        <v>NORTHERN STATES POWER COMPANY - WI</v>
      </c>
      <c r="BF765" s="290">
        <f t="shared" si="1298"/>
        <v>4061925</v>
      </c>
      <c r="BG765" s="46" t="str">
        <f t="shared" si="1299"/>
        <v>WI</v>
      </c>
      <c r="BH765" s="46"/>
      <c r="BI765" s="46" t="str">
        <f t="shared" si="1300"/>
        <v>2010 Y</v>
      </c>
      <c r="BJ765" s="129"/>
      <c r="BK765" s="129"/>
      <c r="BL765" s="129">
        <f>INDEX('Dist. Plant Gas Additions'!$E$7:$AD$91,MATCH($C765,'Dist. Plant Gas Additions'!$C$7:$C$91,0),MATCH(Calculation!$G765,'Dist. Plant Gas Additions'!$E$5:$AD$5,0))</f>
        <v>9607</v>
      </c>
      <c r="BM765" s="129">
        <f>INDEX('Gen. Plant Additions'!$E$7:$AD$91,MATCH($C765,'Gen. Plant Additions'!$C$7:$C$91,0),MATCH(Calculation!$G765,'Gen. Plant Additions'!$E$5:$AD$5,0))</f>
        <v>1929</v>
      </c>
      <c r="BN765" s="393">
        <f t="shared" si="1372"/>
        <v>0.93328219268965229</v>
      </c>
      <c r="BO765" s="46">
        <f t="shared" si="1396"/>
        <v>1800.3013496983392</v>
      </c>
      <c r="BP765" s="46">
        <f t="shared" si="1397"/>
        <v>-128.69865030166079</v>
      </c>
      <c r="BQ765" s="129">
        <f>INDEX('Dist Plant Depreciation'!$D$7:$AC$94,MATCH($C765,'Dist Plant Depreciation'!$C$7:$C$94,0),MATCH(Calculation!$G765,'Dist Plant Depreciation'!$D$5:$AC$5,0))</f>
        <v>102130</v>
      </c>
      <c r="BR765" s="129">
        <f>INDEX('Gen. Plant Depreciation'!$D$7:$AC$94,MATCH($C765,'Gen. Plant Depreciation'!$C$7:$C$94,0),MATCH(Calculation!$G765,'Gen. Plant Depreciation'!$D$5:$AC$5,0))</f>
        <v>3450</v>
      </c>
      <c r="BS765" s="129"/>
      <c r="BT765" s="129"/>
      <c r="BU765" s="129"/>
      <c r="BV765" s="129"/>
      <c r="BW765" s="129"/>
      <c r="BX765" s="129"/>
      <c r="BY765" s="129">
        <f>INDEX('Gross Dx Plant'!$D$7:$AC$91,MATCH($C765,'Gross Dx Plant'!$C$7:$C$91,0),MATCH(Calculation!$G765,'Gross Dx Plant'!$D$5:$AC$5,0))</f>
        <v>180060</v>
      </c>
      <c r="BZ765" s="129">
        <f>INDEX('Gross Gen Plant'!$D$7:$AC$91,MATCH($C765,'Gross Gen Plant'!$C$7:$C$91,0),MATCH(Calculation!$G765,'Gross Gen Plant'!$D$5:$AC$5,0))</f>
        <v>12872</v>
      </c>
      <c r="CA765" s="129">
        <f t="shared" si="1325"/>
        <v>87352</v>
      </c>
      <c r="CB765" s="129"/>
      <c r="CC765" s="133">
        <v>2010</v>
      </c>
      <c r="CD765" s="129"/>
      <c r="CE765" s="129"/>
      <c r="CF765" s="129"/>
      <c r="CG765" s="137"/>
      <c r="CH765" s="129">
        <f t="shared" si="1373"/>
        <v>11536</v>
      </c>
      <c r="CI765" s="46">
        <f t="shared" si="1382"/>
        <v>11407.301349698339</v>
      </c>
      <c r="CJ765" s="46">
        <f t="shared" si="1374"/>
        <v>20.048351150551706</v>
      </c>
      <c r="CK765" s="443">
        <v>0.8666666666666667</v>
      </c>
      <c r="CL765" s="46">
        <f>+CL753*CK765+CJ754*CK764+CJ755*CK763+CJ756*CK762+CJ757*CK761+CJ758*CK760+CJ759*CK759+CJ760*CK758+CJ761*CK757+CJ762*CK756+CJ763*CK755+CJ764*CK754+CJ765</f>
        <v>455.98711588720909</v>
      </c>
      <c r="CM765" s="134">
        <f t="shared" si="1375"/>
        <v>3.1745481698720268E-2</v>
      </c>
      <c r="CN765" s="135">
        <f t="shared" si="1376"/>
        <v>1.3130322377539378E-2</v>
      </c>
      <c r="CO765" s="135">
        <f t="shared" si="1385"/>
        <v>1.2846141084845565E-2</v>
      </c>
      <c r="CP765" s="134">
        <f>VLOOKUP($H765,RoR!$E:$F,2,FALSE)</f>
        <v>4.9433333333333322E-2</v>
      </c>
      <c r="CQ765" s="135">
        <v>1.1684333519300205E-2</v>
      </c>
      <c r="CR765" s="135">
        <f t="shared" si="1383"/>
        <v>3.7748999814033117E-2</v>
      </c>
      <c r="CS765" s="135">
        <f t="shared" si="1386"/>
        <v>1.8055800523688062E-2</v>
      </c>
      <c r="CT765" s="135">
        <f t="shared" si="1387"/>
        <v>4.7937530248493419E-2</v>
      </c>
      <c r="CU765" s="139">
        <f t="shared" si="1377"/>
        <v>0.85150049999999999</v>
      </c>
      <c r="CV765" s="335">
        <f t="shared" si="1378"/>
        <v>1.037398205301105</v>
      </c>
      <c r="CW765" s="335">
        <f t="shared" si="1379"/>
        <v>0.46926837491571133</v>
      </c>
      <c r="CX765" s="335">
        <f t="shared" si="1380"/>
        <v>0.8548537519972772</v>
      </c>
      <c r="CY765" s="335">
        <f t="shared" si="1381"/>
        <v>0.41615833911547367</v>
      </c>
      <c r="CZ765" s="336">
        <f>INDEX('State Tax Lookup'!$D$7:$Z$91,MATCH(Calculation!$C765,'State Tax Lookup'!$B$7:$B$91,0),MATCH($H765,'State Tax Lookup'!$D$6:$Z$6,0))</f>
        <v>0.40134999999999998</v>
      </c>
      <c r="DA765" s="303">
        <v>0.37</v>
      </c>
      <c r="DB765" s="57">
        <f t="shared" si="1384"/>
        <v>14.544597783121887</v>
      </c>
      <c r="DC765" s="56">
        <f t="shared" si="1388"/>
        <v>1.6815869426577538E-2</v>
      </c>
      <c r="DD765" s="303">
        <f>VLOOKUP($H765,RoR!$E:$F,2,FALSE)</f>
        <v>4.9433333333333322E-2</v>
      </c>
      <c r="DE765" s="304">
        <f>HLOOKUP($H765,'GDP-PI'!$D$8:$CQ$11,3,FALSE)</f>
        <v>1.1684333519300205E-2</v>
      </c>
      <c r="DF765" s="303">
        <f>VLOOKUP(H765,'HW Dx Data'!$E:$F,2,FALSE)</f>
        <v>568.98950262971744</v>
      </c>
      <c r="DG765" s="89">
        <f ca="1">VLOOKUP(CC765,'ECI - Input Price'!M$13:N$33,2,FALSE)</f>
        <v>116.925</v>
      </c>
      <c r="DH765" s="89"/>
      <c r="DI765" s="89"/>
      <c r="DJ765" s="56">
        <f t="shared" ca="1" si="1398"/>
        <v>5.2678406346976722E-2</v>
      </c>
      <c r="DK765" s="53">
        <f>HLOOKUP(H765,'GDP-PI'!$8:$9,2,FALSE)</f>
        <v>96.108999999999995</v>
      </c>
      <c r="DL765" s="355">
        <f t="shared" si="1389"/>
        <v>1.1616598807150427E-2</v>
      </c>
      <c r="EC765"/>
    </row>
    <row r="766" spans="1:133" s="126" customFormat="1" ht="21" customHeight="1" x14ac:dyDescent="0.4">
      <c r="A766" s="233" t="s">
        <v>226</v>
      </c>
      <c r="B766" s="127" t="s">
        <v>227</v>
      </c>
      <c r="C766" s="127">
        <v>4061925</v>
      </c>
      <c r="D766" s="127" t="s">
        <v>214</v>
      </c>
      <c r="E766" s="127"/>
      <c r="F766" s="127"/>
      <c r="G766" s="127" t="s">
        <v>167</v>
      </c>
      <c r="H766" s="128">
        <v>2011</v>
      </c>
      <c r="I766" s="129"/>
      <c r="J766" s="125">
        <f>IFERROR(INDEX('Labor Expenditures'!$E$7:$W$91,MATCH($C766,'Labor Expenditures'!$C$7:$C$91,0),MATCH($G766,'Labor Expenditures'!$E$5:$W$5,0)),"NA")</f>
        <v>6862.3872328165926</v>
      </c>
      <c r="K766" s="125">
        <f t="shared" ca="1" si="1390"/>
        <v>56.7725934462593</v>
      </c>
      <c r="L766" s="47"/>
      <c r="M766" s="131">
        <f t="shared" ca="1" si="1399"/>
        <v>2.0015087510073366E-2</v>
      </c>
      <c r="N766" s="131"/>
      <c r="O766" s="131"/>
      <c r="P766" s="59">
        <f t="shared" ca="1" si="1401"/>
        <v>5.2561290094630799E-5</v>
      </c>
      <c r="Q766" s="61"/>
      <c r="R766" s="387"/>
      <c r="S766" s="49">
        <f t="shared" ca="1" si="1406"/>
        <v>115.7059139785712</v>
      </c>
      <c r="T766" s="61">
        <f ca="1">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</f>
        <v>0.18147910682866777</v>
      </c>
      <c r="U766" s="61"/>
      <c r="V766" s="125">
        <f>IFERROR(INDEX('Non-Labor Expenditures'!$E$7:$AA$91,MATCH($C766,'Non-Labor Expenditures'!$C$7:$C$91,0),MATCH($G766,'Non-Labor Expenditures'!$E$5:$AA$5,0)),"NA")</f>
        <v>9938.018430254102</v>
      </c>
      <c r="W766" s="125">
        <f t="shared" si="1391"/>
        <v>101.29258837098523</v>
      </c>
      <c r="X766" s="131">
        <f t="shared" si="1402"/>
        <v>3.2612618458732583E-2</v>
      </c>
      <c r="Y766" s="131">
        <f t="shared" si="1403"/>
        <v>8.564345765124617E-5</v>
      </c>
      <c r="Z766" s="131"/>
      <c r="AA766" s="131"/>
      <c r="AB766" s="131"/>
      <c r="AC766" s="125">
        <f t="shared" si="1370"/>
        <v>7025.2137325675376</v>
      </c>
      <c r="AD766" s="129"/>
      <c r="AE766" s="133">
        <v>502.15368137106663</v>
      </c>
      <c r="AF766" s="134">
        <v>4.2463478946660339E-2</v>
      </c>
      <c r="AG766" s="59">
        <f t="shared" si="1392"/>
        <v>1.1151263936364774E-4</v>
      </c>
      <c r="AH766" s="134"/>
      <c r="AI766" s="134"/>
      <c r="AJ766" s="129">
        <f t="shared" si="1351"/>
        <v>23825.619395638234</v>
      </c>
      <c r="AK766" s="134">
        <f t="shared" si="1404"/>
        <v>6.3744039860357093E-2</v>
      </c>
      <c r="AL766" s="129"/>
      <c r="AM766" s="129"/>
      <c r="AN766" s="129"/>
      <c r="AO766" s="129"/>
      <c r="AP766" s="133">
        <f t="shared" si="1405"/>
        <v>221.95576274070498</v>
      </c>
      <c r="AQ766" s="134">
        <f>+BB767/Outputs!$B$19</f>
        <v>3.0201802930366057E-3</v>
      </c>
      <c r="AR766" s="93">
        <f t="shared" si="1393"/>
        <v>0.28802555429358084</v>
      </c>
      <c r="AS766" s="93">
        <f t="shared" si="1394"/>
        <v>0.41711479837008808</v>
      </c>
      <c r="AT766" s="93">
        <f t="shared" si="1395"/>
        <v>0.29485964733633102</v>
      </c>
      <c r="AU766" s="93">
        <f t="shared" ca="1" si="1400"/>
        <v>3.1832994349977287E-2</v>
      </c>
      <c r="AV766" s="132">
        <f t="shared" ca="1" si="1408"/>
        <v>118.93007386520689</v>
      </c>
      <c r="AW766" s="134">
        <f t="shared" ca="1" si="1409"/>
        <v>3.183299434997721E-2</v>
      </c>
      <c r="AX766" s="56">
        <f>+AJ766/$AL$16</f>
        <v>2.626083451704985E-3</v>
      </c>
      <c r="AY766" s="135">
        <f t="shared" ca="1" si="1407"/>
        <v>8.3596099680693445E-5</v>
      </c>
      <c r="AZ766" s="93"/>
      <c r="BA766" s="93"/>
      <c r="BB766" s="234">
        <v>106100</v>
      </c>
      <c r="BC766" s="411">
        <f t="shared" si="1371"/>
        <v>9.9360990977009882E-3</v>
      </c>
      <c r="BD766" s="92"/>
      <c r="BE766" s="281" t="str">
        <f t="shared" si="1297"/>
        <v>NORTHERN STATES POWER COMPANY - WI</v>
      </c>
      <c r="BF766" s="290">
        <f t="shared" si="1298"/>
        <v>4061925</v>
      </c>
      <c r="BG766" s="46" t="str">
        <f t="shared" si="1299"/>
        <v>WI</v>
      </c>
      <c r="BH766" s="46"/>
      <c r="BI766" s="46" t="str">
        <f t="shared" si="1300"/>
        <v>2011 Y</v>
      </c>
      <c r="BJ766" s="129"/>
      <c r="BK766" s="129"/>
      <c r="BL766" s="129">
        <f>INDEX('Dist. Plant Gas Additions'!$E$7:$AD$91,MATCH($C766,'Dist. Plant Gas Additions'!$C$7:$C$91,0),MATCH(Calculation!$G766,'Dist. Plant Gas Additions'!$E$5:$AD$5,0))</f>
        <v>13190</v>
      </c>
      <c r="BM766" s="129">
        <f>INDEX('Gen. Plant Additions'!$E$7:$AD$91,MATCH($C766,'Gen. Plant Additions'!$C$7:$C$91,0),MATCH(Calculation!$G766,'Gen. Plant Additions'!$E$5:$AD$5,0))</f>
        <v>1687</v>
      </c>
      <c r="BN766" s="393">
        <f t="shared" si="1372"/>
        <v>0.93211331548964471</v>
      </c>
      <c r="BO766" s="46">
        <f t="shared" si="1396"/>
        <v>1572.4751632310306</v>
      </c>
      <c r="BP766" s="46">
        <f t="shared" si="1397"/>
        <v>-114.52483676896941</v>
      </c>
      <c r="BQ766" s="129">
        <f>INDEX('Dist Plant Depreciation'!$D$7:$AC$94,MATCH($C766,'Dist Plant Depreciation'!$C$7:$C$94,0),MATCH(Calculation!$G766,'Dist Plant Depreciation'!$D$5:$AC$5,0))</f>
        <v>108108</v>
      </c>
      <c r="BR766" s="129">
        <f>INDEX('Gen. Plant Depreciation'!$D$7:$AC$94,MATCH($C766,'Gen. Plant Depreciation'!$C$7:$C$94,0),MATCH(Calculation!$G766,'Gen. Plant Depreciation'!$D$5:$AC$5,0))</f>
        <v>4215</v>
      </c>
      <c r="BS766" s="129"/>
      <c r="BT766" s="129"/>
      <c r="BU766" s="129"/>
      <c r="BV766" s="129"/>
      <c r="BW766" s="129"/>
      <c r="BX766" s="129"/>
      <c r="BY766" s="129">
        <f>INDEX('Gross Dx Plant'!$D$7:$AC$91,MATCH($C766,'Gross Dx Plant'!$C$7:$C$91,0),MATCH(Calculation!$G766,'Gross Dx Plant'!$D$5:$AC$5,0))</f>
        <v>192583</v>
      </c>
      <c r="BZ766" s="129">
        <f>INDEX('Gross Gen Plant'!$D$7:$AC$91,MATCH($C766,'Gross Gen Plant'!$C$7:$C$91,0),MATCH(Calculation!$G766,'Gross Gen Plant'!$D$5:$AC$5,0))</f>
        <v>14026</v>
      </c>
      <c r="CA766" s="129">
        <f t="shared" si="1325"/>
        <v>94286</v>
      </c>
      <c r="CB766" s="129"/>
      <c r="CC766" s="133">
        <v>2011</v>
      </c>
      <c r="CD766" s="129"/>
      <c r="CE766" s="129"/>
      <c r="CF766" s="129"/>
      <c r="CG766" s="137"/>
      <c r="CH766" s="129">
        <f t="shared" si="1373"/>
        <v>14877</v>
      </c>
      <c r="CI766" s="46">
        <f t="shared" si="1382"/>
        <v>14762.475163231031</v>
      </c>
      <c r="CJ766" s="46">
        <f t="shared" si="1374"/>
        <v>24.137029653017006</v>
      </c>
      <c r="CK766" s="443">
        <v>0.8539325842696629</v>
      </c>
      <c r="CL766" s="46">
        <f>+CL753*CK766+CJ754*CK765+CJ755*CK764+CJ756*CK763+CJ757*CK762+CJ758*CK761+CJ759*CK760+CJ760*CK759+CJ761*CK758+CJ762*CK757+CJ763*CK756+CJ764*CK755+CJ765*CK754+CJ766</f>
        <v>473.99792031728964</v>
      </c>
      <c r="CM766" s="134">
        <f t="shared" si="1375"/>
        <v>3.8738379687281811E-2</v>
      </c>
      <c r="CN766" s="135">
        <f t="shared" si="1376"/>
        <v>1.3435084039637222E-2</v>
      </c>
      <c r="CO766" s="135">
        <f t="shared" si="1385"/>
        <v>1.3151329557385317E-2</v>
      </c>
      <c r="CP766" s="134">
        <f>VLOOKUP($H766,RoR!$E:$F,2,FALSE)</f>
        <v>4.6391666666666664E-2</v>
      </c>
      <c r="CQ766" s="135">
        <v>2.0840920205183799E-2</v>
      </c>
      <c r="CR766" s="135">
        <f t="shared" si="1383"/>
        <v>2.5550746461482865E-2</v>
      </c>
      <c r="CS766" s="135">
        <f t="shared" si="1386"/>
        <v>1.7750612051148307E-2</v>
      </c>
      <c r="CT766" s="135">
        <f t="shared" si="1387"/>
        <v>2.4810540821321614E-2</v>
      </c>
      <c r="CU766" s="139">
        <f t="shared" si="1377"/>
        <v>0.85150049999999999</v>
      </c>
      <c r="CV766" s="335">
        <f t="shared" si="1378"/>
        <v>1.1054151524782025</v>
      </c>
      <c r="CW766" s="335">
        <f t="shared" si="1379"/>
        <v>0.43611011316687626</v>
      </c>
      <c r="CX766" s="335">
        <f t="shared" si="1380"/>
        <v>0.83698442246886229</v>
      </c>
      <c r="CY766" s="335">
        <f t="shared" si="1381"/>
        <v>0.40349573304423936</v>
      </c>
      <c r="CZ766" s="336">
        <f>INDEX('State Tax Lookup'!$D$7:$Z$91,MATCH(Calculation!$C766,'State Tax Lookup'!$B$7:$B$91,0),MATCH($H766,'State Tax Lookup'!$D$6:$Z$6,0))</f>
        <v>0.40134999999999998</v>
      </c>
      <c r="DA766" s="303">
        <v>0.37</v>
      </c>
      <c r="DB766" s="57">
        <f t="shared" si="1384"/>
        <v>15.406605774153634</v>
      </c>
      <c r="DC766" s="56">
        <f t="shared" si="1388"/>
        <v>5.7576725531728941E-2</v>
      </c>
      <c r="DD766" s="303">
        <f>VLOOKUP($H766,RoR!$E:$F,2,FALSE)</f>
        <v>4.6391666666666664E-2</v>
      </c>
      <c r="DE766" s="304">
        <f>HLOOKUP($H766,'GDP-PI'!$D$8:$CQ$11,3,FALSE)</f>
        <v>2.0840920205183799E-2</v>
      </c>
      <c r="DF766" s="303">
        <f>VLOOKUP(H766,'HW Dx Data'!$E:$F,2,FALSE)</f>
        <v>611.61109612283201</v>
      </c>
      <c r="DG766" s="89">
        <f ca="1">VLOOKUP(CC766,'ECI - Input Price'!M$13:N$33,2,FALSE)</f>
        <v>120.875</v>
      </c>
      <c r="DH766" s="89"/>
      <c r="DI766" s="89"/>
      <c r="DJ766" s="56">
        <f t="shared" ca="1" si="1398"/>
        <v>3.3224250161508609E-2</v>
      </c>
      <c r="DK766" s="53">
        <f>HLOOKUP(H766,'GDP-PI'!$8:$9,2,FALSE)</f>
        <v>98.111999999999995</v>
      </c>
      <c r="DL766" s="355">
        <f t="shared" si="1389"/>
        <v>2.0626719212849295E-2</v>
      </c>
      <c r="EC766"/>
    </row>
    <row r="767" spans="1:133" s="126" customFormat="1" ht="21" customHeight="1" x14ac:dyDescent="0.4">
      <c r="A767" s="233" t="s">
        <v>226</v>
      </c>
      <c r="B767" s="127" t="s">
        <v>227</v>
      </c>
      <c r="C767" s="127">
        <v>4061925</v>
      </c>
      <c r="D767" s="127" t="s">
        <v>214</v>
      </c>
      <c r="E767" s="127"/>
      <c r="F767" s="127"/>
      <c r="G767" s="127" t="s">
        <v>168</v>
      </c>
      <c r="H767" s="128">
        <v>2012</v>
      </c>
      <c r="I767" s="129"/>
      <c r="J767" s="125">
        <f>IFERROR(INDEX('Labor Expenditures'!$E$7:$W$91,MATCH($C767,'Labor Expenditures'!$C$7:$C$91,0),MATCH($G767,'Labor Expenditures'!$E$5:$W$5,0)),"NA")</f>
        <v>7214.0322747699292</v>
      </c>
      <c r="K767" s="125">
        <f t="shared" ca="1" si="1390"/>
        <v>57.804745791425709</v>
      </c>
      <c r="L767" s="47"/>
      <c r="M767" s="131">
        <f t="shared" ca="1" si="1399"/>
        <v>1.8017179892956779E-2</v>
      </c>
      <c r="N767" s="131"/>
      <c r="O767" s="131"/>
      <c r="P767" s="59">
        <f t="shared" ca="1" si="1401"/>
        <v>4.8931302075696775E-5</v>
      </c>
      <c r="Q767" s="61"/>
      <c r="R767" s="387"/>
      <c r="S767" s="49">
        <f t="shared" ca="1" si="1406"/>
        <v>115.77964167833306</v>
      </c>
      <c r="T767" s="61">
        <f ca="1">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</f>
        <v>6.3699613607127005E-4</v>
      </c>
      <c r="U767" s="61"/>
      <c r="V767" s="125">
        <f>IFERROR(INDEX('Non-Labor Expenditures'!$E$7:$AA$91,MATCH($C767,'Non-Labor Expenditures'!$C$7:$C$91,0),MATCH($G767,'Non-Labor Expenditures'!$E$5:$AA$5,0)),"NA")</f>
        <v>10447.266129236748</v>
      </c>
      <c r="W767" s="125">
        <f t="shared" si="1391"/>
        <v>104.47266129236749</v>
      </c>
      <c r="X767" s="131">
        <f t="shared" si="1402"/>
        <v>3.0912179316083421E-2</v>
      </c>
      <c r="Y767" s="131">
        <f t="shared" si="1403"/>
        <v>8.3951716801399876E-5</v>
      </c>
      <c r="Z767" s="131"/>
      <c r="AA767" s="131"/>
      <c r="AB767" s="131"/>
      <c r="AC767" s="125">
        <f t="shared" si="1370"/>
        <v>7835.7381201834014</v>
      </c>
      <c r="AD767" s="129"/>
      <c r="AE767" s="133">
        <v>515.55833012237588</v>
      </c>
      <c r="AF767" s="134">
        <v>2.6344238542113475E-2</v>
      </c>
      <c r="AG767" s="59">
        <f t="shared" si="1392"/>
        <v>7.1546041151661176E-5</v>
      </c>
      <c r="AH767" s="134"/>
      <c r="AI767" s="134"/>
      <c r="AJ767" s="129">
        <f t="shared" si="1351"/>
        <v>25497.03652419008</v>
      </c>
      <c r="AK767" s="134">
        <f t="shared" si="1404"/>
        <v>6.7800783752660701E-2</v>
      </c>
      <c r="AL767" s="129"/>
      <c r="AM767" s="129"/>
      <c r="AN767" s="129"/>
      <c r="AO767" s="129"/>
      <c r="AP767" s="133">
        <f t="shared" si="1405"/>
        <v>233.52570019316266</v>
      </c>
      <c r="AQ767" s="134">
        <f>+BB768/Outputs!$B$20</f>
        <v>3.0571999041592206E-3</v>
      </c>
      <c r="AR767" s="93">
        <f t="shared" si="1393"/>
        <v>0.28293610780710465</v>
      </c>
      <c r="AS767" s="93">
        <f t="shared" si="1394"/>
        <v>0.40974432928018911</v>
      </c>
      <c r="AT767" s="93">
        <f t="shared" si="1395"/>
        <v>0.30731956291270623</v>
      </c>
      <c r="AU767" s="93">
        <f t="shared" ca="1" si="1400"/>
        <v>2.5855544680508741E-2</v>
      </c>
      <c r="AV767" s="132">
        <f t="shared" ca="1" si="1408"/>
        <v>122.04517346486739</v>
      </c>
      <c r="AW767" s="134">
        <f t="shared" ca="1" si="1409"/>
        <v>2.5855544680508699E-2</v>
      </c>
      <c r="AX767" s="56">
        <f>+AJ767/$AL$17</f>
        <v>2.7158135938257933E-3</v>
      </c>
      <c r="AY767" s="135">
        <f t="shared" ca="1" si="1407"/>
        <v>7.0218839719095701E-5</v>
      </c>
      <c r="AZ767" s="93"/>
      <c r="BA767" s="93"/>
      <c r="BB767" s="234">
        <v>107344</v>
      </c>
      <c r="BC767" s="269">
        <f t="shared" si="1371"/>
        <v>1.1656585200594741E-2</v>
      </c>
      <c r="BD767" s="92"/>
      <c r="BE767" s="299" t="str">
        <f t="shared" si="1297"/>
        <v>NORTHERN STATES POWER COMPANY - WI</v>
      </c>
      <c r="BF767" s="300">
        <f t="shared" si="1298"/>
        <v>4061925</v>
      </c>
      <c r="BG767" s="231" t="str">
        <f t="shared" si="1299"/>
        <v>WI</v>
      </c>
      <c r="BH767" s="231"/>
      <c r="BI767" s="231" t="str">
        <f t="shared" si="1300"/>
        <v>2012 Y</v>
      </c>
      <c r="BJ767" s="129"/>
      <c r="BK767" s="129"/>
      <c r="BL767" s="129">
        <f>INDEX('Dist. Plant Gas Additions'!$E$7:$AD$91,MATCH($C767,'Dist. Plant Gas Additions'!$C$7:$C$91,0),MATCH(Calculation!$G767,'Dist. Plant Gas Additions'!$E$5:$AD$5,0))</f>
        <v>10056</v>
      </c>
      <c r="BM767" s="129">
        <f>INDEX('Gen. Plant Additions'!$E$7:$AD$91,MATCH($C767,'Gen. Plant Additions'!$C$7:$C$91,0),MATCH(Calculation!$G767,'Gen. Plant Additions'!$E$5:$AD$5,0))</f>
        <v>1380</v>
      </c>
      <c r="BN767" s="301">
        <f t="shared" si="1372"/>
        <v>0.93094184065845298</v>
      </c>
      <c r="BO767" s="231">
        <f t="shared" si="1396"/>
        <v>1284.6997401086651</v>
      </c>
      <c r="BP767" s="231">
        <f t="shared" si="1397"/>
        <v>-95.300259891334917</v>
      </c>
      <c r="BQ767" s="129">
        <f>INDEX('Dist Plant Depreciation'!$D$7:$AC$94,MATCH($C767,'Dist Plant Depreciation'!$C$7:$C$94,0),MATCH(Calculation!$G767,'Dist Plant Depreciation'!$D$5:$AC$5,0))</f>
        <v>114575</v>
      </c>
      <c r="BR767" s="129">
        <f>INDEX('Gen. Plant Depreciation'!$D$7:$AC$94,MATCH($C767,'Gen. Plant Depreciation'!$C$7:$C$94,0),MATCH(Calculation!$G767,'Gen. Plant Depreciation'!$D$5:$AC$5,0))</f>
        <v>4639</v>
      </c>
      <c r="BS767" s="129"/>
      <c r="BT767" s="129"/>
      <c r="BU767" s="129"/>
      <c r="BV767" s="129"/>
      <c r="BW767" s="129"/>
      <c r="BX767" s="129"/>
      <c r="BY767" s="129">
        <f>INDEX('Gross Dx Plant'!$D$7:$AC$91,MATCH($C767,'Gross Dx Plant'!$C$7:$C$91,0),MATCH(Calculation!$G767,'Gross Dx Plant'!$D$5:$AC$5,0))</f>
        <v>201669</v>
      </c>
      <c r="BZ767" s="129">
        <f>INDEX('Gross Gen Plant'!$D$7:$AC$91,MATCH($C767,'Gross Gen Plant'!$C$7:$C$91,0),MATCH(Calculation!$G767,'Gross Gen Plant'!$D$5:$AC$5,0))</f>
        <v>14960</v>
      </c>
      <c r="CA767" s="129">
        <f t="shared" si="1325"/>
        <v>97415</v>
      </c>
      <c r="CB767" s="129"/>
      <c r="CC767" s="133">
        <v>2012</v>
      </c>
      <c r="CD767" s="129"/>
      <c r="CE767" s="129"/>
      <c r="CF767" s="129"/>
      <c r="CG767" s="137"/>
      <c r="CH767" s="129">
        <f t="shared" si="1373"/>
        <v>11436</v>
      </c>
      <c r="CI767" s="46">
        <f t="shared" si="1382"/>
        <v>11340.699740108665</v>
      </c>
      <c r="CJ767" s="231">
        <f t="shared" si="1374"/>
        <v>16.953763129897006</v>
      </c>
      <c r="CK767" s="443">
        <v>0.84090909090909094</v>
      </c>
      <c r="CL767" s="231">
        <f>+CL753*CK767+CJ754*CK766+CJ755*CK765+CJ756*CK764+CJ757*CK763+CJ758*CK762+CJ759*CK761+CJ760*CK760+CJ761*CK759+CJ762*CK758+CJ763*CK757+CJ764*CK756+CJ765*CK755+CJ766*CK754+CJ767</f>
        <v>484.45069606248194</v>
      </c>
      <c r="CM767" s="134">
        <f t="shared" si="1375"/>
        <v>2.1812729470543132E-2</v>
      </c>
      <c r="CN767" s="135">
        <f t="shared" si="1376"/>
        <v>1.371522343463661E-2</v>
      </c>
      <c r="CO767" s="135">
        <f t="shared" si="1385"/>
        <v>1.3426876617271072E-2</v>
      </c>
      <c r="CP767" s="134">
        <f>VLOOKUP($H767,RoR!$E:$F,2,FALSE)</f>
        <v>3.6733333333333333E-2</v>
      </c>
      <c r="CQ767" s="135">
        <v>1.924331376386168E-2</v>
      </c>
      <c r="CR767" s="135">
        <f t="shared" si="1383"/>
        <v>1.7490019569471653E-2</v>
      </c>
      <c r="CS767" s="135">
        <f t="shared" si="1386"/>
        <v>1.7475064991262553E-2</v>
      </c>
      <c r="CT767" s="135">
        <f t="shared" si="1387"/>
        <v>6.7122682943869583E-2</v>
      </c>
      <c r="CU767" s="139">
        <f t="shared" si="1377"/>
        <v>0.85150049999999999</v>
      </c>
      <c r="CV767" s="335">
        <f t="shared" si="1378"/>
        <v>1.3960631020522127</v>
      </c>
      <c r="CW767" s="335">
        <f t="shared" si="1379"/>
        <v>0.29441923774954631</v>
      </c>
      <c r="CX767" s="335">
        <f t="shared" si="1380"/>
        <v>0.76377954189366437</v>
      </c>
      <c r="CY767" s="335">
        <f t="shared" si="1381"/>
        <v>0.31393465103033691</v>
      </c>
      <c r="CZ767" s="336">
        <f>INDEX('State Tax Lookup'!$D$7:$Z$91,MATCH(Calculation!$C767,'State Tax Lookup'!$B$7:$B$91,0),MATCH($H767,'State Tax Lookup'!$D$6:$Z$6,0))</f>
        <v>0.40134999999999998</v>
      </c>
      <c r="DA767" s="302">
        <v>0.37</v>
      </c>
      <c r="DB767" s="57">
        <f t="shared" si="1384"/>
        <v>16.531165611313725</v>
      </c>
      <c r="DC767" s="56">
        <f t="shared" si="1388"/>
        <v>7.0451060425885906E-2</v>
      </c>
      <c r="DD767" s="303">
        <f>VLOOKUP($H767,RoR!$E:$F,2,FALSE)</f>
        <v>3.6733333333333333E-2</v>
      </c>
      <c r="DE767" s="304">
        <f>HLOOKUP($H767,'GDP-PI'!$D$8:$CQ$11,3,FALSE)</f>
        <v>1.924331376386168E-2</v>
      </c>
      <c r="DF767" s="303">
        <f>VLOOKUP(H767,'HW Dx Data'!$E:$F,2,FALSE)</f>
        <v>668.91932211262167</v>
      </c>
      <c r="DG767" s="364">
        <f ca="1">VLOOKUP(CC767,'ECI - Input Price'!M$13:N$33,2,FALSE)</f>
        <v>124.80000000000001</v>
      </c>
      <c r="DH767" s="364"/>
      <c r="DI767" s="364"/>
      <c r="DJ767" s="56">
        <f t="shared" ca="1" si="1398"/>
        <v>3.1955502161869064E-2</v>
      </c>
      <c r="DK767" s="53">
        <f>HLOOKUP(H767,'GDP-PI'!$8:$9,2,FALSE)</f>
        <v>100</v>
      </c>
      <c r="DL767" s="355">
        <f t="shared" si="1389"/>
        <v>1.9060502738742411E-2</v>
      </c>
      <c r="EC767"/>
    </row>
    <row r="768" spans="1:133" s="126" customFormat="1" ht="21" customHeight="1" x14ac:dyDescent="0.4">
      <c r="A768" s="233" t="s">
        <v>226</v>
      </c>
      <c r="B768" s="127" t="s">
        <v>227</v>
      </c>
      <c r="C768" s="127">
        <v>4061925</v>
      </c>
      <c r="D768" s="127" t="s">
        <v>214</v>
      </c>
      <c r="E768" s="127"/>
      <c r="F768" s="127"/>
      <c r="G768" s="127" t="s">
        <v>169</v>
      </c>
      <c r="H768" s="128">
        <v>2013</v>
      </c>
      <c r="I768" s="129"/>
      <c r="J768" s="125">
        <f>IFERROR(INDEX('Labor Expenditures'!$E$7:$W$91,MATCH($C768,'Labor Expenditures'!$C$7:$C$91,0),MATCH($G768,'Labor Expenditures'!$E$5:$W$5,0)),"NA")</f>
        <v>7479.0731696101775</v>
      </c>
      <c r="K768" s="125">
        <f t="shared" ca="1" si="1390"/>
        <v>58.983226889670171</v>
      </c>
      <c r="L768" s="47"/>
      <c r="M768" s="131">
        <f t="shared" ca="1" si="1399"/>
        <v>2.0182234056246185E-2</v>
      </c>
      <c r="N768" s="131"/>
      <c r="O768" s="131"/>
      <c r="P768" s="59">
        <f t="shared" ca="1" si="1401"/>
        <v>5.4170296228309248E-5</v>
      </c>
      <c r="Q768" s="61"/>
      <c r="R768" s="387"/>
      <c r="S768" s="49">
        <f t="shared" ca="1" si="1406"/>
        <v>107.99265643983453</v>
      </c>
      <c r="T768" s="61">
        <f ca="1">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</f>
        <v>-6.9625514911706293E-2</v>
      </c>
      <c r="U768" s="61"/>
      <c r="V768" s="125">
        <f>IFERROR(INDEX('Non-Labor Expenditures'!$E$7:$AA$91,MATCH($C768,'Non-Labor Expenditures'!$C$7:$C$91,0),MATCH($G768,'Non-Labor Expenditures'!$E$5:$AA$5,0)),"NA")</f>
        <v>10831.09484777619</v>
      </c>
      <c r="W768" s="125">
        <f t="shared" si="1391"/>
        <v>106.42405007002044</v>
      </c>
      <c r="X768" s="131">
        <f t="shared" si="1402"/>
        <v>1.8506163107533887E-2</v>
      </c>
      <c r="Y768" s="131">
        <f t="shared" si="1403"/>
        <v>4.9671623804910761E-5</v>
      </c>
      <c r="Z768" s="131"/>
      <c r="AA768" s="131"/>
      <c r="AB768" s="131"/>
      <c r="AC768" s="125">
        <f t="shared" si="1370"/>
        <v>7807.2738296086491</v>
      </c>
      <c r="AD768" s="129"/>
      <c r="AE768" s="133">
        <v>530.75717526045571</v>
      </c>
      <c r="AF768" s="134">
        <v>2.9054170015976755E-2</v>
      </c>
      <c r="AG768" s="59">
        <f t="shared" si="1392"/>
        <v>7.7983091071427962E-5</v>
      </c>
      <c r="AH768" s="134"/>
      <c r="AI768" s="134"/>
      <c r="AJ768" s="129">
        <f t="shared" si="1351"/>
        <v>26117.441846995018</v>
      </c>
      <c r="AK768" s="134">
        <f t="shared" si="1404"/>
        <v>2.4041130462209726E-2</v>
      </c>
      <c r="AL768" s="129"/>
      <c r="AM768" s="129"/>
      <c r="AN768" s="129"/>
      <c r="AO768" s="129"/>
      <c r="AP768" s="133">
        <f t="shared" si="1405"/>
        <v>236.99177749441961</v>
      </c>
      <c r="AQ768" s="134">
        <f>+BB769/Outputs!$B$21</f>
        <v>3.0661218849944434E-3</v>
      </c>
      <c r="AR768" s="93">
        <f t="shared" si="1393"/>
        <v>0.28636315966261811</v>
      </c>
      <c r="AS768" s="93">
        <f t="shared" si="1394"/>
        <v>0.41470734045196617</v>
      </c>
      <c r="AT768" s="93">
        <f t="shared" si="1395"/>
        <v>0.29892949988541573</v>
      </c>
      <c r="AU768" s="93">
        <f t="shared" ca="1" si="1400"/>
        <v>2.218061574051429E-2</v>
      </c>
      <c r="AV768" s="132">
        <f t="shared" ca="1" si="1408"/>
        <v>124.78245563949871</v>
      </c>
      <c r="AW768" s="134">
        <f t="shared" ca="1" si="1409"/>
        <v>2.2180615740514199E-2</v>
      </c>
      <c r="AX768" s="56">
        <f>+AJ768/$AL$18</f>
        <v>2.6840584683212572E-3</v>
      </c>
      <c r="AY768" s="135">
        <f t="shared" ca="1" si="1407"/>
        <v>5.9534069510906907E-5</v>
      </c>
      <c r="AZ768" s="93"/>
      <c r="BA768" s="93"/>
      <c r="BB768" s="234">
        <v>109183</v>
      </c>
      <c r="BC768" s="269">
        <f t="shared" si="1371"/>
        <v>1.6986742715570751E-2</v>
      </c>
      <c r="BD768" s="92"/>
      <c r="BE768" s="299" t="str">
        <f t="shared" si="1297"/>
        <v>NORTHERN STATES POWER COMPANY - WI</v>
      </c>
      <c r="BF768" s="300">
        <f t="shared" si="1298"/>
        <v>4061925</v>
      </c>
      <c r="BG768" s="231" t="str">
        <f t="shared" si="1299"/>
        <v>WI</v>
      </c>
      <c r="BH768" s="231"/>
      <c r="BI768" s="231" t="str">
        <f t="shared" si="1300"/>
        <v>2013 Y</v>
      </c>
      <c r="BJ768" s="129"/>
      <c r="BK768" s="129"/>
      <c r="BL768" s="129">
        <f>INDEX('Dist. Plant Gas Additions'!$E$7:$AD$91,MATCH($C768,'Dist. Plant Gas Additions'!$C$7:$C$91,0),MATCH(Calculation!$G768,'Dist. Plant Gas Additions'!$E$5:$AD$5,0))</f>
        <v>11933</v>
      </c>
      <c r="BM768" s="129">
        <f>INDEX('Gen. Plant Additions'!$E$7:$AD$91,MATCH($C768,'Gen. Plant Additions'!$C$7:$C$91,0),MATCH(Calculation!$G768,'Gen. Plant Additions'!$E$5:$AD$5,0))</f>
        <v>741</v>
      </c>
      <c r="BN768" s="301">
        <f t="shared" si="1372"/>
        <v>0.93346150300891484</v>
      </c>
      <c r="BO768" s="231">
        <f t="shared" si="1396"/>
        <v>691.69497372960586</v>
      </c>
      <c r="BP768" s="231">
        <f t="shared" si="1397"/>
        <v>-49.305026270394137</v>
      </c>
      <c r="BQ768" s="129">
        <f>INDEX('Dist Plant Depreciation'!$D$7:$AC$94,MATCH($C768,'Dist Plant Depreciation'!$C$7:$C$94,0),MATCH(Calculation!$G768,'Dist Plant Depreciation'!$D$5:$AC$5,0))</f>
        <v>121224</v>
      </c>
      <c r="BR768" s="129">
        <f>INDEX('Gen. Plant Depreciation'!$D$7:$AC$94,MATCH($C768,'Gen. Plant Depreciation'!$C$7:$C$94,0),MATCH(Calculation!$G768,'Gen. Plant Depreciation'!$D$5:$AC$5,0))</f>
        <v>5081</v>
      </c>
      <c r="BS768" s="129"/>
      <c r="BT768" s="129"/>
      <c r="BU768" s="129"/>
      <c r="BV768" s="129"/>
      <c r="BW768" s="129"/>
      <c r="BX768" s="129"/>
      <c r="BY768" s="129">
        <f>INDEX('Gross Dx Plant'!$D$7:$AC$91,MATCH($C768,'Gross Dx Plant'!$C$7:$C$91,0),MATCH(Calculation!$G768,'Gross Dx Plant'!$D$5:$AC$5,0))</f>
        <v>212664</v>
      </c>
      <c r="BZ768" s="129">
        <f>INDEX('Gross Gen Plant'!$D$7:$AC$91,MATCH($C768,'Gross Gen Plant'!$C$7:$C$91,0),MATCH(Calculation!$G768,'Gross Gen Plant'!$D$5:$AC$5,0))</f>
        <v>15159</v>
      </c>
      <c r="CA768" s="129">
        <f t="shared" si="1325"/>
        <v>101518</v>
      </c>
      <c r="CB768" s="129"/>
      <c r="CC768" s="133">
        <v>2013</v>
      </c>
      <c r="CD768" s="129"/>
      <c r="CE768" s="129"/>
      <c r="CF768" s="129"/>
      <c r="CG768" s="137"/>
      <c r="CH768" s="129">
        <f t="shared" si="1373"/>
        <v>12674</v>
      </c>
      <c r="CI768" s="46">
        <f t="shared" si="1382"/>
        <v>12624.694973729605</v>
      </c>
      <c r="CJ768" s="231">
        <f t="shared" si="1374"/>
        <v>19.034640519695827</v>
      </c>
      <c r="CK768" s="443">
        <v>0.82758620689655171</v>
      </c>
      <c r="CL768" s="231">
        <f>+CL753*CK768+CJ754*CK767+CJ755*CK766+CJ756*CK765+CJ757*CK764+CJ758*CK763+CJ759*CK762+CJ760*CK761+CJ761*CK760+CJ762*CK759+CJ763*CK758+CJ764*CK757+CJ765*CK756+CJ766*CK755+CJ767*CK754+CJ768</f>
        <v>496.67135684619154</v>
      </c>
      <c r="CM768" s="134">
        <f t="shared" si="1375"/>
        <v>2.4912889901559064E-2</v>
      </c>
      <c r="CN768" s="135">
        <f t="shared" si="1376"/>
        <v>1.4065372991243243E-2</v>
      </c>
      <c r="CO768" s="135">
        <f t="shared" si="1385"/>
        <v>1.3738560155172358E-2</v>
      </c>
      <c r="CP768" s="134">
        <f>VLOOKUP($H768,RoR!$E:$F,2,FALSE)</f>
        <v>4.2350000000000006E-2</v>
      </c>
      <c r="CQ768" s="135">
        <v>1.7730000000000024E-2</v>
      </c>
      <c r="CR768" s="135">
        <f t="shared" si="1383"/>
        <v>2.4619999999999982E-2</v>
      </c>
      <c r="CS768" s="135">
        <f t="shared" si="1386"/>
        <v>1.7163381453361267E-2</v>
      </c>
      <c r="CT768" s="135">
        <f t="shared" si="1387"/>
        <v>5.3376742735721204E-2</v>
      </c>
      <c r="CU768" s="139">
        <f t="shared" si="1377"/>
        <v>0.85150049999999999</v>
      </c>
      <c r="CV768" s="335">
        <f t="shared" si="1378"/>
        <v>1.2109103018193925</v>
      </c>
      <c r="CW768" s="335">
        <f t="shared" si="1379"/>
        <v>0.38468122786304604</v>
      </c>
      <c r="CX768" s="335">
        <f t="shared" si="1380"/>
        <v>0.80969194503422559</v>
      </c>
      <c r="CY768" s="335">
        <f t="shared" si="1381"/>
        <v>0.37716621754800816</v>
      </c>
      <c r="CZ768" s="336">
        <f>INDEX('State Tax Lookup'!$D$7:$Z$91,MATCH(Calculation!$C768,'State Tax Lookup'!$B$7:$B$91,0),MATCH($H768,'State Tax Lookup'!$D$6:$Z$6,0))</f>
        <v>0.40134999999999998</v>
      </c>
      <c r="DA768" s="302">
        <v>0.37</v>
      </c>
      <c r="DB768" s="57">
        <f t="shared" si="1384"/>
        <v>16.115724248235381</v>
      </c>
      <c r="DC768" s="56">
        <f t="shared" si="1388"/>
        <v>-2.5451967499807729E-2</v>
      </c>
      <c r="DD768" s="303">
        <f>VLOOKUP($H768,RoR!$E:$F,2,FALSE)</f>
        <v>4.2350000000000006E-2</v>
      </c>
      <c r="DE768" s="304">
        <f>HLOOKUP($H768,'GDP-PI'!$D$8:$CQ$11,3,FALSE)</f>
        <v>1.7730000000000024E-2</v>
      </c>
      <c r="DF768" s="303">
        <f>VLOOKUP(H768,'HW Dx Data'!$E:$F,2,FALSE)</f>
        <v>663.24840548821396</v>
      </c>
      <c r="DG768" s="364">
        <f ca="1">VLOOKUP(CC768,'ECI - Input Price'!M$13:N$33,2,FALSE)</f>
        <v>126.8</v>
      </c>
      <c r="DH768" s="364"/>
      <c r="DI768" s="364"/>
      <c r="DJ768" s="56">
        <f t="shared" ca="1" si="1398"/>
        <v>1.5898586067798204E-2</v>
      </c>
      <c r="DK768" s="53">
        <f>HLOOKUP(H768,'GDP-PI'!$8:$9,2,FALSE)</f>
        <v>101.773</v>
      </c>
      <c r="DL768" s="355">
        <f t="shared" si="1389"/>
        <v>1.7574657016510519E-2</v>
      </c>
      <c r="EC768"/>
    </row>
    <row r="769" spans="1:133" s="126" customFormat="1" ht="21" customHeight="1" x14ac:dyDescent="0.4">
      <c r="A769" s="233" t="s">
        <v>226</v>
      </c>
      <c r="B769" s="127" t="s">
        <v>227</v>
      </c>
      <c r="C769" s="127">
        <v>4061925</v>
      </c>
      <c r="D769" s="127" t="s">
        <v>214</v>
      </c>
      <c r="E769" s="127"/>
      <c r="F769" s="127"/>
      <c r="G769" s="127" t="s">
        <v>170</v>
      </c>
      <c r="H769" s="128">
        <v>2014</v>
      </c>
      <c r="I769" s="129"/>
      <c r="J769" s="125">
        <f>IFERROR(INDEX('Labor Expenditures'!$E$7:$W$91,MATCH($C769,'Labor Expenditures'!$C$7:$C$91,0),MATCH($G769,'Labor Expenditures'!$E$5:$W$5,0)),"NA")</f>
        <v>7839.9174294723143</v>
      </c>
      <c r="K769" s="125">
        <f t="shared" ca="1" si="1390"/>
        <v>60.586688017560384</v>
      </c>
      <c r="L769" s="47"/>
      <c r="M769" s="131">
        <f t="shared" ca="1" si="1399"/>
        <v>2.6822085785064839E-2</v>
      </c>
      <c r="N769" s="131"/>
      <c r="O769" s="131"/>
      <c r="P769" s="59">
        <f t="shared" ca="1" si="1401"/>
        <v>7.3918016440827167E-5</v>
      </c>
      <c r="Q769" s="61"/>
      <c r="R769" s="387"/>
      <c r="S769" s="49">
        <f t="shared" ca="1" si="1406"/>
        <v>119.89167607443338</v>
      </c>
      <c r="T769" s="61">
        <f ca="1">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</f>
        <v>0.10452540683894605</v>
      </c>
      <c r="U769" s="61"/>
      <c r="V769" s="125">
        <f>IFERROR(INDEX('Non-Labor Expenditures'!$E$7:$AA$91,MATCH($C769,'Non-Labor Expenditures'!$C$7:$C$91,0),MATCH($G769,'Non-Labor Expenditures'!$E$5:$AA$5,0)),"NA")</f>
        <v>11353.66473246768</v>
      </c>
      <c r="W769" s="125">
        <f t="shared" si="1391"/>
        <v>109.54166287946278</v>
      </c>
      <c r="X769" s="131">
        <f t="shared" si="1402"/>
        <v>2.8873373950483491E-2</v>
      </c>
      <c r="Y769" s="131">
        <f t="shared" si="1403"/>
        <v>7.957108732991961E-5</v>
      </c>
      <c r="Z769" s="131"/>
      <c r="AA769" s="131"/>
      <c r="AB769" s="131"/>
      <c r="AC769" s="125">
        <f t="shared" si="1370"/>
        <v>8114.8707271545527</v>
      </c>
      <c r="AD769" s="129"/>
      <c r="AE769" s="133">
        <v>558.10297114099671</v>
      </c>
      <c r="AF769" s="134">
        <v>5.0238861863135024E-2</v>
      </c>
      <c r="AG769" s="59">
        <f t="shared" si="1392"/>
        <v>1.3845146298187798E-4</v>
      </c>
      <c r="AH769" s="134"/>
      <c r="AI769" s="134"/>
      <c r="AJ769" s="129">
        <f t="shared" si="1351"/>
        <v>27308.452889094548</v>
      </c>
      <c r="AK769" s="134">
        <f t="shared" si="1404"/>
        <v>4.4592922767222869E-2</v>
      </c>
      <c r="AL769" s="129"/>
      <c r="AM769" s="129"/>
      <c r="AN769" s="129"/>
      <c r="AO769" s="129"/>
      <c r="AP769" s="133">
        <f t="shared" si="1405"/>
        <v>244.79810756214016</v>
      </c>
      <c r="AQ769" s="134">
        <f>+BB770/Outputs!$B$22</f>
        <v>3.0871244040152129E-3</v>
      </c>
      <c r="AR769" s="93">
        <f t="shared" si="1393"/>
        <v>0.2870875717973439</v>
      </c>
      <c r="AS769" s="93">
        <f t="shared" si="1394"/>
        <v>0.41575642452457245</v>
      </c>
      <c r="AT769" s="93">
        <f t="shared" si="1395"/>
        <v>0.29715600367808365</v>
      </c>
      <c r="AU769" s="93">
        <f t="shared" ca="1" si="1400"/>
        <v>3.4653046411682618E-2</v>
      </c>
      <c r="AV769" s="132">
        <f t="shared" ca="1" si="1408"/>
        <v>129.18234231928733</v>
      </c>
      <c r="AW769" s="134">
        <f t="shared" ca="1" si="1409"/>
        <v>3.4653046411682667E-2</v>
      </c>
      <c r="AX769" s="56">
        <f>+AJ769/$AL$19</f>
        <v>2.7558638441901651E-3</v>
      </c>
      <c r="AY769" s="135">
        <f t="shared" ca="1" si="1407"/>
        <v>9.5499077696999999E-5</v>
      </c>
      <c r="AZ769" s="93"/>
      <c r="BA769" s="93"/>
      <c r="BB769" s="234">
        <v>110204</v>
      </c>
      <c r="BC769" s="269">
        <f t="shared" si="1371"/>
        <v>9.3078201646210907E-3</v>
      </c>
      <c r="BD769" s="92"/>
      <c r="BE769" s="299" t="str">
        <f t="shared" si="1297"/>
        <v>NORTHERN STATES POWER COMPANY - WI</v>
      </c>
      <c r="BF769" s="300">
        <f t="shared" si="1298"/>
        <v>4061925</v>
      </c>
      <c r="BG769" s="231" t="str">
        <f t="shared" si="1299"/>
        <v>WI</v>
      </c>
      <c r="BH769" s="231"/>
      <c r="BI769" s="231" t="str">
        <f t="shared" si="1300"/>
        <v>2014 Y</v>
      </c>
      <c r="BJ769" s="129"/>
      <c r="BK769" s="129"/>
      <c r="BL769" s="129">
        <f>INDEX('Dist. Plant Gas Additions'!$E$7:$AD$91,MATCH($C769,'Dist. Plant Gas Additions'!$C$7:$C$91,0),MATCH(Calculation!$G769,'Dist. Plant Gas Additions'!$E$5:$AD$5,0))</f>
        <v>20466</v>
      </c>
      <c r="BM769" s="129">
        <f>INDEX('Gen. Plant Additions'!$E$7:$AD$91,MATCH($C769,'Gen. Plant Additions'!$C$7:$C$91,0),MATCH(Calculation!$G769,'Gen. Plant Additions'!$E$5:$AD$5,0))</f>
        <v>1091</v>
      </c>
      <c r="BN769" s="301">
        <f t="shared" si="1372"/>
        <v>0.9351353745550598</v>
      </c>
      <c r="BO769" s="231">
        <f t="shared" si="1396"/>
        <v>1020.2326936395702</v>
      </c>
      <c r="BP769" s="231">
        <f t="shared" si="1397"/>
        <v>-70.767306360429757</v>
      </c>
      <c r="BQ769" s="129">
        <f>INDEX('Dist Plant Depreciation'!$D$7:$AC$94,MATCH($C769,'Dist Plant Depreciation'!$C$7:$C$94,0),MATCH(Calculation!$G769,'Dist Plant Depreciation'!$D$5:$AC$5,0))</f>
        <v>127059</v>
      </c>
      <c r="BR769" s="129">
        <f>INDEX('Gen. Plant Depreciation'!$D$7:$AC$94,MATCH($C769,'Gen. Plant Depreciation'!$C$7:$C$94,0),MATCH(Calculation!$G769,'Gen. Plant Depreciation'!$D$5:$AC$5,0))</f>
        <v>6300</v>
      </c>
      <c r="BS769" s="129"/>
      <c r="BT769" s="129"/>
      <c r="BU769" s="129"/>
      <c r="BV769" s="129"/>
      <c r="BW769" s="129"/>
      <c r="BX769" s="129"/>
      <c r="BY769" s="129">
        <f>INDEX('Gross Dx Plant'!$D$7:$AC$91,MATCH($C769,'Gross Dx Plant'!$C$7:$C$91,0),MATCH(Calculation!$G769,'Gross Dx Plant'!$D$5:$AC$5,0))</f>
        <v>232239</v>
      </c>
      <c r="BZ769" s="129">
        <f>INDEX('Gross Gen Plant'!$D$7:$AC$91,MATCH($C769,'Gross Gen Plant'!$C$7:$C$91,0),MATCH(Calculation!$G769,'Gross Gen Plant'!$D$5:$AC$5,0))</f>
        <v>16109</v>
      </c>
      <c r="CA769" s="129">
        <f t="shared" si="1325"/>
        <v>114989</v>
      </c>
      <c r="CB769" s="129"/>
      <c r="CC769" s="133">
        <v>2014</v>
      </c>
      <c r="CD769" s="129"/>
      <c r="CE769" s="129"/>
      <c r="CF769" s="129"/>
      <c r="CG769" s="137"/>
      <c r="CH769" s="129">
        <f t="shared" si="1373"/>
        <v>21557</v>
      </c>
      <c r="CI769" s="46">
        <f t="shared" si="1382"/>
        <v>21486.232693639569</v>
      </c>
      <c r="CJ769" s="231">
        <f t="shared" si="1374"/>
        <v>31.391090333395454</v>
      </c>
      <c r="CK769" s="443">
        <v>0.81395348837209303</v>
      </c>
      <c r="CL769" s="231">
        <f>+CL753*CK769+CJ754*CK768+CJ755*CK767+CJ756*CK766+CJ757*CK765+CJ758*CK764+CJ759*CK763+CJ760*CK762+CJ761*CK761+CJ762*CK760+CJ763*CK759+CJ764*CK758+CJ765*CK757+CJ766*CK756+CJ767*CK755+CJ768*CK754+CJ769</f>
        <v>520.9065903846215</v>
      </c>
      <c r="CM769" s="134">
        <f t="shared" si="1375"/>
        <v>4.7642183048851677E-2</v>
      </c>
      <c r="CN769" s="135">
        <f t="shared" si="1376"/>
        <v>1.4407629303216526E-2</v>
      </c>
      <c r="CO769" s="135">
        <f t="shared" si="1385"/>
        <v>1.4062741909698792E-2</v>
      </c>
      <c r="CP769" s="134">
        <f>VLOOKUP($H769,RoR!$E:$F,2,FALSE)</f>
        <v>4.1625000000000002E-2</v>
      </c>
      <c r="CQ769" s="135">
        <v>1.841352814597208E-2</v>
      </c>
      <c r="CR769" s="135">
        <f t="shared" si="1383"/>
        <v>2.3211471854027922E-2</v>
      </c>
      <c r="CS769" s="135">
        <f t="shared" si="1386"/>
        <v>1.6839199698834833E-2</v>
      </c>
      <c r="CT769" s="135">
        <f t="shared" si="1387"/>
        <v>3.9072621432650924E-2</v>
      </c>
      <c r="CU769" s="139">
        <f t="shared" si="1377"/>
        <v>0.85150049999999999</v>
      </c>
      <c r="CV769" s="335">
        <f t="shared" si="1378"/>
        <v>1.2320012320012319</v>
      </c>
      <c r="CW769" s="335">
        <f t="shared" si="1379"/>
        <v>0.37439939939939942</v>
      </c>
      <c r="CX769" s="335">
        <f t="shared" si="1380"/>
        <v>0.80432100613819935</v>
      </c>
      <c r="CY769" s="335">
        <f t="shared" si="1381"/>
        <v>0.37100152660040037</v>
      </c>
      <c r="CZ769" s="336">
        <f>INDEX('State Tax Lookup'!$D$7:$Z$91,MATCH(Calculation!$C769,'State Tax Lookup'!$B$7:$B$91,0),MATCH($H769,'State Tax Lookup'!$D$6:$Z$6,0))</f>
        <v>0.40134999999999998</v>
      </c>
      <c r="DA769" s="302">
        <v>0.37</v>
      </c>
      <c r="DB769" s="57">
        <f t="shared" si="1384"/>
        <v>16.338511603896567</v>
      </c>
      <c r="DC769" s="56">
        <f t="shared" si="1388"/>
        <v>1.3729539422096331E-2</v>
      </c>
      <c r="DD769" s="303">
        <f>VLOOKUP($H769,RoR!$E:$F,2,FALSE)</f>
        <v>4.1625000000000002E-2</v>
      </c>
      <c r="DE769" s="304">
        <f>HLOOKUP($H769,'GDP-PI'!$D$8:$CQ$11,3,FALSE)</f>
        <v>1.841352814597208E-2</v>
      </c>
      <c r="DF769" s="303">
        <f>VLOOKUP(H769,'HW Dx Data'!$E:$F,2,FALSE)</f>
        <v>684.46914285042885</v>
      </c>
      <c r="DG769" s="364">
        <f ca="1">VLOOKUP(CC769,'ECI - Input Price'!M$13:N$33,2,FALSE)</f>
        <v>129.4</v>
      </c>
      <c r="DH769" s="364"/>
      <c r="DI769" s="364"/>
      <c r="DJ769" s="56">
        <f t="shared" ca="1" si="1398"/>
        <v>2.0297340063674733E-2</v>
      </c>
      <c r="DK769" s="53">
        <f>HLOOKUP(H769,'GDP-PI'!$8:$9,2,FALSE)</f>
        <v>103.64700000000001</v>
      </c>
      <c r="DL769" s="355">
        <f t="shared" si="1389"/>
        <v>1.8246051898256087E-2</v>
      </c>
      <c r="EC769"/>
    </row>
    <row r="770" spans="1:133" s="126" customFormat="1" ht="21" customHeight="1" x14ac:dyDescent="0.4">
      <c r="A770" s="233" t="s">
        <v>226</v>
      </c>
      <c r="B770" s="127" t="s">
        <v>227</v>
      </c>
      <c r="C770" s="127">
        <v>4061925</v>
      </c>
      <c r="D770" s="127" t="s">
        <v>214</v>
      </c>
      <c r="E770" s="127"/>
      <c r="F770" s="127"/>
      <c r="G770" s="127" t="s">
        <v>171</v>
      </c>
      <c r="H770" s="128">
        <v>2015</v>
      </c>
      <c r="I770" s="129"/>
      <c r="J770" s="125">
        <f>IFERROR(INDEX('Labor Expenditures'!$E$7:$W$91,MATCH($C770,'Labor Expenditures'!$C$7:$C$91,0),MATCH($G770,'Labor Expenditures'!$E$5:$W$5,0)),"NA")</f>
        <v>8107.1662210837012</v>
      </c>
      <c r="K770" s="125">
        <f t="shared" ca="1" si="1390"/>
        <v>60.727836862050196</v>
      </c>
      <c r="L770" s="47"/>
      <c r="M770" s="131">
        <f t="shared" ca="1" si="1399"/>
        <v>2.326991072535878E-3</v>
      </c>
      <c r="N770" s="131"/>
      <c r="O770" s="131"/>
      <c r="P770" s="59">
        <f t="shared" ca="1" si="1401"/>
        <v>6.5692371040348178E-6</v>
      </c>
      <c r="Q770" s="61"/>
      <c r="R770" s="387"/>
      <c r="S770" s="49">
        <f t="shared" ca="1" si="1406"/>
        <v>119.29087631691705</v>
      </c>
      <c r="T770" s="61">
        <f ca="1">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</f>
        <v>-5.023786351575403E-3</v>
      </c>
      <c r="U770" s="61"/>
      <c r="V770" s="125">
        <f>IFERROR(INDEX('Non-Labor Expenditures'!$E$7:$AA$91,MATCH($C770,'Non-Labor Expenditures'!$C$7:$C$91,0),MATCH($G770,'Non-Labor Expenditures'!$E$5:$AA$5,0)),"NA")</f>
        <v>11740.690897909964</v>
      </c>
      <c r="W770" s="125">
        <f t="shared" si="1391"/>
        <v>112.20186448561211</v>
      </c>
      <c r="X770" s="131">
        <f t="shared" si="1402"/>
        <v>2.3994650660597167E-2</v>
      </c>
      <c r="Y770" s="131">
        <f t="shared" si="1403"/>
        <v>6.7738355887275603E-5</v>
      </c>
      <c r="Z770" s="131"/>
      <c r="AA770" s="131"/>
      <c r="AB770" s="131"/>
      <c r="AC770" s="125">
        <f t="shared" si="1370"/>
        <v>8271.4254988186567</v>
      </c>
      <c r="AD770" s="129"/>
      <c r="AE770" s="133">
        <v>584.93317422141172</v>
      </c>
      <c r="AF770" s="134">
        <v>4.6954127155126008E-2</v>
      </c>
      <c r="AG770" s="59">
        <f t="shared" si="1392"/>
        <v>1.3255435224290778E-4</v>
      </c>
      <c r="AH770" s="134"/>
      <c r="AI770" s="134"/>
      <c r="AJ770" s="129">
        <f t="shared" si="1351"/>
        <v>28119.282617812321</v>
      </c>
      <c r="AK770" s="134">
        <f t="shared" si="1404"/>
        <v>2.9259271256729204E-2</v>
      </c>
      <c r="AL770" s="129"/>
      <c r="AM770" s="129"/>
      <c r="AN770" s="129"/>
      <c r="AO770" s="129"/>
      <c r="AP770" s="133">
        <f t="shared" si="1405"/>
        <v>248.34432262457116</v>
      </c>
      <c r="AQ770" s="134">
        <f>+BB771/Outputs!$B$23</f>
        <v>3.1079160276646168E-3</v>
      </c>
      <c r="AR770" s="93">
        <f t="shared" si="1393"/>
        <v>0.28831340867665556</v>
      </c>
      <c r="AS770" s="93">
        <f t="shared" si="1394"/>
        <v>0.4175316652805629</v>
      </c>
      <c r="AT770" s="93">
        <f t="shared" si="1395"/>
        <v>0.29415492604278159</v>
      </c>
      <c r="AU770" s="93">
        <f t="shared" ca="1" si="1400"/>
        <v>2.4548949070765609E-2</v>
      </c>
      <c r="AV770" s="132">
        <f t="shared" ca="1" si="1408"/>
        <v>132.39287948392467</v>
      </c>
      <c r="AW770" s="134">
        <f t="shared" ca="1" si="1409"/>
        <v>2.454894907076571E-2</v>
      </c>
      <c r="AX770" s="56">
        <f>+AJ770/$AL$20</f>
        <v>2.8230607248853259E-3</v>
      </c>
      <c r="AY770" s="135">
        <f t="shared" ca="1" si="1407"/>
        <v>6.9303173958888795E-5</v>
      </c>
      <c r="AZ770" s="93"/>
      <c r="BA770" s="93"/>
      <c r="BB770" s="234">
        <v>111555</v>
      </c>
      <c r="BC770" s="269">
        <f t="shared" si="1371"/>
        <v>1.2184549122649085E-2</v>
      </c>
      <c r="BD770" s="92"/>
      <c r="BE770" s="299" t="str">
        <f t="shared" si="1297"/>
        <v>NORTHERN STATES POWER COMPANY - WI</v>
      </c>
      <c r="BF770" s="300">
        <f t="shared" si="1298"/>
        <v>4061925</v>
      </c>
      <c r="BG770" s="231" t="str">
        <f t="shared" si="1299"/>
        <v>WI</v>
      </c>
      <c r="BH770" s="231"/>
      <c r="BI770" s="231" t="str">
        <f t="shared" si="1300"/>
        <v>2015 Y</v>
      </c>
      <c r="BJ770" s="129"/>
      <c r="BK770" s="129"/>
      <c r="BL770" s="129">
        <f>INDEX('Dist. Plant Gas Additions'!$E$7:$AD$91,MATCH($C770,'Dist. Plant Gas Additions'!$C$7:$C$91,0),MATCH(Calculation!$G770,'Dist. Plant Gas Additions'!$E$5:$AD$5,0))</f>
        <v>19330</v>
      </c>
      <c r="BM770" s="129">
        <f>INDEX('Gen. Plant Additions'!$E$7:$AD$91,MATCH($C770,'Gen. Plant Additions'!$C$7:$C$91,0),MATCH(Calculation!$G770,'Gen. Plant Additions'!$E$5:$AD$5,0))</f>
        <v>1810</v>
      </c>
      <c r="BN770" s="301">
        <f t="shared" si="1372"/>
        <v>0.93413178118253304</v>
      </c>
      <c r="BO770" s="231">
        <f t="shared" si="1396"/>
        <v>1690.7785239403847</v>
      </c>
      <c r="BP770" s="231">
        <f t="shared" si="1397"/>
        <v>-119.22147605961527</v>
      </c>
      <c r="BQ770" s="129">
        <f>INDEX('Dist Plant Depreciation'!$D$7:$AC$94,MATCH($C770,'Dist Plant Depreciation'!$C$7:$C$94,0),MATCH(Calculation!$G770,'Dist Plant Depreciation'!$D$5:$AC$5,0))</f>
        <v>133090</v>
      </c>
      <c r="BR770" s="129">
        <f>INDEX('Gen. Plant Depreciation'!$D$7:$AC$94,MATCH($C770,'Gen. Plant Depreciation'!$C$7:$C$94,0),MATCH(Calculation!$G770,'Gen. Plant Depreciation'!$D$5:$AC$5,0))</f>
        <v>8289</v>
      </c>
      <c r="BS770" s="129"/>
      <c r="BT770" s="129"/>
      <c r="BU770" s="129"/>
      <c r="BV770" s="129"/>
      <c r="BW770" s="129"/>
      <c r="BX770" s="129"/>
      <c r="BY770" s="129">
        <f>INDEX('Gross Dx Plant'!$D$7:$AC$91,MATCH($C770,'Gross Dx Plant'!$C$7:$C$91,0),MATCH(Calculation!$G770,'Gross Dx Plant'!$D$5:$AC$5,0))</f>
        <v>250522</v>
      </c>
      <c r="BZ770" s="129">
        <f>INDEX('Gross Gen Plant'!$D$7:$AC$91,MATCH($C770,'Gross Gen Plant'!$C$7:$C$91,0),MATCH(Calculation!$G770,'Gross Gen Plant'!$D$5:$AC$5,0))</f>
        <v>17665</v>
      </c>
      <c r="CA770" s="129">
        <f t="shared" si="1325"/>
        <v>126808</v>
      </c>
      <c r="CB770" s="129"/>
      <c r="CC770" s="133">
        <v>2015</v>
      </c>
      <c r="CD770" s="129"/>
      <c r="CE770" s="129"/>
      <c r="CF770" s="129"/>
      <c r="CG770" s="137"/>
      <c r="CH770" s="129">
        <f t="shared" si="1373"/>
        <v>21140</v>
      </c>
      <c r="CI770" s="46">
        <f t="shared" si="1382"/>
        <v>21020.778523940386</v>
      </c>
      <c r="CJ770" s="231">
        <f t="shared" si="1374"/>
        <v>31.113563109051476</v>
      </c>
      <c r="CK770" s="443">
        <v>0.8</v>
      </c>
      <c r="CL770" s="231">
        <f>+CL753*CK770+CJ754*CK769+CJ755*CK768+CJ756*CK767+CJ757*CK766+CJ758*CK765+CJ759*CK764+CJ760*CK763+CJ761*CK762+CJ762*CK761+CJ763*CK760+CJ764*CK759+CJ765*CK758+CJ766*CK757+CJ767*CK756+CJ768*CK755+CJ769*CK754+CJ770</f>
        <v>544.39105700631944</v>
      </c>
      <c r="CM770" s="134">
        <f t="shared" si="1375"/>
        <v>4.4097106804483636E-2</v>
      </c>
      <c r="CN770" s="135">
        <f t="shared" si="1376"/>
        <v>1.4645805271383565E-2</v>
      </c>
      <c r="CO770" s="135">
        <f t="shared" si="1385"/>
        <v>1.4372935855281113E-2</v>
      </c>
      <c r="CP770" s="134">
        <f>VLOOKUP($H770,RoR!$E:$F,2,FALSE)</f>
        <v>3.8866666666666674E-2</v>
      </c>
      <c r="CQ770" s="135">
        <v>9.5709475431029478E-3</v>
      </c>
      <c r="CR770" s="135">
        <f t="shared" si="1383"/>
        <v>2.9295719123563727E-2</v>
      </c>
      <c r="CS770" s="135">
        <f t="shared" si="1386"/>
        <v>1.6529005753252512E-2</v>
      </c>
      <c r="CT770" s="135">
        <f t="shared" si="1387"/>
        <v>3.5270373279175926E-3</v>
      </c>
      <c r="CU770" s="139">
        <f t="shared" si="1377"/>
        <v>0.85150049999999999</v>
      </c>
      <c r="CV770" s="335">
        <f t="shared" si="1378"/>
        <v>1.3194352816994324</v>
      </c>
      <c r="CW770" s="335">
        <f t="shared" si="1379"/>
        <v>0.33177530017152673</v>
      </c>
      <c r="CX770" s="335">
        <f t="shared" si="1380"/>
        <v>0.78242572977668579</v>
      </c>
      <c r="CY770" s="335">
        <f t="shared" si="1381"/>
        <v>0.34251158643433932</v>
      </c>
      <c r="CZ770" s="336">
        <f>INDEX('State Tax Lookup'!$D$7:$Z$91,MATCH(Calculation!$C770,'State Tax Lookup'!$B$7:$B$91,0),MATCH($H770,'State Tax Lookup'!$D$6:$Z$6,0))</f>
        <v>0.40134999999999998</v>
      </c>
      <c r="DA770" s="302">
        <v>0.37</v>
      </c>
      <c r="DB770" s="57">
        <f t="shared" si="1384"/>
        <v>15.878903533762722</v>
      </c>
      <c r="DC770" s="56">
        <f t="shared" si="1388"/>
        <v>-2.853358972731004E-2</v>
      </c>
      <c r="DD770" s="303">
        <f>VLOOKUP($H770,RoR!$E:$F,2,FALSE)</f>
        <v>3.8866666666666674E-2</v>
      </c>
      <c r="DE770" s="304">
        <f>HLOOKUP($H770,'GDP-PI'!$D$8:$CQ$11,3,FALSE)</f>
        <v>9.5709475431029478E-3</v>
      </c>
      <c r="DF770" s="303">
        <f>VLOOKUP(H770,'HW Dx Data'!$E:$F,2,FALSE)</f>
        <v>675.61463308665782</v>
      </c>
      <c r="DG770" s="364">
        <f ca="1">VLOOKUP(CC770,'ECI - Input Price'!M$13:N$33,2,FALSE)</f>
        <v>133.5</v>
      </c>
      <c r="DH770" s="364"/>
      <c r="DI770" s="364"/>
      <c r="DJ770" s="56">
        <f t="shared" ca="1" si="1398"/>
        <v>3.1193095773504077E-2</v>
      </c>
      <c r="DK770" s="53">
        <f>HLOOKUP(H770,'GDP-PI'!$8:$9,2,FALSE)</f>
        <v>104.639</v>
      </c>
      <c r="DL770" s="355">
        <f t="shared" si="1389"/>
        <v>9.5254361854427965E-3</v>
      </c>
      <c r="EC770"/>
    </row>
    <row r="771" spans="1:133" s="126" customFormat="1" ht="21" customHeight="1" x14ac:dyDescent="0.4">
      <c r="A771" s="233" t="s">
        <v>226</v>
      </c>
      <c r="B771" s="127" t="s">
        <v>227</v>
      </c>
      <c r="C771" s="127">
        <v>4061925</v>
      </c>
      <c r="D771" s="127" t="s">
        <v>214</v>
      </c>
      <c r="E771" s="127"/>
      <c r="F771" s="127"/>
      <c r="G771" s="127" t="s">
        <v>172</v>
      </c>
      <c r="H771" s="128">
        <v>2016</v>
      </c>
      <c r="I771" s="129"/>
      <c r="J771" s="125">
        <f>IFERROR(INDEX('Labor Expenditures'!$E$7:$W$91,MATCH($C771,'Labor Expenditures'!$C$7:$C$91,0),MATCH($G771,'Labor Expenditures'!$E$5:$W$5,0)),"NA")</f>
        <v>7865.1831091705653</v>
      </c>
      <c r="K771" s="125">
        <f t="shared" ca="1" si="1390"/>
        <v>57.431055926765723</v>
      </c>
      <c r="L771" s="47"/>
      <c r="M771" s="131">
        <f t="shared" ca="1" si="1399"/>
        <v>-5.5816989305380663E-2</v>
      </c>
      <c r="N771" s="131"/>
      <c r="O771" s="131"/>
      <c r="P771" s="59">
        <f t="shared" ca="1" si="1401"/>
        <v>-1.5037163673932419E-4</v>
      </c>
      <c r="Q771" s="61"/>
      <c r="R771" s="387"/>
      <c r="S771" s="49">
        <f t="shared" ca="1" si="1406"/>
        <v>300.75365135449726</v>
      </c>
      <c r="T771" s="61">
        <f ca="1">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</f>
        <v>0.92472664623836809</v>
      </c>
      <c r="U771" s="61"/>
      <c r="V771" s="125">
        <f>IFERROR(INDEX('Non-Labor Expenditures'!$E$7:$AA$91,MATCH($C771,'Non-Labor Expenditures'!$C$7:$C$91,0),MATCH($G771,'Non-Labor Expenditures'!$E$5:$AA$5,0)),"NA")</f>
        <v>11390.254155648781</v>
      </c>
      <c r="W771" s="125">
        <f t="shared" si="1391"/>
        <v>107.7235204249147</v>
      </c>
      <c r="X771" s="131">
        <f t="shared" si="1402"/>
        <v>-4.0731661803802804E-2</v>
      </c>
      <c r="Y771" s="131">
        <f t="shared" si="1403"/>
        <v>-1.0973158403511406E-4</v>
      </c>
      <c r="Z771" s="131"/>
      <c r="AA771" s="131"/>
      <c r="AB771" s="131"/>
      <c r="AC771" s="125">
        <f t="shared" si="1370"/>
        <v>8445.8692061679303</v>
      </c>
      <c r="AD771" s="129"/>
      <c r="AE771" s="133">
        <v>610.95878493259806</v>
      </c>
      <c r="AF771" s="134">
        <v>4.3531893187544378E-2</v>
      </c>
      <c r="AG771" s="59">
        <f t="shared" si="1392"/>
        <v>1.1727544087264959E-4</v>
      </c>
      <c r="AH771" s="134"/>
      <c r="AI771" s="134"/>
      <c r="AJ771" s="129">
        <f t="shared" si="1351"/>
        <v>27701.306470987278</v>
      </c>
      <c r="AK771" s="134">
        <f t="shared" si="1404"/>
        <v>-1.4975978060792917E-2</v>
      </c>
      <c r="AL771" s="129"/>
      <c r="AM771" s="129"/>
      <c r="AN771" s="129"/>
      <c r="AO771" s="129"/>
      <c r="AP771" s="133">
        <f t="shared" si="1405"/>
        <v>243.43594483832291</v>
      </c>
      <c r="AQ771" s="134">
        <f>+BB772/Outputs!$B$24</f>
        <v>3.0964609084225491E-3</v>
      </c>
      <c r="AR771" s="93">
        <f t="shared" si="1393"/>
        <v>0.28392823700961889</v>
      </c>
      <c r="AS771" s="93">
        <f t="shared" si="1394"/>
        <v>0.41118111766960397</v>
      </c>
      <c r="AT771" s="93">
        <f t="shared" si="1395"/>
        <v>0.30489064532077714</v>
      </c>
      <c r="AU771" s="93">
        <f t="shared" ca="1" si="1400"/>
        <v>-1.9809033398954356E-2</v>
      </c>
      <c r="AV771" s="132">
        <f t="shared" ca="1" si="1408"/>
        <v>129.79610918063591</v>
      </c>
      <c r="AW771" s="134">
        <f t="shared" ca="1" si="1409"/>
        <v>-1.9809033398954495E-2</v>
      </c>
      <c r="AX771" s="56">
        <f>+AJ771/$AL$21</f>
        <v>2.6940119596315921E-3</v>
      </c>
      <c r="AY771" s="135">
        <f t="shared" ca="1" si="1407"/>
        <v>-5.3365772885525058E-5</v>
      </c>
      <c r="AZ771" s="93"/>
      <c r="BA771" s="93"/>
      <c r="BB771" s="234">
        <v>113227</v>
      </c>
      <c r="BC771" s="269">
        <f t="shared" si="1371"/>
        <v>1.4876910406374157E-2</v>
      </c>
      <c r="BD771" s="92"/>
      <c r="BE771" s="299" t="str">
        <f t="shared" ref="BE771:BE834" si="1410">A771</f>
        <v>NORTHERN STATES POWER COMPANY - WI</v>
      </c>
      <c r="BF771" s="300">
        <f t="shared" ref="BF771:BF834" si="1411">C771</f>
        <v>4061925</v>
      </c>
      <c r="BG771" s="231" t="str">
        <f t="shared" ref="BG771:BG834" si="1412">D771</f>
        <v>WI</v>
      </c>
      <c r="BH771" s="231"/>
      <c r="BI771" s="231" t="str">
        <f t="shared" ref="BI771:BI834" si="1413">G771</f>
        <v>2016 Y</v>
      </c>
      <c r="BJ771" s="129"/>
      <c r="BK771" s="129"/>
      <c r="BL771" s="129">
        <f>INDEX('Dist. Plant Gas Additions'!$E$7:$AD$91,MATCH($C771,'Dist. Plant Gas Additions'!$C$7:$C$91,0),MATCH(Calculation!$G771,'Dist. Plant Gas Additions'!$E$5:$AD$5,0))</f>
        <v>19987</v>
      </c>
      <c r="BM771" s="129">
        <f>INDEX('Gen. Plant Additions'!$E$7:$AD$91,MATCH($C771,'Gen. Plant Additions'!$C$7:$C$91,0),MATCH(Calculation!$G771,'Gen. Plant Additions'!$E$5:$AD$5,0))</f>
        <v>700</v>
      </c>
      <c r="BN771" s="301">
        <f t="shared" si="1372"/>
        <v>0.93727274941458505</v>
      </c>
      <c r="BO771" s="231">
        <f t="shared" si="1396"/>
        <v>656.09092459020951</v>
      </c>
      <c r="BP771" s="231">
        <f t="shared" si="1397"/>
        <v>-43.909075409790489</v>
      </c>
      <c r="BQ771" s="129">
        <f>INDEX('Dist Plant Depreciation'!$D$7:$AC$94,MATCH($C771,'Dist Plant Depreciation'!$C$7:$C$94,0),MATCH(Calculation!$G771,'Dist Plant Depreciation'!$D$5:$AC$5,0))</f>
        <v>138105</v>
      </c>
      <c r="BR771" s="129">
        <f>INDEX('Gen. Plant Depreciation'!$D$7:$AC$94,MATCH($C771,'Gen. Plant Depreciation'!$C$7:$C$94,0),MATCH(Calculation!$G771,'Gen. Plant Depreciation'!$D$5:$AC$5,0))</f>
        <v>8692</v>
      </c>
      <c r="BS771" s="129"/>
      <c r="BT771" s="129"/>
      <c r="BU771" s="129"/>
      <c r="BV771" s="129"/>
      <c r="BW771" s="129"/>
      <c r="BX771" s="129"/>
      <c r="BY771" s="129">
        <f>INDEX('Gross Dx Plant'!$D$7:$AC$91,MATCH($C771,'Gross Dx Plant'!$C$7:$C$91,0),MATCH(Calculation!$G771,'Gross Dx Plant'!$D$5:$AC$5,0))</f>
        <v>269375</v>
      </c>
      <c r="BZ771" s="129">
        <f>INDEX('Gross Gen Plant'!$D$7:$AC$91,MATCH($C771,'Gross Gen Plant'!$C$7:$C$91,0),MATCH(Calculation!$G771,'Gross Gen Plant'!$D$5:$AC$5,0))</f>
        <v>18028</v>
      </c>
      <c r="CA771" s="129">
        <f t="shared" si="1325"/>
        <v>140606</v>
      </c>
      <c r="CB771" s="129"/>
      <c r="CC771" s="133">
        <v>2016</v>
      </c>
      <c r="CD771" s="129"/>
      <c r="CE771" s="129"/>
      <c r="CF771" s="129"/>
      <c r="CG771" s="137"/>
      <c r="CH771" s="129">
        <f t="shared" si="1373"/>
        <v>20687</v>
      </c>
      <c r="CI771" s="46">
        <f t="shared" si="1382"/>
        <v>20643.090924590211</v>
      </c>
      <c r="CJ771" s="231">
        <f t="shared" si="1374"/>
        <v>30.743755087248726</v>
      </c>
      <c r="CK771" s="443">
        <v>0.7857142857142857</v>
      </c>
      <c r="CL771" s="231">
        <f>+CL753*CK771+CJ754*CK770+CJ755*CK769+CJ756*CK768+CJ757*CK767+CJ758*CK766+CJ759*CK765+CJ760*CK764+CJ761*CK763+CJ762*CK762+CJ763*CK761+CJ764*CK760+CJ765*CK759+CJ766*CK758+CJ767*CK757+CJ768*CK756+CJ769*CK755+CJ770*CK754+CJ771</f>
        <v>567.02339805648865</v>
      </c>
      <c r="CM771" s="134">
        <f t="shared" si="1375"/>
        <v>4.0732725895255055E-2</v>
      </c>
      <c r="CN771" s="135">
        <f t="shared" si="1376"/>
        <v>1.489997664856086E-2</v>
      </c>
      <c r="CO771" s="135">
        <f t="shared" si="1385"/>
        <v>1.4651137074386984E-2</v>
      </c>
      <c r="CP771" s="134">
        <f>VLOOKUP($H771,RoR!$E:$F,2,FALSE)</f>
        <v>3.6658333333333334E-2</v>
      </c>
      <c r="CQ771" s="135">
        <v>1.0483662879041455E-2</v>
      </c>
      <c r="CR771" s="135">
        <f t="shared" si="1383"/>
        <v>2.6174670454291879E-2</v>
      </c>
      <c r="CS771" s="135">
        <f t="shared" si="1386"/>
        <v>1.6250804534146641E-2</v>
      </c>
      <c r="CT771" s="135">
        <f t="shared" si="1387"/>
        <v>4.301363574220729E-3</v>
      </c>
      <c r="CU771" s="139">
        <f t="shared" si="1377"/>
        <v>0.85150049999999999</v>
      </c>
      <c r="CV771" s="335">
        <f t="shared" si="1378"/>
        <v>1.3989193348138562</v>
      </c>
      <c r="CW771" s="335">
        <f t="shared" si="1379"/>
        <v>0.29302682427824522</v>
      </c>
      <c r="CX771" s="335">
        <f t="shared" si="1380"/>
        <v>0.76309497491941802</v>
      </c>
      <c r="CY771" s="335">
        <f t="shared" si="1381"/>
        <v>0.31280857135128509</v>
      </c>
      <c r="CZ771" s="336">
        <f>INDEX('State Tax Lookup'!$D$7:$Z$91,MATCH(Calculation!$C771,'State Tax Lookup'!$B$7:$B$91,0),MATCH($H771,'State Tax Lookup'!$D$6:$Z$6,0))</f>
        <v>0.40134999999999998</v>
      </c>
      <c r="DA771" s="302">
        <v>0.37</v>
      </c>
      <c r="DB771" s="57">
        <f t="shared" si="1384"/>
        <v>15.514342304983693</v>
      </c>
      <c r="DC771" s="56">
        <f t="shared" si="1388"/>
        <v>-2.3226500354112781E-2</v>
      </c>
      <c r="DD771" s="303">
        <f>VLOOKUP($H771,RoR!$E:$F,2,FALSE)</f>
        <v>3.6658333333333334E-2</v>
      </c>
      <c r="DE771" s="304">
        <f>HLOOKUP($H771,'GDP-PI'!$D$8:$CQ$11,3,FALSE)</f>
        <v>1.0483662879041455E-2</v>
      </c>
      <c r="DF771" s="303">
        <f>VLOOKUP(H771,'HW Dx Data'!$E:$F,2,FALSE)</f>
        <v>671.45639385971219</v>
      </c>
      <c r="DG771" s="364">
        <f ca="1">VLOOKUP(CC771,'ECI - Input Price'!M$13:N$33,2,FALSE)</f>
        <v>136.94999999999999</v>
      </c>
      <c r="DH771" s="364"/>
      <c r="DI771" s="364"/>
      <c r="DJ771" s="56">
        <f t="shared" ca="1" si="1398"/>
        <v>2.5514417868782811E-2</v>
      </c>
      <c r="DK771" s="53">
        <f>HLOOKUP(H771,'GDP-PI'!$8:$9,2,FALSE)</f>
        <v>105.736</v>
      </c>
      <c r="DL771" s="355">
        <f t="shared" si="1389"/>
        <v>1.0429090367205095E-2</v>
      </c>
      <c r="EC771"/>
    </row>
    <row r="772" spans="1:133" s="126" customFormat="1" ht="21" customHeight="1" x14ac:dyDescent="0.4">
      <c r="A772" s="233" t="s">
        <v>226</v>
      </c>
      <c r="B772" s="127" t="s">
        <v>227</v>
      </c>
      <c r="C772" s="127">
        <v>4061925</v>
      </c>
      <c r="D772" s="127" t="s">
        <v>214</v>
      </c>
      <c r="E772" s="127"/>
      <c r="F772" s="127"/>
      <c r="G772" s="127" t="s">
        <v>173</v>
      </c>
      <c r="H772" s="128">
        <v>2017</v>
      </c>
      <c r="I772" s="129"/>
      <c r="J772" s="125">
        <f>IFERROR(INDEX('Labor Expenditures'!$E$7:$W$91,MATCH($C772,'Labor Expenditures'!$C$7:$C$91,0),MATCH($G772,'Labor Expenditures'!$E$5:$W$5,0)),"NA")</f>
        <v>7311.955921537975</v>
      </c>
      <c r="K772" s="125">
        <f t="shared" ca="1" si="1390"/>
        <v>52.060917917678715</v>
      </c>
      <c r="L772" s="47"/>
      <c r="M772" s="131">
        <f t="shared" ca="1" si="1399"/>
        <v>-9.8170669704775421E-2</v>
      </c>
      <c r="N772" s="131"/>
      <c r="O772" s="131"/>
      <c r="P772" s="59">
        <f t="shared" ca="1" si="1401"/>
        <v>-2.4634245414580325E-4</v>
      </c>
      <c r="Q772" s="61"/>
      <c r="R772" s="387"/>
      <c r="S772" s="49">
        <f t="shared" ca="1" si="1406"/>
        <v>166.9194658973891</v>
      </c>
      <c r="T772" s="61">
        <f ca="1">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</f>
        <v>-0.58878003964448233</v>
      </c>
      <c r="U772" s="61"/>
      <c r="V772" s="125">
        <f>IFERROR(INDEX('Non-Labor Expenditures'!$E$7:$AA$91,MATCH($C772,'Non-Labor Expenditures'!$C$7:$C$91,0),MATCH($G772,'Non-Labor Expenditures'!$E$5:$AA$5,0)),"NA")</f>
        <v>10589.077859371235</v>
      </c>
      <c r="W772" s="125">
        <f t="shared" si="1391"/>
        <v>98.273592443422658</v>
      </c>
      <c r="X772" s="131">
        <f t="shared" si="1402"/>
        <v>-9.1812600091354973E-2</v>
      </c>
      <c r="Y772" s="131">
        <f t="shared" si="1403"/>
        <v>-2.3038796919719275E-4</v>
      </c>
      <c r="Z772" s="131"/>
      <c r="AA772" s="131"/>
      <c r="AB772" s="131"/>
      <c r="AC772" s="125">
        <f t="shared" si="1370"/>
        <v>7892.6726131319529</v>
      </c>
      <c r="AD772" s="129"/>
      <c r="AE772" s="133">
        <v>642.05220423806429</v>
      </c>
      <c r="AF772" s="134">
        <v>4.9640113602369085E-2</v>
      </c>
      <c r="AG772" s="59">
        <f t="shared" si="1392"/>
        <v>1.2456334917199029E-4</v>
      </c>
      <c r="AH772" s="134"/>
      <c r="AI772" s="134"/>
      <c r="AJ772" s="129">
        <f t="shared" si="1351"/>
        <v>25793.706394041161</v>
      </c>
      <c r="AK772" s="134">
        <f t="shared" si="1404"/>
        <v>-7.1349053144302677E-2</v>
      </c>
      <c r="AL772" s="129"/>
      <c r="AM772" s="129"/>
      <c r="AN772" s="129"/>
      <c r="AO772" s="129"/>
      <c r="AP772" s="133">
        <f t="shared" si="1405"/>
        <v>224.57039469641785</v>
      </c>
      <c r="AQ772" s="134">
        <f>+BB773/Outputs!$B$25</f>
        <v>3.1019590592609269E-3</v>
      </c>
      <c r="AR772" s="93">
        <f t="shared" si="1393"/>
        <v>0.28347829543516773</v>
      </c>
      <c r="AS772" s="93">
        <f t="shared" si="1394"/>
        <v>0.41052951823230471</v>
      </c>
      <c r="AT772" s="93">
        <f t="shared" si="1395"/>
        <v>0.30599218633252767</v>
      </c>
      <c r="AU772" s="93">
        <f t="shared" ca="1" si="1400"/>
        <v>-5.0410888064418527E-2</v>
      </c>
      <c r="AV772" s="132">
        <f t="shared" ca="1" si="1408"/>
        <v>123.41515800348022</v>
      </c>
      <c r="AW772" s="134">
        <f t="shared" ca="1" si="1409"/>
        <v>-5.0410888064418485E-2</v>
      </c>
      <c r="AX772" s="56">
        <f>+AJ772/$AL$22</f>
        <v>2.50932844694468E-3</v>
      </c>
      <c r="AY772" s="135">
        <f t="shared" ca="1" si="1407"/>
        <v>-1.2649747545578934E-4</v>
      </c>
      <c r="AZ772" s="93"/>
      <c r="BA772" s="93"/>
      <c r="BB772" s="234">
        <v>113793</v>
      </c>
      <c r="BC772" s="269">
        <f t="shared" si="1371"/>
        <v>4.9863551470280317E-3</v>
      </c>
      <c r="BD772" s="92"/>
      <c r="BE772" s="299" t="str">
        <f t="shared" si="1410"/>
        <v>NORTHERN STATES POWER COMPANY - WI</v>
      </c>
      <c r="BF772" s="300">
        <f t="shared" si="1411"/>
        <v>4061925</v>
      </c>
      <c r="BG772" s="231" t="str">
        <f t="shared" si="1412"/>
        <v>WI</v>
      </c>
      <c r="BH772" s="231"/>
      <c r="BI772" s="231" t="str">
        <f t="shared" si="1413"/>
        <v>2017 Y</v>
      </c>
      <c r="BJ772" s="129"/>
      <c r="BK772" s="129"/>
      <c r="BL772" s="129">
        <f>INDEX('Dist. Plant Gas Additions'!$E$7:$AD$91,MATCH($C772,'Dist. Plant Gas Additions'!$C$7:$C$91,0),MATCH(Calculation!$G772,'Dist. Plant Gas Additions'!$E$5:$AD$5,0))</f>
        <v>23159</v>
      </c>
      <c r="BM772" s="129">
        <f>INDEX('Gen. Plant Additions'!$E$7:$AD$91,MATCH($C772,'Gen. Plant Additions'!$C$7:$C$91,0),MATCH(Calculation!$G772,'Gen. Plant Additions'!$E$5:$AD$5,0))</f>
        <v>2640</v>
      </c>
      <c r="BN772" s="301">
        <f t="shared" si="1372"/>
        <v>0.93540572236413</v>
      </c>
      <c r="BO772" s="231">
        <f t="shared" si="1396"/>
        <v>2469.4711070413032</v>
      </c>
      <c r="BP772" s="231">
        <f t="shared" si="1397"/>
        <v>-170.52889295869682</v>
      </c>
      <c r="BQ772" s="129">
        <f>INDEX('Dist Plant Depreciation'!$D$7:$AC$94,MATCH($C772,'Dist Plant Depreciation'!$C$7:$C$94,0),MATCH(Calculation!$G772,'Dist Plant Depreciation'!$D$5:$AC$5,0))</f>
        <v>143328</v>
      </c>
      <c r="BR772" s="129">
        <f>INDEX('Gen. Plant Depreciation'!$D$7:$AC$94,MATCH($C772,'Gen. Plant Depreciation'!$C$7:$C$94,0),MATCH(Calculation!$G772,'Gen. Plant Depreciation'!$D$5:$AC$5,0))</f>
        <v>9852</v>
      </c>
      <c r="BS772" s="129"/>
      <c r="BT772" s="129"/>
      <c r="BU772" s="129"/>
      <c r="BV772" s="129"/>
      <c r="BW772" s="129"/>
      <c r="BX772" s="129"/>
      <c r="BY772" s="129">
        <f>INDEX('Gross Dx Plant'!$D$7:$AC$91,MATCH($C772,'Gross Dx Plant'!$C$7:$C$91,0),MATCH(Calculation!$G772,'Gross Dx Plant'!$D$5:$AC$5,0))</f>
        <v>291131</v>
      </c>
      <c r="BZ772" s="129">
        <f>INDEX('Gross Gen Plant'!$D$7:$AC$91,MATCH($C772,'Gross Gen Plant'!$C$7:$C$91,0),MATCH(Calculation!$G772,'Gross Gen Plant'!$D$5:$AC$5,0))</f>
        <v>20104</v>
      </c>
      <c r="CA772" s="129">
        <f t="shared" si="1325"/>
        <v>158055</v>
      </c>
      <c r="CB772" s="129"/>
      <c r="CC772" s="133">
        <v>2017</v>
      </c>
      <c r="CD772" s="129"/>
      <c r="CE772" s="129"/>
      <c r="CF772" s="129"/>
      <c r="CG772" s="137"/>
      <c r="CH772" s="129">
        <f t="shared" si="1373"/>
        <v>25799</v>
      </c>
      <c r="CI772" s="46">
        <f t="shared" si="1382"/>
        <v>25628.471107041303</v>
      </c>
      <c r="CJ772" s="231">
        <f t="shared" si="1374"/>
        <v>35.973389745056437</v>
      </c>
      <c r="CK772" s="443">
        <v>0.77108433734939763</v>
      </c>
      <c r="CL772" s="231">
        <f>+CL753*CK772+CJ754*CK771+CJ755*CK770+CJ756*CK769+CJ757*CK768+CJ758*CK767+CJ759*CK766+CJ760*CK765+CJ761*CK764+CJ762*CK763+CJ763*CK762+CJ764*CK761+CJ765*CK760+CJ766*CK759+CJ767*CK758+CJ768*CK757+CJ769*CK756+CJ770*CK755+CJ771*CK754+CJ772</f>
        <v>594.3944966372386</v>
      </c>
      <c r="CM772" s="134">
        <f t="shared" si="1375"/>
        <v>4.7142665385141655E-2</v>
      </c>
      <c r="CN772" s="135">
        <f t="shared" si="1376"/>
        <v>1.5170963303792081E-2</v>
      </c>
      <c r="CO772" s="135">
        <f t="shared" si="1385"/>
        <v>1.4905581741245502E-2</v>
      </c>
      <c r="CP772" s="134">
        <f>VLOOKUP($H772,RoR!$E:$F,2,FALSE)</f>
        <v>3.7433333333333339E-2</v>
      </c>
      <c r="CQ772" s="135">
        <v>1.9056896421275615E-2</v>
      </c>
      <c r="CR772" s="135">
        <f t="shared" si="1383"/>
        <v>1.8376436912057724E-2</v>
      </c>
      <c r="CS772" s="135">
        <f t="shared" si="1386"/>
        <v>1.5996359867288125E-2</v>
      </c>
      <c r="CT772" s="135">
        <f t="shared" si="1387"/>
        <v>1.3976271617800498E-2</v>
      </c>
      <c r="CU772" s="139">
        <f t="shared" si="1377"/>
        <v>0.90330050000000006</v>
      </c>
      <c r="CV772" s="335">
        <f t="shared" si="1378"/>
        <v>1.3699568463593395</v>
      </c>
      <c r="CW772" s="335">
        <f t="shared" si="1379"/>
        <v>0.30714603739982199</v>
      </c>
      <c r="CX772" s="335">
        <f t="shared" si="1380"/>
        <v>0.77007188472689425</v>
      </c>
      <c r="CY772" s="335">
        <f t="shared" si="1381"/>
        <v>0.32402839633793828</v>
      </c>
      <c r="CZ772" s="336">
        <f>INDEX('State Tax Lookup'!$D$7:$Z$91,MATCH(Calculation!$C772,'State Tax Lookup'!$B$7:$B$91,0),MATCH($H772,'State Tax Lookup'!$D$6:$Z$6,0))</f>
        <v>0.26134999999999997</v>
      </c>
      <c r="DA772" s="302">
        <v>0.37</v>
      </c>
      <c r="DB772" s="57">
        <f t="shared" si="1384"/>
        <v>13.919483111604611</v>
      </c>
      <c r="DC772" s="56">
        <f t="shared" si="1388"/>
        <v>-0.1084753846589421</v>
      </c>
      <c r="DD772" s="303">
        <f>VLOOKUP($H772,RoR!$E:$F,2,FALSE)</f>
        <v>3.7433333333333339E-2</v>
      </c>
      <c r="DE772" s="304">
        <f>HLOOKUP($H772,'GDP-PI'!$D$8:$CQ$11,3,FALSE)</f>
        <v>1.9056896421275615E-2</v>
      </c>
      <c r="DF772" s="303">
        <f>VLOOKUP(H772,'HW Dx Data'!$E:$F,2,FALSE)</f>
        <v>712.42858370229726</v>
      </c>
      <c r="DG772" s="364">
        <f ca="1">VLOOKUP(CC772,'ECI - Input Price'!M$13:N$33,2,FALSE)</f>
        <v>140.44999999999999</v>
      </c>
      <c r="DH772" s="364"/>
      <c r="DI772" s="364"/>
      <c r="DJ772" s="56">
        <f t="shared" ca="1" si="1398"/>
        <v>2.5235657841165486E-2</v>
      </c>
      <c r="DK772" s="53">
        <f>HLOOKUP(H772,'GDP-PI'!$8:$9,2,FALSE)</f>
        <v>107.751</v>
      </c>
      <c r="DL772" s="355">
        <f t="shared" si="1389"/>
        <v>1.8877588227745139E-2</v>
      </c>
      <c r="EC772"/>
    </row>
    <row r="773" spans="1:133" s="126" customFormat="1" ht="21" customHeight="1" x14ac:dyDescent="0.4">
      <c r="A773" s="233" t="s">
        <v>226</v>
      </c>
      <c r="B773" s="127" t="s">
        <v>227</v>
      </c>
      <c r="C773" s="127">
        <v>4061925</v>
      </c>
      <c r="D773" s="127" t="s">
        <v>214</v>
      </c>
      <c r="E773" s="127"/>
      <c r="F773" s="127"/>
      <c r="G773" s="127" t="s">
        <v>174</v>
      </c>
      <c r="H773" s="128">
        <v>2018</v>
      </c>
      <c r="I773" s="129"/>
      <c r="J773" s="125">
        <f>IFERROR(INDEX('Labor Expenditures'!$E$7:$W$91,MATCH($C773,'Labor Expenditures'!$C$7:$C$91,0),MATCH($G773,'Labor Expenditures'!$E$5:$W$5,0)),"NA")</f>
        <v>7357.6494811998728</v>
      </c>
      <c r="K773" s="125">
        <f t="shared" ca="1" si="1390"/>
        <v>50.935614269296458</v>
      </c>
      <c r="L773" s="47"/>
      <c r="M773" s="131">
        <f t="shared" ca="1" si="1399"/>
        <v>-2.1852161493772664E-2</v>
      </c>
      <c r="N773" s="131"/>
      <c r="O773" s="131"/>
      <c r="P773" s="59">
        <f t="shared" ca="1" si="1401"/>
        <v>-5.2286583870457835E-5</v>
      </c>
      <c r="Q773" s="61"/>
      <c r="R773" s="387"/>
      <c r="S773" s="49">
        <f t="shared" ca="1" si="1406"/>
        <v>115.42937890608943</v>
      </c>
      <c r="T773" s="61">
        <f ca="1">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</f>
        <v>-0.36885255105132947</v>
      </c>
      <c r="U773" s="61"/>
      <c r="V773" s="125">
        <f>IFERROR(INDEX('Non-Labor Expenditures'!$E$7:$AA$91,MATCH($C773,'Non-Labor Expenditures'!$C$7:$C$91,0),MATCH($G773,'Non-Labor Expenditures'!$E$5:$AA$5,0)),"NA")</f>
        <v>10655.250668141378</v>
      </c>
      <c r="W773" s="125">
        <f t="shared" si="1391"/>
        <v>96.583189827426779</v>
      </c>
      <c r="X773" s="131">
        <f t="shared" si="1402"/>
        <v>-1.7350640848289977E-2</v>
      </c>
      <c r="Y773" s="131">
        <f t="shared" si="1403"/>
        <v>-4.1515606507797284E-5</v>
      </c>
      <c r="Z773" s="131"/>
      <c r="AA773" s="131"/>
      <c r="AB773" s="131"/>
      <c r="AC773" s="125">
        <f t="shared" si="1370"/>
        <v>8613.4065785793246</v>
      </c>
      <c r="AD773" s="129"/>
      <c r="AE773" s="133">
        <v>664.72188339834759</v>
      </c>
      <c r="AF773" s="134">
        <v>3.4699117327040521E-2</v>
      </c>
      <c r="AG773" s="59">
        <f t="shared" si="1392"/>
        <v>8.3026034237765998E-5</v>
      </c>
      <c r="AH773" s="134"/>
      <c r="AI773" s="134"/>
      <c r="AJ773" s="129">
        <f t="shared" si="1351"/>
        <v>26626.306727920575</v>
      </c>
      <c r="AK773" s="134">
        <f t="shared" si="1404"/>
        <v>3.1769177853840889E-2</v>
      </c>
      <c r="AL773" s="129"/>
      <c r="AM773" s="129"/>
      <c r="AN773" s="129"/>
      <c r="AO773" s="129"/>
      <c r="AP773" s="133">
        <f t="shared" si="1405"/>
        <v>229.54306342336938</v>
      </c>
      <c r="AQ773" s="134">
        <f>+BB774/Outputs!$B$26</f>
        <v>3.1052839486184289E-3</v>
      </c>
      <c r="AR773" s="93">
        <f t="shared" si="1393"/>
        <v>0.27633008048707625</v>
      </c>
      <c r="AS773" s="93">
        <f t="shared" si="1394"/>
        <v>0.40017756788507924</v>
      </c>
      <c r="AT773" s="93">
        <f t="shared" si="1395"/>
        <v>0.32349235162784451</v>
      </c>
      <c r="AU773" s="93">
        <f t="shared" ca="1" si="1400"/>
        <v>-2.228376341180522E-3</v>
      </c>
      <c r="AV773" s="132">
        <f t="shared" ca="1" si="1408"/>
        <v>123.14044877668911</v>
      </c>
      <c r="AW773" s="134">
        <f t="shared" ca="1" si="1409"/>
        <v>-2.2283763411805185E-3</v>
      </c>
      <c r="AX773" s="56">
        <f>+AJ773/$AL$23</f>
        <v>2.3927419667550162E-3</v>
      </c>
      <c r="AY773" s="135">
        <f t="shared" ca="1" si="1407"/>
        <v>-5.3319295892666208E-6</v>
      </c>
      <c r="AZ773" s="93"/>
      <c r="BA773" s="93"/>
      <c r="BB773" s="234">
        <v>114858</v>
      </c>
      <c r="BC773" s="269">
        <f t="shared" si="1371"/>
        <v>9.3155744055992799E-3</v>
      </c>
      <c r="BD773" s="92"/>
      <c r="BE773" s="299" t="str">
        <f t="shared" si="1410"/>
        <v>NORTHERN STATES POWER COMPANY - WI</v>
      </c>
      <c r="BF773" s="300">
        <f t="shared" si="1411"/>
        <v>4061925</v>
      </c>
      <c r="BG773" s="231" t="str">
        <f t="shared" si="1412"/>
        <v>WI</v>
      </c>
      <c r="BH773" s="231"/>
      <c r="BI773" s="231" t="str">
        <f t="shared" si="1413"/>
        <v>2018 Y</v>
      </c>
      <c r="BJ773" s="129"/>
      <c r="BK773" s="129"/>
      <c r="BL773" s="129">
        <f>INDEX('Dist. Plant Gas Additions'!$E$7:$AD$91,MATCH($C773,'Dist. Plant Gas Additions'!$C$7:$C$91,0),MATCH(Calculation!$G773,'Dist. Plant Gas Additions'!$E$5:$AD$5,0))</f>
        <v>19791</v>
      </c>
      <c r="BM773" s="129">
        <f>INDEX('Gen. Plant Additions'!$E$7:$AD$91,MATCH($C773,'Gen. Plant Additions'!$C$7:$C$91,0),MATCH(Calculation!$G773,'Gen. Plant Additions'!$E$5:$AD$5,0))</f>
        <v>1479</v>
      </c>
      <c r="BN773" s="301">
        <f t="shared" si="1372"/>
        <v>0.93901766840100065</v>
      </c>
      <c r="BO773" s="231">
        <f t="shared" si="1396"/>
        <v>1388.80713156508</v>
      </c>
      <c r="BP773" s="231">
        <f t="shared" si="1397"/>
        <v>-90.192868434920001</v>
      </c>
      <c r="BQ773" s="129">
        <f>INDEX('Dist Plant Depreciation'!$D$7:$AC$94,MATCH($C773,'Dist Plant Depreciation'!$C$7:$C$94,0),MATCH(Calculation!$G773,'Dist Plant Depreciation'!$D$5:$AC$5,0))</f>
        <v>150417</v>
      </c>
      <c r="BR773" s="129">
        <f>INDEX('Gen. Plant Depreciation'!$D$7:$AC$94,MATCH($C773,'Gen. Plant Depreciation'!$C$7:$C$94,0),MATCH(Calculation!$G773,'Gen. Plant Depreciation'!$D$5:$AC$5,0))</f>
        <v>9618</v>
      </c>
      <c r="BS773" s="129"/>
      <c r="BT773" s="129"/>
      <c r="BU773" s="129"/>
      <c r="BV773" s="129"/>
      <c r="BW773" s="129"/>
      <c r="BX773" s="129"/>
      <c r="BY773" s="129">
        <f>INDEX('Gross Dx Plant'!$D$7:$AC$91,MATCH($C773,'Gross Dx Plant'!$C$7:$C$91,0),MATCH(Calculation!$G773,'Gross Dx Plant'!$D$5:$AC$5,0))</f>
        <v>310058</v>
      </c>
      <c r="BZ773" s="129">
        <f>INDEX('Gross Gen Plant'!$D$7:$AC$91,MATCH($C773,'Gross Gen Plant'!$C$7:$C$91,0),MATCH(Calculation!$G773,'Gross Gen Plant'!$D$5:$AC$5,0))</f>
        <v>20136</v>
      </c>
      <c r="CA773" s="129">
        <f t="shared" si="1325"/>
        <v>170159</v>
      </c>
      <c r="CB773" s="129"/>
      <c r="CC773" s="133">
        <v>2018</v>
      </c>
      <c r="CD773" s="129"/>
      <c r="CE773" s="129"/>
      <c r="CF773" s="129"/>
      <c r="CG773" s="137"/>
      <c r="CH773" s="129">
        <f t="shared" si="1373"/>
        <v>21270</v>
      </c>
      <c r="CI773" s="46">
        <f t="shared" si="1382"/>
        <v>21179.807131565081</v>
      </c>
      <c r="CJ773" s="231">
        <f t="shared" si="1374"/>
        <v>28.047645849172476</v>
      </c>
      <c r="CK773" s="443">
        <v>0.75609756097560976</v>
      </c>
      <c r="CL773" s="231">
        <f>+CL753*CK773++CJ754*CK772+CJ755*CK771+CJ756*CK770+CJ757*CK769+CJ758*CK768+CJ759*CK767+CJ760*CK766+CJ761*CK765+CJ762*CK764+CJ763*CK763+CJ764*CK762+CJ765*CK761+CJ766*CK760+CJ767*CK759+CJ768*CK758+CJ769*CK757+CJ770*CK756+CJ771*CK755+CJ772*CK754+CJ773</f>
        <v>613.28457593679514</v>
      </c>
      <c r="CM773" s="134">
        <f t="shared" si="1375"/>
        <v>3.1285828344722301E-2</v>
      </c>
      <c r="CN773" s="135">
        <f t="shared" si="1376"/>
        <v>1.5406546664588053E-2</v>
      </c>
      <c r="CO773" s="135">
        <f t="shared" si="1385"/>
        <v>1.5159162205646998E-2</v>
      </c>
      <c r="CP773" s="134">
        <f>VLOOKUP($H773,RoR!$E:$F,2,FALSE)</f>
        <v>3.9299999999999995E-2</v>
      </c>
      <c r="CQ773" s="135">
        <v>2.386056741932796E-2</v>
      </c>
      <c r="CR773" s="135">
        <f t="shared" si="1383"/>
        <v>1.5439432580672034E-2</v>
      </c>
      <c r="CS773" s="135">
        <f t="shared" si="1386"/>
        <v>1.5742779402886625E-2</v>
      </c>
      <c r="CT773" s="135">
        <f t="shared" si="1387"/>
        <v>3.8270792163076606E-2</v>
      </c>
      <c r="CU773" s="139">
        <f t="shared" si="1377"/>
        <v>0.90330050000000006</v>
      </c>
      <c r="CV773" s="335">
        <f t="shared" si="1378"/>
        <v>1.3048868010700074</v>
      </c>
      <c r="CW773" s="335">
        <f t="shared" si="1379"/>
        <v>0.33886768447837151</v>
      </c>
      <c r="CX773" s="335">
        <f t="shared" si="1380"/>
        <v>0.78602506232557801</v>
      </c>
      <c r="CY773" s="335">
        <f t="shared" si="1381"/>
        <v>0.34756768162358759</v>
      </c>
      <c r="CZ773" s="336">
        <f>INDEX('State Tax Lookup'!$D$7:$Z$91,MATCH(Calculation!$C773,'State Tax Lookup'!$B$7:$B$91,0),MATCH($H773,'State Tax Lookup'!$D$6:$Z$6,0))</f>
        <v>0.26134999999999997</v>
      </c>
      <c r="DA773" s="302">
        <v>0.37</v>
      </c>
      <c r="DB773" s="57">
        <f t="shared" si="1384"/>
        <v>14.491060444383828</v>
      </c>
      <c r="DC773" s="56">
        <f t="shared" si="1388"/>
        <v>4.0242416792473631E-2</v>
      </c>
      <c r="DD773" s="303">
        <f>VLOOKUP($H773,RoR!$E:$F,2,FALSE)</f>
        <v>3.9299999999999995E-2</v>
      </c>
      <c r="DE773" s="304">
        <f>HLOOKUP($H773,'GDP-PI'!$D$8:$CQ$11,3,FALSE)</f>
        <v>2.386056741932796E-2</v>
      </c>
      <c r="DF773" s="303">
        <f>VLOOKUP(H773,'HW Dx Data'!$E:$F,2,FALSE)</f>
        <v>755.13671434174842</v>
      </c>
      <c r="DG773" s="364">
        <f ca="1">VLOOKUP(CC773,'ECI - Input Price'!M$13:N$33,2,FALSE)</f>
        <v>144.44999999999999</v>
      </c>
      <c r="DH773" s="364"/>
      <c r="DI773" s="364"/>
      <c r="DJ773" s="56">
        <f t="shared" ca="1" si="1398"/>
        <v>2.80818733619915E-2</v>
      </c>
      <c r="DK773" s="53">
        <f>HLOOKUP(H773,'GDP-PI'!$8:$9,2,FALSE)</f>
        <v>110.322</v>
      </c>
      <c r="DL773" s="355">
        <f t="shared" si="1389"/>
        <v>2.3580352716508712E-2</v>
      </c>
      <c r="EC773"/>
    </row>
    <row r="774" spans="1:133" s="126" customFormat="1" ht="21" customHeight="1" x14ac:dyDescent="0.4">
      <c r="A774" s="233" t="s">
        <v>226</v>
      </c>
      <c r="B774" s="127" t="s">
        <v>227</v>
      </c>
      <c r="C774" s="127">
        <v>4061925</v>
      </c>
      <c r="D774" s="127" t="s">
        <v>214</v>
      </c>
      <c r="E774" s="127"/>
      <c r="F774" s="127"/>
      <c r="G774" s="127" t="s">
        <v>175</v>
      </c>
      <c r="H774" s="128">
        <v>2019</v>
      </c>
      <c r="I774" s="129"/>
      <c r="J774" s="125">
        <v>7797.4245513948399</v>
      </c>
      <c r="K774" s="125">
        <f t="shared" ca="1" si="1390"/>
        <v>52.095704368764586</v>
      </c>
      <c r="L774" s="47"/>
      <c r="M774" s="131">
        <f t="shared" ca="1" si="1399"/>
        <v>2.2520125788613479E-2</v>
      </c>
      <c r="N774" s="131"/>
      <c r="O774" s="131"/>
      <c r="P774" s="59">
        <f t="shared" ca="1" si="1401"/>
        <v>5.5396116971367606E-5</v>
      </c>
      <c r="Q774" s="61"/>
      <c r="R774" s="387"/>
      <c r="S774" s="49">
        <f t="shared" ca="1" si="1406"/>
        <v>116.66849108533081</v>
      </c>
      <c r="T774" s="61">
        <f ca="1">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</f>
        <v>1.0677598652482774E-2</v>
      </c>
      <c r="U774" s="61"/>
      <c r="V774" s="125">
        <f>IFERROR(INDEX('Non-Labor Expenditures'!$E$7:$AA$91,MATCH($C774,'Non-Labor Expenditures'!$C$7:$C$91,0),MATCH($G774,'Non-Labor Expenditures'!$E$5:$AA$5,0)),"NA")</f>
        <v>11292.127108436638</v>
      </c>
      <c r="W774" s="125">
        <f t="shared" si="1391"/>
        <v>100.53710988832279</v>
      </c>
      <c r="X774" s="131">
        <f t="shared" si="1402"/>
        <v>4.0122204236383331E-2</v>
      </c>
      <c r="Y774" s="131">
        <f t="shared" si="1403"/>
        <v>9.8694578346963759E-5</v>
      </c>
      <c r="Z774" s="131"/>
      <c r="AA774" s="131"/>
      <c r="AB774" s="131"/>
      <c r="AC774" s="125">
        <f t="shared" si="1370"/>
        <v>8935.7894891457618</v>
      </c>
      <c r="AD774" s="129"/>
      <c r="AE774" s="133">
        <v>685.69389410265217</v>
      </c>
      <c r="AF774" s="134">
        <v>3.1062576907850678E-2</v>
      </c>
      <c r="AG774" s="59">
        <f t="shared" si="1392"/>
        <v>7.6409259875867753E-5</v>
      </c>
      <c r="AH774" s="134"/>
      <c r="AI774" s="134"/>
      <c r="AJ774" s="129">
        <f t="shared" si="1351"/>
        <v>28025.341148977241</v>
      </c>
      <c r="AK774" s="134">
        <f t="shared" si="1404"/>
        <v>5.1209440099218836E-2</v>
      </c>
      <c r="AL774" s="129"/>
      <c r="AM774" s="129"/>
      <c r="AN774" s="129"/>
      <c r="AO774" s="129"/>
      <c r="AP774" s="133">
        <f t="shared" si="1405"/>
        <v>238.60085945475572</v>
      </c>
      <c r="AQ774" s="134">
        <f>+BB775/Outputs!$B$27</f>
        <v>3.1184365237130816E-3</v>
      </c>
      <c r="AR774" s="93">
        <f t="shared" si="1393"/>
        <v>0.27822764083210455</v>
      </c>
      <c r="AS774" s="93">
        <f t="shared" si="1394"/>
        <v>0.40292558968006476</v>
      </c>
      <c r="AT774" s="93">
        <f t="shared" si="1395"/>
        <v>0.31884676948783069</v>
      </c>
      <c r="AU774" s="93">
        <f t="shared" ca="1" si="1400"/>
        <v>3.2331843451222364E-2</v>
      </c>
      <c r="AV774" s="132">
        <f t="shared" ca="1" si="1408"/>
        <v>127.18686810018104</v>
      </c>
      <c r="AW774" s="134">
        <f t="shared" ca="1" si="1409"/>
        <v>3.2331843451222357E-2</v>
      </c>
      <c r="AX774" s="56">
        <f>+AJ774/$AL$24</f>
        <v>2.4598493583626755E-3</v>
      </c>
      <c r="AY774" s="135">
        <f t="shared" ca="1" si="1407"/>
        <v>7.9531464368171785E-5</v>
      </c>
      <c r="AZ774" s="93"/>
      <c r="BA774" s="93"/>
      <c r="BB774" s="234">
        <v>115997</v>
      </c>
      <c r="BC774" s="269">
        <f t="shared" si="1371"/>
        <v>9.8677459205954825E-3</v>
      </c>
      <c r="BD774" s="92"/>
      <c r="BE774" s="299" t="str">
        <f t="shared" si="1410"/>
        <v>NORTHERN STATES POWER COMPANY - WI</v>
      </c>
      <c r="BF774" s="300">
        <f t="shared" si="1411"/>
        <v>4061925</v>
      </c>
      <c r="BG774" s="231" t="str">
        <f t="shared" si="1412"/>
        <v>WI</v>
      </c>
      <c r="BH774" s="231"/>
      <c r="BI774" s="231" t="str">
        <f t="shared" si="1413"/>
        <v>2019 Y</v>
      </c>
      <c r="BJ774" s="129"/>
      <c r="BK774" s="129"/>
      <c r="BL774" s="129">
        <f>INDEX('Dist. Plant Gas Additions'!$E$7:$AD$91,MATCH($C774,'Dist. Plant Gas Additions'!$C$7:$C$91,0),MATCH(Calculation!$G774,'Dist. Plant Gas Additions'!$E$5:$AD$5,0))</f>
        <v>18435</v>
      </c>
      <c r="BM774" s="129">
        <f>INDEX('Gen. Plant Additions'!$E$7:$AD$91,MATCH($C774,'Gen. Plant Additions'!$C$7:$C$91,0),MATCH(Calculation!$G774,'Gen. Plant Additions'!$E$5:$AD$5,0))</f>
        <v>2315</v>
      </c>
      <c r="BN774" s="301">
        <f t="shared" si="1372"/>
        <v>0.93719686499386223</v>
      </c>
      <c r="BO774" s="231">
        <f t="shared" si="1396"/>
        <v>2169.6107424607912</v>
      </c>
      <c r="BP774" s="231">
        <f t="shared" si="1397"/>
        <v>-145.38925753920876</v>
      </c>
      <c r="BQ774" s="129">
        <f>INDEX('Dist Plant Depreciation'!$D$7:$AC$94,MATCH($C774,'Dist Plant Depreciation'!$C$7:$C$94,0),MATCH(Calculation!$G774,'Dist Plant Depreciation'!$D$5:$AC$5,0))</f>
        <v>158478</v>
      </c>
      <c r="BR774" s="129">
        <f>INDEX('Gen. Plant Depreciation'!$D$7:$AC$94,MATCH($C774,'Gen. Plant Depreciation'!$C$7:$C$94,0),MATCH(Calculation!$G774,'Gen. Plant Depreciation'!$D$5:$AC$5,0))</f>
        <v>11171</v>
      </c>
      <c r="BS774" s="129"/>
      <c r="BT774" s="129"/>
      <c r="BU774" s="129"/>
      <c r="BV774" s="129"/>
      <c r="BW774" s="129"/>
      <c r="BX774" s="129"/>
      <c r="BY774" s="129">
        <f>INDEX('Gross Dx Plant'!$D$7:$AC$91,MATCH($C774,'Gross Dx Plant'!$C$7:$C$91,0),MATCH(Calculation!$G774,'Gross Dx Plant'!$D$5:$AC$5,0))</f>
        <v>327525</v>
      </c>
      <c r="BZ774" s="129">
        <f>INDEX('Gross Gen Plant'!$D$7:$AC$91,MATCH($C774,'Gross Gen Plant'!$C$7:$C$91,0),MATCH(Calculation!$G774,'Gross Gen Plant'!$D$5:$AC$5,0))</f>
        <v>21948</v>
      </c>
      <c r="CA774" s="129">
        <f t="shared" si="1325"/>
        <v>179824</v>
      </c>
      <c r="CB774" s="129"/>
      <c r="CC774" s="133">
        <v>2019</v>
      </c>
      <c r="CD774" s="129"/>
      <c r="CE774" s="129"/>
      <c r="CF774" s="129"/>
      <c r="CG774" s="137"/>
      <c r="CH774" s="129">
        <f t="shared" si="1373"/>
        <v>20750</v>
      </c>
      <c r="CI774" s="46">
        <f t="shared" si="1382"/>
        <v>20604.610742460791</v>
      </c>
      <c r="CJ774" s="231">
        <f t="shared" si="1374"/>
        <v>26.636798928443479</v>
      </c>
      <c r="CK774" s="443">
        <v>0.7407407407407407</v>
      </c>
      <c r="CL774" s="231">
        <f>CL753*CK774+CJ754*CK773+CJ755*CK772+CJ756*CK771+CJ757*CK770+CJ758*CK769+CJ759*CK768+CJ760*CK767+CJ761*CK766+CJ762*CK765+CJ763*CK764+CJ764*CK763+CJ765*CK762+CJ766*CK761+CJ767*CK760+CJ768*CK759+CJ769*CK758+CJ770*CK757+CJ771*CK756+CJ772*CK755+CJ773*CK754+CJ774</f>
        <v>630.27285606167868</v>
      </c>
      <c r="CM774" s="134">
        <f t="shared" si="1375"/>
        <v>2.7323767462806521E-2</v>
      </c>
      <c r="CN774" s="135">
        <f t="shared" si="1376"/>
        <v>1.5732531327437634E-2</v>
      </c>
      <c r="CO774" s="135">
        <f t="shared" si="1385"/>
        <v>1.5436680431939256E-2</v>
      </c>
      <c r="CP774" s="134">
        <f>VLOOKUP($H774,RoR!$E:$F,2,FALSE)</f>
        <v>3.3875000000000009E-2</v>
      </c>
      <c r="CQ774" s="135">
        <v>1.8092492884465461E-2</v>
      </c>
      <c r="CR774" s="135">
        <f t="shared" si="1383"/>
        <v>1.5782507115534548E-2</v>
      </c>
      <c r="CS774" s="135">
        <f t="shared" si="1386"/>
        <v>1.5465261176594369E-2</v>
      </c>
      <c r="CT774" s="135">
        <f t="shared" si="1387"/>
        <v>4.8445665544254078E-2</v>
      </c>
      <c r="CU774" s="139">
        <f t="shared" si="1377"/>
        <v>0.90330050000000006</v>
      </c>
      <c r="CV774" s="335">
        <f t="shared" si="1378"/>
        <v>1.513861292459078</v>
      </c>
      <c r="CW774" s="335">
        <f t="shared" si="1379"/>
        <v>0.23699261992619944</v>
      </c>
      <c r="CX774" s="335">
        <f t="shared" si="1380"/>
        <v>0.73619765810468829</v>
      </c>
      <c r="CY774" s="335">
        <f t="shared" si="1381"/>
        <v>0.26412854465362851</v>
      </c>
      <c r="CZ774" s="336">
        <f>INDEX('State Tax Lookup'!$D$7:$Z$91,MATCH(Calculation!$C774,'State Tax Lookup'!$B$7:$B$91,0),MATCH($H774,'State Tax Lookup'!$D$6:$Z$6,0))</f>
        <v>0.26134999999999997</v>
      </c>
      <c r="DA774" s="302">
        <v>0.37</v>
      </c>
      <c r="DB774" s="57">
        <f t="shared" si="1384"/>
        <v>14.570380276556442</v>
      </c>
      <c r="DC774" s="56">
        <f t="shared" si="1388"/>
        <v>5.4587816137888229E-3</v>
      </c>
      <c r="DD774" s="303">
        <f>VLOOKUP($H774,RoR!$E:$F,2,FALSE)</f>
        <v>3.3875000000000009E-2</v>
      </c>
      <c r="DE774" s="304">
        <f>HLOOKUP($H774,'GDP-PI'!$D$8:$CQ$11,3,FALSE)</f>
        <v>1.8092492884465461E-2</v>
      </c>
      <c r="DF774" s="303">
        <f>VLOOKUP(H774,'HW Dx Data'!$E:$F,2,FALSE)</f>
        <v>773.53929793938721</v>
      </c>
      <c r="DG774" s="364">
        <f ca="1">VLOOKUP(CC774,'ECI - Input Price'!M$13:N$33,2,FALSE)</f>
        <v>149.67500000000001</v>
      </c>
      <c r="DH774" s="364"/>
      <c r="DI774" s="364"/>
      <c r="DJ774" s="56">
        <f t="shared" ca="1" si="1398"/>
        <v>3.5532849899171604E-2</v>
      </c>
      <c r="DK774" s="53">
        <f>HLOOKUP(H774,'GDP-PI'!$8:$9,2,FALSE)</f>
        <v>112.318</v>
      </c>
      <c r="DL774" s="355">
        <f t="shared" si="1389"/>
        <v>1.7930771451401852E-2</v>
      </c>
      <c r="EC774"/>
    </row>
    <row r="775" spans="1:133" s="126" customFormat="1" ht="21" customHeight="1" x14ac:dyDescent="0.4">
      <c r="A775" s="233" t="s">
        <v>226</v>
      </c>
      <c r="B775" s="126" t="s">
        <v>227</v>
      </c>
      <c r="C775" s="126">
        <v>4061925</v>
      </c>
      <c r="D775" s="126" t="s">
        <v>214</v>
      </c>
      <c r="G775" s="127" t="s">
        <v>176</v>
      </c>
      <c r="H775" s="128">
        <v>2020</v>
      </c>
      <c r="I775" s="129"/>
      <c r="J775" s="125">
        <v>7525.8301536081408</v>
      </c>
      <c r="K775" s="125">
        <f t="shared" ca="1" si="1390"/>
        <v>49.140255655293117</v>
      </c>
      <c r="L775" s="47"/>
      <c r="M775" s="131">
        <f t="shared" ca="1" si="1399"/>
        <v>-5.8403925954433299E-2</v>
      </c>
      <c r="N775" s="131"/>
      <c r="O775" s="131"/>
      <c r="P775" s="59">
        <f t="shared" ca="1" si="1401"/>
        <v>-1.4039910630463944E-4</v>
      </c>
      <c r="Q775" s="61"/>
      <c r="R775" s="387"/>
      <c r="S775" s="49">
        <f t="shared" ca="1" si="1406"/>
        <v>117.13948511460039</v>
      </c>
      <c r="T775" s="61">
        <f ca="1">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</f>
        <v>4.0289016142585456E-3</v>
      </c>
      <c r="U775" s="61"/>
      <c r="V775" s="125">
        <f>IFERROR(INDEX('Non-Labor Expenditures'!$E$7:$AA$91,MATCH($C775,'Non-Labor Expenditures'!$C$7:$C$91,0),MATCH($G775,'Non-Labor Expenditures'!$E$5:$AA$5,0)),"NA")</f>
        <v>10898.807693605224</v>
      </c>
      <c r="W775" s="125">
        <f t="shared" si="1391"/>
        <v>95.9207879883934</v>
      </c>
      <c r="X775" s="131">
        <f t="shared" si="1402"/>
        <v>-4.700418621845797E-2</v>
      </c>
      <c r="Y775" s="131">
        <f t="shared" si="1403"/>
        <v>-1.1299489939763903E-4</v>
      </c>
      <c r="Z775" s="131"/>
      <c r="AA775" s="131"/>
      <c r="AB775" s="131"/>
      <c r="AC775" s="125">
        <f t="shared" si="1370"/>
        <v>9466.0191231081735</v>
      </c>
      <c r="AD775" s="129"/>
      <c r="AE775" s="133">
        <v>714.75830681307752</v>
      </c>
      <c r="AF775" s="134">
        <v>4.151314348737821E-2</v>
      </c>
      <c r="AG775" s="59">
        <f t="shared" si="1392"/>
        <v>9.9794802323245941E-5</v>
      </c>
      <c r="AH775" s="134"/>
      <c r="AI775" s="134"/>
      <c r="AJ775" s="129">
        <f t="shared" si="1351"/>
        <v>27890.656970321539</v>
      </c>
      <c r="AK775" s="134">
        <f t="shared" si="1404"/>
        <v>-4.8173847791619477E-3</v>
      </c>
      <c r="AL775" s="129"/>
      <c r="AM775" s="129"/>
      <c r="AN775" s="129"/>
      <c r="AO775" s="129"/>
      <c r="AP775" s="133">
        <f t="shared" si="1405"/>
        <v>234.26699399707311</v>
      </c>
      <c r="AQ775" s="134">
        <f>+BB776/Outputs!$B$28</f>
        <v>3.1385421384113031E-3</v>
      </c>
      <c r="AR775" s="93">
        <f t="shared" si="1393"/>
        <v>0.26983337687657843</v>
      </c>
      <c r="AS775" s="93">
        <f t="shared" si="1394"/>
        <v>0.39076912764022198</v>
      </c>
      <c r="AT775" s="93">
        <f t="shared" si="1395"/>
        <v>0.33939749548319958</v>
      </c>
      <c r="AU775" s="93">
        <f t="shared" ca="1" si="1400"/>
        <v>-2.0995050384406105E-2</v>
      </c>
      <c r="AV775" s="132">
        <f t="shared" ca="1" si="1408"/>
        <v>124.54440973331867</v>
      </c>
      <c r="AW775" s="134">
        <f t="shared" ca="1" si="1409"/>
        <v>-2.0995050384406147E-2</v>
      </c>
      <c r="AX775" s="56">
        <f>+AJ775/$AL$25</f>
        <v>2.4039326810697407E-3</v>
      </c>
      <c r="AY775" s="135">
        <f t="shared" ca="1" si="1407"/>
        <v>-5.047068775977976E-5</v>
      </c>
      <c r="AZ775" s="93"/>
      <c r="BA775" s="93"/>
      <c r="BB775" s="234">
        <v>117457</v>
      </c>
      <c r="BC775" s="269">
        <f t="shared" si="1371"/>
        <v>1.25079804556672E-2</v>
      </c>
      <c r="BD775" s="92"/>
      <c r="BE775" s="299" t="str">
        <f t="shared" si="1410"/>
        <v>NORTHERN STATES POWER COMPANY - WI</v>
      </c>
      <c r="BF775" s="300">
        <f t="shared" si="1411"/>
        <v>4061925</v>
      </c>
      <c r="BG775" s="231" t="str">
        <f t="shared" si="1412"/>
        <v>WI</v>
      </c>
      <c r="BH775" s="231"/>
      <c r="BI775" s="231" t="str">
        <f t="shared" si="1413"/>
        <v>2020 Y</v>
      </c>
      <c r="BJ775" s="129"/>
      <c r="BK775" s="129"/>
      <c r="BL775" s="129">
        <f>INDEX('Dist. Plant Gas Additions'!$E$7:$AD$91,MATCH($C775,'Dist. Plant Gas Additions'!$C$7:$C$91,0),MATCH(Calculation!$G775,'Dist. Plant Gas Additions'!$E$5:$AD$5,0))</f>
        <v>26374</v>
      </c>
      <c r="BM775" s="129">
        <f>INDEX('Gen. Plant Additions'!$E$7:$AD$91,MATCH($C775,'Gen. Plant Additions'!$C$7:$C$91,0),MATCH(Calculation!$G775,'Gen. Plant Additions'!$E$5:$AD$5,0))</f>
        <v>2314</v>
      </c>
      <c r="BN775" s="301">
        <f t="shared" si="1372"/>
        <v>0.93775182217393271</v>
      </c>
      <c r="BO775" s="231">
        <f t="shared" si="1396"/>
        <v>2169.9577165104802</v>
      </c>
      <c r="BP775" s="231">
        <f t="shared" si="1397"/>
        <v>-144.04228348951983</v>
      </c>
      <c r="BQ775" s="129">
        <f>INDEX('Dist Plant Depreciation'!$D$7:$AC$94,MATCH($C775,'Dist Plant Depreciation'!$C$7:$C$94,0),MATCH(Calculation!$G775,'Dist Plant Depreciation'!$D$5:$AC$5,0))</f>
        <v>166579</v>
      </c>
      <c r="BR775" s="129">
        <f>INDEX('Gen. Plant Depreciation'!$D$7:$AC$94,MATCH($C775,'Gen. Plant Depreciation'!$C$7:$C$94,0),MATCH(Calculation!$G775,'Gen. Plant Depreciation'!$D$5:$AC$5,0))</f>
        <v>12124</v>
      </c>
      <c r="BS775" s="129"/>
      <c r="BT775" s="129"/>
      <c r="BU775" s="129"/>
      <c r="BV775" s="129"/>
      <c r="BW775" s="129"/>
      <c r="BX775" s="129"/>
      <c r="BY775" s="129">
        <f>INDEX('Gross Dx Plant'!$D$7:$AC$91,MATCH($C775,'Gross Dx Plant'!$C$7:$C$91,0),MATCH(Calculation!$G775,'Gross Dx Plant'!$D$5:$AC$5,0))</f>
        <v>352138</v>
      </c>
      <c r="BZ775" s="129">
        <f>INDEX('Gross Gen Plant'!$D$7:$AC$91,MATCH($C775,'Gross Gen Plant'!$C$7:$C$91,0),MATCH(Calculation!$G775,'Gross Gen Plant'!$D$5:$AC$5,0))</f>
        <v>23375</v>
      </c>
      <c r="CA775" s="129">
        <f t="shared" si="1325"/>
        <v>196810</v>
      </c>
      <c r="CB775" s="129"/>
      <c r="CC775" s="133">
        <v>2020</v>
      </c>
      <c r="CD775" s="129"/>
      <c r="CE775" s="129"/>
      <c r="CF775" s="129"/>
      <c r="CG775" s="137"/>
      <c r="CH775" s="129">
        <f t="shared" si="1373"/>
        <v>28688</v>
      </c>
      <c r="CI775" s="46">
        <f t="shared" si="1382"/>
        <v>28543.957716510478</v>
      </c>
      <c r="CJ775" s="231">
        <f t="shared" si="1374"/>
        <v>35.105957609629527</v>
      </c>
      <c r="CK775" s="443">
        <v>0.72499999999999998</v>
      </c>
      <c r="CL775" s="231">
        <f>CL753*CK775+CJ754*CK774+CJ755*CK773+CJ756*CK772+CJ757*CK771+CJ758*CK770+CJ759*CK769+CJ760*CK768+CJ761*CK767+CJ762*CK766+CJ763*CK765+CJ764*CK764+CJ765*CK763+CJ766*CK762+CJ767*CK761+CJ768*CK760+CJ769*CK759+CJ770*CK758+CJ771*CK757+CJ772*CK756+CJ773*CK755+CJ774*CK754+CJ775</f>
        <v>655.24017938749898</v>
      </c>
      <c r="CM775" s="134">
        <f t="shared" si="1375"/>
        <v>3.8849024027575507E-2</v>
      </c>
      <c r="CN775" s="135">
        <f t="shared" si="1376"/>
        <v>1.608610332223645E-2</v>
      </c>
      <c r="CO775" s="135">
        <f t="shared" si="1385"/>
        <v>1.5741727104754046E-2</v>
      </c>
      <c r="CP775" s="134">
        <f>VLOOKUP($H775,RoR!$E:$F,2,FALSE)</f>
        <v>2.4766666666666666E-2</v>
      </c>
      <c r="CQ775" s="135">
        <v>1.1618796630994188E-2</v>
      </c>
      <c r="CR775" s="135">
        <f t="shared" si="1383"/>
        <v>1.3147870035672478E-2</v>
      </c>
      <c r="CS775" s="135">
        <f t="shared" si="1386"/>
        <v>1.5160214503779579E-2</v>
      </c>
      <c r="CT775" s="135">
        <f t="shared" si="1387"/>
        <v>4.5144642961987357E-2</v>
      </c>
      <c r="CU775" s="139">
        <f t="shared" si="1377"/>
        <v>0.90330050000000006</v>
      </c>
      <c r="CV775" s="335">
        <f t="shared" si="1378"/>
        <v>2.0706077233668081</v>
      </c>
      <c r="CW775" s="335">
        <f t="shared" si="1379"/>
        <v>-3.4421265141318998E-2</v>
      </c>
      <c r="CX775" s="335">
        <f t="shared" si="1380"/>
        <v>0.62416226176410472</v>
      </c>
      <c r="CY775" s="335">
        <f t="shared" si="1381"/>
        <v>-4.4485877841158712E-2</v>
      </c>
      <c r="CZ775" s="336">
        <f>INDEX('State Tax Lookup'!$D$7:$Z$91,MATCH(Calculation!$C775,'State Tax Lookup'!$B$7:$B$91,0),MATCH($H775,'State Tax Lookup'!$D$6:$Z$6,0))</f>
        <v>0.26134999999999997</v>
      </c>
      <c r="DA775" s="302">
        <v>0.37</v>
      </c>
      <c r="DB775" s="57">
        <f t="shared" si="1384"/>
        <v>15.018922411251401</v>
      </c>
      <c r="DC775" s="56">
        <f t="shared" si="1388"/>
        <v>3.0320180334437979E-2</v>
      </c>
      <c r="DD775" s="303">
        <f>VLOOKUP($H775,RoR!$E:$F,2,FALSE)</f>
        <v>2.4766666666666666E-2</v>
      </c>
      <c r="DE775" s="304">
        <f>HLOOKUP($H775,'GDP-PI'!$D$8:$CQ$11,3,FALSE)</f>
        <v>1.1618796630994188E-2</v>
      </c>
      <c r="DF775" s="303">
        <f>VLOOKUP(H775,'HW Dx Data'!$E:$F,2,FALSE)</f>
        <v>813.080162458833</v>
      </c>
      <c r="DG775" s="364">
        <f ca="1">VLOOKUP(CC775,'ECI - Input Price'!M$13:N$33,2,FALSE)</f>
        <v>153.15</v>
      </c>
      <c r="DH775" s="364"/>
      <c r="DI775" s="364"/>
      <c r="DJ775" s="56">
        <f t="shared" ca="1" si="1398"/>
        <v>2.2951556467368479E-2</v>
      </c>
      <c r="DK775" s="53">
        <f>HLOOKUP(H775,'GDP-PI'!$8:$9,2,FALSE)</f>
        <v>113.623</v>
      </c>
      <c r="DL775" s="355">
        <f t="shared" si="1389"/>
        <v>1.1551816731392881E-2</v>
      </c>
      <c r="EC775"/>
    </row>
    <row r="776" spans="1:133" s="126" customFormat="1" ht="21" customHeight="1" x14ac:dyDescent="0.4">
      <c r="A776" s="233" t="s">
        <v>226</v>
      </c>
      <c r="B776" s="126" t="s">
        <v>227</v>
      </c>
      <c r="C776" s="126">
        <v>4061925</v>
      </c>
      <c r="D776" s="126" t="s">
        <v>214</v>
      </c>
      <c r="G776" s="127" t="s">
        <v>177</v>
      </c>
      <c r="H776" s="128">
        <v>2021</v>
      </c>
      <c r="I776" s="129"/>
      <c r="J776" s="125">
        <v>7423.4409439966057</v>
      </c>
      <c r="K776" s="125">
        <f t="shared" ca="1" si="1390"/>
        <v>47.207891535749482</v>
      </c>
      <c r="L776" s="47"/>
      <c r="M776" s="130">
        <f t="shared" ca="1" si="1399"/>
        <v>-4.0117497499677537E-2</v>
      </c>
      <c r="N776" s="130"/>
      <c r="O776" s="130"/>
      <c r="P776" s="59">
        <f t="shared" ca="1" si="1401"/>
        <v>-9.2983883642350183E-5</v>
      </c>
      <c r="Q776" s="61"/>
      <c r="R776" s="387"/>
      <c r="S776" s="132">
        <f ca="1">+S775*EXP(T776)</f>
        <v>120.5558513425883</v>
      </c>
      <c r="T776" s="134">
        <f ca="1">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</f>
        <v>2.8747736986718994E-2</v>
      </c>
      <c r="U776" s="134"/>
      <c r="V776" s="125">
        <v>10464.368559609675</v>
      </c>
      <c r="W776" s="125">
        <f t="shared" si="1391"/>
        <v>88.314360364669383</v>
      </c>
      <c r="X776" s="131">
        <f t="shared" si="1402"/>
        <v>-8.2619999820529352E-2</v>
      </c>
      <c r="Y776" s="131">
        <f t="shared" si="1403"/>
        <v>-1.9149570458388749E-4</v>
      </c>
      <c r="Z776" s="131"/>
      <c r="AA776" s="131"/>
      <c r="AB776" s="131"/>
      <c r="AC776" s="125">
        <f t="shared" si="1370"/>
        <v>11884.592609125562</v>
      </c>
      <c r="AD776" s="129"/>
      <c r="AE776" s="133">
        <v>746.0751754191549</v>
      </c>
      <c r="AF776" s="134"/>
      <c r="AG776" s="59">
        <f t="shared" si="1392"/>
        <v>0</v>
      </c>
      <c r="AH776" s="134"/>
      <c r="AI776" s="134"/>
      <c r="AJ776" s="129">
        <f t="shared" si="1351"/>
        <v>29772.402112731841</v>
      </c>
      <c r="AK776" s="134">
        <f t="shared" si="1404"/>
        <v>6.5290103684625955E-2</v>
      </c>
      <c r="AL776" s="129"/>
      <c r="AM776" s="134"/>
      <c r="AN776" s="134"/>
      <c r="AO776" s="134"/>
      <c r="AP776" s="133">
        <f t="shared" si="1405"/>
        <v>250.0726732412065</v>
      </c>
      <c r="AQ776" s="134">
        <f>+BB777/Outputs!$B$29</f>
        <v>3.0838250563978995E-3</v>
      </c>
      <c r="AR776" s="93">
        <f t="shared" si="1393"/>
        <v>0.24933967087667583</v>
      </c>
      <c r="AS776" s="93">
        <f t="shared" si="1394"/>
        <v>0.35147881316350699</v>
      </c>
      <c r="AT776" s="93">
        <f t="shared" si="1395"/>
        <v>0.39918151595981727</v>
      </c>
      <c r="AU776" s="93">
        <f t="shared" ca="1" si="1400"/>
        <v>-4.1076224090566757E-2</v>
      </c>
      <c r="AV776" s="132">
        <f t="shared" ca="1" si="1408"/>
        <v>119.53224085058451</v>
      </c>
      <c r="AW776" s="134">
        <f t="shared" ca="1" si="1409"/>
        <v>-4.1076224090566771E-2</v>
      </c>
      <c r="AX776" s="56">
        <f>+AJ776/$AL$26</f>
        <v>2.3177887315403356E-3</v>
      </c>
      <c r="AY776" s="135">
        <f t="shared" ca="1" si="1407"/>
        <v>-9.5206009331341333E-5</v>
      </c>
      <c r="AZ776" s="93"/>
      <c r="BA776" s="93"/>
      <c r="BB776" s="234">
        <v>119055</v>
      </c>
      <c r="BC776" s="269">
        <f t="shared" si="1371"/>
        <v>1.3513262052311344E-2</v>
      </c>
      <c r="BD776" s="91"/>
      <c r="BE776" s="299" t="str">
        <f t="shared" si="1410"/>
        <v>NORTHERN STATES POWER COMPANY - WI</v>
      </c>
      <c r="BF776" s="300">
        <f t="shared" si="1411"/>
        <v>4061925</v>
      </c>
      <c r="BG776" s="231" t="str">
        <f t="shared" si="1412"/>
        <v>WI</v>
      </c>
      <c r="BH776" s="231"/>
      <c r="BI776" s="231" t="str">
        <f t="shared" si="1413"/>
        <v>2021 Y</v>
      </c>
      <c r="BJ776" s="129"/>
      <c r="BK776" s="129"/>
      <c r="BL776" s="129">
        <f>INDEX('Dist. Plant Gas Additions'!$D$7:$AD$91,MATCH($C776,'Dist. Plant Gas Additions'!$C$7:$C$91,0),MATCH(Calculation!$G776,'Dist. Plant Gas Additions'!$D$5:$AD$5,0))</f>
        <v>31200</v>
      </c>
      <c r="BM776" s="129">
        <f>INDEX('Gen. Plant Additions'!$D$7:$AD$91,MATCH($C776,'Gen. Plant Additions'!$C$7:$C$91,0),MATCH(Calculation!$G776,'Gen. Plant Additions'!$D$5:$AD$5,0))</f>
        <v>2072</v>
      </c>
      <c r="BN776" s="343">
        <v>0.93775182217393271</v>
      </c>
      <c r="BO776" s="231">
        <f t="shared" si="1396"/>
        <v>1943.0217755443887</v>
      </c>
      <c r="BP776" s="231">
        <f t="shared" si="1397"/>
        <v>-128.97822445561133</v>
      </c>
      <c r="BQ776" s="129"/>
      <c r="BR776" s="129"/>
      <c r="BS776" s="137"/>
      <c r="BT776" s="137"/>
      <c r="BU776" s="333"/>
      <c r="BV776" s="93"/>
      <c r="BW776" s="334"/>
      <c r="BX776" s="334"/>
      <c r="BY776" s="129"/>
      <c r="BZ776" s="129"/>
      <c r="CA776" s="129"/>
      <c r="CB776" s="129"/>
      <c r="CC776" s="133">
        <v>2021</v>
      </c>
      <c r="CD776" s="129"/>
      <c r="CE776" s="129"/>
      <c r="CF776" s="129"/>
      <c r="CG776" s="137"/>
      <c r="CH776" s="129">
        <f t="shared" si="1373"/>
        <v>33272</v>
      </c>
      <c r="CI776" s="46">
        <f t="shared" si="1382"/>
        <v>33143.021775544388</v>
      </c>
      <c r="CJ776" s="231">
        <f t="shared" si="1374"/>
        <v>35.522210668415362</v>
      </c>
      <c r="CK776" s="443">
        <v>0.70886075949367089</v>
      </c>
      <c r="CL776" s="129">
        <f>CL753*CK776+CJ754*CK775+CJ755*CK774+CJ756*CK773+CJ757*CK772+CJ758*CK771+CJ759*CK770+CJ760*CK769+CJ761*CK768+CJ762*CK767+CJ763*CK766+CJ764*CK765+CJ765*CK764+CJ766*CK763+CJ767*CK762+CJ758*CK761+CJ769*CK760+CJ770*CK759+CJ771*CK758+CJ772*CK757+CJ773*CK756+CJ774*CK755+CJ776+CJ775*CK754</f>
        <v>682.27109812990045</v>
      </c>
      <c r="CM776" s="134"/>
      <c r="CN776" s="135">
        <f t="shared" si="1376"/>
        <v>1.2959052562911093E-2</v>
      </c>
      <c r="CO776" s="135">
        <f t="shared" si="1385"/>
        <v>1.4925895737528392E-2</v>
      </c>
      <c r="CP776" s="134"/>
      <c r="CQ776" s="135"/>
      <c r="CR776" s="135"/>
      <c r="CS776" s="56">
        <f t="shared" si="1386"/>
        <v>1.5976045871005234E-2</v>
      </c>
      <c r="CT776" s="135">
        <f t="shared" si="1387"/>
        <v>7.433422950153494E-2</v>
      </c>
      <c r="CU776" s="139">
        <f t="shared" si="1377"/>
        <v>0.90330050000000006</v>
      </c>
      <c r="CV776" s="335">
        <f t="shared" si="1378"/>
        <v>1.8969932656739068</v>
      </c>
      <c r="CW776" s="335">
        <f t="shared" si="1379"/>
        <v>5.0215782983970621E-2</v>
      </c>
      <c r="CX776" s="335">
        <f t="shared" si="1380"/>
        <v>0.655952481704143</v>
      </c>
      <c r="CY776" s="335">
        <f t="shared" si="1381"/>
        <v>6.2485378865697057E-2</v>
      </c>
      <c r="CZ776" s="336">
        <f>CZ775</f>
        <v>0.26134999999999997</v>
      </c>
      <c r="DA776" s="302">
        <v>0.37</v>
      </c>
      <c r="DB776" s="141">
        <f t="shared" si="1384"/>
        <v>18.137765330927909</v>
      </c>
      <c r="DC776" s="135">
        <f t="shared" si="1388"/>
        <v>0.18868534679167417</v>
      </c>
      <c r="DD776" s="336">
        <f>VLOOKUP($H776,RoR!$E:$F,2,FALSE)</f>
        <v>2.7033333333333336E-2</v>
      </c>
      <c r="DE776" s="342">
        <f>HLOOKUP($H776,'GDP-PI'!$D$8:$CR$11,3,FALSE)</f>
        <v>4.2834637353352578E-2</v>
      </c>
      <c r="DF776" s="336">
        <f>VLOOKUP(H776,'HW Dx Data'!$E:$F,2,FALSE)</f>
        <v>933.02249921662576</v>
      </c>
      <c r="DG776" s="364">
        <f ca="1">VLOOKUP(CC776,'ECI - Input Price'!M$13:N$33,2,FALSE)</f>
        <v>157.25</v>
      </c>
      <c r="DH776" s="364"/>
      <c r="DI776" s="364"/>
      <c r="DJ776" s="135">
        <f t="shared" ca="1" si="1398"/>
        <v>2.6419062301765574E-2</v>
      </c>
      <c r="DK776" s="137">
        <f>HLOOKUP(H776,'GDP-PI'!$8:$9,2,FALSE)</f>
        <v>118.49</v>
      </c>
      <c r="DL776" s="356">
        <f t="shared" si="1389"/>
        <v>4.194261824609434E-2</v>
      </c>
      <c r="EC776"/>
    </row>
    <row r="777" spans="1:133" s="126" customFormat="1" ht="21" customHeight="1" thickBot="1" x14ac:dyDescent="0.45">
      <c r="A777" s="235"/>
      <c r="B777" s="236"/>
      <c r="C777" s="236"/>
      <c r="D777" s="236"/>
      <c r="E777" s="236"/>
      <c r="F777" s="236"/>
      <c r="G777" s="237" t="s">
        <v>178</v>
      </c>
      <c r="H777" s="238"/>
      <c r="I777" s="239"/>
      <c r="J777" s="240">
        <v>7575.4875768512757</v>
      </c>
      <c r="K777" s="240">
        <f t="shared" ca="1" si="1390"/>
        <v>46.604045382044141</v>
      </c>
      <c r="L777" s="47"/>
      <c r="M777" s="241">
        <f t="shared" ref="M777" ca="1" si="1414">LN(K777/K776)</f>
        <v>-1.2873724032997119E-2</v>
      </c>
      <c r="N777" s="241"/>
      <c r="O777" s="241"/>
      <c r="P777" s="242">
        <f t="shared" ca="1" si="1401"/>
        <v>-2.9870755583671094E-5</v>
      </c>
      <c r="Q777" s="61"/>
      <c r="R777" s="387"/>
      <c r="S777" s="206">
        <f ca="1">+S776*EXP(T777)</f>
        <v>118.18766014203425</v>
      </c>
      <c r="T777" s="243">
        <f ca="1">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</f>
        <v>-1.9839440767724113E-2</v>
      </c>
      <c r="U777" s="243"/>
      <c r="V777" s="239">
        <v>10678.699355320474</v>
      </c>
      <c r="W777" s="240">
        <f t="shared" si="1391"/>
        <v>83.919051908215906</v>
      </c>
      <c r="X777" s="244">
        <f t="shared" ref="X777" si="1415">LN(W777/W776)</f>
        <v>-5.1050059465616152E-2</v>
      </c>
      <c r="Y777" s="244">
        <f t="shared" si="1403"/>
        <v>-1.1845087287258586E-4</v>
      </c>
      <c r="Z777" s="206"/>
      <c r="AA777" s="243"/>
      <c r="AB777" s="243"/>
      <c r="AC777" s="240">
        <f t="shared" si="1370"/>
        <v>12449.315581470004</v>
      </c>
      <c r="AD777" s="243"/>
      <c r="AE777" s="245">
        <v>768.95665311778157</v>
      </c>
      <c r="AF777" s="243">
        <v>3.0208233593655293E-2</v>
      </c>
      <c r="AG777" s="242">
        <f t="shared" si="1392"/>
        <v>7.0091821137200963E-5</v>
      </c>
      <c r="AH777" s="206"/>
      <c r="AI777" s="243"/>
      <c r="AJ777" s="239">
        <f t="shared" si="1351"/>
        <v>30703.502513641753</v>
      </c>
      <c r="AK777" s="243">
        <f t="shared" si="1404"/>
        <v>3.0794875664934978E-2</v>
      </c>
      <c r="AL777" s="239"/>
      <c r="AM777" s="243"/>
      <c r="AN777" s="243"/>
      <c r="AO777" s="243"/>
      <c r="AP777" s="245">
        <f>+(AJ777*1000)/BB777</f>
        <v>257.89343172182396</v>
      </c>
      <c r="AQ777" s="243"/>
      <c r="AR777" s="207">
        <f t="shared" si="1393"/>
        <v>0.24673040391679876</v>
      </c>
      <c r="AS777" s="207">
        <f t="shared" si="1394"/>
        <v>0.34780068985861995</v>
      </c>
      <c r="AT777" s="207">
        <f t="shared" si="1395"/>
        <v>0.40546890622458126</v>
      </c>
      <c r="AU777" s="207"/>
      <c r="AV777" s="206"/>
      <c r="AW777" s="243"/>
      <c r="AX777" s="248">
        <f>+AJ777/$AL$27</f>
        <v>2.3202886365365806E-3</v>
      </c>
      <c r="AY777" s="249"/>
      <c r="AZ777" s="206"/>
      <c r="BA777" s="243"/>
      <c r="BB777" s="250">
        <v>119055</v>
      </c>
      <c r="BC777" s="270">
        <f t="shared" si="1371"/>
        <v>0</v>
      </c>
      <c r="BD777" s="91"/>
      <c r="BE777" s="306">
        <f t="shared" si="1410"/>
        <v>0</v>
      </c>
      <c r="BF777" s="307">
        <f t="shared" si="1411"/>
        <v>0</v>
      </c>
      <c r="BG777" s="308">
        <f t="shared" si="1412"/>
        <v>0</v>
      </c>
      <c r="BH777" s="308"/>
      <c r="BI777" s="308" t="str">
        <f t="shared" si="1413"/>
        <v>2022Y</v>
      </c>
      <c r="BJ777" s="239"/>
      <c r="BK777" s="239"/>
      <c r="BL777" s="239"/>
      <c r="BM777" s="239"/>
      <c r="BN777" s="337">
        <v>0.93775182217393271</v>
      </c>
      <c r="BO777" s="308">
        <f t="shared" si="1396"/>
        <v>0</v>
      </c>
      <c r="BP777" s="308">
        <f t="shared" si="1397"/>
        <v>0</v>
      </c>
      <c r="BQ777" s="239"/>
      <c r="BR777" s="239"/>
      <c r="BS777" s="310"/>
      <c r="BT777" s="310"/>
      <c r="BU777" s="311"/>
      <c r="BV777" s="207"/>
      <c r="BW777" s="312"/>
      <c r="BX777" s="312"/>
      <c r="BY777" s="239"/>
      <c r="BZ777" s="239"/>
      <c r="CA777" s="239"/>
      <c r="CB777" s="239"/>
      <c r="CC777" s="245">
        <v>2022</v>
      </c>
      <c r="CD777" s="239"/>
      <c r="CE777" s="239"/>
      <c r="CF777" s="239"/>
      <c r="CG777" s="310"/>
      <c r="CH777" s="239">
        <v>42657</v>
      </c>
      <c r="CI777" s="313">
        <f t="shared" si="1382"/>
        <v>42657</v>
      </c>
      <c r="CJ777" s="308">
        <f t="shared" si="1374"/>
        <v>41.382019964881991</v>
      </c>
      <c r="CK777" s="443">
        <v>0.69230769230769229</v>
      </c>
      <c r="CL777" s="239">
        <f>+CL753*CK777+CJ754*CK776+CJ755*CK775+CJ756*CK774+CJ757*CK773+CJ758*CK772+CJ759*CK771+CJ760*CK770+CJ761*CK769+CJ762*CK768+CJ763*CK767+CJ764*CK766+CJ765*CK765+CJ766*CK764+CJ767*CK763+CJ768*CK762+CJ769*CK761+CJ770*CK760+CJ771*CK759+CJ772*CK758+CJ773*CK757+CJ774*CK756+CJ775*CK755+CJ776*CK754+CJ777*CK753</f>
        <v>710.08533840476252</v>
      </c>
      <c r="CM777" s="243">
        <f t="shared" ref="CM777" si="1416">LN(CL777/CL776)</f>
        <v>3.995807430007367E-2</v>
      </c>
      <c r="CN777" s="249">
        <f t="shared" si="1376"/>
        <v>1.9886200261463649E-2</v>
      </c>
      <c r="CO777" s="249">
        <f t="shared" si="1385"/>
        <v>1.6310452048870397E-2</v>
      </c>
      <c r="CP777" s="243"/>
      <c r="CQ777" s="249"/>
      <c r="CR777" s="249"/>
      <c r="CS777" s="248">
        <f t="shared" si="1386"/>
        <v>1.4591489559663228E-2</v>
      </c>
      <c r="CT777" s="249">
        <f t="shared" ref="CT777" si="1417">+((DF775/DF774-1)+(DF776/DF775-1)+(DF777/DF776-1))/3</f>
        <v>0.10114668178709289</v>
      </c>
      <c r="CU777" s="314">
        <f t="shared" si="1377"/>
        <v>0.90379999999999994</v>
      </c>
      <c r="CV777" s="315"/>
      <c r="CW777" s="315"/>
      <c r="CX777" s="315"/>
      <c r="CY777" s="315"/>
      <c r="CZ777" s="316">
        <v>0.26</v>
      </c>
      <c r="DA777" s="317">
        <v>0.37</v>
      </c>
      <c r="DB777" s="318">
        <f t="shared" si="1384"/>
        <v>18.246875201944619</v>
      </c>
      <c r="DC777" s="249">
        <f t="shared" si="1388"/>
        <v>5.9975965949349268E-3</v>
      </c>
      <c r="DD777" s="316">
        <v>0.04</v>
      </c>
      <c r="DE777" s="319">
        <v>7.0000000000000001E-3</v>
      </c>
      <c r="DF777" s="316">
        <v>1030.81</v>
      </c>
      <c r="DG777" s="364">
        <f ca="1">VLOOKUP(CC777,'ECI - Input Price'!M$13:N$33,2,FALSE)</f>
        <v>162.55000000000001</v>
      </c>
      <c r="DH777" s="364"/>
      <c r="DI777" s="364"/>
      <c r="DJ777" s="249">
        <f t="shared" ca="1" si="1398"/>
        <v>3.3148751169364422E-2</v>
      </c>
      <c r="DK777" s="310">
        <v>127.25</v>
      </c>
      <c r="DL777" s="357">
        <f t="shared" si="1389"/>
        <v>7.1325086601983473E-2</v>
      </c>
      <c r="EC777"/>
    </row>
    <row r="778" spans="1:133" s="126" customFormat="1" ht="21" customHeight="1" x14ac:dyDescent="0.4">
      <c r="A778" s="251" t="s">
        <v>228</v>
      </c>
      <c r="B778" s="252" t="s">
        <v>228</v>
      </c>
      <c r="C778" s="252">
        <v>4064479</v>
      </c>
      <c r="D778" s="252" t="s">
        <v>199</v>
      </c>
      <c r="E778" s="252"/>
      <c r="F778" s="252"/>
      <c r="G778" s="252" t="s">
        <v>150</v>
      </c>
      <c r="H778" s="253">
        <v>1998</v>
      </c>
      <c r="I778" s="254"/>
      <c r="J778" s="255"/>
      <c r="K778" s="255"/>
      <c r="L778" s="47"/>
      <c r="M778" s="255"/>
      <c r="N778" s="255"/>
      <c r="O778" s="255"/>
      <c r="P778" s="219"/>
      <c r="Q778" s="218"/>
      <c r="R778" s="385"/>
      <c r="S778" s="257"/>
      <c r="T778" s="258"/>
      <c r="U778" s="258"/>
      <c r="V778" s="259"/>
      <c r="W778" s="259"/>
      <c r="X778" s="259"/>
      <c r="Y778" s="255"/>
      <c r="Z778" s="259"/>
      <c r="AA778" s="259"/>
      <c r="AB778" s="259"/>
      <c r="AC778" s="255"/>
      <c r="AD778" s="254"/>
      <c r="AE778" s="260">
        <v>126.74038836455507</v>
      </c>
      <c r="AF778" s="256"/>
      <c r="AG778" s="225"/>
      <c r="AH778" s="256"/>
      <c r="AI778" s="256"/>
      <c r="AJ778" s="254">
        <f t="shared" si="1351"/>
        <v>0</v>
      </c>
      <c r="AK778" s="254"/>
      <c r="AL778" s="254"/>
      <c r="AM778" s="256"/>
      <c r="AN778" s="256"/>
      <c r="AO778" s="256"/>
      <c r="AP778" s="226">
        <f>+(AP775+AP776+AP777)/3</f>
        <v>247.4110329867012</v>
      </c>
      <c r="AQ778" s="256"/>
      <c r="AR778" s="261"/>
      <c r="AS778" s="261"/>
      <c r="AT778" s="261"/>
      <c r="AU778" s="261"/>
      <c r="AV778" s="261"/>
      <c r="AW778" s="256">
        <f ca="1">AVERAGE(AW787:AW801)</f>
        <v>-1.9595059077073766E-3</v>
      </c>
      <c r="AX778" s="223"/>
      <c r="AY778" s="261"/>
      <c r="AZ778" s="261"/>
      <c r="BA778" s="261"/>
      <c r="BB778" s="262">
        <f>IFERROR(INDEX('Total Customers'!$E$7:$AA$91,MATCH($C778,'Total Customers'!$C$7:$C$91,0),MATCH($G778,'Total Customers'!$E$5:$AA$5,0)),"NA")</f>
        <v>42288</v>
      </c>
      <c r="BC778" s="268"/>
      <c r="BD778" s="92"/>
      <c r="BE778" s="320" t="str">
        <f t="shared" si="1410"/>
        <v>OHIO GAS COMPANY</v>
      </c>
      <c r="BF778" s="321">
        <f t="shared" si="1411"/>
        <v>4064479</v>
      </c>
      <c r="BG778" s="322" t="str">
        <f t="shared" si="1412"/>
        <v>OH</v>
      </c>
      <c r="BH778" s="322"/>
      <c r="BI778" s="322" t="str">
        <f t="shared" si="1413"/>
        <v>1998 Y</v>
      </c>
      <c r="BJ778" s="254">
        <f>INDEX('Gross Dx Plant'!$D$7:$AC$91,MATCH($C778,'Gross Dx Plant'!$C$7:$C$91,0),MATCH(Calculation!$G778,'Gross Dx Plant'!$D$5:$AC$5,0))</f>
        <v>44493</v>
      </c>
      <c r="BK778" s="254">
        <f>INDEX('Gross Gen Plant'!$D$7:$AC$91,MATCH($C778,'Gross Gen Plant'!$C$7:$C$91,0),MATCH(Calculation!$G778,'Gross Gen Plant'!$D$5:$AC$5,0))</f>
        <v>4191</v>
      </c>
      <c r="BL778" s="254">
        <f>INDEX('Dist. Plant Gas Additions'!$E$7:$AD$91,MATCH($C778,'Dist. Plant Gas Additions'!$C$7:$C$91,0),MATCH(Calculation!$G778,'Dist. Plant Gas Additions'!$E$5:$AD$5,0))</f>
        <v>1332</v>
      </c>
      <c r="BM778" s="254">
        <f>INDEX('Gen. Plant Additions'!$E$7:$AD$91,MATCH($C778,'Gen. Plant Additions'!$C$7:$C$91,0),MATCH(Calculation!$G778,'Gen. Plant Additions'!$E$5:$AD$5,0))</f>
        <v>330</v>
      </c>
      <c r="BN778" s="338">
        <f>+(BY778/(BY778+BZ778))</f>
        <v>0.91391422233177222</v>
      </c>
      <c r="BO778" s="322">
        <f t="shared" si="1396"/>
        <v>301.59169336948486</v>
      </c>
      <c r="BP778" s="322">
        <f t="shared" si="1397"/>
        <v>-28.408306630515142</v>
      </c>
      <c r="BQ778" s="254">
        <f>INDEX('Dist Plant Depreciation'!$D$7:$AC$94,MATCH($C778,'Dist Plant Depreciation'!$C$7:$C$94,0),MATCH(Calculation!$G778,'Dist Plant Depreciation'!$D$5:$AC$5,0))</f>
        <v>21517</v>
      </c>
      <c r="BR778" s="254">
        <f>INDEX('Gen. Plant Depreciation'!$D$7:$AC$94,MATCH($C778,'Gen. Plant Depreciation'!$C$7:$C$94,0),MATCH(Calculation!$G778,'Gen. Plant Depreciation'!$D$5:$AC$5,0))</f>
        <v>1601</v>
      </c>
      <c r="BS778" s="254"/>
      <c r="BT778" s="254"/>
      <c r="BU778" s="254"/>
      <c r="BV778" s="254"/>
      <c r="BW778" s="254"/>
      <c r="BX778" s="254"/>
      <c r="BY778" s="254">
        <f>INDEX('Gross Dx Plant'!$D$7:$AC$91,MATCH($C778,'Gross Dx Plant'!$C$7:$C$91,0),MATCH(Calculation!$G778,'Gross Dx Plant'!$D$5:$AC$5,0))</f>
        <v>44493</v>
      </c>
      <c r="BZ778" s="254">
        <f>INDEX('Gross Gen Plant'!$D$7:$AC$91,MATCH($C778,'Gross Gen Plant'!$C$7:$C$91,0),MATCH(Calculation!$G778,'Gross Gen Plant'!$D$5:$AC$5,0))</f>
        <v>4191</v>
      </c>
      <c r="CA778" s="254">
        <f t="shared" si="1325"/>
        <v>25566</v>
      </c>
      <c r="CB778" s="254"/>
      <c r="CC778" s="260">
        <v>1998</v>
      </c>
      <c r="CD778" s="254">
        <f>BJ778+BK778</f>
        <v>48684</v>
      </c>
      <c r="CE778" s="254">
        <f>21517+1601</f>
        <v>23118</v>
      </c>
      <c r="CF778" s="254">
        <f>+CD778-CE778</f>
        <v>25566</v>
      </c>
      <c r="CG778" s="254">
        <f>CF778/$BX$3</f>
        <v>126.74038836455507</v>
      </c>
      <c r="CH778" s="323"/>
      <c r="CI778" s="344"/>
      <c r="CJ778" s="344"/>
      <c r="CK778" s="443">
        <v>1</v>
      </c>
      <c r="CL778" s="254">
        <f>+CG778</f>
        <v>126.74038836455507</v>
      </c>
      <c r="CM778" s="256"/>
      <c r="CN778" s="325"/>
      <c r="CO778" s="325"/>
      <c r="CP778" s="256" t="e">
        <f>VLOOKUP($H778,RoR!$E:$F,2,FALSE)</f>
        <v>#N/A</v>
      </c>
      <c r="CQ778" s="325">
        <v>1.1028127770464469E-2</v>
      </c>
      <c r="CR778" s="325"/>
      <c r="CS778" s="326"/>
      <c r="CT778" s="325"/>
      <c r="CU778" s="327">
        <f t="shared" ref="CU778" si="1418">1-CZ778*DA778</f>
        <v>0.90379999999999994</v>
      </c>
      <c r="CV778" s="328"/>
      <c r="CW778" s="328"/>
      <c r="CX778" s="328"/>
      <c r="CY778" s="328"/>
      <c r="CZ778" s="329">
        <f>CZ777</f>
        <v>0.26</v>
      </c>
      <c r="DA778" s="330">
        <v>0.37</v>
      </c>
      <c r="DB778" s="331">
        <f t="shared" si="1384"/>
        <v>0</v>
      </c>
      <c r="DC778" s="326"/>
      <c r="DD778" s="351" t="e">
        <f>VLOOKUP($H778,RoR!$E:$F,2,FALSE)</f>
        <v>#N/A</v>
      </c>
      <c r="DE778" s="354">
        <f>HLOOKUP($H778,'GDP-PI'!$D$8:$CQ$11,3,FALSE)</f>
        <v>1.1028127770464469E-2</v>
      </c>
      <c r="DF778" s="351">
        <f>VLOOKUP(H778,'HW Dx Data'!$E:$F,2,FALSE)</f>
        <v>329.24564746449528</v>
      </c>
      <c r="DG778" s="330"/>
      <c r="DH778" s="330"/>
      <c r="DI778" s="330"/>
      <c r="DJ778" s="326"/>
      <c r="DK778" s="344">
        <f>HLOOKUP(H778,'GDP-PI'!$8:$9,2,FALSE)</f>
        <v>75.266999999999996</v>
      </c>
      <c r="DL778" s="292"/>
      <c r="EC778"/>
    </row>
    <row r="779" spans="1:133" s="126" customFormat="1" ht="21" customHeight="1" x14ac:dyDescent="0.4">
      <c r="A779" s="233" t="s">
        <v>228</v>
      </c>
      <c r="B779" s="127" t="s">
        <v>228</v>
      </c>
      <c r="C779" s="127">
        <v>4064479</v>
      </c>
      <c r="D779" s="127" t="s">
        <v>199</v>
      </c>
      <c r="E779" s="127"/>
      <c r="F779" s="127"/>
      <c r="G779" s="127" t="s">
        <v>155</v>
      </c>
      <c r="H779" s="128">
        <v>1999</v>
      </c>
      <c r="I779" s="129"/>
      <c r="J779" s="125"/>
      <c r="K779" s="129"/>
      <c r="L779" s="47"/>
      <c r="M779" s="129"/>
      <c r="N779" s="129"/>
      <c r="O779" s="129"/>
      <c r="P779" s="47"/>
      <c r="Q779" s="47"/>
      <c r="R779" s="386"/>
      <c r="S779" s="119"/>
      <c r="T779" s="47"/>
      <c r="U779" s="46"/>
      <c r="V779" s="135"/>
      <c r="W779" s="135"/>
      <c r="X779" s="135"/>
      <c r="Y779" s="143"/>
      <c r="Z779" s="135"/>
      <c r="AA779" s="135"/>
      <c r="AB779" s="135"/>
      <c r="AC779" s="125">
        <f t="shared" ref="AC779:AC802" si="1419">+CL778*DB779</f>
        <v>0</v>
      </c>
      <c r="AD779" s="129"/>
      <c r="AE779" s="133">
        <v>131.66862556231192</v>
      </c>
      <c r="AF779" s="134">
        <v>3.8147545658194497E-2</v>
      </c>
      <c r="AG779" s="61"/>
      <c r="AH779" s="134"/>
      <c r="AI779" s="134"/>
      <c r="AJ779" s="129">
        <f t="shared" si="1351"/>
        <v>0</v>
      </c>
      <c r="AK779" s="134"/>
      <c r="AL779" s="129"/>
      <c r="AM779" s="134"/>
      <c r="AN779" s="134"/>
      <c r="AO779" s="134"/>
      <c r="AP779" s="133"/>
      <c r="AQ779" s="134"/>
      <c r="AR779" s="93"/>
      <c r="AS779" s="93"/>
      <c r="AT779" s="93"/>
      <c r="AU779" s="93"/>
      <c r="AV779" s="93"/>
      <c r="AW779" s="134"/>
      <c r="AX779" s="62"/>
      <c r="AY779" s="93"/>
      <c r="AZ779" s="93"/>
      <c r="BA779" s="93"/>
      <c r="BB779" s="234">
        <f>IFERROR(INDEX('Total Customers'!$E$7:$AA$91,MATCH($C779,'Total Customers'!$C$7:$C$91,0),MATCH($G779,'Total Customers'!$E$5:$AA$5,0)),"NA")</f>
        <v>42950</v>
      </c>
      <c r="BC779" s="269">
        <f t="shared" ref="BC779:BC835" si="1420">LN(BB779/BB778)</f>
        <v>1.5533290568330986E-2</v>
      </c>
      <c r="BD779" s="92"/>
      <c r="BE779" s="299" t="str">
        <f t="shared" si="1410"/>
        <v>OHIO GAS COMPANY</v>
      </c>
      <c r="BF779" s="300">
        <f t="shared" si="1411"/>
        <v>4064479</v>
      </c>
      <c r="BG779" s="231" t="str">
        <f t="shared" si="1412"/>
        <v>OH</v>
      </c>
      <c r="BH779" s="231"/>
      <c r="BI779" s="231" t="str">
        <f t="shared" si="1413"/>
        <v>1999 Y</v>
      </c>
      <c r="BJ779" s="129"/>
      <c r="BK779" s="129"/>
      <c r="BL779" s="129">
        <f>INDEX('Dist. Plant Gas Additions'!$E$7:$AD$91,MATCH($C779,'Dist. Plant Gas Additions'!$C$7:$C$91,0),MATCH(Calculation!$G779,'Dist. Plant Gas Additions'!$E$5:$AD$5,0))</f>
        <v>1446</v>
      </c>
      <c r="BM779" s="129">
        <f>INDEX('Gen. Plant Additions'!$E$7:$AD$91,MATCH($C779,'Gen. Plant Additions'!$C$7:$C$91,0),MATCH(Calculation!$G779,'Gen. Plant Additions'!$E$5:$AD$5,0))</f>
        <v>418</v>
      </c>
      <c r="BN779" s="301">
        <f t="shared" ref="BN779:BN800" si="1421">+(BY779/(BY779+BZ779))</f>
        <v>0.91162568060791005</v>
      </c>
      <c r="BO779" s="231">
        <f t="shared" si="1396"/>
        <v>381.0595344941064</v>
      </c>
      <c r="BP779" s="231">
        <f t="shared" si="1397"/>
        <v>-36.940465505893599</v>
      </c>
      <c r="BQ779" s="129">
        <f>INDEX('Dist Plant Depreciation'!$D$7:$AC$94,MATCH($C779,'Dist Plant Depreciation'!$C$7:$C$94,0),MATCH(Calculation!$G779,'Dist Plant Depreciation'!$D$5:$AC$5,0))</f>
        <v>22769</v>
      </c>
      <c r="BR779" s="129">
        <f>INDEX('Gen. Plant Depreciation'!$D$7:$AC$94,MATCH($C779,'Gen. Plant Depreciation'!$C$7:$C$94,0),MATCH(Calculation!$G779,'Gen. Plant Depreciation'!$D$5:$AC$5,0))</f>
        <v>1736</v>
      </c>
      <c r="BS779" s="129"/>
      <c r="BT779" s="129"/>
      <c r="BU779" s="129"/>
      <c r="BV779" s="129"/>
      <c r="BW779" s="129"/>
      <c r="BX779" s="129"/>
      <c r="BY779" s="129">
        <f>INDEX('Gross Dx Plant'!$D$7:$AC$91,MATCH($C779,'Gross Dx Plant'!$C$7:$C$91,0),MATCH(Calculation!$G779,'Gross Dx Plant'!$D$5:$AC$5,0))</f>
        <v>45708</v>
      </c>
      <c r="BZ779" s="129">
        <f>INDEX('Gross Gen Plant'!$D$7:$AC$91,MATCH($C779,'Gross Gen Plant'!$C$7:$C$91,0),MATCH(Calculation!$G779,'Gross Gen Plant'!$D$5:$AC$5,0))</f>
        <v>4431</v>
      </c>
      <c r="CA779" s="129">
        <f t="shared" si="1325"/>
        <v>25634</v>
      </c>
      <c r="CB779" s="129"/>
      <c r="CC779" s="133">
        <v>1999</v>
      </c>
      <c r="CD779" s="129"/>
      <c r="CE779" s="129"/>
      <c r="CF779" s="129"/>
      <c r="CG779" s="137"/>
      <c r="CH779" s="129">
        <f t="shared" ref="CH779:CH801" si="1422">+BM779+BL779</f>
        <v>1864</v>
      </c>
      <c r="CI779" s="46">
        <f>+CH779+BP779</f>
        <v>1827.0595344941064</v>
      </c>
      <c r="CJ779" s="231">
        <f t="shared" ref="CJ779:CJ802" si="1423">+CI779/$DF779</f>
        <v>5.4486232192294688</v>
      </c>
      <c r="CK779" s="443">
        <v>0.99009900990099009</v>
      </c>
      <c r="CL779" s="231">
        <f>+CL778*CK779+CJ779</f>
        <v>130.93415625344241</v>
      </c>
      <c r="CM779" s="134">
        <f t="shared" ref="CM779:CM800" si="1424">LN(CL779/CL778)</f>
        <v>3.2553764671242498E-2</v>
      </c>
      <c r="CN779" s="135">
        <f t="shared" ref="CN779:CN802" si="1425">+(CL778-CL779+CJ779)/CL778</f>
        <v>9.9009900990099237E-3</v>
      </c>
      <c r="CO779" s="135"/>
      <c r="CP779" s="134">
        <f>VLOOKUP($H779,RoR!$E:$F,2,FALSE)</f>
        <v>7.0416666666666669E-2</v>
      </c>
      <c r="CQ779" s="135">
        <v>1.4335631817396832E-2</v>
      </c>
      <c r="CR779" s="135">
        <f>+CP779-CQ779</f>
        <v>5.6081034849269837E-2</v>
      </c>
      <c r="CS779" s="135"/>
      <c r="CT779" s="135"/>
      <c r="CU779" s="139">
        <f t="shared" ref="CU779:CU801" si="1426">1-CZ779*DA779</f>
        <v>0.87050000000000005</v>
      </c>
      <c r="CV779" s="335">
        <f t="shared" ref="CV779:CV801" si="1427">2/(DD779*39)</f>
        <v>0.72826581702321336</v>
      </c>
      <c r="CW779" s="335">
        <f t="shared" ref="CW779:CW801" si="1428">+(DD779*40-(1+DD779))/(DD779*40)</f>
        <v>0.61997041420118348</v>
      </c>
      <c r="CX779" s="335">
        <f t="shared" ref="CX779:CX801" si="1429">+(1-(1/(1+DD779)^40))</f>
        <v>0.93425155319585029</v>
      </c>
      <c r="CY779" s="335">
        <f t="shared" ref="CY779:CY801" si="1430">+CX779*CW779*CV779</f>
        <v>0.42181762214141483</v>
      </c>
      <c r="CZ779" s="336">
        <f>INDEX('State Tax Lookup'!$D$7:$Z$91,MATCH(Calculation!$C779,'State Tax Lookup'!$B$7:$B$91,0),MATCH($H779,'State Tax Lookup'!$D$6:$Z$6,0))</f>
        <v>0.35</v>
      </c>
      <c r="DA779" s="302">
        <v>0.37</v>
      </c>
      <c r="DB779" s="57"/>
      <c r="DC779" s="56"/>
      <c r="DD779" s="303">
        <f>VLOOKUP($H779,RoR!$E:$F,2,FALSE)</f>
        <v>7.0416666666666669E-2</v>
      </c>
      <c r="DE779" s="304">
        <f>HLOOKUP($H779,'GDP-PI'!$D$8:$CQ$11,3,FALSE)</f>
        <v>1.4335631817396832E-2</v>
      </c>
      <c r="DF779" s="303">
        <f>VLOOKUP(H779,'HW Dx Data'!$E:$F,2,FALSE)</f>
        <v>335.32499146683239</v>
      </c>
      <c r="DG779" s="364"/>
      <c r="DH779" s="364"/>
      <c r="DI779" s="364"/>
      <c r="DJ779" s="56"/>
      <c r="DK779" s="53">
        <f>HLOOKUP(H779,'GDP-PI'!$8:$9,2,FALSE)</f>
        <v>76.346000000000004</v>
      </c>
      <c r="DL779" s="298"/>
      <c r="EC779"/>
    </row>
    <row r="780" spans="1:133" s="126" customFormat="1" ht="21" customHeight="1" x14ac:dyDescent="0.4">
      <c r="A780" s="233" t="s">
        <v>228</v>
      </c>
      <c r="B780" s="127" t="s">
        <v>228</v>
      </c>
      <c r="C780" s="127">
        <v>4064479</v>
      </c>
      <c r="D780" s="127" t="s">
        <v>199</v>
      </c>
      <c r="E780" s="127"/>
      <c r="F780" s="127"/>
      <c r="G780" s="127" t="s">
        <v>156</v>
      </c>
      <c r="H780" s="128">
        <v>2000</v>
      </c>
      <c r="I780" s="129"/>
      <c r="J780" s="125"/>
      <c r="K780" s="125"/>
      <c r="L780" s="47"/>
      <c r="M780" s="125"/>
      <c r="N780" s="125"/>
      <c r="O780" s="125"/>
      <c r="P780" s="47"/>
      <c r="Q780" s="47"/>
      <c r="R780" s="386"/>
      <c r="S780" s="119"/>
      <c r="T780" s="47"/>
      <c r="U780" s="47"/>
      <c r="V780" s="125"/>
      <c r="W780" s="125"/>
      <c r="X780" s="125"/>
      <c r="Y780" s="125"/>
      <c r="Z780" s="125"/>
      <c r="AA780" s="125"/>
      <c r="AB780" s="125"/>
      <c r="AC780" s="125">
        <f t="shared" si="1419"/>
        <v>0</v>
      </c>
      <c r="AD780" s="129"/>
      <c r="AE780" s="133">
        <v>135.90281213671656</v>
      </c>
      <c r="AF780" s="134">
        <v>3.1651659823293009E-2</v>
      </c>
      <c r="AG780" s="61"/>
      <c r="AH780" s="134"/>
      <c r="AI780" s="134"/>
      <c r="AJ780" s="129">
        <f t="shared" si="1351"/>
        <v>0</v>
      </c>
      <c r="AK780" s="134"/>
      <c r="AL780" s="129"/>
      <c r="AM780" s="129"/>
      <c r="AN780" s="129"/>
      <c r="AO780" s="129"/>
      <c r="AP780" s="133"/>
      <c r="AQ780" s="134"/>
      <c r="AR780" s="93"/>
      <c r="AS780" s="93"/>
      <c r="AT780" s="93"/>
      <c r="AU780" s="93"/>
      <c r="AV780" s="93"/>
      <c r="AW780" s="134"/>
      <c r="AX780" s="62"/>
      <c r="AY780" s="93"/>
      <c r="AZ780" s="93"/>
      <c r="BA780" s="93"/>
      <c r="BB780" s="234">
        <f>IFERROR(INDEX('Total Customers'!$E$7:$AA$91,MATCH($C780,'Total Customers'!$C$7:$C$91,0),MATCH($G780,'Total Customers'!$E$5:$AA$5,0)),"NA")</f>
        <v>43764</v>
      </c>
      <c r="BC780" s="269">
        <f t="shared" si="1420"/>
        <v>1.8774913184279138E-2</v>
      </c>
      <c r="BD780" s="92"/>
      <c r="BE780" s="299" t="str">
        <f t="shared" si="1410"/>
        <v>OHIO GAS COMPANY</v>
      </c>
      <c r="BF780" s="300">
        <f t="shared" si="1411"/>
        <v>4064479</v>
      </c>
      <c r="BG780" s="231" t="str">
        <f t="shared" si="1412"/>
        <v>OH</v>
      </c>
      <c r="BH780" s="231"/>
      <c r="BI780" s="231" t="str">
        <f t="shared" si="1413"/>
        <v>2000 Y</v>
      </c>
      <c r="BJ780" s="129"/>
      <c r="BK780" s="129"/>
      <c r="BL780" s="129">
        <f>INDEX('Dist. Plant Gas Additions'!$E$7:$AD$91,MATCH($C780,'Dist. Plant Gas Additions'!$C$7:$C$91,0),MATCH(Calculation!$G780,'Dist. Plant Gas Additions'!$E$5:$AD$5,0))</f>
        <v>1515</v>
      </c>
      <c r="BM780" s="129">
        <f>INDEX('Gen. Plant Additions'!$E$7:$AD$91,MATCH($C780,'Gen. Plant Additions'!$C$7:$C$91,0),MATCH(Calculation!$G780,'Gen. Plant Additions'!$E$5:$AD$5,0))</f>
        <v>187</v>
      </c>
      <c r="BN780" s="301">
        <f t="shared" si="1421"/>
        <v>0.9128019510684422</v>
      </c>
      <c r="BO780" s="231">
        <f t="shared" si="1396"/>
        <v>170.6939648497987</v>
      </c>
      <c r="BP780" s="231">
        <f t="shared" si="1397"/>
        <v>-16.306035150201296</v>
      </c>
      <c r="BQ780" s="129">
        <f>INDEX('Dist Plant Depreciation'!$D$7:$AC$94,MATCH($C780,'Dist Plant Depreciation'!$C$7:$C$94,0),MATCH(Calculation!$G780,'Dist Plant Depreciation'!$D$5:$AC$5,0))</f>
        <v>24148</v>
      </c>
      <c r="BR780" s="129">
        <f>INDEX('Gen. Plant Depreciation'!$D$7:$AC$94,MATCH($C780,'Gen. Plant Depreciation'!$C$7:$C$94,0),MATCH(Calculation!$G780,'Gen. Plant Depreciation'!$D$5:$AC$5,0))</f>
        <v>1936</v>
      </c>
      <c r="BS780" s="129"/>
      <c r="BT780" s="129"/>
      <c r="BU780" s="129"/>
      <c r="BV780" s="129"/>
      <c r="BW780" s="129"/>
      <c r="BX780" s="129"/>
      <c r="BY780" s="129">
        <f>INDEX('Gross Dx Plant'!$D$7:$AC$91,MATCH($C780,'Gross Dx Plant'!$C$7:$C$91,0),MATCH(Calculation!$G780,'Gross Dx Plant'!$D$5:$AC$5,0))</f>
        <v>47159</v>
      </c>
      <c r="BZ780" s="129">
        <f>INDEX('Gross Gen Plant'!$D$7:$AC$91,MATCH($C780,'Gross Gen Plant'!$C$7:$C$91,0),MATCH(Calculation!$G780,'Gross Gen Plant'!$D$5:$AC$5,0))</f>
        <v>4505</v>
      </c>
      <c r="CA780" s="129">
        <f t="shared" si="1325"/>
        <v>25580</v>
      </c>
      <c r="CB780" s="129"/>
      <c r="CC780" s="133">
        <v>2000</v>
      </c>
      <c r="CD780" s="129"/>
      <c r="CE780" s="129"/>
      <c r="CF780" s="129"/>
      <c r="CG780" s="137"/>
      <c r="CH780" s="129">
        <f t="shared" si="1422"/>
        <v>1702</v>
      </c>
      <c r="CI780" s="46">
        <f t="shared" ref="CI780:CI802" si="1431">+CH780+BP780</f>
        <v>1685.6939648497987</v>
      </c>
      <c r="CJ780" s="231">
        <f t="shared" si="1423"/>
        <v>4.8644442897129148</v>
      </c>
      <c r="CK780" s="443">
        <v>0.98</v>
      </c>
      <c r="CL780" s="231">
        <f>+CL778*CK780+CJ779*CK779+CJ780</f>
        <v>134.46470134165952</v>
      </c>
      <c r="CM780" s="134">
        <f t="shared" si="1424"/>
        <v>2.6607148217288899E-2</v>
      </c>
      <c r="CN780" s="135">
        <f t="shared" si="1425"/>
        <v>1.0187557163570411E-2</v>
      </c>
      <c r="CO780" s="135"/>
      <c r="CP780" s="134">
        <f>VLOOKUP($H780,RoR!$E:$F,2,FALSE)</f>
        <v>7.6225000000000001E-2</v>
      </c>
      <c r="CQ780" s="135">
        <v>2.2568307442433211E-2</v>
      </c>
      <c r="CR780" s="135">
        <f t="shared" ref="CR780:CR800" si="1432">+CP780-CQ780</f>
        <v>5.365669255756679E-2</v>
      </c>
      <c r="CS780" s="135"/>
      <c r="CT780" s="135"/>
      <c r="CU780" s="139">
        <f t="shared" si="1426"/>
        <v>0.87050000000000005</v>
      </c>
      <c r="CV780" s="335">
        <f t="shared" si="1427"/>
        <v>0.67277207323124022</v>
      </c>
      <c r="CW780" s="335">
        <f t="shared" si="1428"/>
        <v>0.6470236142997704</v>
      </c>
      <c r="CX780" s="335">
        <f t="shared" si="1429"/>
        <v>0.94704866037543145</v>
      </c>
      <c r="CY780" s="335">
        <f t="shared" si="1430"/>
        <v>0.41224973107878493</v>
      </c>
      <c r="CZ780" s="336">
        <f>INDEX('State Tax Lookup'!$D$7:$Z$91,MATCH(Calculation!$C780,'State Tax Lookup'!$B$7:$B$91,0),MATCH($H780,'State Tax Lookup'!$D$6:$Z$6,0))</f>
        <v>0.35</v>
      </c>
      <c r="DA780" s="302">
        <v>0.37</v>
      </c>
      <c r="DB780" s="57"/>
      <c r="DC780" s="56"/>
      <c r="DD780" s="303">
        <f>VLOOKUP($H780,RoR!$E:$F,2,FALSE)</f>
        <v>7.6225000000000001E-2</v>
      </c>
      <c r="DE780" s="304">
        <f>HLOOKUP($H780,'GDP-PI'!$D$8:$CQ$11,3,FALSE)</f>
        <v>2.2568307442433211E-2</v>
      </c>
      <c r="DF780" s="303">
        <f>VLOOKUP(H780,'HW Dx Data'!$E:$F,2,FALSE)</f>
        <v>346.53371782150339</v>
      </c>
      <c r="DG780" s="364"/>
      <c r="DH780" s="364"/>
      <c r="DI780" s="364"/>
      <c r="DJ780" s="56"/>
      <c r="DK780" s="53">
        <f>HLOOKUP(H780,'GDP-PI'!$8:$9,2,FALSE)</f>
        <v>78.069000000000003</v>
      </c>
      <c r="DL780" s="298"/>
      <c r="EC780"/>
    </row>
    <row r="781" spans="1:133" s="126" customFormat="1" ht="21" customHeight="1" x14ac:dyDescent="0.4">
      <c r="A781" s="233" t="s">
        <v>228</v>
      </c>
      <c r="B781" s="127" t="s">
        <v>228</v>
      </c>
      <c r="C781" s="127">
        <v>4064479</v>
      </c>
      <c r="D781" s="127" t="s">
        <v>199</v>
      </c>
      <c r="E781" s="127"/>
      <c r="F781" s="127"/>
      <c r="G781" s="127" t="s">
        <v>157</v>
      </c>
      <c r="H781" s="128">
        <v>2001</v>
      </c>
      <c r="I781" s="129"/>
      <c r="J781" s="125"/>
      <c r="K781" s="125"/>
      <c r="L781" s="47"/>
      <c r="M781" s="125"/>
      <c r="N781" s="125"/>
      <c r="O781" s="125"/>
      <c r="P781" s="47"/>
      <c r="Q781" s="47"/>
      <c r="R781" s="386"/>
      <c r="S781" s="119"/>
      <c r="T781" s="47"/>
      <c r="U781" s="47"/>
      <c r="V781" s="125"/>
      <c r="W781" s="125"/>
      <c r="X781" s="125"/>
      <c r="Y781" s="125"/>
      <c r="Z781" s="125"/>
      <c r="AA781" s="125"/>
      <c r="AB781" s="125"/>
      <c r="AC781" s="125">
        <f t="shared" si="1419"/>
        <v>1321.6328179433701</v>
      </c>
      <c r="AD781" s="129"/>
      <c r="AE781" s="133">
        <v>140.62273475790985</v>
      </c>
      <c r="AF781" s="134">
        <v>3.4140650806668185E-2</v>
      </c>
      <c r="AG781" s="61"/>
      <c r="AH781" s="134"/>
      <c r="AI781" s="134"/>
      <c r="AJ781" s="129">
        <f t="shared" si="1351"/>
        <v>1321.6328179433701</v>
      </c>
      <c r="AK781" s="134"/>
      <c r="AL781" s="129"/>
      <c r="AM781" s="129"/>
      <c r="AN781" s="129"/>
      <c r="AO781" s="129"/>
      <c r="AP781" s="133"/>
      <c r="AQ781" s="134"/>
      <c r="AR781" s="93"/>
      <c r="AS781" s="93"/>
      <c r="AT781" s="93"/>
      <c r="AU781" s="93"/>
      <c r="AV781" s="93"/>
      <c r="AW781" s="134"/>
      <c r="AX781" s="62"/>
      <c r="AY781" s="93"/>
      <c r="AZ781" s="93"/>
      <c r="BA781" s="93"/>
      <c r="BB781" s="234">
        <f>IFERROR(INDEX('Total Customers'!$E$7:$AA$91,MATCH($C781,'Total Customers'!$C$7:$C$91,0),MATCH($G781,'Total Customers'!$E$5:$AA$5,0)),"NA")</f>
        <v>44172</v>
      </c>
      <c r="BC781" s="269">
        <f t="shared" si="1420"/>
        <v>9.2795425703408787E-3</v>
      </c>
      <c r="BD781" s="92"/>
      <c r="BE781" s="299" t="str">
        <f t="shared" si="1410"/>
        <v>OHIO GAS COMPANY</v>
      </c>
      <c r="BF781" s="300">
        <f t="shared" si="1411"/>
        <v>4064479</v>
      </c>
      <c r="BG781" s="231" t="str">
        <f t="shared" si="1412"/>
        <v>OH</v>
      </c>
      <c r="BH781" s="231"/>
      <c r="BI781" s="231" t="str">
        <f t="shared" si="1413"/>
        <v>2001 Y</v>
      </c>
      <c r="BJ781" s="129"/>
      <c r="BK781" s="129"/>
      <c r="BL781" s="129">
        <f>INDEX('Dist. Plant Gas Additions'!$E$7:$AD$91,MATCH($C781,'Dist. Plant Gas Additions'!$C$7:$C$91,0),MATCH(Calculation!$G781,'Dist. Plant Gas Additions'!$E$5:$AD$5,0))</f>
        <v>1580</v>
      </c>
      <c r="BM781" s="129">
        <f>INDEX('Gen. Plant Additions'!$E$7:$AD$91,MATCH($C781,'Gen. Plant Additions'!$C$7:$C$91,0),MATCH(Calculation!$G781,'Gen. Plant Additions'!$E$5:$AD$5,0))</f>
        <v>335</v>
      </c>
      <c r="BN781" s="301">
        <f t="shared" si="1421"/>
        <v>0.91353108034489883</v>
      </c>
      <c r="BO781" s="231">
        <f t="shared" si="1396"/>
        <v>306.03291191554109</v>
      </c>
      <c r="BP781" s="231">
        <f t="shared" si="1397"/>
        <v>-28.967088084458908</v>
      </c>
      <c r="BQ781" s="129">
        <f>INDEX('Dist Plant Depreciation'!$D$7:$AC$94,MATCH($C781,'Dist Plant Depreciation'!$C$7:$C$94,0),MATCH(Calculation!$G781,'Dist Plant Depreciation'!$D$5:$AC$5,0))</f>
        <v>25562</v>
      </c>
      <c r="BR781" s="129">
        <f>INDEX('Gen. Plant Depreciation'!$D$7:$AC$94,MATCH($C781,'Gen. Plant Depreciation'!$C$7:$C$94,0),MATCH(Calculation!$G781,'Gen. Plant Depreciation'!$D$5:$AC$5,0))</f>
        <v>2030</v>
      </c>
      <c r="BS781" s="129"/>
      <c r="BT781" s="129"/>
      <c r="BU781" s="129"/>
      <c r="BV781" s="129"/>
      <c r="BW781" s="129"/>
      <c r="BX781" s="129"/>
      <c r="BY781" s="129">
        <f>INDEX('Gross Dx Plant'!$D$7:$AC$91,MATCH($C781,'Gross Dx Plant'!$C$7:$C$91,0),MATCH(Calculation!$G781,'Gross Dx Plant'!$D$5:$AC$5,0))</f>
        <v>48630</v>
      </c>
      <c r="BZ781" s="129">
        <f>INDEX('Gross Gen Plant'!$D$7:$AC$91,MATCH($C781,'Gross Gen Plant'!$C$7:$C$91,0),MATCH(Calculation!$G781,'Gross Gen Plant'!$D$5:$AC$5,0))</f>
        <v>4603</v>
      </c>
      <c r="CA781" s="129">
        <f t="shared" si="1325"/>
        <v>25641</v>
      </c>
      <c r="CB781" s="129"/>
      <c r="CC781" s="133">
        <v>2001</v>
      </c>
      <c r="CD781" s="129"/>
      <c r="CE781" s="129"/>
      <c r="CF781" s="129"/>
      <c r="CG781" s="137"/>
      <c r="CH781" s="129">
        <f t="shared" si="1422"/>
        <v>1915</v>
      </c>
      <c r="CI781" s="46">
        <f t="shared" si="1431"/>
        <v>1886.032911915541</v>
      </c>
      <c r="CJ781" s="231">
        <f t="shared" si="1423"/>
        <v>5.3361066390777099</v>
      </c>
      <c r="CK781" s="443">
        <v>0.96969696969696972</v>
      </c>
      <c r="CL781" s="231">
        <f>+CL778*CK781+CJ779*CK780+CJ780*CK778+CJ781</f>
        <v>138.43997221896163</v>
      </c>
      <c r="CM781" s="134">
        <f t="shared" si="1424"/>
        <v>2.9135097053952768E-2</v>
      </c>
      <c r="CN781" s="135">
        <f t="shared" si="1425"/>
        <v>1.0120394037970401E-2</v>
      </c>
      <c r="CO781" s="135">
        <f>+(CN781+CN780+CN779)/3</f>
        <v>1.0069647100183578E-2</v>
      </c>
      <c r="CP781" s="134">
        <f>VLOOKUP($H781,RoR!$E:$F,2,FALSE)</f>
        <v>7.0824999999999999E-2</v>
      </c>
      <c r="CQ781" s="135">
        <v>2.2454495382290052E-2</v>
      </c>
      <c r="CR781" s="135">
        <f t="shared" si="1432"/>
        <v>4.8370504617709947E-2</v>
      </c>
      <c r="CS781" s="135">
        <f>+$CR$2-CO781</f>
        <v>2.0832294508350047E-2</v>
      </c>
      <c r="CT781" s="135">
        <f>+((DF779/DF778-1)+(DF780/DF779-1)+(DF781/DF780-1))/3</f>
        <v>2.3947275901631187E-2</v>
      </c>
      <c r="CU781" s="139">
        <f t="shared" si="1426"/>
        <v>0.87050000000000005</v>
      </c>
      <c r="CV781" s="335">
        <f t="shared" si="1427"/>
        <v>0.72406708481540816</v>
      </c>
      <c r="CW781" s="335">
        <f t="shared" si="1428"/>
        <v>0.62201729615248857</v>
      </c>
      <c r="CX781" s="335">
        <f t="shared" si="1429"/>
        <v>0.9352469954311422</v>
      </c>
      <c r="CY781" s="335">
        <f t="shared" si="1430"/>
        <v>0.42121864641655071</v>
      </c>
      <c r="CZ781" s="336">
        <f>INDEX('State Tax Lookup'!$D$7:$Z$91,MATCH(Calculation!$C781,'State Tax Lookup'!$B$7:$B$91,0),MATCH($H781,'State Tax Lookup'!$D$6:$Z$6,0))</f>
        <v>0.35</v>
      </c>
      <c r="DA781" s="302">
        <v>0.37</v>
      </c>
      <c r="DB781" s="57">
        <f t="shared" ref="DB781:DB802" si="1433">+(DF781*CS781-CT781)*CU781/(1-CZ781)</f>
        <v>9.8288458216647605</v>
      </c>
      <c r="DC781" s="56"/>
      <c r="DD781" s="303">
        <f>VLOOKUP($H781,RoR!$E:$F,2,FALSE)</f>
        <v>7.0824999999999999E-2</v>
      </c>
      <c r="DE781" s="304">
        <f>HLOOKUP($H781,'GDP-PI'!$D$8:$CQ$11,3,FALSE)</f>
        <v>2.2454495382290052E-2</v>
      </c>
      <c r="DF781" s="303">
        <f>VLOOKUP(H781,'HW Dx Data'!$E:$F,2,FALSE)</f>
        <v>353.44738017483138</v>
      </c>
      <c r="DG781" s="364"/>
      <c r="DH781" s="364"/>
      <c r="DI781" s="364"/>
      <c r="DJ781" s="56"/>
      <c r="DK781" s="53">
        <f>HLOOKUP(H781,'GDP-PI'!$8:$9,2,FALSE)</f>
        <v>79.822000000000003</v>
      </c>
      <c r="DL781" s="298"/>
      <c r="EC781"/>
    </row>
    <row r="782" spans="1:133" s="126" customFormat="1" ht="21" customHeight="1" x14ac:dyDescent="0.4">
      <c r="A782" s="233" t="s">
        <v>228</v>
      </c>
      <c r="B782" s="127" t="s">
        <v>228</v>
      </c>
      <c r="C782" s="127">
        <v>4064479</v>
      </c>
      <c r="D782" s="127" t="s">
        <v>199</v>
      </c>
      <c r="E782" s="127"/>
      <c r="F782" s="127"/>
      <c r="G782" s="127" t="s">
        <v>158</v>
      </c>
      <c r="H782" s="128">
        <v>2002</v>
      </c>
      <c r="I782" s="129"/>
      <c r="J782" s="125"/>
      <c r="K782" s="125"/>
      <c r="L782" s="47"/>
      <c r="M782" s="125"/>
      <c r="N782" s="125"/>
      <c r="O782" s="125"/>
      <c r="P782" s="47"/>
      <c r="Q782" s="47"/>
      <c r="R782" s="386"/>
      <c r="S782" s="119"/>
      <c r="T782" s="47"/>
      <c r="U782" s="47"/>
      <c r="V782" s="125"/>
      <c r="W782" s="125"/>
      <c r="X782" s="125"/>
      <c r="Y782" s="125"/>
      <c r="Z782" s="125"/>
      <c r="AA782" s="125"/>
      <c r="AB782" s="125"/>
      <c r="AC782" s="125">
        <f t="shared" si="1419"/>
        <v>1363.8764649452646</v>
      </c>
      <c r="AD782" s="129"/>
      <c r="AE782" s="133">
        <v>144.01885738454689</v>
      </c>
      <c r="AF782" s="134">
        <v>2.3863580620873241E-2</v>
      </c>
      <c r="AG782" s="61"/>
      <c r="AH782" s="134"/>
      <c r="AI782" s="134"/>
      <c r="AJ782" s="129">
        <f t="shared" si="1351"/>
        <v>1363.8764649452646</v>
      </c>
      <c r="AK782" s="134"/>
      <c r="AL782" s="129"/>
      <c r="AM782" s="129"/>
      <c r="AN782" s="129"/>
      <c r="AO782" s="129"/>
      <c r="AP782" s="133"/>
      <c r="AQ782" s="134"/>
      <c r="AR782" s="93"/>
      <c r="AS782" s="93"/>
      <c r="AT782" s="93"/>
      <c r="AU782" s="93"/>
      <c r="AV782" s="93"/>
      <c r="AW782" s="134"/>
      <c r="AX782" s="62"/>
      <c r="AY782" s="93"/>
      <c r="AZ782" s="93"/>
      <c r="BA782" s="93"/>
      <c r="BB782" s="234">
        <f>IFERROR(INDEX('Total Customers'!$E$7:$AA$91,MATCH($C782,'Total Customers'!$C$7:$C$91,0),MATCH($G782,'Total Customers'!$E$5:$AA$5,0)),"NA")</f>
        <v>43978</v>
      </c>
      <c r="BC782" s="269">
        <f t="shared" si="1420"/>
        <v>-4.4015953083055021E-3</v>
      </c>
      <c r="BD782" s="92"/>
      <c r="BE782" s="299" t="str">
        <f t="shared" si="1410"/>
        <v>OHIO GAS COMPANY</v>
      </c>
      <c r="BF782" s="300">
        <f t="shared" si="1411"/>
        <v>4064479</v>
      </c>
      <c r="BG782" s="231" t="str">
        <f t="shared" si="1412"/>
        <v>OH</v>
      </c>
      <c r="BH782" s="231"/>
      <c r="BI782" s="231" t="str">
        <f t="shared" si="1413"/>
        <v>2002 Y</v>
      </c>
      <c r="BJ782" s="129"/>
      <c r="BK782" s="129"/>
      <c r="BL782" s="129">
        <f>INDEX('Dist. Plant Gas Additions'!$E$7:$AD$91,MATCH($C782,'Dist. Plant Gas Additions'!$C$7:$C$91,0),MATCH(Calculation!$G782,'Dist. Plant Gas Additions'!$E$5:$AD$5,0))</f>
        <v>1288</v>
      </c>
      <c r="BM782" s="129">
        <f>INDEX('Gen. Plant Additions'!$E$7:$AD$91,MATCH($C782,'Gen. Plant Additions'!$C$7:$C$91,0),MATCH(Calculation!$G782,'Gen. Plant Additions'!$E$5:$AD$5,0))</f>
        <v>227</v>
      </c>
      <c r="BN782" s="301">
        <f t="shared" si="1421"/>
        <v>0.92445243301337876</v>
      </c>
      <c r="BO782" s="231">
        <f t="shared" si="1396"/>
        <v>209.85070229403698</v>
      </c>
      <c r="BP782" s="231">
        <f t="shared" si="1397"/>
        <v>-17.149297705963022</v>
      </c>
      <c r="BQ782" s="129">
        <f>INDEX('Dist Plant Depreciation'!$D$7:$AC$94,MATCH($C782,'Dist Plant Depreciation'!$C$7:$C$94,0),MATCH(Calculation!$G782,'Dist Plant Depreciation'!$D$5:$AC$5,0))</f>
        <v>27003</v>
      </c>
      <c r="BR782" s="129">
        <f>INDEX('Gen. Plant Depreciation'!$D$7:$AC$94,MATCH($C782,'Gen. Plant Depreciation'!$C$7:$C$94,0),MATCH(Calculation!$G782,'Gen. Plant Depreciation'!$D$5:$AC$5,0))</f>
        <v>1612</v>
      </c>
      <c r="BS782" s="129"/>
      <c r="BT782" s="129"/>
      <c r="BU782" s="129"/>
      <c r="BV782" s="129"/>
      <c r="BW782" s="129"/>
      <c r="BX782" s="129"/>
      <c r="BY782" s="129">
        <f>INDEX('Gross Dx Plant'!$D$7:$AC$91,MATCH($C782,'Gross Dx Plant'!$C$7:$C$91,0),MATCH(Calculation!$G782,'Gross Dx Plant'!$D$5:$AC$5,0))</f>
        <v>49889</v>
      </c>
      <c r="BZ782" s="129">
        <f>INDEX('Gross Gen Plant'!$D$7:$AC$91,MATCH($C782,'Gross Gen Plant'!$C$7:$C$91,0),MATCH(Calculation!$G782,'Gross Gen Plant'!$D$5:$AC$5,0))</f>
        <v>4077</v>
      </c>
      <c r="CA782" s="129">
        <f t="shared" si="1325"/>
        <v>25351</v>
      </c>
      <c r="CB782" s="129"/>
      <c r="CC782" s="133">
        <v>2002</v>
      </c>
      <c r="CD782" s="129"/>
      <c r="CE782" s="129"/>
      <c r="CF782" s="129"/>
      <c r="CG782" s="137"/>
      <c r="CH782" s="129">
        <f t="shared" si="1422"/>
        <v>1515</v>
      </c>
      <c r="CI782" s="46">
        <f t="shared" si="1431"/>
        <v>1497.8507022940371</v>
      </c>
      <c r="CJ782" s="231">
        <f t="shared" si="1423"/>
        <v>4.1451731164897883</v>
      </c>
      <c r="CK782" s="443">
        <v>0.95918367346938771</v>
      </c>
      <c r="CL782" s="231">
        <f>+CL778*CK782+CJ779*CK781+CJ780*CK780+CJ781*CK779+CJ782</f>
        <v>141.04642713364353</v>
      </c>
      <c r="CM782" s="134">
        <f t="shared" si="1424"/>
        <v>1.8652288536847625E-2</v>
      </c>
      <c r="CN782" s="135">
        <f t="shared" si="1425"/>
        <v>1.1114695973603575E-2</v>
      </c>
      <c r="CO782" s="135">
        <f t="shared" ref="CO782:CO802" si="1434">+(CN782+CN781+CN780)/3</f>
        <v>1.0474215725048128E-2</v>
      </c>
      <c r="CP782" s="134">
        <f>VLOOKUP($H782,RoR!$E:$F,2,FALSE)</f>
        <v>6.4916666666666664E-2</v>
      </c>
      <c r="CQ782" s="135">
        <v>1.5246423291824351E-2</v>
      </c>
      <c r="CR782" s="135">
        <f t="shared" si="1432"/>
        <v>4.9670243374842313E-2</v>
      </c>
      <c r="CS782" s="135">
        <f t="shared" ref="CS782:CS802" si="1435">+$CR$2-CO782</f>
        <v>2.0427725883485497E-2</v>
      </c>
      <c r="CT782" s="135">
        <f t="shared" ref="CT782:CT802" si="1436">+((DF780/DF779-1)+(DF781/DF780-1)+(DF782/DF781-1))/3</f>
        <v>2.5243621214759093E-2</v>
      </c>
      <c r="CU782" s="139">
        <f t="shared" si="1426"/>
        <v>0.87050000000000005</v>
      </c>
      <c r="CV782" s="335">
        <f t="shared" si="1427"/>
        <v>0.78996741384417901</v>
      </c>
      <c r="CW782" s="335">
        <f t="shared" si="1428"/>
        <v>0.58989088575096271</v>
      </c>
      <c r="CX782" s="335">
        <f t="shared" si="1429"/>
        <v>0.91920675783645744</v>
      </c>
      <c r="CY782" s="335">
        <f t="shared" si="1430"/>
        <v>0.42834536472275586</v>
      </c>
      <c r="CZ782" s="336">
        <f>INDEX('State Tax Lookup'!$D$7:$Z$91,MATCH(Calculation!$C782,'State Tax Lookup'!$B$7:$B$91,0),MATCH($H782,'State Tax Lookup'!$D$6:$Z$6,0))</f>
        <v>0.35</v>
      </c>
      <c r="DA782" s="302">
        <v>0.37</v>
      </c>
      <c r="DB782" s="57">
        <f t="shared" si="1433"/>
        <v>9.8517533851285997</v>
      </c>
      <c r="DC782" s="56">
        <f t="shared" ref="DC782:DC802" si="1437">LN(DB782/DB781)</f>
        <v>2.3279345886112412E-3</v>
      </c>
      <c r="DD782" s="303">
        <f>VLOOKUP($H782,RoR!$E:$F,2,FALSE)</f>
        <v>6.4916666666666664E-2</v>
      </c>
      <c r="DE782" s="304">
        <f>HLOOKUP($H782,'GDP-PI'!$D$8:$CQ$11,3,FALSE)</f>
        <v>1.5246423291824351E-2</v>
      </c>
      <c r="DF782" s="303">
        <f>VLOOKUP(H782,'HW Dx Data'!$E:$F,2,FALSE)</f>
        <v>361.34816573413599</v>
      </c>
      <c r="DG782" s="364"/>
      <c r="DH782" s="364"/>
      <c r="DI782" s="364"/>
      <c r="DJ782" s="56"/>
      <c r="DK782" s="53">
        <f>HLOOKUP(H782,'GDP-PI'!$8:$9,2,FALSE)</f>
        <v>81.039000000000001</v>
      </c>
      <c r="DL782" s="355">
        <f>LN(DK782/DK781)</f>
        <v>1.513136459537477E-2</v>
      </c>
      <c r="EC782"/>
    </row>
    <row r="783" spans="1:133" s="126" customFormat="1" ht="21" customHeight="1" x14ac:dyDescent="0.4">
      <c r="A783" s="233" t="s">
        <v>228</v>
      </c>
      <c r="B783" s="127" t="s">
        <v>228</v>
      </c>
      <c r="C783" s="127">
        <v>4064479</v>
      </c>
      <c r="D783" s="127" t="s">
        <v>199</v>
      </c>
      <c r="E783" s="127"/>
      <c r="F783" s="127"/>
      <c r="G783" s="127" t="s">
        <v>159</v>
      </c>
      <c r="H783" s="128">
        <v>2003</v>
      </c>
      <c r="I783" s="129"/>
      <c r="J783" s="125"/>
      <c r="K783" s="125"/>
      <c r="L783" s="47"/>
      <c r="M783" s="125"/>
      <c r="N783" s="125"/>
      <c r="O783" s="125"/>
      <c r="P783" s="59"/>
      <c r="Q783" s="59"/>
      <c r="R783" s="386"/>
      <c r="S783" s="119"/>
      <c r="T783" s="59"/>
      <c r="U783" s="59"/>
      <c r="V783" s="125"/>
      <c r="W783" s="125"/>
      <c r="X783" s="125"/>
      <c r="Y783" s="125"/>
      <c r="Z783" s="125"/>
      <c r="AA783" s="125"/>
      <c r="AB783" s="125"/>
      <c r="AC783" s="125">
        <f t="shared" si="1419"/>
        <v>1400.0496219406853</v>
      </c>
      <c r="AD783" s="129"/>
      <c r="AE783" s="133">
        <v>148.14687853890285</v>
      </c>
      <c r="AF783" s="134">
        <v>2.8259959136951753E-2</v>
      </c>
      <c r="AG783" s="61"/>
      <c r="AH783" s="134"/>
      <c r="AI783" s="134"/>
      <c r="AJ783" s="129">
        <f t="shared" si="1351"/>
        <v>1400.0496219406853</v>
      </c>
      <c r="AK783" s="134"/>
      <c r="AL783" s="129"/>
      <c r="AM783" s="129"/>
      <c r="AN783" s="129"/>
      <c r="AO783" s="129"/>
      <c r="AP783" s="133"/>
      <c r="AQ783" s="134"/>
      <c r="AR783" s="93"/>
      <c r="AS783" s="93"/>
      <c r="AT783" s="93"/>
      <c r="AU783" s="93"/>
      <c r="AV783" s="93"/>
      <c r="AW783" s="134"/>
      <c r="AX783" s="62"/>
      <c r="AY783" s="93"/>
      <c r="AZ783" s="93"/>
      <c r="BA783" s="93"/>
      <c r="BB783" s="234">
        <f>IFERROR(INDEX('Total Customers'!$E$7:$AA$91,MATCH($C783,'Total Customers'!$C$7:$C$91,0),MATCH($G783,'Total Customers'!$E$5:$AA$5,0)),"NA")</f>
        <v>44645</v>
      </c>
      <c r="BC783" s="269">
        <f t="shared" si="1420"/>
        <v>1.505281009260085E-2</v>
      </c>
      <c r="BD783" s="92"/>
      <c r="BE783" s="299" t="str">
        <f t="shared" si="1410"/>
        <v>OHIO GAS COMPANY</v>
      </c>
      <c r="BF783" s="300">
        <f t="shared" si="1411"/>
        <v>4064479</v>
      </c>
      <c r="BG783" s="231" t="str">
        <f t="shared" si="1412"/>
        <v>OH</v>
      </c>
      <c r="BH783" s="231"/>
      <c r="BI783" s="231" t="str">
        <f t="shared" si="1413"/>
        <v>2003 Y</v>
      </c>
      <c r="BJ783" s="129"/>
      <c r="BK783" s="129"/>
      <c r="BL783" s="129">
        <f>INDEX('Dist. Plant Gas Additions'!$E$7:$AD$91,MATCH($C783,'Dist. Plant Gas Additions'!$C$7:$C$91,0),MATCH(Calculation!$G783,'Dist. Plant Gas Additions'!$E$5:$AD$5,0))</f>
        <v>1399</v>
      </c>
      <c r="BM783" s="129">
        <f>INDEX('Gen. Plant Additions'!$E$7:$AD$91,MATCH($C783,'Gen. Plant Additions'!$C$7:$C$91,0),MATCH(Calculation!$G783,'Gen. Plant Additions'!$E$5:$AD$5,0))</f>
        <v>427</v>
      </c>
      <c r="BN783" s="301">
        <f t="shared" si="1421"/>
        <v>0.9227641541825542</v>
      </c>
      <c r="BO783" s="231">
        <f t="shared" si="1396"/>
        <v>394.02029383595067</v>
      </c>
      <c r="BP783" s="231">
        <f t="shared" si="1397"/>
        <v>-32.979706164049333</v>
      </c>
      <c r="BQ783" s="129">
        <f>INDEX('Dist Plant Depreciation'!$D$7:$AC$94,MATCH($C783,'Dist Plant Depreciation'!$C$7:$C$94,0),MATCH(Calculation!$G783,'Dist Plant Depreciation'!$D$5:$AC$5,0))</f>
        <v>28327</v>
      </c>
      <c r="BR783" s="129">
        <f>INDEX('Gen. Plant Depreciation'!$D$7:$AC$94,MATCH($C783,'Gen. Plant Depreciation'!$C$7:$C$94,0),MATCH(Calculation!$G783,'Gen. Plant Depreciation'!$D$5:$AC$5,0))</f>
        <v>2315</v>
      </c>
      <c r="BS783" s="129"/>
      <c r="BT783" s="129"/>
      <c r="BU783" s="129"/>
      <c r="BV783" s="129"/>
      <c r="BW783" s="129"/>
      <c r="BX783" s="129"/>
      <c r="BY783" s="129">
        <f>INDEX('Gross Dx Plant'!$D$7:$AC$91,MATCH($C783,'Gross Dx Plant'!$C$7:$C$91,0),MATCH(Calculation!$G783,'Gross Dx Plant'!$D$5:$AC$5,0))</f>
        <v>51063</v>
      </c>
      <c r="BZ783" s="129">
        <f>INDEX('Gross Gen Plant'!$D$7:$AC$91,MATCH($C783,'Gross Gen Plant'!$C$7:$C$91,0),MATCH(Calculation!$G783,'Gross Gen Plant'!$D$5:$AC$5,0))</f>
        <v>4274</v>
      </c>
      <c r="CA783" s="129">
        <f t="shared" si="1325"/>
        <v>24695</v>
      </c>
      <c r="CB783" s="129"/>
      <c r="CC783" s="133">
        <v>2003</v>
      </c>
      <c r="CD783" s="129"/>
      <c r="CE783" s="129"/>
      <c r="CF783" s="129"/>
      <c r="CG783" s="137"/>
      <c r="CH783" s="129">
        <f t="shared" si="1422"/>
        <v>1826</v>
      </c>
      <c r="CI783" s="46">
        <f t="shared" si="1431"/>
        <v>1793.0202938359507</v>
      </c>
      <c r="CJ783" s="231">
        <f t="shared" si="1423"/>
        <v>4.8560671463136078</v>
      </c>
      <c r="CK783" s="443">
        <v>0.94845360824742264</v>
      </c>
      <c r="CL783" s="231">
        <f>+CL778*CK783+CJ779*CK782+CJ780*CK781+CJ781*CK780+CJ782*CK779+CJ783</f>
        <v>144.34022942792191</v>
      </c>
      <c r="CM783" s="134">
        <f t="shared" si="1424"/>
        <v>2.308411050742137E-2</v>
      </c>
      <c r="CN783" s="135">
        <f t="shared" si="1425"/>
        <v>1.1076245487274629E-2</v>
      </c>
      <c r="CO783" s="135">
        <f t="shared" si="1434"/>
        <v>1.0770445166282868E-2</v>
      </c>
      <c r="CP783" s="134">
        <f>VLOOKUP($H783,RoR!$E:$F,2,FALSE)</f>
        <v>5.6666666666666671E-2</v>
      </c>
      <c r="CQ783" s="135">
        <v>1.8855119140166909E-2</v>
      </c>
      <c r="CR783" s="135">
        <f t="shared" si="1432"/>
        <v>3.7811547526499761E-2</v>
      </c>
      <c r="CS783" s="135">
        <f t="shared" si="1435"/>
        <v>2.0131496442250756E-2</v>
      </c>
      <c r="CT783" s="135">
        <f t="shared" si="1436"/>
        <v>2.1375012817671957E-2</v>
      </c>
      <c r="CU783" s="139">
        <f t="shared" si="1426"/>
        <v>0.87050000000000005</v>
      </c>
      <c r="CV783" s="335">
        <f t="shared" si="1427"/>
        <v>0.90497737556561086</v>
      </c>
      <c r="CW783" s="335">
        <f t="shared" si="1428"/>
        <v>0.5338235294117647</v>
      </c>
      <c r="CX783" s="335">
        <f t="shared" si="1429"/>
        <v>0.88972433127405692</v>
      </c>
      <c r="CY783" s="335">
        <f t="shared" si="1430"/>
        <v>0.42982423775949252</v>
      </c>
      <c r="CZ783" s="336">
        <f>INDEX('State Tax Lookup'!$D$7:$Z$91,MATCH(Calculation!$C783,'State Tax Lookup'!$B$7:$B$91,0),MATCH($H783,'State Tax Lookup'!$D$6:$Z$6,0))</f>
        <v>0.35</v>
      </c>
      <c r="DA783" s="302">
        <v>0.37</v>
      </c>
      <c r="DB783" s="57">
        <f t="shared" si="1433"/>
        <v>9.9261615511473966</v>
      </c>
      <c r="DC783" s="56">
        <f t="shared" si="1437"/>
        <v>7.5244046018053115E-3</v>
      </c>
      <c r="DD783" s="303">
        <f>VLOOKUP($H783,RoR!$E:$F,2,FALSE)</f>
        <v>5.6666666666666671E-2</v>
      </c>
      <c r="DE783" s="304">
        <f>HLOOKUP($H783,'GDP-PI'!$D$8:$CQ$11,3,FALSE)</f>
        <v>1.8855119140166909E-2</v>
      </c>
      <c r="DF783" s="303">
        <f>VLOOKUP(H783,'HW Dx Data'!$E:$F,2,FALSE)</f>
        <v>369.23301095560191</v>
      </c>
      <c r="DG783" s="364">
        <f ca="1">VLOOKUP(CC783,'ECI - Input Price'!M$13:N$33,2,FALSE)</f>
        <v>89.25</v>
      </c>
      <c r="DH783" s="364"/>
      <c r="DI783" s="364"/>
      <c r="DJ783" s="56"/>
      <c r="DK783" s="53">
        <f>HLOOKUP(H783,'GDP-PI'!$8:$9,2,FALSE)</f>
        <v>82.566999999999993</v>
      </c>
      <c r="DL783" s="355">
        <f t="shared" ref="DL783:DL802" si="1438">LN(DK783/DK782)</f>
        <v>1.8679564681853753E-2</v>
      </c>
      <c r="EC783"/>
    </row>
    <row r="784" spans="1:133" s="126" customFormat="1" ht="21" customHeight="1" x14ac:dyDescent="0.4">
      <c r="A784" s="233" t="s">
        <v>228</v>
      </c>
      <c r="B784" s="127" t="s">
        <v>228</v>
      </c>
      <c r="C784" s="127">
        <v>4064479</v>
      </c>
      <c r="D784" s="127" t="s">
        <v>199</v>
      </c>
      <c r="E784" s="127"/>
      <c r="F784" s="127"/>
      <c r="G784" s="127" t="s">
        <v>160</v>
      </c>
      <c r="H784" s="128">
        <v>2004</v>
      </c>
      <c r="I784" s="129"/>
      <c r="J784" s="125">
        <f>IFERROR(INDEX('Labor Expenditures'!$E$7:$W$91,MATCH($C784,'Labor Expenditures'!$C$7:$C$91,0),MATCH($G784,'Labor Expenditures'!$E$5:$W$5,0)),"NA")</f>
        <v>2352.5789273083901</v>
      </c>
      <c r="K784" s="125">
        <f t="shared" ref="K784:K802" ca="1" si="1439">+J784/DG784</f>
        <v>24.93459382414828</v>
      </c>
      <c r="L784" s="47"/>
      <c r="M784" s="131"/>
      <c r="N784" s="131"/>
      <c r="O784" s="131"/>
      <c r="P784" s="59"/>
      <c r="Q784" s="59"/>
      <c r="R784" s="386"/>
      <c r="S784" s="119"/>
      <c r="T784" s="59"/>
      <c r="U784" s="59"/>
      <c r="V784" s="125">
        <f>IFERROR(INDEX('Non-Labor Expenditures'!$E$7:$AA$91,MATCH($C784,'Non-Labor Expenditures'!$C$7:$C$91,0),MATCH($G784,'Non-Labor Expenditures'!$E$5:$AA$5,0)),"NA")</f>
        <v>3406.9736878753993</v>
      </c>
      <c r="W784" s="125">
        <f t="shared" ref="W784:W802" si="1440">+V784/DK784</f>
        <v>40.187002381223891</v>
      </c>
      <c r="X784" s="125"/>
      <c r="Y784" s="125"/>
      <c r="Z784" s="125"/>
      <c r="AA784" s="125"/>
      <c r="AB784" s="125"/>
      <c r="AC784" s="125">
        <f t="shared" si="1419"/>
        <v>1570.0167728612284</v>
      </c>
      <c r="AD784" s="129"/>
      <c r="AE784" s="133">
        <v>151.92089204863919</v>
      </c>
      <c r="AF784" s="134">
        <v>2.5155734119704929E-2</v>
      </c>
      <c r="AG784" s="59">
        <f t="shared" ref="AG784:AG802" si="1441">+AF784*$AX784</f>
        <v>0</v>
      </c>
      <c r="AH784" s="134"/>
      <c r="AI784" s="134"/>
      <c r="AJ784" s="129">
        <f t="shared" si="1351"/>
        <v>7329.5693880450181</v>
      </c>
      <c r="AK784" s="134"/>
      <c r="AL784" s="129"/>
      <c r="AM784" s="129"/>
      <c r="AN784" s="129"/>
      <c r="AO784" s="129"/>
      <c r="AP784" s="133"/>
      <c r="AQ784" s="134"/>
      <c r="AR784" s="93">
        <f t="shared" ref="AR784:AR802" si="1442">+J784/AJ784</f>
        <v>0.32097096060589753</v>
      </c>
      <c r="AS784" s="93">
        <f t="shared" ref="AS784:AS802" si="1443">+V784/AJ784</f>
        <v>0.46482590006343133</v>
      </c>
      <c r="AT784" s="93">
        <f t="shared" ref="AT784:AT802" si="1444">+AC784/AJ784</f>
        <v>0.21420313933067106</v>
      </c>
      <c r="AU784" s="93"/>
      <c r="AV784" s="93"/>
      <c r="AW784" s="134"/>
      <c r="AX784" s="62"/>
      <c r="AY784" s="93"/>
      <c r="AZ784" s="93"/>
      <c r="BA784" s="93"/>
      <c r="BB784" s="234">
        <f>IFERROR(INDEX('Total Customers'!$E$7:$AA$91,MATCH($C784,'Total Customers'!$C$7:$C$91,0),MATCH($G784,'Total Customers'!$E$5:$AA$5,0)),"NA")</f>
        <v>45198</v>
      </c>
      <c r="BC784" s="269">
        <f t="shared" si="1420"/>
        <v>1.2310519102432848E-2</v>
      </c>
      <c r="BD784" s="92"/>
      <c r="BE784" s="299" t="str">
        <f t="shared" si="1410"/>
        <v>OHIO GAS COMPANY</v>
      </c>
      <c r="BF784" s="300">
        <f t="shared" si="1411"/>
        <v>4064479</v>
      </c>
      <c r="BG784" s="231" t="str">
        <f t="shared" si="1412"/>
        <v>OH</v>
      </c>
      <c r="BH784" s="231"/>
      <c r="BI784" s="231" t="str">
        <f t="shared" si="1413"/>
        <v>2004 Y</v>
      </c>
      <c r="BJ784" s="129"/>
      <c r="BK784" s="129"/>
      <c r="BL784" s="129">
        <f>INDEX('Dist. Plant Gas Additions'!$E$7:$AD$91,MATCH($C784,'Dist. Plant Gas Additions'!$C$7:$C$91,0),MATCH(Calculation!$G784,'Dist. Plant Gas Additions'!$E$5:$AD$5,0))</f>
        <v>1504</v>
      </c>
      <c r="BM784" s="129">
        <f>INDEX('Gen. Plant Additions'!$E$7:$AD$91,MATCH($C784,'Gen. Plant Additions'!$C$7:$C$91,0),MATCH(Calculation!$G784,'Gen. Plant Additions'!$E$5:$AD$5,0))</f>
        <v>422</v>
      </c>
      <c r="BN784" s="301">
        <f t="shared" si="1421"/>
        <v>0.92148811090637883</v>
      </c>
      <c r="BO784" s="231">
        <f t="shared" si="1396"/>
        <v>388.86798280249189</v>
      </c>
      <c r="BP784" s="231">
        <f t="shared" si="1397"/>
        <v>-33.132017197508105</v>
      </c>
      <c r="BQ784" s="129">
        <f>INDEX('Dist Plant Depreciation'!$D$7:$AC$94,MATCH($C784,'Dist Plant Depreciation'!$C$7:$C$94,0),MATCH(Calculation!$G784,'Dist Plant Depreciation'!$D$5:$AC$5,0))</f>
        <v>29337</v>
      </c>
      <c r="BR784" s="129">
        <f>INDEX('Gen. Plant Depreciation'!$D$7:$AC$94,MATCH($C784,'Gen. Plant Depreciation'!$C$7:$C$94,0),MATCH(Calculation!$G784,'Gen. Plant Depreciation'!$D$5:$AC$5,0))</f>
        <v>2394</v>
      </c>
      <c r="BS784" s="129"/>
      <c r="BT784" s="129"/>
      <c r="BU784" s="129"/>
      <c r="BV784" s="129"/>
      <c r="BW784" s="129"/>
      <c r="BX784" s="129"/>
      <c r="BY784" s="129">
        <f>INDEX('Gross Dx Plant'!$D$7:$AC$91,MATCH($C784,'Gross Dx Plant'!$C$7:$C$91,0),MATCH(Calculation!$G784,'Gross Dx Plant'!$D$5:$AC$5,0))</f>
        <v>52511</v>
      </c>
      <c r="BZ784" s="129">
        <f>INDEX('Gross Gen Plant'!$D$7:$AC$91,MATCH($C784,'Gross Gen Plant'!$C$7:$C$91,0),MATCH(Calculation!$G784,'Gross Gen Plant'!$D$5:$AC$5,0))</f>
        <v>4474</v>
      </c>
      <c r="CA784" s="129">
        <f t="shared" si="1325"/>
        <v>25254</v>
      </c>
      <c r="CB784" s="129"/>
      <c r="CC784" s="133">
        <v>2004</v>
      </c>
      <c r="CD784" s="129"/>
      <c r="CE784" s="129"/>
      <c r="CF784" s="129"/>
      <c r="CG784" s="137"/>
      <c r="CH784" s="129">
        <f t="shared" si="1422"/>
        <v>1926</v>
      </c>
      <c r="CI784" s="46">
        <f t="shared" si="1431"/>
        <v>1892.867982802492</v>
      </c>
      <c r="CJ784" s="231">
        <f t="shared" si="1423"/>
        <v>4.5623678490359669</v>
      </c>
      <c r="CK784" s="443">
        <v>0.9375</v>
      </c>
      <c r="CL784" s="231">
        <f>+CL778*CK784+CJ779*CK783+CJ780*CK782+CJ781*CK781+CJ782*CK780+CJ783*CK779+CJ784</f>
        <v>147.25980720189062</v>
      </c>
      <c r="CM784" s="134">
        <f t="shared" si="1424"/>
        <v>2.002520556426118E-2</v>
      </c>
      <c r="CN784" s="135">
        <f t="shared" si="1425"/>
        <v>1.1381373589180852E-2</v>
      </c>
      <c r="CO784" s="135">
        <f t="shared" si="1434"/>
        <v>1.1190771683353017E-2</v>
      </c>
      <c r="CP784" s="134">
        <f>VLOOKUP($H784,RoR!$E:$F,2,FALSE)</f>
        <v>5.6283333333333331E-2</v>
      </c>
      <c r="CQ784" s="135">
        <v>2.6778252812867276E-2</v>
      </c>
      <c r="CR784" s="135">
        <f t="shared" si="1432"/>
        <v>2.9505080520466055E-2</v>
      </c>
      <c r="CS784" s="135">
        <f t="shared" si="1435"/>
        <v>1.9711169925180606E-2</v>
      </c>
      <c r="CT784" s="135">
        <f t="shared" si="1436"/>
        <v>5.5940039414565046E-2</v>
      </c>
      <c r="CU784" s="139">
        <f t="shared" si="1426"/>
        <v>0.87050000000000005</v>
      </c>
      <c r="CV784" s="335">
        <f t="shared" si="1427"/>
        <v>0.91114097628755619</v>
      </c>
      <c r="CW784" s="335">
        <f t="shared" si="1428"/>
        <v>0.53081877405981637</v>
      </c>
      <c r="CX784" s="335">
        <f t="shared" si="1429"/>
        <v>0.88811215519385678</v>
      </c>
      <c r="CY784" s="335">
        <f t="shared" si="1430"/>
        <v>0.42953609753547711</v>
      </c>
      <c r="CZ784" s="336">
        <f>INDEX('State Tax Lookup'!$D$7:$Z$91,MATCH(Calculation!$C784,'State Tax Lookup'!$B$7:$B$91,0),MATCH($H784,'State Tax Lookup'!$D$6:$Z$6,0))</f>
        <v>0.35</v>
      </c>
      <c r="DA784" s="302">
        <v>0.37</v>
      </c>
      <c r="DB784" s="57">
        <f t="shared" si="1433"/>
        <v>10.877194660725102</v>
      </c>
      <c r="DC784" s="56">
        <f t="shared" si="1437"/>
        <v>9.1494511910402532E-2</v>
      </c>
      <c r="DD784" s="303">
        <f>VLOOKUP($H784,RoR!$E:$F,2,FALSE)</f>
        <v>5.6283333333333331E-2</v>
      </c>
      <c r="DE784" s="304">
        <f>HLOOKUP($H784,'GDP-PI'!$D$8:$CQ$11,3,FALSE)</f>
        <v>2.6778252812867276E-2</v>
      </c>
      <c r="DF784" s="303">
        <f>VLOOKUP(H784,'HW Dx Data'!$E:$F,2,FALSE)</f>
        <v>414.88719135228365</v>
      </c>
      <c r="DG784" s="364">
        <f ca="1">VLOOKUP(CC784,'ECI - Input Price'!M$13:N$33,2,FALSE)</f>
        <v>94.35</v>
      </c>
      <c r="DH784" s="364"/>
      <c r="DI784" s="364"/>
      <c r="DJ784" s="56">
        <f t="shared" ref="DJ784:DJ802" ca="1" si="1445">LN(DG784/DG783)</f>
        <v>5.5569851154810786E-2</v>
      </c>
      <c r="DK784" s="53">
        <f>HLOOKUP(H784,'GDP-PI'!$8:$9,2,FALSE)</f>
        <v>84.778000000000006</v>
      </c>
      <c r="DL784" s="355">
        <f t="shared" si="1438"/>
        <v>2.6425990216022755E-2</v>
      </c>
      <c r="EC784"/>
    </row>
    <row r="785" spans="1:133" s="126" customFormat="1" ht="21" customHeight="1" x14ac:dyDescent="0.4">
      <c r="A785" s="233" t="s">
        <v>228</v>
      </c>
      <c r="B785" s="127" t="s">
        <v>228</v>
      </c>
      <c r="C785" s="127">
        <v>4064479</v>
      </c>
      <c r="D785" s="127" t="s">
        <v>199</v>
      </c>
      <c r="E785" s="127"/>
      <c r="F785" s="127"/>
      <c r="G785" s="127" t="s">
        <v>161</v>
      </c>
      <c r="H785" s="128">
        <v>2005</v>
      </c>
      <c r="I785" s="129"/>
      <c r="J785" s="125">
        <f>IFERROR(INDEX('Labor Expenditures'!$E$7:$W$91,MATCH($C785,'Labor Expenditures'!$C$7:$C$91,0),MATCH($G785,'Labor Expenditures'!$E$5:$W$5,0)),"NA")</f>
        <v>2287.8651870755562</v>
      </c>
      <c r="K785" s="125">
        <f t="shared" ca="1" si="1439"/>
        <v>23.057346304616338</v>
      </c>
      <c r="L785" s="47"/>
      <c r="M785" s="131">
        <f t="shared" ref="M785:M801" ca="1" si="1446">LN(K785/K784)</f>
        <v>-7.8271719117044267E-2</v>
      </c>
      <c r="N785" s="131"/>
      <c r="O785" s="131"/>
      <c r="P785" s="59"/>
      <c r="Q785" s="61"/>
      <c r="R785" s="387"/>
      <c r="S785" s="49">
        <v>100</v>
      </c>
      <c r="T785" s="46"/>
      <c r="U785" s="46"/>
      <c r="V785" s="125">
        <f>IFERROR(INDEX('Non-Labor Expenditures'!$E$7:$AA$91,MATCH($C785,'Non-Labor Expenditures'!$C$7:$C$91,0),MATCH($G785,'Non-Labor Expenditures'!$E$5:$AA$5,0)),"NA")</f>
        <v>3313.2561051588359</v>
      </c>
      <c r="W785" s="125">
        <f t="shared" si="1440"/>
        <v>37.906072799190412</v>
      </c>
      <c r="X785" s="131">
        <f>LN(W785/W784)</f>
        <v>-5.84322880732078E-2</v>
      </c>
      <c r="Y785" s="131"/>
      <c r="Z785" s="131"/>
      <c r="AA785" s="131"/>
      <c r="AB785" s="131"/>
      <c r="AC785" s="125">
        <f t="shared" si="1419"/>
        <v>1787.8500789782315</v>
      </c>
      <c r="AD785" s="129"/>
      <c r="AE785" s="133">
        <v>155.13809436445527</v>
      </c>
      <c r="AF785" s="134">
        <v>2.0955713340758429E-2</v>
      </c>
      <c r="AG785" s="59">
        <f t="shared" si="1441"/>
        <v>0</v>
      </c>
      <c r="AH785" s="134"/>
      <c r="AI785" s="134"/>
      <c r="AJ785" s="129">
        <f t="shared" si="1351"/>
        <v>7388.9713712126231</v>
      </c>
      <c r="AK785" s="134">
        <f>LN(AJ785/AJ784)</f>
        <v>8.0717656266286412E-3</v>
      </c>
      <c r="AL785" s="129"/>
      <c r="AM785" s="129"/>
      <c r="AN785" s="129"/>
      <c r="AO785" s="129"/>
      <c r="AP785" s="133"/>
      <c r="AQ785" s="134"/>
      <c r="AR785" s="93">
        <f t="shared" si="1442"/>
        <v>0.30963243354671283</v>
      </c>
      <c r="AS785" s="93">
        <f t="shared" si="1443"/>
        <v>0.4484055951369979</v>
      </c>
      <c r="AT785" s="93">
        <f t="shared" si="1444"/>
        <v>0.2419619713162893</v>
      </c>
      <c r="AU785" s="93">
        <f t="shared" ref="AU785:AU801" ca="1" si="1447">+(((AR785+AR784)/2)*M785+((AS784+AS785)/2)*X785+((AT784+AT785)/2)*AF785)</f>
        <v>-4.6580676125836294E-2</v>
      </c>
      <c r="AV785" s="132">
        <v>100</v>
      </c>
      <c r="AW785" s="134"/>
      <c r="AX785" s="15"/>
      <c r="AY785" s="93"/>
      <c r="AZ785" s="93"/>
      <c r="BA785" s="93"/>
      <c r="BB785" s="234">
        <f>IFERROR(INDEX('Total Customers'!$E$7:$AA$91,MATCH($C785,'Total Customers'!$C$7:$C$91,0),MATCH($G785,'Total Customers'!$E$5:$AA$5,0)),"NA")</f>
        <v>45783</v>
      </c>
      <c r="BC785" s="269">
        <f t="shared" si="1420"/>
        <v>1.2860005105234776E-2</v>
      </c>
      <c r="BD785" s="92"/>
      <c r="BE785" s="299" t="str">
        <f t="shared" si="1410"/>
        <v>OHIO GAS COMPANY</v>
      </c>
      <c r="BF785" s="300">
        <f t="shared" si="1411"/>
        <v>4064479</v>
      </c>
      <c r="BG785" s="231" t="str">
        <f t="shared" si="1412"/>
        <v>OH</v>
      </c>
      <c r="BH785" s="231"/>
      <c r="BI785" s="231" t="str">
        <f t="shared" si="1413"/>
        <v>2005 Y</v>
      </c>
      <c r="BJ785" s="129"/>
      <c r="BK785" s="129"/>
      <c r="BL785" s="129">
        <f>INDEX('Dist. Plant Gas Additions'!$E$7:$AD$91,MATCH($C785,'Dist. Plant Gas Additions'!$C$7:$C$91,0),MATCH(Calculation!$G785,'Dist. Plant Gas Additions'!$E$5:$AD$5,0))</f>
        <v>1601</v>
      </c>
      <c r="BM785" s="129">
        <f>INDEX('Gen. Plant Additions'!$E$7:$AD$91,MATCH($C785,'Gen. Plant Additions'!$C$7:$C$91,0),MATCH(Calculation!$G785,'Gen. Plant Additions'!$E$5:$AD$5,0))</f>
        <v>340</v>
      </c>
      <c r="BN785" s="301">
        <f t="shared" si="1421"/>
        <v>0.92416249914365967</v>
      </c>
      <c r="BO785" s="231">
        <f t="shared" si="1396"/>
        <v>314.21524970884428</v>
      </c>
      <c r="BP785" s="231">
        <f t="shared" si="1397"/>
        <v>-25.784750291155717</v>
      </c>
      <c r="BQ785" s="129">
        <f>INDEX('Dist Plant Depreciation'!$D$7:$AC$94,MATCH($C785,'Dist Plant Depreciation'!$C$7:$C$94,0),MATCH(Calculation!$G785,'Dist Plant Depreciation'!$D$5:$AC$5,0))</f>
        <v>30695</v>
      </c>
      <c r="BR785" s="129">
        <f>INDEX('Gen. Plant Depreciation'!$D$7:$AC$94,MATCH($C785,'Gen. Plant Depreciation'!$C$7:$C$94,0),MATCH(Calculation!$G785,'Gen. Plant Depreciation'!$D$5:$AC$5,0))</f>
        <v>2404</v>
      </c>
      <c r="BS785" s="129"/>
      <c r="BT785" s="129"/>
      <c r="BU785" s="129"/>
      <c r="BV785" s="129"/>
      <c r="BW785" s="129"/>
      <c r="BX785" s="129"/>
      <c r="BY785" s="129">
        <f>INDEX('Gross Dx Plant'!$D$7:$AC$91,MATCH($C785,'Gross Dx Plant'!$C$7:$C$91,0),MATCH(Calculation!$G785,'Gross Dx Plant'!$D$5:$AC$5,0))</f>
        <v>53960</v>
      </c>
      <c r="BZ785" s="129">
        <f>INDEX('Gross Gen Plant'!$D$7:$AC$91,MATCH($C785,'Gross Gen Plant'!$C$7:$C$91,0),MATCH(Calculation!$G785,'Gross Gen Plant'!$D$5:$AC$5,0))</f>
        <v>4428</v>
      </c>
      <c r="CA785" s="129">
        <f t="shared" si="1325"/>
        <v>25289</v>
      </c>
      <c r="CB785" s="129"/>
      <c r="CC785" s="133">
        <v>2005</v>
      </c>
      <c r="CD785" s="129"/>
      <c r="CE785" s="129"/>
      <c r="CF785" s="129"/>
      <c r="CG785" s="137"/>
      <c r="CH785" s="129">
        <f t="shared" si="1422"/>
        <v>1941</v>
      </c>
      <c r="CI785" s="46">
        <f t="shared" si="1431"/>
        <v>1915.2152497088443</v>
      </c>
      <c r="CJ785" s="231">
        <f t="shared" si="1423"/>
        <v>4.0818292150056283</v>
      </c>
      <c r="CK785" s="443">
        <v>0.9263157894736842</v>
      </c>
      <c r="CL785" s="231">
        <f>+CL778*CK785+CJ779*CK784+CJ780*CK783+CJ781*CK782+CJ782*CK781+CJ783*CK780+CJ784*CK779+CJ785</f>
        <v>149.61924599939059</v>
      </c>
      <c r="CM785" s="134">
        <f t="shared" si="1424"/>
        <v>1.5895284290651922E-2</v>
      </c>
      <c r="CN785" s="135">
        <f t="shared" si="1425"/>
        <v>1.169626967624845E-2</v>
      </c>
      <c r="CO785" s="135">
        <f t="shared" si="1434"/>
        <v>1.1384629584234645E-2</v>
      </c>
      <c r="CP785" s="134">
        <f>VLOOKUP($H785,RoR!$E:$F,2,FALSE)</f>
        <v>5.2350000000000001E-2</v>
      </c>
      <c r="CQ785" s="135">
        <v>3.1010403642454332E-2</v>
      </c>
      <c r="CR785" s="135">
        <f t="shared" si="1432"/>
        <v>2.1339596357545669E-2</v>
      </c>
      <c r="CS785" s="135">
        <f t="shared" si="1435"/>
        <v>1.9517312024298981E-2</v>
      </c>
      <c r="CT785" s="135">
        <f t="shared" si="1436"/>
        <v>9.2129610649277341E-2</v>
      </c>
      <c r="CU785" s="139">
        <f t="shared" si="1426"/>
        <v>0.87050000000000005</v>
      </c>
      <c r="CV785" s="335">
        <f t="shared" si="1427"/>
        <v>0.97959983346802826</v>
      </c>
      <c r="CW785" s="335">
        <f t="shared" si="1428"/>
        <v>0.49744508118433622</v>
      </c>
      <c r="CX785" s="335">
        <f t="shared" si="1429"/>
        <v>0.87010519444335932</v>
      </c>
      <c r="CY785" s="335">
        <f t="shared" si="1430"/>
        <v>0.42399975420741998</v>
      </c>
      <c r="CZ785" s="336">
        <f>INDEX('State Tax Lookup'!$D$7:$Z$91,MATCH(Calculation!$C785,'State Tax Lookup'!$B$7:$B$91,0),MATCH($H785,'State Tax Lookup'!$D$6:$Z$6,0))</f>
        <v>0.35</v>
      </c>
      <c r="DA785" s="302">
        <v>0.37</v>
      </c>
      <c r="DB785" s="57">
        <f t="shared" si="1433"/>
        <v>12.140787856167163</v>
      </c>
      <c r="DC785" s="56">
        <f t="shared" si="1437"/>
        <v>0.10990231657115354</v>
      </c>
      <c r="DD785" s="303">
        <f>VLOOKUP($H785,RoR!$E:$F,2,FALSE)</f>
        <v>5.2350000000000001E-2</v>
      </c>
      <c r="DE785" s="304">
        <f>HLOOKUP($H785,'GDP-PI'!$D$8:$CQ$11,3,FALSE)</f>
        <v>3.1010403642454332E-2</v>
      </c>
      <c r="DF785" s="303">
        <f>VLOOKUP(H785,'HW Dx Data'!$E:$F,2,FALSE)</f>
        <v>469.20514034936258</v>
      </c>
      <c r="DG785" s="364">
        <f ca="1">VLOOKUP(CC785,'ECI - Input Price'!M$13:N$33,2,FALSE)</f>
        <v>99.224999999999994</v>
      </c>
      <c r="DH785" s="364"/>
      <c r="DI785" s="364"/>
      <c r="DJ785" s="56">
        <f t="shared" ca="1" si="1445"/>
        <v>5.0378726854569796E-2</v>
      </c>
      <c r="DK785" s="53">
        <f>HLOOKUP(H785,'GDP-PI'!$8:$9,2,FALSE)</f>
        <v>87.406999999999996</v>
      </c>
      <c r="DL785" s="355">
        <f t="shared" si="1438"/>
        <v>3.0539295810733648E-2</v>
      </c>
      <c r="EC785"/>
    </row>
    <row r="786" spans="1:133" s="126" customFormat="1" ht="21" customHeight="1" x14ac:dyDescent="0.4">
      <c r="A786" s="233" t="s">
        <v>228</v>
      </c>
      <c r="B786" s="127" t="s">
        <v>228</v>
      </c>
      <c r="C786" s="127">
        <v>4064479</v>
      </c>
      <c r="D786" s="127" t="s">
        <v>199</v>
      </c>
      <c r="E786" s="127"/>
      <c r="F786" s="127"/>
      <c r="G786" s="127" t="s">
        <v>162</v>
      </c>
      <c r="H786" s="128">
        <v>2006</v>
      </c>
      <c r="I786" s="129"/>
      <c r="J786" s="125">
        <f>IFERROR(INDEX('Labor Expenditures'!$E$7:$W$91,MATCH($C786,'Labor Expenditures'!$C$7:$C$91,0),MATCH($G786,'Labor Expenditures'!$E$5:$W$5,0)),"NA")</f>
        <v>2404.1167453138851</v>
      </c>
      <c r="K786" s="125">
        <f t="shared" ca="1" si="1439"/>
        <v>21.975472991900229</v>
      </c>
      <c r="L786" s="47"/>
      <c r="M786" s="131">
        <f t="shared" ca="1" si="1446"/>
        <v>-4.8057462931270792E-2</v>
      </c>
      <c r="N786" s="131"/>
      <c r="O786" s="131"/>
      <c r="P786" s="59">
        <f t="shared" ref="P786:P802" ca="1" si="1448">+M786*$AX786</f>
        <v>-5.0229294919138247E-5</v>
      </c>
      <c r="Q786" s="61"/>
      <c r="R786" s="387"/>
      <c r="S786" s="49">
        <f ca="1">+S785*EXP(T786)</f>
        <v>109.52286172009175</v>
      </c>
      <c r="T786" s="61">
        <f ca="1">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</f>
        <v>9.0963124308250154E-2</v>
      </c>
      <c r="U786" s="61"/>
      <c r="V786" s="125">
        <f>IFERROR(INDEX('Non-Labor Expenditures'!$E$7:$AA$91,MATCH($C786,'Non-Labor Expenditures'!$C$7:$C$91,0),MATCH($G786,'Non-Labor Expenditures'!$E$5:$AA$5,0)),"NA")</f>
        <v>3481.6100742839626</v>
      </c>
      <c r="W786" s="125">
        <f t="shared" si="1440"/>
        <v>38.652775210204531</v>
      </c>
      <c r="X786" s="131">
        <f t="shared" ref="X786:X801" si="1449">LN(W786/W785)</f>
        <v>1.950724466202642E-2</v>
      </c>
      <c r="Y786" s="131">
        <f t="shared" ref="Y786:Y802" si="1450">+X786*AX786</f>
        <v>2.0388823825136546E-5</v>
      </c>
      <c r="Z786" s="131"/>
      <c r="AA786" s="131"/>
      <c r="AB786" s="131"/>
      <c r="AC786" s="125">
        <f t="shared" si="1419"/>
        <v>1758.1247916083694</v>
      </c>
      <c r="AD786" s="129"/>
      <c r="AE786" s="133">
        <v>158.92372095721515</v>
      </c>
      <c r="AF786" s="134">
        <v>2.4108693040538205E-2</v>
      </c>
      <c r="AG786" s="59">
        <f t="shared" si="1441"/>
        <v>2.5198222689783336E-5</v>
      </c>
      <c r="AH786" s="134"/>
      <c r="AI786" s="134"/>
      <c r="AJ786" s="129">
        <f t="shared" si="1351"/>
        <v>7643.8516112062171</v>
      </c>
      <c r="AK786" s="134">
        <f t="shared" ref="AK786:AK802" si="1451">LN(AJ786/AJ785)</f>
        <v>3.3913080451663115E-2</v>
      </c>
      <c r="AL786" s="129"/>
      <c r="AM786" s="129"/>
      <c r="AN786" s="129"/>
      <c r="AO786" s="129"/>
      <c r="AP786" s="133">
        <f t="shared" ref="AP786:AP802" si="1452">+(AJ786*1000)/BB786</f>
        <v>165.48357063510676</v>
      </c>
      <c r="AQ786" s="134">
        <f>+BB786/Outputs!$B$14</f>
        <v>1.3318647672419916E-3</v>
      </c>
      <c r="AR786" s="93">
        <f t="shared" si="1442"/>
        <v>0.31451640711985379</v>
      </c>
      <c r="AS786" s="93">
        <f t="shared" si="1443"/>
        <v>0.45547850107134102</v>
      </c>
      <c r="AT786" s="93">
        <f t="shared" si="1444"/>
        <v>0.23000509180880518</v>
      </c>
      <c r="AU786" s="93">
        <f t="shared" ca="1" si="1447"/>
        <v>-4.9210625647562369E-4</v>
      </c>
      <c r="AV786" s="132">
        <f ca="1">+AV785*EXP(AU786)</f>
        <v>99.950801480794851</v>
      </c>
      <c r="AW786" s="134">
        <f ca="1">LN(AV786/AV785)</f>
        <v>-4.9210625647567725E-4</v>
      </c>
      <c r="AX786" s="56">
        <f>+AJ786/$AL$11</f>
        <v>1.0451923979210782E-3</v>
      </c>
      <c r="AY786" s="135">
        <f ca="1">+AX786*AW786</f>
        <v>-5.1434571823777816E-7</v>
      </c>
      <c r="AZ786" s="93"/>
      <c r="BA786" s="93"/>
      <c r="BB786" s="234">
        <f>IFERROR(INDEX('Total Customers'!$E$7:$AA$91,MATCH($C786,'Total Customers'!$C$7:$C$91,0),MATCH($G786,'Total Customers'!$E$5:$AA$5,0)),"NA")</f>
        <v>46191</v>
      </c>
      <c r="BC786" s="269">
        <f t="shared" si="1420"/>
        <v>8.8721307390439742E-3</v>
      </c>
      <c r="BD786" s="92"/>
      <c r="BE786" s="299" t="str">
        <f t="shared" si="1410"/>
        <v>OHIO GAS COMPANY</v>
      </c>
      <c r="BF786" s="300">
        <f t="shared" si="1411"/>
        <v>4064479</v>
      </c>
      <c r="BG786" s="231" t="str">
        <f t="shared" si="1412"/>
        <v>OH</v>
      </c>
      <c r="BH786" s="231"/>
      <c r="BI786" s="231" t="str">
        <f t="shared" si="1413"/>
        <v>2006 Y</v>
      </c>
      <c r="BJ786" s="129"/>
      <c r="BK786" s="129"/>
      <c r="BL786" s="129">
        <f>INDEX('Dist. Plant Gas Additions'!$E$7:$AD$91,MATCH($C786,'Dist. Plant Gas Additions'!$C$7:$C$91,0),MATCH(Calculation!$G786,'Dist. Plant Gas Additions'!$E$5:$AD$5,0))</f>
        <v>1813</v>
      </c>
      <c r="BM786" s="129">
        <f>INDEX('Gen. Plant Additions'!$E$7:$AD$91,MATCH($C786,'Gen. Plant Additions'!$C$7:$C$91,0),MATCH(Calculation!$G786,'Gen. Plant Additions'!$E$5:$AD$5,0))</f>
        <v>380</v>
      </c>
      <c r="BN786" s="301">
        <f t="shared" si="1421"/>
        <v>0.92535377554583698</v>
      </c>
      <c r="BO786" s="231">
        <f t="shared" si="1396"/>
        <v>351.63443470741805</v>
      </c>
      <c r="BP786" s="231">
        <f t="shared" si="1397"/>
        <v>-28.365565292581948</v>
      </c>
      <c r="BQ786" s="129">
        <f>INDEX('Dist Plant Depreciation'!$D$7:$AC$94,MATCH($C786,'Dist Plant Depreciation'!$C$7:$C$94,0),MATCH(Calculation!$G786,'Dist Plant Depreciation'!$D$5:$AC$5,0))</f>
        <v>32120</v>
      </c>
      <c r="BR786" s="129">
        <f>INDEX('Gen. Plant Depreciation'!$D$7:$AC$94,MATCH($C786,'Gen. Plant Depreciation'!$C$7:$C$94,0),MATCH(Calculation!$G786,'Gen. Plant Depreciation'!$D$5:$AC$5,0))</f>
        <v>2503</v>
      </c>
      <c r="BS786" s="129"/>
      <c r="BT786" s="129"/>
      <c r="BU786" s="129"/>
      <c r="BV786" s="129"/>
      <c r="BW786" s="129"/>
      <c r="BX786" s="129"/>
      <c r="BY786" s="129">
        <f>INDEX('Gross Dx Plant'!$D$7:$AC$91,MATCH($C786,'Gross Dx Plant'!$C$7:$C$91,0),MATCH(Calculation!$G786,'Gross Dx Plant'!$D$5:$AC$5,0))</f>
        <v>55648</v>
      </c>
      <c r="BZ786" s="129">
        <f>INDEX('Gross Gen Plant'!$D$7:$AC$91,MATCH($C786,'Gross Gen Plant'!$C$7:$C$91,0),MATCH(Calculation!$G786,'Gross Gen Plant'!$D$5:$AC$5,0))</f>
        <v>4489</v>
      </c>
      <c r="CA786" s="129">
        <f t="shared" si="1325"/>
        <v>25514</v>
      </c>
      <c r="CB786" s="134"/>
      <c r="CC786" s="133">
        <v>2006</v>
      </c>
      <c r="CD786" s="129"/>
      <c r="CE786" s="129"/>
      <c r="CF786" s="129"/>
      <c r="CG786" s="137"/>
      <c r="CH786" s="129">
        <f t="shared" si="1422"/>
        <v>2193</v>
      </c>
      <c r="CI786" s="46">
        <f t="shared" si="1431"/>
        <v>2164.6344347074182</v>
      </c>
      <c r="CJ786" s="231">
        <f t="shared" si="1423"/>
        <v>4.6946469229728063</v>
      </c>
      <c r="CK786" s="443">
        <v>0.91489361702127658</v>
      </c>
      <c r="CL786" s="231">
        <f>+CL778*CK786+CJ779*CK785+CJ780*CK784+CJ781*CK783+CJ782*CK782+CJ783*CK781+CJ784*CK780+CJ785*CK779+CJ786</f>
        <v>152.51466262268301</v>
      </c>
      <c r="CM786" s="134">
        <f t="shared" si="1424"/>
        <v>1.91670327767159E-2</v>
      </c>
      <c r="CN786" s="135">
        <f t="shared" si="1425"/>
        <v>1.2025393442282923E-2</v>
      </c>
      <c r="CO786" s="135">
        <f t="shared" si="1434"/>
        <v>1.1701012235904076E-2</v>
      </c>
      <c r="CP786" s="134">
        <f>VLOOKUP($H786,RoR!$E:$F,2,FALSE)</f>
        <v>5.5874999999999994E-2</v>
      </c>
      <c r="CQ786" s="135">
        <v>3.0512430354548314E-2</v>
      </c>
      <c r="CR786" s="135">
        <f t="shared" si="1432"/>
        <v>2.536256964545168E-2</v>
      </c>
      <c r="CS786" s="135">
        <f t="shared" si="1435"/>
        <v>1.9200929372629551E-2</v>
      </c>
      <c r="CT786" s="135">
        <f t="shared" si="1436"/>
        <v>7.9087823893859641E-2</v>
      </c>
      <c r="CU786" s="139">
        <f t="shared" si="1426"/>
        <v>0.87050000000000005</v>
      </c>
      <c r="CV786" s="335">
        <f t="shared" si="1427"/>
        <v>0.91779957551769631</v>
      </c>
      <c r="CW786" s="335">
        <f t="shared" si="1428"/>
        <v>0.52757270693512304</v>
      </c>
      <c r="CX786" s="335">
        <f t="shared" si="1429"/>
        <v>0.88636824549024895</v>
      </c>
      <c r="CY786" s="335">
        <f t="shared" si="1430"/>
        <v>0.42918482841932087</v>
      </c>
      <c r="CZ786" s="336">
        <f>INDEX('State Tax Lookup'!$D$7:$Z$91,MATCH(Calculation!$C786,'State Tax Lookup'!$B$7:$B$91,0),MATCH($H786,'State Tax Lookup'!$D$6:$Z$6,0))</f>
        <v>0.35</v>
      </c>
      <c r="DA786" s="302">
        <v>0.37</v>
      </c>
      <c r="DB786" s="57">
        <f t="shared" si="1433"/>
        <v>11.750659347765531</v>
      </c>
      <c r="DC786" s="56">
        <f t="shared" si="1437"/>
        <v>-3.2661327348951434E-2</v>
      </c>
      <c r="DD786" s="303">
        <f>VLOOKUP($H786,RoR!$E:$F,2,FALSE)</f>
        <v>5.5874999999999994E-2</v>
      </c>
      <c r="DE786" s="304">
        <f>HLOOKUP($H786,'GDP-PI'!$D$8:$CQ$11,3,FALSE)</f>
        <v>3.0512430354548314E-2</v>
      </c>
      <c r="DF786" s="303">
        <f>VLOOKUP(H786,'HW Dx Data'!$E:$F,2,FALSE)</f>
        <v>461.08567272971823</v>
      </c>
      <c r="DG786" s="364">
        <f ca="1">VLOOKUP(CC786,'ECI - Input Price'!M$13:N$33,2,FALSE)</f>
        <v>109.4</v>
      </c>
      <c r="DH786" s="364"/>
      <c r="DI786" s="364"/>
      <c r="DJ786" s="56">
        <f t="shared" ca="1" si="1445"/>
        <v>9.7620891318751846E-2</v>
      </c>
      <c r="DK786" s="53">
        <f>HLOOKUP(H786,'GDP-PI'!$8:$9,2,FALSE)</f>
        <v>90.073999999999998</v>
      </c>
      <c r="DL786" s="355">
        <f t="shared" si="1438"/>
        <v>3.005618372545445E-2</v>
      </c>
      <c r="EC786"/>
    </row>
    <row r="787" spans="1:133" s="126" customFormat="1" ht="21" customHeight="1" x14ac:dyDescent="0.4">
      <c r="A787" s="233" t="s">
        <v>228</v>
      </c>
      <c r="B787" s="127" t="s">
        <v>228</v>
      </c>
      <c r="C787" s="127">
        <v>4064479</v>
      </c>
      <c r="D787" s="127" t="s">
        <v>199</v>
      </c>
      <c r="E787" s="127"/>
      <c r="F787" s="127"/>
      <c r="G787" s="127" t="s">
        <v>163</v>
      </c>
      <c r="H787" s="128">
        <v>2007</v>
      </c>
      <c r="I787" s="129"/>
      <c r="J787" s="125">
        <f>IFERROR(INDEX('Labor Expenditures'!$E$7:$W$91,MATCH($C787,'Labor Expenditures'!$C$7:$C$91,0),MATCH($G787,'Labor Expenditures'!$E$5:$W$5,0)),"NA")</f>
        <v>2391.9366242890437</v>
      </c>
      <c r="K787" s="125">
        <f t="shared" ca="1" si="1439"/>
        <v>22.883871076671074</v>
      </c>
      <c r="L787" s="47"/>
      <c r="M787" s="131">
        <f t="shared" ca="1" si="1446"/>
        <v>4.0505375183835096E-2</v>
      </c>
      <c r="N787" s="131"/>
      <c r="O787" s="131"/>
      <c r="P787" s="59">
        <f t="shared" ca="1" si="1448"/>
        <v>4.1020828088030808E-5</v>
      </c>
      <c r="Q787" s="61"/>
      <c r="R787" s="387"/>
      <c r="S787" s="49">
        <f t="shared" ref="S787:S800" ca="1" si="1453">+S786*EXP(T787)</f>
        <v>118.43208099015237</v>
      </c>
      <c r="T787" s="61">
        <f ca="1">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</f>
        <v>7.8206329760794044E-2</v>
      </c>
      <c r="U787" s="61"/>
      <c r="V787" s="125">
        <f>IFERROR(INDEX('Non-Labor Expenditures'!$E$7:$AA$91,MATCH($C787,'Non-Labor Expenditures'!$C$7:$C$91,0),MATCH($G787,'Non-Labor Expenditures'!$E$5:$AA$5,0)),"NA")</f>
        <v>3463.9709841071881</v>
      </c>
      <c r="W787" s="125">
        <f t="shared" si="1440"/>
        <v>37.449144674557154</v>
      </c>
      <c r="X787" s="131">
        <f t="shared" si="1449"/>
        <v>-3.1634705511455231E-2</v>
      </c>
      <c r="Y787" s="131">
        <f t="shared" si="1450"/>
        <v>-3.203727432498305E-5</v>
      </c>
      <c r="Z787" s="131"/>
      <c r="AA787" s="131"/>
      <c r="AB787" s="131"/>
      <c r="AC787" s="125">
        <f t="shared" si="1419"/>
        <v>1907.0038256738655</v>
      </c>
      <c r="AD787" s="129"/>
      <c r="AE787" s="133">
        <v>162.25221319704616</v>
      </c>
      <c r="AF787" s="134">
        <v>2.0727651451354155E-2</v>
      </c>
      <c r="AG787" s="59">
        <f t="shared" si="1441"/>
        <v>2.0991422076592575E-5</v>
      </c>
      <c r="AH787" s="134"/>
      <c r="AI787" s="134"/>
      <c r="AJ787" s="129">
        <f t="shared" si="1351"/>
        <v>7762.9114340700971</v>
      </c>
      <c r="AK787" s="134">
        <f t="shared" si="1451"/>
        <v>1.5455834897552699E-2</v>
      </c>
      <c r="AL787" s="129"/>
      <c r="AM787" s="129"/>
      <c r="AN787" s="129"/>
      <c r="AO787" s="129"/>
      <c r="AP787" s="133">
        <f t="shared" si="1452"/>
        <v>167.35822860989754</v>
      </c>
      <c r="AQ787" s="134">
        <f>+BB787/Outputs!$B$15</f>
        <v>1.3273887151898855E-3</v>
      </c>
      <c r="AR787" s="93">
        <f t="shared" si="1442"/>
        <v>0.30812365239557427</v>
      </c>
      <c r="AS787" s="93">
        <f t="shared" si="1443"/>
        <v>0.4462205982287018</v>
      </c>
      <c r="AT787" s="93">
        <f t="shared" si="1444"/>
        <v>0.24565574937572396</v>
      </c>
      <c r="AU787" s="93">
        <f t="shared" ca="1" si="1447"/>
        <v>3.277307936993692E-3</v>
      </c>
      <c r="AV787" s="132">
        <f ca="1">+AV786*EXP(AU787)</f>
        <v>100.27890839581906</v>
      </c>
      <c r="AW787" s="134">
        <f ca="1">LN(AV787/AV786)</f>
        <v>3.2773079369936573E-3</v>
      </c>
      <c r="AX787" s="56">
        <f>+AJ787/$AL$12</f>
        <v>1.0127255432607724E-3</v>
      </c>
      <c r="AY787" s="135">
        <f t="shared" ref="AY787:AY801" ca="1" si="1454">+AX787*AW787</f>
        <v>3.3190134609247427E-6</v>
      </c>
      <c r="AZ787" s="93"/>
      <c r="BA787" s="93"/>
      <c r="BB787" s="234">
        <f>IFERROR(INDEX('Total Customers'!$E$7:$AA$91,MATCH($C787,'Total Customers'!$C$7:$C$91,0),MATCH($G787,'Total Customers'!$E$5:$AA$5,0)),"NA")</f>
        <v>46385</v>
      </c>
      <c r="BC787" s="269">
        <f t="shared" si="1420"/>
        <v>4.1911571893432972E-3</v>
      </c>
      <c r="BD787" s="92"/>
      <c r="BE787" s="299" t="str">
        <f t="shared" si="1410"/>
        <v>OHIO GAS COMPANY</v>
      </c>
      <c r="BF787" s="300">
        <f t="shared" si="1411"/>
        <v>4064479</v>
      </c>
      <c r="BG787" s="231" t="str">
        <f t="shared" si="1412"/>
        <v>OH</v>
      </c>
      <c r="BH787" s="231"/>
      <c r="BI787" s="231" t="str">
        <f t="shared" si="1413"/>
        <v>2007 Y</v>
      </c>
      <c r="BJ787" s="129"/>
      <c r="BK787" s="129"/>
      <c r="BL787" s="129">
        <f>INDEX('Dist. Plant Gas Additions'!$E$7:$AD$91,MATCH($C787,'Dist. Plant Gas Additions'!$C$7:$C$91,0),MATCH(Calculation!$G787,'Dist. Plant Gas Additions'!$E$5:$AD$5,0))</f>
        <v>1483</v>
      </c>
      <c r="BM787" s="129">
        <f>INDEX('Gen. Plant Additions'!$E$7:$AD$91,MATCH($C787,'Gen. Plant Additions'!$C$7:$C$91,0),MATCH(Calculation!$G787,'Gen. Plant Additions'!$E$5:$AD$5,0))</f>
        <v>686</v>
      </c>
      <c r="BN787" s="301">
        <f t="shared" si="1421"/>
        <v>0.92074460356156862</v>
      </c>
      <c r="BO787" s="231">
        <f t="shared" si="1396"/>
        <v>631.63079804323604</v>
      </c>
      <c r="BP787" s="231">
        <f t="shared" si="1397"/>
        <v>-54.369201956763959</v>
      </c>
      <c r="BQ787" s="129">
        <f>INDEX('Dist Plant Depreciation'!$D$7:$AC$94,MATCH($C787,'Dist Plant Depreciation'!$C$7:$C$94,0),MATCH(Calculation!$G787,'Dist Plant Depreciation'!$D$5:$AC$5,0))</f>
        <v>33592</v>
      </c>
      <c r="BR787" s="129">
        <f>INDEX('Gen. Plant Depreciation'!$D$7:$AC$94,MATCH($C787,'Gen. Plant Depreciation'!$C$7:$C$94,0),MATCH(Calculation!$G787,'Gen. Plant Depreciation'!$D$5:$AC$5,0))</f>
        <v>2695</v>
      </c>
      <c r="BS787" s="129"/>
      <c r="BT787" s="129"/>
      <c r="BU787" s="129"/>
      <c r="BV787" s="129"/>
      <c r="BW787" s="129"/>
      <c r="BX787" s="129"/>
      <c r="BY787" s="129">
        <f>INDEX('Gross Dx Plant'!$D$7:$AC$91,MATCH($C787,'Gross Dx Plant'!$C$7:$C$91,0),MATCH(Calculation!$G787,'Gross Dx Plant'!$D$5:$AC$5,0))</f>
        <v>57030</v>
      </c>
      <c r="BZ787" s="129">
        <f>INDEX('Gross Gen Plant'!$D$7:$AC$91,MATCH($C787,'Gross Gen Plant'!$C$7:$C$91,0),MATCH(Calculation!$G787,'Gross Gen Plant'!$D$5:$AC$5,0))</f>
        <v>4909</v>
      </c>
      <c r="CA787" s="129">
        <f t="shared" si="1325"/>
        <v>25652</v>
      </c>
      <c r="CB787" s="129"/>
      <c r="CC787" s="133">
        <v>2007</v>
      </c>
      <c r="CD787" s="129"/>
      <c r="CE787" s="129"/>
      <c r="CF787" s="129"/>
      <c r="CG787" s="137"/>
      <c r="CH787" s="129">
        <f t="shared" si="1422"/>
        <v>2169</v>
      </c>
      <c r="CI787" s="46">
        <f t="shared" si="1431"/>
        <v>2114.6307980432362</v>
      </c>
      <c r="CJ787" s="231">
        <f t="shared" si="1423"/>
        <v>4.246056315803334</v>
      </c>
      <c r="CK787" s="443">
        <v>0.90322580645161288</v>
      </c>
      <c r="CL787" s="231">
        <f>+CL778*CK787+CJ779*CK786+CJ780*CK785+CJ781*CK784+CJ782*CK783+CJ783*CK782+CJ784*CK781+CJ785*CK780+CJ786*CK779+CJ787</f>
        <v>154.87660483989646</v>
      </c>
      <c r="CM787" s="134">
        <f t="shared" si="1424"/>
        <v>1.5367962287013176E-2</v>
      </c>
      <c r="CN787" s="135">
        <f t="shared" si="1425"/>
        <v>1.2353658764279773E-2</v>
      </c>
      <c r="CO787" s="135">
        <f t="shared" si="1434"/>
        <v>1.2025107294270381E-2</v>
      </c>
      <c r="CP787" s="134">
        <f>VLOOKUP($H787,RoR!$E:$F,2,FALSE)</f>
        <v>5.5558333333333321E-2</v>
      </c>
      <c r="CQ787" s="135">
        <v>2.691120634145272E-2</v>
      </c>
      <c r="CR787" s="135">
        <f t="shared" si="1432"/>
        <v>2.86471269918806E-2</v>
      </c>
      <c r="CS787" s="135">
        <f t="shared" si="1435"/>
        <v>1.8876834314263242E-2</v>
      </c>
      <c r="CT787" s="135">
        <f t="shared" si="1436"/>
        <v>6.4575155250632399E-2</v>
      </c>
      <c r="CU787" s="139">
        <f t="shared" si="1426"/>
        <v>0.87050000000000005</v>
      </c>
      <c r="CV787" s="335">
        <f t="shared" si="1427"/>
        <v>0.92303077153834634</v>
      </c>
      <c r="CW787" s="335">
        <f t="shared" si="1428"/>
        <v>0.52502249887505614</v>
      </c>
      <c r="CX787" s="335">
        <f t="shared" si="1429"/>
        <v>0.88499666072084604</v>
      </c>
      <c r="CY787" s="335">
        <f t="shared" si="1430"/>
        <v>0.42887993290280618</v>
      </c>
      <c r="CZ787" s="336">
        <f>INDEX('State Tax Lookup'!$D$7:$Z$91,MATCH(Calculation!$C787,'State Tax Lookup'!$B$7:$B$91,0),MATCH($H787,'State Tax Lookup'!$D$6:$Z$6,0))</f>
        <v>0.35</v>
      </c>
      <c r="DA787" s="302">
        <v>0.37</v>
      </c>
      <c r="DB787" s="57">
        <f t="shared" si="1433"/>
        <v>12.503740905172767</v>
      </c>
      <c r="DC787" s="56">
        <f t="shared" si="1437"/>
        <v>6.211851822977444E-2</v>
      </c>
      <c r="DD787" s="303">
        <f>VLOOKUP($H787,RoR!$E:$F,2,FALSE)</f>
        <v>5.5558333333333321E-2</v>
      </c>
      <c r="DE787" s="304">
        <f>HLOOKUP($H787,'GDP-PI'!$D$8:$CQ$11,3,FALSE)</f>
        <v>2.691120634145272E-2</v>
      </c>
      <c r="DF787" s="303">
        <f>VLOOKUP(H787,'HW Dx Data'!$E:$F,2,FALSE)</f>
        <v>498.0223154772637</v>
      </c>
      <c r="DG787" s="364">
        <f ca="1">VLOOKUP(CC787,'ECI - Input Price'!M$13:N$33,2,FALSE)</f>
        <v>104.52499999999999</v>
      </c>
      <c r="DH787" s="364"/>
      <c r="DI787" s="364"/>
      <c r="DJ787" s="56">
        <f t="shared" ca="1" si="1445"/>
        <v>-4.5584612745252218E-2</v>
      </c>
      <c r="DK787" s="53">
        <f>HLOOKUP(H787,'GDP-PI'!$8:$9,2,FALSE)</f>
        <v>92.498000000000005</v>
      </c>
      <c r="DL787" s="355">
        <f t="shared" si="1438"/>
        <v>2.6555467950038037E-2</v>
      </c>
      <c r="EC787"/>
    </row>
    <row r="788" spans="1:133" s="126" customFormat="1" ht="21" customHeight="1" x14ac:dyDescent="0.4">
      <c r="A788" s="233" t="s">
        <v>228</v>
      </c>
      <c r="B788" s="127" t="s">
        <v>228</v>
      </c>
      <c r="C788" s="127">
        <v>4064479</v>
      </c>
      <c r="D788" s="127" t="s">
        <v>199</v>
      </c>
      <c r="E788" s="127"/>
      <c r="F788" s="127"/>
      <c r="G788" s="127" t="s">
        <v>164</v>
      </c>
      <c r="H788" s="128">
        <v>2008</v>
      </c>
      <c r="I788" s="129"/>
      <c r="J788" s="125">
        <f>IFERROR(INDEX('Labor Expenditures'!$E$7:$W$91,MATCH($C788,'Labor Expenditures'!$C$7:$C$91,0),MATCH($G788,'Labor Expenditures'!$E$5:$W$5,0)),"NA")</f>
        <v>2459.3484700560334</v>
      </c>
      <c r="K788" s="125">
        <f t="shared" ca="1" si="1439"/>
        <v>22.792849583466481</v>
      </c>
      <c r="L788" s="47"/>
      <c r="M788" s="131">
        <f t="shared" ca="1" si="1446"/>
        <v>-3.985470601698864E-3</v>
      </c>
      <c r="N788" s="131"/>
      <c r="O788" s="131"/>
      <c r="P788" s="59">
        <f t="shared" ca="1" si="1448"/>
        <v>-4.0390319758484732E-6</v>
      </c>
      <c r="Q788" s="61"/>
      <c r="R788" s="387"/>
      <c r="S788" s="49">
        <f t="shared" ca="1" si="1453"/>
        <v>110.08576086096934</v>
      </c>
      <c r="T788" s="61">
        <f ca="1">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</f>
        <v>-7.3079933838745489E-2</v>
      </c>
      <c r="U788" s="61"/>
      <c r="V788" s="125">
        <f>IFERROR(INDEX('Non-Labor Expenditures'!$E$7:$AA$91,MATCH($C788,'Non-Labor Expenditures'!$C$7:$C$91,0),MATCH($G788,'Non-Labor Expenditures'!$E$5:$AA$5,0)),"NA")</f>
        <v>3561.5959275738101</v>
      </c>
      <c r="W788" s="125">
        <f t="shared" si="1440"/>
        <v>37.783203848487332</v>
      </c>
      <c r="X788" s="131">
        <f t="shared" si="1449"/>
        <v>8.8807906717292481E-3</v>
      </c>
      <c r="Y788" s="131">
        <f t="shared" si="1450"/>
        <v>9.0001410319376747E-6</v>
      </c>
      <c r="Z788" s="131"/>
      <c r="AA788" s="131"/>
      <c r="AB788" s="131"/>
      <c r="AC788" s="125">
        <f t="shared" si="1419"/>
        <v>2177.4695037417937</v>
      </c>
      <c r="AD788" s="129"/>
      <c r="AE788" s="133">
        <v>165.62772090164572</v>
      </c>
      <c r="AF788" s="134">
        <v>2.0590628540028227E-2</v>
      </c>
      <c r="AG788" s="59">
        <f t="shared" si="1441"/>
        <v>2.086734927627904E-5</v>
      </c>
      <c r="AH788" s="134"/>
      <c r="AI788" s="134"/>
      <c r="AJ788" s="129">
        <f t="shared" si="1351"/>
        <v>8198.4139013716376</v>
      </c>
      <c r="AK788" s="134">
        <f t="shared" si="1451"/>
        <v>5.4583260265106549E-2</v>
      </c>
      <c r="AL788" s="129"/>
      <c r="AM788" s="129"/>
      <c r="AN788" s="129"/>
      <c r="AO788" s="129"/>
      <c r="AP788" s="133">
        <f t="shared" si="1452"/>
        <v>176.50356092427475</v>
      </c>
      <c r="AQ788" s="134">
        <f>+BB788/Outputs!$B$16</f>
        <v>1.3221134106259276E-3</v>
      </c>
      <c r="AR788" s="93">
        <f t="shared" si="1442"/>
        <v>0.29997856898205294</v>
      </c>
      <c r="AS788" s="93">
        <f t="shared" si="1443"/>
        <v>0.43442499615418739</v>
      </c>
      <c r="AT788" s="93">
        <f t="shared" si="1444"/>
        <v>0.26559643486375961</v>
      </c>
      <c r="AU788" s="93">
        <f t="shared" ca="1" si="1447"/>
        <v>7.9621297347599977E-3</v>
      </c>
      <c r="AV788" s="132">
        <f t="shared" ref="AV788:AV801" ca="1" si="1455">+AV787*EXP(AU788)</f>
        <v>101.08052914339663</v>
      </c>
      <c r="AW788" s="134">
        <f t="shared" ref="AW788:AW801" ca="1" si="1456">LN(AV788/AV787)</f>
        <v>7.9621297347599578E-3</v>
      </c>
      <c r="AX788" s="56">
        <f>+AJ788/$AL$13</f>
        <v>1.0134391592618393E-3</v>
      </c>
      <c r="AY788" s="135">
        <f t="shared" ca="1" si="1454"/>
        <v>8.0691340643288236E-6</v>
      </c>
      <c r="AZ788" s="93"/>
      <c r="BA788" s="93"/>
      <c r="BB788" s="234">
        <f>IFERROR(INDEX('Total Customers'!$E$7:$AA$91,MATCH($C788,'Total Customers'!$C$7:$C$91,0),MATCH($G788,'Total Customers'!$E$5:$AA$5,0)),"NA")</f>
        <v>46449</v>
      </c>
      <c r="BC788" s="269">
        <f t="shared" si="1420"/>
        <v>1.3788053975747126E-3</v>
      </c>
      <c r="BD788" s="92"/>
      <c r="BE788" s="299" t="str">
        <f t="shared" si="1410"/>
        <v>OHIO GAS COMPANY</v>
      </c>
      <c r="BF788" s="300">
        <f t="shared" si="1411"/>
        <v>4064479</v>
      </c>
      <c r="BG788" s="231" t="str">
        <f t="shared" si="1412"/>
        <v>OH</v>
      </c>
      <c r="BH788" s="231"/>
      <c r="BI788" s="231" t="str">
        <f t="shared" si="1413"/>
        <v>2008 Y</v>
      </c>
      <c r="BJ788" s="129"/>
      <c r="BK788" s="129"/>
      <c r="BL788" s="129">
        <f>INDEX('Dist. Plant Gas Additions'!$E$7:$AD$91,MATCH($C788,'Dist. Plant Gas Additions'!$C$7:$C$91,0),MATCH(Calculation!$G788,'Dist. Plant Gas Additions'!$E$5:$AD$5,0))</f>
        <v>1831</v>
      </c>
      <c r="BM788" s="129">
        <f>INDEX('Gen. Plant Additions'!$E$7:$AD$91,MATCH($C788,'Gen. Plant Additions'!$C$7:$C$91,0),MATCH(Calculation!$G788,'Gen. Plant Additions'!$E$5:$AD$5,0))</f>
        <v>710</v>
      </c>
      <c r="BN788" s="301">
        <f t="shared" si="1421"/>
        <v>0.91563558065875084</v>
      </c>
      <c r="BO788" s="231">
        <f t="shared" si="1396"/>
        <v>650.10126226771308</v>
      </c>
      <c r="BP788" s="231">
        <f t="shared" si="1397"/>
        <v>-59.898737732286918</v>
      </c>
      <c r="BQ788" s="129">
        <f>INDEX('Dist Plant Depreciation'!$D$7:$AC$94,MATCH($C788,'Dist Plant Depreciation'!$C$7:$C$94,0),MATCH(Calculation!$G788,'Dist Plant Depreciation'!$D$5:$AC$5,0))</f>
        <v>35048</v>
      </c>
      <c r="BR788" s="129">
        <f>INDEX('Gen. Plant Depreciation'!$D$7:$AC$94,MATCH($C788,'Gen. Plant Depreciation'!$C$7:$C$94,0),MATCH(Calculation!$G788,'Gen. Plant Depreciation'!$D$5:$AC$5,0))</f>
        <v>2977</v>
      </c>
      <c r="BS788" s="129"/>
      <c r="BT788" s="129"/>
      <c r="BU788" s="129"/>
      <c r="BV788" s="129"/>
      <c r="BW788" s="129"/>
      <c r="BX788" s="129"/>
      <c r="BY788" s="129">
        <f>INDEX('Gross Dx Plant'!$D$7:$AC$91,MATCH($C788,'Gross Dx Plant'!$C$7:$C$91,0),MATCH(Calculation!$G788,'Gross Dx Plant'!$D$5:$AC$5,0))</f>
        <v>58684</v>
      </c>
      <c r="BZ788" s="129">
        <f>INDEX('Gross Gen Plant'!$D$7:$AC$91,MATCH($C788,'Gross Gen Plant'!$C$7:$C$91,0),MATCH(Calculation!$G788,'Gross Gen Plant'!$D$5:$AC$5,0))</f>
        <v>5407</v>
      </c>
      <c r="CA788" s="129">
        <f t="shared" ref="CA788:CA832" si="1457">IF(OR(BQ788="NA",BR788="NA"),"NA",(SUM(BY788:BZ788)-SUM(BQ788:BR788)))</f>
        <v>26066</v>
      </c>
      <c r="CB788" s="129"/>
      <c r="CC788" s="133">
        <v>2008</v>
      </c>
      <c r="CD788" s="129"/>
      <c r="CE788" s="129"/>
      <c r="CF788" s="129"/>
      <c r="CG788" s="137"/>
      <c r="CH788" s="129">
        <f t="shared" si="1422"/>
        <v>2541</v>
      </c>
      <c r="CI788" s="46">
        <f t="shared" si="1431"/>
        <v>2481.1012622677131</v>
      </c>
      <c r="CJ788" s="231">
        <f t="shared" si="1423"/>
        <v>4.3537166127737006</v>
      </c>
      <c r="CK788" s="443">
        <v>0.89130434782608692</v>
      </c>
      <c r="CL788" s="231">
        <f>+CL778*CK788+CJ779*CK787+CJ780*CK786+CJ781*CK785+CJ782*CK784+CJ783*CK783+CJ784*CK782+CJ785*CK781+CJ786*CK780+CJ787*CK779+CJ788</f>
        <v>157.26359228967954</v>
      </c>
      <c r="CM788" s="134">
        <f t="shared" si="1424"/>
        <v>1.5294627241304464E-2</v>
      </c>
      <c r="CN788" s="135">
        <f t="shared" si="1425"/>
        <v>1.2698684640096075E-2</v>
      </c>
      <c r="CO788" s="135">
        <f t="shared" si="1434"/>
        <v>1.2359245615552924E-2</v>
      </c>
      <c r="CP788" s="134">
        <f>VLOOKUP($H788,RoR!$E:$F,2,FALSE)</f>
        <v>5.6316666666666668E-2</v>
      </c>
      <c r="CQ788" s="135">
        <v>1.9092304698479889E-2</v>
      </c>
      <c r="CR788" s="135">
        <f t="shared" si="1432"/>
        <v>3.7224361968186778E-2</v>
      </c>
      <c r="CS788" s="135">
        <f t="shared" si="1435"/>
        <v>1.8542695992980703E-2</v>
      </c>
      <c r="CT788" s="135">
        <f t="shared" si="1436"/>
        <v>6.9030581091053131E-2</v>
      </c>
      <c r="CU788" s="139">
        <f t="shared" si="1426"/>
        <v>0.87050000000000005</v>
      </c>
      <c r="CV788" s="335">
        <f t="shared" si="1427"/>
        <v>0.91060168006009956</v>
      </c>
      <c r="CW788" s="335">
        <f t="shared" si="1428"/>
        <v>0.53108168097070152</v>
      </c>
      <c r="CX788" s="335">
        <f t="shared" si="1429"/>
        <v>0.88825329850328805</v>
      </c>
      <c r="CY788" s="335">
        <f t="shared" si="1430"/>
        <v>0.4295627335323573</v>
      </c>
      <c r="CZ788" s="336">
        <f>INDEX('State Tax Lookup'!$D$7:$Z$91,MATCH(Calculation!$C788,'State Tax Lookup'!$B$7:$B$91,0),MATCH($H788,'State Tax Lookup'!$D$6:$Z$6,0))</f>
        <v>0.35</v>
      </c>
      <c r="DA788" s="302">
        <v>0.37</v>
      </c>
      <c r="DB788" s="57">
        <f t="shared" si="1433"/>
        <v>14.059382990689592</v>
      </c>
      <c r="DC788" s="56">
        <f t="shared" si="1437"/>
        <v>0.11726212945133392</v>
      </c>
      <c r="DD788" s="303">
        <f>VLOOKUP($H788,RoR!$E:$F,2,FALSE)</f>
        <v>5.6316666666666668E-2</v>
      </c>
      <c r="DE788" s="304">
        <f>HLOOKUP($H788,'GDP-PI'!$D$8:$CQ$11,3,FALSE)</f>
        <v>1.9092304698479889E-2</v>
      </c>
      <c r="DF788" s="303">
        <f>VLOOKUP(H788,'HW Dx Data'!$E:$F,2,FALSE)</f>
        <v>569.88120333515076</v>
      </c>
      <c r="DG788" s="364">
        <f ca="1">VLOOKUP(CC788,'ECI - Input Price'!M$13:N$33,2,FALSE)</f>
        <v>107.9</v>
      </c>
      <c r="DH788" s="364"/>
      <c r="DI788" s="364"/>
      <c r="DJ788" s="56">
        <f t="shared" ca="1" si="1445"/>
        <v>3.1778595021460486E-2</v>
      </c>
      <c r="DK788" s="53">
        <f>HLOOKUP(H788,'GDP-PI'!$8:$9,2,FALSE)</f>
        <v>94.263999999999996</v>
      </c>
      <c r="DL788" s="355">
        <f t="shared" si="1438"/>
        <v>1.8912333748032254E-2</v>
      </c>
      <c r="EC788"/>
    </row>
    <row r="789" spans="1:133" s="126" customFormat="1" ht="21" customHeight="1" x14ac:dyDescent="0.4">
      <c r="A789" s="233" t="s">
        <v>228</v>
      </c>
      <c r="B789" s="127" t="s">
        <v>228</v>
      </c>
      <c r="C789" s="127">
        <v>4064479</v>
      </c>
      <c r="D789" s="127" t="s">
        <v>199</v>
      </c>
      <c r="E789" s="127"/>
      <c r="F789" s="127"/>
      <c r="G789" s="127" t="s">
        <v>165</v>
      </c>
      <c r="H789" s="128">
        <v>2009</v>
      </c>
      <c r="I789" s="129"/>
      <c r="J789" s="125">
        <f>IFERROR(INDEX('Labor Expenditures'!$E$7:$W$91,MATCH($C789,'Labor Expenditures'!$C$7:$C$91,0),MATCH($G789,'Labor Expenditures'!$E$5:$W$5,0)),"NA")</f>
        <v>2638.3753376151399</v>
      </c>
      <c r="K789" s="125">
        <f t="shared" ca="1" si="1439"/>
        <v>23.785218279153842</v>
      </c>
      <c r="L789" s="47"/>
      <c r="M789" s="131">
        <f t="shared" ca="1" si="1446"/>
        <v>4.2617435006328475E-2</v>
      </c>
      <c r="N789" s="131"/>
      <c r="O789" s="131"/>
      <c r="P789" s="59">
        <f t="shared" ca="1" si="1448"/>
        <v>4.3125859463983677E-5</v>
      </c>
      <c r="Q789" s="61"/>
      <c r="R789" s="387"/>
      <c r="S789" s="49">
        <f t="shared" ca="1" si="1453"/>
        <v>117.54612117678631</v>
      </c>
      <c r="T789" s="61">
        <f ca="1">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</f>
        <v>6.5571071003245426E-2</v>
      </c>
      <c r="U789" s="61"/>
      <c r="V789" s="125">
        <f>IFERROR(INDEX('Non-Labor Expenditures'!$E$7:$AA$91,MATCH($C789,'Non-Labor Expenditures'!$C$7:$C$91,0),MATCH($G789,'Non-Labor Expenditures'!$E$5:$AA$5,0)),"NA")</f>
        <v>3820.86026940589</v>
      </c>
      <c r="W789" s="125">
        <f t="shared" si="1440"/>
        <v>40.220005151695176</v>
      </c>
      <c r="X789" s="131">
        <f t="shared" si="1449"/>
        <v>6.2499851188903027E-2</v>
      </c>
      <c r="Y789" s="131">
        <f t="shared" si="1450"/>
        <v>6.324547215223717E-5</v>
      </c>
      <c r="Z789" s="131"/>
      <c r="AA789" s="131"/>
      <c r="AB789" s="131"/>
      <c r="AC789" s="125">
        <f t="shared" si="1419"/>
        <v>2098.478044463986</v>
      </c>
      <c r="AD789" s="129"/>
      <c r="AE789" s="133">
        <v>167.85543604407255</v>
      </c>
      <c r="AF789" s="134">
        <v>1.3360484532215324E-2</v>
      </c>
      <c r="AG789" s="59">
        <f t="shared" si="1441"/>
        <v>1.3519874629279909E-5</v>
      </c>
      <c r="AH789" s="134"/>
      <c r="AI789" s="134"/>
      <c r="AJ789" s="129">
        <f t="shared" si="1351"/>
        <v>8557.7136514850154</v>
      </c>
      <c r="AK789" s="134">
        <f t="shared" si="1451"/>
        <v>4.2892348788954066E-2</v>
      </c>
      <c r="AL789" s="129"/>
      <c r="AM789" s="129"/>
      <c r="AN789" s="129"/>
      <c r="AO789" s="129"/>
      <c r="AP789" s="133">
        <f t="shared" si="1452"/>
        <v>184.37388024313293</v>
      </c>
      <c r="AQ789" s="134">
        <f>+BB789/Outputs!$B$17</f>
        <v>1.3194614811911001E-3</v>
      </c>
      <c r="AR789" s="93">
        <f t="shared" si="1442"/>
        <v>0.30830376489137423</v>
      </c>
      <c r="AS789" s="93">
        <f t="shared" si="1443"/>
        <v>0.44648143476299401</v>
      </c>
      <c r="AT789" s="93">
        <f t="shared" si="1444"/>
        <v>0.24521480034563184</v>
      </c>
      <c r="AU789" s="93">
        <f t="shared" ca="1" si="1447"/>
        <v>4.3902319639958491E-2</v>
      </c>
      <c r="AV789" s="132">
        <f t="shared" ca="1" si="1455"/>
        <v>105.6170521620684</v>
      </c>
      <c r="AW789" s="134">
        <f t="shared" ca="1" si="1456"/>
        <v>4.3902319639958498E-2</v>
      </c>
      <c r="AX789" s="56">
        <f>+AJ789/$AL$14</f>
        <v>1.0119299638183224E-3</v>
      </c>
      <c r="AY789" s="135">
        <f t="shared" ca="1" si="1454"/>
        <v>4.4426072724803628E-5</v>
      </c>
      <c r="AZ789" s="93"/>
      <c r="BA789" s="93"/>
      <c r="BB789" s="234">
        <f>IFERROR(INDEX('Total Customers'!$E$7:$AA$91,MATCH($C789,'Total Customers'!$C$7:$C$91,0),MATCH($G789,'Total Customers'!$E$5:$AA$5,0)),"NA")</f>
        <v>46415</v>
      </c>
      <c r="BC789" s="269">
        <f t="shared" si="1420"/>
        <v>-7.3225365091363038E-4</v>
      </c>
      <c r="BD789" s="92"/>
      <c r="BE789" s="299" t="str">
        <f t="shared" si="1410"/>
        <v>OHIO GAS COMPANY</v>
      </c>
      <c r="BF789" s="300">
        <f t="shared" si="1411"/>
        <v>4064479</v>
      </c>
      <c r="BG789" s="231" t="str">
        <f t="shared" si="1412"/>
        <v>OH</v>
      </c>
      <c r="BH789" s="231"/>
      <c r="BI789" s="231" t="str">
        <f t="shared" si="1413"/>
        <v>2009 Y</v>
      </c>
      <c r="BJ789" s="129"/>
      <c r="BK789" s="129"/>
      <c r="BL789" s="129">
        <f>INDEX('Dist. Plant Gas Additions'!$E$7:$AD$91,MATCH($C789,'Dist. Plant Gas Additions'!$C$7:$C$91,0),MATCH(Calculation!$G789,'Dist. Plant Gas Additions'!$E$5:$AD$5,0))</f>
        <v>1275</v>
      </c>
      <c r="BM789" s="129">
        <f>INDEX('Gen. Plant Additions'!$E$7:$AD$91,MATCH($C789,'Gen. Plant Additions'!$C$7:$C$91,0),MATCH(Calculation!$G789,'Gen. Plant Additions'!$E$5:$AD$5,0))</f>
        <v>582</v>
      </c>
      <c r="BN789" s="301">
        <f t="shared" si="1421"/>
        <v>0.91139625858106155</v>
      </c>
      <c r="BO789" s="231">
        <f t="shared" si="1396"/>
        <v>530.43262249417785</v>
      </c>
      <c r="BP789" s="231">
        <f t="shared" si="1397"/>
        <v>-51.567377505822151</v>
      </c>
      <c r="BQ789" s="129">
        <f>INDEX('Dist Plant Depreciation'!$D$7:$AC$94,MATCH($C789,'Dist Plant Depreciation'!$C$7:$C$94,0),MATCH(Calculation!$G789,'Dist Plant Depreciation'!$D$5:$AC$5,0))</f>
        <v>36604</v>
      </c>
      <c r="BR789" s="129">
        <f>INDEX('Gen. Plant Depreciation'!$D$7:$AC$94,MATCH($C789,'Gen. Plant Depreciation'!$C$7:$C$94,0),MATCH(Calculation!$G789,'Gen. Plant Depreciation'!$D$5:$AC$5,0))</f>
        <v>3336</v>
      </c>
      <c r="BS789" s="129"/>
      <c r="BT789" s="129"/>
      <c r="BU789" s="129"/>
      <c r="BV789" s="129"/>
      <c r="BW789" s="129"/>
      <c r="BX789" s="129"/>
      <c r="BY789" s="129">
        <f>INDEX('Gross Dx Plant'!$D$7:$AC$91,MATCH($C789,'Gross Dx Plant'!$C$7:$C$91,0),MATCH(Calculation!$G789,'Gross Dx Plant'!$D$5:$AC$5,0))</f>
        <v>59876</v>
      </c>
      <c r="BZ789" s="129">
        <f>INDEX('Gross Gen Plant'!$D$7:$AC$91,MATCH($C789,'Gross Gen Plant'!$C$7:$C$91,0),MATCH(Calculation!$G789,'Gross Gen Plant'!$D$5:$AC$5,0))</f>
        <v>5821</v>
      </c>
      <c r="CA789" s="129">
        <f t="shared" si="1457"/>
        <v>25757</v>
      </c>
      <c r="CB789" s="129"/>
      <c r="CC789" s="133">
        <v>2009</v>
      </c>
      <c r="CD789" s="129"/>
      <c r="CE789" s="129"/>
      <c r="CF789" s="129"/>
      <c r="CG789" s="137"/>
      <c r="CH789" s="129">
        <f t="shared" si="1422"/>
        <v>1857</v>
      </c>
      <c r="CI789" s="46">
        <f t="shared" si="1431"/>
        <v>1805.4326224941778</v>
      </c>
      <c r="CJ789" s="231">
        <f t="shared" si="1423"/>
        <v>3.2770002826269007</v>
      </c>
      <c r="CK789" s="443">
        <v>0.87912087912087911</v>
      </c>
      <c r="CL789" s="231">
        <f>+CL778*CK789+CJ779*CK788+CJ780*CK787+CJ781*CK786+CJ782*CK785+CJ783*CK784+CJ784*CK783+CJ785*CK782+CJ786*CK781+CJ787*CK780+CJ788*CK779+CJ789</f>
        <v>158.48801604637077</v>
      </c>
      <c r="CM789" s="134">
        <f t="shared" si="1424"/>
        <v>7.7556526193276552E-3</v>
      </c>
      <c r="CN789" s="135">
        <f t="shared" si="1425"/>
        <v>1.3051822714025363E-2</v>
      </c>
      <c r="CO789" s="135">
        <f t="shared" si="1434"/>
        <v>1.2701388706133738E-2</v>
      </c>
      <c r="CP789" s="134">
        <f>VLOOKUP($H789,RoR!$E:$F,2,FALSE)</f>
        <v>5.3133333333333324E-2</v>
      </c>
      <c r="CQ789" s="135">
        <v>7.7972502758210105E-3</v>
      </c>
      <c r="CR789" s="135">
        <f t="shared" si="1432"/>
        <v>4.5336083057512314E-2</v>
      </c>
      <c r="CS789" s="135">
        <f t="shared" si="1435"/>
        <v>1.8200552902399886E-2</v>
      </c>
      <c r="CT789" s="135">
        <f t="shared" si="1436"/>
        <v>6.3720160300892073E-2</v>
      </c>
      <c r="CU789" s="139">
        <f t="shared" si="1426"/>
        <v>0.87050000000000005</v>
      </c>
      <c r="CV789" s="335">
        <f t="shared" si="1427"/>
        <v>0.96515780330083989</v>
      </c>
      <c r="CW789" s="335">
        <f t="shared" si="1428"/>
        <v>0.50448557089084056</v>
      </c>
      <c r="CX789" s="335">
        <f t="shared" si="1429"/>
        <v>0.87391435735465484</v>
      </c>
      <c r="CY789" s="335">
        <f t="shared" si="1430"/>
        <v>0.42551605393279146</v>
      </c>
      <c r="CZ789" s="336">
        <f>INDEX('State Tax Lookup'!$D$7:$Z$91,MATCH(Calculation!$C789,'State Tax Lookup'!$B$7:$B$91,0),MATCH($H789,'State Tax Lookup'!$D$6:$Z$6,0))</f>
        <v>0.35</v>
      </c>
      <c r="DA789" s="302">
        <v>0.37</v>
      </c>
      <c r="DB789" s="57">
        <f t="shared" si="1433"/>
        <v>13.34369903364912</v>
      </c>
      <c r="DC789" s="56">
        <f t="shared" si="1437"/>
        <v>-5.2245710471088523E-2</v>
      </c>
      <c r="DD789" s="303">
        <f>VLOOKUP($H789,RoR!$E:$F,2,FALSE)</f>
        <v>5.3133333333333324E-2</v>
      </c>
      <c r="DE789" s="304">
        <f>HLOOKUP($H789,'GDP-PI'!$D$8:$CQ$11,3,FALSE)</f>
        <v>7.7972502758210105E-3</v>
      </c>
      <c r="DF789" s="303">
        <f>VLOOKUP(H789,'HW Dx Data'!$E:$F,2,FALSE)</f>
        <v>550.94063679692806</v>
      </c>
      <c r="DG789" s="364">
        <f ca="1">VLOOKUP(CC789,'ECI - Input Price'!M$13:N$33,2,FALSE)</f>
        <v>110.925</v>
      </c>
      <c r="DH789" s="364"/>
      <c r="DI789" s="364"/>
      <c r="DJ789" s="56">
        <f t="shared" ca="1" si="1445"/>
        <v>2.7649425000884052E-2</v>
      </c>
      <c r="DK789" s="53">
        <f>HLOOKUP(H789,'GDP-PI'!$8:$9,2,FALSE)</f>
        <v>94.998999999999995</v>
      </c>
      <c r="DL789" s="355">
        <f t="shared" si="1438"/>
        <v>7.7670088183096342E-3</v>
      </c>
      <c r="EC789"/>
    </row>
    <row r="790" spans="1:133" s="126" customFormat="1" ht="21" customHeight="1" x14ac:dyDescent="0.4">
      <c r="A790" s="233" t="s">
        <v>228</v>
      </c>
      <c r="B790" s="127" t="s">
        <v>228</v>
      </c>
      <c r="C790" s="127">
        <v>4064479</v>
      </c>
      <c r="D790" s="127" t="s">
        <v>199</v>
      </c>
      <c r="E790" s="127"/>
      <c r="F790" s="127"/>
      <c r="G790" s="127" t="s">
        <v>166</v>
      </c>
      <c r="H790" s="128">
        <v>2010</v>
      </c>
      <c r="I790" s="129"/>
      <c r="J790" s="125">
        <f>IFERROR(INDEX('Labor Expenditures'!$E$7:$W$91,MATCH($C790,'Labor Expenditures'!$C$7:$C$91,0),MATCH($G790,'Labor Expenditures'!$E$5:$W$5,0)),"NA")</f>
        <v>2535.7097869551044</v>
      </c>
      <c r="K790" s="125">
        <f t="shared" ca="1" si="1439"/>
        <v>21.686634910883939</v>
      </c>
      <c r="L790" s="47"/>
      <c r="M790" s="131">
        <f t="shared" ca="1" si="1446"/>
        <v>-9.2368138942913944E-2</v>
      </c>
      <c r="N790" s="131"/>
      <c r="O790" s="131"/>
      <c r="P790" s="59">
        <f t="shared" ca="1" si="1448"/>
        <v>-8.8495566215735362E-5</v>
      </c>
      <c r="Q790" s="61"/>
      <c r="R790" s="387"/>
      <c r="S790" s="49">
        <f t="shared" ca="1" si="1453"/>
        <v>96.479093471346488</v>
      </c>
      <c r="T790" s="61">
        <f ca="1">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</f>
        <v>-0.19750444031357711</v>
      </c>
      <c r="U790" s="61"/>
      <c r="V790" s="125">
        <f>IFERROR(INDEX('Non-Labor Expenditures'!$E$7:$AA$91,MATCH($C790,'Non-Labor Expenditures'!$C$7:$C$91,0),MATCH($G790,'Non-Labor Expenditures'!$E$5:$AA$5,0)),"NA")</f>
        <v>3672.1813767703243</v>
      </c>
      <c r="W790" s="125">
        <f t="shared" si="1440"/>
        <v>38.208506765967023</v>
      </c>
      <c r="X790" s="131">
        <f t="shared" si="1449"/>
        <v>-5.1306331403087428E-2</v>
      </c>
      <c r="Y790" s="131">
        <f t="shared" si="1450"/>
        <v>-4.9155292072891798E-5</v>
      </c>
      <c r="Z790" s="131"/>
      <c r="AA790" s="131"/>
      <c r="AB790" s="131"/>
      <c r="AC790" s="125">
        <f t="shared" si="1419"/>
        <v>2144.1699427376634</v>
      </c>
      <c r="AD790" s="129"/>
      <c r="AE790" s="133">
        <v>172.64004769650441</v>
      </c>
      <c r="AF790" s="134">
        <v>2.8105668563865642E-2</v>
      </c>
      <c r="AG790" s="59">
        <f t="shared" si="1441"/>
        <v>2.6927326693983286E-5</v>
      </c>
      <c r="AH790" s="134"/>
      <c r="AI790" s="134"/>
      <c r="AJ790" s="129">
        <f t="shared" si="1351"/>
        <v>8352.0611064630921</v>
      </c>
      <c r="AK790" s="134">
        <f t="shared" si="1451"/>
        <v>-2.4324710187434036E-2</v>
      </c>
      <c r="AL790" s="129"/>
      <c r="AM790" s="129"/>
      <c r="AN790" s="129"/>
      <c r="AO790" s="129"/>
      <c r="AP790" s="133">
        <f t="shared" si="1452"/>
        <v>179.62194301826085</v>
      </c>
      <c r="AQ790" s="134">
        <f>+BB790/Outputs!$B$18</f>
        <v>1.3145887345699517E-3</v>
      </c>
      <c r="AR790" s="93">
        <f t="shared" si="1442"/>
        <v>0.30360287773671712</v>
      </c>
      <c r="AS790" s="93">
        <f t="shared" si="1443"/>
        <v>0.43967367215844155</v>
      </c>
      <c r="AT790" s="93">
        <f t="shared" si="1444"/>
        <v>0.25672345010484132</v>
      </c>
      <c r="AU790" s="93">
        <f t="shared" ca="1" si="1447"/>
        <v>-4.3939367634962742E-2</v>
      </c>
      <c r="AV790" s="132">
        <f t="shared" ca="1" si="1455"/>
        <v>101.07678438182627</v>
      </c>
      <c r="AW790" s="134">
        <f t="shared" ca="1" si="1456"/>
        <v>-4.3939367634962784E-2</v>
      </c>
      <c r="AX790" s="56">
        <f>+AJ790/$AL$15</f>
        <v>9.5807458316799106E-4</v>
      </c>
      <c r="AY790" s="135">
        <f t="shared" ca="1" si="1454"/>
        <v>-4.2097191331532087E-5</v>
      </c>
      <c r="AZ790" s="93"/>
      <c r="BA790" s="93"/>
      <c r="BB790" s="234">
        <f>IFERROR(INDEX('Total Customers'!$E$7:$AA$91,MATCH($C790,'Total Customers'!$C$7:$C$91,0),MATCH($G790,'Total Customers'!$E$5:$AA$5,0)),"NA")</f>
        <v>46498</v>
      </c>
      <c r="BC790" s="269">
        <f t="shared" si="1420"/>
        <v>1.7866180637376783E-3</v>
      </c>
      <c r="BD790" s="92"/>
      <c r="BE790" s="299" t="str">
        <f t="shared" si="1410"/>
        <v>OHIO GAS COMPANY</v>
      </c>
      <c r="BF790" s="300">
        <f t="shared" si="1411"/>
        <v>4064479</v>
      </c>
      <c r="BG790" s="231" t="str">
        <f t="shared" si="1412"/>
        <v>OH</v>
      </c>
      <c r="BH790" s="231"/>
      <c r="BI790" s="231" t="str">
        <f t="shared" si="1413"/>
        <v>2010 Y</v>
      </c>
      <c r="BJ790" s="129"/>
      <c r="BK790" s="129"/>
      <c r="BL790" s="129">
        <f>INDEX('Dist. Plant Gas Additions'!$E$7:$AD$91,MATCH($C790,'Dist. Plant Gas Additions'!$C$7:$C$91,0),MATCH(Calculation!$G790,'Dist. Plant Gas Additions'!$E$5:$AD$5,0))</f>
        <v>2532</v>
      </c>
      <c r="BM790" s="129">
        <f>INDEX('Gen. Plant Additions'!$E$7:$AD$91,MATCH($C790,'Gen. Plant Additions'!$C$7:$C$91,0),MATCH(Calculation!$G790,'Gen. Plant Additions'!$E$5:$AD$5,0))</f>
        <v>873</v>
      </c>
      <c r="BN790" s="301">
        <f t="shared" si="1421"/>
        <v>0.90604778315810908</v>
      </c>
      <c r="BO790" s="231">
        <f t="shared" si="1396"/>
        <v>790.97971469702918</v>
      </c>
      <c r="BP790" s="231">
        <f t="shared" si="1397"/>
        <v>-82.020285302970819</v>
      </c>
      <c r="BQ790" s="129">
        <f>INDEX('Dist Plant Depreciation'!$D$7:$AC$94,MATCH($C790,'Dist Plant Depreciation'!$C$7:$C$94,0),MATCH(Calculation!$G790,'Dist Plant Depreciation'!$D$5:$AC$5,0))</f>
        <v>38231</v>
      </c>
      <c r="BR790" s="129">
        <f>INDEX('Gen. Plant Depreciation'!$D$7:$AC$94,MATCH($C790,'Gen. Plant Depreciation'!$C$7:$C$94,0),MATCH(Calculation!$G790,'Gen. Plant Depreciation'!$D$5:$AC$5,0))</f>
        <v>3705</v>
      </c>
      <c r="BS790" s="129"/>
      <c r="BT790" s="129"/>
      <c r="BU790" s="129"/>
      <c r="BV790" s="129"/>
      <c r="BW790" s="129"/>
      <c r="BX790" s="129"/>
      <c r="BY790" s="129">
        <f>INDEX('Gross Dx Plant'!$D$7:$AC$91,MATCH($C790,'Gross Dx Plant'!$C$7:$C$91,0),MATCH(Calculation!$G790,'Gross Dx Plant'!$D$5:$AC$5,0))</f>
        <v>62308</v>
      </c>
      <c r="BZ790" s="129">
        <f>INDEX('Gross Gen Plant'!$D$7:$AC$91,MATCH($C790,'Gross Gen Plant'!$C$7:$C$91,0),MATCH(Calculation!$G790,'Gross Gen Plant'!$D$5:$AC$5,0))</f>
        <v>6461</v>
      </c>
      <c r="CA790" s="129">
        <f t="shared" si="1457"/>
        <v>26833</v>
      </c>
      <c r="CB790" s="129"/>
      <c r="CC790" s="133">
        <v>2010</v>
      </c>
      <c r="CD790" s="129"/>
      <c r="CE790" s="129"/>
      <c r="CF790" s="129"/>
      <c r="CG790" s="137"/>
      <c r="CH790" s="129">
        <f t="shared" si="1422"/>
        <v>3405</v>
      </c>
      <c r="CI790" s="46">
        <f t="shared" si="1431"/>
        <v>3322.9797146970291</v>
      </c>
      <c r="CJ790" s="231">
        <f t="shared" si="1423"/>
        <v>5.8401423916242825</v>
      </c>
      <c r="CK790" s="443">
        <v>0.8666666666666667</v>
      </c>
      <c r="CL790" s="231">
        <f>+CL778*CK790+CJ779*CK789+CJ780*CK788+CJ781*CK787+CJ782*CK786+CJ783*CK785+CJ784*CK784+CJ785*CK783+CJ786*CK782+CJ787*CK781+CJ788*CK780+CJ789*CK779+CJ790</f>
        <v>162.19812355303196</v>
      </c>
      <c r="CM790" s="134">
        <f t="shared" si="1424"/>
        <v>2.3139590972175526E-2</v>
      </c>
      <c r="CN790" s="135">
        <f t="shared" si="1425"/>
        <v>1.3439722056586813E-2</v>
      </c>
      <c r="CO790" s="135">
        <f t="shared" si="1434"/>
        <v>1.3063409803569417E-2</v>
      </c>
      <c r="CP790" s="134">
        <f>VLOOKUP($H790,RoR!$E:$F,2,FALSE)</f>
        <v>4.9433333333333322E-2</v>
      </c>
      <c r="CQ790" s="135">
        <v>1.1684333519300205E-2</v>
      </c>
      <c r="CR790" s="135">
        <f t="shared" si="1432"/>
        <v>3.7748999814033117E-2</v>
      </c>
      <c r="CS790" s="135">
        <f t="shared" si="1435"/>
        <v>1.7838531804964208E-2</v>
      </c>
      <c r="CT790" s="135">
        <f t="shared" si="1436"/>
        <v>4.7937530248493419E-2</v>
      </c>
      <c r="CU790" s="139">
        <f t="shared" si="1426"/>
        <v>0.87050000000000005</v>
      </c>
      <c r="CV790" s="335">
        <f t="shared" si="1427"/>
        <v>1.037398205301105</v>
      </c>
      <c r="CW790" s="335">
        <f t="shared" si="1428"/>
        <v>0.46926837491571133</v>
      </c>
      <c r="CX790" s="335">
        <f t="shared" si="1429"/>
        <v>0.8548537519972772</v>
      </c>
      <c r="CY790" s="335">
        <f t="shared" si="1430"/>
        <v>0.41615833911547367</v>
      </c>
      <c r="CZ790" s="336">
        <f>INDEX('State Tax Lookup'!$D$7:$Z$91,MATCH(Calculation!$C790,'State Tax Lookup'!$B$7:$B$91,0),MATCH($H790,'State Tax Lookup'!$D$6:$Z$6,0))</f>
        <v>0.35</v>
      </c>
      <c r="DA790" s="302">
        <v>0.37</v>
      </c>
      <c r="DB790" s="57">
        <f t="shared" si="1433"/>
        <v>13.528908975113408</v>
      </c>
      <c r="DC790" s="56">
        <f t="shared" si="1437"/>
        <v>1.3784510538153572E-2</v>
      </c>
      <c r="DD790" s="303">
        <f>VLOOKUP($H790,RoR!$E:$F,2,FALSE)</f>
        <v>4.9433333333333322E-2</v>
      </c>
      <c r="DE790" s="304">
        <f>HLOOKUP($H790,'GDP-PI'!$D$8:$CQ$11,3,FALSE)</f>
        <v>1.1684333519300205E-2</v>
      </c>
      <c r="DF790" s="303">
        <f>VLOOKUP(H790,'HW Dx Data'!$E:$F,2,FALSE)</f>
        <v>568.98950262971744</v>
      </c>
      <c r="DG790" s="364">
        <f ca="1">VLOOKUP(CC790,'ECI - Input Price'!M$13:N$33,2,FALSE)</f>
        <v>116.925</v>
      </c>
      <c r="DH790" s="364"/>
      <c r="DI790" s="364"/>
      <c r="DJ790" s="56">
        <f t="shared" ca="1" si="1445"/>
        <v>5.2678406346976722E-2</v>
      </c>
      <c r="DK790" s="53">
        <f>HLOOKUP(H790,'GDP-PI'!$8:$9,2,FALSE)</f>
        <v>96.108999999999995</v>
      </c>
      <c r="DL790" s="355">
        <f t="shared" si="1438"/>
        <v>1.1616598807150427E-2</v>
      </c>
      <c r="EC790"/>
    </row>
    <row r="791" spans="1:133" s="126" customFormat="1" ht="21" customHeight="1" x14ac:dyDescent="0.4">
      <c r="A791" s="233" t="s">
        <v>228</v>
      </c>
      <c r="B791" s="127" t="s">
        <v>228</v>
      </c>
      <c r="C791" s="127">
        <v>4064479</v>
      </c>
      <c r="D791" s="127" t="s">
        <v>199</v>
      </c>
      <c r="E791" s="127"/>
      <c r="F791" s="127"/>
      <c r="G791" s="127" t="s">
        <v>167</v>
      </c>
      <c r="H791" s="128">
        <v>2011</v>
      </c>
      <c r="I791" s="129"/>
      <c r="J791" s="125">
        <f>IFERROR(INDEX('Labor Expenditures'!$E$7:$W$91,MATCH($C791,'Labor Expenditures'!$C$7:$C$91,0),MATCH($G791,'Labor Expenditures'!$E$5:$W$5,0)),"NA")</f>
        <v>2493.6866904985886</v>
      </c>
      <c r="K791" s="125">
        <f t="shared" ca="1" si="1439"/>
        <v>20.630293199574673</v>
      </c>
      <c r="L791" s="47"/>
      <c r="M791" s="131">
        <f t="shared" ca="1" si="1446"/>
        <v>-4.9935628802457839E-2</v>
      </c>
      <c r="N791" s="131"/>
      <c r="O791" s="131"/>
      <c r="P791" s="59">
        <f t="shared" ca="1" si="1448"/>
        <v>-4.6352578946034362E-5</v>
      </c>
      <c r="Q791" s="61"/>
      <c r="R791" s="387"/>
      <c r="S791" s="49">
        <f t="shared" ca="1" si="1453"/>
        <v>115.6713386727716</v>
      </c>
      <c r="T791" s="61">
        <f ca="1">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</f>
        <v>0.18142654553857315</v>
      </c>
      <c r="U791" s="61"/>
      <c r="V791" s="125">
        <f>IFERROR(INDEX('Non-Labor Expenditures'!$E$7:$AA$91,MATCH($C791,'Non-Labor Expenditures'!$C$7:$C$91,0),MATCH($G791,'Non-Labor Expenditures'!$E$5:$AA$5,0)),"NA")</f>
        <v>3611.3240842695345</v>
      </c>
      <c r="W791" s="125">
        <f t="shared" si="1440"/>
        <v>36.808179267261238</v>
      </c>
      <c r="X791" s="131">
        <f t="shared" si="1449"/>
        <v>-3.7338097853798775E-2</v>
      </c>
      <c r="Y791" s="131">
        <f t="shared" si="1450"/>
        <v>-3.4658963348785901E-5</v>
      </c>
      <c r="Z791" s="131"/>
      <c r="AA791" s="131"/>
      <c r="AB791" s="131"/>
      <c r="AC791" s="125">
        <f t="shared" si="1419"/>
        <v>2316.675443408094</v>
      </c>
      <c r="AD791" s="129"/>
      <c r="AE791" s="133">
        <v>178.29715266620622</v>
      </c>
      <c r="AF791" s="134">
        <v>3.2242777611901176E-2</v>
      </c>
      <c r="AG791" s="59">
        <f t="shared" si="1441"/>
        <v>2.9929249526572843E-5</v>
      </c>
      <c r="AH791" s="134"/>
      <c r="AI791" s="134"/>
      <c r="AJ791" s="129">
        <f t="shared" si="1351"/>
        <v>8421.6862181762172</v>
      </c>
      <c r="AK791" s="134">
        <f t="shared" si="1451"/>
        <v>8.3017241451624237E-3</v>
      </c>
      <c r="AL791" s="129"/>
      <c r="AM791" s="129"/>
      <c r="AN791" s="129"/>
      <c r="AO791" s="129"/>
      <c r="AP791" s="133">
        <f t="shared" si="1452"/>
        <v>179.09336122355006</v>
      </c>
      <c r="AQ791" s="134">
        <f>+BB791/Outputs!$B$19</f>
        <v>1.3230451455111915E-3</v>
      </c>
      <c r="AR791" s="93">
        <f t="shared" si="1442"/>
        <v>0.29610301617704016</v>
      </c>
      <c r="AS791" s="93">
        <f t="shared" si="1443"/>
        <v>0.42881247183911292</v>
      </c>
      <c r="AT791" s="93">
        <f t="shared" si="1444"/>
        <v>0.27508451198384692</v>
      </c>
      <c r="AU791" s="93">
        <f t="shared" ca="1" si="1447"/>
        <v>-2.2613672842254327E-2</v>
      </c>
      <c r="AV791" s="132">
        <f t="shared" ca="1" si="1455"/>
        <v>98.816717565251807</v>
      </c>
      <c r="AW791" s="134">
        <f t="shared" ca="1" si="1456"/>
        <v>-2.2613672842254271E-2</v>
      </c>
      <c r="AX791" s="56">
        <f>+AJ791/$AL$16</f>
        <v>9.2824662585910768E-4</v>
      </c>
      <c r="AY791" s="135">
        <f t="shared" ca="1" si="1454"/>
        <v>-2.0991065514104266E-5</v>
      </c>
      <c r="AZ791" s="93"/>
      <c r="BA791" s="93"/>
      <c r="BB791" s="234">
        <f>IFERROR(INDEX('Total Customers'!$E$7:$AA$91,MATCH($C791,'Total Customers'!$C$7:$C$91,0),MATCH($G791,'Total Customers'!$E$5:$AA$5,0)),"NA")</f>
        <v>47024</v>
      </c>
      <c r="BC791" s="269">
        <f t="shared" si="1420"/>
        <v>1.1248808760927986E-2</v>
      </c>
      <c r="BD791" s="92"/>
      <c r="BE791" s="299" t="str">
        <f t="shared" si="1410"/>
        <v>OHIO GAS COMPANY</v>
      </c>
      <c r="BF791" s="300">
        <f t="shared" si="1411"/>
        <v>4064479</v>
      </c>
      <c r="BG791" s="231" t="str">
        <f t="shared" si="1412"/>
        <v>OH</v>
      </c>
      <c r="BH791" s="231"/>
      <c r="BI791" s="231" t="str">
        <f t="shared" si="1413"/>
        <v>2011 Y</v>
      </c>
      <c r="BJ791" s="129"/>
      <c r="BK791" s="129"/>
      <c r="BL791" s="129">
        <f>INDEX('Dist. Plant Gas Additions'!$E$7:$AD$91,MATCH($C791,'Dist. Plant Gas Additions'!$C$7:$C$91,0),MATCH(Calculation!$G791,'Dist. Plant Gas Additions'!$E$5:$AD$5,0))</f>
        <v>2196</v>
      </c>
      <c r="BM791" s="129">
        <f>INDEX('Gen. Plant Additions'!$E$7:$AD$91,MATCH($C791,'Gen. Plant Additions'!$C$7:$C$91,0),MATCH(Calculation!$G791,'Gen. Plant Additions'!$E$5:$AD$5,0))</f>
        <v>2042</v>
      </c>
      <c r="BN791" s="301">
        <f t="shared" si="1421"/>
        <v>0.88781940786298386</v>
      </c>
      <c r="BO791" s="231">
        <f t="shared" si="1396"/>
        <v>1812.9272308562131</v>
      </c>
      <c r="BP791" s="231">
        <f t="shared" si="1397"/>
        <v>-229.0727691437869</v>
      </c>
      <c r="BQ791" s="129">
        <f>INDEX('Dist Plant Depreciation'!$D$7:$AC$94,MATCH($C791,'Dist Plant Depreciation'!$C$7:$C$94,0),MATCH(Calculation!$G791,'Dist Plant Depreciation'!$D$5:$AC$5,0))</f>
        <v>39886</v>
      </c>
      <c r="BR791" s="129">
        <f>INDEX('Gen. Plant Depreciation'!$D$7:$AC$94,MATCH($C791,'Gen. Plant Depreciation'!$C$7:$C$94,0),MATCH(Calculation!$G791,'Gen. Plant Depreciation'!$D$5:$AC$5,0))</f>
        <v>4021</v>
      </c>
      <c r="BS791" s="129"/>
      <c r="BT791" s="129"/>
      <c r="BU791" s="129"/>
      <c r="BV791" s="129"/>
      <c r="BW791" s="129"/>
      <c r="BX791" s="129"/>
      <c r="BY791" s="129">
        <f>INDEX('Gross Dx Plant'!$D$7:$AC$91,MATCH($C791,'Gross Dx Plant'!$C$7:$C$91,0),MATCH(Calculation!$G791,'Gross Dx Plant'!$D$5:$AC$5,0))</f>
        <v>64382</v>
      </c>
      <c r="BZ791" s="129">
        <f>INDEX('Gross Gen Plant'!$D$7:$AC$91,MATCH($C791,'Gross Gen Plant'!$C$7:$C$91,0),MATCH(Calculation!$G791,'Gross Gen Plant'!$D$5:$AC$5,0))</f>
        <v>8135</v>
      </c>
      <c r="CA791" s="129">
        <f t="shared" si="1457"/>
        <v>28610</v>
      </c>
      <c r="CB791" s="129"/>
      <c r="CC791" s="133">
        <v>2011</v>
      </c>
      <c r="CD791" s="129"/>
      <c r="CE791" s="129"/>
      <c r="CF791" s="129"/>
      <c r="CG791" s="137"/>
      <c r="CH791" s="129">
        <f t="shared" si="1422"/>
        <v>4238</v>
      </c>
      <c r="CI791" s="46">
        <f t="shared" si="1431"/>
        <v>4008.9272308562131</v>
      </c>
      <c r="CJ791" s="231">
        <f t="shared" si="1423"/>
        <v>6.5546999658277718</v>
      </c>
      <c r="CK791" s="443">
        <v>0.8539325842696629</v>
      </c>
      <c r="CL791" s="231">
        <f>+CL778*CK791+CJ779*CK790+CJ780*CK789+CJ781*CK788+CJ782*CK787+CJ783*CK786+CJ784*CK785+CJ785*CK784+CJ786*CK783+CJ787*CK782+CJ788*CK781+CJ789*CK780+CJ790*CK779+CJ791</f>
        <v>166.51780546817446</v>
      </c>
      <c r="CM791" s="134">
        <f t="shared" si="1424"/>
        <v>2.6283670560853026E-2</v>
      </c>
      <c r="CN791" s="135">
        <f t="shared" si="1425"/>
        <v>1.377955553200046E-2</v>
      </c>
      <c r="CO791" s="135">
        <f t="shared" si="1434"/>
        <v>1.3423700100870878E-2</v>
      </c>
      <c r="CP791" s="134">
        <f>VLOOKUP($H791,RoR!$E:$F,2,FALSE)</f>
        <v>4.6391666666666664E-2</v>
      </c>
      <c r="CQ791" s="135">
        <v>2.0840920205183799E-2</v>
      </c>
      <c r="CR791" s="135">
        <f t="shared" si="1432"/>
        <v>2.5550746461482865E-2</v>
      </c>
      <c r="CS791" s="135">
        <f t="shared" si="1435"/>
        <v>1.7478241507662747E-2</v>
      </c>
      <c r="CT791" s="135">
        <f t="shared" si="1436"/>
        <v>2.4810540821321614E-2</v>
      </c>
      <c r="CU791" s="139">
        <f t="shared" si="1426"/>
        <v>0.87050000000000005</v>
      </c>
      <c r="CV791" s="335">
        <f t="shared" si="1427"/>
        <v>1.1054151524782025</v>
      </c>
      <c r="CW791" s="335">
        <f t="shared" si="1428"/>
        <v>0.43611011316687626</v>
      </c>
      <c r="CX791" s="335">
        <f t="shared" si="1429"/>
        <v>0.83698442246886229</v>
      </c>
      <c r="CY791" s="335">
        <f t="shared" si="1430"/>
        <v>0.40349573304423936</v>
      </c>
      <c r="CZ791" s="336">
        <f>INDEX('State Tax Lookup'!$D$7:$Z$91,MATCH(Calculation!$C791,'State Tax Lookup'!$B$7:$B$91,0),MATCH($H791,'State Tax Lookup'!$D$6:$Z$6,0))</f>
        <v>0.35</v>
      </c>
      <c r="DA791" s="302">
        <v>0.37</v>
      </c>
      <c r="DB791" s="57">
        <f t="shared" si="1433"/>
        <v>14.282997809469965</v>
      </c>
      <c r="DC791" s="56">
        <f t="shared" si="1437"/>
        <v>5.4241064046817923E-2</v>
      </c>
      <c r="DD791" s="303">
        <f>VLOOKUP($H791,RoR!$E:$F,2,FALSE)</f>
        <v>4.6391666666666664E-2</v>
      </c>
      <c r="DE791" s="304">
        <f>HLOOKUP($H791,'GDP-PI'!$D$8:$CQ$11,3,FALSE)</f>
        <v>2.0840920205183799E-2</v>
      </c>
      <c r="DF791" s="303">
        <f>VLOOKUP(H791,'HW Dx Data'!$E:$F,2,FALSE)</f>
        <v>611.61109612283201</v>
      </c>
      <c r="DG791" s="364">
        <f ca="1">VLOOKUP(CC791,'ECI - Input Price'!M$13:N$33,2,FALSE)</f>
        <v>120.875</v>
      </c>
      <c r="DH791" s="364"/>
      <c r="DI791" s="364"/>
      <c r="DJ791" s="56">
        <f t="shared" ca="1" si="1445"/>
        <v>3.3224250161508609E-2</v>
      </c>
      <c r="DK791" s="53">
        <f>HLOOKUP(H791,'GDP-PI'!$8:$9,2,FALSE)</f>
        <v>98.111999999999995</v>
      </c>
      <c r="DL791" s="355">
        <f t="shared" si="1438"/>
        <v>2.0626719212849295E-2</v>
      </c>
      <c r="EC791"/>
    </row>
    <row r="792" spans="1:133" s="126" customFormat="1" ht="21" customHeight="1" x14ac:dyDescent="0.4">
      <c r="A792" s="233" t="s">
        <v>228</v>
      </c>
      <c r="B792" s="127" t="s">
        <v>228</v>
      </c>
      <c r="C792" s="127">
        <v>4064479</v>
      </c>
      <c r="D792" s="127" t="s">
        <v>199</v>
      </c>
      <c r="E792" s="127"/>
      <c r="F792" s="127"/>
      <c r="G792" s="127" t="s">
        <v>168</v>
      </c>
      <c r="H792" s="128">
        <v>2012</v>
      </c>
      <c r="I792" s="129"/>
      <c r="J792" s="125">
        <f>IFERROR(INDEX('Labor Expenditures'!$E$7:$W$91,MATCH($C792,'Labor Expenditures'!$C$7:$C$91,0),MATCH($G792,'Labor Expenditures'!$E$5:$W$5,0)),"NA")</f>
        <v>2499.4769650877074</v>
      </c>
      <c r="K792" s="125">
        <f t="shared" ca="1" si="1439"/>
        <v>20.027860297177142</v>
      </c>
      <c r="L792" s="47"/>
      <c r="M792" s="131">
        <f t="shared" ca="1" si="1446"/>
        <v>-2.9636220205963359E-2</v>
      </c>
      <c r="N792" s="131"/>
      <c r="O792" s="131"/>
      <c r="P792" s="59">
        <f t="shared" ca="1" si="1448"/>
        <v>-2.7333233987404618E-5</v>
      </c>
      <c r="Q792" s="61"/>
      <c r="R792" s="387"/>
      <c r="S792" s="49">
        <f t="shared" ca="1" si="1453"/>
        <v>115.73938092401296</v>
      </c>
      <c r="T792" s="61">
        <f ca="1">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</f>
        <v>5.8806483399557368E-4</v>
      </c>
      <c r="U792" s="61"/>
      <c r="V792" s="125">
        <f>IFERROR(INDEX('Non-Labor Expenditures'!$E$7:$AA$91,MATCH($C792,'Non-Labor Expenditures'!$C$7:$C$91,0),MATCH($G792,'Non-Labor Expenditures'!$E$5:$AA$5,0)),"NA")</f>
        <v>3619.709483348694</v>
      </c>
      <c r="W792" s="125">
        <f t="shared" si="1440"/>
        <v>36.197094833486943</v>
      </c>
      <c r="X792" s="131">
        <f t="shared" si="1449"/>
        <v>-1.6741220782836803E-2</v>
      </c>
      <c r="Y792" s="131">
        <f t="shared" si="1450"/>
        <v>-1.5440285627247549E-5</v>
      </c>
      <c r="Z792" s="131"/>
      <c r="AA792" s="131"/>
      <c r="AB792" s="131"/>
      <c r="AC792" s="125">
        <f t="shared" si="1419"/>
        <v>2539.618454198725</v>
      </c>
      <c r="AD792" s="129"/>
      <c r="AE792" s="133">
        <v>180.94063471455479</v>
      </c>
      <c r="AF792" s="134">
        <v>1.4717437065583823E-2</v>
      </c>
      <c r="AG792" s="59">
        <f t="shared" si="1441"/>
        <v>1.3573767107033406E-5</v>
      </c>
      <c r="AH792" s="134"/>
      <c r="AI792" s="134"/>
      <c r="AJ792" s="129">
        <f t="shared" si="1351"/>
        <v>8658.8049026351255</v>
      </c>
      <c r="AK792" s="134">
        <f t="shared" si="1451"/>
        <v>2.7766639400463897E-2</v>
      </c>
      <c r="AL792" s="129"/>
      <c r="AM792" s="129"/>
      <c r="AN792" s="129"/>
      <c r="AO792" s="129"/>
      <c r="AP792" s="133">
        <f t="shared" si="1452"/>
        <v>182.16407343603655</v>
      </c>
      <c r="AQ792" s="134">
        <f>+BB792/Outputs!$B$20</f>
        <v>1.3309570450015134E-3</v>
      </c>
      <c r="AR792" s="93">
        <f t="shared" si="1442"/>
        <v>0.28866304220886696</v>
      </c>
      <c r="AS792" s="93">
        <f t="shared" si="1443"/>
        <v>0.41803799993774099</v>
      </c>
      <c r="AT792" s="93">
        <f t="shared" si="1444"/>
        <v>0.29329895785339216</v>
      </c>
      <c r="AU792" s="93">
        <f t="shared" ca="1" si="1447"/>
        <v>-1.1571209223458029E-2</v>
      </c>
      <c r="AV792" s="132">
        <f t="shared" ca="1" si="1455"/>
        <v>97.679878636602467</v>
      </c>
      <c r="AW792" s="134">
        <f t="shared" ca="1" si="1456"/>
        <v>-1.1571209223457994E-2</v>
      </c>
      <c r="AX792" s="56">
        <f>+AJ792/$AL$17</f>
        <v>9.2229149997693236E-4</v>
      </c>
      <c r="AY792" s="135">
        <f t="shared" ca="1" si="1454"/>
        <v>-1.0672027911249989E-5</v>
      </c>
      <c r="AZ792" s="93"/>
      <c r="BA792" s="93"/>
      <c r="BB792" s="234">
        <f>IFERROR(INDEX('Total Customers'!$E$7:$AA$91,MATCH($C792,'Total Customers'!$C$7:$C$91,0),MATCH($G792,'Total Customers'!$E$5:$AA$5,0)),"NA")</f>
        <v>47533</v>
      </c>
      <c r="BC792" s="269">
        <f t="shared" si="1420"/>
        <v>1.0766096988214822E-2</v>
      </c>
      <c r="BD792" s="92"/>
      <c r="BE792" s="299" t="str">
        <f t="shared" si="1410"/>
        <v>OHIO GAS COMPANY</v>
      </c>
      <c r="BF792" s="300">
        <f t="shared" si="1411"/>
        <v>4064479</v>
      </c>
      <c r="BG792" s="231" t="str">
        <f t="shared" si="1412"/>
        <v>OH</v>
      </c>
      <c r="BH792" s="231"/>
      <c r="BI792" s="231" t="str">
        <f t="shared" si="1413"/>
        <v>2012 Y</v>
      </c>
      <c r="BJ792" s="129"/>
      <c r="BK792" s="129"/>
      <c r="BL792" s="129">
        <f>INDEX('Dist. Plant Gas Additions'!$E$7:$AD$91,MATCH($C792,'Dist. Plant Gas Additions'!$C$7:$C$91,0),MATCH(Calculation!$G792,'Dist. Plant Gas Additions'!$E$5:$AD$5,0))</f>
        <v>2057</v>
      </c>
      <c r="BM792" s="129">
        <f>INDEX('Gen. Plant Additions'!$E$7:$AD$91,MATCH($C792,'Gen. Plant Additions'!$C$7:$C$91,0),MATCH(Calculation!$G792,'Gen. Plant Additions'!$E$5:$AD$5,0))</f>
        <v>616</v>
      </c>
      <c r="BN792" s="301">
        <f t="shared" si="1421"/>
        <v>0.88671623362679841</v>
      </c>
      <c r="BO792" s="231">
        <f t="shared" si="1396"/>
        <v>546.21719991410782</v>
      </c>
      <c r="BP792" s="231">
        <f t="shared" si="1397"/>
        <v>-69.782800085892177</v>
      </c>
      <c r="BQ792" s="129">
        <f>INDEX('Dist Plant Depreciation'!$D$7:$AC$94,MATCH($C792,'Dist Plant Depreciation'!$C$7:$C$94,0),MATCH(Calculation!$G792,'Dist Plant Depreciation'!$D$5:$AC$5,0))</f>
        <v>41400</v>
      </c>
      <c r="BR792" s="129">
        <f>INDEX('Gen. Plant Depreciation'!$D$7:$AC$94,MATCH($C792,'Gen. Plant Depreciation'!$C$7:$C$94,0),MATCH(Calculation!$G792,'Gen. Plant Depreciation'!$D$5:$AC$5,0))</f>
        <v>4508</v>
      </c>
      <c r="BS792" s="129"/>
      <c r="BT792" s="129"/>
      <c r="BU792" s="129"/>
      <c r="BV792" s="129"/>
      <c r="BW792" s="129"/>
      <c r="BX792" s="129"/>
      <c r="BY792" s="129">
        <f>INDEX('Gross Dx Plant'!$D$7:$AC$91,MATCH($C792,'Gross Dx Plant'!$C$7:$C$91,0),MATCH(Calculation!$G792,'Gross Dx Plant'!$D$5:$AC$5,0))</f>
        <v>66071</v>
      </c>
      <c r="BZ792" s="129">
        <f>INDEX('Gross Gen Plant'!$D$7:$AC$91,MATCH($C792,'Gross Gen Plant'!$C$7:$C$91,0),MATCH(Calculation!$G792,'Gross Gen Plant'!$D$5:$AC$5,0))</f>
        <v>8441</v>
      </c>
      <c r="CA792" s="129">
        <f t="shared" si="1457"/>
        <v>28604</v>
      </c>
      <c r="CB792" s="129"/>
      <c r="CC792" s="133">
        <v>2012</v>
      </c>
      <c r="CD792" s="129"/>
      <c r="CE792" s="129"/>
      <c r="CF792" s="129"/>
      <c r="CG792" s="137"/>
      <c r="CH792" s="129">
        <f t="shared" si="1422"/>
        <v>2673</v>
      </c>
      <c r="CI792" s="46">
        <f t="shared" si="1431"/>
        <v>2603.2171999141078</v>
      </c>
      <c r="CJ792" s="231">
        <f t="shared" si="1423"/>
        <v>3.8916758925313579</v>
      </c>
      <c r="CK792" s="443">
        <v>0.84090909090909094</v>
      </c>
      <c r="CL792" s="231">
        <f>+CL778*CK792+CJ779*CK791+CJ780*CK790+CJ781*CK789+CJ782*CK788+CJ783*CK787+CJ784*CK786+CJ785*CK785+CJ786*CK784+CJ787*CK783+CJ788*CK782+CJ789*CK781+CJ790*CK780+CJ791*CK779+CJ792</f>
        <v>168.05966364996777</v>
      </c>
      <c r="CM792" s="134">
        <f t="shared" si="1424"/>
        <v>9.2168136776720495E-3</v>
      </c>
      <c r="CN792" s="135">
        <f t="shared" si="1425"/>
        <v>1.4111510202355798E-2</v>
      </c>
      <c r="CO792" s="135">
        <f t="shared" si="1434"/>
        <v>1.3776929263647689E-2</v>
      </c>
      <c r="CP792" s="134">
        <f>VLOOKUP($H792,RoR!$E:$F,2,FALSE)</f>
        <v>3.6733333333333333E-2</v>
      </c>
      <c r="CQ792" s="135">
        <v>1.924331376386168E-2</v>
      </c>
      <c r="CR792" s="135">
        <f t="shared" si="1432"/>
        <v>1.7490019569471653E-2</v>
      </c>
      <c r="CS792" s="135">
        <f t="shared" si="1435"/>
        <v>1.7125012344885934E-2</v>
      </c>
      <c r="CT792" s="135">
        <f t="shared" si="1436"/>
        <v>6.7122682943869583E-2</v>
      </c>
      <c r="CU792" s="139">
        <f t="shared" si="1426"/>
        <v>0.87050000000000005</v>
      </c>
      <c r="CV792" s="335">
        <f t="shared" si="1427"/>
        <v>1.3960631020522127</v>
      </c>
      <c r="CW792" s="335">
        <f t="shared" si="1428"/>
        <v>0.29441923774954631</v>
      </c>
      <c r="CX792" s="335">
        <f t="shared" si="1429"/>
        <v>0.76377954189366437</v>
      </c>
      <c r="CY792" s="335">
        <f t="shared" si="1430"/>
        <v>0.31393465103033691</v>
      </c>
      <c r="CZ792" s="336">
        <f>INDEX('State Tax Lookup'!$D$7:$Z$91,MATCH(Calculation!$C792,'State Tax Lookup'!$B$7:$B$91,0),MATCH($H792,'State Tax Lookup'!$D$6:$Z$6,0))</f>
        <v>0.35</v>
      </c>
      <c r="DA792" s="302">
        <v>0.37</v>
      </c>
      <c r="DB792" s="57">
        <f t="shared" si="1433"/>
        <v>15.25133271519187</v>
      </c>
      <c r="DC792" s="56">
        <f t="shared" si="1437"/>
        <v>6.5597024880920771E-2</v>
      </c>
      <c r="DD792" s="303">
        <f>VLOOKUP($H792,RoR!$E:$F,2,FALSE)</f>
        <v>3.6733333333333333E-2</v>
      </c>
      <c r="DE792" s="304">
        <f>HLOOKUP($H792,'GDP-PI'!$D$8:$CQ$11,3,FALSE)</f>
        <v>1.924331376386168E-2</v>
      </c>
      <c r="DF792" s="303">
        <f>VLOOKUP(H792,'HW Dx Data'!$E:$F,2,FALSE)</f>
        <v>668.91932211262167</v>
      </c>
      <c r="DG792" s="364">
        <f ca="1">VLOOKUP(CC792,'ECI - Input Price'!M$13:N$33,2,FALSE)</f>
        <v>124.80000000000001</v>
      </c>
      <c r="DH792" s="364"/>
      <c r="DI792" s="364"/>
      <c r="DJ792" s="56">
        <f t="shared" ca="1" si="1445"/>
        <v>3.1955502161869064E-2</v>
      </c>
      <c r="DK792" s="53">
        <f>HLOOKUP(H792,'GDP-PI'!$8:$9,2,FALSE)</f>
        <v>100</v>
      </c>
      <c r="DL792" s="355">
        <f t="shared" si="1438"/>
        <v>1.9060502738742411E-2</v>
      </c>
      <c r="EC792"/>
    </row>
    <row r="793" spans="1:133" s="126" customFormat="1" ht="21" customHeight="1" x14ac:dyDescent="0.4">
      <c r="A793" s="233" t="s">
        <v>228</v>
      </c>
      <c r="B793" s="127" t="s">
        <v>228</v>
      </c>
      <c r="C793" s="127">
        <v>4064479</v>
      </c>
      <c r="D793" s="127" t="s">
        <v>199</v>
      </c>
      <c r="E793" s="127"/>
      <c r="F793" s="127"/>
      <c r="G793" s="127" t="s">
        <v>169</v>
      </c>
      <c r="H793" s="128">
        <v>2013</v>
      </c>
      <c r="I793" s="129"/>
      <c r="J793" s="125">
        <f>IFERROR(INDEX('Labor Expenditures'!$E$7:$W$91,MATCH($C793,'Labor Expenditures'!$C$7:$C$91,0),MATCH($G793,'Labor Expenditures'!$E$5:$W$5,0)),"NA")</f>
        <v>2433.7929033673936</v>
      </c>
      <c r="K793" s="125">
        <f t="shared" ca="1" si="1439"/>
        <v>19.193950342014144</v>
      </c>
      <c r="L793" s="47"/>
      <c r="M793" s="131">
        <f t="shared" ca="1" si="1446"/>
        <v>-4.252917603758205E-2</v>
      </c>
      <c r="N793" s="131"/>
      <c r="O793" s="131"/>
      <c r="P793" s="59">
        <f t="shared" ca="1" si="1448"/>
        <v>-3.6926483925836068E-5</v>
      </c>
      <c r="Q793" s="61"/>
      <c r="R793" s="387"/>
      <c r="S793" s="49">
        <f t="shared" ca="1" si="1453"/>
        <v>107.94925569939295</v>
      </c>
      <c r="T793" s="61">
        <f ca="1">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</f>
        <v>-6.9679685207934605E-2</v>
      </c>
      <c r="U793" s="61"/>
      <c r="V793" s="125">
        <f>IFERROR(INDEX('Non-Labor Expenditures'!$E$7:$AA$91,MATCH($C793,'Non-Labor Expenditures'!$C$7:$C$91,0),MATCH($G793,'Non-Labor Expenditures'!$E$5:$AA$5,0)),"NA")</f>
        <v>3524.5866938872041</v>
      </c>
      <c r="W793" s="125">
        <f t="shared" si="1440"/>
        <v>34.631844338746077</v>
      </c>
      <c r="X793" s="131">
        <f t="shared" si="1449"/>
        <v>-4.4205246986294362E-2</v>
      </c>
      <c r="Y793" s="131">
        <f t="shared" si="1450"/>
        <v>-3.8381753289425287E-5</v>
      </c>
      <c r="Z793" s="131"/>
      <c r="AA793" s="131"/>
      <c r="AB793" s="131"/>
      <c r="AC793" s="125">
        <f t="shared" si="1419"/>
        <v>2490.315795094471</v>
      </c>
      <c r="AD793" s="129"/>
      <c r="AE793" s="133">
        <v>183.42527982354184</v>
      </c>
      <c r="AF793" s="134">
        <v>1.3638397681827468E-2</v>
      </c>
      <c r="AG793" s="59">
        <f t="shared" si="1441"/>
        <v>1.1841707733230621E-5</v>
      </c>
      <c r="AH793" s="134"/>
      <c r="AI793" s="134"/>
      <c r="AJ793" s="129">
        <f t="shared" si="1351"/>
        <v>8448.6953923490692</v>
      </c>
      <c r="AK793" s="134">
        <f t="shared" si="1451"/>
        <v>-2.4564673034491526E-2</v>
      </c>
      <c r="AL793" s="129"/>
      <c r="AM793" s="129"/>
      <c r="AN793" s="129"/>
      <c r="AO793" s="129"/>
      <c r="AP793" s="133">
        <f t="shared" si="1452"/>
        <v>173.68779459221409</v>
      </c>
      <c r="AQ793" s="134">
        <f>+BB793/Outputs!$B$21</f>
        <v>1.3533571091047939E-3</v>
      </c>
      <c r="AR793" s="93">
        <f t="shared" si="1442"/>
        <v>0.28806730392616314</v>
      </c>
      <c r="AS793" s="93">
        <f t="shared" si="1443"/>
        <v>0.41717525963582297</v>
      </c>
      <c r="AT793" s="93">
        <f t="shared" si="1444"/>
        <v>0.29475743643801383</v>
      </c>
      <c r="AU793" s="93">
        <f t="shared" ca="1" si="1447"/>
        <v>-2.6714263938990988E-2</v>
      </c>
      <c r="AV793" s="132">
        <f t="shared" ca="1" si="1455"/>
        <v>95.10497898168866</v>
      </c>
      <c r="AW793" s="134">
        <f t="shared" ca="1" si="1456"/>
        <v>-2.6714263938990859E-2</v>
      </c>
      <c r="AX793" s="56">
        <f>+AJ793/$AL$18</f>
        <v>8.6826238752438993E-4</v>
      </c>
      <c r="AY793" s="135">
        <f t="shared" ca="1" si="1454"/>
        <v>-2.3194990588624916E-5</v>
      </c>
      <c r="AZ793" s="93"/>
      <c r="BA793" s="93"/>
      <c r="BB793" s="234">
        <f>IFERROR(INDEX('Total Customers'!$E$7:$AA$91,MATCH($C793,'Total Customers'!$C$7:$C$91,0),MATCH($G793,'Total Customers'!$E$5:$AA$5,0)),"NA")</f>
        <v>48643</v>
      </c>
      <c r="BC793" s="269">
        <f t="shared" si="1420"/>
        <v>2.3083706722727255E-2</v>
      </c>
      <c r="BD793" s="92"/>
      <c r="BE793" s="299" t="str">
        <f t="shared" si="1410"/>
        <v>OHIO GAS COMPANY</v>
      </c>
      <c r="BF793" s="300">
        <f t="shared" si="1411"/>
        <v>4064479</v>
      </c>
      <c r="BG793" s="231" t="str">
        <f t="shared" si="1412"/>
        <v>OH</v>
      </c>
      <c r="BH793" s="231"/>
      <c r="BI793" s="231" t="str">
        <f t="shared" si="1413"/>
        <v>2013 Y</v>
      </c>
      <c r="BJ793" s="129"/>
      <c r="BK793" s="129"/>
      <c r="BL793" s="129">
        <f>INDEX('Dist. Plant Gas Additions'!$E$7:$AD$91,MATCH($C793,'Dist. Plant Gas Additions'!$C$7:$C$91,0),MATCH(Calculation!$G793,'Dist. Plant Gas Additions'!$E$5:$AD$5,0))</f>
        <v>2240</v>
      </c>
      <c r="BM793" s="129">
        <f>INDEX('Gen. Plant Additions'!$E$7:$AD$91,MATCH($C793,'Gen. Plant Additions'!$C$7:$C$91,0),MATCH(Calculation!$G793,'Gen. Plant Additions'!$E$5:$AD$5,0))</f>
        <v>351</v>
      </c>
      <c r="BN793" s="301">
        <f t="shared" si="1421"/>
        <v>0.88764529188977404</v>
      </c>
      <c r="BO793" s="231">
        <f t="shared" si="1396"/>
        <v>311.56349745331067</v>
      </c>
      <c r="BP793" s="231">
        <f t="shared" si="1397"/>
        <v>-39.436502546689326</v>
      </c>
      <c r="BQ793" s="129">
        <f>INDEX('Dist Plant Depreciation'!$D$7:$AC$94,MATCH($C793,'Dist Plant Depreciation'!$C$7:$C$94,0),MATCH(Calculation!$G793,'Dist Plant Depreciation'!$D$5:$AC$5,0))</f>
        <v>42905</v>
      </c>
      <c r="BR793" s="129">
        <f>INDEX('Gen. Plant Depreciation'!$D$7:$AC$94,MATCH($C793,'Gen. Plant Depreciation'!$C$7:$C$94,0),MATCH(Calculation!$G793,'Gen. Plant Depreciation'!$D$5:$AC$5,0))</f>
        <v>5083</v>
      </c>
      <c r="BS793" s="129"/>
      <c r="BT793" s="129"/>
      <c r="BU793" s="129"/>
      <c r="BV793" s="129"/>
      <c r="BW793" s="129"/>
      <c r="BX793" s="129"/>
      <c r="BY793" s="129">
        <f>INDEX('Gross Dx Plant'!$D$7:$AC$91,MATCH($C793,'Gross Dx Plant'!$C$7:$C$91,0),MATCH(Calculation!$G793,'Gross Dx Plant'!$D$5:$AC$5,0))</f>
        <v>67967</v>
      </c>
      <c r="BZ793" s="129">
        <f>INDEX('Gross Gen Plant'!$D$7:$AC$91,MATCH($C793,'Gross Gen Plant'!$C$7:$C$91,0),MATCH(Calculation!$G793,'Gross Gen Plant'!$D$5:$AC$5,0))</f>
        <v>8603</v>
      </c>
      <c r="CA793" s="129">
        <f t="shared" si="1457"/>
        <v>28582</v>
      </c>
      <c r="CB793" s="129"/>
      <c r="CC793" s="133">
        <v>2013</v>
      </c>
      <c r="CD793" s="129"/>
      <c r="CE793" s="129"/>
      <c r="CF793" s="129"/>
      <c r="CG793" s="137"/>
      <c r="CH793" s="129">
        <f t="shared" si="1422"/>
        <v>2591</v>
      </c>
      <c r="CI793" s="46">
        <f t="shared" si="1431"/>
        <v>2551.5634974533104</v>
      </c>
      <c r="CJ793" s="231">
        <f t="shared" si="1423"/>
        <v>3.8470706847385738</v>
      </c>
      <c r="CK793" s="443">
        <v>0.82758620689655171</v>
      </c>
      <c r="CL793" s="231">
        <f>+CL778*CK793+CJ779*CK792+CJ780*CK791+CJ781*CK790+CJ782*CK789+CJ783*CK788+CJ784*CK787+CJ785*CK786+CJ786*CK785+CJ787*CK784+CJ788*CK783+CJ789*CK782+CJ790*CK781+CJ791*CK780+CJ792*CK779+CJ793</f>
        <v>169.46549341749881</v>
      </c>
      <c r="CM793" s="134">
        <f t="shared" si="1424"/>
        <v>8.3302703084141162E-3</v>
      </c>
      <c r="CN793" s="135">
        <f t="shared" si="1425"/>
        <v>1.4526037147688952E-2</v>
      </c>
      <c r="CO793" s="135">
        <f t="shared" si="1434"/>
        <v>1.4139034294015071E-2</v>
      </c>
      <c r="CP793" s="134">
        <f>VLOOKUP($H793,RoR!$E:$F,2,FALSE)</f>
        <v>4.2350000000000006E-2</v>
      </c>
      <c r="CQ793" s="135">
        <v>1.7730000000000024E-2</v>
      </c>
      <c r="CR793" s="135">
        <f t="shared" si="1432"/>
        <v>2.4619999999999982E-2</v>
      </c>
      <c r="CS793" s="135">
        <f t="shared" si="1435"/>
        <v>1.6762907314518554E-2</v>
      </c>
      <c r="CT793" s="135">
        <f t="shared" si="1436"/>
        <v>5.3376742735721204E-2</v>
      </c>
      <c r="CU793" s="139">
        <f t="shared" si="1426"/>
        <v>0.87050000000000005</v>
      </c>
      <c r="CV793" s="335">
        <f t="shared" si="1427"/>
        <v>1.2109103018193925</v>
      </c>
      <c r="CW793" s="335">
        <f t="shared" si="1428"/>
        <v>0.38468122786304604</v>
      </c>
      <c r="CX793" s="335">
        <f t="shared" si="1429"/>
        <v>0.80969194503422559</v>
      </c>
      <c r="CY793" s="335">
        <f t="shared" si="1430"/>
        <v>0.37716621754800816</v>
      </c>
      <c r="CZ793" s="336">
        <f>INDEX('State Tax Lookup'!$D$7:$Z$91,MATCH(Calculation!$C793,'State Tax Lookup'!$B$7:$B$91,0),MATCH($H793,'State Tax Lookup'!$D$6:$Z$6,0))</f>
        <v>0.35</v>
      </c>
      <c r="DA793" s="302">
        <v>0.37</v>
      </c>
      <c r="DB793" s="57">
        <f t="shared" si="1433"/>
        <v>14.818045811880623</v>
      </c>
      <c r="DC793" s="56">
        <f t="shared" si="1437"/>
        <v>-2.8821140768232174E-2</v>
      </c>
      <c r="DD793" s="303">
        <f>VLOOKUP($H793,RoR!$E:$F,2,FALSE)</f>
        <v>4.2350000000000006E-2</v>
      </c>
      <c r="DE793" s="304">
        <f>HLOOKUP($H793,'GDP-PI'!$D$8:$CQ$11,3,FALSE)</f>
        <v>1.7730000000000024E-2</v>
      </c>
      <c r="DF793" s="303">
        <f>VLOOKUP(H793,'HW Dx Data'!$E:$F,2,FALSE)</f>
        <v>663.24840548821396</v>
      </c>
      <c r="DG793" s="364">
        <f ca="1">VLOOKUP(CC793,'ECI - Input Price'!M$13:N$33,2,FALSE)</f>
        <v>126.8</v>
      </c>
      <c r="DH793" s="364"/>
      <c r="DI793" s="364"/>
      <c r="DJ793" s="56">
        <f t="shared" ca="1" si="1445"/>
        <v>1.5898586067798204E-2</v>
      </c>
      <c r="DK793" s="53">
        <f>HLOOKUP(H793,'GDP-PI'!$8:$9,2,FALSE)</f>
        <v>101.773</v>
      </c>
      <c r="DL793" s="355">
        <f t="shared" si="1438"/>
        <v>1.7574657016510519E-2</v>
      </c>
      <c r="EC793"/>
    </row>
    <row r="794" spans="1:133" s="126" customFormat="1" ht="21" customHeight="1" x14ac:dyDescent="0.4">
      <c r="A794" s="233" t="s">
        <v>228</v>
      </c>
      <c r="B794" s="127" t="s">
        <v>228</v>
      </c>
      <c r="C794" s="127">
        <v>4064479</v>
      </c>
      <c r="D794" s="127" t="s">
        <v>199</v>
      </c>
      <c r="E794" s="127"/>
      <c r="F794" s="127"/>
      <c r="G794" s="127" t="s">
        <v>170</v>
      </c>
      <c r="H794" s="128">
        <v>2014</v>
      </c>
      <c r="I794" s="129"/>
      <c r="J794" s="125">
        <f>IFERROR(INDEX('Labor Expenditures'!$E$7:$W$91,MATCH($C794,'Labor Expenditures'!$C$7:$C$91,0),MATCH($G794,'Labor Expenditures'!$E$5:$W$5,0)),"NA")</f>
        <v>2504.3902594031438</v>
      </c>
      <c r="K794" s="125">
        <f t="shared" ca="1" si="1439"/>
        <v>19.353865992296321</v>
      </c>
      <c r="L794" s="47"/>
      <c r="M794" s="131">
        <f t="shared" ca="1" si="1446"/>
        <v>8.2970493732102794E-3</v>
      </c>
      <c r="N794" s="131"/>
      <c r="O794" s="131"/>
      <c r="P794" s="59">
        <f t="shared" ca="1" si="1448"/>
        <v>7.2555428496893181E-6</v>
      </c>
      <c r="Q794" s="61"/>
      <c r="R794" s="387"/>
      <c r="S794" s="49">
        <f t="shared" ca="1" si="1453"/>
        <v>119.83463501826736</v>
      </c>
      <c r="T794" s="61">
        <f ca="1">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</f>
        <v>0.10445148882250523</v>
      </c>
      <c r="U794" s="61"/>
      <c r="V794" s="125">
        <f>IFERROR(INDEX('Non-Labor Expenditures'!$E$7:$AA$91,MATCH($C794,'Non-Labor Expenditures'!$C$7:$C$91,0),MATCH($G794,'Non-Labor Expenditures'!$E$5:$AA$5,0)),"NA")</f>
        <v>3626.8248511942397</v>
      </c>
      <c r="W794" s="125">
        <f t="shared" si="1440"/>
        <v>34.992087095567065</v>
      </c>
      <c r="X794" s="131">
        <f t="shared" si="1449"/>
        <v>1.0348337538628632E-2</v>
      </c>
      <c r="Y794" s="131">
        <f t="shared" si="1450"/>
        <v>9.0493382716267514E-6</v>
      </c>
      <c r="Z794" s="131"/>
      <c r="AA794" s="131"/>
      <c r="AB794" s="131"/>
      <c r="AC794" s="125">
        <f t="shared" si="1419"/>
        <v>2534.1242657717926</v>
      </c>
      <c r="AD794" s="129"/>
      <c r="AE794" s="133">
        <v>184.61200052263069</v>
      </c>
      <c r="AF794" s="134">
        <v>6.4489380577286712E-3</v>
      </c>
      <c r="AG794" s="59">
        <f t="shared" si="1441"/>
        <v>5.6394200285129148E-6</v>
      </c>
      <c r="AH794" s="134"/>
      <c r="AI794" s="134"/>
      <c r="AJ794" s="129">
        <f t="shared" si="1351"/>
        <v>8665.3393763691765</v>
      </c>
      <c r="AK794" s="134">
        <f t="shared" si="1451"/>
        <v>2.5319050732887968E-2</v>
      </c>
      <c r="AL794" s="129"/>
      <c r="AM794" s="129"/>
      <c r="AN794" s="129"/>
      <c r="AO794" s="129"/>
      <c r="AP794" s="133">
        <f t="shared" si="1452"/>
        <v>179.31008931774153</v>
      </c>
      <c r="AQ794" s="134">
        <f>+BB794/Outputs!$B$22</f>
        <v>1.3373526417322322E-3</v>
      </c>
      <c r="AR794" s="93">
        <f t="shared" si="1442"/>
        <v>0.28901236877493153</v>
      </c>
      <c r="AS794" s="93">
        <f t="shared" si="1443"/>
        <v>0.41854389005060511</v>
      </c>
      <c r="AT794" s="93">
        <f t="shared" si="1444"/>
        <v>0.29244374117446331</v>
      </c>
      <c r="AU794" s="93">
        <f t="shared" ca="1" si="1447"/>
        <v>8.6115932034880362E-3</v>
      </c>
      <c r="AV794" s="132">
        <f t="shared" ca="1" si="1455"/>
        <v>95.927520987607508</v>
      </c>
      <c r="AW794" s="134">
        <f t="shared" ca="1" si="1456"/>
        <v>8.6115932034880674E-3</v>
      </c>
      <c r="AX794" s="56">
        <f>+AJ794/$AL$19</f>
        <v>8.7447266170503891E-4</v>
      </c>
      <c r="AY794" s="135">
        <f t="shared" ca="1" si="1454"/>
        <v>7.5306028301752332E-6</v>
      </c>
      <c r="AZ794" s="93"/>
      <c r="BA794" s="93"/>
      <c r="BB794" s="234">
        <f>IFERROR(INDEX('Total Customers'!$E$7:$AA$91,MATCH($C794,'Total Customers'!$C$7:$C$91,0),MATCH($G794,'Total Customers'!$E$5:$AA$5,0)),"NA")</f>
        <v>48326</v>
      </c>
      <c r="BC794" s="269">
        <f t="shared" si="1420"/>
        <v>-6.5381952842413649E-3</v>
      </c>
      <c r="BD794" s="92"/>
      <c r="BE794" s="299" t="str">
        <f t="shared" si="1410"/>
        <v>OHIO GAS COMPANY</v>
      </c>
      <c r="BF794" s="300">
        <f t="shared" si="1411"/>
        <v>4064479</v>
      </c>
      <c r="BG794" s="231" t="str">
        <f t="shared" si="1412"/>
        <v>OH</v>
      </c>
      <c r="BH794" s="231"/>
      <c r="BI794" s="231" t="str">
        <f t="shared" si="1413"/>
        <v>2014 Y</v>
      </c>
      <c r="BJ794" s="129"/>
      <c r="BK794" s="129"/>
      <c r="BL794" s="129">
        <f>INDEX('Dist. Plant Gas Additions'!$E$7:$AD$91,MATCH($C794,'Dist. Plant Gas Additions'!$C$7:$C$91,0),MATCH(Calculation!$G794,'Dist. Plant Gas Additions'!$E$5:$AD$5,0))</f>
        <v>1491</v>
      </c>
      <c r="BM794" s="129">
        <f>INDEX('Gen. Plant Additions'!$E$7:$AD$91,MATCH($C794,'Gen. Plant Additions'!$C$7:$C$91,0),MATCH(Calculation!$G794,'Gen. Plant Additions'!$E$5:$AD$5,0))</f>
        <v>344</v>
      </c>
      <c r="BN794" s="301">
        <f t="shared" si="1421"/>
        <v>0.88984215460885419</v>
      </c>
      <c r="BO794" s="231">
        <f t="shared" si="1396"/>
        <v>306.10570118544587</v>
      </c>
      <c r="BP794" s="231">
        <f t="shared" si="1397"/>
        <v>-37.894298814554134</v>
      </c>
      <c r="BQ794" s="129">
        <f>INDEX('Dist Plant Depreciation'!$D$7:$AC$94,MATCH($C794,'Dist Plant Depreciation'!$C$7:$C$94,0),MATCH(Calculation!$G794,'Dist Plant Depreciation'!$D$5:$AC$5,0))</f>
        <v>44646</v>
      </c>
      <c r="BR794" s="129">
        <f>INDEX('Gen. Plant Depreciation'!$D$7:$AC$94,MATCH($C794,'Gen. Plant Depreciation'!$C$7:$C$94,0),MATCH(Calculation!$G794,'Gen. Plant Depreciation'!$D$5:$AC$5,0))</f>
        <v>5521</v>
      </c>
      <c r="BS794" s="129"/>
      <c r="BT794" s="129"/>
      <c r="BU794" s="129"/>
      <c r="BV794" s="129"/>
      <c r="BW794" s="129"/>
      <c r="BX794" s="129"/>
      <c r="BY794" s="129">
        <f>INDEX('Gross Dx Plant'!$D$7:$AC$91,MATCH($C794,'Gross Dx Plant'!$C$7:$C$91,0),MATCH(Calculation!$G794,'Gross Dx Plant'!$D$5:$AC$5,0))</f>
        <v>69284</v>
      </c>
      <c r="BZ794" s="129">
        <f>INDEX('Gross Gen Plant'!$D$7:$AC$91,MATCH($C794,'Gross Gen Plant'!$C$7:$C$91,0),MATCH(Calculation!$G794,'Gross Gen Plant'!$D$5:$AC$5,0))</f>
        <v>8577</v>
      </c>
      <c r="CA794" s="129">
        <f t="shared" si="1457"/>
        <v>27694</v>
      </c>
      <c r="CB794" s="129"/>
      <c r="CC794" s="133">
        <v>2014</v>
      </c>
      <c r="CD794" s="129"/>
      <c r="CE794" s="129"/>
      <c r="CF794" s="129"/>
      <c r="CG794" s="137"/>
      <c r="CH794" s="129">
        <f t="shared" si="1422"/>
        <v>1835</v>
      </c>
      <c r="CI794" s="46">
        <f t="shared" si="1431"/>
        <v>1797.1057011854459</v>
      </c>
      <c r="CJ794" s="231">
        <f t="shared" si="1423"/>
        <v>2.6255467028090003</v>
      </c>
      <c r="CK794" s="443">
        <v>0.81395348837209303</v>
      </c>
      <c r="CL794" s="231">
        <f>+CL778*CK794+CJ779*CK793+CJ780*CK792+CJ781*CK791+CJ782*CK790+CJ783*CK789+CJ784*CK788+CJ785*CK787+CJ786*CK786+CJ787*CK785+CJ788*CK784+CJ789*CK783+CJ790*CK782+CJ791*CK781+CJ792*CK780+CJ793*CK779+CJ794</f>
        <v>169.5562380380384</v>
      </c>
      <c r="CM794" s="134">
        <f t="shared" si="1424"/>
        <v>5.3533218839480064E-4</v>
      </c>
      <c r="CN794" s="135">
        <f t="shared" si="1425"/>
        <v>1.4957629610321979E-2</v>
      </c>
      <c r="CO794" s="135">
        <f t="shared" si="1434"/>
        <v>1.4531725653455577E-2</v>
      </c>
      <c r="CP794" s="134">
        <f>VLOOKUP($H794,RoR!$E:$F,2,FALSE)</f>
        <v>4.1625000000000002E-2</v>
      </c>
      <c r="CQ794" s="135">
        <v>1.841352814597208E-2</v>
      </c>
      <c r="CR794" s="135">
        <f t="shared" si="1432"/>
        <v>2.3211471854027922E-2</v>
      </c>
      <c r="CS794" s="135">
        <f t="shared" si="1435"/>
        <v>1.6370215955078048E-2</v>
      </c>
      <c r="CT794" s="135">
        <f t="shared" si="1436"/>
        <v>3.9072621432650924E-2</v>
      </c>
      <c r="CU794" s="139">
        <f t="shared" si="1426"/>
        <v>0.87050000000000005</v>
      </c>
      <c r="CV794" s="335">
        <f t="shared" si="1427"/>
        <v>1.2320012320012319</v>
      </c>
      <c r="CW794" s="335">
        <f t="shared" si="1428"/>
        <v>0.37439939939939942</v>
      </c>
      <c r="CX794" s="335">
        <f t="shared" si="1429"/>
        <v>0.80432100613819935</v>
      </c>
      <c r="CY794" s="335">
        <f t="shared" si="1430"/>
        <v>0.37100152660040037</v>
      </c>
      <c r="CZ794" s="336">
        <f>INDEX('State Tax Lookup'!$D$7:$Z$91,MATCH(Calculation!$C794,'State Tax Lookup'!$B$7:$B$91,0),MATCH($H794,'State Tax Lookup'!$D$6:$Z$6,0))</f>
        <v>0.35</v>
      </c>
      <c r="DA794" s="302">
        <v>0.37</v>
      </c>
      <c r="DB794" s="57">
        <f t="shared" si="1433"/>
        <v>14.953629878671938</v>
      </c>
      <c r="DC794" s="56">
        <f t="shared" si="1437"/>
        <v>9.1083219872754272E-3</v>
      </c>
      <c r="DD794" s="303">
        <f>VLOOKUP($H794,RoR!$E:$F,2,FALSE)</f>
        <v>4.1625000000000002E-2</v>
      </c>
      <c r="DE794" s="304">
        <f>HLOOKUP($H794,'GDP-PI'!$D$8:$CQ$11,3,FALSE)</f>
        <v>1.841352814597208E-2</v>
      </c>
      <c r="DF794" s="303">
        <f>VLOOKUP(H794,'HW Dx Data'!$E:$F,2,FALSE)</f>
        <v>684.46914285042885</v>
      </c>
      <c r="DG794" s="364">
        <f ca="1">VLOOKUP(CC794,'ECI - Input Price'!M$13:N$33,2,FALSE)</f>
        <v>129.4</v>
      </c>
      <c r="DH794" s="364"/>
      <c r="DI794" s="364"/>
      <c r="DJ794" s="56">
        <f t="shared" ca="1" si="1445"/>
        <v>2.0297340063674733E-2</v>
      </c>
      <c r="DK794" s="53">
        <f>HLOOKUP(H794,'GDP-PI'!$8:$9,2,FALSE)</f>
        <v>103.64700000000001</v>
      </c>
      <c r="DL794" s="355">
        <f t="shared" si="1438"/>
        <v>1.8246051898256087E-2</v>
      </c>
      <c r="EC794"/>
    </row>
    <row r="795" spans="1:133" s="126" customFormat="1" ht="21" customHeight="1" x14ac:dyDescent="0.4">
      <c r="A795" s="233" t="s">
        <v>228</v>
      </c>
      <c r="B795" s="127" t="s">
        <v>228</v>
      </c>
      <c r="C795" s="127">
        <v>4064479</v>
      </c>
      <c r="D795" s="127" t="s">
        <v>199</v>
      </c>
      <c r="E795" s="127"/>
      <c r="F795" s="127"/>
      <c r="G795" s="127" t="s">
        <v>171</v>
      </c>
      <c r="H795" s="128">
        <v>2015</v>
      </c>
      <c r="I795" s="129"/>
      <c r="J795" s="125">
        <f>IFERROR(INDEX('Labor Expenditures'!$E$7:$W$91,MATCH($C795,'Labor Expenditures'!$C$7:$C$91,0),MATCH($G795,'Labor Expenditures'!$E$5:$W$5,0)),"NA")</f>
        <v>2581.6172103352251</v>
      </c>
      <c r="K795" s="125">
        <f t="shared" ca="1" si="1439"/>
        <v>19.337956631724534</v>
      </c>
      <c r="L795" s="47"/>
      <c r="M795" s="131">
        <f t="shared" ca="1" si="1446"/>
        <v>-8.2236298987425449E-4</v>
      </c>
      <c r="N795" s="131"/>
      <c r="O795" s="131"/>
      <c r="P795" s="59">
        <f t="shared" ca="1" si="1448"/>
        <v>-7.2346339210878351E-7</v>
      </c>
      <c r="Q795" s="61"/>
      <c r="R795" s="387"/>
      <c r="S795" s="49">
        <f t="shared" ca="1" si="1453"/>
        <v>119.23333782958137</v>
      </c>
      <c r="T795" s="61">
        <f ca="1">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</f>
        <v>-5.0303555886794388E-3</v>
      </c>
      <c r="U795" s="61"/>
      <c r="V795" s="125">
        <f>IFERROR(INDEX('Non-Labor Expenditures'!$E$7:$AA$91,MATCH($C795,'Non-Labor Expenditures'!$C$7:$C$91,0),MATCH($G795,'Non-Labor Expenditures'!$E$5:$AA$5,0)),"NA")</f>
        <v>3738.6639001486878</v>
      </c>
      <c r="W795" s="125">
        <f t="shared" si="1440"/>
        <v>35.729163124157225</v>
      </c>
      <c r="X795" s="131">
        <f t="shared" si="1449"/>
        <v>2.0845296598186912E-2</v>
      </c>
      <c r="Y795" s="131">
        <f t="shared" si="1450"/>
        <v>1.833838483994028E-5</v>
      </c>
      <c r="Z795" s="131"/>
      <c r="AA795" s="131"/>
      <c r="AB795" s="131"/>
      <c r="AC795" s="125">
        <f t="shared" si="1419"/>
        <v>2442.4002607195639</v>
      </c>
      <c r="AD795" s="129"/>
      <c r="AE795" s="133">
        <v>187.09468479518597</v>
      </c>
      <c r="AF795" s="134">
        <v>1.3358496308924368E-2</v>
      </c>
      <c r="AG795" s="59">
        <f t="shared" si="1441"/>
        <v>1.1751967406272557E-5</v>
      </c>
      <c r="AH795" s="134"/>
      <c r="AI795" s="134"/>
      <c r="AJ795" s="129">
        <f t="shared" si="1351"/>
        <v>8762.6813712034764</v>
      </c>
      <c r="AK795" s="134">
        <f t="shared" si="1451"/>
        <v>1.1170861970247793E-2</v>
      </c>
      <c r="AL795" s="129"/>
      <c r="AM795" s="129"/>
      <c r="AN795" s="129"/>
      <c r="AO795" s="129"/>
      <c r="AP795" s="133">
        <f t="shared" si="1452"/>
        <v>179.82477315773926</v>
      </c>
      <c r="AQ795" s="134">
        <f>+BB795/Outputs!$B$23</f>
        <v>1.3375399870355048E-3</v>
      </c>
      <c r="AR795" s="93">
        <f t="shared" si="1442"/>
        <v>0.2946149815305521</v>
      </c>
      <c r="AS795" s="93">
        <f t="shared" si="1443"/>
        <v>0.42665751974446331</v>
      </c>
      <c r="AT795" s="93">
        <f t="shared" si="1444"/>
        <v>0.27872749872498465</v>
      </c>
      <c r="AU795" s="93">
        <f t="shared" ca="1" si="1447"/>
        <v>1.2384254719787423E-2</v>
      </c>
      <c r="AV795" s="132">
        <f t="shared" ca="1" si="1455"/>
        <v>97.122898494060692</v>
      </c>
      <c r="AW795" s="134">
        <f t="shared" ca="1" si="1456"/>
        <v>1.2384254719787482E-2</v>
      </c>
      <c r="AX795" s="56">
        <f>+AJ795/$AL$20</f>
        <v>8.7973729486465159E-4</v>
      </c>
      <c r="AY795" s="135">
        <f t="shared" ca="1" si="1454"/>
        <v>1.0894890746100634E-5</v>
      </c>
      <c r="AZ795" s="93"/>
      <c r="BA795" s="93"/>
      <c r="BB795" s="234">
        <f>IFERROR(INDEX('Total Customers'!$E$7:$AA$91,MATCH($C795,'Total Customers'!$C$7:$C$91,0),MATCH($G795,'Total Customers'!$E$5:$AA$5,0)),"NA")</f>
        <v>48729</v>
      </c>
      <c r="BC795" s="269">
        <f t="shared" si="1420"/>
        <v>8.3046173021060609E-3</v>
      </c>
      <c r="BD795" s="92"/>
      <c r="BE795" s="299" t="str">
        <f t="shared" si="1410"/>
        <v>OHIO GAS COMPANY</v>
      </c>
      <c r="BF795" s="300">
        <f t="shared" si="1411"/>
        <v>4064479</v>
      </c>
      <c r="BG795" s="231" t="str">
        <f t="shared" si="1412"/>
        <v>OH</v>
      </c>
      <c r="BH795" s="231"/>
      <c r="BI795" s="231" t="str">
        <f t="shared" si="1413"/>
        <v>2015 Y</v>
      </c>
      <c r="BJ795" s="129"/>
      <c r="BK795" s="129"/>
      <c r="BL795" s="129">
        <f>INDEX('Dist. Plant Gas Additions'!$E$7:$AD$91,MATCH($C795,'Dist. Plant Gas Additions'!$C$7:$C$91,0),MATCH(Calculation!$G795,'Dist. Plant Gas Additions'!$E$5:$AD$5,0))</f>
        <v>2302</v>
      </c>
      <c r="BM795" s="129">
        <f>INDEX('Gen. Plant Additions'!$E$7:$AD$91,MATCH($C795,'Gen. Plant Additions'!$C$7:$C$91,0),MATCH(Calculation!$G795,'Gen. Plant Additions'!$E$5:$AD$5,0))</f>
        <v>432</v>
      </c>
      <c r="BN795" s="301">
        <f t="shared" si="1421"/>
        <v>0.89122552574329228</v>
      </c>
      <c r="BO795" s="231">
        <f t="shared" si="1396"/>
        <v>385.00942712110225</v>
      </c>
      <c r="BP795" s="231">
        <f t="shared" si="1397"/>
        <v>-46.990572878897751</v>
      </c>
      <c r="BQ795" s="129">
        <f>INDEX('Dist Plant Depreciation'!$D$7:$AC$94,MATCH($C795,'Dist Plant Depreciation'!$C$7:$C$94,0),MATCH(Calculation!$G795,'Dist Plant Depreciation'!$D$5:$AC$5,0))</f>
        <v>46290</v>
      </c>
      <c r="BR795" s="129">
        <f>INDEX('Gen. Plant Depreciation'!$D$7:$AC$94,MATCH($C795,'Gen. Plant Depreciation'!$C$7:$C$94,0),MATCH(Calculation!$G795,'Gen. Plant Depreciation'!$D$5:$AC$5,0))</f>
        <v>6038</v>
      </c>
      <c r="BS795" s="129"/>
      <c r="BT795" s="129"/>
      <c r="BU795" s="129"/>
      <c r="BV795" s="129"/>
      <c r="BW795" s="129"/>
      <c r="BX795" s="129"/>
      <c r="BY795" s="129">
        <f>INDEX('Gross Dx Plant'!$D$7:$AC$91,MATCH($C795,'Gross Dx Plant'!$C$7:$C$91,0),MATCH(Calculation!$G795,'Gross Dx Plant'!$D$5:$AC$5,0))</f>
        <v>71282</v>
      </c>
      <c r="BZ795" s="129">
        <f>INDEX('Gross Gen Plant'!$D$7:$AC$91,MATCH($C795,'Gross Gen Plant'!$C$7:$C$91,0),MATCH(Calculation!$G795,'Gross Gen Plant'!$D$5:$AC$5,0))</f>
        <v>8700</v>
      </c>
      <c r="CA795" s="129">
        <f t="shared" si="1457"/>
        <v>27654</v>
      </c>
      <c r="CB795" s="129"/>
      <c r="CC795" s="133">
        <v>2015</v>
      </c>
      <c r="CD795" s="129"/>
      <c r="CE795" s="129"/>
      <c r="CF795" s="129"/>
      <c r="CG795" s="137"/>
      <c r="CH795" s="129">
        <f t="shared" si="1422"/>
        <v>2734</v>
      </c>
      <c r="CI795" s="46">
        <f t="shared" si="1431"/>
        <v>2687.0094271211024</v>
      </c>
      <c r="CJ795" s="231">
        <f t="shared" si="1423"/>
        <v>3.9771332584154564</v>
      </c>
      <c r="CK795" s="443">
        <v>0.8</v>
      </c>
      <c r="CL795" s="231">
        <f>+CL778*CK795+CJ779*CK794+CJ780*CK793+CJ781*CK792+CJ782*CK791+CJ783*CK790+CJ784*CK789+CJ785*CK788+CJ786*CK787+CJ787*CK786+CJ788*CK785+CJ789*CK784+CJ790*CK783+CJ791*CK782+CJ792*CK781+CJ793*CK780+CJ794*CK779+CJ795</f>
        <v>170.91442466438946</v>
      </c>
      <c r="CM795" s="134">
        <f t="shared" si="1424"/>
        <v>7.9783310552368099E-3</v>
      </c>
      <c r="CN795" s="135">
        <f t="shared" si="1425"/>
        <v>1.5445887820870755E-2</v>
      </c>
      <c r="CO795" s="135">
        <f t="shared" si="1434"/>
        <v>1.497651819296056E-2</v>
      </c>
      <c r="CP795" s="134">
        <f>VLOOKUP($H795,RoR!$E:$F,2,FALSE)</f>
        <v>3.8866666666666674E-2</v>
      </c>
      <c r="CQ795" s="135">
        <v>9.5709475431029478E-3</v>
      </c>
      <c r="CR795" s="135">
        <f t="shared" si="1432"/>
        <v>2.9295719123563727E-2</v>
      </c>
      <c r="CS795" s="135">
        <f t="shared" si="1435"/>
        <v>1.5925423415573063E-2</v>
      </c>
      <c r="CT795" s="135">
        <f t="shared" si="1436"/>
        <v>3.5270373279175926E-3</v>
      </c>
      <c r="CU795" s="139">
        <f t="shared" si="1426"/>
        <v>0.87050000000000005</v>
      </c>
      <c r="CV795" s="335">
        <f t="shared" si="1427"/>
        <v>1.3194352816994324</v>
      </c>
      <c r="CW795" s="335">
        <f t="shared" si="1428"/>
        <v>0.33177530017152673</v>
      </c>
      <c r="CX795" s="335">
        <f t="shared" si="1429"/>
        <v>0.78242572977668579</v>
      </c>
      <c r="CY795" s="335">
        <f t="shared" si="1430"/>
        <v>0.34251158643433932</v>
      </c>
      <c r="CZ795" s="336">
        <f>INDEX('State Tax Lookup'!$D$7:$Z$91,MATCH(Calculation!$C795,'State Tax Lookup'!$B$7:$B$91,0),MATCH($H795,'State Tax Lookup'!$D$6:$Z$6,0))</f>
        <v>0.35</v>
      </c>
      <c r="DA795" s="302">
        <v>0.37</v>
      </c>
      <c r="DB795" s="57">
        <f t="shared" si="1433"/>
        <v>14.404661774647499</v>
      </c>
      <c r="DC795" s="56">
        <f t="shared" si="1437"/>
        <v>-3.7402183072384014E-2</v>
      </c>
      <c r="DD795" s="303">
        <f>VLOOKUP($H795,RoR!$E:$F,2,FALSE)</f>
        <v>3.8866666666666674E-2</v>
      </c>
      <c r="DE795" s="304">
        <f>HLOOKUP($H795,'GDP-PI'!$D$8:$CQ$11,3,FALSE)</f>
        <v>9.5709475431029478E-3</v>
      </c>
      <c r="DF795" s="303">
        <f>VLOOKUP(H795,'HW Dx Data'!$E:$F,2,FALSE)</f>
        <v>675.61463308665782</v>
      </c>
      <c r="DG795" s="364">
        <f ca="1">VLOOKUP(CC795,'ECI - Input Price'!M$13:N$33,2,FALSE)</f>
        <v>133.5</v>
      </c>
      <c r="DH795" s="364"/>
      <c r="DI795" s="364"/>
      <c r="DJ795" s="56">
        <f t="shared" ca="1" si="1445"/>
        <v>3.1193095773504077E-2</v>
      </c>
      <c r="DK795" s="53">
        <f>HLOOKUP(H795,'GDP-PI'!$8:$9,2,FALSE)</f>
        <v>104.639</v>
      </c>
      <c r="DL795" s="355">
        <f t="shared" si="1438"/>
        <v>9.5254361854427965E-3</v>
      </c>
      <c r="EC795"/>
    </row>
    <row r="796" spans="1:133" s="126" customFormat="1" ht="21" customHeight="1" x14ac:dyDescent="0.4">
      <c r="A796" s="233" t="s">
        <v>228</v>
      </c>
      <c r="B796" s="127" t="s">
        <v>228</v>
      </c>
      <c r="C796" s="127">
        <v>4064479</v>
      </c>
      <c r="D796" s="127" t="s">
        <v>199</v>
      </c>
      <c r="E796" s="127"/>
      <c r="F796" s="127"/>
      <c r="G796" s="127" t="s">
        <v>172</v>
      </c>
      <c r="H796" s="128">
        <v>2016</v>
      </c>
      <c r="I796" s="129"/>
      <c r="J796" s="125">
        <f>IFERROR(INDEX('Labor Expenditures'!$E$7:$W$91,MATCH($C796,'Labor Expenditures'!$C$7:$C$91,0),MATCH($G796,'Labor Expenditures'!$E$5:$W$5,0)),"NA")</f>
        <v>2722.0352833311454</v>
      </c>
      <c r="K796" s="125">
        <f t="shared" ca="1" si="1439"/>
        <v>19.876124741373825</v>
      </c>
      <c r="L796" s="47"/>
      <c r="M796" s="131">
        <f t="shared" ca="1" si="1446"/>
        <v>2.7449420286638757E-2</v>
      </c>
      <c r="N796" s="131"/>
      <c r="O796" s="131"/>
      <c r="P796" s="59">
        <f t="shared" ca="1" si="1448"/>
        <v>2.4132011161061853E-5</v>
      </c>
      <c r="Q796" s="61"/>
      <c r="R796" s="387"/>
      <c r="S796" s="49">
        <f t="shared" ca="1" si="1453"/>
        <v>300.65379293294194</v>
      </c>
      <c r="T796" s="61">
        <f ca="1">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</f>
        <v>0.92487701787510734</v>
      </c>
      <c r="U796" s="61"/>
      <c r="V796" s="125">
        <f>IFERROR(INDEX('Non-Labor Expenditures'!$E$7:$AA$91,MATCH($C796,'Non-Labor Expenditures'!$C$7:$C$91,0),MATCH($G796,'Non-Labor Expenditures'!$E$5:$AA$5,0)),"NA")</f>
        <v>3942.0154963251489</v>
      </c>
      <c r="W796" s="125">
        <f t="shared" si="1440"/>
        <v>37.281677917881787</v>
      </c>
      <c r="X796" s="131">
        <f t="shared" si="1449"/>
        <v>4.2534747788216837E-2</v>
      </c>
      <c r="Y796" s="131">
        <f t="shared" si="1450"/>
        <v>3.7394196221252539E-5</v>
      </c>
      <c r="Z796" s="131"/>
      <c r="AA796" s="131"/>
      <c r="AB796" s="131"/>
      <c r="AC796" s="125">
        <f t="shared" si="1419"/>
        <v>2375.796080316572</v>
      </c>
      <c r="AD796" s="129"/>
      <c r="AE796" s="133">
        <v>189.83191352576407</v>
      </c>
      <c r="AF796" s="134">
        <v>1.4524190446008603E-2</v>
      </c>
      <c r="AG796" s="59">
        <f t="shared" si="1441"/>
        <v>1.2768864416385343E-5</v>
      </c>
      <c r="AH796" s="134"/>
      <c r="AI796" s="134"/>
      <c r="AJ796" s="129">
        <f t="shared" si="1351"/>
        <v>9039.8468599728658</v>
      </c>
      <c r="AK796" s="134">
        <f t="shared" si="1451"/>
        <v>3.114028327745581E-2</v>
      </c>
      <c r="AL796" s="129"/>
      <c r="AM796" s="129"/>
      <c r="AN796" s="129"/>
      <c r="AO796" s="129"/>
      <c r="AP796" s="133">
        <f t="shared" si="1452"/>
        <v>184.03971701323044</v>
      </c>
      <c r="AQ796" s="134">
        <f>+BB796/Outputs!$B$24</f>
        <v>1.3365941961351504E-3</v>
      </c>
      <c r="AR796" s="93">
        <f t="shared" si="1442"/>
        <v>0.30111519868593395</v>
      </c>
      <c r="AS796" s="93">
        <f t="shared" si="1443"/>
        <v>0.4360710482585522</v>
      </c>
      <c r="AT796" s="93">
        <f t="shared" si="1444"/>
        <v>0.26281375305551397</v>
      </c>
      <c r="AU796" s="93">
        <f t="shared" ca="1" si="1447"/>
        <v>3.0456919209562488E-2</v>
      </c>
      <c r="AV796" s="132">
        <f t="shared" ca="1" si="1455"/>
        <v>100.12647036123735</v>
      </c>
      <c r="AW796" s="134">
        <f t="shared" ca="1" si="1456"/>
        <v>3.0456919209562477E-2</v>
      </c>
      <c r="AX796" s="56">
        <f>+AJ796/$AL$21</f>
        <v>8.7914465621003737E-4</v>
      </c>
      <c r="AY796" s="135">
        <f t="shared" ca="1" si="1454"/>
        <v>2.6776037767707689E-5</v>
      </c>
      <c r="AZ796" s="93"/>
      <c r="BA796" s="93"/>
      <c r="BB796" s="234">
        <f>IFERROR(INDEX('Total Customers'!$E$7:$AA$91,MATCH($C796,'Total Customers'!$C$7:$C$91,0),MATCH($G796,'Total Customers'!$E$5:$AA$5,0)),"NA")</f>
        <v>49119</v>
      </c>
      <c r="BC796" s="269">
        <f t="shared" si="1420"/>
        <v>7.9715899200965643E-3</v>
      </c>
      <c r="BD796" s="92"/>
      <c r="BE796" s="299" t="str">
        <f t="shared" si="1410"/>
        <v>OHIO GAS COMPANY</v>
      </c>
      <c r="BF796" s="300">
        <f t="shared" si="1411"/>
        <v>4064479</v>
      </c>
      <c r="BG796" s="231" t="str">
        <f t="shared" si="1412"/>
        <v>OH</v>
      </c>
      <c r="BH796" s="231"/>
      <c r="BI796" s="231" t="str">
        <f t="shared" si="1413"/>
        <v>2016 Y</v>
      </c>
      <c r="BJ796" s="129"/>
      <c r="BK796" s="129"/>
      <c r="BL796" s="129">
        <f>INDEX('Dist. Plant Gas Additions'!$E$7:$AD$91,MATCH($C796,'Dist. Plant Gas Additions'!$C$7:$C$91,0),MATCH(Calculation!$G796,'Dist. Plant Gas Additions'!$E$5:$AD$5,0))</f>
        <v>2458</v>
      </c>
      <c r="BM796" s="129">
        <f>INDEX('Gen. Plant Additions'!$E$7:$AD$91,MATCH($C796,'Gen. Plant Additions'!$C$7:$C$91,0),MATCH(Calculation!$G796,'Gen. Plant Additions'!$E$5:$AD$5,0))</f>
        <v>484</v>
      </c>
      <c r="BN796" s="301">
        <f t="shared" si="1421"/>
        <v>0.94412354985559743</v>
      </c>
      <c r="BO796" s="231">
        <f t="shared" si="1396"/>
        <v>456.95579813010914</v>
      </c>
      <c r="BP796" s="231">
        <f t="shared" si="1397"/>
        <v>-27.044201869890856</v>
      </c>
      <c r="BQ796" s="129">
        <f>INDEX('Dist Plant Depreciation'!$D$7:$AC$94,MATCH($C796,'Dist Plant Depreciation'!$C$7:$C$94,0),MATCH(Calculation!$G796,'Dist Plant Depreciation'!$D$5:$AC$5,0))</f>
        <v>50183</v>
      </c>
      <c r="BR796" s="129">
        <f>INDEX('Gen. Plant Depreciation'!$D$7:$AC$94,MATCH($C796,'Gen. Plant Depreciation'!$C$7:$C$94,0),MATCH(Calculation!$G796,'Gen. Plant Depreciation'!$D$5:$AC$5,0))</f>
        <v>3495</v>
      </c>
      <c r="BS796" s="129"/>
      <c r="BT796" s="129"/>
      <c r="BU796" s="129"/>
      <c r="BV796" s="129"/>
      <c r="BW796" s="129"/>
      <c r="BX796" s="129"/>
      <c r="BY796" s="129">
        <f>INDEX('Gross Dx Plant'!$D$7:$AC$91,MATCH($C796,'Gross Dx Plant'!$C$7:$C$91,0),MATCH(Calculation!$G796,'Gross Dx Plant'!$D$5:$AC$5,0))</f>
        <v>77150</v>
      </c>
      <c r="BZ796" s="129">
        <f>INDEX('Gross Gen Plant'!$D$7:$AC$91,MATCH($C796,'Gross Gen Plant'!$C$7:$C$91,0),MATCH(Calculation!$G796,'Gross Gen Plant'!$D$5:$AC$5,0))</f>
        <v>4566</v>
      </c>
      <c r="CA796" s="129">
        <f t="shared" si="1457"/>
        <v>28038</v>
      </c>
      <c r="CB796" s="129"/>
      <c r="CC796" s="133">
        <v>2016</v>
      </c>
      <c r="CD796" s="129"/>
      <c r="CE796" s="129"/>
      <c r="CF796" s="129"/>
      <c r="CG796" s="137"/>
      <c r="CH796" s="129">
        <f t="shared" si="1422"/>
        <v>2942</v>
      </c>
      <c r="CI796" s="46">
        <f t="shared" si="1431"/>
        <v>2914.9557981301091</v>
      </c>
      <c r="CJ796" s="231">
        <f t="shared" si="1423"/>
        <v>4.3412436381373301</v>
      </c>
      <c r="CK796" s="443">
        <v>0.7857142857142857</v>
      </c>
      <c r="CL796" s="231">
        <f>+CL778*CK796+CJ779*CK795+CJ780*CK794+CJ781*CK793+CJ782*CK792+CJ783*CK791+CJ784*CK790+CJ785*CK789+CJ786*CK788+CJ787*CK787+CJ788*CK786+CJ789*CK785+CJ790*CK784+CJ791*CK783+CJ792*CK782+CJ793*CK781+CJ794*CK780+CJ795*CK779+CJ796</f>
        <v>172.53664678550663</v>
      </c>
      <c r="CM796" s="134">
        <f t="shared" si="1424"/>
        <v>9.4466683601497504E-3</v>
      </c>
      <c r="CN796" s="135">
        <f t="shared" si="1425"/>
        <v>1.5908671970544748E-2</v>
      </c>
      <c r="CO796" s="135">
        <f t="shared" si="1434"/>
        <v>1.543739646724583E-2</v>
      </c>
      <c r="CP796" s="134">
        <f>VLOOKUP($H796,RoR!$E:$F,2,FALSE)</f>
        <v>3.6658333333333334E-2</v>
      </c>
      <c r="CQ796" s="135">
        <v>1.0483662879041455E-2</v>
      </c>
      <c r="CR796" s="135">
        <f t="shared" si="1432"/>
        <v>2.6174670454291879E-2</v>
      </c>
      <c r="CS796" s="135">
        <f t="shared" si="1435"/>
        <v>1.5464545141287795E-2</v>
      </c>
      <c r="CT796" s="135">
        <f t="shared" si="1436"/>
        <v>4.301363574220729E-3</v>
      </c>
      <c r="CU796" s="139">
        <f t="shared" si="1426"/>
        <v>0.87050000000000005</v>
      </c>
      <c r="CV796" s="335">
        <f t="shared" si="1427"/>
        <v>1.3989193348138562</v>
      </c>
      <c r="CW796" s="335">
        <f t="shared" si="1428"/>
        <v>0.29302682427824522</v>
      </c>
      <c r="CX796" s="335">
        <f t="shared" si="1429"/>
        <v>0.76309497491941802</v>
      </c>
      <c r="CY796" s="335">
        <f t="shared" si="1430"/>
        <v>0.31280857135128509</v>
      </c>
      <c r="CZ796" s="336">
        <f>INDEX('State Tax Lookup'!$D$7:$Z$91,MATCH(Calculation!$C796,'State Tax Lookup'!$B$7:$B$91,0),MATCH($H796,'State Tax Lookup'!$D$6:$Z$6,0))</f>
        <v>0.35</v>
      </c>
      <c r="DA796" s="302">
        <v>0.37</v>
      </c>
      <c r="DB796" s="57">
        <f t="shared" si="1433"/>
        <v>13.90050070368096</v>
      </c>
      <c r="DC796" s="56">
        <f t="shared" si="1437"/>
        <v>-3.5627027206391659E-2</v>
      </c>
      <c r="DD796" s="303">
        <f>VLOOKUP($H796,RoR!$E:$F,2,FALSE)</f>
        <v>3.6658333333333334E-2</v>
      </c>
      <c r="DE796" s="304">
        <f>HLOOKUP($H796,'GDP-PI'!$D$8:$CQ$11,3,FALSE)</f>
        <v>1.0483662879041455E-2</v>
      </c>
      <c r="DF796" s="303">
        <f>VLOOKUP(H796,'HW Dx Data'!$E:$F,2,FALSE)</f>
        <v>671.45639385971219</v>
      </c>
      <c r="DG796" s="364">
        <f ca="1">VLOOKUP(CC796,'ECI - Input Price'!M$13:N$33,2,FALSE)</f>
        <v>136.94999999999999</v>
      </c>
      <c r="DH796" s="364"/>
      <c r="DI796" s="364"/>
      <c r="DJ796" s="56">
        <f t="shared" ca="1" si="1445"/>
        <v>2.5514417868782811E-2</v>
      </c>
      <c r="DK796" s="53">
        <f>HLOOKUP(H796,'GDP-PI'!$8:$9,2,FALSE)</f>
        <v>105.736</v>
      </c>
      <c r="DL796" s="355">
        <f t="shared" si="1438"/>
        <v>1.0429090367205095E-2</v>
      </c>
      <c r="EC796"/>
    </row>
    <row r="797" spans="1:133" s="126" customFormat="1" ht="21" customHeight="1" x14ac:dyDescent="0.4">
      <c r="A797" s="233" t="s">
        <v>228</v>
      </c>
      <c r="B797" s="127" t="s">
        <v>228</v>
      </c>
      <c r="C797" s="127">
        <v>4064479</v>
      </c>
      <c r="D797" s="127" t="s">
        <v>199</v>
      </c>
      <c r="E797" s="127"/>
      <c r="F797" s="127"/>
      <c r="G797" s="127" t="s">
        <v>173</v>
      </c>
      <c r="H797" s="128">
        <v>2017</v>
      </c>
      <c r="I797" s="129"/>
      <c r="J797" s="125">
        <f>IFERROR(INDEX('Labor Expenditures'!$E$7:$W$91,MATCH($C797,'Labor Expenditures'!$C$7:$C$91,0),MATCH($G797,'Labor Expenditures'!$E$5:$W$5,0)),"NA")</f>
        <v>2866.6461369921954</v>
      </c>
      <c r="K797" s="125">
        <f t="shared" ca="1" si="1439"/>
        <v>20.410438853629017</v>
      </c>
      <c r="L797" s="47"/>
      <c r="M797" s="131">
        <f t="shared" ca="1" si="1446"/>
        <v>2.6527228783096549E-2</v>
      </c>
      <c r="N797" s="131"/>
      <c r="O797" s="131"/>
      <c r="P797" s="59">
        <f t="shared" ca="1" si="1448"/>
        <v>2.3656190633004928E-5</v>
      </c>
      <c r="Q797" s="61"/>
      <c r="R797" s="387"/>
      <c r="S797" s="49">
        <f t="shared" ca="1" si="1453"/>
        <v>166.90515484009612</v>
      </c>
      <c r="T797" s="61">
        <f ca="1">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</f>
        <v>-0.58853369719033655</v>
      </c>
      <c r="U797" s="61"/>
      <c r="V797" s="125">
        <f>IFERROR(INDEX('Non-Labor Expenditures'!$E$7:$AA$91,MATCH($C797,'Non-Labor Expenditures'!$C$7:$C$91,0),MATCH($G797,'Non-Labor Expenditures'!$E$5:$AA$5,0)),"NA")</f>
        <v>4151.439022008125</v>
      </c>
      <c r="W797" s="125">
        <f t="shared" si="1440"/>
        <v>38.528078829970255</v>
      </c>
      <c r="X797" s="131">
        <f t="shared" si="1449"/>
        <v>3.2885298396516917E-2</v>
      </c>
      <c r="Y797" s="131">
        <f t="shared" si="1450"/>
        <v>2.9326127288010129E-5</v>
      </c>
      <c r="Z797" s="131"/>
      <c r="AA797" s="131"/>
      <c r="AB797" s="131"/>
      <c r="AC797" s="125">
        <f t="shared" si="1419"/>
        <v>2148.5336208027184</v>
      </c>
      <c r="AD797" s="129"/>
      <c r="AE797" s="133">
        <v>192.10470567137449</v>
      </c>
      <c r="AF797" s="134">
        <v>1.1901550462249522E-2</v>
      </c>
      <c r="AG797" s="59">
        <f t="shared" si="1441"/>
        <v>1.061344737007382E-5</v>
      </c>
      <c r="AH797" s="134"/>
      <c r="AI797" s="134"/>
      <c r="AJ797" s="129">
        <f t="shared" si="1351"/>
        <v>9166.6187798030387</v>
      </c>
      <c r="AK797" s="134">
        <f t="shared" si="1451"/>
        <v>1.3926257977175184E-2</v>
      </c>
      <c r="AL797" s="129"/>
      <c r="AM797" s="129"/>
      <c r="AN797" s="129"/>
      <c r="AO797" s="129"/>
      <c r="AP797" s="133">
        <f t="shared" si="1452"/>
        <v>185.43896220672923</v>
      </c>
      <c r="AQ797" s="134">
        <f>+BB797/Outputs!$B$25</f>
        <v>1.3350053127982912E-3</v>
      </c>
      <c r="AR797" s="93">
        <f t="shared" si="1442"/>
        <v>0.3127266668172482</v>
      </c>
      <c r="AS797" s="93">
        <f t="shared" si="1443"/>
        <v>0.45288662283578962</v>
      </c>
      <c r="AT797" s="93">
        <f t="shared" si="1444"/>
        <v>0.23438671034696215</v>
      </c>
      <c r="AU797" s="93">
        <f t="shared" ca="1" si="1447"/>
        <v>2.5717309141847139E-2</v>
      </c>
      <c r="AV797" s="132">
        <f t="shared" ca="1" si="1455"/>
        <v>102.73485024950162</v>
      </c>
      <c r="AW797" s="134">
        <f t="shared" ca="1" si="1456"/>
        <v>2.5717309141847128E-2</v>
      </c>
      <c r="AX797" s="56">
        <f>+AJ797/$AL$22</f>
        <v>8.9177014404455694E-4</v>
      </c>
      <c r="AY797" s="135">
        <f t="shared" ca="1" si="1454"/>
        <v>2.2933928477863416E-5</v>
      </c>
      <c r="AZ797" s="93"/>
      <c r="BA797" s="93"/>
      <c r="BB797" s="234">
        <f>IFERROR(INDEX('Total Customers'!$E$7:$AA$91,MATCH($C797,'Total Customers'!$C$7:$C$91,0),MATCH($G797,'Total Customers'!$E$5:$AA$5,0)),"NA")</f>
        <v>49432</v>
      </c>
      <c r="BC797" s="269">
        <f t="shared" si="1420"/>
        <v>6.3520624332133709E-3</v>
      </c>
      <c r="BD797" s="92"/>
      <c r="BE797" s="299" t="str">
        <f t="shared" si="1410"/>
        <v>OHIO GAS COMPANY</v>
      </c>
      <c r="BF797" s="300">
        <f t="shared" si="1411"/>
        <v>4064479</v>
      </c>
      <c r="BG797" s="231" t="str">
        <f t="shared" si="1412"/>
        <v>OH</v>
      </c>
      <c r="BH797" s="231"/>
      <c r="BI797" s="231" t="str">
        <f t="shared" si="1413"/>
        <v>2017 Y</v>
      </c>
      <c r="BJ797" s="129"/>
      <c r="BK797" s="129"/>
      <c r="BL797" s="129">
        <f>INDEX('Dist. Plant Gas Additions'!$E$7:$AD$91,MATCH($C797,'Dist. Plant Gas Additions'!$C$7:$C$91,0),MATCH(Calculation!$G797,'Dist. Plant Gas Additions'!$E$5:$AD$5,0))</f>
        <v>2541</v>
      </c>
      <c r="BM797" s="129">
        <f>INDEX('Gen. Plant Additions'!$E$7:$AD$91,MATCH($C797,'Gen. Plant Additions'!$C$7:$C$91,0),MATCH(Calculation!$G797,'Gen. Plant Additions'!$E$5:$AD$5,0))</f>
        <v>311</v>
      </c>
      <c r="BN797" s="301">
        <f t="shared" si="1421"/>
        <v>0.94637460438331389</v>
      </c>
      <c r="BO797" s="231">
        <f t="shared" si="1396"/>
        <v>294.32250196321064</v>
      </c>
      <c r="BP797" s="231">
        <f t="shared" si="1397"/>
        <v>-16.677498036789359</v>
      </c>
      <c r="BQ797" s="129">
        <f>INDEX('Dist Plant Depreciation'!$D$7:$AC$94,MATCH($C797,'Dist Plant Depreciation'!$C$7:$C$94,0),MATCH(Calculation!$G797,'Dist Plant Depreciation'!$D$5:$AC$5,0))</f>
        <v>52807</v>
      </c>
      <c r="BR797" s="129">
        <f>INDEX('Gen. Plant Depreciation'!$D$7:$AC$94,MATCH($C797,'Gen. Plant Depreciation'!$C$7:$C$94,0),MATCH(Calculation!$G797,'Gen. Plant Depreciation'!$D$5:$AC$5,0))</f>
        <v>2913</v>
      </c>
      <c r="BS797" s="129"/>
      <c r="BT797" s="129"/>
      <c r="BU797" s="129"/>
      <c r="BV797" s="129"/>
      <c r="BW797" s="129"/>
      <c r="BX797" s="129"/>
      <c r="BY797" s="129">
        <f>INDEX('Gross Dx Plant'!$D$7:$AC$91,MATCH($C797,'Gross Dx Plant'!$C$7:$C$91,0),MATCH(Calculation!$G797,'Gross Dx Plant'!$D$5:$AC$5,0))</f>
        <v>79539</v>
      </c>
      <c r="BZ797" s="129">
        <f>INDEX('Gross Gen Plant'!$D$7:$AC$91,MATCH($C797,'Gross Gen Plant'!$C$7:$C$91,0),MATCH(Calculation!$G797,'Gross Gen Plant'!$D$5:$AC$5,0))</f>
        <v>4507</v>
      </c>
      <c r="CA797" s="129">
        <f t="shared" si="1457"/>
        <v>28326</v>
      </c>
      <c r="CB797" s="129"/>
      <c r="CC797" s="133">
        <v>2017</v>
      </c>
      <c r="CD797" s="129"/>
      <c r="CE797" s="129"/>
      <c r="CF797" s="129"/>
      <c r="CG797" s="137"/>
      <c r="CH797" s="129">
        <f t="shared" si="1422"/>
        <v>2852</v>
      </c>
      <c r="CI797" s="46">
        <f t="shared" si="1431"/>
        <v>2835.3225019632105</v>
      </c>
      <c r="CJ797" s="231">
        <f t="shared" si="1423"/>
        <v>3.9797989115327348</v>
      </c>
      <c r="CK797" s="443">
        <v>0.77108433734939763</v>
      </c>
      <c r="CL797" s="231">
        <f>+CL778*CK797+CJ779*CK796+CJ780*CK795+CJ781*CK794+CJ782*CK793+CJ783*CK792+CJ784*CK791+CJ785*CK790+CJ786*CK789+CJ787*CK788+CJ788*CK787+CJ789*CK786+CJ790*CK785+CJ791*CK784+CJ792*CK783+CJ793*CK782+CJ794*CK781+CJ795*CK780+CJ796*CK779+CJ797</f>
        <v>173.690816918275</v>
      </c>
      <c r="CM797" s="134">
        <f t="shared" si="1424"/>
        <v>6.6671453254252512E-3</v>
      </c>
      <c r="CN797" s="135">
        <f t="shared" si="1425"/>
        <v>1.6376977479324244E-2</v>
      </c>
      <c r="CO797" s="135">
        <f t="shared" si="1434"/>
        <v>1.5910512423579912E-2</v>
      </c>
      <c r="CP797" s="134">
        <f>VLOOKUP($H797,RoR!$E:$F,2,FALSE)</f>
        <v>3.7433333333333339E-2</v>
      </c>
      <c r="CQ797" s="135">
        <v>1.9056896421275615E-2</v>
      </c>
      <c r="CR797" s="135">
        <f t="shared" si="1432"/>
        <v>1.8376436912057724E-2</v>
      </c>
      <c r="CS797" s="135">
        <f t="shared" si="1435"/>
        <v>1.4991429184953713E-2</v>
      </c>
      <c r="CT797" s="135">
        <f t="shared" si="1436"/>
        <v>1.3976271617800498E-2</v>
      </c>
      <c r="CU797" s="139">
        <f t="shared" si="1426"/>
        <v>0.92230000000000001</v>
      </c>
      <c r="CV797" s="335">
        <f t="shared" si="1427"/>
        <v>1.3699568463593395</v>
      </c>
      <c r="CW797" s="335">
        <f t="shared" si="1428"/>
        <v>0.30714603739982199</v>
      </c>
      <c r="CX797" s="335">
        <f t="shared" si="1429"/>
        <v>0.77007188472689425</v>
      </c>
      <c r="CY797" s="335">
        <f t="shared" si="1430"/>
        <v>0.32402839633793828</v>
      </c>
      <c r="CZ797" s="336">
        <f>INDEX('State Tax Lookup'!$D$7:$Z$91,MATCH(Calculation!$C797,'State Tax Lookup'!$B$7:$B$91,0),MATCH($H797,'State Tax Lookup'!$D$6:$Z$6,0))</f>
        <v>0.20999999999999996</v>
      </c>
      <c r="DA797" s="302">
        <v>0.37</v>
      </c>
      <c r="DB797" s="57">
        <f t="shared" si="1433"/>
        <v>12.452621868058692</v>
      </c>
      <c r="DC797" s="56">
        <f t="shared" si="1437"/>
        <v>-0.1099936687841091</v>
      </c>
      <c r="DD797" s="303">
        <f>VLOOKUP($H797,RoR!$E:$F,2,FALSE)</f>
        <v>3.7433333333333339E-2</v>
      </c>
      <c r="DE797" s="304">
        <f>HLOOKUP($H797,'GDP-PI'!$D$8:$CQ$11,3,FALSE)</f>
        <v>1.9056896421275615E-2</v>
      </c>
      <c r="DF797" s="303">
        <f>VLOOKUP(H797,'HW Dx Data'!$E:$F,2,FALSE)</f>
        <v>712.42858370229726</v>
      </c>
      <c r="DG797" s="364">
        <f ca="1">VLOOKUP(CC797,'ECI - Input Price'!M$13:N$33,2,FALSE)</f>
        <v>140.44999999999999</v>
      </c>
      <c r="DH797" s="364"/>
      <c r="DI797" s="364"/>
      <c r="DJ797" s="56">
        <f t="shared" ca="1" si="1445"/>
        <v>2.5235657841165486E-2</v>
      </c>
      <c r="DK797" s="53">
        <f>HLOOKUP(H797,'GDP-PI'!$8:$9,2,FALSE)</f>
        <v>107.751</v>
      </c>
      <c r="DL797" s="355">
        <f t="shared" si="1438"/>
        <v>1.8877588227745139E-2</v>
      </c>
      <c r="EC797"/>
    </row>
    <row r="798" spans="1:133" s="126" customFormat="1" ht="21" customHeight="1" x14ac:dyDescent="0.4">
      <c r="A798" s="233" t="s">
        <v>228</v>
      </c>
      <c r="B798" s="127" t="s">
        <v>228</v>
      </c>
      <c r="C798" s="127">
        <v>4064479</v>
      </c>
      <c r="D798" s="127" t="s">
        <v>199</v>
      </c>
      <c r="E798" s="127"/>
      <c r="F798" s="127"/>
      <c r="G798" s="127" t="s">
        <v>174</v>
      </c>
      <c r="H798" s="128">
        <v>2018</v>
      </c>
      <c r="I798" s="129"/>
      <c r="J798" s="125">
        <f>IFERROR(INDEX('Labor Expenditures'!$E$7:$W$91,MATCH($C798,'Labor Expenditures'!$C$7:$C$91,0),MATCH($G798,'Labor Expenditures'!$E$5:$W$5,0)),"NA")</f>
        <v>2862.0642531867579</v>
      </c>
      <c r="K798" s="125">
        <f t="shared" ca="1" si="1439"/>
        <v>19.813528924795833</v>
      </c>
      <c r="L798" s="47"/>
      <c r="M798" s="131">
        <f t="shared" ca="1" si="1446"/>
        <v>-2.9681495081497228E-2</v>
      </c>
      <c r="N798" s="131"/>
      <c r="O798" s="131"/>
      <c r="P798" s="59">
        <f t="shared" ca="1" si="1448"/>
        <v>-2.459647539997678E-5</v>
      </c>
      <c r="Q798" s="61"/>
      <c r="R798" s="387"/>
      <c r="S798" s="49">
        <f t="shared" ca="1" si="1453"/>
        <v>115.4255174665299</v>
      </c>
      <c r="T798" s="61">
        <f ca="1">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</f>
        <v>-0.368800264467459</v>
      </c>
      <c r="U798" s="61"/>
      <c r="V798" s="125">
        <f>IFERROR(INDEX('Non-Labor Expenditures'!$E$7:$AA$91,MATCH($C798,'Non-Labor Expenditures'!$C$7:$C$91,0),MATCH($G798,'Non-Labor Expenditures'!$E$5:$AA$5,0)),"NA")</f>
        <v>4144.8035984800026</v>
      </c>
      <c r="W798" s="125">
        <f t="shared" si="1440"/>
        <v>37.570054916335842</v>
      </c>
      <c r="X798" s="131">
        <f t="shared" si="1449"/>
        <v>-2.5179974436014153E-2</v>
      </c>
      <c r="Y798" s="131">
        <f t="shared" si="1450"/>
        <v>-2.0866153139757033E-5</v>
      </c>
      <c r="Z798" s="131"/>
      <c r="AA798" s="131"/>
      <c r="AB798" s="131"/>
      <c r="AC798" s="125">
        <f t="shared" si="1419"/>
        <v>2214.6448625757321</v>
      </c>
      <c r="AD798" s="129"/>
      <c r="AE798" s="133">
        <v>193.80540569191936</v>
      </c>
      <c r="AF798" s="134">
        <v>8.8140267935578834E-3</v>
      </c>
      <c r="AG798" s="59">
        <f t="shared" si="1441"/>
        <v>7.3040118972183161E-6</v>
      </c>
      <c r="AH798" s="134"/>
      <c r="AI798" s="134"/>
      <c r="AJ798" s="129">
        <f t="shared" ref="AJ798:AJ861" si="1458">+J798+V798+AC798</f>
        <v>9221.5127142424935</v>
      </c>
      <c r="AK798" s="134">
        <f t="shared" si="1451"/>
        <v>5.9706009312648989E-3</v>
      </c>
      <c r="AL798" s="129"/>
      <c r="AM798" s="129"/>
      <c r="AN798" s="129"/>
      <c r="AO798" s="129"/>
      <c r="AP798" s="133">
        <f t="shared" si="1452"/>
        <v>185.60326693185922</v>
      </c>
      <c r="AQ798" s="134">
        <f>+BB798/Outputs!$B$26</f>
        <v>1.3300596369143858E-3</v>
      </c>
      <c r="AR798" s="93">
        <f t="shared" si="1442"/>
        <v>0.31036819466358712</v>
      </c>
      <c r="AS798" s="93">
        <f t="shared" si="1443"/>
        <v>0.4494711146554527</v>
      </c>
      <c r="AT798" s="93">
        <f t="shared" si="1444"/>
        <v>0.24016069068096008</v>
      </c>
      <c r="AU798" s="93">
        <f t="shared" ca="1" si="1447"/>
        <v>-1.8516529160522648E-2</v>
      </c>
      <c r="AV798" s="132">
        <f t="shared" ca="1" si="1455"/>
        <v>100.85006112697884</v>
      </c>
      <c r="AW798" s="134">
        <f t="shared" ca="1" si="1456"/>
        <v>-1.8516529160522648E-2</v>
      </c>
      <c r="AX798" s="56">
        <f>+AJ798/$AL$23</f>
        <v>8.2868047355571606E-4</v>
      </c>
      <c r="AY798" s="135">
        <f t="shared" ca="1" si="1454"/>
        <v>-1.5344286153350134E-5</v>
      </c>
      <c r="AZ798" s="93"/>
      <c r="BA798" s="93"/>
      <c r="BB798" s="234">
        <f>IFERROR(INDEX('Total Customers'!$E$7:$AA$91,MATCH($C798,'Total Customers'!$C$7:$C$91,0),MATCH($G798,'Total Customers'!$E$5:$AA$5,0)),"NA")</f>
        <v>49684</v>
      </c>
      <c r="BC798" s="269">
        <f t="shared" si="1420"/>
        <v>5.0849619232689117E-3</v>
      </c>
      <c r="BD798" s="92"/>
      <c r="BE798" s="299" t="str">
        <f t="shared" si="1410"/>
        <v>OHIO GAS COMPANY</v>
      </c>
      <c r="BF798" s="300">
        <f t="shared" si="1411"/>
        <v>4064479</v>
      </c>
      <c r="BG798" s="231" t="str">
        <f t="shared" si="1412"/>
        <v>OH</v>
      </c>
      <c r="BH798" s="231"/>
      <c r="BI798" s="231" t="str">
        <f t="shared" si="1413"/>
        <v>2018 Y</v>
      </c>
      <c r="BJ798" s="129"/>
      <c r="BK798" s="129"/>
      <c r="BL798" s="129">
        <f>INDEX('Dist. Plant Gas Additions'!$E$7:$AD$91,MATCH($C798,'Dist. Plant Gas Additions'!$C$7:$C$91,0),MATCH(Calculation!$G798,'Dist. Plant Gas Additions'!$E$5:$AD$5,0))</f>
        <v>2416</v>
      </c>
      <c r="BM798" s="129">
        <f>INDEX('Gen. Plant Additions'!$E$7:$AD$91,MATCH($C798,'Gen. Plant Additions'!$C$7:$C$91,0),MATCH(Calculation!$G798,'Gen. Plant Additions'!$E$5:$AD$5,0))</f>
        <v>242</v>
      </c>
      <c r="BN798" s="301">
        <f t="shared" si="1421"/>
        <v>0.94749348015068091</v>
      </c>
      <c r="BO798" s="231">
        <f t="shared" si="1396"/>
        <v>229.29342219646477</v>
      </c>
      <c r="BP798" s="231">
        <f t="shared" si="1397"/>
        <v>-12.706577803535225</v>
      </c>
      <c r="BQ798" s="129">
        <f>INDEX('Dist Plant Depreciation'!$D$7:$AC$94,MATCH($C798,'Dist Plant Depreciation'!$C$7:$C$94,0),MATCH(Calculation!$G798,'Dist Plant Depreciation'!$D$5:$AC$5,0))</f>
        <v>54935</v>
      </c>
      <c r="BR798" s="129">
        <f>INDEX('Gen. Plant Depreciation'!$D$7:$AC$94,MATCH($C798,'Gen. Plant Depreciation'!$C$7:$C$94,0),MATCH(Calculation!$G798,'Gen. Plant Depreciation'!$D$5:$AC$5,0))</f>
        <v>3071</v>
      </c>
      <c r="BS798" s="129"/>
      <c r="BT798" s="129"/>
      <c r="BU798" s="129"/>
      <c r="BV798" s="129"/>
      <c r="BW798" s="129"/>
      <c r="BX798" s="129"/>
      <c r="BY798" s="129">
        <f>INDEX('Gross Dx Plant'!$D$7:$AC$91,MATCH($C798,'Gross Dx Plant'!$C$7:$C$91,0),MATCH(Calculation!$G798,'Gross Dx Plant'!$D$5:$AC$5,0))</f>
        <v>81745</v>
      </c>
      <c r="BZ798" s="129">
        <f>INDEX('Gross Gen Plant'!$D$7:$AC$91,MATCH($C798,'Gross Gen Plant'!$C$7:$C$91,0),MATCH(Calculation!$G798,'Gross Gen Plant'!$D$5:$AC$5,0))</f>
        <v>4530</v>
      </c>
      <c r="CA798" s="129">
        <f t="shared" si="1457"/>
        <v>28269</v>
      </c>
      <c r="CB798" s="129"/>
      <c r="CC798" s="133">
        <v>2018</v>
      </c>
      <c r="CD798" s="129"/>
      <c r="CE798" s="129"/>
      <c r="CF798" s="129"/>
      <c r="CG798" s="137"/>
      <c r="CH798" s="129">
        <f t="shared" si="1422"/>
        <v>2658</v>
      </c>
      <c r="CI798" s="46">
        <f t="shared" si="1431"/>
        <v>2645.2934221964647</v>
      </c>
      <c r="CJ798" s="231">
        <f t="shared" si="1423"/>
        <v>3.5030655667462325</v>
      </c>
      <c r="CK798" s="443">
        <v>0.75609756097560976</v>
      </c>
      <c r="CL798" s="231">
        <f>+CL778*CK798++CJ779*CK797+CJ780*CK796+CJ781*CK795+CJ782*CK794+CJ783*CK793+CJ784*CK792+CJ785*CK791+CJ786*CK790+CJ787*CK789+CJ788*CK788+CJ789*CK787+CJ790*CK786+CJ791*CK785+CJ792*CK784+CJ793*CK783+CJ794*CK782+CJ795*CK781+CJ796*CK780+CJ797*CK779+CJ798</f>
        <v>174.26209982020785</v>
      </c>
      <c r="CM798" s="134">
        <f t="shared" si="1424"/>
        <v>3.2836822901928082E-3</v>
      </c>
      <c r="CN798" s="135">
        <f t="shared" si="1425"/>
        <v>1.6879318762101556E-2</v>
      </c>
      <c r="CO798" s="135">
        <f t="shared" si="1434"/>
        <v>1.6388322737323515E-2</v>
      </c>
      <c r="CP798" s="134">
        <f>VLOOKUP($H798,RoR!$E:$F,2,FALSE)</f>
        <v>3.9299999999999995E-2</v>
      </c>
      <c r="CQ798" s="135">
        <v>2.386056741932796E-2</v>
      </c>
      <c r="CR798" s="135">
        <f t="shared" si="1432"/>
        <v>1.5439432580672034E-2</v>
      </c>
      <c r="CS798" s="135">
        <f t="shared" si="1435"/>
        <v>1.451361887121011E-2</v>
      </c>
      <c r="CT798" s="135">
        <f t="shared" si="1436"/>
        <v>3.8270792163076606E-2</v>
      </c>
      <c r="CU798" s="139">
        <f t="shared" si="1426"/>
        <v>0.92230000000000001</v>
      </c>
      <c r="CV798" s="335">
        <f t="shared" si="1427"/>
        <v>1.3048868010700074</v>
      </c>
      <c r="CW798" s="335">
        <f t="shared" si="1428"/>
        <v>0.33886768447837151</v>
      </c>
      <c r="CX798" s="335">
        <f t="shared" si="1429"/>
        <v>0.78602506232557801</v>
      </c>
      <c r="CY798" s="335">
        <f t="shared" si="1430"/>
        <v>0.34756768162358759</v>
      </c>
      <c r="CZ798" s="336">
        <f>INDEX('State Tax Lookup'!$D$7:$Z$91,MATCH(Calculation!$C798,'State Tax Lookup'!$B$7:$B$91,0),MATCH($H798,'State Tax Lookup'!$D$6:$Z$6,0))</f>
        <v>0.20999999999999996</v>
      </c>
      <c r="DA798" s="302">
        <v>0.37</v>
      </c>
      <c r="DB798" s="57">
        <f t="shared" si="1433"/>
        <v>12.750500584137194</v>
      </c>
      <c r="DC798" s="56">
        <f t="shared" si="1437"/>
        <v>2.3639339783362148E-2</v>
      </c>
      <c r="DD798" s="303">
        <f>VLOOKUP($H798,RoR!$E:$F,2,FALSE)</f>
        <v>3.9299999999999995E-2</v>
      </c>
      <c r="DE798" s="304">
        <f>HLOOKUP($H798,'GDP-PI'!$D$8:$CQ$11,3,FALSE)</f>
        <v>2.386056741932796E-2</v>
      </c>
      <c r="DF798" s="303">
        <f>VLOOKUP(H798,'HW Dx Data'!$E:$F,2,FALSE)</f>
        <v>755.13671434174842</v>
      </c>
      <c r="DG798" s="364">
        <f ca="1">VLOOKUP(CC798,'ECI - Input Price'!M$13:N$33,2,FALSE)</f>
        <v>144.44999999999999</v>
      </c>
      <c r="DH798" s="364"/>
      <c r="DI798" s="364"/>
      <c r="DJ798" s="56">
        <f t="shared" ca="1" si="1445"/>
        <v>2.80818733619915E-2</v>
      </c>
      <c r="DK798" s="53">
        <f>HLOOKUP(H798,'GDP-PI'!$8:$9,2,FALSE)</f>
        <v>110.322</v>
      </c>
      <c r="DL798" s="355">
        <f t="shared" si="1438"/>
        <v>2.3580352716508712E-2</v>
      </c>
      <c r="EC798"/>
    </row>
    <row r="799" spans="1:133" s="126" customFormat="1" ht="21" customHeight="1" x14ac:dyDescent="0.4">
      <c r="A799" s="233" t="s">
        <v>228</v>
      </c>
      <c r="B799" s="127" t="s">
        <v>228</v>
      </c>
      <c r="C799" s="127">
        <v>4064479</v>
      </c>
      <c r="D799" s="127" t="s">
        <v>199</v>
      </c>
      <c r="E799" s="127"/>
      <c r="F799" s="127"/>
      <c r="G799" s="127" t="s">
        <v>175</v>
      </c>
      <c r="H799" s="128">
        <v>2019</v>
      </c>
      <c r="I799" s="129"/>
      <c r="J799" s="125">
        <f>IFERROR(INDEX('Labor Expenditures'!$E$7:$W$91,MATCH($C799,'Labor Expenditures'!$C$7:$C$91,0),MATCH($G799,'Labor Expenditures'!$E$5:$W$5,0)),"NA")</f>
        <v>3121.4905335265867</v>
      </c>
      <c r="K799" s="125">
        <f t="shared" ca="1" si="1439"/>
        <v>20.855122989988885</v>
      </c>
      <c r="L799" s="47"/>
      <c r="M799" s="131">
        <f t="shared" ca="1" si="1446"/>
        <v>5.1234641615958615E-2</v>
      </c>
      <c r="N799" s="131"/>
      <c r="O799" s="131"/>
      <c r="P799" s="59">
        <f t="shared" ca="1" si="1448"/>
        <v>4.4235385566424876E-5</v>
      </c>
      <c r="Q799" s="61"/>
      <c r="R799" s="387"/>
      <c r="S799" s="49">
        <f t="shared" ca="1" si="1453"/>
        <v>116.65812560778912</v>
      </c>
      <c r="T799" s="61">
        <f ca="1">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</f>
        <v>1.0622202535511405E-2</v>
      </c>
      <c r="U799" s="61"/>
      <c r="V799" s="125">
        <f>IFERROR(INDEX('Non-Labor Expenditures'!$E$7:$AA$91,MATCH($C799,'Non-Labor Expenditures'!$C$7:$C$91,0),MATCH($G799,'Non-Labor Expenditures'!$E$5:$AA$5,0)),"NA")</f>
        <v>4520.5013065575022</v>
      </c>
      <c r="W799" s="125">
        <f t="shared" si="1440"/>
        <v>40.247345096578485</v>
      </c>
      <c r="X799" s="131">
        <f t="shared" si="1449"/>
        <v>6.8836720063728291E-2</v>
      </c>
      <c r="Y799" s="131">
        <f t="shared" si="1450"/>
        <v>5.9432812587462517E-5</v>
      </c>
      <c r="Z799" s="131"/>
      <c r="AA799" s="131"/>
      <c r="AB799" s="131"/>
      <c r="AC799" s="125">
        <f t="shared" si="1419"/>
        <v>2194.6874164061173</v>
      </c>
      <c r="AD799" s="129"/>
      <c r="AE799" s="133">
        <v>195.43846767326258</v>
      </c>
      <c r="AF799" s="134">
        <v>8.3909943092449497E-3</v>
      </c>
      <c r="AG799" s="59">
        <f t="shared" si="1441"/>
        <v>7.2446855652350689E-6</v>
      </c>
      <c r="AH799" s="134"/>
      <c r="AI799" s="134"/>
      <c r="AJ799" s="129">
        <f t="shared" si="1458"/>
        <v>9836.6792564902062</v>
      </c>
      <c r="AK799" s="134">
        <f t="shared" si="1451"/>
        <v>6.4579087272548394E-2</v>
      </c>
      <c r="AL799" s="129"/>
      <c r="AM799" s="129"/>
      <c r="AN799" s="129"/>
      <c r="AO799" s="129"/>
      <c r="AP799" s="133">
        <f t="shared" si="1452"/>
        <v>196.8477568287648</v>
      </c>
      <c r="AQ799" s="134">
        <f>+BB799/Outputs!$B$27</f>
        <v>1.3267101281870506E-3</v>
      </c>
      <c r="AR799" s="93">
        <f t="shared" si="1442"/>
        <v>0.31733173890640365</v>
      </c>
      <c r="AS799" s="93">
        <f t="shared" si="1443"/>
        <v>0.45955562732971</v>
      </c>
      <c r="AT799" s="93">
        <f t="shared" si="1444"/>
        <v>0.22311263376388635</v>
      </c>
      <c r="AU799" s="93">
        <f t="shared" ca="1" si="1447"/>
        <v>4.9310862168168407E-2</v>
      </c>
      <c r="AV799" s="132">
        <f t="shared" ca="1" si="1455"/>
        <v>105.94771658720616</v>
      </c>
      <c r="AW799" s="134">
        <f t="shared" ca="1" si="1456"/>
        <v>4.9310862168168365E-2</v>
      </c>
      <c r="AX799" s="56">
        <f>+AJ799/$AL$24</f>
        <v>8.633882110077334E-4</v>
      </c>
      <c r="AY799" s="135">
        <f t="shared" ca="1" si="1454"/>
        <v>4.2574417070623808E-5</v>
      </c>
      <c r="AZ799" s="93"/>
      <c r="BA799" s="93"/>
      <c r="BB799" s="234">
        <f>IFERROR(INDEX('Total Customers'!$E$7:$AA$91,MATCH($C799,'Total Customers'!$C$7:$C$91,0),MATCH($G799,'Total Customers'!$E$5:$AA$5,0)),"NA")</f>
        <v>49971</v>
      </c>
      <c r="BC799" s="269">
        <f t="shared" si="1420"/>
        <v>5.7598874811330405E-3</v>
      </c>
      <c r="BD799" s="92"/>
      <c r="BE799" s="299" t="str">
        <f t="shared" si="1410"/>
        <v>OHIO GAS COMPANY</v>
      </c>
      <c r="BF799" s="300">
        <f t="shared" si="1411"/>
        <v>4064479</v>
      </c>
      <c r="BG799" s="231" t="str">
        <f t="shared" si="1412"/>
        <v>OH</v>
      </c>
      <c r="BH799" s="231"/>
      <c r="BI799" s="231" t="str">
        <f t="shared" si="1413"/>
        <v>2019 Y</v>
      </c>
      <c r="BJ799" s="129"/>
      <c r="BK799" s="129"/>
      <c r="BL799" s="129">
        <f>INDEX('Dist. Plant Gas Additions'!$E$7:$AD$91,MATCH($C799,'Dist. Plant Gas Additions'!$C$7:$C$91,0),MATCH(Calculation!$G799,'Dist. Plant Gas Additions'!$E$5:$AD$5,0))</f>
        <v>2362</v>
      </c>
      <c r="BM799" s="129">
        <f>INDEX('Gen. Plant Additions'!$E$7:$AD$91,MATCH($C799,'Gen. Plant Additions'!$C$7:$C$91,0),MATCH(Calculation!$G799,'Gen. Plant Additions'!$E$5:$AD$5,0))</f>
        <v>379</v>
      </c>
      <c r="BN799" s="301">
        <f t="shared" si="1421"/>
        <v>0.94783040929066076</v>
      </c>
      <c r="BO799" s="231">
        <f t="shared" si="1396"/>
        <v>359.2277251211604</v>
      </c>
      <c r="BP799" s="231">
        <f t="shared" si="1397"/>
        <v>-19.772274878839596</v>
      </c>
      <c r="BQ799" s="129">
        <f>INDEX('Dist Plant Depreciation'!$D$7:$AC$94,MATCH($C799,'Dist Plant Depreciation'!$C$7:$C$94,0),MATCH(Calculation!$G799,'Dist Plant Depreciation'!$D$5:$AC$5,0))</f>
        <v>57127</v>
      </c>
      <c r="BR799" s="129">
        <f>INDEX('Gen. Plant Depreciation'!$D$7:$AC$94,MATCH($C799,'Gen. Plant Depreciation'!$C$7:$C$94,0),MATCH(Calculation!$G799,'Gen. Plant Depreciation'!$D$5:$AC$5,0))</f>
        <v>3176</v>
      </c>
      <c r="BS799" s="129"/>
      <c r="BT799" s="129"/>
      <c r="BU799" s="129"/>
      <c r="BV799" s="129"/>
      <c r="BW799" s="129"/>
      <c r="BX799" s="129"/>
      <c r="BY799" s="129">
        <f>INDEX('Gross Dx Plant'!$D$7:$AC$91,MATCH($C799,'Gross Dx Plant'!$C$7:$C$91,0),MATCH(Calculation!$G799,'Gross Dx Plant'!$D$5:$AC$5,0))</f>
        <v>83901</v>
      </c>
      <c r="BZ799" s="129">
        <f>INDEX('Gross Gen Plant'!$D$7:$AC$91,MATCH($C799,'Gross Gen Plant'!$C$7:$C$91,0),MATCH(Calculation!$G799,'Gross Gen Plant'!$D$5:$AC$5,0))</f>
        <v>4618</v>
      </c>
      <c r="CA799" s="129">
        <f t="shared" si="1457"/>
        <v>28216</v>
      </c>
      <c r="CB799" s="129"/>
      <c r="CC799" s="133">
        <v>2019</v>
      </c>
      <c r="CD799" s="129"/>
      <c r="CE799" s="129"/>
      <c r="CF799" s="129"/>
      <c r="CG799" s="137"/>
      <c r="CH799" s="129">
        <f t="shared" si="1422"/>
        <v>2741</v>
      </c>
      <c r="CI799" s="46">
        <f t="shared" si="1431"/>
        <v>2721.2277251211603</v>
      </c>
      <c r="CJ799" s="231">
        <f t="shared" si="1423"/>
        <v>3.5178920222542973</v>
      </c>
      <c r="CK799" s="443">
        <v>0.7407407407407407</v>
      </c>
      <c r="CL799" s="231">
        <f>CL778*CK799+CJ779*CK798+CJ780*CK797+CJ781*CK796+CJ782*CK795+CJ783*CK794+CJ784*CK793+CJ785*CK792+CJ786*CK791+CJ787*CK790+CJ788*CK789+CJ789*CK788+CJ790*CK787+CJ791*CK786+CJ792*CK785+CJ793*CK784+CJ794*CK783+CJ795*CK782+CJ796*CK781+CJ797*CK780+CJ798*CK779+CJ799</f>
        <v>174.74358652965452</v>
      </c>
      <c r="CM799" s="134">
        <f t="shared" si="1424"/>
        <v>2.759192951561372E-3</v>
      </c>
      <c r="CN799" s="135">
        <f t="shared" si="1425"/>
        <v>1.7424358572175992E-2</v>
      </c>
      <c r="CO799" s="135">
        <f t="shared" si="1434"/>
        <v>1.689355160453393E-2</v>
      </c>
      <c r="CP799" s="134">
        <f>VLOOKUP($H799,RoR!$E:$F,2,FALSE)</f>
        <v>3.3875000000000009E-2</v>
      </c>
      <c r="CQ799" s="135">
        <v>1.8092492884465461E-2</v>
      </c>
      <c r="CR799" s="135">
        <f t="shared" si="1432"/>
        <v>1.5782507115534548E-2</v>
      </c>
      <c r="CS799" s="135">
        <f t="shared" si="1435"/>
        <v>1.4008390003999695E-2</v>
      </c>
      <c r="CT799" s="135">
        <f t="shared" si="1436"/>
        <v>4.8445665544254078E-2</v>
      </c>
      <c r="CU799" s="139">
        <f t="shared" si="1426"/>
        <v>0.92230000000000001</v>
      </c>
      <c r="CV799" s="335">
        <f t="shared" si="1427"/>
        <v>1.513861292459078</v>
      </c>
      <c r="CW799" s="335">
        <f t="shared" si="1428"/>
        <v>0.23699261992619944</v>
      </c>
      <c r="CX799" s="335">
        <f t="shared" si="1429"/>
        <v>0.73619765810468829</v>
      </c>
      <c r="CY799" s="335">
        <f t="shared" si="1430"/>
        <v>0.26412854465362851</v>
      </c>
      <c r="CZ799" s="336">
        <f>INDEX('State Tax Lookup'!$D$7:$Z$91,MATCH(Calculation!$C799,'State Tax Lookup'!$B$7:$B$91,0),MATCH($H799,'State Tax Lookup'!$D$6:$Z$6,0))</f>
        <v>0.20999999999999996</v>
      </c>
      <c r="DA799" s="302">
        <v>0.37</v>
      </c>
      <c r="DB799" s="57">
        <f t="shared" si="1433"/>
        <v>12.594175203159214</v>
      </c>
      <c r="DC799" s="56">
        <f t="shared" si="1437"/>
        <v>-1.233611072766881E-2</v>
      </c>
      <c r="DD799" s="303">
        <f>VLOOKUP($H799,RoR!$E:$F,2,FALSE)</f>
        <v>3.3875000000000009E-2</v>
      </c>
      <c r="DE799" s="304">
        <f>HLOOKUP($H799,'GDP-PI'!$D$8:$CQ$11,3,FALSE)</f>
        <v>1.8092492884465461E-2</v>
      </c>
      <c r="DF799" s="303">
        <f>VLOOKUP(H799,'HW Dx Data'!$E:$F,2,FALSE)</f>
        <v>773.53929793938721</v>
      </c>
      <c r="DG799" s="364">
        <f ca="1">VLOOKUP(CC799,'ECI - Input Price'!M$13:N$33,2,FALSE)</f>
        <v>149.67500000000001</v>
      </c>
      <c r="DH799" s="364"/>
      <c r="DI799" s="364"/>
      <c r="DJ799" s="56">
        <f t="shared" ca="1" si="1445"/>
        <v>3.5532849899171604E-2</v>
      </c>
      <c r="DK799" s="53">
        <f>HLOOKUP(H799,'GDP-PI'!$8:$9,2,FALSE)</f>
        <v>112.318</v>
      </c>
      <c r="DL799" s="355">
        <f t="shared" si="1438"/>
        <v>1.7930771451401852E-2</v>
      </c>
      <c r="EC799"/>
    </row>
    <row r="800" spans="1:133" s="126" customFormat="1" ht="21" customHeight="1" x14ac:dyDescent="0.4">
      <c r="A800" s="233" t="s">
        <v>228</v>
      </c>
      <c r="B800" s="126" t="s">
        <v>228</v>
      </c>
      <c r="C800" s="126">
        <v>4064479</v>
      </c>
      <c r="D800" s="126" t="s">
        <v>199</v>
      </c>
      <c r="G800" s="127" t="s">
        <v>176</v>
      </c>
      <c r="H800" s="128">
        <v>2020</v>
      </c>
      <c r="I800" s="129"/>
      <c r="J800" s="125">
        <f>IFERROR(INDEX('Labor Expenditures'!$E$7:$W$91,MATCH($C800,'Labor Expenditures'!$C$7:$C$91,0),MATCH($G800,'Labor Expenditures'!$E$5:$W$5,0)),"NA")</f>
        <v>2736.6087986368393</v>
      </c>
      <c r="K800" s="125">
        <f t="shared" ca="1" si="1439"/>
        <v>17.868813572555268</v>
      </c>
      <c r="L800" s="47"/>
      <c r="M800" s="131">
        <f t="shared" ca="1" si="1446"/>
        <v>-0.15454269018499059</v>
      </c>
      <c r="N800" s="131"/>
      <c r="O800" s="131"/>
      <c r="P800" s="59">
        <f t="shared" ca="1" si="1448"/>
        <v>-1.1887945676589714E-4</v>
      </c>
      <c r="Q800" s="61"/>
      <c r="R800" s="387"/>
      <c r="S800" s="49">
        <f t="shared" ca="1" si="1453"/>
        <v>117.14552376364699</v>
      </c>
      <c r="T800" s="61">
        <f ca="1">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</f>
        <v>4.1693007205631872E-3</v>
      </c>
      <c r="U800" s="61"/>
      <c r="V800" s="125">
        <f>IFERROR(INDEX('Non-Labor Expenditures'!$E$7:$AA$91,MATCH($C800,'Non-Labor Expenditures'!$C$7:$C$91,0),MATCH($G800,'Non-Labor Expenditures'!$E$5:$AA$5,0)),"NA")</f>
        <v>3963.1206684449871</v>
      </c>
      <c r="W800" s="125">
        <f t="shared" si="1440"/>
        <v>34.879563719009241</v>
      </c>
      <c r="X800" s="131">
        <f t="shared" si="1449"/>
        <v>-0.14314295044901537</v>
      </c>
      <c r="Y800" s="131">
        <f t="shared" si="1450"/>
        <v>-1.1011039194980555E-4</v>
      </c>
      <c r="Z800" s="131"/>
      <c r="AA800" s="131"/>
      <c r="AB800" s="131"/>
      <c r="AC800" s="125">
        <f t="shared" si="1419"/>
        <v>2224.9943742657601</v>
      </c>
      <c r="AD800" s="129"/>
      <c r="AE800" s="133">
        <v>198.19007316957649</v>
      </c>
      <c r="AF800" s="134">
        <v>1.3980949201168463E-2</v>
      </c>
      <c r="AG800" s="59">
        <f t="shared" si="1441"/>
        <v>1.0754618313664706E-5</v>
      </c>
      <c r="AH800" s="134"/>
      <c r="AI800" s="134"/>
      <c r="AJ800" s="129">
        <f t="shared" si="1458"/>
        <v>8924.7238413475861</v>
      </c>
      <c r="AK800" s="134">
        <f t="shared" si="1451"/>
        <v>-9.7292795132041129E-2</v>
      </c>
      <c r="AL800" s="129"/>
      <c r="AM800" s="129"/>
      <c r="AN800" s="129"/>
      <c r="AO800" s="129"/>
      <c r="AP800" s="133">
        <f t="shared" si="1452"/>
        <v>176.31870401935291</v>
      </c>
      <c r="AQ800" s="134">
        <f>+BB800/Outputs!$B$28</f>
        <v>1.3343714033007008E-3</v>
      </c>
      <c r="AR800" s="93">
        <f t="shared" si="1442"/>
        <v>0.30663232244322597</v>
      </c>
      <c r="AS800" s="93">
        <f t="shared" si="1443"/>
        <v>0.44406087391568821</v>
      </c>
      <c r="AT800" s="93">
        <f t="shared" si="1444"/>
        <v>0.24930680364108584</v>
      </c>
      <c r="AU800" s="93">
        <f t="shared" ca="1" si="1447"/>
        <v>-0.10958527226320171</v>
      </c>
      <c r="AV800" s="132">
        <f t="shared" ca="1" si="1455"/>
        <v>94.950951704238435</v>
      </c>
      <c r="AW800" s="134">
        <f t="shared" ca="1" si="1456"/>
        <v>-0.10958527226320175</v>
      </c>
      <c r="AX800" s="56">
        <f>+AJ800/$AL$25</f>
        <v>7.6923377368153835E-4</v>
      </c>
      <c r="AY800" s="135">
        <f t="shared" ca="1" si="1454"/>
        <v>-8.4296692522941493E-5</v>
      </c>
      <c r="AZ800" s="93"/>
      <c r="BA800" s="93"/>
      <c r="BB800" s="234">
        <f>IFERROR(INDEX('Total Customers'!$E$7:$AA$91,MATCH($C800,'Total Customers'!$C$7:$C$91,0),MATCH($G800,'Total Customers'!$E$5:$AA$5,0)),"NA")</f>
        <v>50617</v>
      </c>
      <c r="BC800" s="269">
        <f t="shared" si="1420"/>
        <v>1.2844651085047691E-2</v>
      </c>
      <c r="BD800" s="92"/>
      <c r="BE800" s="299" t="str">
        <f t="shared" si="1410"/>
        <v>OHIO GAS COMPANY</v>
      </c>
      <c r="BF800" s="300">
        <f t="shared" si="1411"/>
        <v>4064479</v>
      </c>
      <c r="BG800" s="231" t="str">
        <f t="shared" si="1412"/>
        <v>OH</v>
      </c>
      <c r="BH800" s="231"/>
      <c r="BI800" s="231" t="str">
        <f t="shared" si="1413"/>
        <v>2020 Y</v>
      </c>
      <c r="BJ800" s="129"/>
      <c r="BK800" s="129"/>
      <c r="BL800" s="129">
        <f>INDEX('Dist. Plant Gas Additions'!$E$7:$AD$91,MATCH($C800,'Dist. Plant Gas Additions'!$C$7:$C$91,0),MATCH(Calculation!$G800,'Dist. Plant Gas Additions'!$E$5:$AD$5,0))</f>
        <v>3191</v>
      </c>
      <c r="BM800" s="129">
        <f>INDEX('Gen. Plant Additions'!$E$7:$AD$91,MATCH($C800,'Gen. Plant Additions'!$C$7:$C$91,0),MATCH(Calculation!$G800,'Gen. Plant Additions'!$E$5:$AD$5,0))</f>
        <v>678</v>
      </c>
      <c r="BN800" s="301">
        <f t="shared" si="1421"/>
        <v>0.94593944430472487</v>
      </c>
      <c r="BO800" s="231">
        <f t="shared" si="1396"/>
        <v>641.34694323860344</v>
      </c>
      <c r="BP800" s="231">
        <f t="shared" si="1397"/>
        <v>-36.653056761396556</v>
      </c>
      <c r="BQ800" s="129">
        <f>INDEX('Dist Plant Depreciation'!$D$7:$AC$94,MATCH($C800,'Dist Plant Depreciation'!$C$7:$C$94,0),MATCH(Calculation!$G800,'Dist Plant Depreciation'!$D$5:$AC$5,0))</f>
        <v>58845</v>
      </c>
      <c r="BR800" s="129">
        <f>INDEX('Gen. Plant Depreciation'!$D$7:$AC$94,MATCH($C800,'Gen. Plant Depreciation'!$C$7:$C$94,0),MATCH(Calculation!$G800,'Gen. Plant Depreciation'!$D$5:$AC$5,0))</f>
        <v>3218</v>
      </c>
      <c r="BS800" s="129"/>
      <c r="BT800" s="129"/>
      <c r="BU800" s="129"/>
      <c r="BV800" s="129"/>
      <c r="BW800" s="129"/>
      <c r="BX800" s="129"/>
      <c r="BY800" s="129">
        <f>INDEX('Gross Dx Plant'!$D$7:$AC$91,MATCH($C800,'Gross Dx Plant'!$C$7:$C$91,0),MATCH(Calculation!$G800,'Gross Dx Plant'!$D$5:$AC$5,0))</f>
        <v>86509</v>
      </c>
      <c r="BZ800" s="129">
        <f>INDEX('Gross Gen Plant'!$D$7:$AC$91,MATCH($C800,'Gross Gen Plant'!$C$7:$C$91,0),MATCH(Calculation!$G800,'Gross Gen Plant'!$D$5:$AC$5,0))</f>
        <v>4944</v>
      </c>
      <c r="CA800" s="129">
        <f t="shared" si="1457"/>
        <v>29390</v>
      </c>
      <c r="CB800" s="129"/>
      <c r="CC800" s="133">
        <v>2020</v>
      </c>
      <c r="CD800" s="129"/>
      <c r="CE800" s="129"/>
      <c r="CF800" s="129"/>
      <c r="CG800" s="137"/>
      <c r="CH800" s="129">
        <f t="shared" si="1422"/>
        <v>3869</v>
      </c>
      <c r="CI800" s="46">
        <f t="shared" si="1431"/>
        <v>3832.3469432386037</v>
      </c>
      <c r="CJ800" s="231">
        <f t="shared" si="1423"/>
        <v>4.7133691365058228</v>
      </c>
      <c r="CK800" s="443">
        <v>0.72499999999999998</v>
      </c>
      <c r="CL800" s="231">
        <f>CL778*CK800+CJ779*CK799+CJ780*CK798+CJ781*CK797+CJ782*CK796+CJ783*CK795+CJ784*CK794+CJ785*CK793+CJ786*CK792+CJ787*CK791+CJ788*CK790+CJ789*CK789+CJ790*CK788+CJ791*CK787+CJ792*CK786+CJ793*CK785+CJ794*CK784+CJ795*CK783+CJ796*CK782+CJ797*CK781+CJ798*CK780+CJ799*CK779+CJ800</f>
        <v>176.31254567425378</v>
      </c>
      <c r="CM800" s="134">
        <f t="shared" si="1424"/>
        <v>8.938568206327142E-3</v>
      </c>
      <c r="CN800" s="135">
        <f t="shared" si="1425"/>
        <v>1.7994422881854637E-2</v>
      </c>
      <c r="CO800" s="135">
        <f t="shared" si="1434"/>
        <v>1.7432700072044061E-2</v>
      </c>
      <c r="CP800" s="134">
        <f>VLOOKUP($H800,RoR!$E:$F,2,FALSE)</f>
        <v>2.4766666666666666E-2</v>
      </c>
      <c r="CQ800" s="135">
        <v>1.1618796630994188E-2</v>
      </c>
      <c r="CR800" s="135">
        <f t="shared" si="1432"/>
        <v>1.3147870035672478E-2</v>
      </c>
      <c r="CS800" s="135">
        <f t="shared" si="1435"/>
        <v>1.3469241536489564E-2</v>
      </c>
      <c r="CT800" s="135">
        <f t="shared" si="1436"/>
        <v>4.5144642961987357E-2</v>
      </c>
      <c r="CU800" s="139">
        <f t="shared" si="1426"/>
        <v>0.92230000000000001</v>
      </c>
      <c r="CV800" s="335">
        <f t="shared" si="1427"/>
        <v>2.0706077233668081</v>
      </c>
      <c r="CW800" s="335">
        <f t="shared" si="1428"/>
        <v>-3.4421265141318998E-2</v>
      </c>
      <c r="CX800" s="335">
        <f t="shared" si="1429"/>
        <v>0.62416226176410472</v>
      </c>
      <c r="CY800" s="335">
        <f t="shared" si="1430"/>
        <v>-4.4485877841158712E-2</v>
      </c>
      <c r="CZ800" s="336">
        <f>INDEX('State Tax Lookup'!$D$7:$Z$91,MATCH(Calculation!$C800,'State Tax Lookup'!$B$7:$B$91,0),MATCH($H800,'State Tax Lookup'!$D$6:$Z$6,0))</f>
        <v>0.20999999999999996</v>
      </c>
      <c r="DA800" s="302">
        <v>0.37</v>
      </c>
      <c r="DB800" s="57">
        <f t="shared" si="1433"/>
        <v>12.732910079582073</v>
      </c>
      <c r="DC800" s="56">
        <f t="shared" si="1437"/>
        <v>1.0955564961557087E-2</v>
      </c>
      <c r="DD800" s="303">
        <f>VLOOKUP($H800,RoR!$E:$F,2,FALSE)</f>
        <v>2.4766666666666666E-2</v>
      </c>
      <c r="DE800" s="304">
        <f>HLOOKUP($H800,'GDP-PI'!$D$8:$CQ$11,3,FALSE)</f>
        <v>1.1618796630994188E-2</v>
      </c>
      <c r="DF800" s="303">
        <f>VLOOKUP(H800,'HW Dx Data'!$E:$F,2,FALSE)</f>
        <v>813.080162458833</v>
      </c>
      <c r="DG800" s="364">
        <f ca="1">VLOOKUP(CC800,'ECI - Input Price'!M$13:N$33,2,FALSE)</f>
        <v>153.15</v>
      </c>
      <c r="DH800" s="364"/>
      <c r="DI800" s="364"/>
      <c r="DJ800" s="56">
        <f t="shared" ca="1" si="1445"/>
        <v>2.2951556467368479E-2</v>
      </c>
      <c r="DK800" s="53">
        <f>HLOOKUP(H800,'GDP-PI'!$8:$9,2,FALSE)</f>
        <v>113.623</v>
      </c>
      <c r="DL800" s="355">
        <f t="shared" si="1438"/>
        <v>1.1551816731392881E-2</v>
      </c>
      <c r="EC800"/>
    </row>
    <row r="801" spans="1:133" s="126" customFormat="1" ht="21" customHeight="1" x14ac:dyDescent="0.4">
      <c r="A801" s="233" t="s">
        <v>228</v>
      </c>
      <c r="B801" s="126" t="s">
        <v>228</v>
      </c>
      <c r="C801" s="126">
        <v>4064479</v>
      </c>
      <c r="D801" s="126" t="s">
        <v>199</v>
      </c>
      <c r="G801" s="127" t="s">
        <v>177</v>
      </c>
      <c r="H801" s="128">
        <v>2021</v>
      </c>
      <c r="I801" s="129"/>
      <c r="J801" s="125">
        <v>2968.2976580963509</v>
      </c>
      <c r="K801" s="125">
        <f t="shared" ca="1" si="1439"/>
        <v>18.876296712854376</v>
      </c>
      <c r="L801" s="47"/>
      <c r="M801" s="130">
        <f t="shared" ca="1" si="1446"/>
        <v>5.4850057961411826E-2</v>
      </c>
      <c r="N801" s="130"/>
      <c r="O801" s="130"/>
      <c r="P801" s="59">
        <f t="shared" ca="1" si="1448"/>
        <v>4.250161468406571E-5</v>
      </c>
      <c r="Q801" s="61"/>
      <c r="R801" s="387"/>
      <c r="S801" s="132">
        <f ca="1">+S800*EXP(T801)</f>
        <v>120.57327695881376</v>
      </c>
      <c r="T801" s="134">
        <f ca="1">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</f>
        <v>2.8840720870361339E-2</v>
      </c>
      <c r="U801" s="134"/>
      <c r="V801" s="125">
        <v>4184.2268192442534</v>
      </c>
      <c r="W801" s="125">
        <f t="shared" si="1440"/>
        <v>35.312910956572317</v>
      </c>
      <c r="X801" s="131">
        <f t="shared" si="1449"/>
        <v>1.2347555640560009E-2</v>
      </c>
      <c r="Y801" s="131">
        <f t="shared" si="1450"/>
        <v>9.5677392445846683E-6</v>
      </c>
      <c r="Z801" s="131"/>
      <c r="AA801" s="131"/>
      <c r="AB801" s="131"/>
      <c r="AC801" s="125">
        <f t="shared" si="1419"/>
        <v>2800.8047103997292</v>
      </c>
      <c r="AD801" s="129"/>
      <c r="AE801" s="133">
        <v>201.44288763607867</v>
      </c>
      <c r="AF801" s="134"/>
      <c r="AG801" s="59">
        <f t="shared" si="1441"/>
        <v>0</v>
      </c>
      <c r="AH801" s="134"/>
      <c r="AI801" s="134"/>
      <c r="AJ801" s="129">
        <f t="shared" si="1458"/>
        <v>9953.3291877403335</v>
      </c>
      <c r="AK801" s="134">
        <f t="shared" si="1451"/>
        <v>0.10908170189881132</v>
      </c>
      <c r="AL801" s="129"/>
      <c r="AM801" s="134"/>
      <c r="AN801" s="134"/>
      <c r="AO801" s="134"/>
      <c r="AP801" s="133">
        <f t="shared" si="1452"/>
        <v>195.33183899325562</v>
      </c>
      <c r="AQ801" s="134">
        <f>+BB801/Outputs!$B$29</f>
        <v>1.3198890392995789E-3</v>
      </c>
      <c r="AR801" s="93">
        <f t="shared" si="1442"/>
        <v>0.29822159019440936</v>
      </c>
      <c r="AS801" s="93">
        <f t="shared" si="1443"/>
        <v>0.42038465123790231</v>
      </c>
      <c r="AT801" s="93">
        <f t="shared" si="1444"/>
        <v>0.28139375856768839</v>
      </c>
      <c r="AU801" s="93">
        <f t="shared" ca="1" si="1447"/>
        <v>2.1925030693214047E-2</v>
      </c>
      <c r="AV801" s="132">
        <f t="shared" ca="1" si="1455"/>
        <v>97.055743734630397</v>
      </c>
      <c r="AW801" s="134">
        <f t="shared" ca="1" si="1456"/>
        <v>2.1925030693214023E-2</v>
      </c>
      <c r="AX801" s="56">
        <f>+AJ801/$AL$26</f>
        <v>7.7486909337391209E-4</v>
      </c>
      <c r="AY801" s="135">
        <f t="shared" ca="1" si="1454"/>
        <v>1.6989028655445946E-5</v>
      </c>
      <c r="AZ801" s="93"/>
      <c r="BA801" s="93"/>
      <c r="BB801" s="234">
        <f>INDEX('Total Customers'!$D$7:$D$91,MATCH(Calculation!$C801,'Total Customers'!$C$7:$C$91,0))</f>
        <v>50956</v>
      </c>
      <c r="BC801" s="269">
        <f t="shared" si="1420"/>
        <v>6.6750269994123503E-3</v>
      </c>
      <c r="BD801" s="91"/>
      <c r="BE801" s="299" t="str">
        <f t="shared" si="1410"/>
        <v>OHIO GAS COMPANY</v>
      </c>
      <c r="BF801" s="300">
        <f t="shared" si="1411"/>
        <v>4064479</v>
      </c>
      <c r="BG801" s="231" t="str">
        <f t="shared" si="1412"/>
        <v>OH</v>
      </c>
      <c r="BH801" s="231"/>
      <c r="BI801" s="231" t="str">
        <f t="shared" si="1413"/>
        <v>2021 Y</v>
      </c>
      <c r="BJ801" s="129"/>
      <c r="BK801" s="129"/>
      <c r="BL801" s="129">
        <f>INDEX('Dist. Plant Gas Additions'!$D$7:$AD$91,MATCH($C801,'Dist. Plant Gas Additions'!$C$7:$C$91,0),MATCH(Calculation!$G801,'Dist. Plant Gas Additions'!$D$5:$AD$5,0))</f>
        <v>2084</v>
      </c>
      <c r="BM801" s="129">
        <f>INDEX('Gen. Plant Additions'!$D$7:$AD$91,MATCH($C801,'Gen. Plant Additions'!$C$7:$C$91,0),MATCH(Calculation!$G801,'Gen. Plant Additions'!$D$5:$AD$5,0))</f>
        <v>1998</v>
      </c>
      <c r="BN801" s="343">
        <v>0.94593944430472487</v>
      </c>
      <c r="BO801" s="231">
        <f t="shared" si="1396"/>
        <v>1889.9870097208402</v>
      </c>
      <c r="BP801" s="231">
        <f t="shared" si="1397"/>
        <v>-108.01299027915979</v>
      </c>
      <c r="BQ801" s="129"/>
      <c r="BR801" s="129"/>
      <c r="BS801" s="137"/>
      <c r="BT801" s="137"/>
      <c r="BU801" s="333"/>
      <c r="BV801" s="93"/>
      <c r="BW801" s="334"/>
      <c r="BX801" s="334"/>
      <c r="BY801" s="129"/>
      <c r="BZ801" s="129"/>
      <c r="CA801" s="129"/>
      <c r="CB801" s="129"/>
      <c r="CC801" s="133">
        <v>2021</v>
      </c>
      <c r="CD801" s="129"/>
      <c r="CE801" s="129"/>
      <c r="CF801" s="129"/>
      <c r="CG801" s="137"/>
      <c r="CH801" s="129">
        <f t="shared" si="1422"/>
        <v>4082</v>
      </c>
      <c r="CI801" s="46">
        <f t="shared" si="1431"/>
        <v>3973.9870097208404</v>
      </c>
      <c r="CJ801" s="231">
        <f t="shared" si="1423"/>
        <v>4.259261714543257</v>
      </c>
      <c r="CK801" s="443">
        <v>0.70886075949367089</v>
      </c>
      <c r="CL801" s="129">
        <f>CL778*CK801+CJ779*CK800+CJ780*CK799+CJ781*CK798+CJ782*CK797+CJ783*CK796+CJ784*CK795+CJ785*CK794+CJ786*CK793+CJ787*CK792+CJ788*CK791+CJ789*CK790+CJ790*CK789+CJ791*CK788+CJ792*CK787+CJ783*CK786+CJ794*CK785+CJ795*CK784+CJ796*CK783+CJ797*CK782+CJ798*CK781+CJ799*CK780+CJ801+CJ800*CK779</f>
        <v>178.22729648846448</v>
      </c>
      <c r="CM801" s="134"/>
      <c r="CN801" s="135">
        <f t="shared" si="1425"/>
        <v>1.3297470644341816E-2</v>
      </c>
      <c r="CO801" s="135">
        <f t="shared" si="1434"/>
        <v>1.6238750699457485E-2</v>
      </c>
      <c r="CP801" s="134">
        <f>VLOOKUP($H801,RoR!$E:$F,2,FALSE)</f>
        <v>2.7033333333333336E-2</v>
      </c>
      <c r="CQ801" s="135"/>
      <c r="CR801" s="135"/>
      <c r="CS801" s="135">
        <f t="shared" si="1435"/>
        <v>1.466319090907614E-2</v>
      </c>
      <c r="CT801" s="135">
        <f t="shared" si="1436"/>
        <v>7.433422950153494E-2</v>
      </c>
      <c r="CU801" s="139">
        <f t="shared" si="1426"/>
        <v>0.92230000000000001</v>
      </c>
      <c r="CV801" s="335">
        <f t="shared" si="1427"/>
        <v>1.8969932656739068</v>
      </c>
      <c r="CW801" s="335">
        <f t="shared" si="1428"/>
        <v>5.0215782983970621E-2</v>
      </c>
      <c r="CX801" s="335">
        <f t="shared" si="1429"/>
        <v>0.655952481704143</v>
      </c>
      <c r="CY801" s="335">
        <f t="shared" si="1430"/>
        <v>6.2485378865697057E-2</v>
      </c>
      <c r="CZ801" s="336">
        <f>CZ800</f>
        <v>0.20999999999999996</v>
      </c>
      <c r="DA801" s="302">
        <v>0.37</v>
      </c>
      <c r="DB801" s="141">
        <f t="shared" si="1433"/>
        <v>15.885453299360531</v>
      </c>
      <c r="DC801" s="135">
        <f t="shared" si="1437"/>
        <v>0.22121381706055512</v>
      </c>
      <c r="DD801" s="336">
        <f>VLOOKUP($H801,RoR!$E:$F,2,FALSE)</f>
        <v>2.7033333333333336E-2</v>
      </c>
      <c r="DE801" s="342">
        <f>HLOOKUP($H801,'GDP-PI'!$D$8:$CR$11,3,FALSE)</f>
        <v>4.2834637353352578E-2</v>
      </c>
      <c r="DF801" s="336">
        <f>VLOOKUP(H801,'HW Dx Data'!$E:$F,2,FALSE)</f>
        <v>933.02249921662576</v>
      </c>
      <c r="DG801" s="364">
        <f ca="1">VLOOKUP(CC801,'ECI - Input Price'!M$13:N$33,2,FALSE)</f>
        <v>157.25</v>
      </c>
      <c r="DH801" s="364"/>
      <c r="DI801" s="364"/>
      <c r="DJ801" s="135">
        <f t="shared" ca="1" si="1445"/>
        <v>2.6419062301765574E-2</v>
      </c>
      <c r="DK801" s="137">
        <f>HLOOKUP(H801,'GDP-PI'!$8:$9,2,FALSE)</f>
        <v>118.49</v>
      </c>
      <c r="DL801" s="356">
        <f t="shared" si="1438"/>
        <v>4.194261824609434E-2</v>
      </c>
      <c r="EC801"/>
    </row>
    <row r="802" spans="1:133" s="126" customFormat="1" ht="21" customHeight="1" thickBot="1" x14ac:dyDescent="0.45">
      <c r="A802" s="235"/>
      <c r="B802" s="236"/>
      <c r="C802" s="236"/>
      <c r="D802" s="236"/>
      <c r="E802" s="236"/>
      <c r="F802" s="236"/>
      <c r="G802" s="237" t="s">
        <v>178</v>
      </c>
      <c r="H802" s="238"/>
      <c r="I802" s="239"/>
      <c r="J802" s="240">
        <v>3171.0498084459828</v>
      </c>
      <c r="K802" s="240">
        <f t="shared" ca="1" si="1439"/>
        <v>19.50815015961847</v>
      </c>
      <c r="L802" s="47"/>
      <c r="M802" s="241">
        <f t="shared" ref="M802" ca="1" si="1459">LN(K802/K801)</f>
        <v>3.2925342359430516E-2</v>
      </c>
      <c r="N802" s="241"/>
      <c r="O802" s="241"/>
      <c r="P802" s="242">
        <f t="shared" ca="1" si="1448"/>
        <v>2.5580107161442093E-5</v>
      </c>
      <c r="Q802" s="61"/>
      <c r="R802" s="387"/>
      <c r="S802" s="206">
        <f ca="1">+S801*EXP(T802)</f>
        <v>118.20827436833851</v>
      </c>
      <c r="T802" s="243">
        <f ca="1">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</f>
        <v>-1.980957001214044E-2</v>
      </c>
      <c r="U802" s="243"/>
      <c r="V802" s="239">
        <v>4470.0340673274695</v>
      </c>
      <c r="W802" s="240">
        <f t="shared" si="1440"/>
        <v>35.12796909491135</v>
      </c>
      <c r="X802" s="244">
        <f t="shared" ref="X802" si="1460">LN(W802/W801)</f>
        <v>-5.2509930731887249E-3</v>
      </c>
      <c r="Y802" s="244">
        <f t="shared" si="1450"/>
        <v>-4.0795616959677668E-6</v>
      </c>
      <c r="Z802" s="206"/>
      <c r="AA802" s="243"/>
      <c r="AB802" s="243"/>
      <c r="AC802" s="240">
        <f t="shared" si="1419"/>
        <v>2639.5044231452198</v>
      </c>
      <c r="AD802" s="243"/>
      <c r="AE802" s="245">
        <v>202.18294113247427</v>
      </c>
      <c r="AF802" s="243">
        <v>3.6670315571842773E-3</v>
      </c>
      <c r="AG802" s="242">
        <f t="shared" si="1441"/>
        <v>2.8489623334257143E-6</v>
      </c>
      <c r="AH802" s="206"/>
      <c r="AI802" s="243"/>
      <c r="AJ802" s="239">
        <f t="shared" si="1458"/>
        <v>10280.588298918672</v>
      </c>
      <c r="AK802" s="243">
        <f t="shared" si="1451"/>
        <v>3.2350398970991116E-2</v>
      </c>
      <c r="AL802" s="239"/>
      <c r="AM802" s="243"/>
      <c r="AN802" s="243"/>
      <c r="AO802" s="243"/>
      <c r="AP802" s="245">
        <f t="shared" si="1452"/>
        <v>200.7221738240203</v>
      </c>
      <c r="AQ802" s="243"/>
      <c r="AR802" s="207">
        <f t="shared" si="1442"/>
        <v>0.30845022835702102</v>
      </c>
      <c r="AS802" s="207">
        <f t="shared" si="1443"/>
        <v>0.43480333394905374</v>
      </c>
      <c r="AT802" s="207">
        <f t="shared" si="1444"/>
        <v>0.25674643769392524</v>
      </c>
      <c r="AU802" s="207"/>
      <c r="AV802" s="206"/>
      <c r="AW802" s="243"/>
      <c r="AX802" s="248">
        <f>+AJ802/$AL$27</f>
        <v>7.769124123963864E-4</v>
      </c>
      <c r="AY802" s="249"/>
      <c r="AZ802" s="206"/>
      <c r="BA802" s="243"/>
      <c r="BB802" s="250">
        <v>51218</v>
      </c>
      <c r="BC802" s="270">
        <f t="shared" si="1420"/>
        <v>5.1285175143061384E-3</v>
      </c>
      <c r="BD802" s="91"/>
      <c r="BE802" s="306">
        <f t="shared" si="1410"/>
        <v>0</v>
      </c>
      <c r="BF802" s="307">
        <f t="shared" si="1411"/>
        <v>0</v>
      </c>
      <c r="BG802" s="308">
        <f t="shared" si="1412"/>
        <v>0</v>
      </c>
      <c r="BH802" s="308"/>
      <c r="BI802" s="308" t="str">
        <f t="shared" si="1413"/>
        <v>2022Y</v>
      </c>
      <c r="BJ802" s="239"/>
      <c r="BK802" s="239"/>
      <c r="BL802" s="239"/>
      <c r="BM802" s="239"/>
      <c r="BN802" s="337">
        <v>0.94593944430472487</v>
      </c>
      <c r="BO802" s="308">
        <f t="shared" si="1396"/>
        <v>0</v>
      </c>
      <c r="BP802" s="308">
        <f t="shared" si="1397"/>
        <v>0</v>
      </c>
      <c r="BQ802" s="239"/>
      <c r="BR802" s="239"/>
      <c r="BS802" s="310"/>
      <c r="BT802" s="310"/>
      <c r="BU802" s="311"/>
      <c r="BV802" s="207"/>
      <c r="BW802" s="312"/>
      <c r="BX802" s="312"/>
      <c r="BY802" s="239"/>
      <c r="BZ802" s="239"/>
      <c r="CA802" s="239"/>
      <c r="CB802" s="239"/>
      <c r="CC802" s="245">
        <v>2022</v>
      </c>
      <c r="CD802" s="239"/>
      <c r="CE802" s="239"/>
      <c r="CF802" s="239"/>
      <c r="CG802" s="310"/>
      <c r="CH802" s="239">
        <v>4011</v>
      </c>
      <c r="CI802" s="313">
        <f t="shared" si="1431"/>
        <v>4011</v>
      </c>
      <c r="CJ802" s="308">
        <f t="shared" si="1423"/>
        <v>3.8911147544164302</v>
      </c>
      <c r="CK802" s="443">
        <v>0.69230769230769229</v>
      </c>
      <c r="CL802" s="239">
        <f>+CL778*CK802+CJ779*CK801+CJ780*CK800+CJ781*CK799+CJ782*CK798+CJ783*CK797+CJ784*CK796+CJ785*CK795+CJ786*CK794+CJ787*CK793+CJ788*CK792+CJ789*CK791+CJ790*CK790+CJ791*CK789+CJ792*CK788+CJ793*CK787+CJ794*CK786+CJ795*CK785+CJ796*CK784+CJ797*CK783+CJ798*CK782+CJ799*CK781+CJ800*CK780+CJ801*CK779+CJ802*CK778</f>
        <v>177.80514647656375</v>
      </c>
      <c r="CM802" s="243">
        <f t="shared" ref="CM802" si="1461">LN(CL802/CL801)</f>
        <v>-2.3714142802201896E-3</v>
      </c>
      <c r="CN802" s="249">
        <f t="shared" si="1425"/>
        <v>2.4200921246630289E-2</v>
      </c>
      <c r="CO802" s="249">
        <f t="shared" si="1434"/>
        <v>1.8497604924275584E-2</v>
      </c>
      <c r="CP802" s="243"/>
      <c r="CQ802" s="249"/>
      <c r="CR802" s="249"/>
      <c r="CS802" s="248">
        <f t="shared" si="1435"/>
        <v>1.2404336684258041E-2</v>
      </c>
      <c r="CT802" s="249">
        <f t="shared" si="1436"/>
        <v>0.10114668178709289</v>
      </c>
      <c r="CU802" s="314">
        <f t="shared" ref="CU802" si="1462">1-CZ802*DA802</f>
        <v>0.92230000000000001</v>
      </c>
      <c r="CV802" s="315">
        <f t="shared" ref="CV802" si="1463">2/(DD802*39)</f>
        <v>1.2820512820512819</v>
      </c>
      <c r="CW802" s="315">
        <f t="shared" ref="CW802" si="1464">+(DD802*40-(1+DD802))/(DD802*40)</f>
        <v>0.35000000000000003</v>
      </c>
      <c r="CX802" s="315">
        <f t="shared" ref="CX802" si="1465">+(1-(1/(1+DD802)^40))</f>
        <v>0.79171095533705893</v>
      </c>
      <c r="CY802" s="315">
        <f t="shared" ref="CY802" si="1466">+CX802*CW802*CV802</f>
        <v>0.35525491585637264</v>
      </c>
      <c r="CZ802" s="316">
        <f>CZ801</f>
        <v>0.20999999999999996</v>
      </c>
      <c r="DA802" s="317">
        <v>0.37</v>
      </c>
      <c r="DB802" s="318">
        <f t="shared" si="1433"/>
        <v>14.809765255660814</v>
      </c>
      <c r="DC802" s="249">
        <f t="shared" si="1437"/>
        <v>-7.0117025869306973E-2</v>
      </c>
      <c r="DD802" s="316">
        <v>0.04</v>
      </c>
      <c r="DE802" s="319">
        <v>7.0000000000000001E-3</v>
      </c>
      <c r="DF802" s="316">
        <v>1030.81</v>
      </c>
      <c r="DG802" s="364">
        <f ca="1">VLOOKUP(CC802,'ECI - Input Price'!M$13:N$33,2,FALSE)</f>
        <v>162.55000000000001</v>
      </c>
      <c r="DH802" s="364"/>
      <c r="DI802" s="364"/>
      <c r="DJ802" s="249">
        <f t="shared" ca="1" si="1445"/>
        <v>3.3148751169364422E-2</v>
      </c>
      <c r="DK802" s="310">
        <v>127.25</v>
      </c>
      <c r="DL802" s="357">
        <f t="shared" si="1438"/>
        <v>7.1325086601983473E-2</v>
      </c>
      <c r="EC802"/>
    </row>
    <row r="803" spans="1:133" s="126" customFormat="1" ht="21" customHeight="1" x14ac:dyDescent="0.4">
      <c r="A803" s="251" t="s">
        <v>229</v>
      </c>
      <c r="B803" s="252" t="s">
        <v>229</v>
      </c>
      <c r="C803" s="252">
        <v>4057093</v>
      </c>
      <c r="D803" s="252" t="s">
        <v>194</v>
      </c>
      <c r="E803" s="252" t="s">
        <v>15</v>
      </c>
      <c r="F803" s="252"/>
      <c r="G803" s="252" t="s">
        <v>150</v>
      </c>
      <c r="H803" s="253">
        <v>1998</v>
      </c>
      <c r="I803" s="254"/>
      <c r="J803" s="255"/>
      <c r="K803" s="255"/>
      <c r="L803" s="47"/>
      <c r="M803" s="255"/>
      <c r="N803" s="255"/>
      <c r="O803" s="255"/>
      <c r="P803" s="219"/>
      <c r="Q803" s="218"/>
      <c r="R803" s="385"/>
      <c r="S803" s="257"/>
      <c r="T803" s="258"/>
      <c r="U803" s="258"/>
      <c r="V803" s="255"/>
      <c r="W803" s="255"/>
      <c r="X803" s="255"/>
      <c r="Y803" s="255"/>
      <c r="Z803" s="255"/>
      <c r="AA803" s="255"/>
      <c r="AB803" s="255"/>
      <c r="AC803" s="255"/>
      <c r="AD803" s="254"/>
      <c r="AE803" s="260">
        <v>777.65435507983364</v>
      </c>
      <c r="AF803" s="256"/>
      <c r="AG803" s="225"/>
      <c r="AH803" s="256"/>
      <c r="AI803" s="256"/>
      <c r="AJ803" s="254">
        <f t="shared" si="1458"/>
        <v>0</v>
      </c>
      <c r="AK803" s="254"/>
      <c r="AL803" s="254"/>
      <c r="AM803" s="256"/>
      <c r="AN803" s="256"/>
      <c r="AO803" s="256"/>
      <c r="AP803" s="226">
        <f>+(AP800+AP801+AP802)/3</f>
        <v>190.7909056122096</v>
      </c>
      <c r="AQ803" s="256"/>
      <c r="AR803" s="261"/>
      <c r="AS803" s="261"/>
      <c r="AT803" s="261"/>
      <c r="AU803" s="261"/>
      <c r="AV803" s="261"/>
      <c r="AW803" s="256">
        <f ca="1">AVERAGE(AW812:AW826)</f>
        <v>1.3968593941144943E-2</v>
      </c>
      <c r="AX803" s="223"/>
      <c r="AY803" s="261"/>
      <c r="AZ803" s="261"/>
      <c r="BA803" s="261"/>
      <c r="BB803" s="262">
        <f>IFERROR(INDEX('Total Customers'!$E$7:$AA$91,MATCH($C803,'Total Customers'!$C$7:$C$91,0),MATCH($G803,'Total Customers'!$E$5:$AA$5,0)),"NA")</f>
        <v>115758</v>
      </c>
      <c r="BC803" s="268"/>
      <c r="BD803" s="92"/>
      <c r="BE803" s="320" t="str">
        <f t="shared" si="1410"/>
        <v>ORANGE AND ROCKLAND UTILITIES, INC.</v>
      </c>
      <c r="BF803" s="321">
        <f t="shared" si="1411"/>
        <v>4057093</v>
      </c>
      <c r="BG803" s="322" t="str">
        <f t="shared" si="1412"/>
        <v>NY</v>
      </c>
      <c r="BH803" s="322"/>
      <c r="BI803" s="322" t="str">
        <f t="shared" si="1413"/>
        <v>1998 Y</v>
      </c>
      <c r="BJ803" s="254">
        <f>INDEX('Gross Dx Plant'!$D$7:$AC$91,MATCH($C803,'Gross Dx Plant'!$C$7:$C$91,0),MATCH(Calculation!$G803,'Gross Dx Plant'!$D$5:$AC$5,0))</f>
        <v>232172</v>
      </c>
      <c r="BK803" s="254">
        <f>INDEX('Gross Gen Plant'!$D$7:$AC$91,MATCH($C803,'Gross Gen Plant'!$C$7:$C$91,0),MATCH(Calculation!$G803,'Gross Gen Plant'!$D$5:$AC$5,0))</f>
        <v>8109</v>
      </c>
      <c r="BL803" s="254">
        <f>INDEX('Dist. Plant Gas Additions'!$E$7:$AD$91,MATCH($C803,'Dist. Plant Gas Additions'!$C$7:$C$91,0),MATCH(Calculation!$G803,'Dist. Plant Gas Additions'!$E$5:$AD$5,0))</f>
        <v>14717</v>
      </c>
      <c r="BM803" s="254">
        <f>INDEX('Gen. Plant Additions'!$E$7:$AD$91,MATCH($C803,'Gen. Plant Additions'!$C$7:$C$91,0),MATCH(Calculation!$G803,'Gen. Plant Additions'!$E$5:$AD$5,0))</f>
        <v>692</v>
      </c>
      <c r="BN803" s="338">
        <f>+(BY803/(BY803+BZ803))</f>
        <v>0.96625201326779897</v>
      </c>
      <c r="BO803" s="322">
        <f t="shared" si="1396"/>
        <v>668.64639318131685</v>
      </c>
      <c r="BP803" s="322">
        <f t="shared" si="1397"/>
        <v>-23.353606818683147</v>
      </c>
      <c r="BQ803" s="254">
        <f>INDEX('Dist Plant Depreciation'!$D$7:$AC$94,MATCH($C803,'Dist Plant Depreciation'!$C$7:$C$94,0),MATCH(Calculation!$G803,'Dist Plant Depreciation'!$D$5:$AC$5,0))</f>
        <v>76852</v>
      </c>
      <c r="BR803" s="254">
        <f>INDEX('Gen. Plant Depreciation'!$D$7:$AC$94,MATCH($C803,'Gen. Plant Depreciation'!$C$7:$C$94,0),MATCH(Calculation!$G803,'Gen. Plant Depreciation'!$D$5:$AC$5,0))</f>
        <v>6561</v>
      </c>
      <c r="BS803" s="254"/>
      <c r="BT803" s="254"/>
      <c r="BU803" s="254"/>
      <c r="BV803" s="254"/>
      <c r="BW803" s="254"/>
      <c r="BX803" s="323"/>
      <c r="BY803" s="254">
        <f>INDEX('Gross Dx Plant'!$D$7:$AC$91,MATCH($C803,'Gross Dx Plant'!$C$7:$C$91,0),MATCH(Calculation!$G803,'Gross Dx Plant'!$D$5:$AC$5,0))</f>
        <v>232172</v>
      </c>
      <c r="BZ803" s="254">
        <f>INDEX('Gross Gen Plant'!$D$7:$AC$91,MATCH($C803,'Gross Gen Plant'!$C$7:$C$91,0),MATCH(Calculation!$G803,'Gross Gen Plant'!$D$5:$AC$5,0))</f>
        <v>8109</v>
      </c>
      <c r="CA803" s="254">
        <f t="shared" si="1457"/>
        <v>156868</v>
      </c>
      <c r="CB803" s="254"/>
      <c r="CC803" s="260">
        <v>1998</v>
      </c>
      <c r="CD803" s="254">
        <f>BJ803+BK803</f>
        <v>240281</v>
      </c>
      <c r="CE803" s="254">
        <f>76852+6561</f>
        <v>83413</v>
      </c>
      <c r="CF803" s="254">
        <f>+CD803-CE803</f>
        <v>156868</v>
      </c>
      <c r="CG803" s="254">
        <f>CF803/$BX$3</f>
        <v>777.65435507983364</v>
      </c>
      <c r="CH803" s="323"/>
      <c r="CI803" s="344"/>
      <c r="CJ803" s="344"/>
      <c r="CK803" s="443">
        <v>1</v>
      </c>
      <c r="CL803" s="254">
        <f>+CG803</f>
        <v>777.65435507983364</v>
      </c>
      <c r="CM803" s="256"/>
      <c r="CN803" s="325"/>
      <c r="CO803" s="325"/>
      <c r="CP803" s="256" t="e">
        <f>VLOOKUP($H803,RoR!$E:$F,2,FALSE)</f>
        <v>#N/A</v>
      </c>
      <c r="CQ803" s="325">
        <v>1.1028127770464469E-2</v>
      </c>
      <c r="CR803" s="325"/>
      <c r="CS803" s="325"/>
      <c r="CT803" s="325"/>
      <c r="CU803" s="327"/>
      <c r="CV803" s="331" t="e">
        <f>2/(DD803*39)</f>
        <v>#N/A</v>
      </c>
      <c r="CW803" s="328" t="e">
        <f>+(DD803*40-(1+DD803))/(DD803*40)</f>
        <v>#N/A</v>
      </c>
      <c r="CX803" s="328" t="e">
        <f>+(1-(1/(1+DD803)^40))</f>
        <v>#N/A</v>
      </c>
      <c r="CY803" s="328" t="e">
        <f>+CX803*CW803*CV803</f>
        <v>#N/A</v>
      </c>
      <c r="CZ803" s="329">
        <f>INDEX('State Tax Lookup'!$D$7:$Z$91,MATCH(Calculation!$C803,'State Tax Lookup'!$B$7:$B$91,0),MATCH($H803,'State Tax Lookup'!$D$6:$Z$6,0))</f>
        <v>0.39649667</v>
      </c>
      <c r="DA803" s="330">
        <v>0.37</v>
      </c>
      <c r="DB803" s="344"/>
      <c r="DC803" s="326"/>
      <c r="DD803" s="351" t="e">
        <f>VLOOKUP($H803,RoR!$E:$F,2,FALSE)</f>
        <v>#N/A</v>
      </c>
      <c r="DE803" s="354">
        <f>HLOOKUP($H803,'GDP-PI'!$D$8:$CQ$11,3,FALSE)</f>
        <v>1.1028127770464469E-2</v>
      </c>
      <c r="DF803" s="351">
        <f>VLOOKUP(H803,'HW Dx Data'!$E:$F,2,FALSE)</f>
        <v>329.24564746449528</v>
      </c>
      <c r="DG803" s="330"/>
      <c r="DH803" s="330"/>
      <c r="DI803" s="330"/>
      <c r="DJ803" s="326"/>
      <c r="DK803" s="344">
        <f>HLOOKUP(H803,'GDP-PI'!$8:$9,2,FALSE)</f>
        <v>75.266999999999996</v>
      </c>
      <c r="DL803" s="292"/>
      <c r="EC803"/>
    </row>
    <row r="804" spans="1:133" s="126" customFormat="1" ht="21" customHeight="1" x14ac:dyDescent="0.4">
      <c r="A804" s="233" t="s">
        <v>229</v>
      </c>
      <c r="B804" s="127" t="s">
        <v>229</v>
      </c>
      <c r="C804" s="127">
        <v>4057093</v>
      </c>
      <c r="D804" s="127" t="s">
        <v>194</v>
      </c>
      <c r="E804" s="127" t="s">
        <v>15</v>
      </c>
      <c r="F804" s="127"/>
      <c r="G804" s="127" t="s">
        <v>155</v>
      </c>
      <c r="H804" s="128">
        <v>1999</v>
      </c>
      <c r="I804" s="129"/>
      <c r="J804" s="125"/>
      <c r="K804" s="125"/>
      <c r="L804" s="47"/>
      <c r="M804" s="125"/>
      <c r="N804" s="125"/>
      <c r="O804" s="125"/>
      <c r="P804" s="47"/>
      <c r="Q804" s="47"/>
      <c r="R804" s="386"/>
      <c r="S804" s="119"/>
      <c r="T804" s="47"/>
      <c r="U804" s="47"/>
      <c r="V804" s="125"/>
      <c r="W804" s="125"/>
      <c r="X804" s="125"/>
      <c r="Y804" s="143"/>
      <c r="Z804" s="125"/>
      <c r="AA804" s="125"/>
      <c r="AB804" s="125"/>
      <c r="AC804" s="125">
        <f t="shared" ref="AC804:AC825" si="1467">+CL803*DB804</f>
        <v>0</v>
      </c>
      <c r="AD804" s="129"/>
      <c r="AE804" s="133">
        <v>825.85133547547071</v>
      </c>
      <c r="AF804" s="134">
        <v>6.0132624274547714E-2</v>
      </c>
      <c r="AG804" s="61"/>
      <c r="AH804" s="134"/>
      <c r="AI804" s="134"/>
      <c r="AJ804" s="129">
        <f t="shared" si="1458"/>
        <v>0</v>
      </c>
      <c r="AK804" s="134"/>
      <c r="AL804" s="129"/>
      <c r="AM804" s="134"/>
      <c r="AN804" s="134"/>
      <c r="AO804" s="134"/>
      <c r="AP804" s="133"/>
      <c r="AQ804" s="134"/>
      <c r="AR804" s="93"/>
      <c r="AS804" s="93"/>
      <c r="AT804" s="93"/>
      <c r="AU804" s="93"/>
      <c r="AV804" s="93"/>
      <c r="AW804" s="134"/>
      <c r="AX804" s="62"/>
      <c r="AY804" s="93"/>
      <c r="AZ804" s="93"/>
      <c r="BA804" s="93"/>
      <c r="BB804" s="234">
        <f>IFERROR(INDEX('Total Customers'!$E$7:$AA$91,MATCH($C804,'Total Customers'!$C$7:$C$91,0),MATCH($G804,'Total Customers'!$E$5:$AA$5,0)),"NA")</f>
        <v>114015</v>
      </c>
      <c r="BC804" s="269">
        <f t="shared" si="1420"/>
        <v>-1.517178636277733E-2</v>
      </c>
      <c r="BD804" s="92"/>
      <c r="BE804" s="299" t="str">
        <f t="shared" si="1410"/>
        <v>ORANGE AND ROCKLAND UTILITIES, INC.</v>
      </c>
      <c r="BF804" s="300">
        <f t="shared" si="1411"/>
        <v>4057093</v>
      </c>
      <c r="BG804" s="231" t="str">
        <f t="shared" si="1412"/>
        <v>NY</v>
      </c>
      <c r="BH804" s="231"/>
      <c r="BI804" s="231" t="str">
        <f t="shared" si="1413"/>
        <v>1999 Y</v>
      </c>
      <c r="BJ804" s="129"/>
      <c r="BK804" s="129"/>
      <c r="BL804" s="129">
        <f>INDEX('Dist. Plant Gas Additions'!$E$7:$AD$91,MATCH($C804,'Dist. Plant Gas Additions'!$C$7:$C$91,0),MATCH(Calculation!$G804,'Dist. Plant Gas Additions'!$E$5:$AD$5,0))</f>
        <v>17400</v>
      </c>
      <c r="BM804" s="129">
        <f>INDEX('Gen. Plant Additions'!$E$7:$AD$91,MATCH($C804,'Gen. Plant Additions'!$C$7:$C$91,0),MATCH(Calculation!$G804,'Gen. Plant Additions'!$E$5:$AD$5,0))</f>
        <v>59</v>
      </c>
      <c r="BN804" s="301">
        <f t="shared" ref="BN804:BN825" si="1468">+(BY804/(BY804+BZ804))</f>
        <v>0.96817205512070725</v>
      </c>
      <c r="BO804" s="231">
        <f t="shared" si="1396"/>
        <v>57.122151252121725</v>
      </c>
      <c r="BP804" s="231">
        <f t="shared" si="1397"/>
        <v>-1.877848747878275</v>
      </c>
      <c r="BQ804" s="129">
        <f>INDEX('Dist Plant Depreciation'!$D$7:$AC$94,MATCH($C804,'Dist Plant Depreciation'!$C$7:$C$94,0),MATCH(Calculation!$G804,'Dist Plant Depreciation'!$D$5:$AC$5,0))</f>
        <v>79136</v>
      </c>
      <c r="BR804" s="129">
        <f>INDEX('Gen. Plant Depreciation'!$D$7:$AC$94,MATCH($C804,'Gen. Plant Depreciation'!$C$7:$C$94,0),MATCH(Calculation!$G804,'Gen. Plant Depreciation'!$D$5:$AC$5,0))</f>
        <v>5482</v>
      </c>
      <c r="BS804" s="129"/>
      <c r="BT804" s="129"/>
      <c r="BU804" s="129"/>
      <c r="BV804" s="129"/>
      <c r="BW804" s="129"/>
      <c r="BX804" s="137"/>
      <c r="BY804" s="129">
        <f>INDEX('Gross Dx Plant'!$D$7:$AC$91,MATCH($C804,'Gross Dx Plant'!$C$7:$C$91,0),MATCH(Calculation!$G804,'Gross Dx Plant'!$D$5:$AC$5,0))</f>
        <v>240705</v>
      </c>
      <c r="BZ804" s="129">
        <f>INDEX('Gross Gen Plant'!$D$7:$AC$91,MATCH($C804,'Gross Gen Plant'!$C$7:$C$91,0),MATCH(Calculation!$G804,'Gross Gen Plant'!$D$5:$AC$5,0))</f>
        <v>7913</v>
      </c>
      <c r="CA804" s="129">
        <f t="shared" si="1457"/>
        <v>164000</v>
      </c>
      <c r="CB804" s="129"/>
      <c r="CC804" s="133">
        <v>1999</v>
      </c>
      <c r="CD804" s="129"/>
      <c r="CE804" s="129"/>
      <c r="CF804" s="129"/>
      <c r="CG804" s="137"/>
      <c r="CH804" s="129">
        <f t="shared" ref="CH804:CH826" si="1469">+BM804+BL804</f>
        <v>17459</v>
      </c>
      <c r="CI804" s="46">
        <f>+CH804+BP804</f>
        <v>17457.122151252122</v>
      </c>
      <c r="CJ804" s="231">
        <f t="shared" ref="CJ804:CJ827" si="1470">+CI804/$DF804</f>
        <v>52.060307449463807</v>
      </c>
      <c r="CK804" s="443">
        <v>0.99009900990099009</v>
      </c>
      <c r="CL804" s="231">
        <f>+CL803*CK804+CJ804</f>
        <v>822.01511445920005</v>
      </c>
      <c r="CM804" s="134">
        <f t="shared" ref="CM804:CM825" si="1471">LN(CL804/CL803)</f>
        <v>5.5476630523789046E-2</v>
      </c>
      <c r="CN804" s="135">
        <f t="shared" ref="CN804:CN827" si="1472">+(CL803-CL804+CJ804)/CL803</f>
        <v>9.9009900990099393E-3</v>
      </c>
      <c r="CO804" s="135"/>
      <c r="CP804" s="134">
        <f>VLOOKUP($H804,RoR!$E:$F,2,FALSE)</f>
        <v>7.0416666666666669E-2</v>
      </c>
      <c r="CQ804" s="135">
        <v>1.4335631817396832E-2</v>
      </c>
      <c r="CR804" s="135">
        <f>+CP804-CQ804</f>
        <v>5.6081034849269837E-2</v>
      </c>
      <c r="CS804" s="135"/>
      <c r="CT804" s="135"/>
      <c r="CU804" s="139">
        <f t="shared" ref="CU804:CU827" si="1473">1-CZ804*DA804</f>
        <v>0.85329623209999994</v>
      </c>
      <c r="CV804" s="335">
        <f t="shared" ref="CV804:CV827" si="1474">2/(DD804*39)</f>
        <v>0.72826581702321336</v>
      </c>
      <c r="CW804" s="335">
        <f t="shared" ref="CW804:CW827" si="1475">+(DD804*40-(1+DD804))/(DD804*40)</f>
        <v>0.61997041420118348</v>
      </c>
      <c r="CX804" s="335">
        <f t="shared" ref="CX804:CX827" si="1476">+(1-(1/(1+DD804)^40))</f>
        <v>0.93425155319585029</v>
      </c>
      <c r="CY804" s="335">
        <f t="shared" ref="CY804:CY827" si="1477">+CX804*CW804*CV804</f>
        <v>0.42181762214141483</v>
      </c>
      <c r="CZ804" s="336">
        <f>INDEX('State Tax Lookup'!$D$7:$Z$91,MATCH(Calculation!$C804,'State Tax Lookup'!$B$7:$B$91,0),MATCH($H804,'State Tax Lookup'!$D$6:$Z$6,0))</f>
        <v>0.39649667</v>
      </c>
      <c r="DA804" s="302">
        <v>0.37</v>
      </c>
      <c r="DB804" s="57"/>
      <c r="DC804" s="56"/>
      <c r="DD804" s="303">
        <f>VLOOKUP($H804,RoR!$E:$F,2,FALSE)</f>
        <v>7.0416666666666669E-2</v>
      </c>
      <c r="DE804" s="304">
        <f>HLOOKUP($H804,'GDP-PI'!$D$8:$CQ$11,3,FALSE)</f>
        <v>1.4335631817396832E-2</v>
      </c>
      <c r="DF804" s="303">
        <f>VLOOKUP(H804,'HW Dx Data'!$E:$F,2,FALSE)</f>
        <v>335.32499146683239</v>
      </c>
      <c r="DG804" s="364"/>
      <c r="DH804" s="364"/>
      <c r="DI804" s="364"/>
      <c r="DJ804" s="56"/>
      <c r="DK804" s="53">
        <f>HLOOKUP(H804,'GDP-PI'!$8:$9,2,FALSE)</f>
        <v>76.346000000000004</v>
      </c>
      <c r="DL804" s="298"/>
      <c r="EC804"/>
    </row>
    <row r="805" spans="1:133" s="126" customFormat="1" ht="21" customHeight="1" x14ac:dyDescent="0.4">
      <c r="A805" s="233" t="s">
        <v>229</v>
      </c>
      <c r="B805" s="127" t="s">
        <v>229</v>
      </c>
      <c r="C805" s="127">
        <v>4057093</v>
      </c>
      <c r="D805" s="127" t="s">
        <v>194</v>
      </c>
      <c r="E805" s="127" t="s">
        <v>15</v>
      </c>
      <c r="F805" s="127"/>
      <c r="G805" s="127" t="s">
        <v>156</v>
      </c>
      <c r="H805" s="128">
        <v>2000</v>
      </c>
      <c r="I805" s="129"/>
      <c r="J805" s="125"/>
      <c r="K805" s="125"/>
      <c r="L805" s="47"/>
      <c r="M805" s="125"/>
      <c r="N805" s="125"/>
      <c r="O805" s="125"/>
      <c r="P805" s="47"/>
      <c r="Q805" s="47"/>
      <c r="R805" s="386"/>
      <c r="S805" s="119"/>
      <c r="T805" s="47"/>
      <c r="U805" s="47"/>
      <c r="V805" s="125"/>
      <c r="W805" s="125"/>
      <c r="X805" s="125"/>
      <c r="Y805" s="125"/>
      <c r="Z805" s="125"/>
      <c r="AA805" s="125"/>
      <c r="AB805" s="125"/>
      <c r="AC805" s="125">
        <f t="shared" si="1467"/>
        <v>0</v>
      </c>
      <c r="AD805" s="129"/>
      <c r="AE805" s="133">
        <v>872.31692781560992</v>
      </c>
      <c r="AF805" s="134">
        <v>5.4738031149255406E-2</v>
      </c>
      <c r="AG805" s="61"/>
      <c r="AH805" s="134"/>
      <c r="AI805" s="134"/>
      <c r="AJ805" s="129">
        <f t="shared" si="1458"/>
        <v>0</v>
      </c>
      <c r="AK805" s="134"/>
      <c r="AL805" s="129"/>
      <c r="AM805" s="129"/>
      <c r="AN805" s="129"/>
      <c r="AO805" s="129"/>
      <c r="AP805" s="133"/>
      <c r="AQ805" s="134"/>
      <c r="AR805" s="93"/>
      <c r="AS805" s="93"/>
      <c r="AT805" s="93"/>
      <c r="AU805" s="93"/>
      <c r="AV805" s="93"/>
      <c r="AW805" s="134"/>
      <c r="AX805" s="62"/>
      <c r="AY805" s="93"/>
      <c r="AZ805" s="93"/>
      <c r="BA805" s="93"/>
      <c r="BB805" s="234">
        <f>IFERROR(INDEX('Total Customers'!$E$7:$AA$91,MATCH($C805,'Total Customers'!$C$7:$C$91,0),MATCH($G805,'Total Customers'!$E$5:$AA$5,0)),"NA")</f>
        <v>118698</v>
      </c>
      <c r="BC805" s="269">
        <f t="shared" si="1420"/>
        <v>4.0252433587896479E-2</v>
      </c>
      <c r="BD805" s="92"/>
      <c r="BE805" s="299" t="str">
        <f t="shared" si="1410"/>
        <v>ORANGE AND ROCKLAND UTILITIES, INC.</v>
      </c>
      <c r="BF805" s="300">
        <f t="shared" si="1411"/>
        <v>4057093</v>
      </c>
      <c r="BG805" s="231" t="str">
        <f t="shared" si="1412"/>
        <v>NY</v>
      </c>
      <c r="BH805" s="231"/>
      <c r="BI805" s="231" t="str">
        <f t="shared" si="1413"/>
        <v>2000 Y</v>
      </c>
      <c r="BJ805" s="129"/>
      <c r="BK805" s="129"/>
      <c r="BL805" s="129">
        <f>INDEX('Dist. Plant Gas Additions'!$E$7:$AD$91,MATCH($C805,'Dist. Plant Gas Additions'!$C$7:$C$91,0),MATCH(Calculation!$G805,'Dist. Plant Gas Additions'!$E$5:$AD$5,0))</f>
        <v>17319</v>
      </c>
      <c r="BM805" s="129">
        <f>INDEX('Gen. Plant Additions'!$E$7:$AD$91,MATCH($C805,'Gen. Plant Additions'!$C$7:$C$91,0),MATCH(Calculation!$G805,'Gen. Plant Additions'!$E$5:$AD$5,0))</f>
        <v>254</v>
      </c>
      <c r="BN805" s="301">
        <f t="shared" si="1468"/>
        <v>0.97298349453282384</v>
      </c>
      <c r="BO805" s="231">
        <f t="shared" si="1396"/>
        <v>247.13780761133725</v>
      </c>
      <c r="BP805" s="231">
        <f t="shared" si="1397"/>
        <v>-6.8621923886627485</v>
      </c>
      <c r="BQ805" s="129">
        <f>INDEX('Dist Plant Depreciation'!$D$7:$AC$94,MATCH($C805,'Dist Plant Depreciation'!$C$7:$C$94,0),MATCH(Calculation!$G805,'Dist Plant Depreciation'!$D$5:$AC$5,0))</f>
        <v>75818</v>
      </c>
      <c r="BR805" s="129">
        <f>INDEX('Gen. Plant Depreciation'!$D$7:$AC$94,MATCH($C805,'Gen. Plant Depreciation'!$C$7:$C$94,0),MATCH(Calculation!$G805,'Gen. Plant Depreciation'!$D$5:$AC$5,0))</f>
        <v>10911</v>
      </c>
      <c r="BS805" s="129"/>
      <c r="BT805" s="129"/>
      <c r="BU805" s="129"/>
      <c r="BV805" s="129"/>
      <c r="BW805" s="129"/>
      <c r="BX805" s="137"/>
      <c r="BY805" s="129">
        <f>INDEX('Gross Dx Plant'!$D$7:$AC$91,MATCH($C805,'Gross Dx Plant'!$C$7:$C$91,0),MATCH(Calculation!$G805,'Gross Dx Plant'!$D$5:$AC$5,0))</f>
        <v>257431</v>
      </c>
      <c r="BZ805" s="129">
        <f>INDEX('Gross Gen Plant'!$D$7:$AC$91,MATCH($C805,'Gross Gen Plant'!$C$7:$C$91,0),MATCH(Calculation!$G805,'Gross Gen Plant'!$D$5:$AC$5,0))</f>
        <v>7148</v>
      </c>
      <c r="CA805" s="129">
        <f t="shared" si="1457"/>
        <v>177850</v>
      </c>
      <c r="CB805" s="129"/>
      <c r="CC805" s="133">
        <v>2000</v>
      </c>
      <c r="CD805" s="129"/>
      <c r="CE805" s="129"/>
      <c r="CF805" s="129"/>
      <c r="CG805" s="137"/>
      <c r="CH805" s="129">
        <f t="shared" si="1469"/>
        <v>17573</v>
      </c>
      <c r="CI805" s="46">
        <f t="shared" ref="CI805:CI827" si="1478">+CH805+BP805</f>
        <v>17566.137807611336</v>
      </c>
      <c r="CJ805" s="231">
        <f t="shared" si="1470"/>
        <v>50.690991681968178</v>
      </c>
      <c r="CK805" s="443">
        <v>0.98</v>
      </c>
      <c r="CL805" s="231">
        <f>+CL803*CK805+CJ804*CK804+CJ805</f>
        <v>864.33711852106035</v>
      </c>
      <c r="CM805" s="134">
        <f t="shared" si="1471"/>
        <v>5.0204093868644023E-2</v>
      </c>
      <c r="CN805" s="135">
        <f t="shared" si="1472"/>
        <v>1.0181062942636765E-2</v>
      </c>
      <c r="CO805" s="135"/>
      <c r="CP805" s="134">
        <f>VLOOKUP($H805,RoR!$E:$F,2,FALSE)</f>
        <v>7.6225000000000001E-2</v>
      </c>
      <c r="CQ805" s="135">
        <v>2.2568307442433211E-2</v>
      </c>
      <c r="CR805" s="135">
        <f t="shared" ref="CR805:CR825" si="1479">+CP805-CQ805</f>
        <v>5.365669255756679E-2</v>
      </c>
      <c r="CS805" s="135"/>
      <c r="CT805" s="135"/>
      <c r="CU805" s="139">
        <f t="shared" si="1473"/>
        <v>0.85329623209999994</v>
      </c>
      <c r="CV805" s="335">
        <f t="shared" si="1474"/>
        <v>0.67277207323124022</v>
      </c>
      <c r="CW805" s="335">
        <f t="shared" si="1475"/>
        <v>0.6470236142997704</v>
      </c>
      <c r="CX805" s="335">
        <f t="shared" si="1476"/>
        <v>0.94704866037543145</v>
      </c>
      <c r="CY805" s="335">
        <f t="shared" si="1477"/>
        <v>0.41224973107878493</v>
      </c>
      <c r="CZ805" s="336">
        <f>INDEX('State Tax Lookup'!$D$7:$Z$91,MATCH(Calculation!$C805,'State Tax Lookup'!$B$7:$B$91,0),MATCH($H805,'State Tax Lookup'!$D$6:$Z$6,0))</f>
        <v>0.39649667</v>
      </c>
      <c r="DA805" s="302">
        <v>0.37</v>
      </c>
      <c r="DB805" s="57"/>
      <c r="DC805" s="56"/>
      <c r="DD805" s="303">
        <f>VLOOKUP($H805,RoR!$E:$F,2,FALSE)</f>
        <v>7.6225000000000001E-2</v>
      </c>
      <c r="DE805" s="304">
        <f>HLOOKUP($H805,'GDP-PI'!$D$8:$CQ$11,3,FALSE)</f>
        <v>2.2568307442433211E-2</v>
      </c>
      <c r="DF805" s="303">
        <f>VLOOKUP(H805,'HW Dx Data'!$E:$F,2,FALSE)</f>
        <v>346.53371782150339</v>
      </c>
      <c r="DG805" s="364"/>
      <c r="DH805" s="364"/>
      <c r="DI805" s="364"/>
      <c r="DJ805" s="56"/>
      <c r="DK805" s="53">
        <f>HLOOKUP(H805,'GDP-PI'!$8:$9,2,FALSE)</f>
        <v>78.069000000000003</v>
      </c>
      <c r="DL805" s="298"/>
      <c r="EC805"/>
    </row>
    <row r="806" spans="1:133" s="126" customFormat="1" ht="21" customHeight="1" x14ac:dyDescent="0.4">
      <c r="A806" s="233" t="s">
        <v>229</v>
      </c>
      <c r="B806" s="127" t="s">
        <v>229</v>
      </c>
      <c r="C806" s="127">
        <v>4057093</v>
      </c>
      <c r="D806" s="127" t="s">
        <v>194</v>
      </c>
      <c r="E806" s="127" t="s">
        <v>15</v>
      </c>
      <c r="F806" s="127"/>
      <c r="G806" s="127" t="s">
        <v>157</v>
      </c>
      <c r="H806" s="128">
        <v>2001</v>
      </c>
      <c r="I806" s="129"/>
      <c r="J806" s="125"/>
      <c r="K806" s="125"/>
      <c r="L806" s="47"/>
      <c r="M806" s="125"/>
      <c r="N806" s="125"/>
      <c r="O806" s="125"/>
      <c r="P806" s="47"/>
      <c r="Q806" s="47"/>
      <c r="R806" s="386"/>
      <c r="S806" s="119"/>
      <c r="T806" s="47"/>
      <c r="U806" s="47"/>
      <c r="V806" s="125"/>
      <c r="W806" s="125"/>
      <c r="X806" s="125"/>
      <c r="Y806" s="125"/>
      <c r="Z806" s="125"/>
      <c r="AA806" s="125"/>
      <c r="AB806" s="125"/>
      <c r="AC806" s="125">
        <f t="shared" si="1467"/>
        <v>9004.9621961872435</v>
      </c>
      <c r="AD806" s="129"/>
      <c r="AE806" s="133">
        <v>903.82209667914469</v>
      </c>
      <c r="AF806" s="134">
        <v>3.5479738109350539E-2</v>
      </c>
      <c r="AG806" s="61"/>
      <c r="AH806" s="134"/>
      <c r="AI806" s="134"/>
      <c r="AJ806" s="129">
        <f t="shared" si="1458"/>
        <v>9004.9621961872435</v>
      </c>
      <c r="AK806" s="134"/>
      <c r="AL806" s="129"/>
      <c r="AM806" s="129"/>
      <c r="AN806" s="129"/>
      <c r="AO806" s="129"/>
      <c r="AP806" s="133"/>
      <c r="AQ806" s="134"/>
      <c r="AR806" s="93"/>
      <c r="AS806" s="93"/>
      <c r="AT806" s="93"/>
      <c r="AU806" s="93"/>
      <c r="AV806" s="93"/>
      <c r="AW806" s="134"/>
      <c r="AX806" s="62"/>
      <c r="AY806" s="93"/>
      <c r="AZ806" s="93"/>
      <c r="BA806" s="93"/>
      <c r="BB806" s="234">
        <f>IFERROR(INDEX('Total Customers'!$E$7:$AA$91,MATCH($C806,'Total Customers'!$C$7:$C$91,0),MATCH($G806,'Total Customers'!$E$5:$AA$5,0)),"NA")</f>
        <v>119694</v>
      </c>
      <c r="BC806" s="269">
        <f t="shared" si="1420"/>
        <v>8.3560337203187757E-3</v>
      </c>
      <c r="BD806" s="92"/>
      <c r="BE806" s="299" t="str">
        <f t="shared" si="1410"/>
        <v>ORANGE AND ROCKLAND UTILITIES, INC.</v>
      </c>
      <c r="BF806" s="300">
        <f t="shared" si="1411"/>
        <v>4057093</v>
      </c>
      <c r="BG806" s="231" t="str">
        <f t="shared" si="1412"/>
        <v>NY</v>
      </c>
      <c r="BH806" s="231"/>
      <c r="BI806" s="231" t="str">
        <f t="shared" si="1413"/>
        <v>2001 Y</v>
      </c>
      <c r="BJ806" s="129"/>
      <c r="BK806" s="129"/>
      <c r="BL806" s="129">
        <f>INDEX('Dist. Plant Gas Additions'!$E$7:$AD$91,MATCH($C806,'Dist. Plant Gas Additions'!$C$7:$C$91,0),MATCH(Calculation!$G806,'Dist. Plant Gas Additions'!$E$5:$AD$5,0))</f>
        <v>12679</v>
      </c>
      <c r="BM806" s="129">
        <f>INDEX('Gen. Plant Additions'!$E$7:$AD$91,MATCH($C806,'Gen. Plant Additions'!$C$7:$C$91,0),MATCH(Calculation!$G806,'Gen. Plant Additions'!$E$5:$AD$5,0))</f>
        <v>3</v>
      </c>
      <c r="BN806" s="301">
        <f t="shared" si="1468"/>
        <v>0.97616611888644622</v>
      </c>
      <c r="BO806" s="231">
        <f t="shared" si="1396"/>
        <v>2.9284983566593388</v>
      </c>
      <c r="BP806" s="231">
        <f t="shared" si="1397"/>
        <v>-7.1501643340661225E-2</v>
      </c>
      <c r="BQ806" s="129">
        <f>INDEX('Dist Plant Depreciation'!$D$7:$AC$94,MATCH($C806,'Dist Plant Depreciation'!$C$7:$C$94,0),MATCH(Calculation!$G806,'Dist Plant Depreciation'!$D$5:$AC$5,0))</f>
        <v>80826</v>
      </c>
      <c r="BR806" s="129">
        <f>INDEX('Gen. Plant Depreciation'!$D$7:$AC$94,MATCH($C806,'Gen. Plant Depreciation'!$C$7:$C$94,0),MATCH(Calculation!$G806,'Gen. Plant Depreciation'!$D$5:$AC$5,0))</f>
        <v>10417</v>
      </c>
      <c r="BS806" s="129"/>
      <c r="BT806" s="129"/>
      <c r="BU806" s="129"/>
      <c r="BV806" s="129"/>
      <c r="BW806" s="129"/>
      <c r="BX806" s="137"/>
      <c r="BY806" s="129">
        <f>INDEX('Gross Dx Plant'!$D$7:$AC$91,MATCH($C806,'Gross Dx Plant'!$C$7:$C$91,0),MATCH(Calculation!$G806,'Gross Dx Plant'!$D$5:$AC$5,0))</f>
        <v>269088</v>
      </c>
      <c r="BZ806" s="129">
        <f>INDEX('Gross Gen Plant'!$D$7:$AC$91,MATCH($C806,'Gross Gen Plant'!$C$7:$C$91,0),MATCH(Calculation!$G806,'Gross Gen Plant'!$D$5:$AC$5,0))</f>
        <v>6570</v>
      </c>
      <c r="CA806" s="129">
        <f t="shared" si="1457"/>
        <v>184415</v>
      </c>
      <c r="CB806" s="129"/>
      <c r="CC806" s="133">
        <v>2001</v>
      </c>
      <c r="CD806" s="129"/>
      <c r="CE806" s="129"/>
      <c r="CF806" s="129"/>
      <c r="CG806" s="137"/>
      <c r="CH806" s="129">
        <f t="shared" si="1469"/>
        <v>12682</v>
      </c>
      <c r="CI806" s="46">
        <f t="shared" si="1478"/>
        <v>12681.928498356659</v>
      </c>
      <c r="CJ806" s="231">
        <f t="shared" si="1470"/>
        <v>35.880669117093447</v>
      </c>
      <c r="CK806" s="443">
        <v>0.96969696969696972</v>
      </c>
      <c r="CL806" s="231">
        <f>+CL803*CK806+CJ804*CK805+CJ805*CK803+CJ806</f>
        <v>891.67983369210208</v>
      </c>
      <c r="CM806" s="134">
        <f t="shared" si="1471"/>
        <v>3.1144261134738581E-2</v>
      </c>
      <c r="CN806" s="135">
        <f t="shared" si="1472"/>
        <v>9.8780368945171945E-3</v>
      </c>
      <c r="CO806" s="135">
        <f>+(CN806+CN805+CN804)/3</f>
        <v>9.9866966453879668E-3</v>
      </c>
      <c r="CP806" s="134">
        <f>VLOOKUP($H806,RoR!$E:$F,2,FALSE)</f>
        <v>7.0824999999999999E-2</v>
      </c>
      <c r="CQ806" s="135">
        <v>2.2454495382290052E-2</v>
      </c>
      <c r="CR806" s="135">
        <f t="shared" si="1479"/>
        <v>4.8370504617709947E-2</v>
      </c>
      <c r="CS806" s="135">
        <f>+$CR$2-CO806</f>
        <v>2.091524496314566E-2</v>
      </c>
      <c r="CT806" s="135">
        <f>+((DF804/DF803-1)+(DF805/DF804-1)+(DF806/DF805-1))/3</f>
        <v>2.3947275901631187E-2</v>
      </c>
      <c r="CU806" s="139">
        <f t="shared" si="1473"/>
        <v>0.85329623209999994</v>
      </c>
      <c r="CV806" s="335">
        <f t="shared" si="1474"/>
        <v>0.72406708481540816</v>
      </c>
      <c r="CW806" s="335">
        <f t="shared" si="1475"/>
        <v>0.62201729615248857</v>
      </c>
      <c r="CX806" s="335">
        <f t="shared" si="1476"/>
        <v>0.9352469954311422</v>
      </c>
      <c r="CY806" s="335">
        <f t="shared" si="1477"/>
        <v>0.42121864641655071</v>
      </c>
      <c r="CZ806" s="336">
        <f>INDEX('State Tax Lookup'!$D$7:$Z$91,MATCH(Calculation!$C806,'State Tax Lookup'!$B$7:$B$91,0),MATCH($H806,'State Tax Lookup'!$D$6:$Z$6,0))</f>
        <v>0.39649667</v>
      </c>
      <c r="DA806" s="302">
        <v>0.37</v>
      </c>
      <c r="DB806" s="57">
        <f t="shared" ref="DB806:DB827" si="1480">+(DF806*CS806-CT806)*CU806/(1-CZ806)</f>
        <v>10.418344883296632</v>
      </c>
      <c r="DC806" s="56"/>
      <c r="DD806" s="303">
        <f>VLOOKUP($H806,RoR!$E:$F,2,FALSE)</f>
        <v>7.0824999999999999E-2</v>
      </c>
      <c r="DE806" s="304">
        <f>HLOOKUP($H806,'GDP-PI'!$D$8:$CQ$11,3,FALSE)</f>
        <v>2.2454495382290052E-2</v>
      </c>
      <c r="DF806" s="303">
        <f>VLOOKUP(H806,'HW Dx Data'!$E:$F,2,FALSE)</f>
        <v>353.44738017483138</v>
      </c>
      <c r="DG806" s="364"/>
      <c r="DH806" s="364"/>
      <c r="DI806" s="364"/>
      <c r="DJ806" s="56"/>
      <c r="DK806" s="53">
        <f>HLOOKUP(H806,'GDP-PI'!$8:$9,2,FALSE)</f>
        <v>79.822000000000003</v>
      </c>
      <c r="DL806" s="298"/>
      <c r="EC806"/>
    </row>
    <row r="807" spans="1:133" s="126" customFormat="1" ht="21" customHeight="1" x14ac:dyDescent="0.4">
      <c r="A807" s="233" t="s">
        <v>229</v>
      </c>
      <c r="B807" s="127" t="s">
        <v>229</v>
      </c>
      <c r="C807" s="127">
        <v>4057093</v>
      </c>
      <c r="D807" s="127" t="s">
        <v>194</v>
      </c>
      <c r="E807" s="127" t="s">
        <v>15</v>
      </c>
      <c r="F807" s="127"/>
      <c r="G807" s="127" t="s">
        <v>158</v>
      </c>
      <c r="H807" s="128">
        <v>2002</v>
      </c>
      <c r="I807" s="129"/>
      <c r="J807" s="125"/>
      <c r="K807" s="125"/>
      <c r="L807" s="47"/>
      <c r="M807" s="125"/>
      <c r="N807" s="125"/>
      <c r="O807" s="125"/>
      <c r="P807" s="47"/>
      <c r="Q807" s="47"/>
      <c r="R807" s="386"/>
      <c r="S807" s="119"/>
      <c r="T807" s="47"/>
      <c r="U807" s="47"/>
      <c r="V807" s="125"/>
      <c r="W807" s="125"/>
      <c r="X807" s="125"/>
      <c r="Y807" s="125"/>
      <c r="Z807" s="125"/>
      <c r="AA807" s="125"/>
      <c r="AB807" s="125"/>
      <c r="AC807" s="125">
        <f t="shared" si="1467"/>
        <v>9283.1973986415869</v>
      </c>
      <c r="AD807" s="129"/>
      <c r="AE807" s="133">
        <v>935.0409763387745</v>
      </c>
      <c r="AF807" s="134">
        <v>3.3957807973208264E-2</v>
      </c>
      <c r="AG807" s="61"/>
      <c r="AH807" s="134"/>
      <c r="AI807" s="134"/>
      <c r="AJ807" s="129">
        <f t="shared" si="1458"/>
        <v>9283.1973986415869</v>
      </c>
      <c r="AK807" s="134"/>
      <c r="AL807" s="129"/>
      <c r="AM807" s="129"/>
      <c r="AN807" s="129"/>
      <c r="AO807" s="129"/>
      <c r="AP807" s="133"/>
      <c r="AQ807" s="134"/>
      <c r="AR807" s="93"/>
      <c r="AS807" s="93"/>
      <c r="AT807" s="93"/>
      <c r="AU807" s="93"/>
      <c r="AV807" s="93"/>
      <c r="AW807" s="134"/>
      <c r="AX807" s="62"/>
      <c r="AY807" s="93"/>
      <c r="AZ807" s="93"/>
      <c r="BA807" s="93"/>
      <c r="BB807" s="234">
        <f>IFERROR(INDEX('Total Customers'!$E$7:$AA$91,MATCH($C807,'Total Customers'!$C$7:$C$91,0),MATCH($G807,'Total Customers'!$E$5:$AA$5,0)),"NA")</f>
        <v>121182</v>
      </c>
      <c r="BC807" s="269">
        <f t="shared" si="1420"/>
        <v>1.2355061759977515E-2</v>
      </c>
      <c r="BD807" s="92"/>
      <c r="BE807" s="299" t="str">
        <f t="shared" si="1410"/>
        <v>ORANGE AND ROCKLAND UTILITIES, INC.</v>
      </c>
      <c r="BF807" s="300">
        <f t="shared" si="1411"/>
        <v>4057093</v>
      </c>
      <c r="BG807" s="231" t="str">
        <f t="shared" si="1412"/>
        <v>NY</v>
      </c>
      <c r="BH807" s="231"/>
      <c r="BI807" s="231" t="str">
        <f t="shared" si="1413"/>
        <v>2002 Y</v>
      </c>
      <c r="BJ807" s="129"/>
      <c r="BK807" s="129"/>
      <c r="BL807" s="129">
        <f>INDEX('Dist. Plant Gas Additions'!$E$7:$AD$91,MATCH($C807,'Dist. Plant Gas Additions'!$C$7:$C$91,0),MATCH(Calculation!$G807,'Dist. Plant Gas Additions'!$E$5:$AD$5,0))</f>
        <v>12975</v>
      </c>
      <c r="BM807" s="129">
        <f>INDEX('Gen. Plant Additions'!$E$7:$AD$91,MATCH($C807,'Gen. Plant Additions'!$C$7:$C$91,0),MATCH(Calculation!$G807,'Gen. Plant Additions'!$E$5:$AD$5,0))</f>
        <v>186</v>
      </c>
      <c r="BN807" s="301">
        <f t="shared" si="1468"/>
        <v>0.97945480091064074</v>
      </c>
      <c r="BO807" s="231">
        <f t="shared" si="1396"/>
        <v>182.17859296937917</v>
      </c>
      <c r="BP807" s="231">
        <f t="shared" si="1397"/>
        <v>-3.8214070306208328</v>
      </c>
      <c r="BQ807" s="129">
        <f>INDEX('Dist Plant Depreciation'!$D$7:$AC$94,MATCH($C807,'Dist Plant Depreciation'!$C$7:$C$94,0),MATCH(Calculation!$G807,'Dist Plant Depreciation'!$D$5:$AC$5,0))</f>
        <v>86088</v>
      </c>
      <c r="BR807" s="129">
        <f>INDEX('Gen. Plant Depreciation'!$D$7:$AC$94,MATCH($C807,'Gen. Plant Depreciation'!$C$7:$C$94,0),MATCH(Calculation!$G807,'Gen. Plant Depreciation'!$D$5:$AC$5,0))</f>
        <v>9664</v>
      </c>
      <c r="BS807" s="129"/>
      <c r="BT807" s="129"/>
      <c r="BU807" s="129"/>
      <c r="BV807" s="129"/>
      <c r="BW807" s="129"/>
      <c r="BX807" s="137"/>
      <c r="BY807" s="129">
        <f>INDEX('Gross Dx Plant'!$D$7:$AC$91,MATCH($C807,'Gross Dx Plant'!$C$7:$C$91,0),MATCH(Calculation!$G807,'Gross Dx Plant'!$D$5:$AC$5,0))</f>
        <v>280938</v>
      </c>
      <c r="BZ807" s="129">
        <f>INDEX('Gross Gen Plant'!$D$7:$AC$91,MATCH($C807,'Gross Gen Plant'!$C$7:$C$91,0),MATCH(Calculation!$G807,'Gross Gen Plant'!$D$5:$AC$5,0))</f>
        <v>5893</v>
      </c>
      <c r="CA807" s="129">
        <f t="shared" si="1457"/>
        <v>191079</v>
      </c>
      <c r="CB807" s="129"/>
      <c r="CC807" s="133">
        <v>2002</v>
      </c>
      <c r="CD807" s="129"/>
      <c r="CE807" s="129"/>
      <c r="CF807" s="129"/>
      <c r="CG807" s="137"/>
      <c r="CH807" s="129">
        <f t="shared" si="1469"/>
        <v>13161</v>
      </c>
      <c r="CI807" s="46">
        <f t="shared" si="1478"/>
        <v>13157.17859296938</v>
      </c>
      <c r="CJ807" s="231">
        <f t="shared" si="1470"/>
        <v>36.411361231731973</v>
      </c>
      <c r="CK807" s="443">
        <v>0.95918367346938771</v>
      </c>
      <c r="CL807" s="231">
        <f>+CL803*CK807+CJ804*CK806+CJ805*CK805+CJ806*CK804+CJ807</f>
        <v>918.01003141766</v>
      </c>
      <c r="CM807" s="134">
        <f t="shared" si="1471"/>
        <v>2.9101180720536485E-2</v>
      </c>
      <c r="CN807" s="135">
        <f t="shared" si="1472"/>
        <v>1.1305810813766913E-2</v>
      </c>
      <c r="CO807" s="135">
        <f t="shared" ref="CO807:CO827" si="1481">+(CN807+CN806+CN805)/3</f>
        <v>1.0454970216973622E-2</v>
      </c>
      <c r="CP807" s="134">
        <f>VLOOKUP($H807,RoR!$E:$F,2,FALSE)</f>
        <v>6.4916666666666664E-2</v>
      </c>
      <c r="CQ807" s="135">
        <v>1.5246423291824351E-2</v>
      </c>
      <c r="CR807" s="135">
        <f t="shared" si="1479"/>
        <v>4.9670243374842313E-2</v>
      </c>
      <c r="CS807" s="135">
        <f t="shared" ref="CS807:CS827" si="1482">+$CR$2-CO807</f>
        <v>2.0446971391560001E-2</v>
      </c>
      <c r="CT807" s="135">
        <f t="shared" ref="CT807:CT827" si="1483">+((DF805/DF804-1)+(DF806/DF805-1)+(DF807/DF806-1))/3</f>
        <v>2.5243621214759093E-2</v>
      </c>
      <c r="CU807" s="139">
        <f t="shared" si="1473"/>
        <v>0.85329623209999994</v>
      </c>
      <c r="CV807" s="335">
        <f t="shared" si="1474"/>
        <v>0.78996741384417901</v>
      </c>
      <c r="CW807" s="335">
        <f t="shared" si="1475"/>
        <v>0.58989088575096271</v>
      </c>
      <c r="CX807" s="335">
        <f t="shared" si="1476"/>
        <v>0.91920675783645744</v>
      </c>
      <c r="CY807" s="335">
        <f t="shared" si="1477"/>
        <v>0.42834536472275586</v>
      </c>
      <c r="CZ807" s="336">
        <f>INDEX('State Tax Lookup'!$D$7:$Z$91,MATCH(Calculation!$C807,'State Tax Lookup'!$B$7:$B$91,0),MATCH($H807,'State Tax Lookup'!$D$6:$Z$6,0))</f>
        <v>0.39649667</v>
      </c>
      <c r="DA807" s="302">
        <v>0.37</v>
      </c>
      <c r="DB807" s="57">
        <f t="shared" si="1480"/>
        <v>10.410908767784338</v>
      </c>
      <c r="DC807" s="56">
        <f t="shared" ref="DC807:DC825" si="1484">LN(DB807/DB806)</f>
        <v>-7.140069397370668E-4</v>
      </c>
      <c r="DD807" s="303">
        <f>VLOOKUP($H807,RoR!$E:$F,2,FALSE)</f>
        <v>6.4916666666666664E-2</v>
      </c>
      <c r="DE807" s="304">
        <f>HLOOKUP($H807,'GDP-PI'!$D$8:$CQ$11,3,FALSE)</f>
        <v>1.5246423291824351E-2</v>
      </c>
      <c r="DF807" s="303">
        <f>VLOOKUP(H807,'HW Dx Data'!$E:$F,2,FALSE)</f>
        <v>361.34816573413599</v>
      </c>
      <c r="DG807" s="364"/>
      <c r="DH807" s="364"/>
      <c r="DI807" s="364"/>
      <c r="DJ807" s="56"/>
      <c r="DK807" s="53">
        <f>HLOOKUP(H807,'GDP-PI'!$8:$9,2,FALSE)</f>
        <v>81.039000000000001</v>
      </c>
      <c r="DL807" s="355">
        <f>LN(DK807/DK806)</f>
        <v>1.513136459537477E-2</v>
      </c>
      <c r="EC807"/>
    </row>
    <row r="808" spans="1:133" s="126" customFormat="1" ht="21" customHeight="1" x14ac:dyDescent="0.4">
      <c r="A808" s="233" t="s">
        <v>229</v>
      </c>
      <c r="B808" s="127" t="s">
        <v>229</v>
      </c>
      <c r="C808" s="127">
        <v>4057093</v>
      </c>
      <c r="D808" s="127" t="s">
        <v>194</v>
      </c>
      <c r="E808" s="127" t="s">
        <v>15</v>
      </c>
      <c r="F808" s="127"/>
      <c r="G808" s="127" t="s">
        <v>159</v>
      </c>
      <c r="H808" s="128">
        <v>2003</v>
      </c>
      <c r="I808" s="129"/>
      <c r="J808" s="125"/>
      <c r="K808" s="125"/>
      <c r="L808" s="47"/>
      <c r="M808" s="125"/>
      <c r="N808" s="125"/>
      <c r="O808" s="125"/>
      <c r="P808" s="59"/>
      <c r="Q808" s="59"/>
      <c r="R808" s="386"/>
      <c r="S808" s="119"/>
      <c r="T808" s="59"/>
      <c r="U808" s="59"/>
      <c r="V808" s="125"/>
      <c r="W808" s="125"/>
      <c r="X808" s="125"/>
      <c r="Y808" s="125"/>
      <c r="Z808" s="125"/>
      <c r="AA808" s="125"/>
      <c r="AB808" s="125"/>
      <c r="AC808" s="125">
        <f t="shared" si="1467"/>
        <v>9634.0513824995978</v>
      </c>
      <c r="AD808" s="129"/>
      <c r="AE808" s="133">
        <v>974.42346781138315</v>
      </c>
      <c r="AF808" s="134">
        <v>4.1255627747239246E-2</v>
      </c>
      <c r="AG808" s="61"/>
      <c r="AH808" s="134"/>
      <c r="AI808" s="134"/>
      <c r="AJ808" s="129">
        <f t="shared" si="1458"/>
        <v>9634.0513824995978</v>
      </c>
      <c r="AK808" s="134"/>
      <c r="AL808" s="129"/>
      <c r="AM808" s="129"/>
      <c r="AN808" s="129"/>
      <c r="AO808" s="129"/>
      <c r="AP808" s="133"/>
      <c r="AQ808" s="134"/>
      <c r="AR808" s="93"/>
      <c r="AS808" s="93"/>
      <c r="AT808" s="93"/>
      <c r="AU808" s="93"/>
      <c r="AV808" s="93"/>
      <c r="AW808" s="134"/>
      <c r="AX808" s="62"/>
      <c r="AY808" s="93"/>
      <c r="AZ808" s="93"/>
      <c r="BA808" s="93"/>
      <c r="BB808" s="234">
        <f>IFERROR(INDEX('Total Customers'!$E$7:$AA$91,MATCH($C808,'Total Customers'!$C$7:$C$91,0),MATCH($G808,'Total Customers'!$E$5:$AA$5,0)),"NA")</f>
        <v>122101</v>
      </c>
      <c r="BC808" s="269">
        <f t="shared" si="1420"/>
        <v>7.5550233370046864E-3</v>
      </c>
      <c r="BD808" s="92"/>
      <c r="BE808" s="299" t="str">
        <f t="shared" si="1410"/>
        <v>ORANGE AND ROCKLAND UTILITIES, INC.</v>
      </c>
      <c r="BF808" s="300">
        <f t="shared" si="1411"/>
        <v>4057093</v>
      </c>
      <c r="BG808" s="231" t="str">
        <f t="shared" si="1412"/>
        <v>NY</v>
      </c>
      <c r="BH808" s="231"/>
      <c r="BI808" s="231" t="str">
        <f t="shared" si="1413"/>
        <v>2003 Y</v>
      </c>
      <c r="BJ808" s="129"/>
      <c r="BK808" s="129"/>
      <c r="BL808" s="129">
        <f>INDEX('Dist. Plant Gas Additions'!$E$7:$AD$91,MATCH($C808,'Dist. Plant Gas Additions'!$C$7:$C$91,0),MATCH(Calculation!$G808,'Dist. Plant Gas Additions'!$E$5:$AD$5,0))</f>
        <v>15557</v>
      </c>
      <c r="BM808" s="129">
        <f>INDEX('Gen. Plant Additions'!$E$7:$AD$91,MATCH($C808,'Gen. Plant Additions'!$C$7:$C$91,0),MATCH(Calculation!$G808,'Gen. Plant Additions'!$E$5:$AD$5,0))</f>
        <v>937</v>
      </c>
      <c r="BN808" s="301">
        <f t="shared" si="1468"/>
        <v>0.97921527743302061</v>
      </c>
      <c r="BO808" s="231">
        <f t="shared" si="1396"/>
        <v>917.52471495474026</v>
      </c>
      <c r="BP808" s="231">
        <f t="shared" si="1397"/>
        <v>-19.475285045259739</v>
      </c>
      <c r="BQ808" s="129">
        <f>INDEX('Dist Plant Depreciation'!$D$7:$AC$94,MATCH($C808,'Dist Plant Depreciation'!$C$7:$C$94,0),MATCH(Calculation!$G808,'Dist Plant Depreciation'!$D$5:$AC$5,0))</f>
        <v>91707</v>
      </c>
      <c r="BR808" s="129">
        <f>INDEX('Gen. Plant Depreciation'!$D$7:$AC$94,MATCH($C808,'Gen. Plant Depreciation'!$C$7:$C$94,0),MATCH(Calculation!$G808,'Gen. Plant Depreciation'!$D$5:$AC$5,0))</f>
        <v>9215</v>
      </c>
      <c r="BS808" s="129"/>
      <c r="BT808" s="129"/>
      <c r="BU808" s="129"/>
      <c r="BV808" s="129"/>
      <c r="BW808" s="129"/>
      <c r="BX808" s="137"/>
      <c r="BY808" s="129">
        <f>INDEX('Gross Dx Plant'!$D$7:$AC$91,MATCH($C808,'Gross Dx Plant'!$C$7:$C$91,0),MATCH(Calculation!$G808,'Gross Dx Plant'!$D$5:$AC$5,0))</f>
        <v>295865</v>
      </c>
      <c r="BZ808" s="129">
        <f>INDEX('Gross Gen Plant'!$D$7:$AC$91,MATCH($C808,'Gross Gen Plant'!$C$7:$C$91,0),MATCH(Calculation!$G808,'Gross Gen Plant'!$D$5:$AC$5,0))</f>
        <v>6280</v>
      </c>
      <c r="CA808" s="129">
        <f t="shared" si="1457"/>
        <v>201223</v>
      </c>
      <c r="CB808" s="129"/>
      <c r="CC808" s="133">
        <v>2003</v>
      </c>
      <c r="CD808" s="129"/>
      <c r="CE808" s="129"/>
      <c r="CF808" s="129"/>
      <c r="CG808" s="137"/>
      <c r="CH808" s="129">
        <f t="shared" si="1469"/>
        <v>16494</v>
      </c>
      <c r="CI808" s="46">
        <f t="shared" si="1478"/>
        <v>16474.524714954739</v>
      </c>
      <c r="CJ808" s="231">
        <f t="shared" si="1470"/>
        <v>44.618233543954993</v>
      </c>
      <c r="CK808" s="443">
        <v>0.94845360824742264</v>
      </c>
      <c r="CL808" s="231">
        <f>+CL803*CK808+CJ804*CK807+CJ805*CK806+CJ806*CK805+CJ807*CK804+CJ808</f>
        <v>952.49151899444348</v>
      </c>
      <c r="CM808" s="134">
        <f t="shared" si="1471"/>
        <v>3.6872884987370326E-2</v>
      </c>
      <c r="CN808" s="135">
        <f t="shared" si="1472"/>
        <v>1.1042086273847781E-2</v>
      </c>
      <c r="CO808" s="135">
        <f t="shared" si="1481"/>
        <v>1.0741977994043963E-2</v>
      </c>
      <c r="CP808" s="134">
        <f>VLOOKUP($H808,RoR!$E:$F,2,FALSE)</f>
        <v>5.6666666666666671E-2</v>
      </c>
      <c r="CQ808" s="135">
        <v>1.8855119140166909E-2</v>
      </c>
      <c r="CR808" s="135">
        <f t="shared" si="1479"/>
        <v>3.7811547526499761E-2</v>
      </c>
      <c r="CS808" s="135">
        <f t="shared" si="1482"/>
        <v>2.0159963614489664E-2</v>
      </c>
      <c r="CT808" s="135">
        <f t="shared" si="1483"/>
        <v>2.1375012817671957E-2</v>
      </c>
      <c r="CU808" s="139">
        <f t="shared" si="1473"/>
        <v>0.85329623209999994</v>
      </c>
      <c r="CV808" s="335">
        <f t="shared" si="1474"/>
        <v>0.90497737556561086</v>
      </c>
      <c r="CW808" s="335">
        <f t="shared" si="1475"/>
        <v>0.5338235294117647</v>
      </c>
      <c r="CX808" s="335">
        <f t="shared" si="1476"/>
        <v>0.88972433127405692</v>
      </c>
      <c r="CY808" s="335">
        <f t="shared" si="1477"/>
        <v>0.42982423775949252</v>
      </c>
      <c r="CZ808" s="336">
        <f>INDEX('State Tax Lookup'!$D$7:$Z$91,MATCH(Calculation!$C808,'State Tax Lookup'!$B$7:$B$91,0),MATCH($H808,'State Tax Lookup'!$D$6:$Z$6,0))</f>
        <v>0.39649667</v>
      </c>
      <c r="DA808" s="302">
        <v>0.37</v>
      </c>
      <c r="DB808" s="57">
        <f t="shared" si="1480"/>
        <v>10.494494670850134</v>
      </c>
      <c r="DC808" s="56">
        <f t="shared" si="1484"/>
        <v>7.9966262049177509E-3</v>
      </c>
      <c r="DD808" s="303">
        <f>VLOOKUP($H808,RoR!$E:$F,2,FALSE)</f>
        <v>5.6666666666666671E-2</v>
      </c>
      <c r="DE808" s="304">
        <f>HLOOKUP($H808,'GDP-PI'!$D$8:$CQ$11,3,FALSE)</f>
        <v>1.8855119140166909E-2</v>
      </c>
      <c r="DF808" s="303">
        <f>VLOOKUP(H808,'HW Dx Data'!$E:$F,2,FALSE)</f>
        <v>369.23301095560191</v>
      </c>
      <c r="DG808" s="364">
        <f ca="1">VLOOKUP(CC808,'ECI - Input Price'!M$13:N$33,2,FALSE)</f>
        <v>89.25</v>
      </c>
      <c r="DH808" s="364"/>
      <c r="DI808" s="364"/>
      <c r="DJ808" s="56"/>
      <c r="DK808" s="53">
        <f>HLOOKUP(H808,'GDP-PI'!$8:$9,2,FALSE)</f>
        <v>82.566999999999993</v>
      </c>
      <c r="DL808" s="355">
        <f t="shared" ref="DL808:DL827" si="1485">LN(DK808/DK807)</f>
        <v>1.8679564681853753E-2</v>
      </c>
      <c r="EC808"/>
    </row>
    <row r="809" spans="1:133" s="126" customFormat="1" ht="21" customHeight="1" x14ac:dyDescent="0.4">
      <c r="A809" s="233" t="s">
        <v>229</v>
      </c>
      <c r="B809" s="127" t="s">
        <v>229</v>
      </c>
      <c r="C809" s="127">
        <v>4057093</v>
      </c>
      <c r="D809" s="127" t="s">
        <v>194</v>
      </c>
      <c r="E809" s="127" t="s">
        <v>15</v>
      </c>
      <c r="F809" s="127"/>
      <c r="G809" s="127" t="s">
        <v>160</v>
      </c>
      <c r="H809" s="128">
        <v>2004</v>
      </c>
      <c r="I809" s="129"/>
      <c r="J809" s="125">
        <f>IFERROR(INDEX('Labor Expenditures'!$E$7:$W$91,MATCH($C809,'Labor Expenditures'!$C$7:$C$91,0),MATCH($G809,'Labor Expenditures'!$E$5:$W$5,0)),"NA")</f>
        <v>16803.610059825973</v>
      </c>
      <c r="K809" s="125">
        <f t="shared" ref="K809:K827" ca="1" si="1486">+J809/DG809</f>
        <v>178.09867577981953</v>
      </c>
      <c r="L809" s="47"/>
      <c r="M809" s="131"/>
      <c r="N809" s="131"/>
      <c r="O809" s="131"/>
      <c r="P809" s="59"/>
      <c r="Q809" s="59"/>
      <c r="R809" s="386"/>
      <c r="S809" s="119"/>
      <c r="T809" s="59"/>
      <c r="U809" s="59"/>
      <c r="V809" s="125">
        <f>IFERROR(INDEX('Non-Labor Expenditures'!$E$7:$AA$91,MATCH($C809,'Non-Labor Expenditures'!$C$7:$C$91,0),MATCH($G809,'Non-Labor Expenditures'!$E$5:$AA$5,0)),"NA")</f>
        <v>24334.765848066636</v>
      </c>
      <c r="W809" s="125">
        <f t="shared" ref="W809:W827" si="1487">+V809/DK809</f>
        <v>287.04104659306228</v>
      </c>
      <c r="X809" s="125"/>
      <c r="Y809" s="125"/>
      <c r="Z809" s="125"/>
      <c r="AA809" s="125"/>
      <c r="AB809" s="125"/>
      <c r="AC809" s="125">
        <f t="shared" si="1467"/>
        <v>10919.025468302052</v>
      </c>
      <c r="AD809" s="129"/>
      <c r="AE809" s="133">
        <v>1009.8893083304946</v>
      </c>
      <c r="AF809" s="134">
        <v>3.5750027079977667E-2</v>
      </c>
      <c r="AG809" s="59">
        <f t="shared" ref="AG809:AG827" si="1488">+AF809*$AX809</f>
        <v>0</v>
      </c>
      <c r="AH809" s="134"/>
      <c r="AI809" s="134"/>
      <c r="AJ809" s="129">
        <f t="shared" si="1458"/>
        <v>52057.401376194663</v>
      </c>
      <c r="AK809" s="134"/>
      <c r="AL809" s="129"/>
      <c r="AM809" s="129"/>
      <c r="AN809" s="129"/>
      <c r="AO809" s="129"/>
      <c r="AP809" s="133"/>
      <c r="AQ809" s="134"/>
      <c r="AR809" s="93">
        <f t="shared" ref="AR809:AR827" si="1489">+J809/AJ809</f>
        <v>0.32279002823045444</v>
      </c>
      <c r="AS809" s="93">
        <f t="shared" ref="AS809:AS827" si="1490">+V809/AJ809</f>
        <v>0.46746024973875638</v>
      </c>
      <c r="AT809" s="93">
        <f t="shared" ref="AT809:AT827" si="1491">+AC809/AJ809</f>
        <v>0.20974972203078918</v>
      </c>
      <c r="AU809" s="93"/>
      <c r="AV809" s="93"/>
      <c r="AW809" s="134"/>
      <c r="AX809" s="62"/>
      <c r="AY809" s="93"/>
      <c r="AZ809" s="93"/>
      <c r="BA809" s="93"/>
      <c r="BB809" s="234">
        <f>IFERROR(INDEX('Total Customers'!$E$7:$AA$91,MATCH($C809,'Total Customers'!$C$7:$C$91,0),MATCH($G809,'Total Customers'!$E$5:$AA$5,0)),"NA")</f>
        <v>123577</v>
      </c>
      <c r="BC809" s="269">
        <f t="shared" si="1420"/>
        <v>1.2015872474082315E-2</v>
      </c>
      <c r="BD809" s="92"/>
      <c r="BE809" s="299" t="str">
        <f t="shared" si="1410"/>
        <v>ORANGE AND ROCKLAND UTILITIES, INC.</v>
      </c>
      <c r="BF809" s="300">
        <f t="shared" si="1411"/>
        <v>4057093</v>
      </c>
      <c r="BG809" s="231" t="str">
        <f t="shared" si="1412"/>
        <v>NY</v>
      </c>
      <c r="BH809" s="231"/>
      <c r="BI809" s="231" t="str">
        <f t="shared" si="1413"/>
        <v>2004 Y</v>
      </c>
      <c r="BJ809" s="129"/>
      <c r="BK809" s="129"/>
      <c r="BL809" s="129">
        <f>INDEX('Dist. Plant Gas Additions'!$E$7:$AD$91,MATCH($C809,'Dist. Plant Gas Additions'!$C$7:$C$91,0),MATCH(Calculation!$G809,'Dist. Plant Gas Additions'!$E$5:$AD$5,0))</f>
        <v>16225</v>
      </c>
      <c r="BM809" s="129">
        <f>INDEX('Gen. Plant Additions'!$E$7:$AD$91,MATCH($C809,'Gen. Plant Additions'!$C$7:$C$91,0),MATCH(Calculation!$G809,'Gen. Plant Additions'!$E$5:$AD$5,0))</f>
        <v>846</v>
      </c>
      <c r="BN809" s="301">
        <f t="shared" si="1468"/>
        <v>0.97936866986059401</v>
      </c>
      <c r="BO809" s="231">
        <f t="shared" si="1396"/>
        <v>828.54589470206258</v>
      </c>
      <c r="BP809" s="231">
        <f t="shared" si="1397"/>
        <v>-17.454105297937417</v>
      </c>
      <c r="BQ809" s="129">
        <f>INDEX('Dist Plant Depreciation'!$D$7:$AC$94,MATCH($C809,'Dist Plant Depreciation'!$C$7:$C$94,0),MATCH(Calculation!$G809,'Dist Plant Depreciation'!$D$5:$AC$5,0))</f>
        <v>94346</v>
      </c>
      <c r="BR809" s="129">
        <f>INDEX('Gen. Plant Depreciation'!$D$7:$AC$94,MATCH($C809,'Gen. Plant Depreciation'!$C$7:$C$94,0),MATCH(Calculation!$G809,'Gen. Plant Depreciation'!$D$5:$AC$5,0))</f>
        <v>8461</v>
      </c>
      <c r="BS809" s="129"/>
      <c r="BT809" s="129"/>
      <c r="BU809" s="129"/>
      <c r="BV809" s="129"/>
      <c r="BW809" s="129"/>
      <c r="BX809" s="137"/>
      <c r="BY809" s="129">
        <f>INDEX('Gross Dx Plant'!$D$7:$AC$91,MATCH($C809,'Gross Dx Plant'!$C$7:$C$91,0),MATCH(Calculation!$G809,'Gross Dx Plant'!$D$5:$AC$5,0))</f>
        <v>308270</v>
      </c>
      <c r="BZ809" s="129">
        <f>INDEX('Gross Gen Plant'!$D$7:$AC$91,MATCH($C809,'Gross Gen Plant'!$C$7:$C$91,0),MATCH(Calculation!$G809,'Gross Gen Plant'!$D$5:$AC$5,0))</f>
        <v>6494</v>
      </c>
      <c r="CA809" s="129">
        <f t="shared" si="1457"/>
        <v>211957</v>
      </c>
      <c r="CB809" s="129"/>
      <c r="CC809" s="133">
        <v>2004</v>
      </c>
      <c r="CD809" s="129"/>
      <c r="CE809" s="129"/>
      <c r="CF809" s="129"/>
      <c r="CG809" s="137"/>
      <c r="CH809" s="129">
        <f t="shared" si="1469"/>
        <v>17071</v>
      </c>
      <c r="CI809" s="46">
        <f t="shared" si="1478"/>
        <v>17053.545894702063</v>
      </c>
      <c r="CJ809" s="231">
        <f t="shared" si="1470"/>
        <v>41.104054909764081</v>
      </c>
      <c r="CK809" s="443">
        <v>0.9375</v>
      </c>
      <c r="CL809" s="231">
        <f>+CL803*CK809+CJ804*CK808+CJ805*CK807+CJ806*CK806+CJ807*CK805+CJ808*CK804+CJ809</f>
        <v>982.80674983338213</v>
      </c>
      <c r="CM809" s="134">
        <f t="shared" si="1471"/>
        <v>3.1331305567399881E-2</v>
      </c>
      <c r="CN809" s="135">
        <f t="shared" si="1472"/>
        <v>1.1326950272707229E-2</v>
      </c>
      <c r="CO809" s="135">
        <f t="shared" si="1481"/>
        <v>1.1224949120107309E-2</v>
      </c>
      <c r="CP809" s="134">
        <f>VLOOKUP($H809,RoR!$E:$F,2,FALSE)</f>
        <v>5.6283333333333331E-2</v>
      </c>
      <c r="CQ809" s="135">
        <v>2.6778252812867276E-2</v>
      </c>
      <c r="CR809" s="135">
        <f t="shared" si="1479"/>
        <v>2.9505080520466055E-2</v>
      </c>
      <c r="CS809" s="135">
        <f t="shared" si="1482"/>
        <v>1.9676992488426318E-2</v>
      </c>
      <c r="CT809" s="135">
        <f t="shared" si="1483"/>
        <v>5.5940039414565046E-2</v>
      </c>
      <c r="CU809" s="139">
        <f t="shared" si="1473"/>
        <v>0.85329623209999994</v>
      </c>
      <c r="CV809" s="335">
        <f t="shared" si="1474"/>
        <v>0.91114097628755619</v>
      </c>
      <c r="CW809" s="335">
        <f t="shared" si="1475"/>
        <v>0.53081877405981637</v>
      </c>
      <c r="CX809" s="335">
        <f t="shared" si="1476"/>
        <v>0.88811215519385678</v>
      </c>
      <c r="CY809" s="335">
        <f t="shared" si="1477"/>
        <v>0.42953609753547711</v>
      </c>
      <c r="CZ809" s="336">
        <f>INDEX('State Tax Lookup'!$D$7:$Z$91,MATCH(Calculation!$C809,'State Tax Lookup'!$B$7:$B$91,0),MATCH($H809,'State Tax Lookup'!$D$6:$Z$6,0))</f>
        <v>0.39649667</v>
      </c>
      <c r="DA809" s="302">
        <v>0.37</v>
      </c>
      <c r="DB809" s="57">
        <f t="shared" si="1480"/>
        <v>11.463645870389897</v>
      </c>
      <c r="DC809" s="56">
        <f t="shared" si="1484"/>
        <v>8.8329996869331448E-2</v>
      </c>
      <c r="DD809" s="303">
        <f>VLOOKUP($H809,RoR!$E:$F,2,FALSE)</f>
        <v>5.6283333333333331E-2</v>
      </c>
      <c r="DE809" s="304">
        <f>HLOOKUP($H809,'GDP-PI'!$D$8:$CQ$11,3,FALSE)</f>
        <v>2.6778252812867276E-2</v>
      </c>
      <c r="DF809" s="303">
        <f>VLOOKUP(H809,'HW Dx Data'!$E:$F,2,FALSE)</f>
        <v>414.88719135228365</v>
      </c>
      <c r="DG809" s="364">
        <f ca="1">VLOOKUP(CC809,'ECI - Input Price'!M$13:N$33,2,FALSE)</f>
        <v>94.35</v>
      </c>
      <c r="DH809" s="364"/>
      <c r="DI809" s="364"/>
      <c r="DJ809" s="56">
        <f t="shared" ref="DJ809:DJ827" ca="1" si="1492">LN(DG809/DG808)</f>
        <v>5.5569851154810786E-2</v>
      </c>
      <c r="DK809" s="53">
        <f>HLOOKUP(H809,'GDP-PI'!$8:$9,2,FALSE)</f>
        <v>84.778000000000006</v>
      </c>
      <c r="DL809" s="355">
        <f t="shared" si="1485"/>
        <v>2.6425990216022755E-2</v>
      </c>
      <c r="EC809"/>
    </row>
    <row r="810" spans="1:133" s="126" customFormat="1" ht="21" customHeight="1" x14ac:dyDescent="0.4">
      <c r="A810" s="233" t="s">
        <v>229</v>
      </c>
      <c r="B810" s="127" t="s">
        <v>229</v>
      </c>
      <c r="C810" s="127">
        <v>4057093</v>
      </c>
      <c r="D810" s="127" t="s">
        <v>194</v>
      </c>
      <c r="E810" s="127" t="s">
        <v>15</v>
      </c>
      <c r="F810" s="127"/>
      <c r="G810" s="127" t="s">
        <v>161</v>
      </c>
      <c r="H810" s="128">
        <v>2005</v>
      </c>
      <c r="I810" s="129"/>
      <c r="J810" s="125">
        <f>IFERROR(INDEX('Labor Expenditures'!$E$7:$W$91,MATCH($C810,'Labor Expenditures'!$C$7:$C$91,0),MATCH($G810,'Labor Expenditures'!$E$5:$W$5,0)),"NA")</f>
        <v>16115.466828067429</v>
      </c>
      <c r="K810" s="125">
        <f t="shared" ca="1" si="1486"/>
        <v>162.41337191300005</v>
      </c>
      <c r="L810" s="47"/>
      <c r="M810" s="131">
        <f t="shared" ref="M810:M826" ca="1" si="1493">LN(K810/K809)</f>
        <v>-9.2192991302229785E-2</v>
      </c>
      <c r="N810" s="131"/>
      <c r="O810" s="131"/>
      <c r="P810" s="59"/>
      <c r="Q810" s="61"/>
      <c r="R810" s="387"/>
      <c r="S810" s="49">
        <v>100</v>
      </c>
      <c r="T810" s="46"/>
      <c r="U810" s="46"/>
      <c r="V810" s="125">
        <f>IFERROR(INDEX('Non-Labor Expenditures'!$E$7:$AA$91,MATCH($C810,'Non-Labor Expenditures'!$C$7:$C$91,0),MATCH($G810,'Non-Labor Expenditures'!$E$5:$AA$5,0)),"NA")</f>
        <v>23338.205921053581</v>
      </c>
      <c r="W810" s="125">
        <f t="shared" si="1487"/>
        <v>267.00614276949881</v>
      </c>
      <c r="X810" s="131">
        <f>LN(W810/W809)</f>
        <v>-7.2353560258393471E-2</v>
      </c>
      <c r="Y810" s="131"/>
      <c r="Z810" s="131"/>
      <c r="AA810" s="131"/>
      <c r="AB810" s="131"/>
      <c r="AC810" s="125">
        <f t="shared" si="1467"/>
        <v>12632.896780113124</v>
      </c>
      <c r="AD810" s="129"/>
      <c r="AE810" s="133">
        <v>1042.6172698828514</v>
      </c>
      <c r="AF810" s="134">
        <v>3.1893428325918224E-2</v>
      </c>
      <c r="AG810" s="59">
        <f t="shared" si="1488"/>
        <v>0</v>
      </c>
      <c r="AH810" s="134"/>
      <c r="AI810" s="134"/>
      <c r="AJ810" s="129">
        <f t="shared" si="1458"/>
        <v>52086.569529234133</v>
      </c>
      <c r="AK810" s="134">
        <f>LN(AJ810/AJ809)</f>
        <v>5.6015059822579337E-4</v>
      </c>
      <c r="AL810" s="129"/>
      <c r="AM810" s="129"/>
      <c r="AN810" s="129"/>
      <c r="AO810" s="129"/>
      <c r="AP810" s="133"/>
      <c r="AQ810" s="134"/>
      <c r="AR810" s="93">
        <f t="shared" si="1489"/>
        <v>0.30939773868237674</v>
      </c>
      <c r="AS810" s="93">
        <f t="shared" si="1490"/>
        <v>0.44806571313848509</v>
      </c>
      <c r="AT810" s="93">
        <f t="shared" si="1491"/>
        <v>0.24253654817913817</v>
      </c>
      <c r="AU810" s="93">
        <f t="shared" ref="AU810:AU826" ca="1" si="1494">+(((AR810+AR809)/2)*M810+((AS809+AS810)/2)*X810+((AT809+AT810)/2)*AF810)</f>
        <v>-5.5049942238897857E-2</v>
      </c>
      <c r="AV810" s="132">
        <v>100</v>
      </c>
      <c r="AW810" s="134"/>
      <c r="AX810" s="15"/>
      <c r="AY810" s="93"/>
      <c r="AZ810" s="93"/>
      <c r="BA810" s="93"/>
      <c r="BB810" s="234">
        <f>IFERROR(INDEX('Total Customers'!$E$7:$AA$91,MATCH($C810,'Total Customers'!$C$7:$C$91,0),MATCH($G810,'Total Customers'!$E$5:$AA$5,0)),"NA")</f>
        <v>124098</v>
      </c>
      <c r="BC810" s="269">
        <f t="shared" si="1420"/>
        <v>4.2071324798480681E-3</v>
      </c>
      <c r="BD810" s="92"/>
      <c r="BE810" s="299" t="str">
        <f t="shared" si="1410"/>
        <v>ORANGE AND ROCKLAND UTILITIES, INC.</v>
      </c>
      <c r="BF810" s="300">
        <f t="shared" si="1411"/>
        <v>4057093</v>
      </c>
      <c r="BG810" s="231" t="str">
        <f t="shared" si="1412"/>
        <v>NY</v>
      </c>
      <c r="BH810" s="231"/>
      <c r="BI810" s="231" t="str">
        <f t="shared" si="1413"/>
        <v>2005 Y</v>
      </c>
      <c r="BJ810" s="129"/>
      <c r="BK810" s="129"/>
      <c r="BL810" s="129">
        <f>INDEX('Dist. Plant Gas Additions'!$E$7:$AD$91,MATCH($C810,'Dist. Plant Gas Additions'!$C$7:$C$91,0),MATCH(Calculation!$G810,'Dist. Plant Gas Additions'!$E$5:$AD$5,0))</f>
        <v>17182</v>
      </c>
      <c r="BM810" s="129">
        <f>INDEX('Gen. Plant Additions'!$E$7:$AD$91,MATCH($C810,'Gen. Plant Additions'!$C$7:$C$91,0),MATCH(Calculation!$G810,'Gen. Plant Additions'!$E$5:$AD$5,0))</f>
        <v>1022</v>
      </c>
      <c r="BN810" s="301">
        <f t="shared" si="1468"/>
        <v>0.97831764989745451</v>
      </c>
      <c r="BO810" s="231">
        <f t="shared" si="1396"/>
        <v>999.84063819519849</v>
      </c>
      <c r="BP810" s="231">
        <f t="shared" si="1397"/>
        <v>-22.159361804801506</v>
      </c>
      <c r="BQ810" s="129">
        <f>INDEX('Dist Plant Depreciation'!$D$7:$AC$94,MATCH($C810,'Dist Plant Depreciation'!$C$7:$C$94,0),MATCH(Calculation!$G810,'Dist Plant Depreciation'!$D$5:$AC$5,0))</f>
        <v>100043</v>
      </c>
      <c r="BR810" s="129">
        <f>INDEX('Gen. Plant Depreciation'!$D$7:$AC$94,MATCH($C810,'Gen. Plant Depreciation'!$C$7:$C$94,0),MATCH(Calculation!$G810,'Gen. Plant Depreciation'!$D$5:$AC$5,0))</f>
        <v>2987</v>
      </c>
      <c r="BS810" s="129"/>
      <c r="BT810" s="129"/>
      <c r="BU810" s="129"/>
      <c r="BV810" s="129"/>
      <c r="BW810" s="129"/>
      <c r="BX810" s="137"/>
      <c r="BY810" s="129">
        <f>INDEX('Gross Dx Plant'!$D$7:$AC$91,MATCH($C810,'Gross Dx Plant'!$C$7:$C$91,0),MATCH(Calculation!$G810,'Gross Dx Plant'!$D$5:$AC$5,0))</f>
        <v>324371</v>
      </c>
      <c r="BZ810" s="129">
        <f>INDEX('Gross Gen Plant'!$D$7:$AC$91,MATCH($C810,'Gross Gen Plant'!$C$7:$C$91,0),MATCH(Calculation!$G810,'Gross Gen Plant'!$D$5:$AC$5,0))</f>
        <v>7189</v>
      </c>
      <c r="CA810" s="129">
        <f t="shared" si="1457"/>
        <v>228530</v>
      </c>
      <c r="CB810" s="129"/>
      <c r="CC810" s="133">
        <v>2005</v>
      </c>
      <c r="CD810" s="129"/>
      <c r="CE810" s="129"/>
      <c r="CF810" s="129"/>
      <c r="CG810" s="137"/>
      <c r="CH810" s="129">
        <f t="shared" si="1469"/>
        <v>18204</v>
      </c>
      <c r="CI810" s="46">
        <f t="shared" si="1478"/>
        <v>18181.840638195197</v>
      </c>
      <c r="CJ810" s="231">
        <f t="shared" si="1470"/>
        <v>38.750301466555314</v>
      </c>
      <c r="CK810" s="443">
        <v>0.9263157894736842</v>
      </c>
      <c r="CL810" s="231">
        <f>+CL803*CK810+CJ804*CK809+CJ805*CK808+CJ806*CK807+CJ807*CK806+CJ808*CK805+CJ809*CK804+CJ810</f>
        <v>1010.13549313163</v>
      </c>
      <c r="CM810" s="134">
        <f t="shared" si="1471"/>
        <v>2.7427243867483138E-2</v>
      </c>
      <c r="CN810" s="135">
        <f t="shared" si="1472"/>
        <v>1.1621367242587355E-2</v>
      </c>
      <c r="CO810" s="135">
        <f t="shared" si="1481"/>
        <v>1.1330134596380789E-2</v>
      </c>
      <c r="CP810" s="134">
        <f>VLOOKUP($H810,RoR!$E:$F,2,FALSE)</f>
        <v>5.2350000000000001E-2</v>
      </c>
      <c r="CQ810" s="135">
        <v>3.1010403642454332E-2</v>
      </c>
      <c r="CR810" s="135">
        <f t="shared" si="1479"/>
        <v>2.1339596357545669E-2</v>
      </c>
      <c r="CS810" s="135">
        <f t="shared" si="1482"/>
        <v>1.9571807012152838E-2</v>
      </c>
      <c r="CT810" s="135">
        <f t="shared" si="1483"/>
        <v>9.2129610649277341E-2</v>
      </c>
      <c r="CU810" s="139">
        <f t="shared" si="1473"/>
        <v>0.85329623209999994</v>
      </c>
      <c r="CV810" s="335">
        <f t="shared" si="1474"/>
        <v>0.97959983346802826</v>
      </c>
      <c r="CW810" s="335">
        <f t="shared" si="1475"/>
        <v>0.49744508118433622</v>
      </c>
      <c r="CX810" s="335">
        <f t="shared" si="1476"/>
        <v>0.87010519444335932</v>
      </c>
      <c r="CY810" s="335">
        <f t="shared" si="1477"/>
        <v>0.42399975420741998</v>
      </c>
      <c r="CZ810" s="336">
        <f>INDEX('State Tax Lookup'!$D$7:$Z$91,MATCH(Calculation!$C810,'State Tax Lookup'!$B$7:$B$91,0),MATCH($H810,'State Tax Lookup'!$D$6:$Z$6,0))</f>
        <v>0.39649667</v>
      </c>
      <c r="DA810" s="302">
        <v>0.37</v>
      </c>
      <c r="DB810" s="57">
        <f t="shared" si="1480"/>
        <v>12.853897047669658</v>
      </c>
      <c r="DC810" s="56">
        <f t="shared" si="1484"/>
        <v>0.11446623808704319</v>
      </c>
      <c r="DD810" s="303">
        <f>VLOOKUP($H810,RoR!$E:$F,2,FALSE)</f>
        <v>5.2350000000000001E-2</v>
      </c>
      <c r="DE810" s="304">
        <f>HLOOKUP($H810,'GDP-PI'!$D$8:$CQ$11,3,FALSE)</f>
        <v>3.1010403642454332E-2</v>
      </c>
      <c r="DF810" s="303">
        <f>VLOOKUP(H810,'HW Dx Data'!$E:$F,2,FALSE)</f>
        <v>469.20514034936258</v>
      </c>
      <c r="DG810" s="364">
        <f ca="1">VLOOKUP(CC810,'ECI - Input Price'!M$13:N$33,2,FALSE)</f>
        <v>99.224999999999994</v>
      </c>
      <c r="DH810" s="364"/>
      <c r="DI810" s="364"/>
      <c r="DJ810" s="56">
        <f t="shared" ca="1" si="1492"/>
        <v>5.0378726854569796E-2</v>
      </c>
      <c r="DK810" s="53">
        <f>HLOOKUP(H810,'GDP-PI'!$8:$9,2,FALSE)</f>
        <v>87.406999999999996</v>
      </c>
      <c r="DL810" s="355">
        <f t="shared" si="1485"/>
        <v>3.0539295810733648E-2</v>
      </c>
      <c r="EC810"/>
    </row>
    <row r="811" spans="1:133" s="126" customFormat="1" ht="21" customHeight="1" x14ac:dyDescent="0.4">
      <c r="A811" s="233" t="s">
        <v>229</v>
      </c>
      <c r="B811" s="127" t="s">
        <v>229</v>
      </c>
      <c r="C811" s="127">
        <v>4057093</v>
      </c>
      <c r="D811" s="127" t="s">
        <v>194</v>
      </c>
      <c r="E811" s="127" t="s">
        <v>15</v>
      </c>
      <c r="F811" s="127"/>
      <c r="G811" s="127" t="s">
        <v>162</v>
      </c>
      <c r="H811" s="128">
        <v>2006</v>
      </c>
      <c r="I811" s="129"/>
      <c r="J811" s="125">
        <f>IFERROR(INDEX('Labor Expenditures'!$E$7:$W$91,MATCH($C811,'Labor Expenditures'!$C$7:$C$91,0),MATCH($G811,'Labor Expenditures'!$E$5:$W$5,0)),"NA")</f>
        <v>16486.183717010565</v>
      </c>
      <c r="K811" s="125">
        <f t="shared" ca="1" si="1486"/>
        <v>150.69637766920076</v>
      </c>
      <c r="L811" s="47"/>
      <c r="M811" s="131">
        <f t="shared" ca="1" si="1493"/>
        <v>-7.4877695060803107E-2</v>
      </c>
      <c r="N811" s="131"/>
      <c r="O811" s="131"/>
      <c r="P811" s="59">
        <f t="shared" ref="P811:P827" ca="1" si="1495">+M811*$AX811</f>
        <v>-5.4205904522270233E-4</v>
      </c>
      <c r="Q811" s="61"/>
      <c r="R811" s="387"/>
      <c r="S811" s="49">
        <f ca="1">+S810*EXP(T811)</f>
        <v>109.52836311437792</v>
      </c>
      <c r="T811" s="61">
        <f ca="1">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</f>
        <v>9.1013353603169297E-2</v>
      </c>
      <c r="U811" s="61"/>
      <c r="V811" s="125">
        <f>IFERROR(INDEX('Non-Labor Expenditures'!$E$7:$AA$91,MATCH($C811,'Non-Labor Expenditures'!$C$7:$C$91,0),MATCH($G811,'Non-Labor Expenditures'!$E$5:$AA$5,0)),"NA")</f>
        <v>23875.073216607118</v>
      </c>
      <c r="W811" s="125">
        <f t="shared" si="1487"/>
        <v>265.06065253688212</v>
      </c>
      <c r="X811" s="131">
        <f t="shared" ref="X811:X826" si="1496">LN(W811/W810)</f>
        <v>-7.312987467505516E-3</v>
      </c>
      <c r="Y811" s="131">
        <f t="shared" ref="Y811:Y827" si="1497">+X811*AX811</f>
        <v>-5.2940612035969775E-5</v>
      </c>
      <c r="Z811" s="131"/>
      <c r="AA811" s="131"/>
      <c r="AB811" s="131"/>
      <c r="AC811" s="125">
        <f t="shared" si="1467"/>
        <v>12581.936542322312</v>
      </c>
      <c r="AD811" s="129"/>
      <c r="AE811" s="133">
        <v>1081.4760468529091</v>
      </c>
      <c r="AF811" s="134">
        <v>3.6592660626369698E-2</v>
      </c>
      <c r="AG811" s="59">
        <f t="shared" si="1488"/>
        <v>2.6490375625453424E-4</v>
      </c>
      <c r="AH811" s="134"/>
      <c r="AI811" s="134"/>
      <c r="AJ811" s="129">
        <f t="shared" si="1458"/>
        <v>52943.193475939996</v>
      </c>
      <c r="AK811" s="134">
        <f t="shared" ref="AK811:AK827" si="1498">LN(AJ811/AJ810)</f>
        <v>1.6312384552924507E-2</v>
      </c>
      <c r="AL811" s="129"/>
      <c r="AM811" s="129"/>
      <c r="AN811" s="129"/>
      <c r="AO811" s="129"/>
      <c r="AP811" s="133">
        <f t="shared" ref="AP811:AP827" si="1499">+(AJ811*1000)/BB811</f>
        <v>422.79128814946131</v>
      </c>
      <c r="AQ811" s="134">
        <f>+BB811/Outputs!$B$14</f>
        <v>3.6106622880722199E-3</v>
      </c>
      <c r="AR811" s="93">
        <f t="shared" si="1489"/>
        <v>0.31139382864206522</v>
      </c>
      <c r="AS811" s="93">
        <f t="shared" si="1490"/>
        <v>0.45095642421829224</v>
      </c>
      <c r="AT811" s="93">
        <f t="shared" si="1491"/>
        <v>0.23764974713964251</v>
      </c>
      <c r="AU811" s="93">
        <f t="shared" ca="1" si="1494"/>
        <v>-1.7743342577951925E-2</v>
      </c>
      <c r="AV811" s="132">
        <f ca="1">+AV810*EXP(AU811)</f>
        <v>98.241314362863235</v>
      </c>
      <c r="AW811" s="134">
        <f ca="1">LN(AV811/AV810)</f>
        <v>-1.7743342577951911E-2</v>
      </c>
      <c r="AX811" s="56">
        <f>+AJ811/$AL$11</f>
        <v>7.2392592317716623E-3</v>
      </c>
      <c r="AY811" s="135">
        <f ca="1">+AX811*AW811</f>
        <v>-1.2844865655992557E-4</v>
      </c>
      <c r="AZ811" s="93"/>
      <c r="BA811" s="93"/>
      <c r="BB811" s="234">
        <f>IFERROR(INDEX('Total Customers'!$E$7:$AA$91,MATCH($C811,'Total Customers'!$C$7:$C$91,0),MATCH($G811,'Total Customers'!$E$5:$AA$5,0)),"NA")</f>
        <v>125223</v>
      </c>
      <c r="BC811" s="269">
        <f t="shared" si="1420"/>
        <v>9.0245718191502185E-3</v>
      </c>
      <c r="BD811" s="92"/>
      <c r="BE811" s="299" t="str">
        <f t="shared" si="1410"/>
        <v>ORANGE AND ROCKLAND UTILITIES, INC.</v>
      </c>
      <c r="BF811" s="300">
        <f t="shared" si="1411"/>
        <v>4057093</v>
      </c>
      <c r="BG811" s="231" t="str">
        <f t="shared" si="1412"/>
        <v>NY</v>
      </c>
      <c r="BH811" s="231"/>
      <c r="BI811" s="231" t="str">
        <f t="shared" si="1413"/>
        <v>2006 Y</v>
      </c>
      <c r="BJ811" s="129"/>
      <c r="BK811" s="129"/>
      <c r="BL811" s="129">
        <f>INDEX('Dist. Plant Gas Additions'!$E$7:$AD$91,MATCH($C811,'Dist. Plant Gas Additions'!$C$7:$C$91,0),MATCH(Calculation!$G811,'Dist. Plant Gas Additions'!$E$5:$AD$5,0))</f>
        <v>19456</v>
      </c>
      <c r="BM811" s="129">
        <f>INDEX('Gen. Plant Additions'!$E$7:$AD$91,MATCH($C811,'Gen. Plant Additions'!$C$7:$C$91,0),MATCH(Calculation!$G811,'Gen. Plant Additions'!$E$5:$AD$5,0))</f>
        <v>1441</v>
      </c>
      <c r="BN811" s="301">
        <f t="shared" si="1468"/>
        <v>0.97807214253678687</v>
      </c>
      <c r="BO811" s="231">
        <f t="shared" si="1396"/>
        <v>1409.40195739551</v>
      </c>
      <c r="BP811" s="231">
        <f t="shared" si="1397"/>
        <v>-31.598042604490047</v>
      </c>
      <c r="BQ811" s="129">
        <f>INDEX('Dist Plant Depreciation'!$D$7:$AC$94,MATCH($C811,'Dist Plant Depreciation'!$C$7:$C$94,0),MATCH(Calculation!$G811,'Dist Plant Depreciation'!$D$5:$AC$5,0))</f>
        <v>105825</v>
      </c>
      <c r="BR811" s="129">
        <f>INDEX('Gen. Plant Depreciation'!$D$7:$AC$94,MATCH($C811,'Gen. Plant Depreciation'!$C$7:$C$94,0),MATCH(Calculation!$G811,'Gen. Plant Depreciation'!$D$5:$AC$5,0))</f>
        <v>2562</v>
      </c>
      <c r="BS811" s="129"/>
      <c r="BT811" s="129"/>
      <c r="BU811" s="129"/>
      <c r="BV811" s="129"/>
      <c r="BW811" s="129"/>
      <c r="BX811" s="137"/>
      <c r="BY811" s="129">
        <f>INDEX('Gross Dx Plant'!$D$7:$AC$91,MATCH($C811,'Gross Dx Plant'!$C$7:$C$91,0),MATCH(Calculation!$G811,'Gross Dx Plant'!$D$5:$AC$5,0))</f>
        <v>342381</v>
      </c>
      <c r="BZ811" s="129">
        <f>INDEX('Gross Gen Plant'!$D$7:$AC$91,MATCH($C811,'Gross Gen Plant'!$C$7:$C$91,0),MATCH(Calculation!$G811,'Gross Gen Plant'!$D$5:$AC$5,0))</f>
        <v>7676</v>
      </c>
      <c r="CA811" s="129">
        <f t="shared" si="1457"/>
        <v>241670</v>
      </c>
      <c r="CB811" s="134"/>
      <c r="CC811" s="133">
        <v>2006</v>
      </c>
      <c r="CD811" s="129"/>
      <c r="CE811" s="129"/>
      <c r="CF811" s="129"/>
      <c r="CG811" s="137"/>
      <c r="CH811" s="129">
        <f t="shared" si="1469"/>
        <v>20897</v>
      </c>
      <c r="CI811" s="46">
        <f t="shared" si="1478"/>
        <v>20865.401957395508</v>
      </c>
      <c r="CJ811" s="231">
        <f t="shared" si="1470"/>
        <v>45.252765790505286</v>
      </c>
      <c r="CK811" s="443">
        <v>0.91489361702127658</v>
      </c>
      <c r="CL811" s="231">
        <f>+CL803*CK811+CJ804*CK810+CJ805*CK809+CJ806*CK808+CJ807*CK807+CJ808*CK806+CJ809*CK805+CJ810*CK804+CJ811</f>
        <v>1043.3419690994681</v>
      </c>
      <c r="CM811" s="134">
        <f t="shared" si="1471"/>
        <v>3.2344519470719063E-2</v>
      </c>
      <c r="CN811" s="135">
        <f t="shared" si="1472"/>
        <v>1.1925419812070185E-2</v>
      </c>
      <c r="CO811" s="135">
        <f t="shared" si="1481"/>
        <v>1.162457910912159E-2</v>
      </c>
      <c r="CP811" s="134">
        <f>VLOOKUP($H811,RoR!$E:$F,2,FALSE)</f>
        <v>5.5874999999999994E-2</v>
      </c>
      <c r="CQ811" s="135">
        <v>3.0512430354548314E-2</v>
      </c>
      <c r="CR811" s="135">
        <f t="shared" si="1479"/>
        <v>2.536256964545168E-2</v>
      </c>
      <c r="CS811" s="135">
        <f t="shared" si="1482"/>
        <v>1.9277362499412035E-2</v>
      </c>
      <c r="CT811" s="135">
        <f t="shared" si="1483"/>
        <v>7.9087823893859641E-2</v>
      </c>
      <c r="CU811" s="139">
        <f t="shared" si="1473"/>
        <v>0.85329623209999994</v>
      </c>
      <c r="CV811" s="335">
        <f t="shared" si="1474"/>
        <v>0.91779957551769631</v>
      </c>
      <c r="CW811" s="335">
        <f t="shared" si="1475"/>
        <v>0.52757270693512304</v>
      </c>
      <c r="CX811" s="335">
        <f t="shared" si="1476"/>
        <v>0.88636824549024895</v>
      </c>
      <c r="CY811" s="335">
        <f t="shared" si="1477"/>
        <v>0.42918482841932087</v>
      </c>
      <c r="CZ811" s="336">
        <f>INDEX('State Tax Lookup'!$D$7:$Z$91,MATCH(Calculation!$C811,'State Tax Lookup'!$B$7:$B$91,0),MATCH($H811,'State Tax Lookup'!$D$6:$Z$6,0))</f>
        <v>0.39649667</v>
      </c>
      <c r="DA811" s="302">
        <v>0.37</v>
      </c>
      <c r="DB811" s="57">
        <f t="shared" si="1480"/>
        <v>12.455691961991844</v>
      </c>
      <c r="DC811" s="56">
        <f t="shared" si="1484"/>
        <v>-3.1469333420372225E-2</v>
      </c>
      <c r="DD811" s="303">
        <f>VLOOKUP($H811,RoR!$E:$F,2,FALSE)</f>
        <v>5.5874999999999994E-2</v>
      </c>
      <c r="DE811" s="304">
        <f>HLOOKUP($H811,'GDP-PI'!$D$8:$CQ$11,3,FALSE)</f>
        <v>3.0512430354548314E-2</v>
      </c>
      <c r="DF811" s="303">
        <f>VLOOKUP(H811,'HW Dx Data'!$E:$F,2,FALSE)</f>
        <v>461.08567272971823</v>
      </c>
      <c r="DG811" s="364">
        <f ca="1">VLOOKUP(CC811,'ECI - Input Price'!M$13:N$33,2,FALSE)</f>
        <v>109.4</v>
      </c>
      <c r="DH811" s="364"/>
      <c r="DI811" s="364"/>
      <c r="DJ811" s="56">
        <f t="shared" ca="1" si="1492"/>
        <v>9.7620891318751846E-2</v>
      </c>
      <c r="DK811" s="53">
        <f>HLOOKUP(H811,'GDP-PI'!$8:$9,2,FALSE)</f>
        <v>90.073999999999998</v>
      </c>
      <c r="DL811" s="355">
        <f t="shared" si="1485"/>
        <v>3.005618372545445E-2</v>
      </c>
      <c r="EC811"/>
    </row>
    <row r="812" spans="1:133" s="126" customFormat="1" ht="21" customHeight="1" x14ac:dyDescent="0.4">
      <c r="A812" s="233" t="s">
        <v>229</v>
      </c>
      <c r="B812" s="127" t="s">
        <v>229</v>
      </c>
      <c r="C812" s="127">
        <v>4057093</v>
      </c>
      <c r="D812" s="127" t="s">
        <v>194</v>
      </c>
      <c r="E812" s="127" t="s">
        <v>15</v>
      </c>
      <c r="F812" s="127"/>
      <c r="G812" s="127" t="s">
        <v>163</v>
      </c>
      <c r="H812" s="128">
        <v>2007</v>
      </c>
      <c r="I812" s="129"/>
      <c r="J812" s="125">
        <f>IFERROR(INDEX('Labor Expenditures'!$E$7:$W$91,MATCH($C812,'Labor Expenditures'!$C$7:$C$91,0),MATCH($G812,'Labor Expenditures'!$E$5:$W$5,0)),"NA")</f>
        <v>18938.125283413814</v>
      </c>
      <c r="K812" s="125">
        <f t="shared" ca="1" si="1486"/>
        <v>181.1827341154156</v>
      </c>
      <c r="L812" s="47"/>
      <c r="M812" s="131">
        <f t="shared" ca="1" si="1493"/>
        <v>0.18423903408724265</v>
      </c>
      <c r="N812" s="131"/>
      <c r="O812" s="131"/>
      <c r="P812" s="59">
        <f t="shared" ca="1" si="1495"/>
        <v>1.4472216233997904E-3</v>
      </c>
      <c r="Q812" s="61"/>
      <c r="R812" s="387"/>
      <c r="S812" s="49">
        <f t="shared" ref="S812:S825" ca="1" si="1500">+S811*EXP(T812)</f>
        <v>118.43317157306322</v>
      </c>
      <c r="T812" s="61">
        <f ca="1">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</f>
        <v>7.8165308932706012E-2</v>
      </c>
      <c r="U812" s="61"/>
      <c r="V812" s="125">
        <f>IFERROR(INDEX('Non-Labor Expenditures'!$E$7:$AA$91,MATCH($C812,'Non-Labor Expenditures'!$C$7:$C$91,0),MATCH($G812,'Non-Labor Expenditures'!$E$5:$AA$5,0)),"NA")</f>
        <v>27425.942564272918</v>
      </c>
      <c r="W812" s="125">
        <f t="shared" si="1487"/>
        <v>296.50308724808013</v>
      </c>
      <c r="X812" s="131">
        <f t="shared" si="1496"/>
        <v>0.1120989533919521</v>
      </c>
      <c r="Y812" s="131">
        <f t="shared" si="1497"/>
        <v>8.8055188800271642E-4</v>
      </c>
      <c r="Z812" s="131"/>
      <c r="AA812" s="131"/>
      <c r="AB812" s="131"/>
      <c r="AC812" s="125">
        <f t="shared" si="1467"/>
        <v>13848.377082607687</v>
      </c>
      <c r="AD812" s="129"/>
      <c r="AE812" s="133">
        <v>1113.6869343255655</v>
      </c>
      <c r="AF812" s="134">
        <v>2.9349255489111728E-2</v>
      </c>
      <c r="AG812" s="59">
        <f t="shared" si="1488"/>
        <v>2.305422267596907E-4</v>
      </c>
      <c r="AH812" s="134"/>
      <c r="AI812" s="134"/>
      <c r="AJ812" s="129">
        <f t="shared" si="1458"/>
        <v>60212.444930294419</v>
      </c>
      <c r="AK812" s="134">
        <f t="shared" si="1498"/>
        <v>0.12865953983434061</v>
      </c>
      <c r="AL812" s="129"/>
      <c r="AM812" s="129"/>
      <c r="AN812" s="129"/>
      <c r="AO812" s="129"/>
      <c r="AP812" s="133">
        <f t="shared" si="1499"/>
        <v>479.60846652829196</v>
      </c>
      <c r="AQ812" s="134">
        <f>+BB812/Outputs!$B$15</f>
        <v>3.5926919531856028E-3</v>
      </c>
      <c r="AR812" s="93">
        <f t="shared" si="1489"/>
        <v>0.31452177876745807</v>
      </c>
      <c r="AS812" s="93">
        <f t="shared" si="1490"/>
        <v>0.45548628022035731</v>
      </c>
      <c r="AT812" s="93">
        <f t="shared" si="1491"/>
        <v>0.22999194101218459</v>
      </c>
      <c r="AU812" s="93">
        <f t="shared" ca="1" si="1494"/>
        <v>0.11532715039476553</v>
      </c>
      <c r="AV812" s="132">
        <f ca="1">+AV811*EXP(AU812)</f>
        <v>110.25038361311132</v>
      </c>
      <c r="AW812" s="134">
        <f ca="1">LN(AV812/AV811)</f>
        <v>0.11532715039476546</v>
      </c>
      <c r="AX812" s="56">
        <f>+AJ812/$AL$12</f>
        <v>7.8551303233303314E-3</v>
      </c>
      <c r="AY812" s="135">
        <f t="shared" ref="AY812:AY826" ca="1" si="1501">+AX812*AW812</f>
        <v>9.0590979616919979E-4</v>
      </c>
      <c r="AZ812" s="93"/>
      <c r="BA812" s="93"/>
      <c r="BB812" s="234">
        <f>IFERROR(INDEX('Total Customers'!$E$7:$AA$91,MATCH($C812,'Total Customers'!$C$7:$C$91,0),MATCH($G812,'Total Customers'!$E$5:$AA$5,0)),"NA")</f>
        <v>125545</v>
      </c>
      <c r="BC812" s="269">
        <f t="shared" si="1420"/>
        <v>2.5681121751672848E-3</v>
      </c>
      <c r="BD812" s="92"/>
      <c r="BE812" s="299" t="str">
        <f t="shared" si="1410"/>
        <v>ORANGE AND ROCKLAND UTILITIES, INC.</v>
      </c>
      <c r="BF812" s="300">
        <f t="shared" si="1411"/>
        <v>4057093</v>
      </c>
      <c r="BG812" s="231" t="str">
        <f t="shared" si="1412"/>
        <v>NY</v>
      </c>
      <c r="BH812" s="231"/>
      <c r="BI812" s="231" t="str">
        <f t="shared" si="1413"/>
        <v>2007 Y</v>
      </c>
      <c r="BJ812" s="129"/>
      <c r="BK812" s="129"/>
      <c r="BL812" s="129">
        <f>INDEX('Dist. Plant Gas Additions'!$E$7:$AD$91,MATCH($C812,'Dist. Plant Gas Additions'!$C$7:$C$91,0),MATCH(Calculation!$G812,'Dist. Plant Gas Additions'!$E$5:$AD$5,0))</f>
        <v>17723</v>
      </c>
      <c r="BM812" s="129">
        <f>INDEX('Gen. Plant Additions'!$E$7:$AD$91,MATCH($C812,'Gen. Plant Additions'!$C$7:$C$91,0),MATCH(Calculation!$G812,'Gen. Plant Additions'!$E$5:$AD$5,0))</f>
        <v>1757</v>
      </c>
      <c r="BN812" s="301">
        <f t="shared" si="1468"/>
        <v>0.97650024748032394</v>
      </c>
      <c r="BO812" s="231">
        <f t="shared" si="1396"/>
        <v>1715.7109348229292</v>
      </c>
      <c r="BP812" s="231">
        <f t="shared" si="1397"/>
        <v>-41.289065177070825</v>
      </c>
      <c r="BQ812" s="129">
        <f>INDEX('Dist Plant Depreciation'!$D$7:$AC$94,MATCH($C812,'Dist Plant Depreciation'!$C$7:$C$94,0),MATCH(Calculation!$G812,'Dist Plant Depreciation'!$D$5:$AC$5,0))</f>
        <v>111909</v>
      </c>
      <c r="BR812" s="129">
        <f>INDEX('Gen. Plant Depreciation'!$D$7:$AC$94,MATCH($C812,'Gen. Plant Depreciation'!$C$7:$C$94,0),MATCH(Calculation!$G812,'Gen. Plant Depreciation'!$D$5:$AC$5,0))</f>
        <v>2352</v>
      </c>
      <c r="BS812" s="129"/>
      <c r="BT812" s="129"/>
      <c r="BU812" s="129"/>
      <c r="BV812" s="129"/>
      <c r="BW812" s="129"/>
      <c r="BX812" s="137"/>
      <c r="BY812" s="129">
        <f>INDEX('Gross Dx Plant'!$D$7:$AC$91,MATCH($C812,'Gross Dx Plant'!$C$7:$C$91,0),MATCH(Calculation!$G812,'Gross Dx Plant'!$D$5:$AC$5,0))</f>
        <v>359065</v>
      </c>
      <c r="BZ812" s="129">
        <f>INDEX('Gross Gen Plant'!$D$7:$AC$91,MATCH($C812,'Gross Gen Plant'!$C$7:$C$91,0),MATCH(Calculation!$G812,'Gross Gen Plant'!$D$5:$AC$5,0))</f>
        <v>8641</v>
      </c>
      <c r="CA812" s="129">
        <f t="shared" si="1457"/>
        <v>253445</v>
      </c>
      <c r="CB812" s="129"/>
      <c r="CC812" s="133">
        <v>2007</v>
      </c>
      <c r="CD812" s="129"/>
      <c r="CE812" s="129"/>
      <c r="CF812" s="129"/>
      <c r="CG812" s="137"/>
      <c r="CH812" s="129">
        <f t="shared" si="1469"/>
        <v>19480</v>
      </c>
      <c r="CI812" s="46">
        <f t="shared" si="1478"/>
        <v>19438.710934822928</v>
      </c>
      <c r="CJ812" s="231">
        <f t="shared" si="1470"/>
        <v>39.031807071123836</v>
      </c>
      <c r="CK812" s="443">
        <v>0.90322580645161288</v>
      </c>
      <c r="CL812" s="231">
        <f>+CL803*CK812+CJ804*CK811+CJ805*CK810+CJ806*CK809+CJ807*CK808+CJ808*CK807+CJ809*CK806+CJ810*CK805+CJ811*CK804+CJ812</f>
        <v>1069.6229849665399</v>
      </c>
      <c r="CM812" s="134">
        <f t="shared" si="1471"/>
        <v>2.4877242943392577E-2</v>
      </c>
      <c r="CN812" s="135">
        <f t="shared" si="1472"/>
        <v>1.2221104471679147E-2</v>
      </c>
      <c r="CO812" s="135">
        <f t="shared" si="1481"/>
        <v>1.1922630508778896E-2</v>
      </c>
      <c r="CP812" s="134">
        <f>VLOOKUP($H812,RoR!$E:$F,2,FALSE)</f>
        <v>5.5558333333333321E-2</v>
      </c>
      <c r="CQ812" s="135">
        <v>2.691120634145272E-2</v>
      </c>
      <c r="CR812" s="135">
        <f t="shared" si="1479"/>
        <v>2.86471269918806E-2</v>
      </c>
      <c r="CS812" s="135">
        <f t="shared" si="1482"/>
        <v>1.8979311099754731E-2</v>
      </c>
      <c r="CT812" s="135">
        <f t="shared" si="1483"/>
        <v>6.4575155250632399E-2</v>
      </c>
      <c r="CU812" s="139">
        <f t="shared" si="1473"/>
        <v>0.85329623209999994</v>
      </c>
      <c r="CV812" s="335">
        <f t="shared" si="1474"/>
        <v>0.92303077153834634</v>
      </c>
      <c r="CW812" s="335">
        <f t="shared" si="1475"/>
        <v>0.52502249887505614</v>
      </c>
      <c r="CX812" s="335">
        <f t="shared" si="1476"/>
        <v>0.88499666072084604</v>
      </c>
      <c r="CY812" s="335">
        <f t="shared" si="1477"/>
        <v>0.42887993290280618</v>
      </c>
      <c r="CZ812" s="336">
        <f>INDEX('State Tax Lookup'!$D$7:$Z$91,MATCH(Calculation!$C812,'State Tax Lookup'!$B$7:$B$91,0),MATCH($H812,'State Tax Lookup'!$D$6:$Z$6,0))</f>
        <v>0.39649667</v>
      </c>
      <c r="DA812" s="302">
        <v>0.37</v>
      </c>
      <c r="DB812" s="57">
        <f t="shared" si="1480"/>
        <v>13.273095008878569</v>
      </c>
      <c r="DC812" s="56">
        <f t="shared" si="1484"/>
        <v>6.3561350539210693E-2</v>
      </c>
      <c r="DD812" s="303">
        <f>VLOOKUP($H812,RoR!$E:$F,2,FALSE)</f>
        <v>5.5558333333333321E-2</v>
      </c>
      <c r="DE812" s="304">
        <f>HLOOKUP($H812,'GDP-PI'!$D$8:$CQ$11,3,FALSE)</f>
        <v>2.691120634145272E-2</v>
      </c>
      <c r="DF812" s="303">
        <f>VLOOKUP(H812,'HW Dx Data'!$E:$F,2,FALSE)</f>
        <v>498.0223154772637</v>
      </c>
      <c r="DG812" s="364">
        <f ca="1">VLOOKUP(CC812,'ECI - Input Price'!M$13:N$33,2,FALSE)</f>
        <v>104.52499999999999</v>
      </c>
      <c r="DH812" s="364"/>
      <c r="DI812" s="364"/>
      <c r="DJ812" s="56">
        <f t="shared" ca="1" si="1492"/>
        <v>-4.5584612745252218E-2</v>
      </c>
      <c r="DK812" s="53">
        <f>HLOOKUP(H812,'GDP-PI'!$8:$9,2,FALSE)</f>
        <v>92.498000000000005</v>
      </c>
      <c r="DL812" s="355">
        <f t="shared" si="1485"/>
        <v>2.6555467950038037E-2</v>
      </c>
      <c r="EC812"/>
    </row>
    <row r="813" spans="1:133" s="126" customFormat="1" ht="21" customHeight="1" x14ac:dyDescent="0.4">
      <c r="A813" s="233" t="s">
        <v>229</v>
      </c>
      <c r="B813" s="127" t="s">
        <v>229</v>
      </c>
      <c r="C813" s="127">
        <v>4057093</v>
      </c>
      <c r="D813" s="127" t="s">
        <v>194</v>
      </c>
      <c r="E813" s="127" t="s">
        <v>15</v>
      </c>
      <c r="F813" s="127"/>
      <c r="G813" s="127" t="s">
        <v>164</v>
      </c>
      <c r="H813" s="128">
        <v>2008</v>
      </c>
      <c r="I813" s="129"/>
      <c r="J813" s="125">
        <f>IFERROR(INDEX('Labor Expenditures'!$E$7:$W$91,MATCH($C813,'Labor Expenditures'!$C$7:$C$91,0),MATCH($G813,'Labor Expenditures'!$E$5:$W$5,0)),"NA")</f>
        <v>18943.461785304688</v>
      </c>
      <c r="K813" s="125">
        <f t="shared" ca="1" si="1486"/>
        <v>175.56498410847718</v>
      </c>
      <c r="L813" s="47"/>
      <c r="M813" s="131">
        <f t="shared" ca="1" si="1493"/>
        <v>-3.149684854043279E-2</v>
      </c>
      <c r="N813" s="131"/>
      <c r="O813" s="131"/>
      <c r="P813" s="59">
        <f t="shared" ca="1" si="1495"/>
        <v>-2.4282240004772936E-4</v>
      </c>
      <c r="Q813" s="61"/>
      <c r="R813" s="387"/>
      <c r="S813" s="49">
        <f t="shared" ca="1" si="1500"/>
        <v>110.0872192316149</v>
      </c>
      <c r="T813" s="61">
        <f ca="1">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</f>
        <v>-7.307589480676964E-2</v>
      </c>
      <c r="U813" s="61"/>
      <c r="V813" s="125">
        <f>IFERROR(INDEX('Non-Labor Expenditures'!$E$7:$AA$91,MATCH($C813,'Non-Labor Expenditures'!$C$7:$C$91,0),MATCH($G813,'Non-Labor Expenditures'!$E$5:$AA$5,0)),"NA")</f>
        <v>27433.670815731974</v>
      </c>
      <c r="W813" s="125">
        <f t="shared" si="1487"/>
        <v>291.030200455444</v>
      </c>
      <c r="X813" s="131">
        <f t="shared" si="1496"/>
        <v>-1.863058726700452E-2</v>
      </c>
      <c r="Y813" s="131">
        <f t="shared" si="1497"/>
        <v>-1.4363100196088831E-4</v>
      </c>
      <c r="Z813" s="131"/>
      <c r="AA813" s="131"/>
      <c r="AB813" s="131"/>
      <c r="AC813" s="125">
        <f t="shared" si="1467"/>
        <v>15989.71662214935</v>
      </c>
      <c r="AD813" s="129"/>
      <c r="AE813" s="133">
        <v>1144.5522760622903</v>
      </c>
      <c r="AF813" s="134">
        <v>2.7337461686639378E-2</v>
      </c>
      <c r="AG813" s="59">
        <f t="shared" si="1488"/>
        <v>2.1075594434284974E-4</v>
      </c>
      <c r="AH813" s="134"/>
      <c r="AI813" s="134"/>
      <c r="AJ813" s="129">
        <f t="shared" si="1458"/>
        <v>62366.849223186015</v>
      </c>
      <c r="AK813" s="134">
        <f t="shared" si="1498"/>
        <v>3.5154814389879094E-2</v>
      </c>
      <c r="AL813" s="129"/>
      <c r="AM813" s="129"/>
      <c r="AN813" s="129"/>
      <c r="AO813" s="129"/>
      <c r="AP813" s="133">
        <f t="shared" si="1499"/>
        <v>492.81209630104394</v>
      </c>
      <c r="AQ813" s="134">
        <f>+BB813/Outputs!$B$16</f>
        <v>3.6021748251833844E-3</v>
      </c>
      <c r="AR813" s="93">
        <f t="shared" si="1489"/>
        <v>0.30374248533084641</v>
      </c>
      <c r="AS813" s="93">
        <f t="shared" si="1490"/>
        <v>0.43987585002984253</v>
      </c>
      <c r="AT813" s="93">
        <f t="shared" si="1491"/>
        <v>0.256381664639311</v>
      </c>
      <c r="AU813" s="93">
        <f t="shared" ca="1" si="1494"/>
        <v>-1.142913918878672E-2</v>
      </c>
      <c r="AV813" s="132">
        <f t="shared" ref="AV813:AV826" ca="1" si="1502">+AV812*EXP(AU813)</f>
        <v>108.99749001907978</v>
      </c>
      <c r="AW813" s="134">
        <f t="shared" ref="AW813:AW826" ca="1" si="1503">LN(AV813/AV812)</f>
        <v>-1.142913918878658E-2</v>
      </c>
      <c r="AX813" s="56">
        <f>+AJ813/$AL$13</f>
        <v>7.7094189196743297E-3</v>
      </c>
      <c r="AY813" s="135">
        <f t="shared" ca="1" si="1501"/>
        <v>-8.8112021897622576E-5</v>
      </c>
      <c r="AZ813" s="93"/>
      <c r="BA813" s="93"/>
      <c r="BB813" s="234">
        <f>IFERROR(INDEX('Total Customers'!$E$7:$AA$91,MATCH($C813,'Total Customers'!$C$7:$C$91,0),MATCH($G813,'Total Customers'!$E$5:$AA$5,0)),"NA")</f>
        <v>126553</v>
      </c>
      <c r="BC813" s="269">
        <f t="shared" si="1420"/>
        <v>7.9969327156314881E-3</v>
      </c>
      <c r="BD813" s="92"/>
      <c r="BE813" s="299" t="str">
        <f t="shared" si="1410"/>
        <v>ORANGE AND ROCKLAND UTILITIES, INC.</v>
      </c>
      <c r="BF813" s="300">
        <f t="shared" si="1411"/>
        <v>4057093</v>
      </c>
      <c r="BG813" s="231" t="str">
        <f t="shared" si="1412"/>
        <v>NY</v>
      </c>
      <c r="BH813" s="231"/>
      <c r="BI813" s="231" t="str">
        <f t="shared" si="1413"/>
        <v>2008 Y</v>
      </c>
      <c r="BJ813" s="129"/>
      <c r="BK813" s="129"/>
      <c r="BL813" s="129">
        <f>INDEX('Dist. Plant Gas Additions'!$E$7:$AD$91,MATCH($C813,'Dist. Plant Gas Additions'!$C$7:$C$91,0),MATCH(Calculation!$G813,'Dist. Plant Gas Additions'!$E$5:$AD$5,0))</f>
        <v>20764</v>
      </c>
      <c r="BM813" s="129">
        <f>INDEX('Gen. Plant Additions'!$E$7:$AD$91,MATCH($C813,'Gen. Plant Additions'!$C$7:$C$91,0),MATCH(Calculation!$G813,'Gen. Plant Additions'!$E$5:$AD$5,0))</f>
        <v>1004</v>
      </c>
      <c r="BN813" s="301">
        <f t="shared" si="1468"/>
        <v>0.97593202758734576</v>
      </c>
      <c r="BO813" s="231">
        <f t="shared" si="1396"/>
        <v>979.83575569769516</v>
      </c>
      <c r="BP813" s="231">
        <f t="shared" si="1397"/>
        <v>-24.164244302304837</v>
      </c>
      <c r="BQ813" s="129">
        <f>INDEX('Dist Plant Depreciation'!$D$7:$AC$94,MATCH($C813,'Dist Plant Depreciation'!$C$7:$C$94,0),MATCH(Calculation!$G813,'Dist Plant Depreciation'!$D$5:$AC$5,0))</f>
        <v>118144</v>
      </c>
      <c r="BR813" s="129">
        <f>INDEX('Gen. Plant Depreciation'!$D$7:$AC$94,MATCH($C813,'Gen. Plant Depreciation'!$C$7:$C$94,0),MATCH(Calculation!$G813,'Gen. Plant Depreciation'!$D$5:$AC$5,0))</f>
        <v>12065</v>
      </c>
      <c r="BS813" s="129"/>
      <c r="BT813" s="129"/>
      <c r="BU813" s="129"/>
      <c r="BV813" s="129"/>
      <c r="BW813" s="129"/>
      <c r="BX813" s="137"/>
      <c r="BY813" s="129">
        <f>INDEX('Gross Dx Plant'!$D$7:$AC$91,MATCH($C813,'Gross Dx Plant'!$C$7:$C$91,0),MATCH(Calculation!$G813,'Gross Dx Plant'!$D$5:$AC$5,0))</f>
        <v>378241</v>
      </c>
      <c r="BZ813" s="129">
        <f>INDEX('Gross Gen Plant'!$D$7:$AC$91,MATCH($C813,'Gross Gen Plant'!$C$7:$C$91,0),MATCH(Calculation!$G813,'Gross Gen Plant'!$D$5:$AC$5,0))</f>
        <v>9328</v>
      </c>
      <c r="CA813" s="129">
        <f t="shared" si="1457"/>
        <v>257360</v>
      </c>
      <c r="CB813" s="129"/>
      <c r="CC813" s="133">
        <v>2008</v>
      </c>
      <c r="CD813" s="129"/>
      <c r="CE813" s="129"/>
      <c r="CF813" s="129"/>
      <c r="CG813" s="137"/>
      <c r="CH813" s="129">
        <f t="shared" si="1469"/>
        <v>21768</v>
      </c>
      <c r="CI813" s="46">
        <f t="shared" si="1478"/>
        <v>21743.835755697695</v>
      </c>
      <c r="CJ813" s="231">
        <f t="shared" si="1470"/>
        <v>38.15503236191141</v>
      </c>
      <c r="CK813" s="443">
        <v>0.89130434782608692</v>
      </c>
      <c r="CL813" s="231">
        <f>+CL803*CK813+CJ804*CK812+CJ805*CK811+CJ806*CK810+CJ807*CK809+CJ808*CK808+CJ809*CK807+CJ810*CK806+CJ811*CK805+CJ812*CK804+CJ813</f>
        <v>1094.3670764543735</v>
      </c>
      <c r="CM813" s="134">
        <f t="shared" si="1471"/>
        <v>2.2869947899248285E-2</v>
      </c>
      <c r="CN813" s="135">
        <f t="shared" si="1472"/>
        <v>1.2538007375091397E-2</v>
      </c>
      <c r="CO813" s="135">
        <f t="shared" si="1481"/>
        <v>1.2228177219613575E-2</v>
      </c>
      <c r="CP813" s="134">
        <f>VLOOKUP($H813,RoR!$E:$F,2,FALSE)</f>
        <v>5.6316666666666668E-2</v>
      </c>
      <c r="CQ813" s="135">
        <v>1.9092304698479889E-2</v>
      </c>
      <c r="CR813" s="135">
        <f t="shared" si="1479"/>
        <v>3.7224361968186778E-2</v>
      </c>
      <c r="CS813" s="135">
        <f t="shared" si="1482"/>
        <v>1.8673764388920051E-2</v>
      </c>
      <c r="CT813" s="135">
        <f t="shared" si="1483"/>
        <v>6.9030581091053131E-2</v>
      </c>
      <c r="CU813" s="139">
        <f t="shared" si="1473"/>
        <v>0.85329623209999994</v>
      </c>
      <c r="CV813" s="335">
        <f t="shared" si="1474"/>
        <v>0.91060168006009956</v>
      </c>
      <c r="CW813" s="335">
        <f t="shared" si="1475"/>
        <v>0.53108168097070152</v>
      </c>
      <c r="CX813" s="335">
        <f t="shared" si="1476"/>
        <v>0.88825329850328805</v>
      </c>
      <c r="CY813" s="335">
        <f t="shared" si="1477"/>
        <v>0.4295627335323573</v>
      </c>
      <c r="CZ813" s="336">
        <f>INDEX('State Tax Lookup'!$D$7:$Z$91,MATCH(Calculation!$C813,'State Tax Lookup'!$B$7:$B$91,0),MATCH($H813,'State Tax Lookup'!$D$6:$Z$6,0))</f>
        <v>0.39649667</v>
      </c>
      <c r="DA813" s="302">
        <v>0.37</v>
      </c>
      <c r="DB813" s="57">
        <f t="shared" si="1480"/>
        <v>14.948927656644871</v>
      </c>
      <c r="DC813" s="56">
        <f t="shared" si="1484"/>
        <v>0.11890051393701262</v>
      </c>
      <c r="DD813" s="303">
        <f>VLOOKUP($H813,RoR!$E:$F,2,FALSE)</f>
        <v>5.6316666666666668E-2</v>
      </c>
      <c r="DE813" s="304">
        <f>HLOOKUP($H813,'GDP-PI'!$D$8:$CQ$11,3,FALSE)</f>
        <v>1.9092304698479889E-2</v>
      </c>
      <c r="DF813" s="303">
        <f>VLOOKUP(H813,'HW Dx Data'!$E:$F,2,FALSE)</f>
        <v>569.88120333515076</v>
      </c>
      <c r="DG813" s="364">
        <f ca="1">VLOOKUP(CC813,'ECI - Input Price'!M$13:N$33,2,FALSE)</f>
        <v>107.9</v>
      </c>
      <c r="DH813" s="364"/>
      <c r="DI813" s="364"/>
      <c r="DJ813" s="56">
        <f t="shared" ca="1" si="1492"/>
        <v>3.1778595021460486E-2</v>
      </c>
      <c r="DK813" s="53">
        <f>HLOOKUP(H813,'GDP-PI'!$8:$9,2,FALSE)</f>
        <v>94.263999999999996</v>
      </c>
      <c r="DL813" s="355">
        <f t="shared" si="1485"/>
        <v>1.8912333748032254E-2</v>
      </c>
      <c r="EC813"/>
    </row>
    <row r="814" spans="1:133" s="126" customFormat="1" ht="21" customHeight="1" x14ac:dyDescent="0.4">
      <c r="A814" s="233" t="s">
        <v>229</v>
      </c>
      <c r="B814" s="127" t="s">
        <v>229</v>
      </c>
      <c r="C814" s="127">
        <v>4057093</v>
      </c>
      <c r="D814" s="127" t="s">
        <v>194</v>
      </c>
      <c r="E814" s="127" t="s">
        <v>15</v>
      </c>
      <c r="F814" s="127"/>
      <c r="G814" s="127" t="s">
        <v>165</v>
      </c>
      <c r="H814" s="128">
        <v>2009</v>
      </c>
      <c r="I814" s="129"/>
      <c r="J814" s="125">
        <f>IFERROR(INDEX('Labor Expenditures'!$E$7:$W$91,MATCH($C814,'Labor Expenditures'!$C$7:$C$91,0),MATCH($G814,'Labor Expenditures'!$E$5:$W$5,0)),"NA")</f>
        <v>20132.788260648049</v>
      </c>
      <c r="K814" s="125">
        <f t="shared" ca="1" si="1486"/>
        <v>181.49910534728915</v>
      </c>
      <c r="L814" s="47"/>
      <c r="M814" s="131">
        <f t="shared" ca="1" si="1493"/>
        <v>3.3241470287070446E-2</v>
      </c>
      <c r="N814" s="131"/>
      <c r="O814" s="131"/>
      <c r="P814" s="59">
        <f t="shared" ca="1" si="1495"/>
        <v>2.5487772471288387E-4</v>
      </c>
      <c r="Q814" s="61"/>
      <c r="R814" s="387"/>
      <c r="S814" s="49">
        <f t="shared" ca="1" si="1500"/>
        <v>117.54260914385112</v>
      </c>
      <c r="T814" s="61">
        <f ca="1">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</f>
        <v>6.5527945143781435E-2</v>
      </c>
      <c r="U814" s="61"/>
      <c r="V814" s="125">
        <f>IFERROR(INDEX('Non-Labor Expenditures'!$E$7:$AA$91,MATCH($C814,'Non-Labor Expenditures'!$C$7:$C$91,0),MATCH($G814,'Non-Labor Expenditures'!$E$5:$AA$5,0)),"NA")</f>
        <v>29156.037687573487</v>
      </c>
      <c r="W814" s="125">
        <f t="shared" si="1487"/>
        <v>306.90889048909452</v>
      </c>
      <c r="X814" s="131">
        <f t="shared" si="1496"/>
        <v>5.3123886469645061E-2</v>
      </c>
      <c r="Y814" s="131">
        <f t="shared" si="1497"/>
        <v>4.0732540391136745E-4</v>
      </c>
      <c r="Z814" s="131"/>
      <c r="AA814" s="131"/>
      <c r="AB814" s="131"/>
      <c r="AC814" s="125">
        <f t="shared" si="1467"/>
        <v>15553.554749083765</v>
      </c>
      <c r="AD814" s="129"/>
      <c r="AE814" s="133">
        <v>1177.6486013617775</v>
      </c>
      <c r="AF814" s="134">
        <v>2.8506204414887007E-2</v>
      </c>
      <c r="AG814" s="59">
        <f t="shared" si="1488"/>
        <v>2.1857025151780909E-4</v>
      </c>
      <c r="AH814" s="134"/>
      <c r="AI814" s="134"/>
      <c r="AJ814" s="129">
        <f t="shared" si="1458"/>
        <v>64842.3806973053</v>
      </c>
      <c r="AK814" s="134">
        <f t="shared" si="1498"/>
        <v>3.8925540928342536E-2</v>
      </c>
      <c r="AL814" s="129"/>
      <c r="AM814" s="129"/>
      <c r="AN814" s="129"/>
      <c r="AO814" s="129"/>
      <c r="AP814" s="133">
        <f t="shared" si="1499"/>
        <v>507.95416279400018</v>
      </c>
      <c r="AQ814" s="134">
        <f>+BB814/Outputs!$B$17</f>
        <v>3.6288815236446984E-3</v>
      </c>
      <c r="AR814" s="93">
        <f t="shared" si="1489"/>
        <v>0.31048811046329644</v>
      </c>
      <c r="AS814" s="93">
        <f t="shared" si="1490"/>
        <v>0.44964477513061368</v>
      </c>
      <c r="AT814" s="93">
        <f t="shared" si="1491"/>
        <v>0.2398671144060899</v>
      </c>
      <c r="AU814" s="93">
        <f t="shared" ca="1" si="1494"/>
        <v>4.0909444969519322E-2</v>
      </c>
      <c r="AV814" s="132">
        <f t="shared" ca="1" si="1502"/>
        <v>113.54898157848578</v>
      </c>
      <c r="AW814" s="134">
        <f t="shared" ca="1" si="1503"/>
        <v>4.0909444969519385E-2</v>
      </c>
      <c r="AX814" s="56">
        <f>+AJ814/$AL$14</f>
        <v>7.6674624350782919E-3</v>
      </c>
      <c r="AY814" s="135">
        <f t="shared" ca="1" si="1501"/>
        <v>3.1367163254369246E-4</v>
      </c>
      <c r="AZ814" s="93"/>
      <c r="BA814" s="93"/>
      <c r="BB814" s="234">
        <f>IFERROR(INDEX('Total Customers'!$E$7:$AA$91,MATCH($C814,'Total Customers'!$C$7:$C$91,0),MATCH($G814,'Total Customers'!$E$5:$AA$5,0)),"NA")</f>
        <v>127654</v>
      </c>
      <c r="BC814" s="269">
        <f t="shared" si="1420"/>
        <v>8.6622861248595185E-3</v>
      </c>
      <c r="BD814" s="92"/>
      <c r="BE814" s="299" t="str">
        <f t="shared" si="1410"/>
        <v>ORANGE AND ROCKLAND UTILITIES, INC.</v>
      </c>
      <c r="BF814" s="300">
        <f t="shared" si="1411"/>
        <v>4057093</v>
      </c>
      <c r="BG814" s="231" t="str">
        <f t="shared" si="1412"/>
        <v>NY</v>
      </c>
      <c r="BH814" s="231"/>
      <c r="BI814" s="231" t="str">
        <f t="shared" si="1413"/>
        <v>2009 Y</v>
      </c>
      <c r="BJ814" s="129"/>
      <c r="BK814" s="129"/>
      <c r="BL814" s="129">
        <f>INDEX('Dist. Plant Gas Additions'!$E$7:$AD$91,MATCH($C814,'Dist. Plant Gas Additions'!$C$7:$C$91,0),MATCH(Calculation!$G814,'Dist. Plant Gas Additions'!$E$5:$AD$5,0))</f>
        <v>21247</v>
      </c>
      <c r="BM814" s="129">
        <f>INDEX('Gen. Plant Additions'!$E$7:$AD$91,MATCH($C814,'Gen. Plant Additions'!$C$7:$C$91,0),MATCH(Calculation!$G814,'Gen. Plant Additions'!$E$5:$AD$5,0))</f>
        <v>1270</v>
      </c>
      <c r="BN814" s="301">
        <f t="shared" si="1468"/>
        <v>0.97449437131484229</v>
      </c>
      <c r="BO814" s="231">
        <f t="shared" si="1396"/>
        <v>1237.6078515698498</v>
      </c>
      <c r="BP814" s="231">
        <f t="shared" si="1397"/>
        <v>-32.392148430150201</v>
      </c>
      <c r="BQ814" s="129">
        <f>INDEX('Dist Plant Depreciation'!$D$7:$AC$94,MATCH($C814,'Dist Plant Depreciation'!$C$7:$C$94,0),MATCH(Calculation!$G814,'Dist Plant Depreciation'!$D$5:$AC$5,0))</f>
        <v>125793</v>
      </c>
      <c r="BR814" s="129">
        <f>INDEX('Gen. Plant Depreciation'!$D$7:$AC$94,MATCH($C814,'Gen. Plant Depreciation'!$C$7:$C$94,0),MATCH(Calculation!$G814,'Gen. Plant Depreciation'!$D$5:$AC$5,0))</f>
        <v>13095</v>
      </c>
      <c r="BS814" s="129"/>
      <c r="BT814" s="129"/>
      <c r="BU814" s="129"/>
      <c r="BV814" s="129"/>
      <c r="BW814" s="129"/>
      <c r="BX814" s="137"/>
      <c r="BY814" s="129">
        <f>INDEX('Gross Dx Plant'!$D$7:$AC$91,MATCH($C814,'Gross Dx Plant'!$C$7:$C$91,0),MATCH(Calculation!$G814,'Gross Dx Plant'!$D$5:$AC$5,0))</f>
        <v>398805</v>
      </c>
      <c r="BZ814" s="129">
        <f>INDEX('Gross Gen Plant'!$D$7:$AC$91,MATCH($C814,'Gross Gen Plant'!$C$7:$C$91,0),MATCH(Calculation!$G814,'Gross Gen Plant'!$D$5:$AC$5,0))</f>
        <v>10438</v>
      </c>
      <c r="CA814" s="129">
        <f t="shared" si="1457"/>
        <v>270355</v>
      </c>
      <c r="CB814" s="129"/>
      <c r="CC814" s="133">
        <v>2009</v>
      </c>
      <c r="CD814" s="129"/>
      <c r="CE814" s="129"/>
      <c r="CF814" s="129"/>
      <c r="CG814" s="137"/>
      <c r="CH814" s="129">
        <f t="shared" si="1469"/>
        <v>22517</v>
      </c>
      <c r="CI814" s="46">
        <f t="shared" si="1478"/>
        <v>22484.60785156985</v>
      </c>
      <c r="CJ814" s="231">
        <f t="shared" si="1470"/>
        <v>40.811307697851817</v>
      </c>
      <c r="CK814" s="443">
        <v>0.87912087912087911</v>
      </c>
      <c r="CL814" s="231">
        <f>+CL803*CK814+CJ804*CK813+CJ805*CK812+CJ806*CK811+CJ807*CK810+CJ808*CK809+CJ809*CK808+CJ810*CK807+CJ811*CK806+CJ812*CK805+CJ813*CK804+CJ814</f>
        <v>1121.0993323837179</v>
      </c>
      <c r="CM814" s="134">
        <f t="shared" si="1471"/>
        <v>2.4133566891654617E-2</v>
      </c>
      <c r="CN814" s="135">
        <f t="shared" si="1472"/>
        <v>1.2865017663106281E-2</v>
      </c>
      <c r="CO814" s="135">
        <f t="shared" si="1481"/>
        <v>1.2541376503292276E-2</v>
      </c>
      <c r="CP814" s="134">
        <f>VLOOKUP($H814,RoR!$E:$F,2,FALSE)</f>
        <v>5.3133333333333324E-2</v>
      </c>
      <c r="CQ814" s="135">
        <v>7.7972502758210105E-3</v>
      </c>
      <c r="CR814" s="135">
        <f t="shared" si="1479"/>
        <v>4.5336083057512314E-2</v>
      </c>
      <c r="CS814" s="135">
        <f t="shared" si="1482"/>
        <v>1.8360565105241349E-2</v>
      </c>
      <c r="CT814" s="135">
        <f t="shared" si="1483"/>
        <v>6.3720160300892073E-2</v>
      </c>
      <c r="CU814" s="139">
        <f t="shared" si="1473"/>
        <v>0.85329623209999994</v>
      </c>
      <c r="CV814" s="335">
        <f t="shared" si="1474"/>
        <v>0.96515780330083989</v>
      </c>
      <c r="CW814" s="335">
        <f t="shared" si="1475"/>
        <v>0.50448557089084056</v>
      </c>
      <c r="CX814" s="335">
        <f t="shared" si="1476"/>
        <v>0.87391435735465484</v>
      </c>
      <c r="CY814" s="335">
        <f t="shared" si="1477"/>
        <v>0.42551605393279146</v>
      </c>
      <c r="CZ814" s="336">
        <f>INDEX('State Tax Lookup'!$D$7:$Z$91,MATCH(Calculation!$C814,'State Tax Lookup'!$B$7:$B$91,0),MATCH($H814,'State Tax Lookup'!$D$6:$Z$6,0))</f>
        <v>0.39649667</v>
      </c>
      <c r="DA814" s="302">
        <v>0.37</v>
      </c>
      <c r="DB814" s="57">
        <f t="shared" si="1480"/>
        <v>14.212374516488138</v>
      </c>
      <c r="DC814" s="56">
        <f t="shared" si="1484"/>
        <v>-5.052653866881985E-2</v>
      </c>
      <c r="DD814" s="303">
        <f>VLOOKUP($H814,RoR!$E:$F,2,FALSE)</f>
        <v>5.3133333333333324E-2</v>
      </c>
      <c r="DE814" s="304">
        <f>HLOOKUP($H814,'GDP-PI'!$D$8:$CQ$11,3,FALSE)</f>
        <v>7.7972502758210105E-3</v>
      </c>
      <c r="DF814" s="303">
        <f>VLOOKUP(H814,'HW Dx Data'!$E:$F,2,FALSE)</f>
        <v>550.94063679692806</v>
      </c>
      <c r="DG814" s="364">
        <f ca="1">VLOOKUP(CC814,'ECI - Input Price'!M$13:N$33,2,FALSE)</f>
        <v>110.925</v>
      </c>
      <c r="DH814" s="364"/>
      <c r="DI814" s="364"/>
      <c r="DJ814" s="56">
        <f t="shared" ca="1" si="1492"/>
        <v>2.7649425000884052E-2</v>
      </c>
      <c r="DK814" s="53">
        <f>HLOOKUP(H814,'GDP-PI'!$8:$9,2,FALSE)</f>
        <v>94.998999999999995</v>
      </c>
      <c r="DL814" s="355">
        <f t="shared" si="1485"/>
        <v>7.7670088183096342E-3</v>
      </c>
      <c r="EC814"/>
    </row>
    <row r="815" spans="1:133" s="126" customFormat="1" ht="21" customHeight="1" x14ac:dyDescent="0.4">
      <c r="A815" s="233" t="s">
        <v>229</v>
      </c>
      <c r="B815" s="127" t="s">
        <v>229</v>
      </c>
      <c r="C815" s="127">
        <v>4057093</v>
      </c>
      <c r="D815" s="127" t="s">
        <v>194</v>
      </c>
      <c r="E815" s="127" t="s">
        <v>15</v>
      </c>
      <c r="F815" s="127"/>
      <c r="G815" s="127" t="s">
        <v>166</v>
      </c>
      <c r="H815" s="128">
        <v>2010</v>
      </c>
      <c r="I815" s="129"/>
      <c r="J815" s="125">
        <f>IFERROR(INDEX('Labor Expenditures'!$E$7:$W$91,MATCH($C815,'Labor Expenditures'!$C$7:$C$91,0),MATCH($G815,'Labor Expenditures'!$E$5:$W$5,0)),"NA")</f>
        <v>21971.480532592574</v>
      </c>
      <c r="K815" s="125">
        <f t="shared" ca="1" si="1486"/>
        <v>187.91088759967991</v>
      </c>
      <c r="L815" s="47"/>
      <c r="M815" s="131">
        <f t="shared" ca="1" si="1493"/>
        <v>3.4717123849346825E-2</v>
      </c>
      <c r="N815" s="131"/>
      <c r="O815" s="131"/>
      <c r="P815" s="59">
        <f t="shared" ca="1" si="1495"/>
        <v>2.7869888806633729E-4</v>
      </c>
      <c r="Q815" s="61"/>
      <c r="R815" s="387"/>
      <c r="S815" s="49">
        <f t="shared" ca="1" si="1500"/>
        <v>96.48474897195382</v>
      </c>
      <c r="T815" s="61">
        <f ca="1">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</f>
        <v>-0.1974159447473614</v>
      </c>
      <c r="U815" s="61"/>
      <c r="V815" s="125">
        <f>IFERROR(INDEX('Non-Labor Expenditures'!$E$7:$AA$91,MATCH($C815,'Non-Labor Expenditures'!$C$7:$C$91,0),MATCH($G815,'Non-Labor Expenditures'!$E$5:$AA$5,0)),"NA")</f>
        <v>31818.807517694335</v>
      </c>
      <c r="W815" s="125">
        <f t="shared" si="1487"/>
        <v>331.07000923632893</v>
      </c>
      <c r="X815" s="131">
        <f t="shared" si="1496"/>
        <v>7.5778931389173187E-2</v>
      </c>
      <c r="Y815" s="131">
        <f t="shared" si="1497"/>
        <v>6.0833103596556076E-4</v>
      </c>
      <c r="Z815" s="131"/>
      <c r="AA815" s="131"/>
      <c r="AB815" s="131"/>
      <c r="AC815" s="125">
        <f t="shared" si="1467"/>
        <v>16191.630019539913</v>
      </c>
      <c r="AD815" s="129"/>
      <c r="AE815" s="133">
        <v>1234.0330050841039</v>
      </c>
      <c r="AF815" s="134">
        <v>4.6767931869331182E-2</v>
      </c>
      <c r="AG815" s="59">
        <f t="shared" si="1488"/>
        <v>3.7543924046548133E-4</v>
      </c>
      <c r="AH815" s="134"/>
      <c r="AI815" s="134"/>
      <c r="AJ815" s="129">
        <f t="shared" si="1458"/>
        <v>69981.918069826817</v>
      </c>
      <c r="AK815" s="134">
        <f t="shared" si="1498"/>
        <v>7.6277482707660174E-2</v>
      </c>
      <c r="AL815" s="129"/>
      <c r="AM815" s="129"/>
      <c r="AN815" s="129"/>
      <c r="AO815" s="129"/>
      <c r="AP815" s="133">
        <f t="shared" si="1499"/>
        <v>545.45107263253453</v>
      </c>
      <c r="AQ815" s="134">
        <f>+BB815/Outputs!$B$18</f>
        <v>3.6273183628125808E-3</v>
      </c>
      <c r="AR815" s="93">
        <f t="shared" si="1489"/>
        <v>0.31395939320596772</v>
      </c>
      <c r="AS815" s="93">
        <f t="shared" si="1490"/>
        <v>0.45467184088818552</v>
      </c>
      <c r="AT815" s="93">
        <f t="shared" si="1491"/>
        <v>0.23136876590584682</v>
      </c>
      <c r="AU815" s="93">
        <f t="shared" ca="1" si="1494"/>
        <v>5.6122947833246062E-2</v>
      </c>
      <c r="AV815" s="132">
        <f t="shared" ca="1" si="1502"/>
        <v>120.10390551528687</v>
      </c>
      <c r="AW815" s="134">
        <f t="shared" ca="1" si="1503"/>
        <v>5.6122947833245965E-2</v>
      </c>
      <c r="AX815" s="56">
        <f>+AJ815/$AL$15</f>
        <v>8.0277067096841542E-3</v>
      </c>
      <c r="AY815" s="135">
        <f t="shared" ca="1" si="1501"/>
        <v>4.5053856488820241E-4</v>
      </c>
      <c r="AZ815" s="93"/>
      <c r="BA815" s="93"/>
      <c r="BB815" s="234">
        <f>IFERROR(INDEX('Total Customers'!$E$7:$AA$91,MATCH($C815,'Total Customers'!$C$7:$C$91,0),MATCH($G815,'Total Customers'!$E$5:$AA$5,0)),"NA")</f>
        <v>128301</v>
      </c>
      <c r="BC815" s="269">
        <f t="shared" si="1420"/>
        <v>5.0555869434338414E-3</v>
      </c>
      <c r="BD815" s="92"/>
      <c r="BE815" s="299" t="str">
        <f t="shared" si="1410"/>
        <v>ORANGE AND ROCKLAND UTILITIES, INC.</v>
      </c>
      <c r="BF815" s="300">
        <f t="shared" si="1411"/>
        <v>4057093</v>
      </c>
      <c r="BG815" s="231" t="str">
        <f t="shared" si="1412"/>
        <v>NY</v>
      </c>
      <c r="BH815" s="231"/>
      <c r="BI815" s="231" t="str">
        <f t="shared" si="1413"/>
        <v>2010 Y</v>
      </c>
      <c r="BJ815" s="129"/>
      <c r="BK815" s="129"/>
      <c r="BL815" s="129">
        <f>INDEX('Dist. Plant Gas Additions'!$E$7:$AD$91,MATCH($C815,'Dist. Plant Gas Additions'!$C$7:$C$91,0),MATCH(Calculation!$G815,'Dist. Plant Gas Additions'!$E$5:$AD$5,0))</f>
        <v>35852</v>
      </c>
      <c r="BM815" s="129">
        <f>INDEX('Gen. Plant Additions'!$E$7:$AD$91,MATCH($C815,'Gen. Plant Additions'!$C$7:$C$91,0),MATCH(Calculation!$G815,'Gen. Plant Additions'!$E$5:$AD$5,0))</f>
        <v>923</v>
      </c>
      <c r="BN815" s="301">
        <f t="shared" si="1468"/>
        <v>0.97548693415822885</v>
      </c>
      <c r="BO815" s="231">
        <f t="shared" si="1396"/>
        <v>900.37444022804527</v>
      </c>
      <c r="BP815" s="231">
        <f t="shared" si="1397"/>
        <v>-22.625559771954727</v>
      </c>
      <c r="BQ815" s="129">
        <f>INDEX('Dist Plant Depreciation'!$D$7:$AC$94,MATCH($C815,'Dist Plant Depreciation'!$C$7:$C$94,0),MATCH(Calculation!$G815,'Dist Plant Depreciation'!$D$5:$AC$5,0))</f>
        <v>132175</v>
      </c>
      <c r="BR815" s="129">
        <f>INDEX('Gen. Plant Depreciation'!$D$7:$AC$94,MATCH($C815,'Gen. Plant Depreciation'!$C$7:$C$94,0),MATCH(Calculation!$G815,'Gen. Plant Depreciation'!$D$5:$AC$5,0))</f>
        <v>13316</v>
      </c>
      <c r="BS815" s="129"/>
      <c r="BT815" s="129"/>
      <c r="BU815" s="129"/>
      <c r="BV815" s="129"/>
      <c r="BW815" s="129"/>
      <c r="BX815" s="137"/>
      <c r="BY815" s="129">
        <f>INDEX('Gross Dx Plant'!$D$7:$AC$91,MATCH($C815,'Gross Dx Plant'!$C$7:$C$91,0),MATCH(Calculation!$G815,'Gross Dx Plant'!$D$5:$AC$5,0))</f>
        <v>433920</v>
      </c>
      <c r="BZ815" s="129">
        <f>INDEX('Gross Gen Plant'!$D$7:$AC$91,MATCH($C815,'Gross Gen Plant'!$C$7:$C$91,0),MATCH(Calculation!$G815,'Gross Gen Plant'!$D$5:$AC$5,0))</f>
        <v>10904</v>
      </c>
      <c r="CA815" s="129">
        <f t="shared" si="1457"/>
        <v>299333</v>
      </c>
      <c r="CB815" s="129"/>
      <c r="CC815" s="133">
        <v>2010</v>
      </c>
      <c r="CD815" s="129"/>
      <c r="CE815" s="129"/>
      <c r="CF815" s="129"/>
      <c r="CG815" s="137"/>
      <c r="CH815" s="129">
        <f t="shared" si="1469"/>
        <v>36775</v>
      </c>
      <c r="CI815" s="46">
        <f t="shared" si="1478"/>
        <v>36752.374440228043</v>
      </c>
      <c r="CJ815" s="231">
        <f t="shared" si="1470"/>
        <v>64.592359385135211</v>
      </c>
      <c r="CK815" s="443">
        <v>0.8666666666666667</v>
      </c>
      <c r="CL815" s="231">
        <f>+CL803*CK815+CJ804*CK814+CJ805*CK813+CJ806*CK812+CJ807*CK811+CJ808*CK810+CJ809*CK809+CJ810*CK808+CJ811*CK807+CJ812*CK806+CJ813*CK805+CJ814*CK804+CJ815</f>
        <v>1170.9011351103554</v>
      </c>
      <c r="CM815" s="134">
        <f t="shared" si="1471"/>
        <v>4.3463902630009987E-2</v>
      </c>
      <c r="CN815" s="135">
        <f t="shared" si="1472"/>
        <v>1.3192904706355936E-2</v>
      </c>
      <c r="CO815" s="135">
        <f t="shared" si="1481"/>
        <v>1.2865309914851205E-2</v>
      </c>
      <c r="CP815" s="134">
        <f>VLOOKUP($H815,RoR!$E:$F,2,FALSE)</f>
        <v>4.9433333333333322E-2</v>
      </c>
      <c r="CQ815" s="135">
        <v>1.1684333519300205E-2</v>
      </c>
      <c r="CR815" s="135">
        <f t="shared" si="1479"/>
        <v>3.7748999814033117E-2</v>
      </c>
      <c r="CS815" s="135">
        <f t="shared" si="1482"/>
        <v>1.8036631693682421E-2</v>
      </c>
      <c r="CT815" s="135">
        <f t="shared" si="1483"/>
        <v>4.7937530248493419E-2</v>
      </c>
      <c r="CU815" s="139">
        <f t="shared" si="1473"/>
        <v>0.85329623209999994</v>
      </c>
      <c r="CV815" s="335">
        <f t="shared" si="1474"/>
        <v>1.037398205301105</v>
      </c>
      <c r="CW815" s="335">
        <f t="shared" si="1475"/>
        <v>0.46926837491571133</v>
      </c>
      <c r="CX815" s="335">
        <f t="shared" si="1476"/>
        <v>0.8548537519972772</v>
      </c>
      <c r="CY815" s="335">
        <f t="shared" si="1477"/>
        <v>0.41615833911547367</v>
      </c>
      <c r="CZ815" s="336">
        <f>INDEX('State Tax Lookup'!$D$7:$Z$91,MATCH(Calculation!$C815,'State Tax Lookup'!$B$7:$B$91,0),MATCH($H815,'State Tax Lookup'!$D$6:$Z$6,0))</f>
        <v>0.39649667</v>
      </c>
      <c r="DA815" s="302">
        <v>0.37</v>
      </c>
      <c r="DB815" s="57">
        <f t="shared" si="1480"/>
        <v>14.442636394326222</v>
      </c>
      <c r="DC815" s="56">
        <f t="shared" si="1484"/>
        <v>1.6071662641378676E-2</v>
      </c>
      <c r="DD815" s="303">
        <f>VLOOKUP($H815,RoR!$E:$F,2,FALSE)</f>
        <v>4.9433333333333322E-2</v>
      </c>
      <c r="DE815" s="304">
        <f>HLOOKUP($H815,'GDP-PI'!$D$8:$CQ$11,3,FALSE)</f>
        <v>1.1684333519300205E-2</v>
      </c>
      <c r="DF815" s="303">
        <f>VLOOKUP(H815,'HW Dx Data'!$E:$F,2,FALSE)</f>
        <v>568.98950262971744</v>
      </c>
      <c r="DG815" s="364">
        <f ca="1">VLOOKUP(CC815,'ECI - Input Price'!M$13:N$33,2,FALSE)</f>
        <v>116.925</v>
      </c>
      <c r="DH815" s="364"/>
      <c r="DI815" s="364"/>
      <c r="DJ815" s="56">
        <f t="shared" ca="1" si="1492"/>
        <v>5.2678406346976722E-2</v>
      </c>
      <c r="DK815" s="53">
        <f>HLOOKUP(H815,'GDP-PI'!$8:$9,2,FALSE)</f>
        <v>96.108999999999995</v>
      </c>
      <c r="DL815" s="355">
        <f t="shared" si="1485"/>
        <v>1.1616598807150427E-2</v>
      </c>
      <c r="EC815"/>
    </row>
    <row r="816" spans="1:133" s="126" customFormat="1" ht="21" customHeight="1" x14ac:dyDescent="0.4">
      <c r="A816" s="233" t="s">
        <v>229</v>
      </c>
      <c r="B816" s="127" t="s">
        <v>229</v>
      </c>
      <c r="C816" s="127">
        <v>4057093</v>
      </c>
      <c r="D816" s="127" t="s">
        <v>194</v>
      </c>
      <c r="E816" s="127" t="s">
        <v>15</v>
      </c>
      <c r="F816" s="127"/>
      <c r="G816" s="127" t="s">
        <v>167</v>
      </c>
      <c r="H816" s="128">
        <v>2011</v>
      </c>
      <c r="I816" s="129"/>
      <c r="J816" s="125">
        <f>IFERROR(INDEX('Labor Expenditures'!$E$7:$W$91,MATCH($C816,'Labor Expenditures'!$C$7:$C$91,0),MATCH($G816,'Labor Expenditures'!$E$5:$W$5,0)),"NA")</f>
        <v>23367.041227479305</v>
      </c>
      <c r="K816" s="125">
        <f t="shared" ca="1" si="1486"/>
        <v>193.31574955515455</v>
      </c>
      <c r="L816" s="47"/>
      <c r="M816" s="131">
        <f t="shared" ca="1" si="1493"/>
        <v>2.8357011833248177E-2</v>
      </c>
      <c r="N816" s="131"/>
      <c r="O816" s="131"/>
      <c r="P816" s="59">
        <f t="shared" ca="1" si="1495"/>
        <v>2.3478694133563844E-4</v>
      </c>
      <c r="Q816" s="61"/>
      <c r="R816" s="387"/>
      <c r="S816" s="49">
        <f t="shared" ca="1" si="1500"/>
        <v>115.6834813055591</v>
      </c>
      <c r="T816" s="61">
        <f ca="1">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</f>
        <v>0.18147289811751918</v>
      </c>
      <c r="U816" s="61"/>
      <c r="V816" s="125">
        <f>IFERROR(INDEX('Non-Labor Expenditures'!$E$7:$AA$91,MATCH($C816,'Non-Labor Expenditures'!$C$7:$C$91,0),MATCH($G816,'Non-Labor Expenditures'!$E$5:$AA$5,0)),"NA")</f>
        <v>33839.840058673537</v>
      </c>
      <c r="W816" s="125">
        <f t="shared" si="1487"/>
        <v>344.91030718641491</v>
      </c>
      <c r="X816" s="131">
        <f t="shared" si="1496"/>
        <v>4.0954542781907549E-2</v>
      </c>
      <c r="Y816" s="131">
        <f t="shared" si="1497"/>
        <v>3.3909044754459932E-4</v>
      </c>
      <c r="Z816" s="131"/>
      <c r="AA816" s="131"/>
      <c r="AB816" s="131"/>
      <c r="AC816" s="125">
        <f t="shared" si="1467"/>
        <v>17912.006746572835</v>
      </c>
      <c r="AD816" s="129"/>
      <c r="AE816" s="133">
        <v>1271.6890368271927</v>
      </c>
      <c r="AF816" s="134">
        <v>3.0058295580636031E-2</v>
      </c>
      <c r="AG816" s="59">
        <f t="shared" si="1488"/>
        <v>2.4887302380942333E-4</v>
      </c>
      <c r="AH816" s="134"/>
      <c r="AI816" s="134"/>
      <c r="AJ816" s="129">
        <f t="shared" si="1458"/>
        <v>75118.888032725677</v>
      </c>
      <c r="AK816" s="134">
        <f t="shared" si="1498"/>
        <v>7.0835136851651742E-2</v>
      </c>
      <c r="AL816" s="129"/>
      <c r="AM816" s="129"/>
      <c r="AN816" s="129"/>
      <c r="AO816" s="129"/>
      <c r="AP816" s="133">
        <f t="shared" si="1499"/>
        <v>582.07330290208495</v>
      </c>
      <c r="AQ816" s="134">
        <f>+BB816/Outputs!$B$19</f>
        <v>3.6310026413916576E-3</v>
      </c>
      <c r="AR816" s="93">
        <f t="shared" si="1489"/>
        <v>0.31106745373146916</v>
      </c>
      <c r="AS816" s="93">
        <f t="shared" si="1490"/>
        <v>0.45048377238932436</v>
      </c>
      <c r="AT816" s="93">
        <f t="shared" si="1491"/>
        <v>0.23844877387920649</v>
      </c>
      <c r="AU816" s="93">
        <f t="shared" ca="1" si="1494"/>
        <v>3.4458021231393299E-2</v>
      </c>
      <c r="AV816" s="132">
        <f t="shared" ca="1" si="1502"/>
        <v>124.31457753234579</v>
      </c>
      <c r="AW816" s="134">
        <f t="shared" ca="1" si="1503"/>
        <v>3.4458021231393292E-2</v>
      </c>
      <c r="AX816" s="56">
        <f>+AJ816/$AL$16</f>
        <v>8.2796785047835764E-3</v>
      </c>
      <c r="AY816" s="135">
        <f t="shared" ca="1" si="1501"/>
        <v>2.8530133770694315E-4</v>
      </c>
      <c r="AZ816" s="93"/>
      <c r="BA816" s="93"/>
      <c r="BB816" s="234">
        <f>IFERROR(INDEX('Total Customers'!$E$7:$AA$91,MATCH($C816,'Total Customers'!$C$7:$C$91,0),MATCH($G816,'Total Customers'!$E$5:$AA$5,0)),"NA")</f>
        <v>129054</v>
      </c>
      <c r="BC816" s="269">
        <f t="shared" si="1420"/>
        <v>5.8518555988668749E-3</v>
      </c>
      <c r="BD816" s="92"/>
      <c r="BE816" s="299" t="str">
        <f t="shared" si="1410"/>
        <v>ORANGE AND ROCKLAND UTILITIES, INC.</v>
      </c>
      <c r="BF816" s="300">
        <f t="shared" si="1411"/>
        <v>4057093</v>
      </c>
      <c r="BG816" s="231" t="str">
        <f t="shared" si="1412"/>
        <v>NY</v>
      </c>
      <c r="BH816" s="231"/>
      <c r="BI816" s="231" t="str">
        <f t="shared" si="1413"/>
        <v>2011 Y</v>
      </c>
      <c r="BJ816" s="129"/>
      <c r="BK816" s="129"/>
      <c r="BL816" s="129">
        <f>INDEX('Dist. Plant Gas Additions'!$E$7:$AD$91,MATCH($C816,'Dist. Plant Gas Additions'!$C$7:$C$91,0),MATCH(Calculation!$G816,'Dist. Plant Gas Additions'!$E$5:$AD$5,0))</f>
        <v>27377</v>
      </c>
      <c r="BM816" s="129">
        <f>INDEX('Gen. Plant Additions'!$E$7:$AD$91,MATCH($C816,'Gen. Plant Additions'!$C$7:$C$91,0),MATCH(Calculation!$G816,'Gen. Plant Additions'!$E$5:$AD$5,0))</f>
        <v>1073</v>
      </c>
      <c r="BN816" s="301">
        <f t="shared" si="1468"/>
        <v>0.97493068049529052</v>
      </c>
      <c r="BO816" s="231">
        <f t="shared" si="1396"/>
        <v>1046.1006201714467</v>
      </c>
      <c r="BP816" s="231">
        <f t="shared" si="1397"/>
        <v>-26.899379828553265</v>
      </c>
      <c r="BQ816" s="129">
        <f>INDEX('Dist Plant Depreciation'!$D$7:$AC$94,MATCH($C816,'Dist Plant Depreciation'!$C$7:$C$94,0),MATCH(Calculation!$G816,'Dist Plant Depreciation'!$D$5:$AC$5,0))</f>
        <v>141399</v>
      </c>
      <c r="BR816" s="129">
        <f>INDEX('Gen. Plant Depreciation'!$D$7:$AC$94,MATCH($C816,'Gen. Plant Depreciation'!$C$7:$C$94,0),MATCH(Calculation!$G816,'Gen. Plant Depreciation'!$D$5:$AC$5,0))</f>
        <v>13786</v>
      </c>
      <c r="BS816" s="129"/>
      <c r="BT816" s="129"/>
      <c r="BU816" s="129"/>
      <c r="BV816" s="129"/>
      <c r="BW816" s="129"/>
      <c r="BX816" s="137"/>
      <c r="BY816" s="129">
        <f>INDEX('Gross Dx Plant'!$D$7:$AC$91,MATCH($C816,'Gross Dx Plant'!$C$7:$C$91,0),MATCH(Calculation!$G816,'Gross Dx Plant'!$D$5:$AC$5,0))</f>
        <v>460606</v>
      </c>
      <c r="BZ816" s="129">
        <f>INDEX('Gross Gen Plant'!$D$7:$AC$91,MATCH($C816,'Gross Gen Plant'!$C$7:$C$91,0),MATCH(Calculation!$G816,'Gross Gen Plant'!$D$5:$AC$5,0))</f>
        <v>11844</v>
      </c>
      <c r="CA816" s="129">
        <f t="shared" si="1457"/>
        <v>317265</v>
      </c>
      <c r="CB816" s="129"/>
      <c r="CC816" s="133">
        <v>2011</v>
      </c>
      <c r="CD816" s="129"/>
      <c r="CE816" s="129"/>
      <c r="CF816" s="129"/>
      <c r="CG816" s="137"/>
      <c r="CH816" s="129">
        <f t="shared" si="1469"/>
        <v>28450</v>
      </c>
      <c r="CI816" s="46">
        <f t="shared" si="1478"/>
        <v>28423.100620171448</v>
      </c>
      <c r="CJ816" s="231">
        <f t="shared" si="1470"/>
        <v>46.472506467513689</v>
      </c>
      <c r="CK816" s="443">
        <v>0.8539325842696629</v>
      </c>
      <c r="CL816" s="231">
        <f>+CL803*CK816+CJ804*CK815+CJ805*CK814+CJ806*CK813+CJ807*CK812+CJ808*CK811+CJ809*CK810+CJ810*CK809+CJ811*CK808+CJ812*CK807+CJ813*CK806+CJ814*CK805+CJ815*CK804+CJ816</f>
        <v>1201.6178520981935</v>
      </c>
      <c r="CM816" s="134">
        <f t="shared" si="1471"/>
        <v>2.5895205550467728E-2</v>
      </c>
      <c r="CN816" s="135">
        <f t="shared" si="1472"/>
        <v>1.3456122816202332E-2</v>
      </c>
      <c r="CO816" s="135">
        <f t="shared" si="1481"/>
        <v>1.3171348395221516E-2</v>
      </c>
      <c r="CP816" s="134">
        <f>VLOOKUP($H816,RoR!$E:$F,2,FALSE)</f>
        <v>4.6391666666666664E-2</v>
      </c>
      <c r="CQ816" s="135">
        <v>2.0840920205183799E-2</v>
      </c>
      <c r="CR816" s="135">
        <f t="shared" si="1479"/>
        <v>2.5550746461482865E-2</v>
      </c>
      <c r="CS816" s="135">
        <f t="shared" si="1482"/>
        <v>1.7730593213312107E-2</v>
      </c>
      <c r="CT816" s="135">
        <f t="shared" si="1483"/>
        <v>2.4810540821321614E-2</v>
      </c>
      <c r="CU816" s="139">
        <f t="shared" si="1473"/>
        <v>0.85329623209999994</v>
      </c>
      <c r="CV816" s="335">
        <f t="shared" si="1474"/>
        <v>1.1054151524782025</v>
      </c>
      <c r="CW816" s="335">
        <f t="shared" si="1475"/>
        <v>0.43611011316687626</v>
      </c>
      <c r="CX816" s="335">
        <f t="shared" si="1476"/>
        <v>0.83698442246886229</v>
      </c>
      <c r="CY816" s="335">
        <f t="shared" si="1477"/>
        <v>0.40349573304423936</v>
      </c>
      <c r="CZ816" s="336">
        <f>INDEX('State Tax Lookup'!$D$7:$Z$91,MATCH(Calculation!$C816,'State Tax Lookup'!$B$7:$B$91,0),MATCH($H816,'State Tax Lookup'!$D$6:$Z$6,0))</f>
        <v>0.39649667</v>
      </c>
      <c r="DA816" s="302">
        <v>0.37</v>
      </c>
      <c r="DB816" s="57">
        <f t="shared" si="1480"/>
        <v>15.297625230233173</v>
      </c>
      <c r="DC816" s="56">
        <f t="shared" si="1484"/>
        <v>5.7512910057130787E-2</v>
      </c>
      <c r="DD816" s="303">
        <f>VLOOKUP($H816,RoR!$E:$F,2,FALSE)</f>
        <v>4.6391666666666664E-2</v>
      </c>
      <c r="DE816" s="304">
        <f>HLOOKUP($H816,'GDP-PI'!$D$8:$CQ$11,3,FALSE)</f>
        <v>2.0840920205183799E-2</v>
      </c>
      <c r="DF816" s="303">
        <f>VLOOKUP(H816,'HW Dx Data'!$E:$F,2,FALSE)</f>
        <v>611.61109612283201</v>
      </c>
      <c r="DG816" s="364">
        <f ca="1">VLOOKUP(CC816,'ECI - Input Price'!M$13:N$33,2,FALSE)</f>
        <v>120.875</v>
      </c>
      <c r="DH816" s="364"/>
      <c r="DI816" s="364"/>
      <c r="DJ816" s="56">
        <f t="shared" ca="1" si="1492"/>
        <v>3.3224250161508609E-2</v>
      </c>
      <c r="DK816" s="53">
        <f>HLOOKUP(H816,'GDP-PI'!$8:$9,2,FALSE)</f>
        <v>98.111999999999995</v>
      </c>
      <c r="DL816" s="355">
        <f t="shared" si="1485"/>
        <v>2.0626719212849295E-2</v>
      </c>
      <c r="EC816"/>
    </row>
    <row r="817" spans="1:133" s="126" customFormat="1" ht="21" customHeight="1" x14ac:dyDescent="0.4">
      <c r="A817" s="233" t="s">
        <v>229</v>
      </c>
      <c r="B817" s="127" t="s">
        <v>229</v>
      </c>
      <c r="C817" s="127">
        <v>4057093</v>
      </c>
      <c r="D817" s="127" t="s">
        <v>194</v>
      </c>
      <c r="E817" s="127" t="s">
        <v>15</v>
      </c>
      <c r="F817" s="127"/>
      <c r="G817" s="127" t="s">
        <v>168</v>
      </c>
      <c r="H817" s="128">
        <v>2012</v>
      </c>
      <c r="I817" s="129"/>
      <c r="J817" s="125">
        <f>IFERROR(INDEX('Labor Expenditures'!$E$7:$W$91,MATCH($C817,'Labor Expenditures'!$C$7:$C$91,0),MATCH($G817,'Labor Expenditures'!$E$5:$W$5,0)),"NA")</f>
        <v>23662.631386722103</v>
      </c>
      <c r="K817" s="125">
        <f t="shared" ca="1" si="1486"/>
        <v>189.60441816283736</v>
      </c>
      <c r="L817" s="47"/>
      <c r="M817" s="131">
        <f t="shared" ca="1" si="1493"/>
        <v>-1.9384968063282201E-2</v>
      </c>
      <c r="N817" s="131"/>
      <c r="O817" s="131"/>
      <c r="P817" s="59">
        <f t="shared" ca="1" si="1495"/>
        <v>-1.602648092610338E-4</v>
      </c>
      <c r="Q817" s="61"/>
      <c r="R817" s="387"/>
      <c r="S817" s="49">
        <f t="shared" ca="1" si="1500"/>
        <v>115.7546946064685</v>
      </c>
      <c r="T817" s="61">
        <f ca="1">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</f>
        <v>6.1539806798298043E-4</v>
      </c>
      <c r="U817" s="61"/>
      <c r="V817" s="125">
        <f>IFERROR(INDEX('Non-Labor Expenditures'!$E$7:$AA$91,MATCH($C817,'Non-Labor Expenditures'!$C$7:$C$91,0),MATCH($G817,'Non-Labor Expenditures'!$E$5:$AA$5,0)),"NA")</f>
        <v>34267.909817883403</v>
      </c>
      <c r="W817" s="125">
        <f t="shared" si="1487"/>
        <v>342.67909817883401</v>
      </c>
      <c r="X817" s="131">
        <f t="shared" si="1496"/>
        <v>-6.4899686401558177E-3</v>
      </c>
      <c r="Y817" s="131">
        <f t="shared" si="1497"/>
        <v>-5.3655677060143397E-5</v>
      </c>
      <c r="Z817" s="131"/>
      <c r="AA817" s="131"/>
      <c r="AB817" s="131"/>
      <c r="AC817" s="125">
        <f t="shared" si="1467"/>
        <v>19687.526965881963</v>
      </c>
      <c r="AD817" s="129"/>
      <c r="AE817" s="133">
        <v>1321.3997256790576</v>
      </c>
      <c r="AF817" s="134">
        <v>3.834560588728031E-2</v>
      </c>
      <c r="AG817" s="59">
        <f t="shared" si="1488"/>
        <v>3.170214773355281E-4</v>
      </c>
      <c r="AH817" s="134"/>
      <c r="AI817" s="134"/>
      <c r="AJ817" s="129">
        <f t="shared" si="1458"/>
        <v>77618.068170487473</v>
      </c>
      <c r="AK817" s="134">
        <f t="shared" si="1498"/>
        <v>3.2728205091139349E-2</v>
      </c>
      <c r="AL817" s="129"/>
      <c r="AM817" s="129"/>
      <c r="AN817" s="129"/>
      <c r="AO817" s="129"/>
      <c r="AP817" s="133">
        <f t="shared" si="1499"/>
        <v>597.65512062344544</v>
      </c>
      <c r="AQ817" s="134">
        <f>+BB817/Outputs!$B$20</f>
        <v>3.6364782864828967E-3</v>
      </c>
      <c r="AR817" s="93">
        <f t="shared" si="1489"/>
        <v>0.30485983411423384</v>
      </c>
      <c r="AS817" s="93">
        <f t="shared" si="1490"/>
        <v>0.44149397976015342</v>
      </c>
      <c r="AT817" s="93">
        <f t="shared" si="1491"/>
        <v>0.25364618612561274</v>
      </c>
      <c r="AU817" s="93">
        <f t="shared" ca="1" si="1494"/>
        <v>5.7052047605100041E-4</v>
      </c>
      <c r="AV817" s="132">
        <f t="shared" ca="1" si="1502"/>
        <v>124.38552177994826</v>
      </c>
      <c r="AW817" s="134">
        <f t="shared" ca="1" si="1503"/>
        <v>5.7052047605103608E-4</v>
      </c>
      <c r="AX817" s="56">
        <f>+AJ817/$AL$17</f>
        <v>8.2674786328174269E-3</v>
      </c>
      <c r="AY817" s="135">
        <f t="shared" ca="1" si="1501"/>
        <v>4.7167658453367676E-6</v>
      </c>
      <c r="AZ817" s="93"/>
      <c r="BA817" s="93"/>
      <c r="BB817" s="234">
        <f>IFERROR(INDEX('Total Customers'!$E$7:$AA$91,MATCH($C817,'Total Customers'!$C$7:$C$91,0),MATCH($G817,'Total Customers'!$E$5:$AA$5,0)),"NA")</f>
        <v>129871</v>
      </c>
      <c r="BC817" s="269">
        <f t="shared" si="1420"/>
        <v>6.3107286777030229E-3</v>
      </c>
      <c r="BD817" s="92"/>
      <c r="BE817" s="299" t="str">
        <f t="shared" si="1410"/>
        <v>ORANGE AND ROCKLAND UTILITIES, INC.</v>
      </c>
      <c r="BF817" s="300">
        <f t="shared" si="1411"/>
        <v>4057093</v>
      </c>
      <c r="BG817" s="231" t="str">
        <f t="shared" si="1412"/>
        <v>NY</v>
      </c>
      <c r="BH817" s="231"/>
      <c r="BI817" s="231" t="str">
        <f t="shared" si="1413"/>
        <v>2012 Y</v>
      </c>
      <c r="BJ817" s="129"/>
      <c r="BK817" s="129"/>
      <c r="BL817" s="129">
        <f>INDEX('Dist. Plant Gas Additions'!$E$7:$AD$91,MATCH($C817,'Dist. Plant Gas Additions'!$C$7:$C$91,0),MATCH(Calculation!$G817,'Dist. Plant Gas Additions'!$E$5:$AD$5,0))</f>
        <v>38746</v>
      </c>
      <c r="BM817" s="129">
        <f>INDEX('Gen. Plant Additions'!$E$7:$AD$91,MATCH($C817,'Gen. Plant Additions'!$C$7:$C$91,0),MATCH(Calculation!$G817,'Gen. Plant Additions'!$E$5:$AD$5,0))</f>
        <v>800</v>
      </c>
      <c r="BN817" s="301">
        <f t="shared" si="1468"/>
        <v>0.97528088128521417</v>
      </c>
      <c r="BO817" s="231">
        <f t="shared" si="1396"/>
        <v>780.22470502817134</v>
      </c>
      <c r="BP817" s="231">
        <f t="shared" si="1397"/>
        <v>-19.775294971828657</v>
      </c>
      <c r="BQ817" s="129">
        <f>INDEX('Dist Plant Depreciation'!$D$7:$AC$94,MATCH($C817,'Dist Plant Depreciation'!$C$7:$C$94,0),MATCH(Calculation!$G817,'Dist Plant Depreciation'!$D$5:$AC$5,0))</f>
        <v>150997</v>
      </c>
      <c r="BR817" s="129">
        <f>INDEX('Gen. Plant Depreciation'!$D$7:$AC$94,MATCH($C817,'Gen. Plant Depreciation'!$C$7:$C$94,0),MATCH(Calculation!$G817,'Gen. Plant Depreciation'!$D$5:$AC$5,0))</f>
        <v>14677</v>
      </c>
      <c r="BS817" s="129"/>
      <c r="BT817" s="129"/>
      <c r="BU817" s="129"/>
      <c r="BV817" s="129"/>
      <c r="BW817" s="129"/>
      <c r="BX817" s="137"/>
      <c r="BY817" s="129">
        <f>INDEX('Gross Dx Plant'!$D$7:$AC$91,MATCH($C817,'Gross Dx Plant'!$C$7:$C$91,0),MATCH(Calculation!$G817,'Gross Dx Plant'!$D$5:$AC$5,0))</f>
        <v>498350</v>
      </c>
      <c r="BZ817" s="129">
        <f>INDEX('Gross Gen Plant'!$D$7:$AC$91,MATCH($C817,'Gross Gen Plant'!$C$7:$C$91,0),MATCH(Calculation!$G817,'Gross Gen Plant'!$D$5:$AC$5,0))</f>
        <v>12631</v>
      </c>
      <c r="CA817" s="129">
        <f t="shared" si="1457"/>
        <v>345307</v>
      </c>
      <c r="CB817" s="129"/>
      <c r="CC817" s="133">
        <v>2012</v>
      </c>
      <c r="CD817" s="129"/>
      <c r="CE817" s="129"/>
      <c r="CF817" s="129"/>
      <c r="CG817" s="137"/>
      <c r="CH817" s="129">
        <f t="shared" si="1469"/>
        <v>39546</v>
      </c>
      <c r="CI817" s="46">
        <f t="shared" si="1478"/>
        <v>39526.224705028173</v>
      </c>
      <c r="CJ817" s="231">
        <f t="shared" si="1470"/>
        <v>59.089674043491591</v>
      </c>
      <c r="CK817" s="443">
        <v>0.84090909090909094</v>
      </c>
      <c r="CL817" s="231">
        <f>+CL803*CK817+CJ804*CK816+CJ805*CK815+CJ806*CK814+CJ807*CK813+CJ808*CK812+CJ809*CK811+CJ810*CK810+CJ811*CK809+CJ812*CK808+CJ813*CK807+CJ814*CK806+CJ815*CK805+CJ816*CK804+CJ817</f>
        <v>1244.1422265057099</v>
      </c>
      <c r="CM817" s="134">
        <f t="shared" si="1471"/>
        <v>3.4777458913713123E-2</v>
      </c>
      <c r="CN817" s="135">
        <f t="shared" si="1472"/>
        <v>1.3785830168093618E-2</v>
      </c>
      <c r="CO817" s="135">
        <f t="shared" si="1481"/>
        <v>1.3478285896883963E-2</v>
      </c>
      <c r="CP817" s="134">
        <f>VLOOKUP($H817,RoR!$E:$F,2,FALSE)</f>
        <v>3.6733333333333333E-2</v>
      </c>
      <c r="CQ817" s="135">
        <v>1.924331376386168E-2</v>
      </c>
      <c r="CR817" s="135">
        <f t="shared" si="1479"/>
        <v>1.7490019569471653E-2</v>
      </c>
      <c r="CS817" s="135">
        <f t="shared" si="1482"/>
        <v>1.7423655711649663E-2</v>
      </c>
      <c r="CT817" s="135">
        <f t="shared" si="1483"/>
        <v>6.7122682943869583E-2</v>
      </c>
      <c r="CU817" s="139">
        <f t="shared" si="1473"/>
        <v>0.85329623209999994</v>
      </c>
      <c r="CV817" s="335">
        <f t="shared" si="1474"/>
        <v>1.3960631020522127</v>
      </c>
      <c r="CW817" s="335">
        <f t="shared" si="1475"/>
        <v>0.29441923774954631</v>
      </c>
      <c r="CX817" s="335">
        <f t="shared" si="1476"/>
        <v>0.76377954189366437</v>
      </c>
      <c r="CY817" s="335">
        <f t="shared" si="1477"/>
        <v>0.31393465103033691</v>
      </c>
      <c r="CZ817" s="336">
        <f>INDEX('State Tax Lookup'!$D$7:$Z$91,MATCH(Calculation!$C817,'State Tax Lookup'!$B$7:$B$91,0),MATCH($H817,'State Tax Lookup'!$D$6:$Z$6,0))</f>
        <v>0.39649667</v>
      </c>
      <c r="DA817" s="302">
        <v>0.37</v>
      </c>
      <c r="DB817" s="57">
        <f t="shared" si="1480"/>
        <v>16.384183150662064</v>
      </c>
      <c r="DC817" s="56">
        <f t="shared" si="1484"/>
        <v>6.8618824782648136E-2</v>
      </c>
      <c r="DD817" s="303">
        <f>VLOOKUP($H817,RoR!$E:$F,2,FALSE)</f>
        <v>3.6733333333333333E-2</v>
      </c>
      <c r="DE817" s="304">
        <f>HLOOKUP($H817,'GDP-PI'!$D$8:$CQ$11,3,FALSE)</f>
        <v>1.924331376386168E-2</v>
      </c>
      <c r="DF817" s="303">
        <f>VLOOKUP(H817,'HW Dx Data'!$E:$F,2,FALSE)</f>
        <v>668.91932211262167</v>
      </c>
      <c r="DG817" s="364">
        <f ca="1">VLOOKUP(CC817,'ECI - Input Price'!M$13:N$33,2,FALSE)</f>
        <v>124.80000000000001</v>
      </c>
      <c r="DH817" s="364"/>
      <c r="DI817" s="364"/>
      <c r="DJ817" s="56">
        <f t="shared" ca="1" si="1492"/>
        <v>3.1955502161869064E-2</v>
      </c>
      <c r="DK817" s="53">
        <f>HLOOKUP(H817,'GDP-PI'!$8:$9,2,FALSE)</f>
        <v>100</v>
      </c>
      <c r="DL817" s="355">
        <f t="shared" si="1485"/>
        <v>1.9060502738742411E-2</v>
      </c>
      <c r="EC817"/>
    </row>
    <row r="818" spans="1:133" s="126" customFormat="1" ht="21" customHeight="1" x14ac:dyDescent="0.4">
      <c r="A818" s="233" t="s">
        <v>229</v>
      </c>
      <c r="B818" s="127" t="s">
        <v>229</v>
      </c>
      <c r="C818" s="127">
        <v>4057093</v>
      </c>
      <c r="D818" s="127" t="s">
        <v>194</v>
      </c>
      <c r="E818" s="127" t="s">
        <v>15</v>
      </c>
      <c r="F818" s="127"/>
      <c r="G818" s="127" t="s">
        <v>169</v>
      </c>
      <c r="H818" s="128">
        <v>2013</v>
      </c>
      <c r="I818" s="129"/>
      <c r="J818" s="125">
        <f>IFERROR(INDEX('Labor Expenditures'!$E$7:$W$91,MATCH($C818,'Labor Expenditures'!$C$7:$C$91,0),MATCH($G818,'Labor Expenditures'!$E$5:$W$5,0)),"NA")</f>
        <v>23476.236138471206</v>
      </c>
      <c r="K818" s="125">
        <f t="shared" ca="1" si="1486"/>
        <v>185.14381812674452</v>
      </c>
      <c r="L818" s="47"/>
      <c r="M818" s="131">
        <f t="shared" ca="1" si="1493"/>
        <v>-2.3806973753204109E-2</v>
      </c>
      <c r="N818" s="131"/>
      <c r="O818" s="131"/>
      <c r="P818" s="59">
        <f t="shared" ca="1" si="1495"/>
        <v>-1.8927703956817373E-4</v>
      </c>
      <c r="Q818" s="61"/>
      <c r="R818" s="387"/>
      <c r="S818" s="49">
        <f t="shared" ca="1" si="1500"/>
        <v>107.96752544406766</v>
      </c>
      <c r="T818" s="61">
        <f ca="1">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</f>
        <v>-6.9642758724008769E-2</v>
      </c>
      <c r="U818" s="61"/>
      <c r="V818" s="125">
        <f>IFERROR(INDEX('Non-Labor Expenditures'!$E$7:$AA$91,MATCH($C818,'Non-Labor Expenditures'!$C$7:$C$91,0),MATCH($G818,'Non-Labor Expenditures'!$E$5:$AA$5,0)),"NA")</f>
        <v>33997.974684585926</v>
      </c>
      <c r="W818" s="125">
        <f t="shared" si="1487"/>
        <v>334.0569176951247</v>
      </c>
      <c r="X818" s="131">
        <f t="shared" si="1496"/>
        <v>-2.5483044701916435E-2</v>
      </c>
      <c r="Y818" s="131">
        <f t="shared" si="1497"/>
        <v>-2.0260262015507182E-4</v>
      </c>
      <c r="Z818" s="131"/>
      <c r="AA818" s="131"/>
      <c r="AB818" s="131"/>
      <c r="AC818" s="125">
        <f t="shared" si="1467"/>
        <v>19888.629433009926</v>
      </c>
      <c r="AD818" s="129"/>
      <c r="AE818" s="133">
        <v>1356.880445481087</v>
      </c>
      <c r="AF818" s="134">
        <v>2.6496701879292192E-2</v>
      </c>
      <c r="AG818" s="59">
        <f t="shared" si="1488"/>
        <v>2.1066168854652972E-4</v>
      </c>
      <c r="AH818" s="134"/>
      <c r="AI818" s="134"/>
      <c r="AJ818" s="129">
        <f t="shared" si="1458"/>
        <v>77362.840256067051</v>
      </c>
      <c r="AK818" s="134">
        <f t="shared" si="1498"/>
        <v>-3.2936720753993162E-3</v>
      </c>
      <c r="AL818" s="129"/>
      <c r="AM818" s="129"/>
      <c r="AN818" s="129"/>
      <c r="AO818" s="129"/>
      <c r="AP818" s="133">
        <f t="shared" si="1499"/>
        <v>591.86174274595908</v>
      </c>
      <c r="AQ818" s="134">
        <f>+BB818/Outputs!$B$21</f>
        <v>3.6366725137881445E-3</v>
      </c>
      <c r="AR818" s="93">
        <f t="shared" si="1489"/>
        <v>0.303456233777949</v>
      </c>
      <c r="AS818" s="93">
        <f t="shared" si="1490"/>
        <v>0.43946130431683178</v>
      </c>
      <c r="AT818" s="93">
        <f t="shared" si="1491"/>
        <v>0.25708246190521933</v>
      </c>
      <c r="AU818" s="93">
        <f t="shared" ca="1" si="1494"/>
        <v>-1.1699481409198961E-2</v>
      </c>
      <c r="AV818" s="132">
        <f t="shared" ca="1" si="1502"/>
        <v>122.93875539103246</v>
      </c>
      <c r="AW818" s="134">
        <f t="shared" ca="1" si="1503"/>
        <v>-1.1699481409198935E-2</v>
      </c>
      <c r="AX818" s="56">
        <f>+AJ818/$AL$18</f>
        <v>7.9504871778463444E-3</v>
      </c>
      <c r="AY818" s="135">
        <f t="shared" ca="1" si="1501"/>
        <v>-9.301657693128781E-5</v>
      </c>
      <c r="AZ818" s="93"/>
      <c r="BA818" s="93"/>
      <c r="BB818" s="234">
        <f>IFERROR(INDEX('Total Customers'!$E$7:$AA$91,MATCH($C818,'Total Customers'!$C$7:$C$91,0),MATCH($G818,'Total Customers'!$E$5:$AA$5,0)),"NA")</f>
        <v>130711</v>
      </c>
      <c r="BC818" s="269">
        <f t="shared" si="1420"/>
        <v>6.4471291922022465E-3</v>
      </c>
      <c r="BD818" s="92"/>
      <c r="BE818" s="299" t="str">
        <f t="shared" si="1410"/>
        <v>ORANGE AND ROCKLAND UTILITIES, INC.</v>
      </c>
      <c r="BF818" s="300">
        <f t="shared" si="1411"/>
        <v>4057093</v>
      </c>
      <c r="BG818" s="231" t="str">
        <f t="shared" si="1412"/>
        <v>NY</v>
      </c>
      <c r="BH818" s="231"/>
      <c r="BI818" s="231" t="str">
        <f t="shared" si="1413"/>
        <v>2013 Y</v>
      </c>
      <c r="BJ818" s="129"/>
      <c r="BK818" s="129"/>
      <c r="BL818" s="129">
        <f>INDEX('Dist. Plant Gas Additions'!$E$7:$AD$91,MATCH($C818,'Dist. Plant Gas Additions'!$C$7:$C$91,0),MATCH(Calculation!$G818,'Dist. Plant Gas Additions'!$E$5:$AD$5,0))</f>
        <v>28708</v>
      </c>
      <c r="BM818" s="129">
        <f>INDEX('Gen. Plant Additions'!$E$7:$AD$91,MATCH($C818,'Gen. Plant Additions'!$C$7:$C$91,0),MATCH(Calculation!$G818,'Gen. Plant Additions'!$E$5:$AD$5,0))</f>
        <v>1486</v>
      </c>
      <c r="BN818" s="301">
        <f t="shared" si="1468"/>
        <v>0.97385663290918822</v>
      </c>
      <c r="BO818" s="231">
        <f t="shared" si="1396"/>
        <v>1447.1509565030537</v>
      </c>
      <c r="BP818" s="231">
        <f t="shared" si="1397"/>
        <v>-38.849043496946251</v>
      </c>
      <c r="BQ818" s="129">
        <f>INDEX('Dist Plant Depreciation'!$D$7:$AC$94,MATCH($C818,'Dist Plant Depreciation'!$C$7:$C$94,0),MATCH(Calculation!$G818,'Dist Plant Depreciation'!$D$5:$AC$5,0))</f>
        <v>160680</v>
      </c>
      <c r="BR818" s="129">
        <f>INDEX('Gen. Plant Depreciation'!$D$7:$AC$94,MATCH($C818,'Gen. Plant Depreciation'!$C$7:$C$94,0),MATCH(Calculation!$G818,'Gen. Plant Depreciation'!$D$5:$AC$5,0))</f>
        <v>15556</v>
      </c>
      <c r="BS818" s="129"/>
      <c r="BT818" s="129"/>
      <c r="BU818" s="129"/>
      <c r="BV818" s="129"/>
      <c r="BW818" s="129"/>
      <c r="BX818" s="137"/>
      <c r="BY818" s="129">
        <f>INDEX('Gross Dx Plant'!$D$7:$AC$91,MATCH($C818,'Gross Dx Plant'!$C$7:$C$91,0),MATCH(Calculation!$G818,'Gross Dx Plant'!$D$5:$AC$5,0))</f>
        <v>525718</v>
      </c>
      <c r="BZ818" s="129">
        <f>INDEX('Gross Gen Plant'!$D$7:$AC$91,MATCH($C818,'Gross Gen Plant'!$C$7:$C$91,0),MATCH(Calculation!$G818,'Gross Gen Plant'!$D$5:$AC$5,0))</f>
        <v>14113</v>
      </c>
      <c r="CA818" s="129">
        <f t="shared" si="1457"/>
        <v>363595</v>
      </c>
      <c r="CB818" s="129"/>
      <c r="CC818" s="133">
        <v>2013</v>
      </c>
      <c r="CD818" s="129"/>
      <c r="CE818" s="129"/>
      <c r="CF818" s="129"/>
      <c r="CG818" s="137"/>
      <c r="CH818" s="129">
        <f t="shared" si="1469"/>
        <v>30194</v>
      </c>
      <c r="CI818" s="46">
        <f t="shared" si="1478"/>
        <v>30155.150956503054</v>
      </c>
      <c r="CJ818" s="231">
        <f t="shared" si="1470"/>
        <v>45.46584764769392</v>
      </c>
      <c r="CK818" s="443">
        <v>0.82758620689655171</v>
      </c>
      <c r="CL818" s="231">
        <f>+CL803*CK818+CJ804*CK817+CJ805*CK816+CJ806*CK815+CJ807*CK814+CJ808*CK813+CJ809*CK812+CJ810*CK811+CJ811*CK810+CJ812*CK809+CJ813*CK808+CJ814*CK807+CJ815*CK806+CJ816*CK805+CJ817*CK804+CJ818</f>
        <v>1272.087368958795</v>
      </c>
      <c r="CM818" s="134">
        <f t="shared" si="1471"/>
        <v>2.2212831077170626E-2</v>
      </c>
      <c r="CN818" s="135">
        <f t="shared" si="1472"/>
        <v>1.4082558104162583E-2</v>
      </c>
      <c r="CO818" s="135">
        <f t="shared" si="1481"/>
        <v>1.3774837029486177E-2</v>
      </c>
      <c r="CP818" s="134">
        <f>VLOOKUP($H818,RoR!$E:$F,2,FALSE)</f>
        <v>4.2350000000000006E-2</v>
      </c>
      <c r="CQ818" s="135">
        <v>1.7730000000000024E-2</v>
      </c>
      <c r="CR818" s="135">
        <f t="shared" si="1479"/>
        <v>2.4619999999999982E-2</v>
      </c>
      <c r="CS818" s="135">
        <f t="shared" si="1482"/>
        <v>1.7127104579047446E-2</v>
      </c>
      <c r="CT818" s="135">
        <f t="shared" si="1483"/>
        <v>5.3376742735721204E-2</v>
      </c>
      <c r="CU818" s="139">
        <f t="shared" si="1473"/>
        <v>0.85329623209999994</v>
      </c>
      <c r="CV818" s="335">
        <f t="shared" si="1474"/>
        <v>1.2109103018193925</v>
      </c>
      <c r="CW818" s="335">
        <f t="shared" si="1475"/>
        <v>0.38468122786304604</v>
      </c>
      <c r="CX818" s="335">
        <f t="shared" si="1476"/>
        <v>0.80969194503422559</v>
      </c>
      <c r="CY818" s="335">
        <f t="shared" si="1477"/>
        <v>0.37716621754800816</v>
      </c>
      <c r="CZ818" s="336">
        <f>INDEX('State Tax Lookup'!$D$7:$Z$91,MATCH(Calculation!$C818,'State Tax Lookup'!$B$7:$B$91,0),MATCH($H818,'State Tax Lookup'!$D$6:$Z$6,0))</f>
        <v>0.39649667</v>
      </c>
      <c r="DA818" s="302">
        <v>0.37</v>
      </c>
      <c r="DB818" s="57">
        <f t="shared" si="1480"/>
        <v>15.985816580527942</v>
      </c>
      <c r="DC818" s="56">
        <f t="shared" si="1484"/>
        <v>-2.4614562042430604E-2</v>
      </c>
      <c r="DD818" s="303">
        <f>VLOOKUP($H818,RoR!$E:$F,2,FALSE)</f>
        <v>4.2350000000000006E-2</v>
      </c>
      <c r="DE818" s="304">
        <f>HLOOKUP($H818,'GDP-PI'!$D$8:$CQ$11,3,FALSE)</f>
        <v>1.7730000000000024E-2</v>
      </c>
      <c r="DF818" s="303">
        <f>VLOOKUP(H818,'HW Dx Data'!$E:$F,2,FALSE)</f>
        <v>663.24840548821396</v>
      </c>
      <c r="DG818" s="364">
        <f ca="1">VLOOKUP(CC818,'ECI - Input Price'!M$13:N$33,2,FALSE)</f>
        <v>126.8</v>
      </c>
      <c r="DH818" s="364"/>
      <c r="DI818" s="364"/>
      <c r="DJ818" s="56">
        <f t="shared" ca="1" si="1492"/>
        <v>1.5898586067798204E-2</v>
      </c>
      <c r="DK818" s="53">
        <f>HLOOKUP(H818,'GDP-PI'!$8:$9,2,FALSE)</f>
        <v>101.773</v>
      </c>
      <c r="DL818" s="355">
        <f t="shared" si="1485"/>
        <v>1.7574657016510519E-2</v>
      </c>
      <c r="EC818"/>
    </row>
    <row r="819" spans="1:133" s="126" customFormat="1" ht="21" customHeight="1" x14ac:dyDescent="0.4">
      <c r="A819" s="233" t="s">
        <v>229</v>
      </c>
      <c r="B819" s="127" t="s">
        <v>229</v>
      </c>
      <c r="C819" s="127">
        <v>4057093</v>
      </c>
      <c r="D819" s="127" t="s">
        <v>194</v>
      </c>
      <c r="E819" s="127" t="s">
        <v>15</v>
      </c>
      <c r="F819" s="127"/>
      <c r="G819" s="127" t="s">
        <v>170</v>
      </c>
      <c r="H819" s="128">
        <v>2014</v>
      </c>
      <c r="I819" s="129"/>
      <c r="J819" s="125">
        <f>IFERROR(INDEX('Labor Expenditures'!$E$7:$W$91,MATCH($C819,'Labor Expenditures'!$C$7:$C$91,0),MATCH($G819,'Labor Expenditures'!$E$5:$W$5,0)),"NA")</f>
        <v>23446.334188854056</v>
      </c>
      <c r="K819" s="125">
        <f t="shared" ca="1" si="1486"/>
        <v>181.1926907948536</v>
      </c>
      <c r="L819" s="47"/>
      <c r="M819" s="131">
        <f t="shared" ca="1" si="1493"/>
        <v>-2.1571863324284922E-2</v>
      </c>
      <c r="N819" s="131"/>
      <c r="O819" s="131"/>
      <c r="P819" s="59">
        <f t="shared" ca="1" si="1495"/>
        <v>-1.6983067983070997E-4</v>
      </c>
      <c r="Q819" s="61"/>
      <c r="R819" s="387"/>
      <c r="S819" s="49">
        <f t="shared" ca="1" si="1500"/>
        <v>119.85404668064419</v>
      </c>
      <c r="T819" s="61">
        <f ca="1">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</f>
        <v>0.10444423327965553</v>
      </c>
      <c r="U819" s="61"/>
      <c r="V819" s="125">
        <f>IFERROR(INDEX('Non-Labor Expenditures'!$E$7:$AA$91,MATCH($C819,'Non-Labor Expenditures'!$C$7:$C$91,0),MATCH($G819,'Non-Labor Expenditures'!$E$5:$AA$5,0)),"NA")</f>
        <v>33954.671076626488</v>
      </c>
      <c r="W819" s="125">
        <f t="shared" si="1487"/>
        <v>327.59916907027201</v>
      </c>
      <c r="X819" s="131">
        <f t="shared" si="1496"/>
        <v>-1.9520575158866366E-2</v>
      </c>
      <c r="Y819" s="131">
        <f t="shared" si="1497"/>
        <v>-1.5368132553410929E-4</v>
      </c>
      <c r="Z819" s="131"/>
      <c r="AA819" s="131"/>
      <c r="AB819" s="131"/>
      <c r="AC819" s="125">
        <f t="shared" si="1467"/>
        <v>20612.147169768421</v>
      </c>
      <c r="AD819" s="129"/>
      <c r="AE819" s="133">
        <v>1382.4241316250263</v>
      </c>
      <c r="AF819" s="134">
        <v>1.8650300347064497E-2</v>
      </c>
      <c r="AG819" s="59">
        <f t="shared" si="1488"/>
        <v>1.4682983752373113E-4</v>
      </c>
      <c r="AH819" s="134"/>
      <c r="AI819" s="134"/>
      <c r="AJ819" s="129">
        <f t="shared" si="1458"/>
        <v>78013.152435248965</v>
      </c>
      <c r="AK819" s="134">
        <f t="shared" si="1498"/>
        <v>8.3708681794667731E-3</v>
      </c>
      <c r="AL819" s="129"/>
      <c r="AM819" s="129"/>
      <c r="AN819" s="129"/>
      <c r="AO819" s="129"/>
      <c r="AP819" s="133">
        <f t="shared" si="1499"/>
        <v>593.28298200107213</v>
      </c>
      <c r="AQ819" s="134">
        <f>+BB819/Outputs!$B$22</f>
        <v>3.6389075916057226E-3</v>
      </c>
      <c r="AR819" s="93">
        <f t="shared" si="1489"/>
        <v>0.30054335015258549</v>
      </c>
      <c r="AS819" s="93">
        <f t="shared" si="1490"/>
        <v>0.43524290477569044</v>
      </c>
      <c r="AT819" s="93">
        <f t="shared" si="1491"/>
        <v>0.26421374507172407</v>
      </c>
      <c r="AU819" s="93">
        <f t="shared" ca="1" si="1494"/>
        <v>-1.019089744896815E-2</v>
      </c>
      <c r="AV819" s="132">
        <f t="shared" ca="1" si="1502"/>
        <v>121.69226137647956</v>
      </c>
      <c r="AW819" s="134">
        <f t="shared" ca="1" si="1503"/>
        <v>-1.0190897448968166E-2</v>
      </c>
      <c r="AX819" s="56">
        <f>+AJ819/$AL$19</f>
        <v>7.8727867536375479E-3</v>
      </c>
      <c r="AY819" s="135">
        <f t="shared" ca="1" si="1501"/>
        <v>-8.023076244391525E-5</v>
      </c>
      <c r="AZ819" s="93"/>
      <c r="BA819" s="93"/>
      <c r="BB819" s="234">
        <f>IFERROR(INDEX('Total Customers'!$E$7:$AA$91,MATCH($C819,'Total Customers'!$C$7:$C$91,0),MATCH($G819,'Total Customers'!$E$5:$AA$5,0)),"NA")</f>
        <v>131494</v>
      </c>
      <c r="BC819" s="269">
        <f t="shared" si="1420"/>
        <v>5.9724439081767023E-3</v>
      </c>
      <c r="BD819" s="92"/>
      <c r="BE819" s="299" t="str">
        <f t="shared" si="1410"/>
        <v>ORANGE AND ROCKLAND UTILITIES, INC.</v>
      </c>
      <c r="BF819" s="300">
        <f t="shared" si="1411"/>
        <v>4057093</v>
      </c>
      <c r="BG819" s="231" t="str">
        <f t="shared" si="1412"/>
        <v>NY</v>
      </c>
      <c r="BH819" s="231"/>
      <c r="BI819" s="231" t="str">
        <f t="shared" si="1413"/>
        <v>2014 Y</v>
      </c>
      <c r="BJ819" s="129"/>
      <c r="BK819" s="129"/>
      <c r="BL819" s="129">
        <f>INDEX('Dist. Plant Gas Additions'!$E$7:$AD$91,MATCH($C819,'Dist. Plant Gas Additions'!$C$7:$C$91,0),MATCH(Calculation!$G819,'Dist. Plant Gas Additions'!$E$5:$AD$5,0))</f>
        <v>24311</v>
      </c>
      <c r="BM819" s="129">
        <f>INDEX('Gen. Plant Additions'!$E$7:$AD$91,MATCH($C819,'Gen. Plant Additions'!$C$7:$C$91,0),MATCH(Calculation!$G819,'Gen. Plant Additions'!$E$5:$AD$5,0))</f>
        <v>455</v>
      </c>
      <c r="BN819" s="301">
        <f t="shared" si="1468"/>
        <v>0.97429908613849625</v>
      </c>
      <c r="BO819" s="231">
        <f t="shared" si="1396"/>
        <v>443.30608419301581</v>
      </c>
      <c r="BP819" s="231">
        <f t="shared" si="1397"/>
        <v>-11.693915806984194</v>
      </c>
      <c r="BQ819" s="129">
        <f>INDEX('Dist Plant Depreciation'!$D$7:$AC$94,MATCH($C819,'Dist Plant Depreciation'!$C$7:$C$94,0),MATCH(Calculation!$G819,'Dist Plant Depreciation'!$D$5:$AC$5,0))</f>
        <v>172524</v>
      </c>
      <c r="BR819" s="129">
        <f>INDEX('Gen. Plant Depreciation'!$D$7:$AC$94,MATCH($C819,'Gen. Plant Depreciation'!$C$7:$C$94,0),MATCH(Calculation!$G819,'Gen. Plant Depreciation'!$D$5:$AC$5,0))</f>
        <v>15823</v>
      </c>
      <c r="BS819" s="129"/>
      <c r="BT819" s="129"/>
      <c r="BU819" s="129"/>
      <c r="BV819" s="129"/>
      <c r="BW819" s="129"/>
      <c r="BX819" s="137"/>
      <c r="BY819" s="129">
        <f>INDEX('Gross Dx Plant'!$D$7:$AC$91,MATCH($C819,'Gross Dx Plant'!$C$7:$C$91,0),MATCH(Calculation!$G819,'Gross Dx Plant'!$D$5:$AC$5,0))</f>
        <v>549379</v>
      </c>
      <c r="BZ819" s="129">
        <f>INDEX('Gross Gen Plant'!$D$7:$AC$91,MATCH($C819,'Gross Gen Plant'!$C$7:$C$91,0),MATCH(Calculation!$G819,'Gross Gen Plant'!$D$5:$AC$5,0))</f>
        <v>14492</v>
      </c>
      <c r="CA819" s="129">
        <f t="shared" si="1457"/>
        <v>375524</v>
      </c>
      <c r="CB819" s="129"/>
      <c r="CC819" s="133">
        <v>2014</v>
      </c>
      <c r="CD819" s="129"/>
      <c r="CE819" s="129"/>
      <c r="CF819" s="129"/>
      <c r="CG819" s="137"/>
      <c r="CH819" s="129">
        <f t="shared" si="1469"/>
        <v>24766</v>
      </c>
      <c r="CI819" s="46">
        <f t="shared" si="1478"/>
        <v>24754.306084193016</v>
      </c>
      <c r="CJ819" s="231">
        <f t="shared" si="1470"/>
        <v>36.165700591125642</v>
      </c>
      <c r="CK819" s="443">
        <v>0.81395348837209303</v>
      </c>
      <c r="CL819" s="231">
        <f>+CL803*CK819+CJ804*CK818+CJ805*CK817+CJ806*CK816+CJ807*CK815+CJ808*CK814+CJ809*CK813+CJ810*CK812+CJ811*CK811+CJ812*CK810+CJ813*CK809+CJ814*CK808+CJ815*CK807+CJ816*CK806+CJ817*CK805+CJ818*CK804+CJ819</f>
        <v>1289.8875623676886</v>
      </c>
      <c r="CM819" s="134">
        <f t="shared" si="1471"/>
        <v>1.3895904772067589E-2</v>
      </c>
      <c r="CN819" s="135">
        <f t="shared" si="1472"/>
        <v>1.4437300165368525E-2</v>
      </c>
      <c r="CO819" s="135">
        <f t="shared" si="1481"/>
        <v>1.4101896145874907E-2</v>
      </c>
      <c r="CP819" s="134">
        <f>VLOOKUP($H819,RoR!$E:$F,2,FALSE)</f>
        <v>4.1625000000000002E-2</v>
      </c>
      <c r="CQ819" s="135">
        <v>1.841352814597208E-2</v>
      </c>
      <c r="CR819" s="135">
        <f t="shared" si="1479"/>
        <v>2.3211471854027922E-2</v>
      </c>
      <c r="CS819" s="135">
        <f t="shared" si="1482"/>
        <v>1.6800045462658716E-2</v>
      </c>
      <c r="CT819" s="135">
        <f t="shared" si="1483"/>
        <v>3.9072621432650924E-2</v>
      </c>
      <c r="CU819" s="139">
        <f t="shared" si="1473"/>
        <v>0.85329623209999994</v>
      </c>
      <c r="CV819" s="335">
        <f t="shared" si="1474"/>
        <v>1.2320012320012319</v>
      </c>
      <c r="CW819" s="335">
        <f t="shared" si="1475"/>
        <v>0.37439939939939942</v>
      </c>
      <c r="CX819" s="335">
        <f t="shared" si="1476"/>
        <v>0.80432100613819935</v>
      </c>
      <c r="CY819" s="335">
        <f t="shared" si="1477"/>
        <v>0.37100152660040037</v>
      </c>
      <c r="CZ819" s="336">
        <f>INDEX('State Tax Lookup'!$D$7:$Z$91,MATCH(Calculation!$C819,'State Tax Lookup'!$B$7:$B$91,0),MATCH($H819,'State Tax Lookup'!$D$6:$Z$6,0))</f>
        <v>0.39649667</v>
      </c>
      <c r="DA819" s="302">
        <v>0.37</v>
      </c>
      <c r="DB819" s="57">
        <f t="shared" si="1480"/>
        <v>16.203405263460393</v>
      </c>
      <c r="DC819" s="56">
        <f t="shared" si="1484"/>
        <v>1.3519556215819168E-2</v>
      </c>
      <c r="DD819" s="303">
        <f>VLOOKUP($H819,RoR!$E:$F,2,FALSE)</f>
        <v>4.1625000000000002E-2</v>
      </c>
      <c r="DE819" s="304">
        <f>HLOOKUP($H819,'GDP-PI'!$D$8:$CQ$11,3,FALSE)</f>
        <v>1.841352814597208E-2</v>
      </c>
      <c r="DF819" s="303">
        <f>VLOOKUP(H819,'HW Dx Data'!$E:$F,2,FALSE)</f>
        <v>684.46914285042885</v>
      </c>
      <c r="DG819" s="364">
        <f ca="1">VLOOKUP(CC819,'ECI - Input Price'!M$13:N$33,2,FALSE)</f>
        <v>129.4</v>
      </c>
      <c r="DH819" s="364"/>
      <c r="DI819" s="364"/>
      <c r="DJ819" s="56">
        <f t="shared" ca="1" si="1492"/>
        <v>2.0297340063674733E-2</v>
      </c>
      <c r="DK819" s="53">
        <f>HLOOKUP(H819,'GDP-PI'!$8:$9,2,FALSE)</f>
        <v>103.64700000000001</v>
      </c>
      <c r="DL819" s="355">
        <f t="shared" si="1485"/>
        <v>1.8246051898256087E-2</v>
      </c>
      <c r="EC819"/>
    </row>
    <row r="820" spans="1:133" s="126" customFormat="1" ht="21" customHeight="1" x14ac:dyDescent="0.4">
      <c r="A820" s="233" t="s">
        <v>229</v>
      </c>
      <c r="B820" s="127" t="s">
        <v>229</v>
      </c>
      <c r="C820" s="127">
        <v>4057093</v>
      </c>
      <c r="D820" s="127" t="s">
        <v>194</v>
      </c>
      <c r="E820" s="127" t="s">
        <v>15</v>
      </c>
      <c r="F820" s="127"/>
      <c r="G820" s="127" t="s">
        <v>171</v>
      </c>
      <c r="H820" s="128">
        <v>2015</v>
      </c>
      <c r="I820" s="129"/>
      <c r="J820" s="125">
        <f>IFERROR(INDEX('Labor Expenditures'!$E$7:$W$91,MATCH($C820,'Labor Expenditures'!$C$7:$C$91,0),MATCH($G820,'Labor Expenditures'!$E$5:$W$5,0)),"NA")</f>
        <v>22408.090118226301</v>
      </c>
      <c r="K820" s="125">
        <f t="shared" ca="1" si="1486"/>
        <v>167.85086230881123</v>
      </c>
      <c r="L820" s="47"/>
      <c r="M820" s="131">
        <f t="shared" ca="1" si="1493"/>
        <v>-7.6485194228207959E-2</v>
      </c>
      <c r="N820" s="131"/>
      <c r="O820" s="131"/>
      <c r="P820" s="59">
        <f t="shared" ca="1" si="1495"/>
        <v>-5.7683678461947904E-4</v>
      </c>
      <c r="Q820" s="61"/>
      <c r="R820" s="387"/>
      <c r="S820" s="49">
        <f t="shared" ca="1" si="1500"/>
        <v>119.25273836454295</v>
      </c>
      <c r="T820" s="61">
        <f ca="1">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</f>
        <v>-5.02963212528733E-3</v>
      </c>
      <c r="U820" s="61"/>
      <c r="V820" s="125">
        <f>IFERROR(INDEX('Non-Labor Expenditures'!$E$7:$AA$91,MATCH($C820,'Non-Labor Expenditures'!$C$7:$C$91,0),MATCH($G820,'Non-Labor Expenditures'!$E$5:$AA$5,0)),"NA")</f>
        <v>32451.099745113952</v>
      </c>
      <c r="W820" s="125">
        <f t="shared" si="1487"/>
        <v>310.12432979208472</v>
      </c>
      <c r="X820" s="131">
        <f t="shared" si="1496"/>
        <v>-5.4817534640146499E-2</v>
      </c>
      <c r="Y820" s="131">
        <f t="shared" si="1497"/>
        <v>-4.1342341797868097E-4</v>
      </c>
      <c r="Z820" s="131"/>
      <c r="AA820" s="131"/>
      <c r="AB820" s="131"/>
      <c r="AC820" s="125">
        <f t="shared" si="1467"/>
        <v>20261.503903458171</v>
      </c>
      <c r="AD820" s="129"/>
      <c r="AE820" s="133">
        <v>1429.3495631414639</v>
      </c>
      <c r="AF820" s="134">
        <v>3.3380914604450425E-2</v>
      </c>
      <c r="AG820" s="59">
        <f t="shared" si="1488"/>
        <v>2.5175250768974533E-4</v>
      </c>
      <c r="AH820" s="134"/>
      <c r="AI820" s="134"/>
      <c r="AJ820" s="129">
        <f t="shared" si="1458"/>
        <v>75120.693766798417</v>
      </c>
      <c r="AK820" s="134">
        <f t="shared" si="1498"/>
        <v>-3.7781363134780824E-2</v>
      </c>
      <c r="AL820" s="129"/>
      <c r="AM820" s="129"/>
      <c r="AN820" s="129"/>
      <c r="AO820" s="129"/>
      <c r="AP820" s="133">
        <f t="shared" si="1499"/>
        <v>566.508252202427</v>
      </c>
      <c r="AQ820" s="134">
        <f>+BB820/Outputs!$B$23</f>
        <v>3.6397589710617712E-3</v>
      </c>
      <c r="AR820" s="93">
        <f t="shared" si="1489"/>
        <v>0.2982945044116479</v>
      </c>
      <c r="AS820" s="93">
        <f t="shared" si="1490"/>
        <v>0.43198615611636665</v>
      </c>
      <c r="AT820" s="93">
        <f t="shared" si="1491"/>
        <v>0.26971933947198556</v>
      </c>
      <c r="AU820" s="93">
        <f t="shared" ca="1" si="1494"/>
        <v>-3.7759207002148208E-2</v>
      </c>
      <c r="AV820" s="132">
        <f t="shared" ca="1" si="1502"/>
        <v>117.18292826511046</v>
      </c>
      <c r="AW820" s="134">
        <f t="shared" ca="1" si="1503"/>
        <v>-3.7759207002148257E-2</v>
      </c>
      <c r="AX820" s="56">
        <f>+AJ820/$AL$20</f>
        <v>7.5418097638397571E-3</v>
      </c>
      <c r="AY820" s="135">
        <f t="shared" ca="1" si="1501"/>
        <v>-2.8477275604364824E-4</v>
      </c>
      <c r="AZ820" s="93"/>
      <c r="BA820" s="93"/>
      <c r="BB820" s="234">
        <f>IFERROR(INDEX('Total Customers'!$E$7:$AA$91,MATCH($C820,'Total Customers'!$C$7:$C$91,0),MATCH($G820,'Total Customers'!$E$5:$AA$5,0)),"NA")</f>
        <v>132603</v>
      </c>
      <c r="BC820" s="269">
        <f t="shared" si="1420"/>
        <v>8.3984787297897035E-3</v>
      </c>
      <c r="BD820" s="92"/>
      <c r="BE820" s="299" t="str">
        <f t="shared" si="1410"/>
        <v>ORANGE AND ROCKLAND UTILITIES, INC.</v>
      </c>
      <c r="BF820" s="300">
        <f t="shared" si="1411"/>
        <v>4057093</v>
      </c>
      <c r="BG820" s="231" t="str">
        <f t="shared" si="1412"/>
        <v>NY</v>
      </c>
      <c r="BH820" s="231"/>
      <c r="BI820" s="231" t="str">
        <f t="shared" si="1413"/>
        <v>2015 Y</v>
      </c>
      <c r="BJ820" s="129"/>
      <c r="BK820" s="129"/>
      <c r="BL820" s="129">
        <f>INDEX('Dist. Plant Gas Additions'!$E$7:$AD$91,MATCH($C820,'Dist. Plant Gas Additions'!$C$7:$C$91,0),MATCH(Calculation!$G820,'Dist. Plant Gas Additions'!$E$5:$AD$5,0))</f>
        <v>38576</v>
      </c>
      <c r="BM820" s="129">
        <f>INDEX('Gen. Plant Additions'!$E$7:$AD$91,MATCH($C820,'Gen. Plant Additions'!$C$7:$C$91,0),MATCH(Calculation!$G820,'Gen. Plant Additions'!$E$5:$AD$5,0))</f>
        <v>705</v>
      </c>
      <c r="BN820" s="301">
        <f t="shared" si="1468"/>
        <v>0.97731703821709126</v>
      </c>
      <c r="BO820" s="231">
        <f t="shared" si="1396"/>
        <v>689.00851194304937</v>
      </c>
      <c r="BP820" s="231">
        <f t="shared" si="1397"/>
        <v>-15.991488056950629</v>
      </c>
      <c r="BQ820" s="129">
        <f>INDEX('Dist Plant Depreciation'!$D$7:$AC$94,MATCH($C820,'Dist Plant Depreciation'!$C$7:$C$94,0),MATCH(Calculation!$G820,'Dist Plant Depreciation'!$D$5:$AC$5,0))</f>
        <v>182850</v>
      </c>
      <c r="BR820" s="129">
        <f>INDEX('Gen. Plant Depreciation'!$D$7:$AC$94,MATCH($C820,'Gen. Plant Depreciation'!$C$7:$C$94,0),MATCH(Calculation!$G820,'Gen. Plant Depreciation'!$D$5:$AC$5,0))</f>
        <v>16969</v>
      </c>
      <c r="BS820" s="129"/>
      <c r="BT820" s="129"/>
      <c r="BU820" s="129"/>
      <c r="BV820" s="129"/>
      <c r="BW820" s="129"/>
      <c r="BX820" s="137"/>
      <c r="BY820" s="129">
        <f>INDEX('Gross Dx Plant'!$D$7:$AC$91,MATCH($C820,'Gross Dx Plant'!$C$7:$C$91,0),MATCH(Calculation!$G820,'Gross Dx Plant'!$D$5:$AC$5,0))</f>
        <v>586486</v>
      </c>
      <c r="BZ820" s="129">
        <f>INDEX('Gross Gen Plant'!$D$7:$AC$91,MATCH($C820,'Gross Gen Plant'!$C$7:$C$91,0),MATCH(Calculation!$G820,'Gross Gen Plant'!$D$5:$AC$5,0))</f>
        <v>13612</v>
      </c>
      <c r="CA820" s="129">
        <f t="shared" si="1457"/>
        <v>400279</v>
      </c>
      <c r="CB820" s="129"/>
      <c r="CC820" s="133">
        <v>2015</v>
      </c>
      <c r="CD820" s="129"/>
      <c r="CE820" s="129"/>
      <c r="CF820" s="129"/>
      <c r="CG820" s="137"/>
      <c r="CH820" s="129">
        <f t="shared" si="1469"/>
        <v>39281</v>
      </c>
      <c r="CI820" s="46">
        <f t="shared" si="1478"/>
        <v>39265.008511943051</v>
      </c>
      <c r="CJ820" s="231">
        <f t="shared" si="1470"/>
        <v>58.117463105490074</v>
      </c>
      <c r="CK820" s="443">
        <v>0.8</v>
      </c>
      <c r="CL820" s="231">
        <f>+CL803*CK820+CJ804*CK819+CJ805*CK818+CJ806*CK817+CJ807*CK816+CJ808*CK815+CJ809*CK814+CJ810*CK813+CJ811*CK812+CJ812*CK811+CJ813*CK810+CJ814*CK809+CJ815*CK808+CJ816*CK807+CJ817*CK806+CJ818*CK805+CJ819*CK804+CJ820</f>
        <v>1328.8642766103983</v>
      </c>
      <c r="CM820" s="134">
        <f t="shared" si="1471"/>
        <v>2.9769596449835165E-2</v>
      </c>
      <c r="CN820" s="135">
        <f t="shared" si="1472"/>
        <v>1.4839083204776424E-2</v>
      </c>
      <c r="CO820" s="135">
        <f t="shared" si="1481"/>
        <v>1.4452980491435846E-2</v>
      </c>
      <c r="CP820" s="134">
        <f>VLOOKUP($H820,RoR!$E:$F,2,FALSE)</f>
        <v>3.8866666666666674E-2</v>
      </c>
      <c r="CQ820" s="135">
        <v>9.5709475431029478E-3</v>
      </c>
      <c r="CR820" s="135">
        <f t="shared" si="1479"/>
        <v>2.9295719123563727E-2</v>
      </c>
      <c r="CS820" s="135">
        <f t="shared" si="1482"/>
        <v>1.6448961117097781E-2</v>
      </c>
      <c r="CT820" s="135">
        <f t="shared" si="1483"/>
        <v>3.5270373279175926E-3</v>
      </c>
      <c r="CU820" s="139">
        <f t="shared" si="1473"/>
        <v>0.85329623209999994</v>
      </c>
      <c r="CV820" s="335">
        <f t="shared" si="1474"/>
        <v>1.3194352816994324</v>
      </c>
      <c r="CW820" s="335">
        <f t="shared" si="1475"/>
        <v>0.33177530017152673</v>
      </c>
      <c r="CX820" s="335">
        <f t="shared" si="1476"/>
        <v>0.78242572977668579</v>
      </c>
      <c r="CY820" s="335">
        <f t="shared" si="1477"/>
        <v>0.34251158643433932</v>
      </c>
      <c r="CZ820" s="336">
        <f>INDEX('State Tax Lookup'!$D$7:$Z$91,MATCH(Calculation!$C820,'State Tax Lookup'!$B$7:$B$91,0),MATCH($H820,'State Tax Lookup'!$D$6:$Z$6,0))</f>
        <v>0.39649667</v>
      </c>
      <c r="DA820" s="302">
        <v>0.37</v>
      </c>
      <c r="DB820" s="57">
        <f t="shared" si="1480"/>
        <v>15.70796129413529</v>
      </c>
      <c r="DC820" s="56">
        <f t="shared" si="1484"/>
        <v>-3.1053748970670501E-2</v>
      </c>
      <c r="DD820" s="303">
        <f>VLOOKUP($H820,RoR!$E:$F,2,FALSE)</f>
        <v>3.8866666666666674E-2</v>
      </c>
      <c r="DE820" s="304">
        <f>HLOOKUP($H820,'GDP-PI'!$D$8:$CQ$11,3,FALSE)</f>
        <v>9.5709475431029478E-3</v>
      </c>
      <c r="DF820" s="303">
        <f>VLOOKUP(H820,'HW Dx Data'!$E:$F,2,FALSE)</f>
        <v>675.61463308665782</v>
      </c>
      <c r="DG820" s="364">
        <f ca="1">VLOOKUP(CC820,'ECI - Input Price'!M$13:N$33,2,FALSE)</f>
        <v>133.5</v>
      </c>
      <c r="DH820" s="364"/>
      <c r="DI820" s="364"/>
      <c r="DJ820" s="56">
        <f t="shared" ca="1" si="1492"/>
        <v>3.1193095773504077E-2</v>
      </c>
      <c r="DK820" s="53">
        <f>HLOOKUP(H820,'GDP-PI'!$8:$9,2,FALSE)</f>
        <v>104.639</v>
      </c>
      <c r="DL820" s="355">
        <f t="shared" si="1485"/>
        <v>9.5254361854427965E-3</v>
      </c>
      <c r="EC820"/>
    </row>
    <row r="821" spans="1:133" s="126" customFormat="1" ht="21" customHeight="1" x14ac:dyDescent="0.4">
      <c r="A821" s="233" t="s">
        <v>229</v>
      </c>
      <c r="B821" s="127" t="s">
        <v>229</v>
      </c>
      <c r="C821" s="127">
        <v>4057093</v>
      </c>
      <c r="D821" s="127" t="s">
        <v>194</v>
      </c>
      <c r="E821" s="127" t="s">
        <v>15</v>
      </c>
      <c r="F821" s="127"/>
      <c r="G821" s="127" t="s">
        <v>172</v>
      </c>
      <c r="H821" s="128">
        <v>2016</v>
      </c>
      <c r="I821" s="129"/>
      <c r="J821" s="125">
        <f>IFERROR(INDEX('Labor Expenditures'!$E$7:$W$91,MATCH($C821,'Labor Expenditures'!$C$7:$C$91,0),MATCH($G821,'Labor Expenditures'!$E$5:$W$5,0)),"NA")</f>
        <v>20598.545051648096</v>
      </c>
      <c r="K821" s="125">
        <f t="shared" ca="1" si="1486"/>
        <v>150.40923732492223</v>
      </c>
      <c r="L821" s="47"/>
      <c r="M821" s="131">
        <f t="shared" ca="1" si="1493"/>
        <v>-0.10971603277683573</v>
      </c>
      <c r="N821" s="131"/>
      <c r="O821" s="131"/>
      <c r="P821" s="59">
        <f t="shared" ca="1" si="1495"/>
        <v>-7.545570191650826E-4</v>
      </c>
      <c r="Q821" s="61"/>
      <c r="R821" s="387"/>
      <c r="S821" s="49">
        <f t="shared" ca="1" si="1500"/>
        <v>300.69545603603467</v>
      </c>
      <c r="T821" s="61">
        <f ca="1">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</f>
        <v>0.92485288586394632</v>
      </c>
      <c r="U821" s="61"/>
      <c r="V821" s="125">
        <f>IFERROR(INDEX('Non-Labor Expenditures'!$E$7:$AA$91,MATCH($C821,'Non-Labor Expenditures'!$C$7:$C$91,0),MATCH($G821,'Non-Labor Expenditures'!$E$5:$AA$5,0)),"NA")</f>
        <v>29830.54051231057</v>
      </c>
      <c r="W821" s="125">
        <f t="shared" si="1487"/>
        <v>282.12283907383073</v>
      </c>
      <c r="X821" s="131">
        <f t="shared" si="1496"/>
        <v>-9.4630705275258062E-2</v>
      </c>
      <c r="Y821" s="131">
        <f t="shared" si="1497"/>
        <v>-6.5080974117270234E-4</v>
      </c>
      <c r="Z821" s="131"/>
      <c r="AA821" s="131"/>
      <c r="AB821" s="131"/>
      <c r="AC821" s="125">
        <f t="shared" si="1467"/>
        <v>20287.730777668559</v>
      </c>
      <c r="AD821" s="129"/>
      <c r="AE821" s="133">
        <v>1483.6028235208819</v>
      </c>
      <c r="AF821" s="134">
        <v>3.725397994085252E-2</v>
      </c>
      <c r="AG821" s="59">
        <f t="shared" si="1488"/>
        <v>2.562091550774734E-4</v>
      </c>
      <c r="AH821" s="134"/>
      <c r="AI821" s="134"/>
      <c r="AJ821" s="129">
        <f t="shared" si="1458"/>
        <v>70716.816341627229</v>
      </c>
      <c r="AK821" s="134">
        <f t="shared" si="1498"/>
        <v>-6.0412670782300178E-2</v>
      </c>
      <c r="AL821" s="129"/>
      <c r="AM821" s="129"/>
      <c r="AN821" s="129"/>
      <c r="AO821" s="129"/>
      <c r="AP821" s="133">
        <f t="shared" si="1499"/>
        <v>536.31446447004885</v>
      </c>
      <c r="AQ821" s="134">
        <f>+BB821/Outputs!$B$24</f>
        <v>3.5880066963861752E-3</v>
      </c>
      <c r="AR821" s="93">
        <f t="shared" si="1489"/>
        <v>0.29128213227442518</v>
      </c>
      <c r="AS821" s="93">
        <f t="shared" si="1490"/>
        <v>0.42183093153121654</v>
      </c>
      <c r="AT821" s="93">
        <f t="shared" si="1491"/>
        <v>0.28688693619435823</v>
      </c>
      <c r="AU821" s="93">
        <f t="shared" ca="1" si="1494"/>
        <v>-6.237376187331839E-2</v>
      </c>
      <c r="AV821" s="132">
        <f t="shared" ca="1" si="1502"/>
        <v>110.09707112177068</v>
      </c>
      <c r="AW821" s="134">
        <f t="shared" ca="1" si="1503"/>
        <v>-6.2373761873318383E-2</v>
      </c>
      <c r="AX821" s="56">
        <f>+AJ821/$AL$21</f>
        <v>6.8773633175368675E-3</v>
      </c>
      <c r="AY821" s="135">
        <f t="shared" ca="1" si="1501"/>
        <v>-4.2896702188433949E-4</v>
      </c>
      <c r="AZ821" s="93"/>
      <c r="BA821" s="93"/>
      <c r="BB821" s="234">
        <f>IFERROR(INDEX('Total Customers'!$E$7:$AA$91,MATCH($C821,'Total Customers'!$C$7:$C$91,0),MATCH($G821,'Total Customers'!$E$5:$AA$5,0)),"NA")</f>
        <v>131857</v>
      </c>
      <c r="BC821" s="269">
        <f t="shared" si="1420"/>
        <v>-5.6416999068893258E-3</v>
      </c>
      <c r="BD821" s="92"/>
      <c r="BE821" s="299" t="str">
        <f t="shared" si="1410"/>
        <v>ORANGE AND ROCKLAND UTILITIES, INC.</v>
      </c>
      <c r="BF821" s="300">
        <f t="shared" si="1411"/>
        <v>4057093</v>
      </c>
      <c r="BG821" s="231" t="str">
        <f t="shared" si="1412"/>
        <v>NY</v>
      </c>
      <c r="BH821" s="231"/>
      <c r="BI821" s="231" t="str">
        <f t="shared" si="1413"/>
        <v>2016 Y</v>
      </c>
      <c r="BJ821" s="129"/>
      <c r="BK821" s="129"/>
      <c r="BL821" s="129">
        <f>INDEX('Dist. Plant Gas Additions'!$E$7:$AD$91,MATCH($C821,'Dist. Plant Gas Additions'!$C$7:$C$91,0),MATCH(Calculation!$G821,'Dist. Plant Gas Additions'!$E$5:$AD$5,0))</f>
        <v>43855</v>
      </c>
      <c r="BM821" s="129">
        <f>INDEX('Gen. Plant Additions'!$E$7:$AD$91,MATCH($C821,'Gen. Plant Additions'!$C$7:$C$91,0),MATCH(Calculation!$G821,'Gen. Plant Additions'!$E$5:$AD$5,0))</f>
        <v>584</v>
      </c>
      <c r="BN821" s="301">
        <f t="shared" si="1468"/>
        <v>0.97834874733039545</v>
      </c>
      <c r="BO821" s="231">
        <f t="shared" si="1396"/>
        <v>571.35566844095092</v>
      </c>
      <c r="BP821" s="231">
        <f t="shared" si="1397"/>
        <v>-12.644331559049078</v>
      </c>
      <c r="BQ821" s="129">
        <f>INDEX('Dist Plant Depreciation'!$D$7:$AC$94,MATCH($C821,'Dist Plant Depreciation'!$C$7:$C$94,0),MATCH(Calculation!$G821,'Dist Plant Depreciation'!$D$5:$AC$5,0))</f>
        <v>192952</v>
      </c>
      <c r="BR821" s="129">
        <f>INDEX('Gen. Plant Depreciation'!$D$7:$AC$94,MATCH($C821,'Gen. Plant Depreciation'!$C$7:$C$94,0),MATCH(Calculation!$G821,'Gen. Plant Depreciation'!$D$5:$AC$5,0))</f>
        <v>18722</v>
      </c>
      <c r="BS821" s="129"/>
      <c r="BT821" s="129"/>
      <c r="BU821" s="129"/>
      <c r="BV821" s="129"/>
      <c r="BW821" s="129"/>
      <c r="BX821" s="137"/>
      <c r="BY821" s="129">
        <f>INDEX('Gross Dx Plant'!$D$7:$AC$91,MATCH($C821,'Gross Dx Plant'!$C$7:$C$91,0),MATCH(Calculation!$G821,'Gross Dx Plant'!$D$5:$AC$5,0))</f>
        <v>628050</v>
      </c>
      <c r="BZ821" s="129">
        <f>INDEX('Gross Gen Plant'!$D$7:$AC$91,MATCH($C821,'Gross Gen Plant'!$C$7:$C$91,0),MATCH(Calculation!$G821,'Gross Gen Plant'!$D$5:$AC$5,0))</f>
        <v>13899</v>
      </c>
      <c r="CA821" s="129">
        <f t="shared" si="1457"/>
        <v>430275</v>
      </c>
      <c r="CB821" s="129"/>
      <c r="CC821" s="133">
        <v>2016</v>
      </c>
      <c r="CD821" s="129"/>
      <c r="CE821" s="129"/>
      <c r="CF821" s="129"/>
      <c r="CG821" s="137"/>
      <c r="CH821" s="129">
        <f t="shared" si="1469"/>
        <v>44439</v>
      </c>
      <c r="CI821" s="46">
        <f t="shared" si="1478"/>
        <v>44426.355668440949</v>
      </c>
      <c r="CJ821" s="231">
        <f t="shared" si="1470"/>
        <v>66.164171009030525</v>
      </c>
      <c r="CK821" s="443">
        <v>0.7857142857142857</v>
      </c>
      <c r="CL821" s="231">
        <f>+CL803*CK821+CJ804*CK820+CJ805*CK819+CJ806*CK818+CJ807*CK817+CJ808*CK816+CJ809*CK815+CJ810*CK814+CJ811*CK813+CJ812*CK812+CJ813*CK811+CJ814*CK810+CJ815*CK809+CJ816*CK808+CJ817*CK807+CJ818*CK806+CJ819*CK805+CJ820*CK804+CJ821</f>
        <v>1374.8735354821999</v>
      </c>
      <c r="CM821" s="134">
        <f t="shared" si="1471"/>
        <v>3.4037102624486261E-2</v>
      </c>
      <c r="CN821" s="135">
        <f t="shared" si="1472"/>
        <v>1.5167020810160565E-2</v>
      </c>
      <c r="CO821" s="135">
        <f t="shared" si="1481"/>
        <v>1.4814468060101837E-2</v>
      </c>
      <c r="CP821" s="134">
        <f>VLOOKUP($H821,RoR!$E:$F,2,FALSE)</f>
        <v>3.6658333333333334E-2</v>
      </c>
      <c r="CQ821" s="135">
        <v>1.0483662879041455E-2</v>
      </c>
      <c r="CR821" s="135">
        <f t="shared" si="1479"/>
        <v>2.6174670454291879E-2</v>
      </c>
      <c r="CS821" s="135">
        <f t="shared" si="1482"/>
        <v>1.6087473548431788E-2</v>
      </c>
      <c r="CT821" s="135">
        <f t="shared" si="1483"/>
        <v>4.301363574220729E-3</v>
      </c>
      <c r="CU821" s="139">
        <f t="shared" si="1473"/>
        <v>0.85329623209999994</v>
      </c>
      <c r="CV821" s="335">
        <f t="shared" si="1474"/>
        <v>1.3989193348138562</v>
      </c>
      <c r="CW821" s="335">
        <f t="shared" si="1475"/>
        <v>0.29302682427824522</v>
      </c>
      <c r="CX821" s="335">
        <f t="shared" si="1476"/>
        <v>0.76309497491941802</v>
      </c>
      <c r="CY821" s="335">
        <f t="shared" si="1477"/>
        <v>0.31280857135128509</v>
      </c>
      <c r="CZ821" s="336">
        <f>INDEX('State Tax Lookup'!$D$7:$Z$91,MATCH(Calculation!$C821,'State Tax Lookup'!$B$7:$B$91,0),MATCH($H821,'State Tax Lookup'!$D$6:$Z$6,0))</f>
        <v>0.39649667</v>
      </c>
      <c r="DA821" s="302">
        <v>0.37</v>
      </c>
      <c r="DB821" s="57">
        <f t="shared" si="1480"/>
        <v>15.266969798764933</v>
      </c>
      <c r="DC821" s="56">
        <f t="shared" si="1484"/>
        <v>-2.847601455740886E-2</v>
      </c>
      <c r="DD821" s="303">
        <f>VLOOKUP($H821,RoR!$E:$F,2,FALSE)</f>
        <v>3.6658333333333334E-2</v>
      </c>
      <c r="DE821" s="304">
        <f>HLOOKUP($H821,'GDP-PI'!$D$8:$CQ$11,3,FALSE)</f>
        <v>1.0483662879041455E-2</v>
      </c>
      <c r="DF821" s="303">
        <f>VLOOKUP(H821,'HW Dx Data'!$E:$F,2,FALSE)</f>
        <v>671.45639385971219</v>
      </c>
      <c r="DG821" s="364">
        <f ca="1">VLOOKUP(CC821,'ECI - Input Price'!M$13:N$33,2,FALSE)</f>
        <v>136.94999999999999</v>
      </c>
      <c r="DH821" s="364"/>
      <c r="DI821" s="364"/>
      <c r="DJ821" s="56">
        <f t="shared" ca="1" si="1492"/>
        <v>2.5514417868782811E-2</v>
      </c>
      <c r="DK821" s="53">
        <f>HLOOKUP(H821,'GDP-PI'!$8:$9,2,FALSE)</f>
        <v>105.736</v>
      </c>
      <c r="DL821" s="355">
        <f t="shared" si="1485"/>
        <v>1.0429090367205095E-2</v>
      </c>
      <c r="EC821"/>
    </row>
    <row r="822" spans="1:133" s="126" customFormat="1" ht="21" customHeight="1" x14ac:dyDescent="0.4">
      <c r="A822" s="233" t="s">
        <v>229</v>
      </c>
      <c r="B822" s="127" t="s">
        <v>229</v>
      </c>
      <c r="C822" s="127">
        <v>4057093</v>
      </c>
      <c r="D822" s="127" t="s">
        <v>194</v>
      </c>
      <c r="E822" s="127" t="s">
        <v>15</v>
      </c>
      <c r="F822" s="127"/>
      <c r="G822" s="127" t="s">
        <v>173</v>
      </c>
      <c r="H822" s="128">
        <v>2017</v>
      </c>
      <c r="I822" s="129"/>
      <c r="J822" s="125">
        <f>IFERROR(INDEX('Labor Expenditures'!$E$7:$W$91,MATCH($C822,'Labor Expenditures'!$C$7:$C$91,0),MATCH($G822,'Labor Expenditures'!$E$5:$W$5,0)),"NA")</f>
        <v>25457.337846467075</v>
      </c>
      <c r="K822" s="125">
        <f t="shared" ca="1" si="1486"/>
        <v>181.25552044476382</v>
      </c>
      <c r="L822" s="47"/>
      <c r="M822" s="131">
        <f t="shared" ca="1" si="1493"/>
        <v>0.18654792288374411</v>
      </c>
      <c r="N822" s="131"/>
      <c r="O822" s="131"/>
      <c r="P822" s="59">
        <f t="shared" ca="1" si="1495"/>
        <v>1.4712965022136975E-3</v>
      </c>
      <c r="Q822" s="61"/>
      <c r="R822" s="387"/>
      <c r="S822" s="49">
        <f t="shared" ca="1" si="1500"/>
        <v>166.92433488340828</v>
      </c>
      <c r="T822" s="61">
        <f ca="1">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</f>
        <v>-0.58855735338096948</v>
      </c>
      <c r="U822" s="61"/>
      <c r="V822" s="125">
        <f>IFERROR(INDEX('Non-Labor Expenditures'!$E$7:$AA$91,MATCH($C822,'Non-Labor Expenditures'!$C$7:$C$91,0),MATCH($G822,'Non-Labor Expenditures'!$E$5:$AA$5,0)),"NA")</f>
        <v>36866.979976522802</v>
      </c>
      <c r="W822" s="125">
        <f t="shared" si="1487"/>
        <v>342.14977101393771</v>
      </c>
      <c r="X822" s="131">
        <f t="shared" si="1496"/>
        <v>0.19290599249716461</v>
      </c>
      <c r="Y822" s="131">
        <f t="shared" si="1497"/>
        <v>1.5214423598488239E-3</v>
      </c>
      <c r="Z822" s="131"/>
      <c r="AA822" s="131"/>
      <c r="AB822" s="131"/>
      <c r="AC822" s="125">
        <f t="shared" si="1467"/>
        <v>18746.774906360617</v>
      </c>
      <c r="AD822" s="129"/>
      <c r="AE822" s="133">
        <v>1538.9807403877981</v>
      </c>
      <c r="AF822" s="134">
        <v>3.6646870623963088E-2</v>
      </c>
      <c r="AG822" s="59">
        <f t="shared" si="1488"/>
        <v>2.8903250024239898E-4</v>
      </c>
      <c r="AH822" s="134"/>
      <c r="AI822" s="134"/>
      <c r="AJ822" s="129">
        <f t="shared" si="1458"/>
        <v>81071.092729350494</v>
      </c>
      <c r="AK822" s="134">
        <f t="shared" si="1498"/>
        <v>0.13664305822388345</v>
      </c>
      <c r="AL822" s="129"/>
      <c r="AM822" s="129"/>
      <c r="AN822" s="129"/>
      <c r="AO822" s="129"/>
      <c r="AP822" s="133">
        <f t="shared" si="1499"/>
        <v>600.18428547680571</v>
      </c>
      <c r="AQ822" s="134">
        <f>+BB822/Outputs!$B$25</f>
        <v>3.6480116652543855E-3</v>
      </c>
      <c r="AR822" s="93">
        <f t="shared" si="1489"/>
        <v>0.31401251653847084</v>
      </c>
      <c r="AS822" s="93">
        <f t="shared" si="1490"/>
        <v>0.4547487733957199</v>
      </c>
      <c r="AT822" s="93">
        <f t="shared" si="1491"/>
        <v>0.23123871006580926</v>
      </c>
      <c r="AU822" s="93">
        <f t="shared" ca="1" si="1494"/>
        <v>0.15050081048797354</v>
      </c>
      <c r="AV822" s="132">
        <f t="shared" ca="1" si="1502"/>
        <v>127.97862424406847</v>
      </c>
      <c r="AW822" s="134">
        <f t="shared" ca="1" si="1503"/>
        <v>0.15050081048797362</v>
      </c>
      <c r="AX822" s="56">
        <f>+AJ822/$AL$22</f>
        <v>7.8869626606917695E-3</v>
      </c>
      <c r="AY822" s="135">
        <f t="shared" ca="1" si="1501"/>
        <v>1.1869942727224961E-3</v>
      </c>
      <c r="AZ822" s="93"/>
      <c r="BA822" s="93"/>
      <c r="BB822" s="234">
        <f>IFERROR(INDEX('Total Customers'!$E$7:$AA$91,MATCH($C822,'Total Customers'!$C$7:$C$91,0),MATCH($G822,'Total Customers'!$E$5:$AA$5,0)),"NA")</f>
        <v>135077</v>
      </c>
      <c r="BC822" s="269">
        <f t="shared" si="1420"/>
        <v>2.4126984186111717E-2</v>
      </c>
      <c r="BD822" s="92"/>
      <c r="BE822" s="299" t="str">
        <f t="shared" si="1410"/>
        <v>ORANGE AND ROCKLAND UTILITIES, INC.</v>
      </c>
      <c r="BF822" s="300">
        <f t="shared" si="1411"/>
        <v>4057093</v>
      </c>
      <c r="BG822" s="231" t="str">
        <f t="shared" si="1412"/>
        <v>NY</v>
      </c>
      <c r="BH822" s="231"/>
      <c r="BI822" s="231" t="str">
        <f t="shared" si="1413"/>
        <v>2017 Y</v>
      </c>
      <c r="BJ822" s="129"/>
      <c r="BK822" s="129"/>
      <c r="BL822" s="129">
        <f>INDEX('Dist. Plant Gas Additions'!$E$7:$AD$91,MATCH($C822,'Dist. Plant Gas Additions'!$C$7:$C$91,0),MATCH(Calculation!$G822,'Dist. Plant Gas Additions'!$E$5:$AD$5,0))</f>
        <v>47212</v>
      </c>
      <c r="BM822" s="129">
        <f>INDEX('Gen. Plant Additions'!$E$7:$AD$91,MATCH($C822,'Gen. Plant Additions'!$C$7:$C$91,0),MATCH(Calculation!$G822,'Gen. Plant Additions'!$E$5:$AD$5,0))</f>
        <v>1301</v>
      </c>
      <c r="BN822" s="301">
        <f t="shared" si="1468"/>
        <v>0.97846776993739804</v>
      </c>
      <c r="BO822" s="231">
        <f t="shared" si="1396"/>
        <v>1272.9865686885548</v>
      </c>
      <c r="BP822" s="231">
        <f t="shared" si="1397"/>
        <v>-28.013431311445174</v>
      </c>
      <c r="BQ822" s="129">
        <f>INDEX('Dist Plant Depreciation'!$D$7:$AC$94,MATCH($C822,'Dist Plant Depreciation'!$C$7:$C$94,0),MATCH(Calculation!$G822,'Dist Plant Depreciation'!$D$5:$AC$5,0))</f>
        <v>204495</v>
      </c>
      <c r="BR822" s="129">
        <f>INDEX('Gen. Plant Depreciation'!$D$7:$AC$94,MATCH($C822,'Gen. Plant Depreciation'!$C$7:$C$94,0),MATCH(Calculation!$G822,'Gen. Plant Depreciation'!$D$5:$AC$5,0))</f>
        <v>20395</v>
      </c>
      <c r="BS822" s="129"/>
      <c r="BT822" s="129"/>
      <c r="BU822" s="129"/>
      <c r="BV822" s="129"/>
      <c r="BW822" s="129"/>
      <c r="BX822" s="137"/>
      <c r="BY822" s="129">
        <f>INDEX('Gross Dx Plant'!$D$7:$AC$91,MATCH($C822,'Gross Dx Plant'!$C$7:$C$91,0),MATCH(Calculation!$G822,'Gross Dx Plant'!$D$5:$AC$5,0))</f>
        <v>673496</v>
      </c>
      <c r="BZ822" s="129">
        <f>INDEX('Gross Gen Plant'!$D$7:$AC$91,MATCH($C822,'Gross Gen Plant'!$C$7:$C$91,0),MATCH(Calculation!$G822,'Gross Gen Plant'!$D$5:$AC$5,0))</f>
        <v>14821</v>
      </c>
      <c r="CA822" s="129">
        <f t="shared" si="1457"/>
        <v>463427</v>
      </c>
      <c r="CB822" s="129"/>
      <c r="CC822" s="133">
        <v>2017</v>
      </c>
      <c r="CD822" s="129"/>
      <c r="CE822" s="129"/>
      <c r="CF822" s="129"/>
      <c r="CG822" s="137"/>
      <c r="CH822" s="129">
        <f t="shared" si="1469"/>
        <v>48513</v>
      </c>
      <c r="CI822" s="46">
        <f t="shared" si="1478"/>
        <v>48484.986568688553</v>
      </c>
      <c r="CJ822" s="231">
        <f t="shared" si="1470"/>
        <v>68.055925432869756</v>
      </c>
      <c r="CK822" s="443">
        <v>0.77108433734939763</v>
      </c>
      <c r="CL822" s="231">
        <f>+CL803*CK822+CJ804*CK821+CJ805*CK820+CJ806*CK819+CJ807*CK818+CJ808*CK817+CJ809*CK816+CJ810*CK815+CJ811*CK814+CJ812*CK813+CJ813*CK812+CJ814*CK811+CJ815*CK810+CJ816*CK809+CJ817*CK808+CJ818*CK807+CJ819*CK806+CJ820*CK805+CJ821*CK804+CJ822</f>
        <v>1421.6539001144747</v>
      </c>
      <c r="CM822" s="134">
        <f t="shared" si="1471"/>
        <v>3.3459159551508563E-2</v>
      </c>
      <c r="CN822" s="135">
        <f t="shared" si="1472"/>
        <v>1.5474558387752482E-2</v>
      </c>
      <c r="CO822" s="135">
        <f t="shared" si="1481"/>
        <v>1.516022080089649E-2</v>
      </c>
      <c r="CP822" s="134">
        <f>VLOOKUP($H822,RoR!$E:$F,2,FALSE)</f>
        <v>3.7433333333333339E-2</v>
      </c>
      <c r="CQ822" s="135">
        <v>1.9056896421275615E-2</v>
      </c>
      <c r="CR822" s="135">
        <f t="shared" si="1479"/>
        <v>1.8376436912057724E-2</v>
      </c>
      <c r="CS822" s="135">
        <f t="shared" si="1482"/>
        <v>1.5741720807637135E-2</v>
      </c>
      <c r="CT822" s="135">
        <f t="shared" si="1483"/>
        <v>1.3976271617800498E-2</v>
      </c>
      <c r="CU822" s="139">
        <f t="shared" si="1473"/>
        <v>0.90509623210000001</v>
      </c>
      <c r="CV822" s="335">
        <f t="shared" si="1474"/>
        <v>1.3699568463593395</v>
      </c>
      <c r="CW822" s="335">
        <f t="shared" si="1475"/>
        <v>0.30714603739982199</v>
      </c>
      <c r="CX822" s="335">
        <f t="shared" si="1476"/>
        <v>0.77007188472689425</v>
      </c>
      <c r="CY822" s="335">
        <f t="shared" si="1477"/>
        <v>0.32402839633793828</v>
      </c>
      <c r="CZ822" s="336">
        <f>INDEX('State Tax Lookup'!$D$7:$Z$91,MATCH(Calculation!$C822,'State Tax Lookup'!$B$7:$B$91,0),MATCH($H822,'State Tax Lookup'!$D$6:$Z$6,0))</f>
        <v>0.25649666999999998</v>
      </c>
      <c r="DA822" s="302">
        <v>0.37</v>
      </c>
      <c r="DB822" s="57">
        <f t="shared" si="1480"/>
        <v>13.635272206898426</v>
      </c>
      <c r="DC822" s="56">
        <f t="shared" si="1484"/>
        <v>-0.11303167813532389</v>
      </c>
      <c r="DD822" s="303">
        <f>VLOOKUP($H822,RoR!$E:$F,2,FALSE)</f>
        <v>3.7433333333333339E-2</v>
      </c>
      <c r="DE822" s="304">
        <f>HLOOKUP($H822,'GDP-PI'!$D$8:$CQ$11,3,FALSE)</f>
        <v>1.9056896421275615E-2</v>
      </c>
      <c r="DF822" s="303">
        <f>VLOOKUP(H822,'HW Dx Data'!$E:$F,2,FALSE)</f>
        <v>712.42858370229726</v>
      </c>
      <c r="DG822" s="364">
        <f ca="1">VLOOKUP(CC822,'ECI - Input Price'!M$13:N$33,2,FALSE)</f>
        <v>140.44999999999999</v>
      </c>
      <c r="DH822" s="364"/>
      <c r="DI822" s="364"/>
      <c r="DJ822" s="56">
        <f t="shared" ca="1" si="1492"/>
        <v>2.5235657841165486E-2</v>
      </c>
      <c r="DK822" s="53">
        <f>HLOOKUP(H822,'GDP-PI'!$8:$9,2,FALSE)</f>
        <v>107.751</v>
      </c>
      <c r="DL822" s="355">
        <f t="shared" si="1485"/>
        <v>1.8877588227745139E-2</v>
      </c>
      <c r="EC822"/>
    </row>
    <row r="823" spans="1:133" s="126" customFormat="1" ht="21" customHeight="1" x14ac:dyDescent="0.4">
      <c r="A823" s="233" t="s">
        <v>229</v>
      </c>
      <c r="B823" s="127" t="s">
        <v>229</v>
      </c>
      <c r="C823" s="127">
        <v>4057093</v>
      </c>
      <c r="D823" s="127" t="s">
        <v>194</v>
      </c>
      <c r="E823" s="127" t="s">
        <v>15</v>
      </c>
      <c r="F823" s="127"/>
      <c r="G823" s="127" t="s">
        <v>174</v>
      </c>
      <c r="H823" s="128">
        <v>2018</v>
      </c>
      <c r="I823" s="129"/>
      <c r="J823" s="125">
        <f>IFERROR(INDEX('Labor Expenditures'!$E$7:$W$91,MATCH($C823,'Labor Expenditures'!$C$7:$C$91,0),MATCH($G823,'Labor Expenditures'!$E$5:$W$5,0)),"NA")</f>
        <v>27804.851620678553</v>
      </c>
      <c r="K823" s="125">
        <f t="shared" ca="1" si="1486"/>
        <v>192.48772323072728</v>
      </c>
      <c r="L823" s="47"/>
      <c r="M823" s="131">
        <f t="shared" ca="1" si="1493"/>
        <v>6.012462537206352E-2</v>
      </c>
      <c r="N823" s="131"/>
      <c r="O823" s="131"/>
      <c r="P823" s="59">
        <f t="shared" ca="1" si="1495"/>
        <v>4.7635482873868424E-4</v>
      </c>
      <c r="Q823" s="61"/>
      <c r="R823" s="387"/>
      <c r="S823" s="49">
        <f t="shared" ca="1" si="1500"/>
        <v>115.44162110699429</v>
      </c>
      <c r="T823" s="61">
        <f ca="1">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</f>
        <v>-0.36877566799205902</v>
      </c>
      <c r="U823" s="61"/>
      <c r="V823" s="125">
        <f>IFERROR(INDEX('Non-Labor Expenditures'!$E$7:$AA$91,MATCH($C823,'Non-Labor Expenditures'!$C$7:$C$91,0),MATCH($G823,'Non-Labor Expenditures'!$E$5:$AA$5,0)),"NA")</f>
        <v>40266.618376673767</v>
      </c>
      <c r="W823" s="125">
        <f t="shared" si="1487"/>
        <v>364.99173670413666</v>
      </c>
      <c r="X823" s="131">
        <f t="shared" si="1496"/>
        <v>6.4626146017546182E-2</v>
      </c>
      <c r="Y823" s="131">
        <f t="shared" si="1497"/>
        <v>5.1201943509378495E-4</v>
      </c>
      <c r="Z823" s="131"/>
      <c r="AA823" s="131"/>
      <c r="AB823" s="131"/>
      <c r="AC823" s="125">
        <f t="shared" si="1467"/>
        <v>20092.929218031</v>
      </c>
      <c r="AD823" s="129"/>
      <c r="AE823" s="133">
        <v>1589.1461164989837</v>
      </c>
      <c r="AF823" s="134">
        <v>3.2076497918949481E-2</v>
      </c>
      <c r="AG823" s="59">
        <f t="shared" si="1488"/>
        <v>2.5413538260177817E-4</v>
      </c>
      <c r="AH823" s="134"/>
      <c r="AI823" s="134"/>
      <c r="AJ823" s="129">
        <f t="shared" si="1458"/>
        <v>88164.399215383324</v>
      </c>
      <c r="AK823" s="134">
        <f t="shared" si="1498"/>
        <v>8.3876786769396861E-2</v>
      </c>
      <c r="AL823" s="129"/>
      <c r="AM823" s="129"/>
      <c r="AN823" s="129"/>
      <c r="AO823" s="129"/>
      <c r="AP823" s="133">
        <f t="shared" si="1499"/>
        <v>647.70566137750575</v>
      </c>
      <c r="AQ823" s="134">
        <f>+BB823/Outputs!$B$26</f>
        <v>3.6439307957795743E-3</v>
      </c>
      <c r="AR823" s="93">
        <f t="shared" si="1489"/>
        <v>0.31537504784388115</v>
      </c>
      <c r="AS823" s="93">
        <f t="shared" si="1490"/>
        <v>0.45672197321169816</v>
      </c>
      <c r="AT823" s="93">
        <f t="shared" si="1491"/>
        <v>0.22790297894442063</v>
      </c>
      <c r="AU823" s="93">
        <f t="shared" ca="1" si="1494"/>
        <v>5.5737095257668422E-2</v>
      </c>
      <c r="AV823" s="132">
        <f t="shared" ca="1" si="1502"/>
        <v>135.31431711585134</v>
      </c>
      <c r="AW823" s="134">
        <f t="shared" ca="1" si="1503"/>
        <v>5.5737095257668352E-2</v>
      </c>
      <c r="AX823" s="56">
        <f>+AJ823/$AL$23</f>
        <v>7.9227907997913138E-3</v>
      </c>
      <c r="AY823" s="135">
        <f t="shared" ca="1" si="1501"/>
        <v>4.4159334551454688E-4</v>
      </c>
      <c r="AZ823" s="93"/>
      <c r="BA823" s="93"/>
      <c r="BB823" s="234">
        <f>IFERROR(INDEX('Total Customers'!$E$7:$AA$91,MATCH($C823,'Total Customers'!$C$7:$C$91,0),MATCH($G823,'Total Customers'!$E$5:$AA$5,0)),"NA")</f>
        <v>136118</v>
      </c>
      <c r="BC823" s="269">
        <f t="shared" si="1420"/>
        <v>7.6771703973044572E-3</v>
      </c>
      <c r="BD823" s="92"/>
      <c r="BE823" s="299" t="str">
        <f t="shared" si="1410"/>
        <v>ORANGE AND ROCKLAND UTILITIES, INC.</v>
      </c>
      <c r="BF823" s="300">
        <f t="shared" si="1411"/>
        <v>4057093</v>
      </c>
      <c r="BG823" s="231" t="str">
        <f t="shared" si="1412"/>
        <v>NY</v>
      </c>
      <c r="BH823" s="231"/>
      <c r="BI823" s="231" t="str">
        <f t="shared" si="1413"/>
        <v>2018 Y</v>
      </c>
      <c r="BJ823" s="129"/>
      <c r="BK823" s="129"/>
      <c r="BL823" s="129">
        <f>INDEX('Dist. Plant Gas Additions'!$E$7:$AD$91,MATCH($C823,'Dist. Plant Gas Additions'!$C$7:$C$91,0),MATCH(Calculation!$G823,'Dist. Plant Gas Additions'!$E$5:$AD$5,0))</f>
        <v>45951</v>
      </c>
      <c r="BM823" s="129">
        <f>INDEX('Gen. Plant Additions'!$E$7:$AD$91,MATCH($C823,'Gen. Plant Additions'!$C$7:$C$91,0),MATCH(Calculation!$G823,'Gen. Plant Additions'!$E$5:$AD$5,0))</f>
        <v>2164</v>
      </c>
      <c r="BN823" s="301">
        <f t="shared" si="1468"/>
        <v>0.97757576746691044</v>
      </c>
      <c r="BO823" s="231">
        <f t="shared" ref="BO823:BO886" si="1504">+BN823*BM823</f>
        <v>2115.4739607983943</v>
      </c>
      <c r="BP823" s="231">
        <f t="shared" ref="BP823:BP886" si="1505">+BO823-BM823</f>
        <v>-48.526039201605727</v>
      </c>
      <c r="BQ823" s="129">
        <f>INDEX('Dist Plant Depreciation'!$D$7:$AC$94,MATCH($C823,'Dist Plant Depreciation'!$C$7:$C$94,0),MATCH(Calculation!$G823,'Dist Plant Depreciation'!$D$5:$AC$5,0))</f>
        <v>218345</v>
      </c>
      <c r="BR823" s="129">
        <f>INDEX('Gen. Plant Depreciation'!$D$7:$AC$94,MATCH($C823,'Gen. Plant Depreciation'!$C$7:$C$94,0),MATCH(Calculation!$G823,'Gen. Plant Depreciation'!$D$5:$AC$5,0))</f>
        <v>21956</v>
      </c>
      <c r="BS823" s="129"/>
      <c r="BT823" s="129"/>
      <c r="BU823" s="129"/>
      <c r="BV823" s="129"/>
      <c r="BW823" s="129"/>
      <c r="BX823" s="137"/>
      <c r="BY823" s="129">
        <f>INDEX('Gross Dx Plant'!$D$7:$AC$91,MATCH($C823,'Gross Dx Plant'!$C$7:$C$91,0),MATCH(Calculation!$G823,'Gross Dx Plant'!$D$5:$AC$5,0))</f>
        <v>718788</v>
      </c>
      <c r="BZ823" s="129">
        <f>INDEX('Gross Gen Plant'!$D$7:$AC$91,MATCH($C823,'Gross Gen Plant'!$C$7:$C$91,0),MATCH(Calculation!$G823,'Gross Gen Plant'!$D$5:$AC$5,0))</f>
        <v>16488</v>
      </c>
      <c r="CA823" s="129">
        <f t="shared" si="1457"/>
        <v>494975</v>
      </c>
      <c r="CB823" s="129"/>
      <c r="CC823" s="133">
        <v>2018</v>
      </c>
      <c r="CD823" s="129"/>
      <c r="CE823" s="129"/>
      <c r="CF823" s="129"/>
      <c r="CG823" s="137"/>
      <c r="CH823" s="129">
        <f t="shared" si="1469"/>
        <v>48115</v>
      </c>
      <c r="CI823" s="46">
        <f t="shared" si="1478"/>
        <v>48066.473960798394</v>
      </c>
      <c r="CJ823" s="231">
        <f t="shared" si="1470"/>
        <v>63.652677783913433</v>
      </c>
      <c r="CK823" s="443">
        <v>0.75609756097560976</v>
      </c>
      <c r="CL823" s="231">
        <f>+CL803*CK823++CJ804*CK822+CJ805*CK821+CJ806*CK820+CJ807*CK819+CJ808*CK818+CJ809*CK817+CJ810*CK816+CJ811*CK815+CJ812*CK814+CJ813*CK813+CJ814*CK812+CJ815*CK811+CJ816*CK810+CJ817*CK809+CJ818*CK808+CJ819*CK807+CJ820*CK806+CJ821*CK805+CJ822*CK804+CJ823</f>
        <v>1462.8621585514825</v>
      </c>
      <c r="CM823" s="134">
        <f t="shared" si="1471"/>
        <v>2.8573987002078995E-2</v>
      </c>
      <c r="CN823" s="135">
        <f t="shared" si="1472"/>
        <v>1.5787541078105146E-2</v>
      </c>
      <c r="CO823" s="135">
        <f t="shared" si="1481"/>
        <v>1.5476373425339399E-2</v>
      </c>
      <c r="CP823" s="134">
        <f>VLOOKUP($H823,RoR!$E:$F,2,FALSE)</f>
        <v>3.9299999999999995E-2</v>
      </c>
      <c r="CQ823" s="135">
        <v>2.386056741932796E-2</v>
      </c>
      <c r="CR823" s="135">
        <f t="shared" si="1479"/>
        <v>1.5439432580672034E-2</v>
      </c>
      <c r="CS823" s="135">
        <f t="shared" si="1482"/>
        <v>1.5425568183194226E-2</v>
      </c>
      <c r="CT823" s="135">
        <f t="shared" si="1483"/>
        <v>3.8270792163076606E-2</v>
      </c>
      <c r="CU823" s="139">
        <f t="shared" si="1473"/>
        <v>0.90509623210000001</v>
      </c>
      <c r="CV823" s="335">
        <f t="shared" si="1474"/>
        <v>1.3048868010700074</v>
      </c>
      <c r="CW823" s="335">
        <f t="shared" si="1475"/>
        <v>0.33886768447837151</v>
      </c>
      <c r="CX823" s="335">
        <f t="shared" si="1476"/>
        <v>0.78602506232557801</v>
      </c>
      <c r="CY823" s="335">
        <f t="shared" si="1477"/>
        <v>0.34756768162358759</v>
      </c>
      <c r="CZ823" s="336">
        <f>INDEX('State Tax Lookup'!$D$7:$Z$91,MATCH(Calculation!$C823,'State Tax Lookup'!$B$7:$B$91,0),MATCH($H823,'State Tax Lookup'!$D$6:$Z$6,0))</f>
        <v>0.25649666999999998</v>
      </c>
      <c r="DA823" s="302">
        <v>0.37</v>
      </c>
      <c r="DB823" s="57">
        <f t="shared" si="1480"/>
        <v>14.133488619426341</v>
      </c>
      <c r="DC823" s="56">
        <f t="shared" si="1484"/>
        <v>3.5887080799126482E-2</v>
      </c>
      <c r="DD823" s="303">
        <f>VLOOKUP($H823,RoR!$E:$F,2,FALSE)</f>
        <v>3.9299999999999995E-2</v>
      </c>
      <c r="DE823" s="304">
        <f>HLOOKUP($H823,'GDP-PI'!$D$8:$CQ$11,3,FALSE)</f>
        <v>2.386056741932796E-2</v>
      </c>
      <c r="DF823" s="303">
        <f>VLOOKUP(H823,'HW Dx Data'!$E:$F,2,FALSE)</f>
        <v>755.13671434174842</v>
      </c>
      <c r="DG823" s="364">
        <f ca="1">VLOOKUP(CC823,'ECI - Input Price'!M$13:N$33,2,FALSE)</f>
        <v>144.44999999999999</v>
      </c>
      <c r="DH823" s="364"/>
      <c r="DI823" s="364"/>
      <c r="DJ823" s="56">
        <f t="shared" ca="1" si="1492"/>
        <v>2.80818733619915E-2</v>
      </c>
      <c r="DK823" s="53">
        <f>HLOOKUP(H823,'GDP-PI'!$8:$9,2,FALSE)</f>
        <v>110.322</v>
      </c>
      <c r="DL823" s="355">
        <f t="shared" si="1485"/>
        <v>2.3580352716508712E-2</v>
      </c>
      <c r="EC823"/>
    </row>
    <row r="824" spans="1:133" s="126" customFormat="1" ht="21" customHeight="1" x14ac:dyDescent="0.4">
      <c r="A824" s="233" t="s">
        <v>229</v>
      </c>
      <c r="B824" s="127" t="s">
        <v>229</v>
      </c>
      <c r="C824" s="127">
        <v>4057093</v>
      </c>
      <c r="D824" s="127" t="s">
        <v>194</v>
      </c>
      <c r="E824" s="127" t="s">
        <v>15</v>
      </c>
      <c r="F824" s="127"/>
      <c r="G824" s="127" t="s">
        <v>175</v>
      </c>
      <c r="H824" s="128">
        <v>2019</v>
      </c>
      <c r="I824" s="129"/>
      <c r="J824" s="125">
        <f>IFERROR(INDEX('Labor Expenditures'!$E$7:$W$91,MATCH($C824,'Labor Expenditures'!$C$7:$C$91,0),MATCH($G824,'Labor Expenditures'!$E$5:$W$5,0)),"NA")</f>
        <v>28289.400041649918</v>
      </c>
      <c r="K824" s="125">
        <f t="shared" ca="1" si="1486"/>
        <v>189.0055122208112</v>
      </c>
      <c r="L824" s="47"/>
      <c r="M824" s="131">
        <f t="shared" ca="1" si="1493"/>
        <v>-1.8256196445482913E-2</v>
      </c>
      <c r="N824" s="131"/>
      <c r="O824" s="131"/>
      <c r="P824" s="59">
        <f t="shared" ca="1" si="1495"/>
        <v>-1.4417783988068656E-4</v>
      </c>
      <c r="Q824" s="61"/>
      <c r="R824" s="387"/>
      <c r="S824" s="49">
        <f t="shared" ca="1" si="1500"/>
        <v>116.66924019313306</v>
      </c>
      <c r="T824" s="61">
        <f ca="1">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</f>
        <v>1.0577967149944975E-2</v>
      </c>
      <c r="U824" s="61"/>
      <c r="V824" s="125">
        <f>IFERROR(INDEX('Non-Labor Expenditures'!$E$7:$AA$91,MATCH($C824,'Non-Labor Expenditures'!$C$7:$C$91,0),MATCH($G824,'Non-Labor Expenditures'!$E$5:$AA$5,0)),"NA")</f>
        <v>40968.334991401658</v>
      </c>
      <c r="W824" s="125">
        <f t="shared" si="1487"/>
        <v>364.75306710769121</v>
      </c>
      <c r="X824" s="131">
        <f t="shared" si="1496"/>
        <v>-6.5411799771301796E-4</v>
      </c>
      <c r="Y824" s="131">
        <f t="shared" si="1497"/>
        <v>-5.1658799914303909E-6</v>
      </c>
      <c r="Z824" s="131"/>
      <c r="AA824" s="131"/>
      <c r="AB824" s="131"/>
      <c r="AC824" s="125">
        <f t="shared" si="1467"/>
        <v>20719.078828517086</v>
      </c>
      <c r="AD824" s="129"/>
      <c r="AE824" s="133">
        <v>1655.5653188436816</v>
      </c>
      <c r="AF824" s="134">
        <v>4.0945694556450939E-2</v>
      </c>
      <c r="AG824" s="59">
        <f t="shared" si="1488"/>
        <v>3.2336756515479771E-4</v>
      </c>
      <c r="AH824" s="134"/>
      <c r="AI824" s="134"/>
      <c r="AJ824" s="129">
        <f t="shared" si="1458"/>
        <v>89976.813861568662</v>
      </c>
      <c r="AK824" s="134">
        <f t="shared" si="1498"/>
        <v>2.0348768863610971E-2</v>
      </c>
      <c r="AL824" s="129"/>
      <c r="AM824" s="129"/>
      <c r="AN824" s="129"/>
      <c r="AO824" s="129"/>
      <c r="AP824" s="133">
        <f t="shared" si="1499"/>
        <v>655.76944392140877</v>
      </c>
      <c r="AQ824" s="134">
        <f>+BB824/Outputs!$B$27</f>
        <v>3.6428176996315632E-3</v>
      </c>
      <c r="AR824" s="93">
        <f t="shared" si="1489"/>
        <v>0.31440766601464454</v>
      </c>
      <c r="AS824" s="93">
        <f t="shared" si="1490"/>
        <v>0.45532102364096105</v>
      </c>
      <c r="AT824" s="93">
        <f t="shared" si="1491"/>
        <v>0.23027131034439441</v>
      </c>
      <c r="AU824" s="93">
        <f t="shared" ca="1" si="1494"/>
        <v>3.3331219108693848E-3</v>
      </c>
      <c r="AV824" s="132">
        <f t="shared" ca="1" si="1502"/>
        <v>135.76608871774309</v>
      </c>
      <c r="AW824" s="134">
        <f t="shared" ca="1" si="1503"/>
        <v>3.3331219108693843E-3</v>
      </c>
      <c r="AX824" s="56">
        <f>+AJ824/$AL$24</f>
        <v>7.8974741705499195E-3</v>
      </c>
      <c r="AY824" s="135">
        <f t="shared" ca="1" si="1501"/>
        <v>2.6323244198384955E-5</v>
      </c>
      <c r="AZ824" s="93"/>
      <c r="BA824" s="93"/>
      <c r="BB824" s="234">
        <f>IFERROR(INDEX('Total Customers'!$E$7:$AA$91,MATCH($C824,'Total Customers'!$C$7:$C$91,0),MATCH($G824,'Total Customers'!$E$5:$AA$5,0)),"NA")</f>
        <v>137208</v>
      </c>
      <c r="BC824" s="269">
        <f t="shared" si="1420"/>
        <v>7.9758660230303847E-3</v>
      </c>
      <c r="BD824" s="92"/>
      <c r="BE824" s="299" t="str">
        <f t="shared" si="1410"/>
        <v>ORANGE AND ROCKLAND UTILITIES, INC.</v>
      </c>
      <c r="BF824" s="300">
        <f t="shared" si="1411"/>
        <v>4057093</v>
      </c>
      <c r="BG824" s="231" t="str">
        <f t="shared" si="1412"/>
        <v>NY</v>
      </c>
      <c r="BH824" s="231"/>
      <c r="BI824" s="231" t="str">
        <f t="shared" si="1413"/>
        <v>2019 Y</v>
      </c>
      <c r="BJ824" s="129"/>
      <c r="BK824" s="129"/>
      <c r="BL824" s="129">
        <f>INDEX('Dist. Plant Gas Additions'!$E$7:$AD$91,MATCH($C824,'Dist. Plant Gas Additions'!$C$7:$C$91,0),MATCH(Calculation!$G824,'Dist. Plant Gas Additions'!$E$5:$AD$5,0))</f>
        <v>61074</v>
      </c>
      <c r="BM824" s="129">
        <f>INDEX('Gen. Plant Additions'!$E$7:$AD$91,MATCH($C824,'Gen. Plant Additions'!$C$7:$C$91,0),MATCH(Calculation!$G824,'Gen. Plant Additions'!$E$5:$AD$5,0))</f>
        <v>1446</v>
      </c>
      <c r="BN824" s="301">
        <f t="shared" si="1468"/>
        <v>0.97771294790168839</v>
      </c>
      <c r="BO824" s="231">
        <f t="shared" si="1504"/>
        <v>1413.7729226658414</v>
      </c>
      <c r="BP824" s="231">
        <f t="shared" si="1505"/>
        <v>-32.227077334158594</v>
      </c>
      <c r="BQ824" s="129">
        <f>INDEX('Dist Plant Depreciation'!$D$7:$AC$94,MATCH($C824,'Dist Plant Depreciation'!$C$7:$C$94,0),MATCH(Calculation!$G824,'Dist Plant Depreciation'!$D$5:$AC$5,0))</f>
        <v>232409</v>
      </c>
      <c r="BR824" s="129">
        <f>INDEX('Gen. Plant Depreciation'!$D$7:$AC$94,MATCH($C824,'Gen. Plant Depreciation'!$C$7:$C$94,0),MATCH(Calculation!$G824,'Gen. Plant Depreciation'!$D$5:$AC$5,0))</f>
        <v>9149</v>
      </c>
      <c r="BS824" s="129"/>
      <c r="BT824" s="129"/>
      <c r="BU824" s="129"/>
      <c r="BV824" s="129"/>
      <c r="BW824" s="129"/>
      <c r="BX824" s="137"/>
      <c r="BY824" s="129">
        <f>INDEX('Gross Dx Plant'!$D$7:$AC$91,MATCH($C824,'Gross Dx Plant'!$C$7:$C$91,0),MATCH(Calculation!$G824,'Gross Dx Plant'!$D$5:$AC$5,0))</f>
        <v>777185</v>
      </c>
      <c r="BZ824" s="129">
        <f>INDEX('Gross Gen Plant'!$D$7:$AC$91,MATCH($C824,'Gross Gen Plant'!$C$7:$C$91,0),MATCH(Calculation!$G824,'Gross Gen Plant'!$D$5:$AC$5,0))</f>
        <v>17716</v>
      </c>
      <c r="CA824" s="129">
        <f t="shared" si="1457"/>
        <v>553343</v>
      </c>
      <c r="CB824" s="129"/>
      <c r="CC824" s="133">
        <v>2019</v>
      </c>
      <c r="CD824" s="129"/>
      <c r="CE824" s="129"/>
      <c r="CF824" s="129"/>
      <c r="CG824" s="137"/>
      <c r="CH824" s="129">
        <f t="shared" si="1469"/>
        <v>62520</v>
      </c>
      <c r="CI824" s="46">
        <f t="shared" si="1478"/>
        <v>62487.772922665841</v>
      </c>
      <c r="CJ824" s="231">
        <f t="shared" si="1470"/>
        <v>80.781639781101646</v>
      </c>
      <c r="CK824" s="443">
        <v>0.7407407407407407</v>
      </c>
      <c r="CL824" s="231">
        <f>CL803*CK824+CJ804*CK823+CJ805*CK822+CJ806*CK821+CJ807*CK820+CJ808*CK819+CJ809*CK818+CJ810*CK817+CJ811*CK816+CJ812*CK815+CJ813*CK814+CJ814*CK813+CJ815*CK812+CJ816*CK811+CJ817*CK810+CJ818*CK809+CJ819*CK808+CJ820*CK807+CJ821*CK806+CJ822*CK805+CJ823*CK804+CJ824</f>
        <v>1520.043085710648</v>
      </c>
      <c r="CM824" s="134">
        <f t="shared" si="1471"/>
        <v>3.8343781071244275E-2</v>
      </c>
      <c r="CN824" s="135">
        <f t="shared" si="1472"/>
        <v>1.6133244327890321E-2</v>
      </c>
      <c r="CO824" s="135">
        <f t="shared" si="1481"/>
        <v>1.5798447931249317E-2</v>
      </c>
      <c r="CP824" s="134">
        <f>VLOOKUP($H824,RoR!$E:$F,2,FALSE)</f>
        <v>3.3875000000000009E-2</v>
      </c>
      <c r="CQ824" s="135">
        <v>1.8092492884465461E-2</v>
      </c>
      <c r="CR824" s="135">
        <f t="shared" si="1479"/>
        <v>1.5782507115534548E-2</v>
      </c>
      <c r="CS824" s="135">
        <f t="shared" si="1482"/>
        <v>1.5103493677284308E-2</v>
      </c>
      <c r="CT824" s="135">
        <f t="shared" si="1483"/>
        <v>4.8445665544254078E-2</v>
      </c>
      <c r="CU824" s="139">
        <f t="shared" si="1473"/>
        <v>0.90509623210000001</v>
      </c>
      <c r="CV824" s="335">
        <f t="shared" si="1474"/>
        <v>1.513861292459078</v>
      </c>
      <c r="CW824" s="335">
        <f t="shared" si="1475"/>
        <v>0.23699261992619944</v>
      </c>
      <c r="CX824" s="335">
        <f t="shared" si="1476"/>
        <v>0.73619765810468829</v>
      </c>
      <c r="CY824" s="335">
        <f t="shared" si="1477"/>
        <v>0.26412854465362851</v>
      </c>
      <c r="CZ824" s="336">
        <f>INDEX('State Tax Lookup'!$D$7:$Z$91,MATCH(Calculation!$C824,'State Tax Lookup'!$B$7:$B$91,0),MATCH($H824,'State Tax Lookup'!$D$6:$Z$6,0))</f>
        <v>0.25649666999999998</v>
      </c>
      <c r="DA824" s="302">
        <v>0.37</v>
      </c>
      <c r="DB824" s="57">
        <f t="shared" si="1480"/>
        <v>14.163384230974295</v>
      </c>
      <c r="DC824" s="56">
        <f t="shared" si="1484"/>
        <v>2.1129983393620515E-3</v>
      </c>
      <c r="DD824" s="303">
        <f>VLOOKUP($H824,RoR!$E:$F,2,FALSE)</f>
        <v>3.3875000000000009E-2</v>
      </c>
      <c r="DE824" s="304">
        <f>HLOOKUP($H824,'GDP-PI'!$D$8:$CQ$11,3,FALSE)</f>
        <v>1.8092492884465461E-2</v>
      </c>
      <c r="DF824" s="303">
        <f>VLOOKUP(H824,'HW Dx Data'!$E:$F,2,FALSE)</f>
        <v>773.53929793938721</v>
      </c>
      <c r="DG824" s="364">
        <f ca="1">VLOOKUP(CC824,'ECI - Input Price'!M$13:N$33,2,FALSE)</f>
        <v>149.67500000000001</v>
      </c>
      <c r="DH824" s="364"/>
      <c r="DI824" s="364"/>
      <c r="DJ824" s="56">
        <f t="shared" ca="1" si="1492"/>
        <v>3.5532849899171604E-2</v>
      </c>
      <c r="DK824" s="53">
        <f>HLOOKUP(H824,'GDP-PI'!$8:$9,2,FALSE)</f>
        <v>112.318</v>
      </c>
      <c r="DL824" s="355">
        <f t="shared" si="1485"/>
        <v>1.7930771451401852E-2</v>
      </c>
      <c r="EC824"/>
    </row>
    <row r="825" spans="1:133" s="126" customFormat="1" ht="21" customHeight="1" x14ac:dyDescent="0.4">
      <c r="A825" s="233" t="s">
        <v>229</v>
      </c>
      <c r="B825" s="126" t="s">
        <v>229</v>
      </c>
      <c r="C825" s="126">
        <v>4057093</v>
      </c>
      <c r="D825" s="126" t="s">
        <v>194</v>
      </c>
      <c r="E825" s="126" t="s">
        <v>15</v>
      </c>
      <c r="G825" s="127" t="s">
        <v>176</v>
      </c>
      <c r="H825" s="128">
        <v>2020</v>
      </c>
      <c r="I825" s="129"/>
      <c r="J825" s="125">
        <f>IFERROR(INDEX('Labor Expenditures'!$E$7:$W$91,MATCH($C825,'Labor Expenditures'!$C$7:$C$91,0),MATCH($G825,'Labor Expenditures'!$E$5:$W$5,0)),"NA")</f>
        <v>26644.044325130879</v>
      </c>
      <c r="K825" s="125">
        <f t="shared" ca="1" si="1486"/>
        <v>173.97351828358393</v>
      </c>
      <c r="L825" s="47"/>
      <c r="M825" s="131">
        <f t="shared" ca="1" si="1493"/>
        <v>-8.2873085964448326E-2</v>
      </c>
      <c r="N825" s="131"/>
      <c r="O825" s="131"/>
      <c r="P825" s="59">
        <f t="shared" ca="1" si="1495"/>
        <v>-6.2426409764101856E-4</v>
      </c>
      <c r="Q825" s="61"/>
      <c r="R825" s="387"/>
      <c r="S825" s="49">
        <f t="shared" ca="1" si="1500"/>
        <v>117.17061313670165</v>
      </c>
      <c r="T825" s="61">
        <f ca="1">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</f>
        <v>4.2881801773290819E-3</v>
      </c>
      <c r="U825" s="61"/>
      <c r="V825" s="125">
        <f>IFERROR(INDEX('Non-Labor Expenditures'!$E$7:$AA$91,MATCH($C825,'Non-Labor Expenditures'!$C$7:$C$91,0),MATCH($G825,'Non-Labor Expenditures'!$E$5:$AA$5,0)),"NA")</f>
        <v>38585.552603824442</v>
      </c>
      <c r="W825" s="125">
        <f t="shared" si="1487"/>
        <v>339.59279902682061</v>
      </c>
      <c r="X825" s="131">
        <f t="shared" si="1496"/>
        <v>-7.1473346228472734E-2</v>
      </c>
      <c r="Y825" s="131">
        <f t="shared" si="1497"/>
        <v>-5.3839245238004505E-4</v>
      </c>
      <c r="Z825" s="131"/>
      <c r="AA825" s="131"/>
      <c r="AB825" s="131"/>
      <c r="AC825" s="125">
        <f t="shared" si="1467"/>
        <v>22166.349597746881</v>
      </c>
      <c r="AD825" s="129"/>
      <c r="AE825" s="133">
        <v>1694.2902697830561</v>
      </c>
      <c r="AF825" s="134">
        <v>2.3121400366823888E-2</v>
      </c>
      <c r="AG825" s="59">
        <f t="shared" si="1488"/>
        <v>1.7416824736542335E-4</v>
      </c>
      <c r="AH825" s="134"/>
      <c r="AI825" s="134"/>
      <c r="AJ825" s="129">
        <f t="shared" si="1458"/>
        <v>87395.946526702202</v>
      </c>
      <c r="AK825" s="134">
        <f t="shared" si="1498"/>
        <v>-2.9103110206255674E-2</v>
      </c>
      <c r="AL825" s="129"/>
      <c r="AM825" s="129"/>
      <c r="AN825" s="129"/>
      <c r="AO825" s="129"/>
      <c r="AP825" s="133">
        <f t="shared" si="1499"/>
        <v>630.55783527321012</v>
      </c>
      <c r="AQ825" s="134">
        <f>+BB825/Outputs!$B$28</f>
        <v>3.6538161263781027E-3</v>
      </c>
      <c r="AR825" s="93">
        <f t="shared" si="1489"/>
        <v>0.30486590493061699</v>
      </c>
      <c r="AS825" s="93">
        <f t="shared" si="1490"/>
        <v>0.4415027714361483</v>
      </c>
      <c r="AT825" s="93">
        <f t="shared" si="1491"/>
        <v>0.25363132363323471</v>
      </c>
      <c r="AU825" s="93">
        <f t="shared" ca="1" si="1494"/>
        <v>-5.2115801476589632E-2</v>
      </c>
      <c r="AV825" s="132">
        <f t="shared" ca="1" si="1502"/>
        <v>128.87174275588723</v>
      </c>
      <c r="AW825" s="134">
        <f t="shared" ca="1" si="1503"/>
        <v>-5.2115801476589646E-2</v>
      </c>
      <c r="AX825" s="56">
        <f>+AJ825/$AL$25</f>
        <v>7.5327724360212825E-3</v>
      </c>
      <c r="AY825" s="135">
        <f t="shared" ca="1" si="1501"/>
        <v>-3.9257647284401172E-4</v>
      </c>
      <c r="AZ825" s="93"/>
      <c r="BA825" s="93"/>
      <c r="BB825" s="234">
        <f>IFERROR(INDEX('Total Customers'!$E$7:$AA$91,MATCH($C825,'Total Customers'!$C$7:$C$91,0),MATCH($G825,'Total Customers'!$E$5:$AA$5,0)),"NA")</f>
        <v>138601</v>
      </c>
      <c r="BC825" s="269">
        <f t="shared" si="1420"/>
        <v>1.0101279107209874E-2</v>
      </c>
      <c r="BD825" s="92"/>
      <c r="BE825" s="299" t="str">
        <f t="shared" si="1410"/>
        <v>ORANGE AND ROCKLAND UTILITIES, INC.</v>
      </c>
      <c r="BF825" s="300">
        <f t="shared" si="1411"/>
        <v>4057093</v>
      </c>
      <c r="BG825" s="231" t="str">
        <f t="shared" si="1412"/>
        <v>NY</v>
      </c>
      <c r="BH825" s="231"/>
      <c r="BI825" s="231" t="str">
        <f t="shared" si="1413"/>
        <v>2020 Y</v>
      </c>
      <c r="BJ825" s="129"/>
      <c r="BK825" s="129"/>
      <c r="BL825" s="129">
        <f>INDEX('Dist. Plant Gas Additions'!$E$7:$AD$91,MATCH($C825,'Dist. Plant Gas Additions'!$C$7:$C$91,0),MATCH(Calculation!$G825,'Dist. Plant Gas Additions'!$E$5:$AD$5,0))</f>
        <v>40093</v>
      </c>
      <c r="BM825" s="129">
        <f>INDEX('Gen. Plant Additions'!$E$7:$AD$91,MATCH($C825,'Gen. Plant Additions'!$C$7:$C$91,0),MATCH(Calculation!$G825,'Gen. Plant Additions'!$E$5:$AD$5,0))</f>
        <v>3902</v>
      </c>
      <c r="BN825" s="301">
        <f t="shared" si="1468"/>
        <v>0.96966854172388739</v>
      </c>
      <c r="BO825" s="231">
        <f t="shared" si="1504"/>
        <v>3783.6466498066088</v>
      </c>
      <c r="BP825" s="231">
        <f t="shared" si="1505"/>
        <v>-118.35335019339118</v>
      </c>
      <c r="BQ825" s="129">
        <f>INDEX('Dist Plant Depreciation'!$D$7:$AC$94,MATCH($C825,'Dist Plant Depreciation'!$C$7:$C$94,0),MATCH(Calculation!$G825,'Dist Plant Depreciation'!$D$5:$AC$5,0))</f>
        <v>248466</v>
      </c>
      <c r="BR825" s="129">
        <f>INDEX('Gen. Plant Depreciation'!$D$7:$AC$94,MATCH($C825,'Gen. Plant Depreciation'!$C$7:$C$94,0),MATCH(Calculation!$G825,'Gen. Plant Depreciation'!$D$5:$AC$5,0))</f>
        <v>9392</v>
      </c>
      <c r="BS825" s="129"/>
      <c r="BT825" s="129"/>
      <c r="BU825" s="129"/>
      <c r="BV825" s="129"/>
      <c r="BW825" s="129"/>
      <c r="BX825" s="137"/>
      <c r="BY825" s="129">
        <f>INDEX('Gross Dx Plant'!$D$7:$AC$91,MATCH($C825,'Gross Dx Plant'!$C$7:$C$91,0),MATCH(Calculation!$G825,'Gross Dx Plant'!$D$5:$AC$5,0))</f>
        <v>815531</v>
      </c>
      <c r="BZ825" s="129">
        <f>INDEX('Gross Gen Plant'!$D$7:$AC$91,MATCH($C825,'Gross Gen Plant'!$C$7:$C$91,0),MATCH(Calculation!$G825,'Gross Gen Plant'!$D$5:$AC$5,0))</f>
        <v>25510</v>
      </c>
      <c r="CA825" s="129">
        <f t="shared" si="1457"/>
        <v>583183</v>
      </c>
      <c r="CB825" s="129"/>
      <c r="CC825" s="133">
        <v>2020</v>
      </c>
      <c r="CD825" s="129"/>
      <c r="CE825" s="129"/>
      <c r="CF825" s="129"/>
      <c r="CG825" s="137"/>
      <c r="CH825" s="129">
        <f t="shared" si="1469"/>
        <v>43995</v>
      </c>
      <c r="CI825" s="46">
        <f t="shared" si="1478"/>
        <v>43876.646649806607</v>
      </c>
      <c r="CJ825" s="231">
        <f t="shared" si="1470"/>
        <v>53.963494223151855</v>
      </c>
      <c r="CK825" s="443">
        <v>0.72499999999999998</v>
      </c>
      <c r="CL825" s="231">
        <f>CL803*CK825+CJ804*CK824+CJ805*CK823+CJ806*CK822+CJ807*CK821+CJ808*CK820+CJ809*CK819+CJ810*CK818+CJ811*CK817+CJ812*CK816+CJ813*CK815+CJ814*CK814+CJ815*CK813+CJ816*CK812+CJ817*CK811+CJ818*CK810+CJ819*CK809+CJ820*CK808+CJ821*CK807+CJ822*CK806+CJ823*CK805+CJ824*CK804+CJ825</f>
        <v>1549.0485693509531</v>
      </c>
      <c r="CM825" s="134">
        <f t="shared" si="1471"/>
        <v>1.8902235918800806E-2</v>
      </c>
      <c r="CN825" s="135">
        <f t="shared" si="1472"/>
        <v>1.6419278385900769E-2</v>
      </c>
      <c r="CO825" s="135">
        <f t="shared" si="1481"/>
        <v>1.6113354597298745E-2</v>
      </c>
      <c r="CP825" s="134">
        <f>VLOOKUP($H825,RoR!$E:$F,2,FALSE)</f>
        <v>2.4766666666666666E-2</v>
      </c>
      <c r="CQ825" s="135">
        <v>1.1618796630994188E-2</v>
      </c>
      <c r="CR825" s="135">
        <f t="shared" si="1479"/>
        <v>1.3147870035672478E-2</v>
      </c>
      <c r="CS825" s="135">
        <f t="shared" si="1482"/>
        <v>1.478858701123488E-2</v>
      </c>
      <c r="CT825" s="135">
        <f t="shared" si="1483"/>
        <v>4.5144642961987357E-2</v>
      </c>
      <c r="CU825" s="139">
        <f t="shared" si="1473"/>
        <v>0.90509623210000001</v>
      </c>
      <c r="CV825" s="335">
        <f t="shared" si="1474"/>
        <v>2.0706077233668081</v>
      </c>
      <c r="CW825" s="335">
        <f t="shared" si="1475"/>
        <v>-3.4421265141318998E-2</v>
      </c>
      <c r="CX825" s="335">
        <f t="shared" si="1476"/>
        <v>0.62416226176410472</v>
      </c>
      <c r="CY825" s="335">
        <f t="shared" si="1477"/>
        <v>-4.4485877841158712E-2</v>
      </c>
      <c r="CZ825" s="336">
        <f>INDEX('State Tax Lookup'!$D$7:$Z$91,MATCH(Calculation!$C825,'State Tax Lookup'!$B$7:$B$91,0),MATCH($H825,'State Tax Lookup'!$D$6:$Z$6,0))</f>
        <v>0.25649666999999998</v>
      </c>
      <c r="DA825" s="302">
        <v>0.37</v>
      </c>
      <c r="DB825" s="57">
        <f t="shared" si="1480"/>
        <v>14.58271137583163</v>
      </c>
      <c r="DC825" s="56">
        <f t="shared" si="1484"/>
        <v>2.9176615639270261E-2</v>
      </c>
      <c r="DD825" s="303">
        <f>VLOOKUP($H825,RoR!$E:$F,2,FALSE)</f>
        <v>2.4766666666666666E-2</v>
      </c>
      <c r="DE825" s="304">
        <f>HLOOKUP($H825,'GDP-PI'!$D$8:$CQ$11,3,FALSE)</f>
        <v>1.1618796630994188E-2</v>
      </c>
      <c r="DF825" s="303">
        <f>VLOOKUP(H825,'HW Dx Data'!$E:$F,2,FALSE)</f>
        <v>813.080162458833</v>
      </c>
      <c r="DG825" s="364">
        <f ca="1">VLOOKUP(CC825,'ECI - Input Price'!M$13:N$33,2,FALSE)</f>
        <v>153.15</v>
      </c>
      <c r="DH825" s="364"/>
      <c r="DI825" s="364"/>
      <c r="DJ825" s="56">
        <f t="shared" ca="1" si="1492"/>
        <v>2.2951556467368479E-2</v>
      </c>
      <c r="DK825" s="53">
        <f>HLOOKUP(H825,'GDP-PI'!$8:$9,2,FALSE)</f>
        <v>113.623</v>
      </c>
      <c r="DL825" s="355">
        <f t="shared" si="1485"/>
        <v>1.1551816731392881E-2</v>
      </c>
      <c r="EC825"/>
    </row>
    <row r="826" spans="1:133" s="126" customFormat="1" ht="21" customHeight="1" x14ac:dyDescent="0.4">
      <c r="A826" s="233" t="s">
        <v>229</v>
      </c>
      <c r="B826" s="126" t="s">
        <v>229</v>
      </c>
      <c r="C826" s="126">
        <v>4057093</v>
      </c>
      <c r="D826" s="126" t="s">
        <v>194</v>
      </c>
      <c r="E826" s="126" t="s">
        <v>15</v>
      </c>
      <c r="G826" s="127" t="s">
        <v>177</v>
      </c>
      <c r="H826" s="128">
        <v>2021</v>
      </c>
      <c r="I826" s="129"/>
      <c r="J826" s="125">
        <v>25743.716423818496</v>
      </c>
      <c r="K826" s="125">
        <f t="shared" ca="1" si="1486"/>
        <v>163.71202813239108</v>
      </c>
      <c r="L826" s="47"/>
      <c r="M826" s="130">
        <f t="shared" ca="1" si="1493"/>
        <v>-6.0794135502328324E-2</v>
      </c>
      <c r="N826" s="130"/>
      <c r="O826" s="130"/>
      <c r="P826" s="59">
        <f t="shared" ca="1" si="1495"/>
        <v>-4.2206898903020935E-4</v>
      </c>
      <c r="Q826" s="61"/>
      <c r="R826" s="387"/>
      <c r="S826" s="132">
        <f ca="1">+S825*EXP(T826)</f>
        <v>120.59397491544702</v>
      </c>
      <c r="T826" s="134">
        <f ca="1">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</f>
        <v>2.8798219255677278E-2</v>
      </c>
      <c r="U826" s="134"/>
      <c r="V826" s="125">
        <v>36289.335199840541</v>
      </c>
      <c r="W826" s="125">
        <f t="shared" si="1487"/>
        <v>306.26496075483624</v>
      </c>
      <c r="X826" s="131">
        <f t="shared" si="1496"/>
        <v>-0.10329663782318006</v>
      </c>
      <c r="Y826" s="131">
        <f t="shared" si="1497"/>
        <v>-7.1714659869749349E-4</v>
      </c>
      <c r="Z826" s="131"/>
      <c r="AA826" s="131"/>
      <c r="AB826" s="131"/>
      <c r="AC826" s="125">
        <f>+CL825*DB827</f>
        <v>27145.781591613304</v>
      </c>
      <c r="AD826" s="129"/>
      <c r="AE826" s="133">
        <v>1740.1070793331057</v>
      </c>
      <c r="AF826" s="134"/>
      <c r="AG826" s="59">
        <f t="shared" si="1488"/>
        <v>0</v>
      </c>
      <c r="AH826" s="134"/>
      <c r="AI826" s="134"/>
      <c r="AJ826" s="129">
        <f t="shared" si="1458"/>
        <v>89178.833215272345</v>
      </c>
      <c r="AK826" s="134">
        <f t="shared" si="1498"/>
        <v>2.0194812460991571E-2</v>
      </c>
      <c r="AL826" s="129"/>
      <c r="AM826" s="134"/>
      <c r="AN826" s="134"/>
      <c r="AO826" s="134"/>
      <c r="AP826" s="133">
        <f t="shared" si="1499"/>
        <v>637.36953490478174</v>
      </c>
      <c r="AQ826" s="134">
        <f>+BB826/Outputs!$B$29</f>
        <v>3.6242035228761906E-3</v>
      </c>
      <c r="AR826" s="93">
        <f t="shared" si="1489"/>
        <v>0.28867518777325457</v>
      </c>
      <c r="AS826" s="93">
        <f t="shared" si="1490"/>
        <v>0.40692767433097343</v>
      </c>
      <c r="AT826" s="93">
        <f t="shared" si="1491"/>
        <v>0.30439713789577194</v>
      </c>
      <c r="AU826" s="93">
        <f t="shared" ca="1" si="1494"/>
        <v>-6.1861915045302383E-2</v>
      </c>
      <c r="AV826" s="132">
        <f t="shared" ca="1" si="1502"/>
        <v>121.14107221179748</v>
      </c>
      <c r="AW826" s="134">
        <f t="shared" ca="1" si="1503"/>
        <v>-6.1861915045302363E-2</v>
      </c>
      <c r="AX826" s="56">
        <f>+AJ826/$AL$26</f>
        <v>6.9425938134122286E-3</v>
      </c>
      <c r="AY826" s="135">
        <f t="shared" ca="1" si="1501"/>
        <v>-4.2948214867934907E-4</v>
      </c>
      <c r="AZ826" s="93"/>
      <c r="BA826" s="93"/>
      <c r="BB826" s="234">
        <f>INDEX('Total Customers'!$D$7:$D$91,MATCH(Calculation!$C826,'Total Customers'!$C$7:$C$91,0))</f>
        <v>139917</v>
      </c>
      <c r="BC826" s="269">
        <f t="shared" si="1420"/>
        <v>9.4500879201715234E-3</v>
      </c>
      <c r="BD826" s="91"/>
      <c r="BE826" s="299" t="str">
        <f t="shared" si="1410"/>
        <v>ORANGE AND ROCKLAND UTILITIES, INC.</v>
      </c>
      <c r="BF826" s="300">
        <f t="shared" si="1411"/>
        <v>4057093</v>
      </c>
      <c r="BG826" s="231" t="str">
        <f t="shared" si="1412"/>
        <v>NY</v>
      </c>
      <c r="BH826" s="231"/>
      <c r="BI826" s="231" t="str">
        <f t="shared" si="1413"/>
        <v>2021 Y</v>
      </c>
      <c r="BJ826" s="129"/>
      <c r="BK826" s="129"/>
      <c r="BL826" s="129">
        <f>INDEX('Dist. Plant Gas Additions'!$D$7:$AD$91,MATCH($C826,'Dist. Plant Gas Additions'!$C$7:$C$91,0),MATCH(Calculation!$G826,'Dist. Plant Gas Additions'!$D$5:$AD$5,0))</f>
        <v>54730</v>
      </c>
      <c r="BM826" s="129">
        <f>INDEX('Gen. Plant Additions'!$D$7:$AD$91,MATCH($C826,'Gen. Plant Additions'!$C$7:$C$91,0),MATCH(Calculation!$G826,'Gen. Plant Additions'!$D$5:$AD$5,0))</f>
        <v>3968</v>
      </c>
      <c r="BN826" s="301">
        <v>0.96966854172388739</v>
      </c>
      <c r="BO826" s="231">
        <f t="shared" si="1504"/>
        <v>3847.6447735603851</v>
      </c>
      <c r="BP826" s="231">
        <f t="shared" si="1505"/>
        <v>-120.35522643961485</v>
      </c>
      <c r="BQ826" s="129"/>
      <c r="BR826" s="129"/>
      <c r="BS826" s="137"/>
      <c r="BT826" s="137"/>
      <c r="BU826" s="333"/>
      <c r="BV826" s="93"/>
      <c r="BW826" s="334"/>
      <c r="BX826" s="334"/>
      <c r="BY826" s="129"/>
      <c r="BZ826" s="129"/>
      <c r="CA826" s="129"/>
      <c r="CB826" s="129"/>
      <c r="CC826" s="133">
        <v>2021</v>
      </c>
      <c r="CD826" s="129"/>
      <c r="CE826" s="129"/>
      <c r="CF826" s="129"/>
      <c r="CG826" s="137"/>
      <c r="CH826" s="129">
        <f t="shared" si="1469"/>
        <v>58698</v>
      </c>
      <c r="CI826" s="46">
        <f t="shared" si="1478"/>
        <v>58577.644773560387</v>
      </c>
      <c r="CJ826" s="231">
        <f t="shared" si="1470"/>
        <v>62.782671181823282</v>
      </c>
      <c r="CK826" s="443">
        <v>0.70886075949367089</v>
      </c>
      <c r="CL826" s="129">
        <f>CL803*CK826+CJ804*CK825+CJ805*CK824+CJ806*CK823+CJ807*CK822+CJ808*CK821+CJ809*CK820+CJ810*CK819+CJ811*CK818+CJ812*CK817+CJ813*CK816+CJ814*CK815+CJ815*CK814+CJ816*CK813+CJ817*CK812+CJ808*CK811+CJ819*CK810+CJ820*CK809+CJ821*CK808+CJ822*CK807+CJ823*CK806+CJ824*CK805+CJ826+CJ825*CK804</f>
        <v>1584.9698851850912</v>
      </c>
      <c r="CM826" s="134"/>
      <c r="CN826" s="135">
        <f t="shared" si="1472"/>
        <v>1.7340550760742125E-2</v>
      </c>
      <c r="CO826" s="135">
        <f t="shared" si="1481"/>
        <v>1.6631024491511073E-2</v>
      </c>
      <c r="CP826" s="134">
        <f>VLOOKUP($H826,RoR!$E:$F,2,FALSE)</f>
        <v>2.7033333333333336E-2</v>
      </c>
      <c r="CQ826" s="135"/>
      <c r="CR826" s="135"/>
      <c r="CS826" s="135">
        <f t="shared" si="1482"/>
        <v>1.4270917117022552E-2</v>
      </c>
      <c r="CT826" s="135">
        <f t="shared" si="1483"/>
        <v>7.433422950153494E-2</v>
      </c>
      <c r="CU826" s="139">
        <f t="shared" si="1473"/>
        <v>0.90509623210000001</v>
      </c>
      <c r="CV826" s="335">
        <f t="shared" si="1474"/>
        <v>1.8969932656739068</v>
      </c>
      <c r="CW826" s="335">
        <f t="shared" si="1475"/>
        <v>5.0215782983970621E-2</v>
      </c>
      <c r="CX826" s="335">
        <f t="shared" si="1476"/>
        <v>0.655952481704143</v>
      </c>
      <c r="CY826" s="335">
        <f t="shared" si="1477"/>
        <v>6.2485378865697057E-2</v>
      </c>
      <c r="CZ826" s="336">
        <f>CZ825</f>
        <v>0.25649666999999998</v>
      </c>
      <c r="DA826" s="302">
        <v>0.37</v>
      </c>
      <c r="DB826" s="141">
        <f t="shared" si="1480"/>
        <v>16.118495690758117</v>
      </c>
      <c r="DC826" s="135">
        <f>LN(DB827/DB825)</f>
        <v>0.18374406920108477</v>
      </c>
      <c r="DD826" s="336">
        <f>VLOOKUP($H826,RoR!$E:$F,2,FALSE)</f>
        <v>2.7033333333333336E-2</v>
      </c>
      <c r="DE826" s="342">
        <f>HLOOKUP($H826,'GDP-PI'!$D$8:$CR$11,3,FALSE)</f>
        <v>4.2834637353352578E-2</v>
      </c>
      <c r="DF826" s="336">
        <f>VLOOKUP(H826,'HW Dx Data'!$E:$F,2,FALSE)</f>
        <v>933.02249921662576</v>
      </c>
      <c r="DG826" s="364">
        <f ca="1">VLOOKUP(CC826,'ECI - Input Price'!M$13:N$33,2,FALSE)</f>
        <v>157.25</v>
      </c>
      <c r="DH826" s="364"/>
      <c r="DI826" s="364"/>
      <c r="DJ826" s="135">
        <f t="shared" ca="1" si="1492"/>
        <v>2.6419062301765574E-2</v>
      </c>
      <c r="DK826" s="137">
        <f>HLOOKUP(H826,'GDP-PI'!$8:$9,2,FALSE)</f>
        <v>118.49</v>
      </c>
      <c r="DL826" s="356">
        <f t="shared" si="1485"/>
        <v>4.194261824609434E-2</v>
      </c>
      <c r="EC826"/>
    </row>
    <row r="827" spans="1:133" s="126" customFormat="1" ht="21" customHeight="1" thickBot="1" x14ac:dyDescent="0.45">
      <c r="A827" s="235"/>
      <c r="B827" s="236"/>
      <c r="C827" s="236"/>
      <c r="D827" s="236"/>
      <c r="E827" s="236"/>
      <c r="F827" s="236"/>
      <c r="G827" s="237" t="s">
        <v>178</v>
      </c>
      <c r="H827" s="238"/>
      <c r="I827" s="239"/>
      <c r="J827" s="240">
        <v>26694.333458214354</v>
      </c>
      <c r="K827" s="240">
        <f t="shared" ca="1" si="1486"/>
        <v>164.22229134552046</v>
      </c>
      <c r="L827" s="47"/>
      <c r="M827" s="241">
        <f t="shared" ref="M827" ca="1" si="1506">LN(K827/K826)</f>
        <v>3.1119867279747675E-3</v>
      </c>
      <c r="N827" s="241"/>
      <c r="O827" s="241"/>
      <c r="P827" s="242">
        <f t="shared" ca="1" si="1495"/>
        <v>2.1659408442219689E-5</v>
      </c>
      <c r="Q827" s="61"/>
      <c r="R827" s="387"/>
      <c r="S827" s="206">
        <f ca="1">+S826*EXP(T827)</f>
        <v>118.225542081087</v>
      </c>
      <c r="T827" s="243">
        <f ca="1">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</f>
        <v>-1.9835150119301884E-2</v>
      </c>
      <c r="U827" s="243"/>
      <c r="V827" s="239">
        <v>37629.361621820237</v>
      </c>
      <c r="W827" s="240">
        <f t="shared" si="1487"/>
        <v>295.71207561351855</v>
      </c>
      <c r="X827" s="244">
        <f t="shared" ref="X827" si="1507">LN(W827/W826)</f>
        <v>-3.5064348704644588E-2</v>
      </c>
      <c r="Y827" s="244">
        <f t="shared" si="1497"/>
        <v>-2.4404765082290927E-4</v>
      </c>
      <c r="Z827" s="206"/>
      <c r="AA827" s="243"/>
      <c r="AB827" s="243"/>
      <c r="AC827" s="240">
        <f>+CL826*DB827</f>
        <v>27775.272631087581</v>
      </c>
      <c r="AD827" s="243"/>
      <c r="AE827" s="245">
        <v>1780.8619544994974</v>
      </c>
      <c r="AF827" s="243">
        <v>2.3150840016945617E-2</v>
      </c>
      <c r="AG827" s="242">
        <f t="shared" si="1488"/>
        <v>1.6112970379980843E-4</v>
      </c>
      <c r="AH827" s="206"/>
      <c r="AI827" s="243"/>
      <c r="AJ827" s="239">
        <f t="shared" si="1458"/>
        <v>92098.967711122183</v>
      </c>
      <c r="AK827" s="243">
        <f t="shared" si="1498"/>
        <v>3.2220019216202586E-2</v>
      </c>
      <c r="AL827" s="239"/>
      <c r="AM827" s="243"/>
      <c r="AN827" s="243"/>
      <c r="AO827" s="243"/>
      <c r="AP827" s="245">
        <f t="shared" si="1499"/>
        <v>653.67094439917798</v>
      </c>
      <c r="AQ827" s="243"/>
      <c r="AR827" s="207">
        <f t="shared" si="1489"/>
        <v>0.28984400283338524</v>
      </c>
      <c r="AS827" s="207">
        <f t="shared" si="1490"/>
        <v>0.40857528110248287</v>
      </c>
      <c r="AT827" s="207">
        <f t="shared" si="1491"/>
        <v>0.30158071606413178</v>
      </c>
      <c r="AU827" s="207"/>
      <c r="AV827" s="206"/>
      <c r="AW827" s="243"/>
      <c r="AX827" s="248">
        <f>+AJ827/$AL$27</f>
        <v>6.9599938352935377E-3</v>
      </c>
      <c r="AY827" s="249"/>
      <c r="AZ827" s="206"/>
      <c r="BA827" s="243"/>
      <c r="BB827" s="250">
        <v>140895</v>
      </c>
      <c r="BC827" s="270">
        <f t="shared" si="1420"/>
        <v>6.9655424574272158E-3</v>
      </c>
      <c r="BD827" s="91"/>
      <c r="BE827" s="306">
        <f t="shared" si="1410"/>
        <v>0</v>
      </c>
      <c r="BF827" s="307">
        <f t="shared" si="1411"/>
        <v>0</v>
      </c>
      <c r="BG827" s="308">
        <f t="shared" si="1412"/>
        <v>0</v>
      </c>
      <c r="BH827" s="308"/>
      <c r="BI827" s="308" t="str">
        <f t="shared" si="1413"/>
        <v>2022Y</v>
      </c>
      <c r="BJ827" s="239"/>
      <c r="BK827" s="239"/>
      <c r="BL827" s="239"/>
      <c r="BM827" s="239"/>
      <c r="BN827" s="309">
        <v>0.96966854172388739</v>
      </c>
      <c r="BO827" s="308">
        <f t="shared" si="1504"/>
        <v>0</v>
      </c>
      <c r="BP827" s="308">
        <f t="shared" si="1505"/>
        <v>0</v>
      </c>
      <c r="BQ827" s="239"/>
      <c r="BR827" s="239"/>
      <c r="BS827" s="310"/>
      <c r="BT827" s="310"/>
      <c r="BU827" s="311"/>
      <c r="BV827" s="207"/>
      <c r="BW827" s="312"/>
      <c r="BX827" s="312"/>
      <c r="BY827" s="239"/>
      <c r="BZ827" s="239"/>
      <c r="CA827" s="239"/>
      <c r="CB827" s="239"/>
      <c r="CC827" s="245">
        <v>2022</v>
      </c>
      <c r="CD827" s="239"/>
      <c r="CE827" s="239"/>
      <c r="CF827" s="239"/>
      <c r="CG827" s="310"/>
      <c r="CH827" s="239">
        <v>59139</v>
      </c>
      <c r="CI827" s="313">
        <f t="shared" si="1478"/>
        <v>59139</v>
      </c>
      <c r="CJ827" s="308">
        <f t="shared" si="1470"/>
        <v>57.371387549596925</v>
      </c>
      <c r="CK827" s="443">
        <v>0.69230769230769229</v>
      </c>
      <c r="CL827" s="239">
        <f>+CL803*CK827+CJ804*CK826+CJ805*CK825+CJ806*CK824+CJ807*CK823+CJ808*CK822+CJ809*CK821+CJ810*CK820+CJ811*CK819+CJ812*CK818+CJ813*CK817+CJ814*CK816+CJ815*CK815+CJ816*CK814+CJ817*CK813+CJ818*CK812+CJ819*CK811+CJ820*CK810+CJ821*CK809+CJ822*CK808+CJ823*CK807+CJ824*CK806+CJ825*CK805+CJ826*CK804+CJ827*CK803</f>
        <v>1615.78343060108</v>
      </c>
      <c r="CM827" s="243">
        <f t="shared" ref="CM827" si="1508">LN(CL827/CL826)</f>
        <v>1.9254528135320866E-2</v>
      </c>
      <c r="CN827" s="249">
        <f t="shared" si="1472"/>
        <v>1.6756054724980953E-2</v>
      </c>
      <c r="CO827" s="249">
        <f t="shared" si="1481"/>
        <v>1.6838627957207947E-2</v>
      </c>
      <c r="CP827" s="243"/>
      <c r="CQ827" s="249"/>
      <c r="CR827" s="249"/>
      <c r="CS827" s="248">
        <f t="shared" si="1482"/>
        <v>1.4063313651325678E-2</v>
      </c>
      <c r="CT827" s="249">
        <f t="shared" si="1483"/>
        <v>0.10114668178709289</v>
      </c>
      <c r="CU827" s="314">
        <f t="shared" si="1473"/>
        <v>0.90509623210000001</v>
      </c>
      <c r="CV827" s="315">
        <f t="shared" si="1474"/>
        <v>1.2820512820512819</v>
      </c>
      <c r="CW827" s="315">
        <f t="shared" si="1475"/>
        <v>0.35000000000000003</v>
      </c>
      <c r="CX827" s="315">
        <f t="shared" si="1476"/>
        <v>0.79171095533705893</v>
      </c>
      <c r="CY827" s="315">
        <f t="shared" si="1477"/>
        <v>0.35525491585637264</v>
      </c>
      <c r="CZ827" s="316">
        <f>CZ826</f>
        <v>0.25649666999999998</v>
      </c>
      <c r="DA827" s="317">
        <v>0.37</v>
      </c>
      <c r="DB827" s="318">
        <f t="shared" si="1480"/>
        <v>17.524164270063725</v>
      </c>
      <c r="DC827" s="249">
        <f>LN(DB827/DB826)</f>
        <v>8.3613330620647866E-2</v>
      </c>
      <c r="DD827" s="316">
        <v>0.04</v>
      </c>
      <c r="DE827" s="319">
        <v>7.0000000000000001E-3</v>
      </c>
      <c r="DF827" s="316">
        <v>1030.81</v>
      </c>
      <c r="DG827" s="364">
        <f ca="1">VLOOKUP(CC827,'ECI - Input Price'!M$13:N$33,2,FALSE)</f>
        <v>162.55000000000001</v>
      </c>
      <c r="DH827" s="364"/>
      <c r="DI827" s="364"/>
      <c r="DJ827" s="249">
        <f t="shared" ca="1" si="1492"/>
        <v>3.3148751169364422E-2</v>
      </c>
      <c r="DK827" s="310">
        <v>127.25</v>
      </c>
      <c r="DL827" s="357">
        <f t="shared" si="1485"/>
        <v>7.1325086601983473E-2</v>
      </c>
      <c r="EC827"/>
    </row>
    <row r="828" spans="1:133" s="126" customFormat="1" ht="21" customHeight="1" x14ac:dyDescent="0.4">
      <c r="A828" s="251" t="s">
        <v>230</v>
      </c>
      <c r="B828" s="252" t="s">
        <v>230</v>
      </c>
      <c r="C828" s="252">
        <v>4004218</v>
      </c>
      <c r="D828" s="252" t="s">
        <v>231</v>
      </c>
      <c r="E828" s="252"/>
      <c r="F828" s="252"/>
      <c r="G828" s="252" t="s">
        <v>150</v>
      </c>
      <c r="H828" s="253">
        <v>1998</v>
      </c>
      <c r="I828" s="254"/>
      <c r="J828" s="255"/>
      <c r="K828" s="255"/>
      <c r="L828" s="47"/>
      <c r="M828" s="255"/>
      <c r="N828" s="255"/>
      <c r="O828" s="255"/>
      <c r="P828" s="219"/>
      <c r="Q828" s="218"/>
      <c r="R828" s="385"/>
      <c r="S828" s="257"/>
      <c r="T828" s="258"/>
      <c r="U828" s="258"/>
      <c r="V828" s="259"/>
      <c r="W828" s="259"/>
      <c r="X828" s="259"/>
      <c r="Y828" s="255"/>
      <c r="Z828" s="259"/>
      <c r="AA828" s="259"/>
      <c r="AB828" s="259"/>
      <c r="AC828" s="255"/>
      <c r="AD828" s="254"/>
      <c r="AE828" s="260">
        <v>8438.4926463761476</v>
      </c>
      <c r="AF828" s="256"/>
      <c r="AG828" s="225"/>
      <c r="AH828" s="256"/>
      <c r="AI828" s="256"/>
      <c r="AJ828" s="254">
        <f t="shared" si="1458"/>
        <v>0</v>
      </c>
      <c r="AK828" s="254"/>
      <c r="AL828" s="254"/>
      <c r="AM828" s="256"/>
      <c r="AN828" s="256"/>
      <c r="AO828" s="256"/>
      <c r="AP828" s="226">
        <f>+(AP825+AP826+AP827)/3</f>
        <v>640.53277152572321</v>
      </c>
      <c r="AQ828" s="256"/>
      <c r="AR828" s="261"/>
      <c r="AS828" s="261"/>
      <c r="AT828" s="261"/>
      <c r="AU828" s="261"/>
      <c r="AV828" s="261"/>
      <c r="AW828" s="256">
        <f ca="1">AVERAGE(AW837:AW851)</f>
        <v>3.9341843601853124E-2</v>
      </c>
      <c r="AX828" s="223"/>
      <c r="AY828" s="261"/>
      <c r="AZ828" s="261"/>
      <c r="BA828" s="261"/>
      <c r="BB828" s="262">
        <f>IFERROR(INDEX('Total Customers'!$E$7:$AA$91,MATCH($C828,'Total Customers'!$C$7:$C$91,0),MATCH($G828,'Total Customers'!$E$5:$AA$5,0)),"NA")</f>
        <v>3737058</v>
      </c>
      <c r="BC828" s="268"/>
      <c r="BD828" s="92"/>
      <c r="BE828" s="320" t="str">
        <f t="shared" si="1410"/>
        <v>PACIFIC GAS AND ELECTRIC COMPANY</v>
      </c>
      <c r="BF828" s="321">
        <f t="shared" si="1411"/>
        <v>4004218</v>
      </c>
      <c r="BG828" s="322" t="str">
        <f t="shared" si="1412"/>
        <v>CA</v>
      </c>
      <c r="BH828" s="322"/>
      <c r="BI828" s="322" t="str">
        <f t="shared" si="1413"/>
        <v>1998 Y</v>
      </c>
      <c r="BJ828" s="254">
        <f>INDEX('Gross Dx Plant'!$D$7:$AC$91,MATCH($C828,'Gross Dx Plant'!$C$7:$C$91,0),MATCH(Calculation!$G828,'Gross Dx Plant'!$D$5:$AC$5,0))</f>
        <v>3749429</v>
      </c>
      <c r="BK828" s="254">
        <f>INDEX('Gross Gen Plant'!$D$7:$AC$91,MATCH($C828,'Gross Gen Plant'!$C$7:$C$91,0),MATCH(Calculation!$G828,'Gross Gen Plant'!$D$5:$AC$5,0))</f>
        <v>68438</v>
      </c>
      <c r="BL828" s="254">
        <f>INDEX('Dist. Plant Gas Additions'!$E$7:$AD$91,MATCH($C828,'Dist. Plant Gas Additions'!$C$7:$C$91,0),MATCH(Calculation!$G828,'Dist. Plant Gas Additions'!$E$5:$AD$5,0))</f>
        <v>196405</v>
      </c>
      <c r="BM828" s="254">
        <f>INDEX('Gen. Plant Additions'!$E$7:$AD$91,MATCH($C828,'Gen. Plant Additions'!$C$7:$C$91,0),MATCH(Calculation!$G828,'Gen. Plant Additions'!$E$5:$AD$5,0))</f>
        <v>1758</v>
      </c>
      <c r="BN828" s="338">
        <f>+(BY828/(BY828+BZ828))</f>
        <v>0.98207428388678808</v>
      </c>
      <c r="BO828" s="322">
        <f t="shared" si="1504"/>
        <v>1726.4865910729734</v>
      </c>
      <c r="BP828" s="322">
        <f t="shared" si="1505"/>
        <v>-31.513408927026603</v>
      </c>
      <c r="BQ828" s="254">
        <f>INDEX('Dist Plant Depreciation'!$D$7:$AC$94,MATCH($C828,'Dist Plant Depreciation'!$C$7:$C$94,0),MATCH(Calculation!$G828,'Dist Plant Depreciation'!$D$5:$AC$5,0))</f>
        <v>2096630</v>
      </c>
      <c r="BR828" s="254">
        <f>INDEX('Gen. Plant Depreciation'!$D$7:$AC$94,MATCH($C828,'Gen. Plant Depreciation'!$C$7:$C$94,0),MATCH(Calculation!$G828,'Gen. Plant Depreciation'!$D$5:$AC$5,0))</f>
        <v>19029</v>
      </c>
      <c r="BS828" s="254"/>
      <c r="BT828" s="254"/>
      <c r="BU828" s="254"/>
      <c r="BV828" s="254"/>
      <c r="BW828" s="254"/>
      <c r="BX828" s="323"/>
      <c r="BY828" s="254">
        <f>INDEX('Gross Dx Plant'!$D$7:$AC$91,MATCH($C828,'Gross Dx Plant'!$C$7:$C$91,0),MATCH(Calculation!$G828,'Gross Dx Plant'!$D$5:$AC$5,0))</f>
        <v>3749429</v>
      </c>
      <c r="BZ828" s="254">
        <f>INDEX('Gross Gen Plant'!$D$7:$AC$91,MATCH($C828,'Gross Gen Plant'!$C$7:$C$91,0),MATCH(Calculation!$G828,'Gross Gen Plant'!$D$5:$AC$5,0))</f>
        <v>68438</v>
      </c>
      <c r="CA828" s="254">
        <f t="shared" si="1457"/>
        <v>1702208</v>
      </c>
      <c r="CB828" s="254"/>
      <c r="CC828" s="260">
        <v>1998</v>
      </c>
      <c r="CD828" s="254">
        <f>BJ828+BK828</f>
        <v>3817867</v>
      </c>
      <c r="CE828" s="254">
        <f>2096630+19029</f>
        <v>2115659</v>
      </c>
      <c r="CF828" s="254">
        <f>+CD828-CE828</f>
        <v>1702208</v>
      </c>
      <c r="CG828" s="254">
        <f>CF828/$BX$3</f>
        <v>8438.4926463761476</v>
      </c>
      <c r="CH828" s="323"/>
      <c r="CI828" s="344"/>
      <c r="CJ828" s="344"/>
      <c r="CK828" s="443">
        <v>1</v>
      </c>
      <c r="CL828" s="254">
        <f>+CG828</f>
        <v>8438.4926463761476</v>
      </c>
      <c r="CM828" s="256"/>
      <c r="CN828" s="325"/>
      <c r="CO828" s="325"/>
      <c r="CP828" s="256" t="e">
        <f>VLOOKUP($H828,RoR!$E:$F,2,FALSE)</f>
        <v>#N/A</v>
      </c>
      <c r="CQ828" s="325">
        <v>1.1028127770464469E-2</v>
      </c>
      <c r="CR828" s="325"/>
      <c r="CS828" s="325"/>
      <c r="CT828" s="325"/>
      <c r="CU828" s="327"/>
      <c r="CV828" s="331" t="e">
        <f>2/(DD828*39)</f>
        <v>#N/A</v>
      </c>
      <c r="CW828" s="328" t="e">
        <f>+(DD828*40-(1+DD828))/(DD828*40)</f>
        <v>#N/A</v>
      </c>
      <c r="CX828" s="328" t="e">
        <f>+(1-(1/(1+DD828)^40))</f>
        <v>#N/A</v>
      </c>
      <c r="CY828" s="328" t="e">
        <f>+CX828*CW828*CV828</f>
        <v>#N/A</v>
      </c>
      <c r="CZ828" s="329">
        <f>INDEX('State Tax Lookup'!$D$7:$Z$91,MATCH(Calculation!$C828,'State Tax Lookup'!$B$7:$B$91,0),MATCH($H828,'State Tax Lookup'!$D$6:$Z$6,0))</f>
        <v>0.40745999999999999</v>
      </c>
      <c r="DA828" s="330">
        <v>0.37</v>
      </c>
      <c r="DB828" s="323"/>
      <c r="DC828" s="326"/>
      <c r="DD828" s="329" t="e">
        <v>#N/A</v>
      </c>
      <c r="DE828" s="332">
        <v>1.1028127770464469E-2</v>
      </c>
      <c r="DF828" s="351">
        <f>VLOOKUP(H828,'HW Dx Data'!$E:$F,2,FALSE)</f>
        <v>329.24564746449528</v>
      </c>
      <c r="DG828" s="330"/>
      <c r="DH828" s="330"/>
      <c r="DI828" s="330"/>
      <c r="DJ828" s="326"/>
      <c r="DK828" s="344">
        <f>HLOOKUP(H828,'GDP-PI'!$8:$9,2,FALSE)</f>
        <v>75.266999999999996</v>
      </c>
      <c r="DL828" s="292"/>
      <c r="EC828"/>
    </row>
    <row r="829" spans="1:133" s="126" customFormat="1" ht="21" customHeight="1" x14ac:dyDescent="0.4">
      <c r="A829" s="233" t="s">
        <v>230</v>
      </c>
      <c r="B829" s="127" t="s">
        <v>230</v>
      </c>
      <c r="C829" s="127">
        <v>4004218</v>
      </c>
      <c r="D829" s="127" t="s">
        <v>231</v>
      </c>
      <c r="E829" s="127"/>
      <c r="F829" s="127"/>
      <c r="G829" s="127" t="s">
        <v>155</v>
      </c>
      <c r="H829" s="128">
        <v>1999</v>
      </c>
      <c r="I829" s="129"/>
      <c r="J829" s="125"/>
      <c r="K829" s="129"/>
      <c r="L829" s="47"/>
      <c r="M829" s="129"/>
      <c r="N829" s="129"/>
      <c r="O829" s="129"/>
      <c r="P829" s="47"/>
      <c r="Q829" s="47"/>
      <c r="R829" s="386"/>
      <c r="S829" s="119"/>
      <c r="T829" s="47"/>
      <c r="U829" s="46"/>
      <c r="V829" s="135"/>
      <c r="W829" s="135"/>
      <c r="X829" s="135"/>
      <c r="Y829" s="143"/>
      <c r="Z829" s="135"/>
      <c r="AA829" s="135"/>
      <c r="AB829" s="135"/>
      <c r="AC829" s="125">
        <f t="shared" ref="AC829:AC852" si="1509">+CL828*DB829</f>
        <v>0</v>
      </c>
      <c r="AD829" s="129"/>
      <c r="AE829" s="133">
        <v>8963.067927357286</v>
      </c>
      <c r="AF829" s="134">
        <v>6.030887473058498E-2</v>
      </c>
      <c r="AG829" s="61"/>
      <c r="AH829" s="134"/>
      <c r="AI829" s="134"/>
      <c r="AJ829" s="129">
        <f t="shared" si="1458"/>
        <v>0</v>
      </c>
      <c r="AK829" s="134"/>
      <c r="AL829" s="129"/>
      <c r="AM829" s="134"/>
      <c r="AN829" s="134"/>
      <c r="AO829" s="134"/>
      <c r="AP829" s="133"/>
      <c r="AQ829" s="134"/>
      <c r="AR829" s="93"/>
      <c r="AS829" s="93"/>
      <c r="AT829" s="93"/>
      <c r="AU829" s="93"/>
      <c r="AV829" s="93"/>
      <c r="AW829" s="134"/>
      <c r="AX829" s="62"/>
      <c r="AY829" s="93"/>
      <c r="AZ829" s="93"/>
      <c r="BA829" s="93"/>
      <c r="BB829" s="234">
        <f>IFERROR(INDEX('Total Customers'!$E$7:$AA$91,MATCH($C829,'Total Customers'!$C$7:$C$91,0),MATCH($G829,'Total Customers'!$E$5:$AA$5,0)),"NA")</f>
        <v>3798199</v>
      </c>
      <c r="BC829" s="269">
        <f t="shared" si="1420"/>
        <v>1.6228336161493891E-2</v>
      </c>
      <c r="BD829" s="92"/>
      <c r="BE829" s="299" t="str">
        <f t="shared" si="1410"/>
        <v>PACIFIC GAS AND ELECTRIC COMPANY</v>
      </c>
      <c r="BF829" s="300">
        <f t="shared" si="1411"/>
        <v>4004218</v>
      </c>
      <c r="BG829" s="231" t="str">
        <f t="shared" si="1412"/>
        <v>CA</v>
      </c>
      <c r="BH829" s="231"/>
      <c r="BI829" s="231" t="str">
        <f t="shared" si="1413"/>
        <v>1999 Y</v>
      </c>
      <c r="BJ829" s="129"/>
      <c r="BK829" s="129"/>
      <c r="BL829" s="129">
        <f>INDEX('Dist. Plant Gas Additions'!$E$7:$AD$91,MATCH($C829,'Dist. Plant Gas Additions'!$C$7:$C$91,0),MATCH(Calculation!$G829,'Dist. Plant Gas Additions'!$E$5:$AD$5,0))</f>
        <v>186974</v>
      </c>
      <c r="BM829" s="129">
        <f>INDEX('Gen. Plant Additions'!$E$7:$AD$91,MATCH($C829,'Gen. Plant Additions'!$C$7:$C$91,0),MATCH(Calculation!$G829,'Gen. Plant Additions'!$E$5:$AD$5,0))</f>
        <v>3007</v>
      </c>
      <c r="BN829" s="301">
        <f t="shared" ref="BN829:BN850" si="1510">+(BY829/(BY829+BZ829))</f>
        <v>0.98225366954680293</v>
      </c>
      <c r="BO829" s="231">
        <f t="shared" si="1504"/>
        <v>2953.6367843272365</v>
      </c>
      <c r="BP829" s="231">
        <f t="shared" si="1505"/>
        <v>-53.363215672763545</v>
      </c>
      <c r="BQ829" s="129">
        <f>INDEX('Dist Plant Depreciation'!$D$7:$AC$94,MATCH($C829,'Dist Plant Depreciation'!$C$7:$C$94,0),MATCH(Calculation!$G829,'Dist Plant Depreciation'!$D$5:$AC$5,0))</f>
        <v>2207806</v>
      </c>
      <c r="BR829" s="129">
        <f>INDEX('Gen. Plant Depreciation'!$D$7:$AC$94,MATCH($C829,'Gen. Plant Depreciation'!$C$7:$C$94,0),MATCH(Calculation!$G829,'Gen. Plant Depreciation'!$D$5:$AC$5,0))</f>
        <v>20711</v>
      </c>
      <c r="BS829" s="129"/>
      <c r="BT829" s="129"/>
      <c r="BU829" s="129"/>
      <c r="BV829" s="129"/>
      <c r="BW829" s="129"/>
      <c r="BX829" s="137"/>
      <c r="BY829" s="129">
        <f>INDEX('Gross Dx Plant'!$D$7:$AC$91,MATCH($C829,'Gross Dx Plant'!$C$7:$C$91,0),MATCH(Calculation!$G829,'Gross Dx Plant'!$D$5:$AC$5,0))</f>
        <v>3888813</v>
      </c>
      <c r="BZ829" s="129">
        <f>INDEX('Gross Gen Plant'!$D$7:$AC$91,MATCH($C829,'Gross Gen Plant'!$C$7:$C$91,0),MATCH(Calculation!$G829,'Gross Gen Plant'!$D$5:$AC$5,0))</f>
        <v>70259</v>
      </c>
      <c r="CA829" s="129">
        <f t="shared" si="1457"/>
        <v>1730555</v>
      </c>
      <c r="CB829" s="129"/>
      <c r="CC829" s="133">
        <v>1999</v>
      </c>
      <c r="CD829" s="129"/>
      <c r="CE829" s="129"/>
      <c r="CF829" s="129"/>
      <c r="CG829" s="137"/>
      <c r="CH829" s="129">
        <f t="shared" ref="CH829:CH851" si="1511">+BM829+BL829</f>
        <v>189981</v>
      </c>
      <c r="CI829" s="46">
        <f>+CH829+BP829</f>
        <v>189927.63678432725</v>
      </c>
      <c r="CJ829" s="231">
        <f t="shared" ref="CJ829:CJ852" si="1512">+CI829/$DF829</f>
        <v>566.39869266384028</v>
      </c>
      <c r="CK829" s="443">
        <v>0.99009900990099009</v>
      </c>
      <c r="CL829" s="231">
        <f>+CL828*CK829+CJ829</f>
        <v>8921.3419068976509</v>
      </c>
      <c r="CM829" s="134">
        <f t="shared" ref="CM829:CM850" si="1513">LN(CL829/CL828)</f>
        <v>5.5642677013569064E-2</v>
      </c>
      <c r="CN829" s="135">
        <f t="shared" ref="CN829:CN852" si="1514">+(CL828-CL829+CJ829)/CL828</f>
        <v>9.9009900990097675E-3</v>
      </c>
      <c r="CO829" s="135"/>
      <c r="CP829" s="134">
        <f>VLOOKUP($H829,RoR!$E:$F,2,FALSE)</f>
        <v>7.0416666666666669E-2</v>
      </c>
      <c r="CQ829" s="135">
        <v>1.4335631817396832E-2</v>
      </c>
      <c r="CR829" s="135">
        <f>+CP829-CQ829</f>
        <v>5.6081034849269837E-2</v>
      </c>
      <c r="CS829" s="135"/>
      <c r="CT829" s="135"/>
      <c r="CU829" s="139">
        <f t="shared" ref="CU829:CU852" si="1515">1-CZ829*DA829</f>
        <v>0.84923979999999999</v>
      </c>
      <c r="CV829" s="335">
        <f t="shared" ref="CV829:CV852" si="1516">2/(DD829*39)</f>
        <v>0.72826581702321336</v>
      </c>
      <c r="CW829" s="335">
        <f t="shared" ref="CW829:CW852" si="1517">+(DD829*40-(1+DD829))/(DD829*40)</f>
        <v>0.61997041420118348</v>
      </c>
      <c r="CX829" s="335">
        <f t="shared" ref="CX829:CX852" si="1518">+(1-(1/(1+DD829)^40))</f>
        <v>0.93425155319585029</v>
      </c>
      <c r="CY829" s="335">
        <f t="shared" ref="CY829:CY852" si="1519">+CX829*CW829*CV829</f>
        <v>0.42181762214141483</v>
      </c>
      <c r="CZ829" s="336">
        <f>INDEX('State Tax Lookup'!$D$7:$Z$91,MATCH(Calculation!$C829,'State Tax Lookup'!$B$7:$B$91,0),MATCH($H829,'State Tax Lookup'!$D$6:$Z$6,0))</f>
        <v>0.40745999999999999</v>
      </c>
      <c r="DA829" s="302">
        <v>0.37</v>
      </c>
      <c r="DB829" s="141"/>
      <c r="DC829" s="56"/>
      <c r="DD829" s="336">
        <v>7.0416666666666669E-2</v>
      </c>
      <c r="DE829" s="342">
        <v>1.4335631817396832E-2</v>
      </c>
      <c r="DF829" s="303">
        <f>VLOOKUP(H829,'HW Dx Data'!$E:$F,2,FALSE)</f>
        <v>335.32499146683239</v>
      </c>
      <c r="DG829" s="364"/>
      <c r="DH829" s="364"/>
      <c r="DI829" s="364"/>
      <c r="DJ829" s="56"/>
      <c r="DK829" s="53">
        <f>HLOOKUP(H829,'GDP-PI'!$8:$9,2,FALSE)</f>
        <v>76.346000000000004</v>
      </c>
      <c r="DL829" s="298"/>
      <c r="EC829"/>
    </row>
    <row r="830" spans="1:133" s="126" customFormat="1" ht="21" customHeight="1" x14ac:dyDescent="0.4">
      <c r="A830" s="233" t="s">
        <v>230</v>
      </c>
      <c r="B830" s="127" t="s">
        <v>230</v>
      </c>
      <c r="C830" s="127">
        <v>4004218</v>
      </c>
      <c r="D830" s="127" t="s">
        <v>231</v>
      </c>
      <c r="E830" s="127"/>
      <c r="F830" s="127"/>
      <c r="G830" s="127" t="s">
        <v>156</v>
      </c>
      <c r="H830" s="128">
        <v>2000</v>
      </c>
      <c r="I830" s="129"/>
      <c r="J830" s="125"/>
      <c r="K830" s="125"/>
      <c r="L830" s="47"/>
      <c r="M830" s="125"/>
      <c r="N830" s="125"/>
      <c r="O830" s="125"/>
      <c r="P830" s="47"/>
      <c r="Q830" s="47"/>
      <c r="R830" s="386"/>
      <c r="S830" s="119"/>
      <c r="T830" s="47"/>
      <c r="U830" s="47"/>
      <c r="V830" s="125"/>
      <c r="W830" s="125"/>
      <c r="X830" s="125"/>
      <c r="Y830" s="125"/>
      <c r="Z830" s="125"/>
      <c r="AA830" s="125"/>
      <c r="AB830" s="125"/>
      <c r="AC830" s="125">
        <f t="shared" si="1509"/>
        <v>0</v>
      </c>
      <c r="AD830" s="129"/>
      <c r="AE830" s="133">
        <v>9349.3477929109449</v>
      </c>
      <c r="AF830" s="134">
        <v>4.2194015111451544E-2</v>
      </c>
      <c r="AG830" s="61"/>
      <c r="AH830" s="134"/>
      <c r="AI830" s="134"/>
      <c r="AJ830" s="129">
        <f t="shared" si="1458"/>
        <v>0</v>
      </c>
      <c r="AK830" s="134"/>
      <c r="AL830" s="129"/>
      <c r="AM830" s="129"/>
      <c r="AN830" s="129"/>
      <c r="AO830" s="129"/>
      <c r="AP830" s="133"/>
      <c r="AQ830" s="134"/>
      <c r="AR830" s="93"/>
      <c r="AS830" s="93"/>
      <c r="AT830" s="93"/>
      <c r="AU830" s="93"/>
      <c r="AV830" s="93"/>
      <c r="AW830" s="134"/>
      <c r="AX830" s="62"/>
      <c r="AY830" s="93"/>
      <c r="AZ830" s="93"/>
      <c r="BA830" s="93"/>
      <c r="BB830" s="234">
        <f>IFERROR(INDEX('Total Customers'!$E$7:$AA$91,MATCH($C830,'Total Customers'!$C$7:$C$91,0),MATCH($G830,'Total Customers'!$E$5:$AA$5,0)),"NA")</f>
        <v>3746752</v>
      </c>
      <c r="BC830" s="269">
        <f t="shared" si="1420"/>
        <v>-1.3637675676582904E-2</v>
      </c>
      <c r="BD830" s="92"/>
      <c r="BE830" s="299" t="str">
        <f t="shared" si="1410"/>
        <v>PACIFIC GAS AND ELECTRIC COMPANY</v>
      </c>
      <c r="BF830" s="300">
        <f t="shared" si="1411"/>
        <v>4004218</v>
      </c>
      <c r="BG830" s="231" t="str">
        <f t="shared" si="1412"/>
        <v>CA</v>
      </c>
      <c r="BH830" s="231"/>
      <c r="BI830" s="231" t="str">
        <f t="shared" si="1413"/>
        <v>2000 Y</v>
      </c>
      <c r="BJ830" s="129"/>
      <c r="BK830" s="129"/>
      <c r="BL830" s="129">
        <f>INDEX('Dist. Plant Gas Additions'!$E$7:$AD$91,MATCH($C830,'Dist. Plant Gas Additions'!$C$7:$C$91,0),MATCH(Calculation!$G830,'Dist. Plant Gas Additions'!$E$5:$AD$5,0))</f>
        <v>150169</v>
      </c>
      <c r="BM830" s="129">
        <f>INDEX('Gen. Plant Additions'!$E$7:$AD$91,MATCH($C830,'Gen. Plant Additions'!$C$7:$C$91,0),MATCH(Calculation!$G830,'Gen. Plant Additions'!$E$5:$AD$5,0))</f>
        <v>-344</v>
      </c>
      <c r="BN830" s="301">
        <f t="shared" si="1510"/>
        <v>0.98330990280403796</v>
      </c>
      <c r="BO830" s="231">
        <f t="shared" si="1504"/>
        <v>-338.25860656458906</v>
      </c>
      <c r="BP830" s="231">
        <f t="shared" si="1505"/>
        <v>5.7413934354109415</v>
      </c>
      <c r="BQ830" s="129">
        <f>INDEX('Dist Plant Depreciation'!$D$7:$AC$94,MATCH($C830,'Dist Plant Depreciation'!$C$7:$C$94,0),MATCH(Calculation!$G830,'Dist Plant Depreciation'!$D$5:$AC$5,0))</f>
        <v>2352959</v>
      </c>
      <c r="BR830" s="129">
        <f>INDEX('Gen. Plant Depreciation'!$D$7:$AC$94,MATCH($C830,'Gen. Plant Depreciation'!$C$7:$C$94,0),MATCH(Calculation!$G830,'Gen. Plant Depreciation'!$D$5:$AC$5,0))</f>
        <v>21732</v>
      </c>
      <c r="BS830" s="129"/>
      <c r="BT830" s="129"/>
      <c r="BU830" s="129"/>
      <c r="BV830" s="129"/>
      <c r="BW830" s="129"/>
      <c r="BX830" s="137"/>
      <c r="BY830" s="129">
        <f>INDEX('Gross Dx Plant'!$D$7:$AC$91,MATCH($C830,'Gross Dx Plant'!$C$7:$C$91,0),MATCH(Calculation!$G830,'Gross Dx Plant'!$D$5:$AC$5,0))</f>
        <v>4023240</v>
      </c>
      <c r="BZ830" s="129">
        <f>INDEX('Gross Gen Plant'!$D$7:$AC$91,MATCH($C830,'Gross Gen Plant'!$C$7:$C$91,0),MATCH(Calculation!$G830,'Gross Gen Plant'!$D$5:$AC$5,0))</f>
        <v>68288</v>
      </c>
      <c r="CA830" s="129">
        <f t="shared" si="1457"/>
        <v>1716837</v>
      </c>
      <c r="CB830" s="129"/>
      <c r="CC830" s="133">
        <v>2000</v>
      </c>
      <c r="CD830" s="129"/>
      <c r="CE830" s="129"/>
      <c r="CF830" s="129"/>
      <c r="CG830" s="137"/>
      <c r="CH830" s="129">
        <f t="shared" si="1511"/>
        <v>149825</v>
      </c>
      <c r="CI830" s="46">
        <f t="shared" ref="CI830:CI852" si="1520">+CH830+BP830</f>
        <v>149830.7413934354</v>
      </c>
      <c r="CJ830" s="231">
        <f t="shared" si="1512"/>
        <v>432.3698782772185</v>
      </c>
      <c r="CK830" s="443">
        <v>0.98</v>
      </c>
      <c r="CL830" s="231">
        <f>+CL828*CK830+CJ829*CK829+CJ830</f>
        <v>9262.8834565415254</v>
      </c>
      <c r="CM830" s="134">
        <f t="shared" si="1513"/>
        <v>3.7569015311928675E-2</v>
      </c>
      <c r="CN830" s="135">
        <f t="shared" si="1514"/>
        <v>1.0181016441385221E-2</v>
      </c>
      <c r="CO830" s="135"/>
      <c r="CP830" s="134">
        <f>VLOOKUP($H830,RoR!$E:$F,2,FALSE)</f>
        <v>7.6225000000000001E-2</v>
      </c>
      <c r="CQ830" s="135">
        <v>2.2568307442433211E-2</v>
      </c>
      <c r="CR830" s="135">
        <f t="shared" ref="CR830:CR850" si="1521">+CP830-CQ830</f>
        <v>5.365669255756679E-2</v>
      </c>
      <c r="CS830" s="135"/>
      <c r="CT830" s="135"/>
      <c r="CU830" s="139">
        <f t="shared" si="1515"/>
        <v>0.84923979999999999</v>
      </c>
      <c r="CV830" s="335">
        <f t="shared" si="1516"/>
        <v>0.67277207323124022</v>
      </c>
      <c r="CW830" s="335">
        <f t="shared" si="1517"/>
        <v>0.6470236142997704</v>
      </c>
      <c r="CX830" s="335">
        <f t="shared" si="1518"/>
        <v>0.94704866037543145</v>
      </c>
      <c r="CY830" s="335">
        <f t="shared" si="1519"/>
        <v>0.41224973107878493</v>
      </c>
      <c r="CZ830" s="336">
        <f>INDEX('State Tax Lookup'!$D$7:$Z$91,MATCH(Calculation!$C830,'State Tax Lookup'!$B$7:$B$91,0),MATCH($H830,'State Tax Lookup'!$D$6:$Z$6,0))</f>
        <v>0.40745999999999999</v>
      </c>
      <c r="DA830" s="302">
        <v>0.37</v>
      </c>
      <c r="DB830" s="141"/>
      <c r="DC830" s="56"/>
      <c r="DD830" s="336">
        <v>7.6225000000000001E-2</v>
      </c>
      <c r="DE830" s="342">
        <v>2.2568307442433211E-2</v>
      </c>
      <c r="DF830" s="303">
        <f>VLOOKUP(H830,'HW Dx Data'!$E:$F,2,FALSE)</f>
        <v>346.53371782150339</v>
      </c>
      <c r="DG830" s="364"/>
      <c r="DH830" s="364"/>
      <c r="DI830" s="364"/>
      <c r="DJ830" s="56"/>
      <c r="DK830" s="53">
        <f>HLOOKUP(H830,'GDP-PI'!$8:$9,2,FALSE)</f>
        <v>78.069000000000003</v>
      </c>
      <c r="DL830" s="298"/>
      <c r="EC830"/>
    </row>
    <row r="831" spans="1:133" s="126" customFormat="1" ht="21" customHeight="1" x14ac:dyDescent="0.4">
      <c r="A831" s="233" t="s">
        <v>230</v>
      </c>
      <c r="B831" s="127" t="s">
        <v>230</v>
      </c>
      <c r="C831" s="127">
        <v>4004218</v>
      </c>
      <c r="D831" s="127" t="s">
        <v>231</v>
      </c>
      <c r="E831" s="127"/>
      <c r="F831" s="127"/>
      <c r="G831" s="127" t="s">
        <v>157</v>
      </c>
      <c r="H831" s="128">
        <v>2001</v>
      </c>
      <c r="I831" s="129"/>
      <c r="J831" s="125"/>
      <c r="K831" s="125"/>
      <c r="L831" s="47"/>
      <c r="M831" s="125"/>
      <c r="N831" s="125"/>
      <c r="O831" s="125"/>
      <c r="P831" s="47"/>
      <c r="Q831" s="47"/>
      <c r="R831" s="386"/>
      <c r="S831" s="119"/>
      <c r="T831" s="47"/>
      <c r="U831" s="47"/>
      <c r="V831" s="125"/>
      <c r="W831" s="125"/>
      <c r="X831" s="125"/>
      <c r="Y831" s="125"/>
      <c r="Z831" s="125"/>
      <c r="AA831" s="125"/>
      <c r="AB831" s="125"/>
      <c r="AC831" s="125">
        <f t="shared" si="1509"/>
        <v>120133.05140549663</v>
      </c>
      <c r="AD831" s="129"/>
      <c r="AE831" s="133">
        <v>9771.5205739234989</v>
      </c>
      <c r="AF831" s="134">
        <v>4.4165504890137881E-2</v>
      </c>
      <c r="AG831" s="61"/>
      <c r="AH831" s="134"/>
      <c r="AI831" s="134"/>
      <c r="AJ831" s="129">
        <f t="shared" si="1458"/>
        <v>120133.05140549663</v>
      </c>
      <c r="AK831" s="134"/>
      <c r="AL831" s="129"/>
      <c r="AM831" s="129"/>
      <c r="AN831" s="129"/>
      <c r="AO831" s="129"/>
      <c r="AP831" s="133"/>
      <c r="AQ831" s="134"/>
      <c r="AR831" s="93"/>
      <c r="AS831" s="93"/>
      <c r="AT831" s="93"/>
      <c r="AU831" s="93"/>
      <c r="AV831" s="93"/>
      <c r="AW831" s="134"/>
      <c r="AX831" s="62"/>
      <c r="AY831" s="93"/>
      <c r="AZ831" s="93"/>
      <c r="BA831" s="93"/>
      <c r="BB831" s="234">
        <f>IFERROR(INDEX('Total Customers'!$E$7:$AA$91,MATCH($C831,'Total Customers'!$C$7:$C$91,0),MATCH($G831,'Total Customers'!$E$5:$AA$5,0)),"NA")</f>
        <v>3907394</v>
      </c>
      <c r="BC831" s="269">
        <f t="shared" si="1420"/>
        <v>4.1981324287501953E-2</v>
      </c>
      <c r="BD831" s="92"/>
      <c r="BE831" s="299" t="str">
        <f t="shared" si="1410"/>
        <v>PACIFIC GAS AND ELECTRIC COMPANY</v>
      </c>
      <c r="BF831" s="300">
        <f t="shared" si="1411"/>
        <v>4004218</v>
      </c>
      <c r="BG831" s="231" t="str">
        <f t="shared" si="1412"/>
        <v>CA</v>
      </c>
      <c r="BH831" s="231"/>
      <c r="BI831" s="231" t="str">
        <f t="shared" si="1413"/>
        <v>2001 Y</v>
      </c>
      <c r="BJ831" s="129"/>
      <c r="BK831" s="129"/>
      <c r="BL831" s="129">
        <f>INDEX('Dist. Plant Gas Additions'!$E$7:$AD$91,MATCH($C831,'Dist. Plant Gas Additions'!$C$7:$C$91,0),MATCH(Calculation!$G831,'Dist. Plant Gas Additions'!$E$5:$AD$5,0))</f>
        <v>164978</v>
      </c>
      <c r="BM831" s="129">
        <f>INDEX('Gen. Plant Additions'!$E$7:$AD$91,MATCH($C831,'Gen. Plant Additions'!$C$7:$C$91,0),MATCH(Calculation!$G831,'Gen. Plant Additions'!$E$5:$AD$5,0))</f>
        <v>1023</v>
      </c>
      <c r="BN831" s="301">
        <f t="shared" si="1510"/>
        <v>0.98393331651361748</v>
      </c>
      <c r="BO831" s="231">
        <f t="shared" si="1504"/>
        <v>1006.5637827934307</v>
      </c>
      <c r="BP831" s="231">
        <f t="shared" si="1505"/>
        <v>-16.436217206569268</v>
      </c>
      <c r="BQ831" s="129">
        <f>INDEX('Dist Plant Depreciation'!$D$7:$AC$94,MATCH($C831,'Dist Plant Depreciation'!$C$7:$C$94,0),MATCH(Calculation!$G831,'Dist Plant Depreciation'!$D$5:$AC$5,0))</f>
        <v>2500812</v>
      </c>
      <c r="BR831" s="129">
        <f>INDEX('Gen. Plant Depreciation'!$D$7:$AC$94,MATCH($C831,'Gen. Plant Depreciation'!$C$7:$C$94,0),MATCH(Calculation!$G831,'Gen. Plant Depreciation'!$D$5:$AC$5,0))</f>
        <v>23112</v>
      </c>
      <c r="BS831" s="129"/>
      <c r="BT831" s="129"/>
      <c r="BU831" s="129"/>
      <c r="BV831" s="129"/>
      <c r="BW831" s="129"/>
      <c r="BX831" s="137"/>
      <c r="BY831" s="129">
        <f>INDEX('Gross Dx Plant'!$D$7:$AC$91,MATCH($C831,'Gross Dx Plant'!$C$7:$C$91,0),MATCH(Calculation!$G831,'Gross Dx Plant'!$D$5:$AC$5,0))</f>
        <v>4169015</v>
      </c>
      <c r="BZ831" s="129">
        <f>INDEX('Gross Gen Plant'!$D$7:$AC$91,MATCH($C831,'Gross Gen Plant'!$C$7:$C$91,0),MATCH(Calculation!$G831,'Gross Gen Plant'!$D$5:$AC$5,0))</f>
        <v>68076</v>
      </c>
      <c r="CA831" s="129">
        <f t="shared" si="1457"/>
        <v>1713167</v>
      </c>
      <c r="CB831" s="129"/>
      <c r="CC831" s="133">
        <v>2001</v>
      </c>
      <c r="CD831" s="129"/>
      <c r="CE831" s="129"/>
      <c r="CF831" s="129"/>
      <c r="CG831" s="137"/>
      <c r="CH831" s="129">
        <f t="shared" si="1511"/>
        <v>166001</v>
      </c>
      <c r="CI831" s="46">
        <f t="shared" si="1520"/>
        <v>165984.56378279344</v>
      </c>
      <c r="CJ831" s="231">
        <f t="shared" si="1512"/>
        <v>469.61605345805594</v>
      </c>
      <c r="CK831" s="443">
        <v>0.96969696969696972</v>
      </c>
      <c r="CL831" s="231">
        <f>+CL828*CK831+CJ829*CK830+CJ830*CK828+CJ831</f>
        <v>9639.8373985469516</v>
      </c>
      <c r="CM831" s="134">
        <f t="shared" si="1513"/>
        <v>3.9888852527353733E-2</v>
      </c>
      <c r="CN831" s="135">
        <f t="shared" si="1514"/>
        <v>1.0003592497667781E-2</v>
      </c>
      <c r="CO831" s="135">
        <f>+(CN831+CN830+CN829)/3</f>
        <v>1.002853301268759E-2</v>
      </c>
      <c r="CP831" s="134">
        <f>VLOOKUP($H831,RoR!$E:$F,2,FALSE)</f>
        <v>7.0824999999999999E-2</v>
      </c>
      <c r="CQ831" s="135">
        <v>2.2454495382290052E-2</v>
      </c>
      <c r="CR831" s="135">
        <f t="shared" si="1521"/>
        <v>4.8370504617709947E-2</v>
      </c>
      <c r="CS831" s="135">
        <f>+$CR$2-CO831</f>
        <v>2.0873408595846035E-2</v>
      </c>
      <c r="CT831" s="135">
        <f>+((DF829/DF828-1)+(DF830/DF829-1)+(DF831/DF830-1))/3</f>
        <v>2.3947275901631187E-2</v>
      </c>
      <c r="CU831" s="139">
        <f t="shared" si="1515"/>
        <v>0.84923979999999999</v>
      </c>
      <c r="CV831" s="335">
        <f t="shared" si="1516"/>
        <v>0.72406708481540816</v>
      </c>
      <c r="CW831" s="335">
        <f t="shared" si="1517"/>
        <v>0.62201729615248857</v>
      </c>
      <c r="CX831" s="335">
        <f t="shared" si="1518"/>
        <v>0.9352469954311422</v>
      </c>
      <c r="CY831" s="335">
        <f t="shared" si="1519"/>
        <v>0.42121864641655071</v>
      </c>
      <c r="CZ831" s="336">
        <f>INDEX('State Tax Lookup'!$D$7:$Z$91,MATCH(Calculation!$C831,'State Tax Lookup'!$B$7:$B$91,0),MATCH($H831,'State Tax Lookup'!$D$6:$Z$6,0))</f>
        <v>0.40745999999999999</v>
      </c>
      <c r="DA831" s="302">
        <v>0.37</v>
      </c>
      <c r="DB831" s="141">
        <v>12.969293197860292</v>
      </c>
      <c r="DC831" s="56"/>
      <c r="DD831" s="336">
        <v>7.0824999999999999E-2</v>
      </c>
      <c r="DE831" s="342">
        <v>2.2454495382290052E-2</v>
      </c>
      <c r="DF831" s="303">
        <f>VLOOKUP(H831,'HW Dx Data'!$E:$F,2,FALSE)</f>
        <v>353.44738017483138</v>
      </c>
      <c r="DG831" s="364"/>
      <c r="DH831" s="364"/>
      <c r="DI831" s="364"/>
      <c r="DJ831" s="56"/>
      <c r="DK831" s="53">
        <f>HLOOKUP(H831,'GDP-PI'!$8:$9,2,FALSE)</f>
        <v>79.822000000000003</v>
      </c>
      <c r="DL831" s="298"/>
      <c r="EC831"/>
    </row>
    <row r="832" spans="1:133" s="126" customFormat="1" ht="21" customHeight="1" x14ac:dyDescent="0.4">
      <c r="A832" s="233" t="s">
        <v>230</v>
      </c>
      <c r="B832" s="127" t="s">
        <v>230</v>
      </c>
      <c r="C832" s="127">
        <v>4004218</v>
      </c>
      <c r="D832" s="127" t="s">
        <v>231</v>
      </c>
      <c r="E832" s="127"/>
      <c r="F832" s="127"/>
      <c r="G832" s="127" t="s">
        <v>158</v>
      </c>
      <c r="H832" s="128">
        <v>2002</v>
      </c>
      <c r="I832" s="129"/>
      <c r="J832" s="125"/>
      <c r="K832" s="125"/>
      <c r="L832" s="47"/>
      <c r="M832" s="125"/>
      <c r="N832" s="125"/>
      <c r="O832" s="125"/>
      <c r="P832" s="47"/>
      <c r="Q832" s="47"/>
      <c r="R832" s="386"/>
      <c r="S832" s="119"/>
      <c r="T832" s="47"/>
      <c r="U832" s="47"/>
      <c r="V832" s="125"/>
      <c r="W832" s="125"/>
      <c r="X832" s="125"/>
      <c r="Y832" s="125"/>
      <c r="Z832" s="125"/>
      <c r="AA832" s="125"/>
      <c r="AB832" s="125"/>
      <c r="AC832" s="125">
        <f t="shared" si="1509"/>
        <v>126425.93531358891</v>
      </c>
      <c r="AD832" s="129"/>
      <c r="AE832" s="133">
        <v>10219.245227414849</v>
      </c>
      <c r="AF832" s="134">
        <v>4.4800638556015085E-2</v>
      </c>
      <c r="AG832" s="61"/>
      <c r="AH832" s="134"/>
      <c r="AI832" s="134"/>
      <c r="AJ832" s="129">
        <f t="shared" si="1458"/>
        <v>126425.93531358891</v>
      </c>
      <c r="AK832" s="134"/>
      <c r="AL832" s="129"/>
      <c r="AM832" s="129"/>
      <c r="AN832" s="129"/>
      <c r="AO832" s="129"/>
      <c r="AP832" s="133"/>
      <c r="AQ832" s="134"/>
      <c r="AR832" s="93"/>
      <c r="AS832" s="93"/>
      <c r="AT832" s="93"/>
      <c r="AU832" s="93"/>
      <c r="AV832" s="93"/>
      <c r="AW832" s="134"/>
      <c r="AX832" s="62"/>
      <c r="AY832" s="93"/>
      <c r="AZ832" s="93"/>
      <c r="BA832" s="93"/>
      <c r="BB832" s="234">
        <f>IFERROR(INDEX('Total Customers'!$E$7:$AA$91,MATCH($C832,'Total Customers'!$C$7:$C$91,0),MATCH($G832,'Total Customers'!$E$5:$AA$5,0)),"NA")</f>
        <v>3938727</v>
      </c>
      <c r="BC832" s="269">
        <f t="shared" si="1420"/>
        <v>7.9869190299550231E-3</v>
      </c>
      <c r="BD832" s="92"/>
      <c r="BE832" s="299" t="str">
        <f t="shared" si="1410"/>
        <v>PACIFIC GAS AND ELECTRIC COMPANY</v>
      </c>
      <c r="BF832" s="300">
        <f t="shared" si="1411"/>
        <v>4004218</v>
      </c>
      <c r="BG832" s="231" t="str">
        <f t="shared" si="1412"/>
        <v>CA</v>
      </c>
      <c r="BH832" s="231"/>
      <c r="BI832" s="231" t="str">
        <f t="shared" si="1413"/>
        <v>2002 Y</v>
      </c>
      <c r="BJ832" s="129"/>
      <c r="BK832" s="129"/>
      <c r="BL832" s="129">
        <f>INDEX('Dist. Plant Gas Additions'!$E$7:$AD$91,MATCH($C832,'Dist. Plant Gas Additions'!$C$7:$C$91,0),MATCH(Calculation!$G832,'Dist. Plant Gas Additions'!$E$5:$AD$5,0))</f>
        <v>178769</v>
      </c>
      <c r="BM832" s="129">
        <f>INDEX('Gen. Plant Additions'!$E$7:$AD$91,MATCH($C832,'Gen. Plant Additions'!$C$7:$C$91,0),MATCH(Calculation!$G832,'Gen. Plant Additions'!$E$5:$AD$5,0))</f>
        <v>3134</v>
      </c>
      <c r="BN832" s="301">
        <f t="shared" si="1510"/>
        <v>0.98432353104750792</v>
      </c>
      <c r="BO832" s="231">
        <f t="shared" si="1504"/>
        <v>3084.8699463028897</v>
      </c>
      <c r="BP832" s="231">
        <f t="shared" si="1505"/>
        <v>-49.13005369711027</v>
      </c>
      <c r="BQ832" s="129">
        <f>INDEX('Dist Plant Depreciation'!$D$7:$AC$94,MATCH($C832,'Dist Plant Depreciation'!$C$7:$C$94,0),MATCH(Calculation!$G832,'Dist Plant Depreciation'!$D$5:$AC$5,0))</f>
        <v>2659445</v>
      </c>
      <c r="BR832" s="129">
        <f>INDEX('Gen. Plant Depreciation'!$D$7:$AC$94,MATCH($C832,'Gen. Plant Depreciation'!$C$7:$C$94,0),MATCH(Calculation!$G832,'Gen. Plant Depreciation'!$D$5:$AC$5,0))</f>
        <v>23580</v>
      </c>
      <c r="BS832" s="129"/>
      <c r="BT832" s="129"/>
      <c r="BU832" s="129"/>
      <c r="BV832" s="129"/>
      <c r="BW832" s="129"/>
      <c r="BX832" s="137"/>
      <c r="BY832" s="129">
        <f>INDEX('Gross Dx Plant'!$D$7:$AC$91,MATCH($C832,'Gross Dx Plant'!$C$7:$C$91,0),MATCH(Calculation!$G832,'Gross Dx Plant'!$D$5:$AC$5,0))</f>
        <v>4336206</v>
      </c>
      <c r="BZ832" s="129">
        <f>INDEX('Gross Gen Plant'!$D$7:$AC$91,MATCH($C832,'Gross Gen Plant'!$C$7:$C$91,0),MATCH(Calculation!$G832,'Gross Gen Plant'!$D$5:$AC$5,0))</f>
        <v>69059</v>
      </c>
      <c r="CA832" s="129">
        <f t="shared" si="1457"/>
        <v>1722240</v>
      </c>
      <c r="CB832" s="129"/>
      <c r="CC832" s="133">
        <v>2002</v>
      </c>
      <c r="CD832" s="129"/>
      <c r="CE832" s="129"/>
      <c r="CF832" s="129"/>
      <c r="CG832" s="137"/>
      <c r="CH832" s="129">
        <f t="shared" si="1511"/>
        <v>181903</v>
      </c>
      <c r="CI832" s="46">
        <f t="shared" si="1520"/>
        <v>181853.8699463029</v>
      </c>
      <c r="CJ832" s="231">
        <f t="shared" si="1512"/>
        <v>503.26495936913915</v>
      </c>
      <c r="CK832" s="443">
        <v>0.95918367346938771</v>
      </c>
      <c r="CL832" s="231">
        <f>+CL828*CK832+CJ829*CK831+CJ830*CK830+CJ831*CK829+CJ832</f>
        <v>10035.253300655182</v>
      </c>
      <c r="CM832" s="134">
        <f t="shared" si="1513"/>
        <v>4.0199982539684216E-2</v>
      </c>
      <c r="CN832" s="135">
        <f t="shared" si="1514"/>
        <v>1.1187850251204976E-2</v>
      </c>
      <c r="CO832" s="135">
        <f t="shared" ref="CO832:CO852" si="1522">+(CN832+CN831+CN830)/3</f>
        <v>1.045748639675266E-2</v>
      </c>
      <c r="CP832" s="134">
        <f>VLOOKUP($H832,RoR!$E:$F,2,FALSE)</f>
        <v>6.4916666666666664E-2</v>
      </c>
      <c r="CQ832" s="135">
        <v>1.5246423291824351E-2</v>
      </c>
      <c r="CR832" s="135">
        <f t="shared" si="1521"/>
        <v>4.9670243374842313E-2</v>
      </c>
      <c r="CS832" s="135">
        <f t="shared" ref="CS832:CS852" si="1523">+$CR$2-CO832</f>
        <v>2.0444455211780965E-2</v>
      </c>
      <c r="CT832" s="135">
        <f t="shared" ref="CT832:CT852" si="1524">+((DF830/DF829-1)+(DF831/DF830-1)+(DF832/DF831-1))/3</f>
        <v>2.5243621214759093E-2</v>
      </c>
      <c r="CU832" s="139">
        <f t="shared" si="1515"/>
        <v>0.84923979999999999</v>
      </c>
      <c r="CV832" s="335">
        <f t="shared" si="1516"/>
        <v>0.78996741384417901</v>
      </c>
      <c r="CW832" s="335">
        <f t="shared" si="1517"/>
        <v>0.58989088575096271</v>
      </c>
      <c r="CX832" s="335">
        <f t="shared" si="1518"/>
        <v>0.91920675783645744</v>
      </c>
      <c r="CY832" s="335">
        <f t="shared" si="1519"/>
        <v>0.42834536472275586</v>
      </c>
      <c r="CZ832" s="336">
        <f>INDEX('State Tax Lookup'!$D$7:$Z$91,MATCH(Calculation!$C832,'State Tax Lookup'!$B$7:$B$91,0),MATCH($H832,'State Tax Lookup'!$D$6:$Z$6,0))</f>
        <v>0.40745999999999999</v>
      </c>
      <c r="DA832" s="302">
        <v>0.37</v>
      </c>
      <c r="DB832" s="141">
        <v>13.114944794882698</v>
      </c>
      <c r="DC832" s="56">
        <f t="shared" ref="DC832:DC850" si="1525">LN(DB832/DB831)</f>
        <v>1.1167902308678973E-2</v>
      </c>
      <c r="DD832" s="336">
        <v>6.4916666666666664E-2</v>
      </c>
      <c r="DE832" s="342">
        <v>1.5246423291824351E-2</v>
      </c>
      <c r="DF832" s="303">
        <f>VLOOKUP(H832,'HW Dx Data'!$E:$F,2,FALSE)</f>
        <v>361.34816573413599</v>
      </c>
      <c r="DG832" s="364"/>
      <c r="DH832" s="364"/>
      <c r="DI832" s="364"/>
      <c r="DJ832" s="56"/>
      <c r="DK832" s="53">
        <f>HLOOKUP(H832,'GDP-PI'!$8:$9,2,FALSE)</f>
        <v>81.039000000000001</v>
      </c>
      <c r="DL832" s="355">
        <f>LN(DK832/DK831)</f>
        <v>1.513136459537477E-2</v>
      </c>
      <c r="EC832"/>
    </row>
    <row r="833" spans="1:133" s="126" customFormat="1" ht="21" customHeight="1" x14ac:dyDescent="0.4">
      <c r="A833" s="233" t="s">
        <v>230</v>
      </c>
      <c r="B833" s="127" t="s">
        <v>230</v>
      </c>
      <c r="C833" s="127">
        <v>4004218</v>
      </c>
      <c r="D833" s="127" t="s">
        <v>231</v>
      </c>
      <c r="E833" s="127"/>
      <c r="F833" s="127"/>
      <c r="G833" s="127" t="s">
        <v>159</v>
      </c>
      <c r="H833" s="128">
        <v>2003</v>
      </c>
      <c r="I833" s="129"/>
      <c r="J833" s="125"/>
      <c r="K833" s="125"/>
      <c r="L833" s="47"/>
      <c r="M833" s="125"/>
      <c r="N833" s="125"/>
      <c r="O833" s="125"/>
      <c r="P833" s="59"/>
      <c r="Q833" s="59"/>
      <c r="R833" s="386"/>
      <c r="S833" s="119"/>
      <c r="T833" s="59"/>
      <c r="U833" s="59"/>
      <c r="V833" s="125"/>
      <c r="W833" s="125"/>
      <c r="X833" s="125"/>
      <c r="Y833" s="125"/>
      <c r="Z833" s="125"/>
      <c r="AA833" s="125"/>
      <c r="AB833" s="125"/>
      <c r="AC833" s="125">
        <f t="shared" si="1509"/>
        <v>133737.46676185733</v>
      </c>
      <c r="AD833" s="129"/>
      <c r="AE833" s="133">
        <v>10630.782528797192</v>
      </c>
      <c r="AF833" s="134">
        <v>3.9481075226242383E-2</v>
      </c>
      <c r="AG833" s="61"/>
      <c r="AH833" s="134"/>
      <c r="AI833" s="134"/>
      <c r="AJ833" s="129">
        <f t="shared" si="1458"/>
        <v>133737.46676185733</v>
      </c>
      <c r="AK833" s="134"/>
      <c r="AL833" s="129"/>
      <c r="AM833" s="129"/>
      <c r="AN833" s="129"/>
      <c r="AO833" s="129"/>
      <c r="AP833" s="133"/>
      <c r="AQ833" s="134"/>
      <c r="AR833" s="93"/>
      <c r="AS833" s="93"/>
      <c r="AT833" s="93"/>
      <c r="AU833" s="93"/>
      <c r="AV833" s="93"/>
      <c r="AW833" s="134"/>
      <c r="AX833" s="62"/>
      <c r="AY833" s="93"/>
      <c r="AZ833" s="93"/>
      <c r="BA833" s="93"/>
      <c r="BB833" s="234">
        <f>IFERROR(INDEX('Total Customers'!$E$7:$AA$91,MATCH($C833,'Total Customers'!$C$7:$C$91,0),MATCH($G833,'Total Customers'!$E$5:$AA$5,0)),"NA")</f>
        <v>3954719</v>
      </c>
      <c r="BC833" s="269">
        <f t="shared" si="1420"/>
        <v>4.0519747345786226E-3</v>
      </c>
      <c r="BD833" s="92"/>
      <c r="BE833" s="299" t="str">
        <f t="shared" si="1410"/>
        <v>PACIFIC GAS AND ELECTRIC COMPANY</v>
      </c>
      <c r="BF833" s="300">
        <f t="shared" si="1411"/>
        <v>4004218</v>
      </c>
      <c r="BG833" s="231" t="str">
        <f t="shared" si="1412"/>
        <v>CA</v>
      </c>
      <c r="BH833" s="231"/>
      <c r="BI833" s="231" t="str">
        <f t="shared" si="1413"/>
        <v>2003 Y</v>
      </c>
      <c r="BJ833" s="129"/>
      <c r="BK833" s="129"/>
      <c r="BL833" s="129">
        <f>INDEX('Dist. Plant Gas Additions'!$E$7:$AD$91,MATCH($C833,'Dist. Plant Gas Additions'!$C$7:$C$91,0),MATCH(Calculation!$G833,'Dist. Plant Gas Additions'!$E$5:$AD$5,0))</f>
        <v>171847</v>
      </c>
      <c r="BM833" s="129">
        <f>INDEX('Gen. Plant Additions'!$E$7:$AD$91,MATCH($C833,'Gen. Plant Additions'!$C$7:$C$91,0),MATCH(Calculation!$G833,'Gen. Plant Additions'!$E$5:$AD$5,0))</f>
        <v>1419</v>
      </c>
      <c r="BN833" s="301">
        <f t="shared" si="1510"/>
        <v>0.98485115150337044</v>
      </c>
      <c r="BO833" s="231">
        <f t="shared" si="1504"/>
        <v>1397.5037839832826</v>
      </c>
      <c r="BP833" s="231">
        <f t="shared" si="1505"/>
        <v>-21.496216016717426</v>
      </c>
      <c r="BQ833" s="129">
        <f>INDEX('Dist Plant Depreciation'!$D$7:$AC$94,MATCH($C833,'Dist Plant Depreciation'!$C$7:$C$94,0),MATCH(Calculation!$G833,'Dist Plant Depreciation'!$D$5:$AC$5,0))</f>
        <v>1863258</v>
      </c>
      <c r="BR833" s="129">
        <f>INDEX('Gen. Plant Depreciation'!$D$7:$AC$94,MATCH($C833,'Gen. Plant Depreciation'!$C$7:$C$94,0),MATCH(Calculation!$G833,'Gen. Plant Depreciation'!$D$5:$AC$5,0))</f>
        <v>24396</v>
      </c>
      <c r="BS833" s="129"/>
      <c r="BT833" s="129"/>
      <c r="BU833" s="129"/>
      <c r="BV833" s="129"/>
      <c r="BW833" s="129"/>
      <c r="BX833" s="137"/>
      <c r="BY833" s="129">
        <f>INDEX('Gross Dx Plant'!$D$7:$AC$91,MATCH($C833,'Gross Dx Plant'!$C$7:$C$91,0),MATCH(Calculation!$G833,'Gross Dx Plant'!$D$5:$AC$5,0))</f>
        <v>4498999</v>
      </c>
      <c r="BZ833" s="129">
        <f>INDEX('Gross Gen Plant'!$D$7:$AC$91,MATCH($C833,'Gross Gen Plant'!$C$7:$C$91,0),MATCH(Calculation!$G833,'Gross Gen Plant'!$D$5:$AC$5,0))</f>
        <v>69203</v>
      </c>
      <c r="CA833" s="129">
        <f t="shared" ref="CA833:CA875" si="1526">IF(OR(BQ833="NA",BR833="NA"),"NA",(SUM(BY833:BZ833)-SUM(BQ833:BR833)))</f>
        <v>2680548</v>
      </c>
      <c r="CB833" s="129"/>
      <c r="CC833" s="133">
        <v>2003</v>
      </c>
      <c r="CD833" s="129"/>
      <c r="CE833" s="129"/>
      <c r="CF833" s="129"/>
      <c r="CG833" s="137"/>
      <c r="CH833" s="129">
        <f t="shared" si="1511"/>
        <v>173266</v>
      </c>
      <c r="CI833" s="46">
        <f t="shared" si="1520"/>
        <v>173244.50378398329</v>
      </c>
      <c r="CJ833" s="231">
        <f t="shared" si="1512"/>
        <v>469.20101573695672</v>
      </c>
      <c r="CK833" s="443">
        <v>0.94845360824742264</v>
      </c>
      <c r="CL833" s="231">
        <f>+CL828*CK833+CJ829*CK832+CJ830*CK831+CJ831*CK830+CJ832*CK829+CJ833</f>
        <v>10393.773824171125</v>
      </c>
      <c r="CM833" s="134">
        <f t="shared" si="1513"/>
        <v>3.5102732470426244E-2</v>
      </c>
      <c r="CN833" s="135">
        <f t="shared" si="1514"/>
        <v>1.1029167765380448E-2</v>
      </c>
      <c r="CO833" s="135">
        <f t="shared" si="1522"/>
        <v>1.0740203504751069E-2</v>
      </c>
      <c r="CP833" s="134">
        <f>VLOOKUP($H833,RoR!$E:$F,2,FALSE)</f>
        <v>5.6666666666666671E-2</v>
      </c>
      <c r="CQ833" s="135">
        <v>1.8855119140166909E-2</v>
      </c>
      <c r="CR833" s="135">
        <f t="shared" si="1521"/>
        <v>3.7811547526499761E-2</v>
      </c>
      <c r="CS833" s="135">
        <f t="shared" si="1523"/>
        <v>2.0161738103782557E-2</v>
      </c>
      <c r="CT833" s="135">
        <f t="shared" si="1524"/>
        <v>2.1375012817671957E-2</v>
      </c>
      <c r="CU833" s="139">
        <f t="shared" si="1515"/>
        <v>0.84923979999999999</v>
      </c>
      <c r="CV833" s="335">
        <f t="shared" si="1516"/>
        <v>0.90497737556561086</v>
      </c>
      <c r="CW833" s="335">
        <f t="shared" si="1517"/>
        <v>0.5338235294117647</v>
      </c>
      <c r="CX833" s="335">
        <f t="shared" si="1518"/>
        <v>0.88972433127405692</v>
      </c>
      <c r="CY833" s="335">
        <f t="shared" si="1519"/>
        <v>0.42982423775949252</v>
      </c>
      <c r="CZ833" s="336">
        <f>INDEX('State Tax Lookup'!$D$7:$Z$91,MATCH(Calculation!$C833,'State Tax Lookup'!$B$7:$B$91,0),MATCH($H833,'State Tax Lookup'!$D$6:$Z$6,0))</f>
        <v>0.40745999999999999</v>
      </c>
      <c r="DA833" s="302">
        <v>0.37</v>
      </c>
      <c r="DB833" s="141">
        <v>13.326765429341567</v>
      </c>
      <c r="DC833" s="56">
        <f t="shared" si="1525"/>
        <v>1.6022047284046107E-2</v>
      </c>
      <c r="DD833" s="336">
        <v>5.6666666666666671E-2</v>
      </c>
      <c r="DE833" s="342">
        <v>1.8855119140166909E-2</v>
      </c>
      <c r="DF833" s="303">
        <f>VLOOKUP(H833,'HW Dx Data'!$E:$F,2,FALSE)</f>
        <v>369.23301095560191</v>
      </c>
      <c r="DG833" s="364">
        <f ca="1">VLOOKUP(CC833,'ECI - Input Price'!M$13:N$33,2,FALSE)</f>
        <v>89.25</v>
      </c>
      <c r="DH833" s="364"/>
      <c r="DI833" s="364"/>
      <c r="DJ833" s="56"/>
      <c r="DK833" s="53">
        <f>HLOOKUP(H833,'GDP-PI'!$8:$9,2,FALSE)</f>
        <v>82.566999999999993</v>
      </c>
      <c r="DL833" s="355">
        <f t="shared" ref="DL833:DL852" si="1527">LN(DK833/DK832)</f>
        <v>1.8679564681853753E-2</v>
      </c>
      <c r="EC833"/>
    </row>
    <row r="834" spans="1:133" s="126" customFormat="1" ht="21" customHeight="1" x14ac:dyDescent="0.4">
      <c r="A834" s="233" t="s">
        <v>230</v>
      </c>
      <c r="B834" s="127" t="s">
        <v>230</v>
      </c>
      <c r="C834" s="127">
        <v>4004218</v>
      </c>
      <c r="D834" s="127" t="s">
        <v>231</v>
      </c>
      <c r="E834" s="127"/>
      <c r="F834" s="127"/>
      <c r="G834" s="127" t="s">
        <v>160</v>
      </c>
      <c r="H834" s="128">
        <v>2004</v>
      </c>
      <c r="I834" s="129"/>
      <c r="J834" s="125">
        <f>IFERROR(INDEX('Labor Expenditures'!$E$7:$W$91,MATCH($C834,'Labor Expenditures'!$C$7:$C$91,0),MATCH($G834,'Labor Expenditures'!$E$5:$W$5,0)),"NA")</f>
        <v>172696.34960420371</v>
      </c>
      <c r="K834" s="125">
        <f t="shared" ref="K834:K852" ca="1" si="1528">+J834/DG834</f>
        <v>1830.3799640085185</v>
      </c>
      <c r="L834" s="47"/>
      <c r="M834" s="131"/>
      <c r="N834" s="131"/>
      <c r="O834" s="131"/>
      <c r="P834" s="59"/>
      <c r="Q834" s="59"/>
      <c r="R834" s="386"/>
      <c r="S834" s="119"/>
      <c r="T834" s="59"/>
      <c r="U834" s="59"/>
      <c r="V834" s="125">
        <f>IFERROR(INDEX('Non-Labor Expenditures'!$E$7:$AA$91,MATCH($C834,'Non-Labor Expenditures'!$C$7:$C$91,0),MATCH($G834,'Non-Labor Expenditures'!$E$5:$AA$5,0)),"NA")</f>
        <v>250096.56945572305</v>
      </c>
      <c r="W834" s="125">
        <f t="shared" ref="W834:W852" si="1529">+V834/DK834</f>
        <v>2950.0173329840645</v>
      </c>
      <c r="X834" s="125"/>
      <c r="Y834" s="125"/>
      <c r="Z834" s="125"/>
      <c r="AA834" s="125"/>
      <c r="AB834" s="125"/>
      <c r="AC834" s="125">
        <f t="shared" si="1509"/>
        <v>153398.8016222314</v>
      </c>
      <c r="AD834" s="129"/>
      <c r="AE834" s="133">
        <v>10982.808134453637</v>
      </c>
      <c r="AF834" s="134">
        <v>3.2577348562050093E-2</v>
      </c>
      <c r="AG834" s="59">
        <f t="shared" ref="AG834:AG852" si="1530">+AF834*$AX834</f>
        <v>0</v>
      </c>
      <c r="AH834" s="134"/>
      <c r="AI834" s="134"/>
      <c r="AJ834" s="129">
        <f t="shared" si="1458"/>
        <v>576191.72068215813</v>
      </c>
      <c r="AK834" s="134"/>
      <c r="AL834" s="129"/>
      <c r="AM834" s="129"/>
      <c r="AN834" s="129"/>
      <c r="AO834" s="129"/>
      <c r="AP834" s="133"/>
      <c r="AQ834" s="134"/>
      <c r="AR834" s="93">
        <f t="shared" ref="AR834:AR852" si="1531">+J834/AJ834</f>
        <v>0.29972028997526567</v>
      </c>
      <c r="AS834" s="93">
        <f t="shared" ref="AS834:AS852" si="1532">+V834/AJ834</f>
        <v>0.4340509599124952</v>
      </c>
      <c r="AT834" s="93">
        <f t="shared" ref="AT834:AT852" si="1533">+AC834/AJ834</f>
        <v>0.26622875011223918</v>
      </c>
      <c r="AU834" s="93"/>
      <c r="AV834" s="93"/>
      <c r="AW834" s="134"/>
      <c r="AX834" s="62"/>
      <c r="AY834" s="93"/>
      <c r="AZ834" s="93"/>
      <c r="BA834" s="93"/>
      <c r="BB834" s="234">
        <f>IFERROR(INDEX('Total Customers'!$E$7:$AA$91,MATCH($C834,'Total Customers'!$C$7:$C$91,0),MATCH($G834,'Total Customers'!$E$5:$AA$5,0)),"NA")</f>
        <v>4030373</v>
      </c>
      <c r="BC834" s="269">
        <f t="shared" si="1420"/>
        <v>1.8949378116012383E-2</v>
      </c>
      <c r="BD834" s="92"/>
      <c r="BE834" s="299" t="str">
        <f t="shared" si="1410"/>
        <v>PACIFIC GAS AND ELECTRIC COMPANY</v>
      </c>
      <c r="BF834" s="300">
        <f t="shared" si="1411"/>
        <v>4004218</v>
      </c>
      <c r="BG834" s="231" t="str">
        <f t="shared" si="1412"/>
        <v>CA</v>
      </c>
      <c r="BH834" s="231"/>
      <c r="BI834" s="231" t="str">
        <f t="shared" si="1413"/>
        <v>2004 Y</v>
      </c>
      <c r="BJ834" s="129"/>
      <c r="BK834" s="129"/>
      <c r="BL834" s="129">
        <f>INDEX('Dist. Plant Gas Additions'!$E$7:$AD$91,MATCH($C834,'Dist. Plant Gas Additions'!$C$7:$C$91,0),MATCH(Calculation!$G834,'Dist. Plant Gas Additions'!$E$5:$AD$5,0))</f>
        <v>170384</v>
      </c>
      <c r="BM834" s="129">
        <f>INDEX('Gen. Plant Additions'!$E$7:$AD$91,MATCH($C834,'Gen. Plant Additions'!$C$7:$C$91,0),MATCH(Calculation!$G834,'Gen. Plant Additions'!$E$5:$AD$5,0))</f>
        <v>1351</v>
      </c>
      <c r="BN834" s="301">
        <f t="shared" si="1510"/>
        <v>0.98543687462443974</v>
      </c>
      <c r="BO834" s="231">
        <f t="shared" si="1504"/>
        <v>1331.3252176176181</v>
      </c>
      <c r="BP834" s="231">
        <f t="shared" si="1505"/>
        <v>-19.674782382381863</v>
      </c>
      <c r="BQ834" s="129">
        <f>INDEX('Dist Plant Depreciation'!$D$7:$AC$94,MATCH($C834,'Dist Plant Depreciation'!$C$7:$C$94,0),MATCH(Calculation!$G834,'Dist Plant Depreciation'!$D$5:$AC$5,0))</f>
        <v>2860618</v>
      </c>
      <c r="BR834" s="129">
        <f>INDEX('Gen. Plant Depreciation'!$D$7:$AC$94,MATCH($C834,'Gen. Plant Depreciation'!$C$7:$C$94,0),MATCH(Calculation!$G834,'Gen. Plant Depreciation'!$D$5:$AC$5,0))</f>
        <v>25631</v>
      </c>
      <c r="BS834" s="129"/>
      <c r="BT834" s="129"/>
      <c r="BU834" s="129"/>
      <c r="BV834" s="129"/>
      <c r="BW834" s="129"/>
      <c r="BX834" s="137"/>
      <c r="BY834" s="129">
        <f>INDEX('Gross Dx Plant'!$D$7:$AC$91,MATCH($C834,'Gross Dx Plant'!$C$7:$C$91,0),MATCH(Calculation!$G834,'Gross Dx Plant'!$D$5:$AC$5,0))</f>
        <v>4634484</v>
      </c>
      <c r="BZ834" s="129">
        <f>INDEX('Gross Gen Plant'!$D$7:$AC$91,MATCH($C834,'Gross Gen Plant'!$C$7:$C$91,0),MATCH(Calculation!$G834,'Gross Gen Plant'!$D$5:$AC$5,0))</f>
        <v>68490</v>
      </c>
      <c r="CA834" s="129">
        <f t="shared" si="1526"/>
        <v>1816725</v>
      </c>
      <c r="CB834" s="129"/>
      <c r="CC834" s="133">
        <v>2004</v>
      </c>
      <c r="CD834" s="129"/>
      <c r="CE834" s="129"/>
      <c r="CF834" s="129"/>
      <c r="CG834" s="137"/>
      <c r="CH834" s="129">
        <f t="shared" si="1511"/>
        <v>171735</v>
      </c>
      <c r="CI834" s="46">
        <f t="shared" si="1520"/>
        <v>171715.32521761762</v>
      </c>
      <c r="CJ834" s="231">
        <f t="shared" si="1512"/>
        <v>413.88437338334921</v>
      </c>
      <c r="CK834" s="443">
        <v>0.9375</v>
      </c>
      <c r="CL834" s="231">
        <f>+CL828*CK834+CJ829*CK833+CJ830*CK832+CJ831*CK831+CJ832*CK830+CJ833*CK829+CJ834</f>
        <v>10690.036626534868</v>
      </c>
      <c r="CM834" s="134">
        <f t="shared" si="1513"/>
        <v>2.8105195154161419E-2</v>
      </c>
      <c r="CN834" s="135">
        <f t="shared" si="1514"/>
        <v>1.1316541326507711E-2</v>
      </c>
      <c r="CO834" s="135">
        <f t="shared" si="1522"/>
        <v>1.1177853114364379E-2</v>
      </c>
      <c r="CP834" s="134">
        <f>VLOOKUP($H834,RoR!$E:$F,2,FALSE)</f>
        <v>5.6283333333333331E-2</v>
      </c>
      <c r="CQ834" s="135">
        <v>2.6778252812867276E-2</v>
      </c>
      <c r="CR834" s="135">
        <f t="shared" si="1521"/>
        <v>2.9505080520466055E-2</v>
      </c>
      <c r="CS834" s="135">
        <f t="shared" si="1523"/>
        <v>1.9724088494169248E-2</v>
      </c>
      <c r="CT834" s="135">
        <f t="shared" si="1524"/>
        <v>5.5940039414565046E-2</v>
      </c>
      <c r="CU834" s="139">
        <f t="shared" si="1515"/>
        <v>0.84923979999999999</v>
      </c>
      <c r="CV834" s="335">
        <f t="shared" si="1516"/>
        <v>0.91114097628755619</v>
      </c>
      <c r="CW834" s="335">
        <f t="shared" si="1517"/>
        <v>0.53081877405981637</v>
      </c>
      <c r="CX834" s="335">
        <f t="shared" si="1518"/>
        <v>0.88811215519385678</v>
      </c>
      <c r="CY834" s="335">
        <f t="shared" si="1519"/>
        <v>0.42953609753547711</v>
      </c>
      <c r="CZ834" s="336">
        <f>INDEX('State Tax Lookup'!$D$7:$Z$91,MATCH(Calculation!$C834,'State Tax Lookup'!$B$7:$B$91,0),MATCH($H834,'State Tax Lookup'!$D$6:$Z$6,0))</f>
        <v>0.40745999999999999</v>
      </c>
      <c r="DA834" s="302">
        <v>0.37</v>
      </c>
      <c r="DB834" s="141">
        <v>14.758720385611674</v>
      </c>
      <c r="DC834" s="56">
        <f t="shared" si="1525"/>
        <v>0.10205966938960949</v>
      </c>
      <c r="DD834" s="336">
        <v>5.6283333333333331E-2</v>
      </c>
      <c r="DE834" s="342">
        <v>2.6778252812867276E-2</v>
      </c>
      <c r="DF834" s="303">
        <f>VLOOKUP(H834,'HW Dx Data'!$E:$F,2,FALSE)</f>
        <v>414.88719135228365</v>
      </c>
      <c r="DG834" s="364">
        <f ca="1">VLOOKUP(CC834,'ECI - Input Price'!M$13:N$33,2,FALSE)</f>
        <v>94.35</v>
      </c>
      <c r="DH834" s="364"/>
      <c r="DI834" s="364"/>
      <c r="DJ834" s="56">
        <f t="shared" ref="DJ834:DJ852" ca="1" si="1534">LN(DG834/DG833)</f>
        <v>5.5569851154810786E-2</v>
      </c>
      <c r="DK834" s="53">
        <f>HLOOKUP(H834,'GDP-PI'!$8:$9,2,FALSE)</f>
        <v>84.778000000000006</v>
      </c>
      <c r="DL834" s="355">
        <f t="shared" si="1527"/>
        <v>2.6425990216022755E-2</v>
      </c>
      <c r="EC834"/>
    </row>
    <row r="835" spans="1:133" s="126" customFormat="1" ht="21" customHeight="1" x14ac:dyDescent="0.4">
      <c r="A835" s="233" t="s">
        <v>230</v>
      </c>
      <c r="B835" s="127" t="s">
        <v>230</v>
      </c>
      <c r="C835" s="127">
        <v>4004218</v>
      </c>
      <c r="D835" s="127" t="s">
        <v>231</v>
      </c>
      <c r="E835" s="127"/>
      <c r="F835" s="127"/>
      <c r="G835" s="127" t="s">
        <v>161</v>
      </c>
      <c r="H835" s="128">
        <v>2005</v>
      </c>
      <c r="I835" s="129"/>
      <c r="J835" s="125">
        <f>IFERROR(INDEX('Labor Expenditures'!$E$7:$W$91,MATCH($C835,'Labor Expenditures'!$C$7:$C$91,0),MATCH($G835,'Labor Expenditures'!$E$5:$W$5,0)),"NA")</f>
        <v>215708.0005698051</v>
      </c>
      <c r="K835" s="125">
        <f t="shared" ca="1" si="1528"/>
        <v>2173.927947289545</v>
      </c>
      <c r="L835" s="47"/>
      <c r="M835" s="131">
        <f t="shared" ref="M835:M851" ca="1" si="1535">LN(K835/K834)</f>
        <v>0.17201206932186019</v>
      </c>
      <c r="N835" s="131"/>
      <c r="O835" s="131"/>
      <c r="P835" s="59"/>
      <c r="Q835" s="61"/>
      <c r="R835" s="387"/>
      <c r="S835" s="49">
        <v>100</v>
      </c>
      <c r="T835" s="46"/>
      <c r="U835" s="46"/>
      <c r="V835" s="125">
        <f>IFERROR(INDEX('Non-Labor Expenditures'!$E$7:$AA$91,MATCH($C835,'Non-Labor Expenditures'!$C$7:$C$91,0),MATCH($G835,'Non-Labor Expenditures'!$E$5:$AA$5,0)),"NA")</f>
        <v>312385.47352218168</v>
      </c>
      <c r="W835" s="125">
        <f t="shared" si="1529"/>
        <v>3573.9182619490625</v>
      </c>
      <c r="X835" s="131">
        <f>LN(W835/W834)</f>
        <v>0.19185150036569643</v>
      </c>
      <c r="Y835" s="131"/>
      <c r="Z835" s="131"/>
      <c r="AA835" s="131"/>
      <c r="AB835" s="131"/>
      <c r="AC835" s="125">
        <f t="shared" si="1509"/>
        <v>177790.08683366844</v>
      </c>
      <c r="AD835" s="129"/>
      <c r="AE835" s="133">
        <v>11320.763889037349</v>
      </c>
      <c r="AF835" s="134">
        <v>3.0307398528814328E-2</v>
      </c>
      <c r="AG835" s="59">
        <f t="shared" si="1530"/>
        <v>0</v>
      </c>
      <c r="AH835" s="134"/>
      <c r="AI835" s="134"/>
      <c r="AJ835" s="129">
        <f t="shared" si="1458"/>
        <v>705883.56092565518</v>
      </c>
      <c r="AK835" s="134">
        <f>LN(AJ835/AJ834)</f>
        <v>0.20300984230312807</v>
      </c>
      <c r="AL835" s="129"/>
      <c r="AM835" s="129"/>
      <c r="AN835" s="129"/>
      <c r="AO835" s="129"/>
      <c r="AP835" s="133"/>
      <c r="AQ835" s="134"/>
      <c r="AR835" s="93">
        <f t="shared" si="1531"/>
        <v>0.30558581118809169</v>
      </c>
      <c r="AS835" s="93">
        <f t="shared" si="1532"/>
        <v>0.44254533015691327</v>
      </c>
      <c r="AT835" s="93">
        <f t="shared" si="1533"/>
        <v>0.25186885865499503</v>
      </c>
      <c r="AU835" s="93">
        <f t="shared" ref="AU835:AU851" ca="1" si="1536">+(((AR835+AR834)/2)*M835+((AS834+AS835)/2)*X835+((AT834+AT835)/2)*AF835)</f>
        <v>0.14399922960240494</v>
      </c>
      <c r="AV835" s="132">
        <v>100</v>
      </c>
      <c r="AW835" s="134"/>
      <c r="AX835" s="15"/>
      <c r="AY835" s="93"/>
      <c r="AZ835" s="93"/>
      <c r="BA835" s="93"/>
      <c r="BB835" s="234">
        <f>IFERROR(INDEX('Total Customers'!$E$7:$AA$91,MATCH($C835,'Total Customers'!$C$7:$C$91,0),MATCH($G835,'Total Customers'!$E$5:$AA$5,0)),"NA")</f>
        <v>4128646</v>
      </c>
      <c r="BC835" s="269">
        <f t="shared" si="1420"/>
        <v>2.4090580676858746E-2</v>
      </c>
      <c r="BD835" s="92"/>
      <c r="BE835" s="299" t="str">
        <f t="shared" ref="BE835:BE898" si="1537">A835</f>
        <v>PACIFIC GAS AND ELECTRIC COMPANY</v>
      </c>
      <c r="BF835" s="300">
        <f t="shared" ref="BF835:BF898" si="1538">C835</f>
        <v>4004218</v>
      </c>
      <c r="BG835" s="231" t="str">
        <f t="shared" ref="BG835:BG898" si="1539">D835</f>
        <v>CA</v>
      </c>
      <c r="BH835" s="231"/>
      <c r="BI835" s="231" t="str">
        <f t="shared" ref="BI835:BI898" si="1540">G835</f>
        <v>2005 Y</v>
      </c>
      <c r="BJ835" s="129"/>
      <c r="BK835" s="129"/>
      <c r="BL835" s="129">
        <f>INDEX('Dist. Plant Gas Additions'!$E$7:$AD$91,MATCH($C835,'Dist. Plant Gas Additions'!$C$7:$C$91,0),MATCH(Calculation!$G835,'Dist. Plant Gas Additions'!$E$5:$AD$5,0))</f>
        <v>188063</v>
      </c>
      <c r="BM835" s="129">
        <f>INDEX('Gen. Plant Additions'!$E$7:$AD$91,MATCH($C835,'Gen. Plant Additions'!$C$7:$C$91,0),MATCH(Calculation!$G835,'Gen. Plant Additions'!$E$5:$AD$5,0))</f>
        <v>1464</v>
      </c>
      <c r="BN835" s="301">
        <f t="shared" si="1510"/>
        <v>0.98608421635014376</v>
      </c>
      <c r="BO835" s="231">
        <f t="shared" si="1504"/>
        <v>1443.6272927366106</v>
      </c>
      <c r="BP835" s="231">
        <f t="shared" si="1505"/>
        <v>-20.372707263389429</v>
      </c>
      <c r="BQ835" s="129">
        <f>INDEX('Dist Plant Depreciation'!$D$7:$AC$94,MATCH($C835,'Dist Plant Depreciation'!$C$7:$C$94,0),MATCH(Calculation!$G835,'Dist Plant Depreciation'!$D$5:$AC$5,0))</f>
        <v>3005126</v>
      </c>
      <c r="BR835" s="129">
        <f>INDEX('Gen. Plant Depreciation'!$D$7:$AC$94,MATCH($C835,'Gen. Plant Depreciation'!$C$7:$C$94,0),MATCH(Calculation!$G835,'Gen. Plant Depreciation'!$D$5:$AC$5,0))</f>
        <v>26337</v>
      </c>
      <c r="BS835" s="129"/>
      <c r="BT835" s="129"/>
      <c r="BU835" s="129"/>
      <c r="BV835" s="129"/>
      <c r="BW835" s="129"/>
      <c r="BX835" s="137"/>
      <c r="BY835" s="129">
        <f>INDEX('Gross Dx Plant'!$D$7:$AC$91,MATCH($C835,'Gross Dx Plant'!$C$7:$C$91,0),MATCH(Calculation!$G835,'Gross Dx Plant'!$D$5:$AC$5,0))</f>
        <v>4837174</v>
      </c>
      <c r="BZ835" s="129">
        <f>INDEX('Gross Gen Plant'!$D$7:$AC$91,MATCH($C835,'Gross Gen Plant'!$C$7:$C$91,0),MATCH(Calculation!$G835,'Gross Gen Plant'!$D$5:$AC$5,0))</f>
        <v>68263</v>
      </c>
      <c r="CA835" s="129">
        <f t="shared" si="1526"/>
        <v>1873974</v>
      </c>
      <c r="CB835" s="129"/>
      <c r="CC835" s="133">
        <v>2005</v>
      </c>
      <c r="CD835" s="129"/>
      <c r="CE835" s="129"/>
      <c r="CF835" s="129"/>
      <c r="CG835" s="137"/>
      <c r="CH835" s="129">
        <f t="shared" si="1511"/>
        <v>189527</v>
      </c>
      <c r="CI835" s="46">
        <f t="shared" si="1520"/>
        <v>189506.62729273661</v>
      </c>
      <c r="CJ835" s="231">
        <f t="shared" si="1512"/>
        <v>403.88864271954276</v>
      </c>
      <c r="CK835" s="443">
        <v>0.9263157894736842</v>
      </c>
      <c r="CL835" s="231">
        <f>+CL828*CK835+CJ829*CK834+CJ830*CK833+CJ831*CK832+CJ832*CK831+CJ833*CK830+CJ834*CK829+CJ835</f>
        <v>10969.745226990801</v>
      </c>
      <c r="CM835" s="134">
        <f t="shared" si="1513"/>
        <v>2.5828898221362792E-2</v>
      </c>
      <c r="CN835" s="135">
        <f t="shared" si="1514"/>
        <v>1.161642813789516E-2</v>
      </c>
      <c r="CO835" s="135">
        <f t="shared" si="1522"/>
        <v>1.1320712409927774E-2</v>
      </c>
      <c r="CP835" s="134">
        <f>VLOOKUP($H835,RoR!$E:$F,2,FALSE)</f>
        <v>5.2350000000000001E-2</v>
      </c>
      <c r="CQ835" s="135">
        <v>3.1010403642454332E-2</v>
      </c>
      <c r="CR835" s="135">
        <f t="shared" si="1521"/>
        <v>2.1339596357545669E-2</v>
      </c>
      <c r="CS835" s="135">
        <f t="shared" si="1523"/>
        <v>1.9581229198605853E-2</v>
      </c>
      <c r="CT835" s="135">
        <f t="shared" si="1524"/>
        <v>9.2129610649277341E-2</v>
      </c>
      <c r="CU835" s="139">
        <f t="shared" si="1515"/>
        <v>0.84923979999999999</v>
      </c>
      <c r="CV835" s="335">
        <f t="shared" si="1516"/>
        <v>0.97959983346802826</v>
      </c>
      <c r="CW835" s="335">
        <f t="shared" si="1517"/>
        <v>0.49744508118433622</v>
      </c>
      <c r="CX835" s="335">
        <f t="shared" si="1518"/>
        <v>0.87010519444335932</v>
      </c>
      <c r="CY835" s="335">
        <f t="shared" si="1519"/>
        <v>0.42399975420741998</v>
      </c>
      <c r="CZ835" s="336">
        <f>INDEX('State Tax Lookup'!$D$7:$Z$91,MATCH(Calculation!$C835,'State Tax Lookup'!$B$7:$B$91,0),MATCH($H835,'State Tax Lookup'!$D$6:$Z$6,0))</f>
        <v>0.40745999999999999</v>
      </c>
      <c r="DA835" s="302">
        <v>0.37</v>
      </c>
      <c r="DB835" s="141">
        <v>16.6313823838879</v>
      </c>
      <c r="DC835" s="56">
        <f t="shared" si="1525"/>
        <v>0.11945729498798224</v>
      </c>
      <c r="DD835" s="336">
        <v>5.2350000000000001E-2</v>
      </c>
      <c r="DE835" s="342">
        <v>3.1010403642454332E-2</v>
      </c>
      <c r="DF835" s="303">
        <f>VLOOKUP(H835,'HW Dx Data'!$E:$F,2,FALSE)</f>
        <v>469.20514034936258</v>
      </c>
      <c r="DG835" s="364">
        <f ca="1">VLOOKUP(CC835,'ECI - Input Price'!M$13:N$33,2,FALSE)</f>
        <v>99.224999999999994</v>
      </c>
      <c r="DH835" s="364"/>
      <c r="DI835" s="364"/>
      <c r="DJ835" s="56">
        <f t="shared" ca="1" si="1534"/>
        <v>5.0378726854569796E-2</v>
      </c>
      <c r="DK835" s="53">
        <f>HLOOKUP(H835,'GDP-PI'!$8:$9,2,FALSE)</f>
        <v>87.406999999999996</v>
      </c>
      <c r="DL835" s="355">
        <f t="shared" si="1527"/>
        <v>3.0539295810733648E-2</v>
      </c>
      <c r="EC835"/>
    </row>
    <row r="836" spans="1:133" s="126" customFormat="1" ht="21" customHeight="1" x14ac:dyDescent="0.4">
      <c r="A836" s="233" t="s">
        <v>230</v>
      </c>
      <c r="B836" s="127" t="s">
        <v>230</v>
      </c>
      <c r="C836" s="127">
        <v>4004218</v>
      </c>
      <c r="D836" s="127" t="s">
        <v>231</v>
      </c>
      <c r="E836" s="127"/>
      <c r="F836" s="127"/>
      <c r="G836" s="127" t="s">
        <v>162</v>
      </c>
      <c r="H836" s="128">
        <v>2006</v>
      </c>
      <c r="I836" s="129"/>
      <c r="J836" s="125">
        <f>IFERROR(INDEX('Labor Expenditures'!$E$7:$W$91,MATCH($C836,'Labor Expenditures'!$C$7:$C$91,0),MATCH($G836,'Labor Expenditures'!$E$5:$W$5,0)),"NA")</f>
        <v>195708.5494301529</v>
      </c>
      <c r="K836" s="125">
        <f t="shared" ca="1" si="1528"/>
        <v>1788.9264116101726</v>
      </c>
      <c r="L836" s="47"/>
      <c r="M836" s="131">
        <f t="shared" ca="1" si="1535"/>
        <v>-0.19491997536021199</v>
      </c>
      <c r="N836" s="131"/>
      <c r="O836" s="131"/>
      <c r="P836" s="59">
        <f t="shared" ref="P836:P852" ca="1" si="1541">+M836*$AX836</f>
        <v>-1.7523509654160926E-2</v>
      </c>
      <c r="Q836" s="61"/>
      <c r="R836" s="387"/>
      <c r="S836" s="49">
        <f ca="1">+S835*EXP(T836)</f>
        <v>109.58775004847077</v>
      </c>
      <c r="T836" s="61">
        <f ca="1">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</f>
        <v>9.1555412648391996E-2</v>
      </c>
      <c r="U836" s="61"/>
      <c r="V836" s="125">
        <f>IFERROR(INDEX('Non-Labor Expenditures'!$E$7:$AA$91,MATCH($C836,'Non-Labor Expenditures'!$C$7:$C$91,0),MATCH($G836,'Non-Labor Expenditures'!$E$5:$AA$5,0)),"NA")</f>
        <v>283422.53288974916</v>
      </c>
      <c r="W836" s="125">
        <f t="shared" si="1529"/>
        <v>3146.5520892793611</v>
      </c>
      <c r="X836" s="131">
        <f t="shared" ref="X836:X851" si="1542">LN(W836/W835)</f>
        <v>-0.12735526776691453</v>
      </c>
      <c r="Y836" s="131">
        <f t="shared" ref="Y836:Y852" si="1543">+X836*AX836</f>
        <v>-1.1449371774737687E-2</v>
      </c>
      <c r="Z836" s="131"/>
      <c r="AA836" s="131"/>
      <c r="AB836" s="131"/>
      <c r="AC836" s="125">
        <f t="shared" si="1509"/>
        <v>178346.19747639768</v>
      </c>
      <c r="AD836" s="129"/>
      <c r="AE836" s="133">
        <v>11689.916162870533</v>
      </c>
      <c r="AF836" s="134">
        <v>3.2088051899988763E-2</v>
      </c>
      <c r="AG836" s="59">
        <f t="shared" si="1530"/>
        <v>2.884749427110016E-3</v>
      </c>
      <c r="AH836" s="134"/>
      <c r="AI836" s="134"/>
      <c r="AJ836" s="129">
        <f t="shared" si="1458"/>
        <v>657477.27979629976</v>
      </c>
      <c r="AK836" s="134">
        <f t="shared" ref="AK836:AK852" si="1544">LN(AJ836/AJ835)</f>
        <v>-7.1040088011825403E-2</v>
      </c>
      <c r="AL836" s="129"/>
      <c r="AM836" s="129"/>
      <c r="AN836" s="129"/>
      <c r="AO836" s="129"/>
      <c r="AP836" s="133">
        <f t="shared" ref="AP836:AP852" si="1545">+(AJ836*1000)/BB836</f>
        <v>154.65715963812028</v>
      </c>
      <c r="AQ836" s="134">
        <f>+BB836/Outputs!$B$14</f>
        <v>0.12257826943735828</v>
      </c>
      <c r="AR836" s="93">
        <f t="shared" si="1531"/>
        <v>0.29766587446304987</v>
      </c>
      <c r="AS836" s="93">
        <f t="shared" si="1532"/>
        <v>0.43107578253891815</v>
      </c>
      <c r="AT836" s="93">
        <f t="shared" si="1533"/>
        <v>0.27125834299803192</v>
      </c>
      <c r="AU836" s="93">
        <f t="shared" ca="1" si="1536"/>
        <v>-0.10602996082019804</v>
      </c>
      <c r="AV836" s="132">
        <f ca="1">+AV835*EXP(AU836)</f>
        <v>89.939770097944191</v>
      </c>
      <c r="AW836" s="134">
        <f ca="1">LN(AV836/AV835)</f>
        <v>-0.10602996082019804</v>
      </c>
      <c r="AX836" s="56">
        <f>+AJ836/$AL$11</f>
        <v>8.9901045912700803E-2</v>
      </c>
      <c r="AY836" s="135">
        <f ca="1">+AX836*AW836</f>
        <v>-9.5322043758184916E-3</v>
      </c>
      <c r="AZ836" s="93"/>
      <c r="BA836" s="93"/>
      <c r="BB836" s="234">
        <f>IFERROR(INDEX('Total Customers'!$E$7:$AA$91,MATCH($C836,'Total Customers'!$C$7:$C$91,0),MATCH($G836,'Total Customers'!$E$5:$AA$5,0)),"NA")</f>
        <v>4251192</v>
      </c>
      <c r="BC836" s="269">
        <f t="shared" ref="BC836:BC899" si="1546">LN(BB836/BB835)</f>
        <v>2.9249906016348939E-2</v>
      </c>
      <c r="BD836" s="92"/>
      <c r="BE836" s="299" t="str">
        <f t="shared" si="1537"/>
        <v>PACIFIC GAS AND ELECTRIC COMPANY</v>
      </c>
      <c r="BF836" s="300">
        <f t="shared" si="1538"/>
        <v>4004218</v>
      </c>
      <c r="BG836" s="231" t="str">
        <f t="shared" si="1539"/>
        <v>CA</v>
      </c>
      <c r="BH836" s="231"/>
      <c r="BI836" s="231" t="str">
        <f t="shared" si="1540"/>
        <v>2006 Y</v>
      </c>
      <c r="BJ836" s="129"/>
      <c r="BK836" s="129"/>
      <c r="BL836" s="129">
        <f>INDEX('Dist. Plant Gas Additions'!$E$7:$AD$91,MATCH($C836,'Dist. Plant Gas Additions'!$C$7:$C$91,0),MATCH(Calculation!$G836,'Dist. Plant Gas Additions'!$E$5:$AD$5,0))</f>
        <v>201139</v>
      </c>
      <c r="BM836" s="129">
        <f>INDEX('Gen. Plant Additions'!$E$7:$AD$91,MATCH($C836,'Gen. Plant Additions'!$C$7:$C$91,0),MATCH(Calculation!$G836,'Gen. Plant Additions'!$E$5:$AD$5,0))</f>
        <v>1421</v>
      </c>
      <c r="BN836" s="301">
        <f t="shared" si="1510"/>
        <v>0.98689616807577796</v>
      </c>
      <c r="BO836" s="231">
        <f t="shared" si="1504"/>
        <v>1402.3794548356805</v>
      </c>
      <c r="BP836" s="231">
        <f t="shared" si="1505"/>
        <v>-18.620545164319537</v>
      </c>
      <c r="BQ836" s="129">
        <f>INDEX('Dist Plant Depreciation'!$D$7:$AC$94,MATCH($C836,'Dist Plant Depreciation'!$C$7:$C$94,0),MATCH(Calculation!$G836,'Dist Plant Depreciation'!$D$5:$AC$5,0))</f>
        <v>3129244</v>
      </c>
      <c r="BR836" s="129">
        <f>INDEX('Gen. Plant Depreciation'!$D$7:$AC$94,MATCH($C836,'Gen. Plant Depreciation'!$C$7:$C$94,0),MATCH(Calculation!$G836,'Gen. Plant Depreciation'!$D$5:$AC$5,0))</f>
        <v>25795</v>
      </c>
      <c r="BS836" s="129"/>
      <c r="BT836" s="129"/>
      <c r="BU836" s="129"/>
      <c r="BV836" s="129"/>
      <c r="BW836" s="129"/>
      <c r="BX836" s="137"/>
      <c r="BY836" s="129">
        <f>INDEX('Gross Dx Plant'!$D$7:$AC$91,MATCH($C836,'Gross Dx Plant'!$C$7:$C$91,0),MATCH(Calculation!$G836,'Gross Dx Plant'!$D$5:$AC$5,0))</f>
        <v>5027707</v>
      </c>
      <c r="BZ836" s="129">
        <f>INDEX('Gross Gen Plant'!$D$7:$AC$91,MATCH($C836,'Gross Gen Plant'!$C$7:$C$91,0),MATCH(Calculation!$G836,'Gross Gen Plant'!$D$5:$AC$5,0))</f>
        <v>66757</v>
      </c>
      <c r="CA836" s="129">
        <f t="shared" si="1526"/>
        <v>1939425</v>
      </c>
      <c r="CB836" s="134"/>
      <c r="CC836" s="133">
        <v>2006</v>
      </c>
      <c r="CD836" s="129"/>
      <c r="CE836" s="129"/>
      <c r="CF836" s="129"/>
      <c r="CG836" s="137"/>
      <c r="CH836" s="129">
        <f t="shared" si="1511"/>
        <v>202560</v>
      </c>
      <c r="CI836" s="46">
        <f t="shared" si="1520"/>
        <v>202541.37945483567</v>
      </c>
      <c r="CJ836" s="231">
        <f t="shared" si="1512"/>
        <v>439.27059857607526</v>
      </c>
      <c r="CK836" s="443">
        <v>0.91489361702127658</v>
      </c>
      <c r="CL836" s="231">
        <f>+CL828*CK836+CJ829*CK835+CJ830*CK834+CJ831*CK833+CJ832*CK832+CJ833*CK831+CJ834*CK830+CJ835*CK829+CJ836</f>
        <v>11278.216278233998</v>
      </c>
      <c r="CM836" s="134">
        <f t="shared" si="1513"/>
        <v>2.7732052708411711E-2</v>
      </c>
      <c r="CN836" s="135">
        <f t="shared" si="1514"/>
        <v>1.1923663186912356E-2</v>
      </c>
      <c r="CO836" s="135">
        <f t="shared" si="1522"/>
        <v>1.161887755043841E-2</v>
      </c>
      <c r="CP836" s="134">
        <f>VLOOKUP($H836,RoR!$E:$F,2,FALSE)</f>
        <v>5.5874999999999994E-2</v>
      </c>
      <c r="CQ836" s="135">
        <v>3.0512430354548314E-2</v>
      </c>
      <c r="CR836" s="135">
        <f t="shared" si="1521"/>
        <v>2.536256964545168E-2</v>
      </c>
      <c r="CS836" s="135">
        <f t="shared" si="1523"/>
        <v>1.9283064058095215E-2</v>
      </c>
      <c r="CT836" s="135">
        <f t="shared" si="1524"/>
        <v>7.9087823893859641E-2</v>
      </c>
      <c r="CU836" s="139">
        <f t="shared" si="1515"/>
        <v>0.84923979999999999</v>
      </c>
      <c r="CV836" s="335">
        <f t="shared" si="1516"/>
        <v>0.91779957551769631</v>
      </c>
      <c r="CW836" s="335">
        <f t="shared" si="1517"/>
        <v>0.52757270693512304</v>
      </c>
      <c r="CX836" s="335">
        <f t="shared" si="1518"/>
        <v>0.88636824549024895</v>
      </c>
      <c r="CY836" s="335">
        <f t="shared" si="1519"/>
        <v>0.42918482841932087</v>
      </c>
      <c r="CZ836" s="336">
        <f>INDEX('State Tax Lookup'!$D$7:$Z$91,MATCH(Calculation!$C836,'State Tax Lookup'!$B$7:$B$91,0),MATCH($H836,'State Tax Lookup'!$D$6:$Z$6,0))</f>
        <v>0.40745999999999999</v>
      </c>
      <c r="DA836" s="302">
        <v>0.37</v>
      </c>
      <c r="DB836" s="141">
        <v>16.258007254132124</v>
      </c>
      <c r="DC836" s="56">
        <f t="shared" si="1525"/>
        <v>-2.2705874147596124E-2</v>
      </c>
      <c r="DD836" s="336">
        <v>5.5874999999999994E-2</v>
      </c>
      <c r="DE836" s="342">
        <v>3.0512430354548314E-2</v>
      </c>
      <c r="DF836" s="303">
        <f>VLOOKUP(H836,'HW Dx Data'!$E:$F,2,FALSE)</f>
        <v>461.08567272971823</v>
      </c>
      <c r="DG836" s="364">
        <f ca="1">VLOOKUP(CC836,'ECI - Input Price'!M$13:N$33,2,FALSE)</f>
        <v>109.4</v>
      </c>
      <c r="DH836" s="364"/>
      <c r="DI836" s="364"/>
      <c r="DJ836" s="56">
        <f t="shared" ca="1" si="1534"/>
        <v>9.7620891318751846E-2</v>
      </c>
      <c r="DK836" s="53">
        <f>HLOOKUP(H836,'GDP-PI'!$8:$9,2,FALSE)</f>
        <v>90.073999999999998</v>
      </c>
      <c r="DL836" s="355">
        <f t="shared" si="1527"/>
        <v>3.005618372545445E-2</v>
      </c>
      <c r="EC836"/>
    </row>
    <row r="837" spans="1:133" s="126" customFormat="1" ht="21" customHeight="1" x14ac:dyDescent="0.4">
      <c r="A837" s="233" t="s">
        <v>230</v>
      </c>
      <c r="B837" s="127" t="s">
        <v>230</v>
      </c>
      <c r="C837" s="127">
        <v>4004218</v>
      </c>
      <c r="D837" s="127" t="s">
        <v>231</v>
      </c>
      <c r="E837" s="127"/>
      <c r="F837" s="127"/>
      <c r="G837" s="127" t="s">
        <v>163</v>
      </c>
      <c r="H837" s="128">
        <v>2007</v>
      </c>
      <c r="I837" s="129"/>
      <c r="J837" s="125">
        <f>IFERROR(INDEX('Labor Expenditures'!$E$7:$W$91,MATCH($C837,'Labor Expenditures'!$C$7:$C$91,0),MATCH($G837,'Labor Expenditures'!$E$5:$W$5,0)),"NA")</f>
        <v>196476.84044190843</v>
      </c>
      <c r="K837" s="125">
        <f t="shared" ca="1" si="1528"/>
        <v>1879.7114608171103</v>
      </c>
      <c r="L837" s="47"/>
      <c r="M837" s="131">
        <f t="shared" ca="1" si="1535"/>
        <v>4.9502616905614374E-2</v>
      </c>
      <c r="N837" s="131"/>
      <c r="O837" s="131"/>
      <c r="P837" s="59">
        <f t="shared" ca="1" si="1541"/>
        <v>4.3789162691943223E-3</v>
      </c>
      <c r="Q837" s="61"/>
      <c r="R837" s="387"/>
      <c r="S837" s="49">
        <f t="shared" ref="S837:S850" ca="1" si="1547">+S836*EXP(T837)</f>
        <v>118.32601880079629</v>
      </c>
      <c r="T837" s="61">
        <f ca="1">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</f>
        <v>7.6718087309306224E-2</v>
      </c>
      <c r="U837" s="61"/>
      <c r="V837" s="125">
        <f>IFERROR(INDEX('Non-Labor Expenditures'!$E$7:$AA$91,MATCH($C837,'Non-Labor Expenditures'!$C$7:$C$91,0),MATCH($G837,'Non-Labor Expenditures'!$E$5:$AA$5,0)),"NA")</f>
        <v>284535.1617717382</v>
      </c>
      <c r="W837" s="125">
        <f t="shared" si="1529"/>
        <v>3076.1223136904387</v>
      </c>
      <c r="X837" s="131">
        <f t="shared" si="1542"/>
        <v>-2.2637463789676134E-2</v>
      </c>
      <c r="Y837" s="131">
        <f t="shared" si="1543"/>
        <v>-2.002471074830542E-3</v>
      </c>
      <c r="Z837" s="131"/>
      <c r="AA837" s="131"/>
      <c r="AB837" s="131"/>
      <c r="AC837" s="125">
        <f t="shared" si="1509"/>
        <v>197053.03290197178</v>
      </c>
      <c r="AD837" s="129"/>
      <c r="AE837" s="133">
        <v>12027.587969555045</v>
      </c>
      <c r="AF837" s="134">
        <v>2.8476404837663682E-2</v>
      </c>
      <c r="AG837" s="59">
        <f t="shared" si="1530"/>
        <v>2.5189737477831586E-3</v>
      </c>
      <c r="AH837" s="134"/>
      <c r="AI837" s="134"/>
      <c r="AJ837" s="129">
        <f t="shared" si="1458"/>
        <v>678065.03511561849</v>
      </c>
      <c r="AK837" s="134">
        <f t="shared" si="1544"/>
        <v>3.0832997327635572E-2</v>
      </c>
      <c r="AL837" s="129"/>
      <c r="AM837" s="129"/>
      <c r="AN837" s="129"/>
      <c r="AO837" s="129"/>
      <c r="AP837" s="133">
        <f t="shared" si="1545"/>
        <v>157.50306674484196</v>
      </c>
      <c r="AQ837" s="134">
        <f>+BB837/Outputs!$B$15</f>
        <v>0.12319778400917408</v>
      </c>
      <c r="AR837" s="93">
        <f t="shared" si="1531"/>
        <v>0.28976105574947791</v>
      </c>
      <c r="AS837" s="93">
        <f t="shared" si="1532"/>
        <v>0.41962812862518628</v>
      </c>
      <c r="AT837" s="93">
        <f t="shared" si="1533"/>
        <v>0.29061081562533569</v>
      </c>
      <c r="AU837" s="93">
        <f t="shared" ca="1" si="1536"/>
        <v>1.2910702464197522E-2</v>
      </c>
      <c r="AV837" s="132">
        <f ca="1">+AV836*EXP(AU837)</f>
        <v>91.108483933678926</v>
      </c>
      <c r="AW837" s="134">
        <f ca="1">LN(AV837/AV836)</f>
        <v>1.2910702464197479E-2</v>
      </c>
      <c r="AX837" s="56">
        <f>+AJ837/$AL$12</f>
        <v>8.845827842886593E-2</v>
      </c>
      <c r="AY837" s="135">
        <f t="shared" ref="AY837:AY851" ca="1" si="1548">+AX837*AW837</f>
        <v>1.1420585132902261E-3</v>
      </c>
      <c r="AZ837" s="93"/>
      <c r="BA837" s="93"/>
      <c r="BB837" s="234">
        <f>IFERROR(INDEX('Total Customers'!$E$7:$AA$91,MATCH($C837,'Total Customers'!$C$7:$C$91,0),MATCH($G837,'Total Customers'!$E$5:$AA$5,0)),"NA")</f>
        <v>4305091</v>
      </c>
      <c r="BC837" s="269">
        <f t="shared" si="1546"/>
        <v>1.2598861667629359E-2</v>
      </c>
      <c r="BD837" s="92"/>
      <c r="BE837" s="299" t="str">
        <f t="shared" si="1537"/>
        <v>PACIFIC GAS AND ELECTRIC COMPANY</v>
      </c>
      <c r="BF837" s="300">
        <f t="shared" si="1538"/>
        <v>4004218</v>
      </c>
      <c r="BG837" s="231" t="str">
        <f t="shared" si="1539"/>
        <v>CA</v>
      </c>
      <c r="BH837" s="231"/>
      <c r="BI837" s="231" t="str">
        <f t="shared" si="1540"/>
        <v>2007 Y</v>
      </c>
      <c r="BJ837" s="129"/>
      <c r="BK837" s="129"/>
      <c r="BL837" s="129">
        <f>INDEX('Dist. Plant Gas Additions'!$E$7:$AD$91,MATCH($C837,'Dist. Plant Gas Additions'!$C$7:$C$91,0),MATCH(Calculation!$G837,'Dist. Plant Gas Additions'!$E$5:$AD$5,0))</f>
        <v>204236</v>
      </c>
      <c r="BM837" s="129">
        <f>INDEX('Gen. Plant Additions'!$E$7:$AD$91,MATCH($C837,'Gen. Plant Additions'!$C$7:$C$91,0),MATCH(Calculation!$G837,'Gen. Plant Additions'!$E$5:$AD$5,0))</f>
        <v>1128</v>
      </c>
      <c r="BN837" s="301">
        <f t="shared" si="1510"/>
        <v>0.98754870751188795</v>
      </c>
      <c r="BO837" s="231">
        <f t="shared" si="1504"/>
        <v>1113.9549420734097</v>
      </c>
      <c r="BP837" s="231">
        <f t="shared" si="1505"/>
        <v>-14.045057926590289</v>
      </c>
      <c r="BQ837" s="129">
        <f>INDEX('Dist Plant Depreciation'!$D$7:$AC$94,MATCH($C837,'Dist Plant Depreciation'!$C$7:$C$94,0),MATCH(Calculation!$G837,'Dist Plant Depreciation'!$D$5:$AC$5,0))</f>
        <v>3269324</v>
      </c>
      <c r="BR837" s="129">
        <f>INDEX('Gen. Plant Depreciation'!$D$7:$AC$94,MATCH($C837,'Gen. Plant Depreciation'!$C$7:$C$94,0),MATCH(Calculation!$G837,'Gen. Plant Depreciation'!$D$5:$AC$5,0))</f>
        <v>26046</v>
      </c>
      <c r="BS837" s="129"/>
      <c r="BT837" s="129"/>
      <c r="BU837" s="129"/>
      <c r="BV837" s="129"/>
      <c r="BW837" s="129"/>
      <c r="BX837" s="137"/>
      <c r="BY837" s="129">
        <f>INDEX('Gross Dx Plant'!$D$7:$AC$91,MATCH($C837,'Gross Dx Plant'!$C$7:$C$91,0),MATCH(Calculation!$G837,'Gross Dx Plant'!$D$5:$AC$5,0))</f>
        <v>5217285</v>
      </c>
      <c r="BZ837" s="129">
        <f>INDEX('Gross Gen Plant'!$D$7:$AC$91,MATCH($C837,'Gross Gen Plant'!$C$7:$C$91,0),MATCH(Calculation!$G837,'Gross Gen Plant'!$D$5:$AC$5,0))</f>
        <v>65781</v>
      </c>
      <c r="CA837" s="129">
        <f t="shared" si="1526"/>
        <v>1987696</v>
      </c>
      <c r="CB837" s="129"/>
      <c r="CC837" s="133">
        <v>2007</v>
      </c>
      <c r="CD837" s="129"/>
      <c r="CE837" s="129"/>
      <c r="CF837" s="129"/>
      <c r="CG837" s="137"/>
      <c r="CH837" s="129">
        <f t="shared" si="1511"/>
        <v>205364</v>
      </c>
      <c r="CI837" s="46">
        <f t="shared" si="1520"/>
        <v>205349.95494207341</v>
      </c>
      <c r="CJ837" s="231">
        <f t="shared" si="1512"/>
        <v>412.33083048755128</v>
      </c>
      <c r="CK837" s="443">
        <v>0.90322580645161288</v>
      </c>
      <c r="CL837" s="231">
        <f>+CL828*CK837+CJ829*CK836+CJ830*CK835+CJ831*CK834+CJ832*CK833+CJ833*CK832+CJ834*CK831+CJ835*CK830+CJ836*CK829+CJ837</f>
        <v>11552.613897868923</v>
      </c>
      <c r="CM837" s="134">
        <f t="shared" si="1513"/>
        <v>2.4038620663423493E-2</v>
      </c>
      <c r="CN837" s="135">
        <f t="shared" si="1514"/>
        <v>1.2230055484822167E-2</v>
      </c>
      <c r="CO837" s="135">
        <f t="shared" si="1522"/>
        <v>1.1923382269876562E-2</v>
      </c>
      <c r="CP837" s="134">
        <f>VLOOKUP($H837,RoR!$E:$F,2,FALSE)</f>
        <v>5.5558333333333321E-2</v>
      </c>
      <c r="CQ837" s="135">
        <v>2.691120634145272E-2</v>
      </c>
      <c r="CR837" s="135">
        <f t="shared" si="1521"/>
        <v>2.86471269918806E-2</v>
      </c>
      <c r="CS837" s="135">
        <f t="shared" si="1523"/>
        <v>1.8978559338657063E-2</v>
      </c>
      <c r="CT837" s="135">
        <f t="shared" si="1524"/>
        <v>6.4575155250632399E-2</v>
      </c>
      <c r="CU837" s="139">
        <f t="shared" si="1515"/>
        <v>0.84923979999999999</v>
      </c>
      <c r="CV837" s="335">
        <f t="shared" si="1516"/>
        <v>0.92303077153834634</v>
      </c>
      <c r="CW837" s="335">
        <f t="shared" si="1517"/>
        <v>0.52502249887505614</v>
      </c>
      <c r="CX837" s="335">
        <f t="shared" si="1518"/>
        <v>0.88499666072084604</v>
      </c>
      <c r="CY837" s="335">
        <f t="shared" si="1519"/>
        <v>0.42887993290280618</v>
      </c>
      <c r="CZ837" s="336">
        <f>INDEX('State Tax Lookup'!$D$7:$Z$91,MATCH(Calculation!$C837,'State Tax Lookup'!$B$7:$B$91,0),MATCH($H837,'State Tax Lookup'!$D$6:$Z$6,0))</f>
        <v>0.40745999999999999</v>
      </c>
      <c r="DA837" s="302">
        <v>0.37</v>
      </c>
      <c r="DB837" s="141">
        <v>17.472003377188948</v>
      </c>
      <c r="DC837" s="56">
        <f t="shared" si="1525"/>
        <v>7.2014251341218041E-2</v>
      </c>
      <c r="DD837" s="336">
        <v>5.5558333333333321E-2</v>
      </c>
      <c r="DE837" s="342">
        <v>2.691120634145272E-2</v>
      </c>
      <c r="DF837" s="303">
        <f>VLOOKUP(H837,'HW Dx Data'!$E:$F,2,FALSE)</f>
        <v>498.0223154772637</v>
      </c>
      <c r="DG837" s="364">
        <f ca="1">VLOOKUP(CC837,'ECI - Input Price'!M$13:N$33,2,FALSE)</f>
        <v>104.52499999999999</v>
      </c>
      <c r="DH837" s="364"/>
      <c r="DI837" s="364"/>
      <c r="DJ837" s="56">
        <f t="shared" ca="1" si="1534"/>
        <v>-4.5584612745252218E-2</v>
      </c>
      <c r="DK837" s="53">
        <f>HLOOKUP(H837,'GDP-PI'!$8:$9,2,FALSE)</f>
        <v>92.498000000000005</v>
      </c>
      <c r="DL837" s="355">
        <f t="shared" si="1527"/>
        <v>2.6555467950038037E-2</v>
      </c>
      <c r="EC837"/>
    </row>
    <row r="838" spans="1:133" s="126" customFormat="1" ht="21" customHeight="1" x14ac:dyDescent="0.4">
      <c r="A838" s="233" t="s">
        <v>230</v>
      </c>
      <c r="B838" s="127" t="s">
        <v>230</v>
      </c>
      <c r="C838" s="127">
        <v>4004218</v>
      </c>
      <c r="D838" s="127" t="s">
        <v>231</v>
      </c>
      <c r="E838" s="127"/>
      <c r="F838" s="127"/>
      <c r="G838" s="127" t="s">
        <v>164</v>
      </c>
      <c r="H838" s="128">
        <v>2008</v>
      </c>
      <c r="I838" s="129"/>
      <c r="J838" s="125">
        <f>IFERROR(INDEX('Labor Expenditures'!$E$7:$W$91,MATCH($C838,'Labor Expenditures'!$C$7:$C$91,0),MATCH($G838,'Labor Expenditures'!$E$5:$W$5,0)),"NA")</f>
        <v>199324.87270142633</v>
      </c>
      <c r="K838" s="125">
        <f t="shared" ca="1" si="1528"/>
        <v>1847.3111464451003</v>
      </c>
      <c r="L838" s="47"/>
      <c r="M838" s="131">
        <f t="shared" ca="1" si="1535"/>
        <v>-1.7387139298129073E-2</v>
      </c>
      <c r="N838" s="131"/>
      <c r="O838" s="131"/>
      <c r="P838" s="59">
        <f t="shared" ca="1" si="1541"/>
        <v>-1.5417338018444964E-3</v>
      </c>
      <c r="Q838" s="61"/>
      <c r="R838" s="387"/>
      <c r="S838" s="49">
        <f t="shared" ca="1" si="1547"/>
        <v>110.01432818521833</v>
      </c>
      <c r="T838" s="61">
        <f ca="1">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</f>
        <v>-7.2833072406721905E-2</v>
      </c>
      <c r="U838" s="61"/>
      <c r="V838" s="125">
        <f>IFERROR(INDEX('Non-Labor Expenditures'!$E$7:$AA$91,MATCH($C838,'Non-Labor Expenditures'!$C$7:$C$91,0),MATCH($G838,'Non-Labor Expenditures'!$E$5:$AA$5,0)),"NA")</f>
        <v>288659.64442257083</v>
      </c>
      <c r="W838" s="125">
        <f t="shared" si="1529"/>
        <v>3062.2469280167493</v>
      </c>
      <c r="X838" s="131">
        <f t="shared" si="1542"/>
        <v>-4.5208780247008038E-3</v>
      </c>
      <c r="Y838" s="131">
        <f t="shared" si="1543"/>
        <v>-4.0087045632901825E-4</v>
      </c>
      <c r="Z838" s="131"/>
      <c r="AA838" s="131"/>
      <c r="AB838" s="131"/>
      <c r="AC838" s="125">
        <f t="shared" si="1509"/>
        <v>229336.27506536705</v>
      </c>
      <c r="AD838" s="129"/>
      <c r="AE838" s="133">
        <v>12387.619197926484</v>
      </c>
      <c r="AF838" s="134">
        <v>2.9494513446206249E-2</v>
      </c>
      <c r="AG838" s="59">
        <f t="shared" si="1530"/>
        <v>2.6153059206160626E-3</v>
      </c>
      <c r="AH838" s="134"/>
      <c r="AI838" s="134"/>
      <c r="AJ838" s="129">
        <f t="shared" si="1458"/>
        <v>717320.79218936421</v>
      </c>
      <c r="AK838" s="134">
        <f t="shared" si="1544"/>
        <v>5.6279944113731717E-2</v>
      </c>
      <c r="AL838" s="129"/>
      <c r="AM838" s="129"/>
      <c r="AN838" s="129"/>
      <c r="AO838" s="129"/>
      <c r="AP838" s="133">
        <f t="shared" si="1545"/>
        <v>164.65389647542628</v>
      </c>
      <c r="AQ838" s="134">
        <f>+BB838/Outputs!$B$16</f>
        <v>0.1240034444571045</v>
      </c>
      <c r="AR838" s="93">
        <f t="shared" si="1531"/>
        <v>0.27787410440600602</v>
      </c>
      <c r="AS838" s="93">
        <f t="shared" si="1532"/>
        <v>0.40241360290357803</v>
      </c>
      <c r="AT838" s="93">
        <f t="shared" si="1533"/>
        <v>0.31971229269041596</v>
      </c>
      <c r="AU838" s="93">
        <f t="shared" ca="1" si="1536"/>
        <v>2.2076405625773687E-3</v>
      </c>
      <c r="AV838" s="132">
        <f t="shared" ref="AV838:AV851" ca="1" si="1549">+AV837*EXP(AU838)</f>
        <v>91.309840898528364</v>
      </c>
      <c r="AW838" s="134">
        <f t="shared" ref="AW838:AW851" ca="1" si="1550">LN(AV838/AV837)</f>
        <v>2.2076405625772988E-3</v>
      </c>
      <c r="AX838" s="56">
        <f>+AJ838/$AL$13</f>
        <v>8.8670929438656607E-2</v>
      </c>
      <c r="AY838" s="135">
        <f t="shared" ca="1" si="1548"/>
        <v>1.9575354055020785E-4</v>
      </c>
      <c r="AZ838" s="93"/>
      <c r="BA838" s="93"/>
      <c r="BB838" s="234">
        <f>IFERROR(INDEX('Total Customers'!$E$7:$AA$91,MATCH($C838,'Total Customers'!$C$7:$C$91,0),MATCH($G838,'Total Customers'!$E$5:$AA$5,0)),"NA")</f>
        <v>4356537</v>
      </c>
      <c r="BC838" s="269">
        <f t="shared" si="1546"/>
        <v>1.18791998418238E-2</v>
      </c>
      <c r="BD838" s="92"/>
      <c r="BE838" s="299" t="str">
        <f t="shared" si="1537"/>
        <v>PACIFIC GAS AND ELECTRIC COMPANY</v>
      </c>
      <c r="BF838" s="300">
        <f t="shared" si="1538"/>
        <v>4004218</v>
      </c>
      <c r="BG838" s="231" t="str">
        <f t="shared" si="1539"/>
        <v>CA</v>
      </c>
      <c r="BH838" s="231"/>
      <c r="BI838" s="231" t="str">
        <f t="shared" si="1540"/>
        <v>2008 Y</v>
      </c>
      <c r="BJ838" s="129"/>
      <c r="BK838" s="129"/>
      <c r="BL838" s="129">
        <f>INDEX('Dist. Plant Gas Additions'!$E$7:$AD$91,MATCH($C838,'Dist. Plant Gas Additions'!$C$7:$C$91,0),MATCH(Calculation!$G838,'Dist. Plant Gas Additions'!$E$5:$AD$5,0))</f>
        <v>248068</v>
      </c>
      <c r="BM838" s="129">
        <f>INDEX('Gen. Plant Additions'!$E$7:$AD$91,MATCH($C838,'Gen. Plant Additions'!$C$7:$C$91,0),MATCH(Calculation!$G838,'Gen. Plant Additions'!$E$5:$AD$5,0))</f>
        <v>2280</v>
      </c>
      <c r="BN838" s="301">
        <f t="shared" si="1510"/>
        <v>0.98780890218475204</v>
      </c>
      <c r="BO838" s="231">
        <f t="shared" si="1504"/>
        <v>2252.2042969812346</v>
      </c>
      <c r="BP838" s="231">
        <f t="shared" si="1505"/>
        <v>-27.79570301876538</v>
      </c>
      <c r="BQ838" s="129">
        <f>INDEX('Dist Plant Depreciation'!$D$7:$AC$94,MATCH($C838,'Dist Plant Depreciation'!$C$7:$C$94,0),MATCH(Calculation!$G838,'Dist Plant Depreciation'!$D$5:$AC$5,0))</f>
        <v>3398647</v>
      </c>
      <c r="BR838" s="129">
        <f>INDEX('Gen. Plant Depreciation'!$D$7:$AC$94,MATCH($C838,'Gen. Plant Depreciation'!$C$7:$C$94,0),MATCH(Calculation!$G838,'Gen. Plant Depreciation'!$D$5:$AC$5,0))</f>
        <v>27583</v>
      </c>
      <c r="BS838" s="129"/>
      <c r="BT838" s="129"/>
      <c r="BU838" s="129"/>
      <c r="BV838" s="129"/>
      <c r="BW838" s="129"/>
      <c r="BX838" s="137"/>
      <c r="BY838" s="129">
        <f>INDEX('Gross Dx Plant'!$D$7:$AC$91,MATCH($C838,'Gross Dx Plant'!$C$7:$C$91,0),MATCH(Calculation!$G838,'Gross Dx Plant'!$D$5:$AC$5,0))</f>
        <v>5448260</v>
      </c>
      <c r="BZ838" s="129">
        <f>INDEX('Gross Gen Plant'!$D$7:$AC$91,MATCH($C838,'Gross Gen Plant'!$C$7:$C$91,0),MATCH(Calculation!$G838,'Gross Gen Plant'!$D$5:$AC$5,0))</f>
        <v>67240</v>
      </c>
      <c r="CA838" s="129">
        <f t="shared" si="1526"/>
        <v>2089270</v>
      </c>
      <c r="CB838" s="129"/>
      <c r="CC838" s="133">
        <v>2008</v>
      </c>
      <c r="CD838" s="129"/>
      <c r="CE838" s="129"/>
      <c r="CF838" s="129"/>
      <c r="CG838" s="137"/>
      <c r="CH838" s="129">
        <f t="shared" si="1511"/>
        <v>250348</v>
      </c>
      <c r="CI838" s="46">
        <f t="shared" si="1520"/>
        <v>250320.20429698125</v>
      </c>
      <c r="CJ838" s="231">
        <f t="shared" si="1512"/>
        <v>439.24979948806339</v>
      </c>
      <c r="CK838" s="443">
        <v>0.89130434782608692</v>
      </c>
      <c r="CL838" s="231">
        <f>+CL828*CK838+CJ829*CK837+CJ830*CK836+CJ831*CK835+CJ832*CK834+CJ833*CK833+CJ834*CK832+CJ835*CK831+CJ836*CK830+CJ837*CK829+CJ838</f>
        <v>11846.886663385782</v>
      </c>
      <c r="CM838" s="134">
        <f t="shared" si="1513"/>
        <v>2.5153381366651247E-2</v>
      </c>
      <c r="CN838" s="135">
        <f t="shared" si="1514"/>
        <v>1.2549284105993416E-2</v>
      </c>
      <c r="CO838" s="135">
        <f t="shared" si="1522"/>
        <v>1.2234334259242646E-2</v>
      </c>
      <c r="CP838" s="134">
        <f>VLOOKUP($H838,RoR!$E:$F,2,FALSE)</f>
        <v>5.6316666666666668E-2</v>
      </c>
      <c r="CQ838" s="135">
        <v>1.9092304698479889E-2</v>
      </c>
      <c r="CR838" s="135">
        <f t="shared" si="1521"/>
        <v>3.7224361968186778E-2</v>
      </c>
      <c r="CS838" s="135">
        <f t="shared" si="1523"/>
        <v>1.8667607349290981E-2</v>
      </c>
      <c r="CT838" s="135">
        <f t="shared" si="1524"/>
        <v>6.9030581091053131E-2</v>
      </c>
      <c r="CU838" s="139">
        <f t="shared" si="1515"/>
        <v>0.84923979999999999</v>
      </c>
      <c r="CV838" s="335">
        <f t="shared" si="1516"/>
        <v>0.91060168006009956</v>
      </c>
      <c r="CW838" s="335">
        <f t="shared" si="1517"/>
        <v>0.53108168097070152</v>
      </c>
      <c r="CX838" s="335">
        <f t="shared" si="1518"/>
        <v>0.88825329850328805</v>
      </c>
      <c r="CY838" s="335">
        <f t="shared" si="1519"/>
        <v>0.4295627335323573</v>
      </c>
      <c r="CZ838" s="336">
        <f>INDEX('State Tax Lookup'!$D$7:$Z$91,MATCH(Calculation!$C838,'State Tax Lookup'!$B$7:$B$91,0),MATCH($H838,'State Tax Lookup'!$D$6:$Z$6,0))</f>
        <v>0.40745999999999999</v>
      </c>
      <c r="DA838" s="302">
        <v>0.37</v>
      </c>
      <c r="DB838" s="141">
        <v>19.851461936910404</v>
      </c>
      <c r="DC838" s="56">
        <f t="shared" si="1525"/>
        <v>0.12767786078189125</v>
      </c>
      <c r="DD838" s="336">
        <v>5.6316666666666668E-2</v>
      </c>
      <c r="DE838" s="342">
        <v>1.9092304698479889E-2</v>
      </c>
      <c r="DF838" s="303">
        <f>VLOOKUP(H838,'HW Dx Data'!$E:$F,2,FALSE)</f>
        <v>569.88120333515076</v>
      </c>
      <c r="DG838" s="364">
        <f ca="1">VLOOKUP(CC838,'ECI - Input Price'!M$13:N$33,2,FALSE)</f>
        <v>107.9</v>
      </c>
      <c r="DH838" s="364"/>
      <c r="DI838" s="364"/>
      <c r="DJ838" s="56">
        <f t="shared" ca="1" si="1534"/>
        <v>3.1778595021460486E-2</v>
      </c>
      <c r="DK838" s="53">
        <f>HLOOKUP(H838,'GDP-PI'!$8:$9,2,FALSE)</f>
        <v>94.263999999999996</v>
      </c>
      <c r="DL838" s="355">
        <f t="shared" si="1527"/>
        <v>1.8912333748032254E-2</v>
      </c>
      <c r="EC838"/>
    </row>
    <row r="839" spans="1:133" s="126" customFormat="1" ht="21" customHeight="1" x14ac:dyDescent="0.4">
      <c r="A839" s="233" t="s">
        <v>230</v>
      </c>
      <c r="B839" s="127" t="s">
        <v>230</v>
      </c>
      <c r="C839" s="127">
        <v>4004218</v>
      </c>
      <c r="D839" s="127" t="s">
        <v>231</v>
      </c>
      <c r="E839" s="127"/>
      <c r="F839" s="127"/>
      <c r="G839" s="127" t="s">
        <v>165</v>
      </c>
      <c r="H839" s="128">
        <v>2009</v>
      </c>
      <c r="I839" s="129"/>
      <c r="J839" s="125">
        <f>IFERROR(INDEX('Labor Expenditures'!$E$7:$W$91,MATCH($C839,'Labor Expenditures'!$C$7:$C$91,0),MATCH($G839,'Labor Expenditures'!$E$5:$W$5,0)),"NA")</f>
        <v>238093.55942394232</v>
      </c>
      <c r="K839" s="125">
        <f t="shared" ca="1" si="1528"/>
        <v>2146.4373173219951</v>
      </c>
      <c r="L839" s="47"/>
      <c r="M839" s="131">
        <f t="shared" ca="1" si="1535"/>
        <v>0.15007825850758483</v>
      </c>
      <c r="N839" s="131"/>
      <c r="O839" s="131"/>
      <c r="P839" s="59">
        <f t="shared" ca="1" si="1541"/>
        <v>1.4347299107210358E-2</v>
      </c>
      <c r="Q839" s="61"/>
      <c r="R839" s="387"/>
      <c r="S839" s="49">
        <f t="shared" ca="1" si="1547"/>
        <v>117.43484638691753</v>
      </c>
      <c r="T839" s="61">
        <f ca="1">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</f>
        <v>6.5273067419068548E-2</v>
      </c>
      <c r="U839" s="61"/>
      <c r="V839" s="125">
        <f>IFERROR(INDEX('Non-Labor Expenditures'!$E$7:$AA$91,MATCH($C839,'Non-Labor Expenditures'!$C$7:$C$91,0),MATCH($G839,'Non-Labor Expenditures'!$E$5:$AA$5,0)),"NA")</f>
        <v>344803.94378863496</v>
      </c>
      <c r="W839" s="125">
        <f t="shared" si="1529"/>
        <v>3629.553403600406</v>
      </c>
      <c r="X839" s="131">
        <f t="shared" si="1542"/>
        <v>0.16996067469015924</v>
      </c>
      <c r="Y839" s="131">
        <f t="shared" si="1543"/>
        <v>1.6248033929043448E-2</v>
      </c>
      <c r="Z839" s="131"/>
      <c r="AA839" s="131"/>
      <c r="AB839" s="131"/>
      <c r="AC839" s="125">
        <f t="shared" si="1509"/>
        <v>225564.59716128782</v>
      </c>
      <c r="AD839" s="129"/>
      <c r="AE839" s="133">
        <v>12783.590851967403</v>
      </c>
      <c r="AF839" s="134">
        <v>3.1464861769986967E-2</v>
      </c>
      <c r="AG839" s="59">
        <f t="shared" si="1530"/>
        <v>3.0080025426082362E-3</v>
      </c>
      <c r="AH839" s="134"/>
      <c r="AI839" s="134"/>
      <c r="AJ839" s="129">
        <f t="shared" si="1458"/>
        <v>808462.10037386511</v>
      </c>
      <c r="AK839" s="134">
        <f t="shared" si="1544"/>
        <v>0.1196106519949086</v>
      </c>
      <c r="AL839" s="129"/>
      <c r="AM839" s="129"/>
      <c r="AN839" s="129"/>
      <c r="AO839" s="129"/>
      <c r="AP839" s="133">
        <f t="shared" si="1545"/>
        <v>187.59692971082151</v>
      </c>
      <c r="AQ839" s="134">
        <f>+BB839/Outputs!$B$17</f>
        <v>0.12251021470422771</v>
      </c>
      <c r="AR839" s="93">
        <f t="shared" si="1531"/>
        <v>0.29450181933554875</v>
      </c>
      <c r="AS839" s="93">
        <f t="shared" si="1532"/>
        <v>0.4264936397503159</v>
      </c>
      <c r="AT839" s="93">
        <f t="shared" si="1533"/>
        <v>0.27900454091413529</v>
      </c>
      <c r="AU839" s="93">
        <f t="shared" ca="1" si="1536"/>
        <v>0.12281067923627477</v>
      </c>
      <c r="AV839" s="132">
        <f t="shared" ca="1" si="1549"/>
        <v>103.24132897376754</v>
      </c>
      <c r="AW839" s="134">
        <f t="shared" ca="1" si="1550"/>
        <v>0.12281067923627478</v>
      </c>
      <c r="AX839" s="56">
        <f>+AJ839/$AL$14</f>
        <v>9.5598784593341063E-2</v>
      </c>
      <c r="AY839" s="135">
        <f t="shared" ca="1" si="1548"/>
        <v>1.1740551670070537E-2</v>
      </c>
      <c r="AZ839" s="93"/>
      <c r="BA839" s="93"/>
      <c r="BB839" s="234">
        <f>IFERROR(INDEX('Total Customers'!$E$7:$AA$91,MATCH($C839,'Total Customers'!$C$7:$C$91,0),MATCH($G839,'Total Customers'!$E$5:$AA$5,0)),"NA")</f>
        <v>4309570</v>
      </c>
      <c r="BC839" s="269">
        <f t="shared" si="1546"/>
        <v>-1.0839344552429492E-2</v>
      </c>
      <c r="BD839" s="92"/>
      <c r="BE839" s="299" t="str">
        <f t="shared" si="1537"/>
        <v>PACIFIC GAS AND ELECTRIC COMPANY</v>
      </c>
      <c r="BF839" s="300">
        <f t="shared" si="1538"/>
        <v>4004218</v>
      </c>
      <c r="BG839" s="231" t="str">
        <f t="shared" si="1539"/>
        <v>CA</v>
      </c>
      <c r="BH839" s="231"/>
      <c r="BI839" s="231" t="str">
        <f t="shared" si="1540"/>
        <v>2009 Y</v>
      </c>
      <c r="BJ839" s="129"/>
      <c r="BK839" s="129"/>
      <c r="BL839" s="129">
        <f>INDEX('Dist. Plant Gas Additions'!$E$7:$AD$91,MATCH($C839,'Dist. Plant Gas Additions'!$C$7:$C$91,0),MATCH(Calculation!$G839,'Dist. Plant Gas Additions'!$E$5:$AD$5,0))</f>
        <v>262792</v>
      </c>
      <c r="BM839" s="129">
        <f>INDEX('Gen. Plant Additions'!$E$7:$AD$91,MATCH($C839,'Gen. Plant Additions'!$C$7:$C$91,0),MATCH(Calculation!$G839,'Gen. Plant Additions'!$E$5:$AD$5,0))</f>
        <v>1740</v>
      </c>
      <c r="BN839" s="301">
        <f t="shared" si="1510"/>
        <v>0.9882616892989653</v>
      </c>
      <c r="BO839" s="231">
        <f t="shared" si="1504"/>
        <v>1719.5753393801997</v>
      </c>
      <c r="BP839" s="231">
        <f t="shared" si="1505"/>
        <v>-20.424660619800306</v>
      </c>
      <c r="BQ839" s="129">
        <f>INDEX('Dist Plant Depreciation'!$D$7:$AC$94,MATCH($C839,'Dist Plant Depreciation'!$C$7:$C$94,0),MATCH(Calculation!$G839,'Dist Plant Depreciation'!$D$5:$AC$5,0))</f>
        <v>3531979</v>
      </c>
      <c r="BR839" s="129">
        <f>INDEX('Gen. Plant Depreciation'!$D$7:$AC$94,MATCH($C839,'Gen. Plant Depreciation'!$C$7:$C$94,0),MATCH(Calculation!$G839,'Gen. Plant Depreciation'!$D$5:$AC$5,0))</f>
        <v>28591</v>
      </c>
      <c r="BS839" s="129"/>
      <c r="BT839" s="129"/>
      <c r="BU839" s="129"/>
      <c r="BV839" s="129"/>
      <c r="BW839" s="129"/>
      <c r="BX839" s="137"/>
      <c r="BY839" s="129">
        <f>INDEX('Gross Dx Plant'!$D$7:$AC$91,MATCH($C839,'Gross Dx Plant'!$C$7:$C$91,0),MATCH(Calculation!$G839,'Gross Dx Plant'!$D$5:$AC$5,0))</f>
        <v>5686185</v>
      </c>
      <c r="BZ839" s="129">
        <f>INDEX('Gross Gen Plant'!$D$7:$AC$91,MATCH($C839,'Gross Gen Plant'!$C$7:$C$91,0),MATCH(Calculation!$G839,'Gross Gen Plant'!$D$5:$AC$5,0))</f>
        <v>67539</v>
      </c>
      <c r="CA839" s="129">
        <f t="shared" si="1526"/>
        <v>2193154</v>
      </c>
      <c r="CB839" s="129"/>
      <c r="CC839" s="133">
        <v>2009</v>
      </c>
      <c r="CD839" s="129"/>
      <c r="CE839" s="129"/>
      <c r="CF839" s="129"/>
      <c r="CG839" s="137"/>
      <c r="CH839" s="129">
        <f t="shared" si="1511"/>
        <v>264532</v>
      </c>
      <c r="CI839" s="46">
        <f t="shared" si="1520"/>
        <v>264511.57533938019</v>
      </c>
      <c r="CJ839" s="231">
        <f t="shared" si="1512"/>
        <v>480.10903112394095</v>
      </c>
      <c r="CK839" s="443">
        <v>0.87912087912087911</v>
      </c>
      <c r="CL839" s="231">
        <f>+CL828*CK839+CJ829*CK838+CJ830*CK837+CJ831*CK836+CJ832*CK835+CJ833*CK834+CJ834*CK833+CJ835*CK832+CJ836*CK831+CJ837*CK830+CJ838*CK829+CJ839</f>
        <v>12174.530207488486</v>
      </c>
      <c r="CM839" s="134">
        <f t="shared" si="1513"/>
        <v>2.7280977336574995E-2</v>
      </c>
      <c r="CN839" s="135">
        <f t="shared" si="1514"/>
        <v>1.2869667057122232E-2</v>
      </c>
      <c r="CO839" s="135">
        <f t="shared" si="1522"/>
        <v>1.2549668882645937E-2</v>
      </c>
      <c r="CP839" s="134">
        <f>VLOOKUP($H839,RoR!$E:$F,2,FALSE)</f>
        <v>5.3133333333333324E-2</v>
      </c>
      <c r="CQ839" s="135">
        <v>7.7972502758210105E-3</v>
      </c>
      <c r="CR839" s="135">
        <f t="shared" si="1521"/>
        <v>4.5336083057512314E-2</v>
      </c>
      <c r="CS839" s="135">
        <f t="shared" si="1523"/>
        <v>1.8352272725887686E-2</v>
      </c>
      <c r="CT839" s="135">
        <f t="shared" si="1524"/>
        <v>6.3720160300892073E-2</v>
      </c>
      <c r="CU839" s="139">
        <f t="shared" si="1515"/>
        <v>0.84923979999999999</v>
      </c>
      <c r="CV839" s="335">
        <f t="shared" si="1516"/>
        <v>0.96515780330083989</v>
      </c>
      <c r="CW839" s="335">
        <f t="shared" si="1517"/>
        <v>0.50448557089084056</v>
      </c>
      <c r="CX839" s="335">
        <f t="shared" si="1518"/>
        <v>0.87391435735465484</v>
      </c>
      <c r="CY839" s="335">
        <f t="shared" si="1519"/>
        <v>0.42551605393279146</v>
      </c>
      <c r="CZ839" s="336">
        <f>INDEX('State Tax Lookup'!$D$7:$Z$91,MATCH(Calculation!$C839,'State Tax Lookup'!$B$7:$B$91,0),MATCH($H839,'State Tax Lookup'!$D$6:$Z$6,0))</f>
        <v>0.40745999999999999</v>
      </c>
      <c r="DA839" s="302">
        <v>0.37</v>
      </c>
      <c r="DB839" s="141">
        <v>19.039989456337263</v>
      </c>
      <c r="DC839" s="56">
        <f t="shared" si="1525"/>
        <v>-4.1736178036592381E-2</v>
      </c>
      <c r="DD839" s="336">
        <v>5.3133333333333324E-2</v>
      </c>
      <c r="DE839" s="342">
        <v>7.7972502758210105E-3</v>
      </c>
      <c r="DF839" s="303">
        <f>VLOOKUP(H839,'HW Dx Data'!$E:$F,2,FALSE)</f>
        <v>550.94063679692806</v>
      </c>
      <c r="DG839" s="364">
        <f ca="1">VLOOKUP(CC839,'ECI - Input Price'!M$13:N$33,2,FALSE)</f>
        <v>110.925</v>
      </c>
      <c r="DH839" s="364"/>
      <c r="DI839" s="364"/>
      <c r="DJ839" s="56">
        <f t="shared" ca="1" si="1534"/>
        <v>2.7649425000884052E-2</v>
      </c>
      <c r="DK839" s="53">
        <f>HLOOKUP(H839,'GDP-PI'!$8:$9,2,FALSE)</f>
        <v>94.998999999999995</v>
      </c>
      <c r="DL839" s="355">
        <f t="shared" si="1527"/>
        <v>7.7670088183096342E-3</v>
      </c>
      <c r="EC839"/>
    </row>
    <row r="840" spans="1:133" s="126" customFormat="1" ht="21" customHeight="1" x14ac:dyDescent="0.4">
      <c r="A840" s="233" t="s">
        <v>230</v>
      </c>
      <c r="B840" s="127" t="s">
        <v>230</v>
      </c>
      <c r="C840" s="127">
        <v>4004218</v>
      </c>
      <c r="D840" s="127" t="s">
        <v>231</v>
      </c>
      <c r="E840" s="127"/>
      <c r="F840" s="127"/>
      <c r="G840" s="127" t="s">
        <v>166</v>
      </c>
      <c r="H840" s="128">
        <v>2010</v>
      </c>
      <c r="I840" s="129"/>
      <c r="J840" s="125">
        <f>IFERROR(INDEX('Labor Expenditures'!$E$7:$W$91,MATCH($C840,'Labor Expenditures'!$C$7:$C$91,0),MATCH($G840,'Labor Expenditures'!$E$5:$W$5,0)),"NA")</f>
        <v>248399.20723831697</v>
      </c>
      <c r="K840" s="125">
        <f t="shared" ca="1" si="1528"/>
        <v>2124.4319626967458</v>
      </c>
      <c r="L840" s="47"/>
      <c r="M840" s="131">
        <f t="shared" ca="1" si="1535"/>
        <v>-1.0304951013417369E-2</v>
      </c>
      <c r="N840" s="131"/>
      <c r="O840" s="131"/>
      <c r="P840" s="59">
        <f t="shared" ca="1" si="1541"/>
        <v>-9.9976287072798403E-4</v>
      </c>
      <c r="Q840" s="61"/>
      <c r="R840" s="387"/>
      <c r="S840" s="49">
        <f t="shared" ca="1" si="1547"/>
        <v>96.369430210157674</v>
      </c>
      <c r="T840" s="61">
        <f ca="1">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</f>
        <v>-0.19769464363542771</v>
      </c>
      <c r="U840" s="61"/>
      <c r="V840" s="125">
        <f>IFERROR(INDEX('Non-Labor Expenditures'!$E$7:$AA$91,MATCH($C840,'Non-Labor Expenditures'!$C$7:$C$91,0),MATCH($G840,'Non-Labor Expenditures'!$E$5:$AA$5,0)),"NA")</f>
        <v>359728.44665335119</v>
      </c>
      <c r="W840" s="125">
        <f t="shared" si="1529"/>
        <v>3742.9215438028823</v>
      </c>
      <c r="X840" s="131">
        <f t="shared" si="1542"/>
        <v>3.0756856526408912E-2</v>
      </c>
      <c r="Y840" s="131">
        <f t="shared" si="1543"/>
        <v>2.9839601503563106E-3</v>
      </c>
      <c r="Z840" s="131"/>
      <c r="AA840" s="131"/>
      <c r="AB840" s="131"/>
      <c r="AC840" s="125">
        <f t="shared" si="1509"/>
        <v>237628.98680964173</v>
      </c>
      <c r="AD840" s="129"/>
      <c r="AE840" s="133">
        <v>13190.82321261186</v>
      </c>
      <c r="AF840" s="134">
        <v>3.1358992839372164E-2</v>
      </c>
      <c r="AG840" s="59">
        <f t="shared" si="1530"/>
        <v>3.0423780436615662E-3</v>
      </c>
      <c r="AH840" s="134"/>
      <c r="AI840" s="134"/>
      <c r="AJ840" s="129">
        <f t="shared" si="1458"/>
        <v>845756.64070130989</v>
      </c>
      <c r="AK840" s="134">
        <f t="shared" si="1544"/>
        <v>4.509785803076119E-2</v>
      </c>
      <c r="AL840" s="129"/>
      <c r="AM840" s="129"/>
      <c r="AN840" s="129"/>
      <c r="AO840" s="129"/>
      <c r="AP840" s="133">
        <f t="shared" si="1545"/>
        <v>196.41649042572865</v>
      </c>
      <c r="AQ840" s="134">
        <f>+BB840/Outputs!$B$18</f>
        <v>0.1217371423026897</v>
      </c>
      <c r="AR840" s="93">
        <f t="shared" si="1531"/>
        <v>0.29370056974349246</v>
      </c>
      <c r="AS840" s="93">
        <f t="shared" si="1532"/>
        <v>0.42533328068823761</v>
      </c>
      <c r="AT840" s="93">
        <f t="shared" si="1533"/>
        <v>0.28096614956826987</v>
      </c>
      <c r="AU840" s="93">
        <f t="shared" ca="1" si="1536"/>
        <v>1.8849119222461387E-2</v>
      </c>
      <c r="AV840" s="132">
        <f t="shared" ca="1" si="1549"/>
        <v>105.20579313950047</v>
      </c>
      <c r="AW840" s="134">
        <f t="shared" ca="1" si="1550"/>
        <v>1.8849119222461436E-2</v>
      </c>
      <c r="AX840" s="56">
        <f>+AJ840/$AL$15</f>
        <v>9.7017721814132013E-2</v>
      </c>
      <c r="AY840" s="135">
        <f t="shared" ca="1" si="1548"/>
        <v>1.8286986051661719E-3</v>
      </c>
      <c r="AZ840" s="93"/>
      <c r="BA840" s="93"/>
      <c r="BB840" s="234">
        <f>IFERROR(INDEX('Total Customers'!$E$7:$AA$91,MATCH($C840,'Total Customers'!$C$7:$C$91,0),MATCH($G840,'Total Customers'!$E$5:$AA$5,0)),"NA")</f>
        <v>4305935</v>
      </c>
      <c r="BC840" s="269">
        <f t="shared" si="1546"/>
        <v>-8.4382754480218731E-4</v>
      </c>
      <c r="BD840" s="92"/>
      <c r="BE840" s="299" t="str">
        <f t="shared" si="1537"/>
        <v>PACIFIC GAS AND ELECTRIC COMPANY</v>
      </c>
      <c r="BF840" s="300">
        <f t="shared" si="1538"/>
        <v>4004218</v>
      </c>
      <c r="BG840" s="231" t="str">
        <f t="shared" si="1539"/>
        <v>CA</v>
      </c>
      <c r="BH840" s="231"/>
      <c r="BI840" s="231" t="str">
        <f t="shared" si="1540"/>
        <v>2010 Y</v>
      </c>
      <c r="BJ840" s="129"/>
      <c r="BK840" s="129"/>
      <c r="BL840" s="129">
        <f>INDEX('Dist. Plant Gas Additions'!$E$7:$AD$91,MATCH($C840,'Dist. Plant Gas Additions'!$C$7:$C$91,0),MATCH(Calculation!$G840,'Dist. Plant Gas Additions'!$E$5:$AD$5,0))</f>
        <v>280787</v>
      </c>
      <c r="BM840" s="129">
        <f>INDEX('Gen. Plant Additions'!$E$7:$AD$91,MATCH($C840,'Gen. Plant Additions'!$C$7:$C$91,0),MATCH(Calculation!$G840,'Gen. Plant Additions'!$E$5:$AD$5,0))</f>
        <v>1845</v>
      </c>
      <c r="BN840" s="301">
        <f t="shared" si="1510"/>
        <v>0.98660128005420467</v>
      </c>
      <c r="BO840" s="231">
        <f t="shared" si="1504"/>
        <v>1820.2793617000077</v>
      </c>
      <c r="BP840" s="231">
        <f t="shared" si="1505"/>
        <v>-24.720638299992288</v>
      </c>
      <c r="BQ840" s="129">
        <f>INDEX('Dist Plant Depreciation'!$D$7:$AC$94,MATCH($C840,'Dist Plant Depreciation'!$C$7:$C$94,0),MATCH(Calculation!$G840,'Dist Plant Depreciation'!$D$5:$AC$5,0))</f>
        <v>3684266</v>
      </c>
      <c r="BR840" s="129">
        <f>INDEX('Gen. Plant Depreciation'!$D$7:$AC$94,MATCH($C840,'Gen. Plant Depreciation'!$C$7:$C$94,0),MATCH(Calculation!$G840,'Gen. Plant Depreciation'!$D$5:$AC$5,0))</f>
        <v>30053</v>
      </c>
      <c r="BS840" s="129"/>
      <c r="BT840" s="129"/>
      <c r="BU840" s="129"/>
      <c r="BV840" s="129"/>
      <c r="BW840" s="129"/>
      <c r="BX840" s="137"/>
      <c r="BY840" s="129">
        <f>INDEX('Gross Dx Plant'!$D$7:$AC$91,MATCH($C840,'Gross Dx Plant'!$C$7:$C$91,0),MATCH(Calculation!$G840,'Gross Dx Plant'!$D$5:$AC$5,0))</f>
        <v>5940938</v>
      </c>
      <c r="BZ840" s="129">
        <f>INDEX('Gross Gen Plant'!$D$7:$AC$91,MATCH($C840,'Gross Gen Plant'!$C$7:$C$91,0),MATCH(Calculation!$G840,'Gross Gen Plant'!$D$5:$AC$5,0))</f>
        <v>80682</v>
      </c>
      <c r="CA840" s="129">
        <f t="shared" si="1526"/>
        <v>2307301</v>
      </c>
      <c r="CB840" s="129"/>
      <c r="CC840" s="133">
        <v>2010</v>
      </c>
      <c r="CD840" s="129"/>
      <c r="CE840" s="129"/>
      <c r="CF840" s="129"/>
      <c r="CG840" s="137"/>
      <c r="CH840" s="129">
        <f t="shared" si="1511"/>
        <v>282632</v>
      </c>
      <c r="CI840" s="46">
        <f t="shared" si="1520"/>
        <v>282607.2793617</v>
      </c>
      <c r="CJ840" s="231">
        <f t="shared" si="1512"/>
        <v>496.68276489384192</v>
      </c>
      <c r="CK840" s="443">
        <v>0.8666666666666667</v>
      </c>
      <c r="CL840" s="231">
        <f>+CL828*CK840+CJ829*CK839+CJ830*CK838+CJ831*CK837+CJ832*CK836+CJ833*CK835+CJ834*CK834+CJ835*CK833+CJ836*CK832+CJ837*CK831+CJ838*CK830+CJ839*CK829+CJ840</f>
        <v>12510.664337992461</v>
      </c>
      <c r="CM840" s="134">
        <f t="shared" si="1513"/>
        <v>2.7235346054328813E-2</v>
      </c>
      <c r="CN840" s="135">
        <f t="shared" si="1514"/>
        <v>1.3187255003163433E-2</v>
      </c>
      <c r="CO840" s="135">
        <f t="shared" si="1522"/>
        <v>1.2868735388759692E-2</v>
      </c>
      <c r="CP840" s="134">
        <f>VLOOKUP($H840,RoR!$E:$F,2,FALSE)</f>
        <v>4.9433333333333322E-2</v>
      </c>
      <c r="CQ840" s="135">
        <v>1.1684333519300205E-2</v>
      </c>
      <c r="CR840" s="135">
        <f t="shared" si="1521"/>
        <v>3.7748999814033117E-2</v>
      </c>
      <c r="CS840" s="135">
        <f t="shared" si="1523"/>
        <v>1.8033206219773931E-2</v>
      </c>
      <c r="CT840" s="135">
        <f t="shared" si="1524"/>
        <v>4.7937530248493419E-2</v>
      </c>
      <c r="CU840" s="139">
        <f t="shared" si="1515"/>
        <v>0.84923979999999999</v>
      </c>
      <c r="CV840" s="335">
        <f t="shared" si="1516"/>
        <v>1.037398205301105</v>
      </c>
      <c r="CW840" s="335">
        <f t="shared" si="1517"/>
        <v>0.46926837491571133</v>
      </c>
      <c r="CX840" s="335">
        <f t="shared" si="1518"/>
        <v>0.8548537519972772</v>
      </c>
      <c r="CY840" s="335">
        <f t="shared" si="1519"/>
        <v>0.41615833911547367</v>
      </c>
      <c r="CZ840" s="336">
        <f>INDEX('State Tax Lookup'!$D$7:$Z$91,MATCH(Calculation!$C840,'State Tax Lookup'!$B$7:$B$91,0),MATCH($H840,'State Tax Lookup'!$D$6:$Z$6,0))</f>
        <v>0.40745999999999999</v>
      </c>
      <c r="DA840" s="302">
        <v>0.37</v>
      </c>
      <c r="DB840" s="141">
        <v>19.518534412397898</v>
      </c>
      <c r="DC840" s="56">
        <f t="shared" si="1525"/>
        <v>2.4823021234860583E-2</v>
      </c>
      <c r="DD840" s="336">
        <v>4.9433333333333322E-2</v>
      </c>
      <c r="DE840" s="342">
        <v>1.1684333519300205E-2</v>
      </c>
      <c r="DF840" s="303">
        <f>VLOOKUP(H840,'HW Dx Data'!$E:$F,2,FALSE)</f>
        <v>568.98950262971744</v>
      </c>
      <c r="DG840" s="364">
        <f ca="1">VLOOKUP(CC840,'ECI - Input Price'!M$13:N$33,2,FALSE)</f>
        <v>116.925</v>
      </c>
      <c r="DH840" s="364"/>
      <c r="DI840" s="364"/>
      <c r="DJ840" s="56">
        <f t="shared" ca="1" si="1534"/>
        <v>5.2678406346976722E-2</v>
      </c>
      <c r="DK840" s="53">
        <f>HLOOKUP(H840,'GDP-PI'!$8:$9,2,FALSE)</f>
        <v>96.108999999999995</v>
      </c>
      <c r="DL840" s="355">
        <f t="shared" si="1527"/>
        <v>1.1616598807150427E-2</v>
      </c>
      <c r="EC840"/>
    </row>
    <row r="841" spans="1:133" s="126" customFormat="1" ht="21" customHeight="1" x14ac:dyDescent="0.4">
      <c r="A841" s="233" t="s">
        <v>230</v>
      </c>
      <c r="B841" s="127" t="s">
        <v>230</v>
      </c>
      <c r="C841" s="127">
        <v>4004218</v>
      </c>
      <c r="D841" s="127" t="s">
        <v>231</v>
      </c>
      <c r="E841" s="127"/>
      <c r="F841" s="127"/>
      <c r="G841" s="127" t="s">
        <v>167</v>
      </c>
      <c r="H841" s="128">
        <v>2011</v>
      </c>
      <c r="I841" s="129"/>
      <c r="J841" s="125">
        <f>IFERROR(INDEX('Labor Expenditures'!$E$7:$W$91,MATCH($C841,'Labor Expenditures'!$C$7:$C$91,0),MATCH($G841,'Labor Expenditures'!$E$5:$W$5,0)),"NA")</f>
        <v>245175.33098587193</v>
      </c>
      <c r="K841" s="125">
        <f t="shared" ca="1" si="1528"/>
        <v>2028.337795126138</v>
      </c>
      <c r="L841" s="47"/>
      <c r="M841" s="131">
        <f t="shared" ca="1" si="1535"/>
        <v>-4.6287817467654917E-2</v>
      </c>
      <c r="N841" s="131"/>
      <c r="O841" s="131"/>
      <c r="P841" s="59">
        <f t="shared" ca="1" si="1541"/>
        <v>-4.391023538614031E-3</v>
      </c>
      <c r="Q841" s="61"/>
      <c r="R841" s="387"/>
      <c r="S841" s="49">
        <f t="shared" ca="1" si="1547"/>
        <v>115.51809085767341</v>
      </c>
      <c r="T841" s="61">
        <f ca="1">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</f>
        <v>0.18123811117618355</v>
      </c>
      <c r="U841" s="61"/>
      <c r="V841" s="125">
        <f>IFERROR(INDEX('Non-Labor Expenditures'!$E$7:$AA$91,MATCH($C841,'Non-Labor Expenditures'!$C$7:$C$91,0),MATCH($G841,'Non-Labor Expenditures'!$E$5:$AA$5,0)),"NA")</f>
        <v>355059.6717027853</v>
      </c>
      <c r="W841" s="125">
        <f t="shared" si="1529"/>
        <v>3618.9219637025576</v>
      </c>
      <c r="X841" s="131">
        <f t="shared" si="1542"/>
        <v>-3.3690286518995527E-2</v>
      </c>
      <c r="Y841" s="131">
        <f t="shared" si="1543"/>
        <v>-3.1959778883706167E-3</v>
      </c>
      <c r="Z841" s="131"/>
      <c r="AA841" s="131"/>
      <c r="AB841" s="131"/>
      <c r="AC841" s="125">
        <f t="shared" si="1509"/>
        <v>260431.17870303232</v>
      </c>
      <c r="AD841" s="129"/>
      <c r="AE841" s="133">
        <v>13704.239290186786</v>
      </c>
      <c r="AF841" s="134">
        <v>3.8183845552948778E-2</v>
      </c>
      <c r="AG841" s="59">
        <f t="shared" si="1530"/>
        <v>3.6222525448507659E-3</v>
      </c>
      <c r="AH841" s="134"/>
      <c r="AI841" s="134"/>
      <c r="AJ841" s="129">
        <f t="shared" si="1458"/>
        <v>860666.18139168958</v>
      </c>
      <c r="AK841" s="134">
        <f t="shared" si="1544"/>
        <v>1.7475059423158561E-2</v>
      </c>
      <c r="AL841" s="129"/>
      <c r="AM841" s="129"/>
      <c r="AN841" s="129"/>
      <c r="AO841" s="129"/>
      <c r="AP841" s="133">
        <f t="shared" si="1545"/>
        <v>197.99102216604052</v>
      </c>
      <c r="AQ841" s="134">
        <f>+BB841/Outputs!$B$19</f>
        <v>0.12230503477706209</v>
      </c>
      <c r="AR841" s="93">
        <f t="shared" si="1531"/>
        <v>0.28486692783655748</v>
      </c>
      <c r="AS841" s="93">
        <f t="shared" si="1532"/>
        <v>0.41254051731027347</v>
      </c>
      <c r="AT841" s="93">
        <f t="shared" si="1533"/>
        <v>0.30259255485316899</v>
      </c>
      <c r="AU841" s="93">
        <f t="shared" ca="1" si="1536"/>
        <v>-1.6363159800662469E-2</v>
      </c>
      <c r="AV841" s="132">
        <f t="shared" ca="1" si="1549"/>
        <v>103.49830200817595</v>
      </c>
      <c r="AW841" s="134">
        <f t="shared" ca="1" si="1550"/>
        <v>-1.6363159800662469E-2</v>
      </c>
      <c r="AX841" s="56">
        <f>+AJ841/$AL$16</f>
        <v>9.4863481988158069E-2</v>
      </c>
      <c r="AY841" s="135">
        <f t="shared" ca="1" si="1548"/>
        <v>-1.5522663150194962E-3</v>
      </c>
      <c r="AZ841" s="93"/>
      <c r="BA841" s="93"/>
      <c r="BB841" s="234">
        <f>IFERROR(INDEX('Total Customers'!$E$7:$AA$91,MATCH($C841,'Total Customers'!$C$7:$C$91,0),MATCH($G841,'Total Customers'!$E$5:$AA$5,0)),"NA")</f>
        <v>4346996</v>
      </c>
      <c r="BC841" s="269">
        <f t="shared" si="1546"/>
        <v>9.4907282191388689E-3</v>
      </c>
      <c r="BD841" s="92"/>
      <c r="BE841" s="299" t="str">
        <f t="shared" si="1537"/>
        <v>PACIFIC GAS AND ELECTRIC COMPANY</v>
      </c>
      <c r="BF841" s="300">
        <f t="shared" si="1538"/>
        <v>4004218</v>
      </c>
      <c r="BG841" s="231" t="str">
        <f t="shared" si="1539"/>
        <v>CA</v>
      </c>
      <c r="BH841" s="231"/>
      <c r="BI841" s="231" t="str">
        <f t="shared" si="1540"/>
        <v>2011 Y</v>
      </c>
      <c r="BJ841" s="129"/>
      <c r="BK841" s="129"/>
      <c r="BL841" s="129">
        <f>INDEX('Dist. Plant Gas Additions'!$E$7:$AD$91,MATCH($C841,'Dist. Plant Gas Additions'!$C$7:$C$91,0),MATCH(Calculation!$G841,'Dist. Plant Gas Additions'!$E$5:$AD$5,0))</f>
        <v>344276</v>
      </c>
      <c r="BM841" s="129">
        <f>INDEX('Gen. Plant Additions'!$E$7:$AD$91,MATCH($C841,'Gen. Plant Additions'!$C$7:$C$91,0),MATCH(Calculation!$G841,'Gen. Plant Additions'!$E$5:$AD$5,0))</f>
        <v>27914</v>
      </c>
      <c r="BN841" s="301">
        <f t="shared" si="1510"/>
        <v>0.9854449677696443</v>
      </c>
      <c r="BO841" s="231">
        <f t="shared" si="1504"/>
        <v>27507.710830321852</v>
      </c>
      <c r="BP841" s="231">
        <f t="shared" si="1505"/>
        <v>-406.28916967814803</v>
      </c>
      <c r="BQ841" s="129">
        <f>INDEX('Dist Plant Depreciation'!$D$7:$AC$94,MATCH($C841,'Dist Plant Depreciation'!$C$7:$C$94,0),MATCH(Calculation!$G841,'Dist Plant Depreciation'!$D$5:$AC$5,0))</f>
        <v>3866243</v>
      </c>
      <c r="BR841" s="129">
        <f>INDEX('Gen. Plant Depreciation'!$D$7:$AC$94,MATCH($C841,'Gen. Plant Depreciation'!$C$7:$C$94,0),MATCH(Calculation!$G841,'Gen. Plant Depreciation'!$D$5:$AC$5,0))</f>
        <v>25620</v>
      </c>
      <c r="BS841" s="129"/>
      <c r="BT841" s="129"/>
      <c r="BU841" s="129"/>
      <c r="BV841" s="129"/>
      <c r="BW841" s="129"/>
      <c r="BX841" s="137"/>
      <c r="BY841" s="129">
        <f>INDEX('Gross Dx Plant'!$D$7:$AC$91,MATCH($C841,'Gross Dx Plant'!$C$7:$C$91,0),MATCH(Calculation!$G841,'Gross Dx Plant'!$D$5:$AC$5,0))</f>
        <v>6282257</v>
      </c>
      <c r="BZ841" s="129">
        <f>INDEX('Gross Gen Plant'!$D$7:$AC$91,MATCH($C841,'Gross Gen Plant'!$C$7:$C$91,0),MATCH(Calculation!$G841,'Gross Gen Plant'!$D$5:$AC$5,0))</f>
        <v>92789</v>
      </c>
      <c r="CA841" s="129">
        <f t="shared" si="1526"/>
        <v>2483183</v>
      </c>
      <c r="CB841" s="129"/>
      <c r="CC841" s="133">
        <v>2011</v>
      </c>
      <c r="CD841" s="129"/>
      <c r="CE841" s="129"/>
      <c r="CF841" s="129"/>
      <c r="CG841" s="137"/>
      <c r="CH841" s="129">
        <f t="shared" si="1511"/>
        <v>372190</v>
      </c>
      <c r="CI841" s="46">
        <f t="shared" si="1520"/>
        <v>371783.71083032183</v>
      </c>
      <c r="CJ841" s="231">
        <f t="shared" si="1512"/>
        <v>607.87600680752723</v>
      </c>
      <c r="CK841" s="443">
        <v>0.8539325842696629</v>
      </c>
      <c r="CL841" s="231">
        <f>+CL828*CK841+CJ829*CK840+CJ830*CK839+CJ831*CK838+CJ832*CK837+CJ833*CK836+CJ834*CK835+CJ835*CK834+CJ836*CK833+CJ837*CK832+CJ838*CK831+CJ839*CK830+CJ840*CK829+CJ841</f>
        <v>12949.53901885913</v>
      </c>
      <c r="CM841" s="134">
        <f t="shared" si="1513"/>
        <v>3.4478762888088633E-2</v>
      </c>
      <c r="CN841" s="135">
        <f t="shared" si="1514"/>
        <v>1.3508581269152411E-2</v>
      </c>
      <c r="CO841" s="135">
        <f t="shared" si="1522"/>
        <v>1.3188501109812692E-2</v>
      </c>
      <c r="CP841" s="134">
        <f>VLOOKUP($H841,RoR!$E:$F,2,FALSE)</f>
        <v>4.6391666666666664E-2</v>
      </c>
      <c r="CQ841" s="135">
        <v>2.0840920205183799E-2</v>
      </c>
      <c r="CR841" s="135">
        <f t="shared" si="1521"/>
        <v>2.5550746461482865E-2</v>
      </c>
      <c r="CS841" s="135">
        <f t="shared" si="1523"/>
        <v>1.7713440498720933E-2</v>
      </c>
      <c r="CT841" s="135">
        <f t="shared" si="1524"/>
        <v>2.4810540821321614E-2</v>
      </c>
      <c r="CU841" s="139">
        <f t="shared" si="1515"/>
        <v>0.84923979999999999</v>
      </c>
      <c r="CV841" s="335">
        <f t="shared" si="1516"/>
        <v>1.1054151524782025</v>
      </c>
      <c r="CW841" s="335">
        <f t="shared" si="1517"/>
        <v>0.43611011316687626</v>
      </c>
      <c r="CX841" s="335">
        <f t="shared" si="1518"/>
        <v>0.83698442246886229</v>
      </c>
      <c r="CY841" s="335">
        <f t="shared" si="1519"/>
        <v>0.40349573304423936</v>
      </c>
      <c r="CZ841" s="336">
        <f>INDEX('State Tax Lookup'!$D$7:$Z$91,MATCH(Calculation!$C841,'State Tax Lookup'!$B$7:$B$91,0),MATCH($H841,'State Tax Lookup'!$D$6:$Z$6,0))</f>
        <v>0.40745999999999999</v>
      </c>
      <c r="DA841" s="302">
        <v>0.37</v>
      </c>
      <c r="DB841" s="141">
        <v>20.816734560782145</v>
      </c>
      <c r="DC841" s="56">
        <f t="shared" si="1525"/>
        <v>6.4392712590795306E-2</v>
      </c>
      <c r="DD841" s="336">
        <v>4.6391666666666664E-2</v>
      </c>
      <c r="DE841" s="342">
        <v>2.0840920205183799E-2</v>
      </c>
      <c r="DF841" s="303">
        <f>VLOOKUP(H841,'HW Dx Data'!$E:$F,2,FALSE)</f>
        <v>611.61109612283201</v>
      </c>
      <c r="DG841" s="364">
        <f ca="1">VLOOKUP(CC841,'ECI - Input Price'!M$13:N$33,2,FALSE)</f>
        <v>120.875</v>
      </c>
      <c r="DH841" s="364"/>
      <c r="DI841" s="364"/>
      <c r="DJ841" s="56">
        <f t="shared" ca="1" si="1534"/>
        <v>3.3224250161508609E-2</v>
      </c>
      <c r="DK841" s="53">
        <f>HLOOKUP(H841,'GDP-PI'!$8:$9,2,FALSE)</f>
        <v>98.111999999999995</v>
      </c>
      <c r="DL841" s="355">
        <f t="shared" si="1527"/>
        <v>2.0626719212849295E-2</v>
      </c>
      <c r="EC841"/>
    </row>
    <row r="842" spans="1:133" s="126" customFormat="1" ht="21" customHeight="1" x14ac:dyDescent="0.4">
      <c r="A842" s="233" t="s">
        <v>230</v>
      </c>
      <c r="B842" s="127" t="s">
        <v>230</v>
      </c>
      <c r="C842" s="127">
        <v>4004218</v>
      </c>
      <c r="D842" s="127" t="s">
        <v>231</v>
      </c>
      <c r="E842" s="127"/>
      <c r="F842" s="127"/>
      <c r="G842" s="127" t="s">
        <v>168</v>
      </c>
      <c r="H842" s="128">
        <v>2012</v>
      </c>
      <c r="I842" s="129"/>
      <c r="J842" s="125">
        <f>IFERROR(INDEX('Labor Expenditures'!$E$7:$W$91,MATCH($C842,'Labor Expenditures'!$C$7:$C$91,0),MATCH($G842,'Labor Expenditures'!$E$5:$W$5,0)),"NA")</f>
        <v>270546.26669629122</v>
      </c>
      <c r="K842" s="125">
        <f t="shared" ca="1" si="1528"/>
        <v>2167.8386754510511</v>
      </c>
      <c r="L842" s="47"/>
      <c r="M842" s="131">
        <f t="shared" ca="1" si="1535"/>
        <v>6.6514031613920596E-2</v>
      </c>
      <c r="N842" s="131"/>
      <c r="O842" s="131"/>
      <c r="P842" s="59">
        <f t="shared" ca="1" si="1541"/>
        <v>6.7541405413164687E-3</v>
      </c>
      <c r="Q842" s="61"/>
      <c r="R842" s="387"/>
      <c r="S842" s="49">
        <f t="shared" ca="1" si="1547"/>
        <v>115.60772871228568</v>
      </c>
      <c r="T842" s="61">
        <f ca="1">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</f>
        <v>7.756628772440132E-4</v>
      </c>
      <c r="U842" s="61"/>
      <c r="V842" s="125">
        <f>IFERROR(INDEX('Non-Labor Expenditures'!$E$7:$AA$91,MATCH($C842,'Non-Labor Expenditures'!$C$7:$C$91,0),MATCH($G842,'Non-Labor Expenditures'!$E$5:$AA$5,0)),"NA")</f>
        <v>391801.52524861792</v>
      </c>
      <c r="W842" s="125">
        <f t="shared" si="1529"/>
        <v>3918.0152524861792</v>
      </c>
      <c r="X842" s="131">
        <f t="shared" si="1542"/>
        <v>7.940903103704694E-2</v>
      </c>
      <c r="Y842" s="131">
        <f t="shared" si="1543"/>
        <v>8.0635580622619631E-3</v>
      </c>
      <c r="Z842" s="131"/>
      <c r="AA842" s="131"/>
      <c r="AB842" s="131"/>
      <c r="AC842" s="125">
        <f t="shared" si="1509"/>
        <v>290989.47200413077</v>
      </c>
      <c r="AD842" s="129"/>
      <c r="AE842" s="133">
        <v>14315.230587935777</v>
      </c>
      <c r="AF842" s="134">
        <v>4.3618824346011852E-2</v>
      </c>
      <c r="AG842" s="59">
        <f t="shared" si="1530"/>
        <v>4.4292559439187947E-3</v>
      </c>
      <c r="AH842" s="134"/>
      <c r="AI842" s="134"/>
      <c r="AJ842" s="129">
        <f t="shared" si="1458"/>
        <v>953337.26394903986</v>
      </c>
      <c r="AK842" s="134">
        <f t="shared" si="1544"/>
        <v>0.10226201925858507</v>
      </c>
      <c r="AL842" s="129"/>
      <c r="AM842" s="129"/>
      <c r="AN842" s="129"/>
      <c r="AO842" s="129"/>
      <c r="AP842" s="133">
        <f t="shared" si="1545"/>
        <v>218.07748046267307</v>
      </c>
      <c r="AQ842" s="134">
        <f>+BB842/Outputs!$B$20</f>
        <v>0.12240652310915576</v>
      </c>
      <c r="AR842" s="93">
        <f t="shared" si="1531"/>
        <v>0.28378862017372386</v>
      </c>
      <c r="AS842" s="93">
        <f t="shared" si="1532"/>
        <v>0.41097892641440004</v>
      </c>
      <c r="AT842" s="93">
        <f t="shared" si="1533"/>
        <v>0.30523245341187616</v>
      </c>
      <c r="AU842" s="93">
        <f t="shared" ca="1" si="1536"/>
        <v>6.4865533216378821E-2</v>
      </c>
      <c r="AV842" s="132">
        <f t="shared" ca="1" si="1549"/>
        <v>110.43429625340347</v>
      </c>
      <c r="AW842" s="134">
        <f t="shared" ca="1" si="1550"/>
        <v>6.486553321637889E-2</v>
      </c>
      <c r="AX842" s="56">
        <f>+AJ842/$AL$17</f>
        <v>0.10154459709374927</v>
      </c>
      <c r="AY842" s="135">
        <f t="shared" ca="1" si="1548"/>
        <v>6.586744435728405E-3</v>
      </c>
      <c r="AZ842" s="93"/>
      <c r="BA842" s="93"/>
      <c r="BB842" s="234">
        <f>IFERROR(INDEX('Total Customers'!$E$7:$AA$91,MATCH($C842,'Total Customers'!$C$7:$C$91,0),MATCH($G842,'Total Customers'!$E$5:$AA$5,0)),"NA")</f>
        <v>4371553</v>
      </c>
      <c r="BC842" s="269">
        <f t="shared" si="1546"/>
        <v>5.6332917188175544E-3</v>
      </c>
      <c r="BD842" s="92"/>
      <c r="BE842" s="299" t="str">
        <f t="shared" si="1537"/>
        <v>PACIFIC GAS AND ELECTRIC COMPANY</v>
      </c>
      <c r="BF842" s="300">
        <f t="shared" si="1538"/>
        <v>4004218</v>
      </c>
      <c r="BG842" s="231" t="str">
        <f t="shared" si="1539"/>
        <v>CA</v>
      </c>
      <c r="BH842" s="231"/>
      <c r="BI842" s="231" t="str">
        <f t="shared" si="1540"/>
        <v>2012 Y</v>
      </c>
      <c r="BJ842" s="129"/>
      <c r="BK842" s="129"/>
      <c r="BL842" s="129">
        <f>INDEX('Dist. Plant Gas Additions'!$E$7:$AD$91,MATCH($C842,'Dist. Plant Gas Additions'!$C$7:$C$91,0),MATCH(Calculation!$G842,'Dist. Plant Gas Additions'!$E$5:$AD$5,0))</f>
        <v>450738</v>
      </c>
      <c r="BM842" s="129">
        <f>INDEX('Gen. Plant Additions'!$E$7:$AD$91,MATCH($C842,'Gen. Plant Additions'!$C$7:$C$91,0),MATCH(Calculation!$G842,'Gen. Plant Additions'!$E$5:$AD$5,0))</f>
        <v>25899</v>
      </c>
      <c r="BN842" s="301">
        <f t="shared" si="1510"/>
        <v>0.98220228001630783</v>
      </c>
      <c r="BO842" s="231">
        <f t="shared" si="1504"/>
        <v>25438.056850142355</v>
      </c>
      <c r="BP842" s="231">
        <f t="shared" si="1505"/>
        <v>-460.94314985764504</v>
      </c>
      <c r="BQ842" s="129">
        <f>INDEX('Dist Plant Depreciation'!$D$7:$AC$94,MATCH($C842,'Dist Plant Depreciation'!$C$7:$C$94,0),MATCH(Calculation!$G842,'Dist Plant Depreciation'!$D$5:$AC$5,0))</f>
        <v>4020208</v>
      </c>
      <c r="BR842" s="129">
        <f>INDEX('Gen. Plant Depreciation'!$D$7:$AC$94,MATCH($C842,'Gen. Plant Depreciation'!$C$7:$C$94,0),MATCH(Calculation!$G842,'Gen. Plant Depreciation'!$D$5:$AC$5,0))</f>
        <v>26672</v>
      </c>
      <c r="BS842" s="129"/>
      <c r="BT842" s="129"/>
      <c r="BU842" s="129"/>
      <c r="BV842" s="129"/>
      <c r="BW842" s="129"/>
      <c r="BX842" s="137"/>
      <c r="BY842" s="129">
        <f>INDEX('Gross Dx Plant'!$D$7:$AC$91,MATCH($C842,'Gross Dx Plant'!$C$7:$C$91,0),MATCH(Calculation!$G842,'Gross Dx Plant'!$D$5:$AC$5,0))</f>
        <v>6699864</v>
      </c>
      <c r="BZ842" s="129">
        <f>INDEX('Gross Gen Plant'!$D$7:$AC$91,MATCH($C842,'Gross Gen Plant'!$C$7:$C$91,0),MATCH(Calculation!$G842,'Gross Gen Plant'!$D$5:$AC$5,0))</f>
        <v>121403</v>
      </c>
      <c r="CA842" s="129">
        <f t="shared" si="1526"/>
        <v>2774387</v>
      </c>
      <c r="CB842" s="129"/>
      <c r="CC842" s="133">
        <v>2012</v>
      </c>
      <c r="CD842" s="129"/>
      <c r="CE842" s="129"/>
      <c r="CF842" s="129"/>
      <c r="CG842" s="137"/>
      <c r="CH842" s="129">
        <f t="shared" si="1511"/>
        <v>476637</v>
      </c>
      <c r="CI842" s="46">
        <f t="shared" si="1520"/>
        <v>476176.05685014237</v>
      </c>
      <c r="CJ842" s="231">
        <f t="shared" si="1512"/>
        <v>711.85872661930921</v>
      </c>
      <c r="CK842" s="443">
        <v>0.84090909090909094</v>
      </c>
      <c r="CL842" s="231">
        <f>+CL828*CK842+CJ829*CK841+CJ830*CK840+CJ831*CK839+CJ832*CK838+CJ833*CK837+CJ834*CK836+CJ835*CK835+CJ836*CK834+CJ837*CK833+CJ838*CK832+CJ839*CK831+CJ840*CK830+CJ841*CK829+CJ842</f>
        <v>13482.626256433474</v>
      </c>
      <c r="CM842" s="134">
        <f t="shared" si="1513"/>
        <v>4.034172214026522E-2</v>
      </c>
      <c r="CN842" s="135">
        <f t="shared" si="1514"/>
        <v>1.380523961390522E-2</v>
      </c>
      <c r="CO842" s="135">
        <f t="shared" si="1522"/>
        <v>1.3500358628740355E-2</v>
      </c>
      <c r="CP842" s="134">
        <f>VLOOKUP($H842,RoR!$E:$F,2,FALSE)</f>
        <v>3.6733333333333333E-2</v>
      </c>
      <c r="CQ842" s="135">
        <v>1.924331376386168E-2</v>
      </c>
      <c r="CR842" s="135">
        <f t="shared" si="1521"/>
        <v>1.7490019569471653E-2</v>
      </c>
      <c r="CS842" s="135">
        <f t="shared" si="1523"/>
        <v>1.740158297979327E-2</v>
      </c>
      <c r="CT842" s="135">
        <f t="shared" si="1524"/>
        <v>6.7122682943869583E-2</v>
      </c>
      <c r="CU842" s="139">
        <f t="shared" si="1515"/>
        <v>0.84923979999999999</v>
      </c>
      <c r="CV842" s="335">
        <f t="shared" si="1516"/>
        <v>1.3960631020522127</v>
      </c>
      <c r="CW842" s="335">
        <f t="shared" si="1517"/>
        <v>0.29441923774954631</v>
      </c>
      <c r="CX842" s="335">
        <f t="shared" si="1518"/>
        <v>0.76377954189366437</v>
      </c>
      <c r="CY842" s="335">
        <f t="shared" si="1519"/>
        <v>0.31393465103033691</v>
      </c>
      <c r="CZ842" s="336">
        <f>INDEX('State Tax Lookup'!$D$7:$Z$91,MATCH(Calculation!$C842,'State Tax Lookup'!$B$7:$B$91,0),MATCH($H842,'State Tax Lookup'!$D$6:$Z$6,0))</f>
        <v>0.40745999999999999</v>
      </c>
      <c r="DA842" s="302">
        <v>0.37</v>
      </c>
      <c r="DB842" s="141">
        <v>22.47102939960617</v>
      </c>
      <c r="DC842" s="56">
        <f t="shared" si="1525"/>
        <v>7.6469687899479069E-2</v>
      </c>
      <c r="DD842" s="336">
        <v>3.6733333333333333E-2</v>
      </c>
      <c r="DE842" s="342">
        <v>1.924331376386168E-2</v>
      </c>
      <c r="DF842" s="303">
        <f>VLOOKUP(H842,'HW Dx Data'!$E:$F,2,FALSE)</f>
        <v>668.91932211262167</v>
      </c>
      <c r="DG842" s="364">
        <f ca="1">VLOOKUP(CC842,'ECI - Input Price'!M$13:N$33,2,FALSE)</f>
        <v>124.80000000000001</v>
      </c>
      <c r="DH842" s="364"/>
      <c r="DI842" s="364"/>
      <c r="DJ842" s="56">
        <f t="shared" ca="1" si="1534"/>
        <v>3.1955502161869064E-2</v>
      </c>
      <c r="DK842" s="53">
        <f>HLOOKUP(H842,'GDP-PI'!$8:$9,2,FALSE)</f>
        <v>100</v>
      </c>
      <c r="DL842" s="355">
        <f t="shared" si="1527"/>
        <v>1.9060502738742411E-2</v>
      </c>
      <c r="EC842"/>
    </row>
    <row r="843" spans="1:133" s="126" customFormat="1" ht="21" customHeight="1" x14ac:dyDescent="0.4">
      <c r="A843" s="233" t="s">
        <v>230</v>
      </c>
      <c r="B843" s="127" t="s">
        <v>230</v>
      </c>
      <c r="C843" s="127">
        <v>4004218</v>
      </c>
      <c r="D843" s="127" t="s">
        <v>231</v>
      </c>
      <c r="E843" s="127"/>
      <c r="F843" s="127"/>
      <c r="G843" s="127" t="s">
        <v>169</v>
      </c>
      <c r="H843" s="128">
        <v>2013</v>
      </c>
      <c r="I843" s="129"/>
      <c r="J843" s="125">
        <f>IFERROR(INDEX('Labor Expenditures'!$E$7:$W$91,MATCH($C843,'Labor Expenditures'!$C$7:$C$91,0),MATCH($G843,'Labor Expenditures'!$E$5:$W$5,0)),"NA")</f>
        <v>300043.673205734</v>
      </c>
      <c r="K843" s="125">
        <f t="shared" ca="1" si="1528"/>
        <v>2366.2750252818141</v>
      </c>
      <c r="L843" s="47"/>
      <c r="M843" s="131">
        <f t="shared" ca="1" si="1535"/>
        <v>8.7586330293774967E-2</v>
      </c>
      <c r="N843" s="131"/>
      <c r="O843" s="131"/>
      <c r="P843" s="59">
        <f t="shared" ca="1" si="1541"/>
        <v>9.2877936848098294E-3</v>
      </c>
      <c r="Q843" s="61"/>
      <c r="R843" s="387"/>
      <c r="S843" s="49">
        <f t="shared" ca="1" si="1547"/>
        <v>107.85085815039085</v>
      </c>
      <c r="T843" s="61">
        <f ca="1">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</f>
        <v>-6.9453481684440599E-2</v>
      </c>
      <c r="U843" s="61"/>
      <c r="V843" s="125">
        <f>IFERROR(INDEX('Non-Labor Expenditures'!$E$7:$AA$91,MATCH($C843,'Non-Labor Expenditures'!$C$7:$C$91,0),MATCH($G843,'Non-Labor Expenditures'!$E$5:$AA$5,0)),"NA")</f>
        <v>434519.27922986925</v>
      </c>
      <c r="W843" s="125">
        <f t="shared" si="1529"/>
        <v>4269.4946521166639</v>
      </c>
      <c r="X843" s="131">
        <f t="shared" si="1542"/>
        <v>8.5910259345062384E-2</v>
      </c>
      <c r="Y843" s="131">
        <f t="shared" si="1543"/>
        <v>9.1100604572555699E-3</v>
      </c>
      <c r="Z843" s="131"/>
      <c r="AA843" s="131"/>
      <c r="AB843" s="131"/>
      <c r="AC843" s="125">
        <f t="shared" si="1509"/>
        <v>297283.06746632443</v>
      </c>
      <c r="AD843" s="129"/>
      <c r="AE843" s="133">
        <v>15200.322315603975</v>
      </c>
      <c r="AF843" s="134">
        <v>5.9992586047180385E-2</v>
      </c>
      <c r="AG843" s="59">
        <f t="shared" si="1530"/>
        <v>6.3617091840187994E-3</v>
      </c>
      <c r="AH843" s="134"/>
      <c r="AI843" s="134"/>
      <c r="AJ843" s="129">
        <f t="shared" si="1458"/>
        <v>1031846.0199019277</v>
      </c>
      <c r="AK843" s="134">
        <f t="shared" si="1544"/>
        <v>7.9135991227111721E-2</v>
      </c>
      <c r="AL843" s="129"/>
      <c r="AM843" s="129"/>
      <c r="AN843" s="129"/>
      <c r="AO843" s="129"/>
      <c r="AP843" s="133">
        <f t="shared" si="1545"/>
        <v>234.00134659340659</v>
      </c>
      <c r="AQ843" s="134">
        <f>+BB843/Outputs!$B$21</f>
        <v>0.12268418822166711</v>
      </c>
      <c r="AR843" s="93">
        <f t="shared" si="1531"/>
        <v>0.29078337990221814</v>
      </c>
      <c r="AS843" s="93">
        <f t="shared" si="1532"/>
        <v>0.42110864494216721</v>
      </c>
      <c r="AT843" s="93">
        <f t="shared" si="1533"/>
        <v>0.28810797515561465</v>
      </c>
      <c r="AU843" s="93">
        <f t="shared" ca="1" si="1536"/>
        <v>7.8702769372679116E-2</v>
      </c>
      <c r="AV843" s="132">
        <f t="shared" ca="1" si="1549"/>
        <v>119.47695522169465</v>
      </c>
      <c r="AW843" s="134">
        <f t="shared" ca="1" si="1550"/>
        <v>7.8702769372679032E-2</v>
      </c>
      <c r="AX843" s="56">
        <f>+AJ843/$AL$18</f>
        <v>0.10604158952267397</v>
      </c>
      <c r="AY843" s="135">
        <f t="shared" ca="1" si="1548"/>
        <v>8.3457667641153067E-3</v>
      </c>
      <c r="AZ843" s="93"/>
      <c r="BA843" s="93"/>
      <c r="BB843" s="234">
        <f>IFERROR(INDEX('Total Customers'!$E$7:$AA$91,MATCH($C843,'Total Customers'!$C$7:$C$91,0),MATCH($G843,'Total Customers'!$E$5:$AA$5,0)),"NA")</f>
        <v>4409573</v>
      </c>
      <c r="BC843" s="269">
        <f t="shared" si="1546"/>
        <v>8.6595358238319761E-3</v>
      </c>
      <c r="BD843" s="92"/>
      <c r="BE843" s="299" t="str">
        <f t="shared" si="1537"/>
        <v>PACIFIC GAS AND ELECTRIC COMPANY</v>
      </c>
      <c r="BF843" s="300">
        <f t="shared" si="1538"/>
        <v>4004218</v>
      </c>
      <c r="BG843" s="231" t="str">
        <f t="shared" si="1539"/>
        <v>CA</v>
      </c>
      <c r="BH843" s="231"/>
      <c r="BI843" s="231" t="str">
        <f t="shared" si="1540"/>
        <v>2013 Y</v>
      </c>
      <c r="BJ843" s="129"/>
      <c r="BK843" s="129"/>
      <c r="BL843" s="129">
        <f>INDEX('Dist. Plant Gas Additions'!$E$7:$AD$91,MATCH($C843,'Dist. Plant Gas Additions'!$C$7:$C$91,0),MATCH(Calculation!$G843,'Dist. Plant Gas Additions'!$E$5:$AD$5,0))</f>
        <v>594565</v>
      </c>
      <c r="BM843" s="129">
        <f>INDEX('Gen. Plant Additions'!$E$7:$AD$91,MATCH($C843,'Gen. Plant Additions'!$C$7:$C$91,0),MATCH(Calculation!$G843,'Gen. Plant Additions'!$E$5:$AD$5,0))</f>
        <v>64622</v>
      </c>
      <c r="BN843" s="301">
        <f t="shared" si="1510"/>
        <v>0.97526750049491651</v>
      </c>
      <c r="BO843" s="231">
        <f t="shared" si="1504"/>
        <v>63023.736416982494</v>
      </c>
      <c r="BP843" s="231">
        <f t="shared" si="1505"/>
        <v>-1598.2635830175059</v>
      </c>
      <c r="BQ843" s="129">
        <f>INDEX('Dist Plant Depreciation'!$D$7:$AC$94,MATCH($C843,'Dist Plant Depreciation'!$C$7:$C$94,0),MATCH(Calculation!$G843,'Dist Plant Depreciation'!$D$5:$AC$5,0))</f>
        <v>4183610</v>
      </c>
      <c r="BR843" s="129">
        <f>INDEX('Gen. Plant Depreciation'!$D$7:$AC$94,MATCH($C843,'Gen. Plant Depreciation'!$C$7:$C$94,0),MATCH(Calculation!$G843,'Gen. Plant Depreciation'!$D$5:$AC$5,0))</f>
        <v>31130</v>
      </c>
      <c r="BS843" s="129"/>
      <c r="BT843" s="129"/>
      <c r="BU843" s="129"/>
      <c r="BV843" s="129"/>
      <c r="BW843" s="129"/>
      <c r="BX843" s="137"/>
      <c r="BY843" s="129">
        <f>INDEX('Gross Dx Plant'!$D$7:$AC$91,MATCH($C843,'Gross Dx Plant'!$C$7:$C$91,0),MATCH(Calculation!$G843,'Gross Dx Plant'!$D$5:$AC$5,0))</f>
        <v>7246771</v>
      </c>
      <c r="BZ843" s="129">
        <f>INDEX('Gross Gen Plant'!$D$7:$AC$91,MATCH($C843,'Gross Gen Plant'!$C$7:$C$91,0),MATCH(Calculation!$G843,'Gross Gen Plant'!$D$5:$AC$5,0))</f>
        <v>183776</v>
      </c>
      <c r="CA843" s="129">
        <f t="shared" si="1526"/>
        <v>3215807</v>
      </c>
      <c r="CB843" s="129"/>
      <c r="CC843" s="133">
        <v>2013</v>
      </c>
      <c r="CD843" s="129"/>
      <c r="CE843" s="129"/>
      <c r="CF843" s="129"/>
      <c r="CG843" s="137"/>
      <c r="CH843" s="129">
        <f t="shared" si="1511"/>
        <v>659187</v>
      </c>
      <c r="CI843" s="46">
        <f t="shared" si="1520"/>
        <v>657588.73641698249</v>
      </c>
      <c r="CJ843" s="231">
        <f t="shared" si="1512"/>
        <v>991.46674304167323</v>
      </c>
      <c r="CK843" s="443">
        <v>0.82758620689655171</v>
      </c>
      <c r="CL843" s="231">
        <f>+CL828*CK843+CJ829*CK842+CJ830*CK841+CJ831*CK840+CJ832*CK839+CJ833*CK838+CJ834*CK837+CJ835*CK836+CJ836*CK835+CJ837*CK834+CJ838*CK833+CJ839*CK832+CJ840*CK831+CJ841*CK830+CJ842*CK829+CJ843</f>
        <v>14284.274933467526</v>
      </c>
      <c r="CM843" s="134">
        <f t="shared" si="1513"/>
        <v>5.7757364546484787E-2</v>
      </c>
      <c r="CN843" s="135">
        <f t="shared" si="1514"/>
        <v>1.40787160006787E-2</v>
      </c>
      <c r="CO843" s="135">
        <f t="shared" si="1522"/>
        <v>1.3797512294578776E-2</v>
      </c>
      <c r="CP843" s="134">
        <f>VLOOKUP($H843,RoR!$E:$F,2,FALSE)</f>
        <v>4.2350000000000006E-2</v>
      </c>
      <c r="CQ843" s="135">
        <v>1.7730000000000024E-2</v>
      </c>
      <c r="CR843" s="135">
        <f t="shared" si="1521"/>
        <v>2.4619999999999982E-2</v>
      </c>
      <c r="CS843" s="135">
        <f t="shared" si="1523"/>
        <v>1.7104429313954849E-2</v>
      </c>
      <c r="CT843" s="135">
        <f t="shared" si="1524"/>
        <v>5.3376742735721204E-2</v>
      </c>
      <c r="CU843" s="139">
        <f t="shared" si="1515"/>
        <v>0.84923979999999999</v>
      </c>
      <c r="CV843" s="335">
        <f t="shared" si="1516"/>
        <v>1.2109103018193925</v>
      </c>
      <c r="CW843" s="335">
        <f t="shared" si="1517"/>
        <v>0.38468122786304604</v>
      </c>
      <c r="CX843" s="335">
        <f t="shared" si="1518"/>
        <v>0.80969194503422559</v>
      </c>
      <c r="CY843" s="335">
        <f t="shared" si="1519"/>
        <v>0.37716621754800816</v>
      </c>
      <c r="CZ843" s="336">
        <f>INDEX('State Tax Lookup'!$D$7:$Z$91,MATCH(Calculation!$C843,'State Tax Lookup'!$B$7:$B$91,0),MATCH($H843,'State Tax Lookup'!$D$6:$Z$6,0))</f>
        <v>0.40745999999999999</v>
      </c>
      <c r="DA843" s="302">
        <v>0.37</v>
      </c>
      <c r="DB843" s="141">
        <v>22.049344231022541</v>
      </c>
      <c r="DC843" s="56">
        <f t="shared" si="1525"/>
        <v>-1.8944035963472522E-2</v>
      </c>
      <c r="DD843" s="336">
        <v>4.2350000000000006E-2</v>
      </c>
      <c r="DE843" s="342">
        <v>1.7730000000000024E-2</v>
      </c>
      <c r="DF843" s="303">
        <f>VLOOKUP(H843,'HW Dx Data'!$E:$F,2,FALSE)</f>
        <v>663.24840548821396</v>
      </c>
      <c r="DG843" s="364">
        <f ca="1">VLOOKUP(CC843,'ECI - Input Price'!M$13:N$33,2,FALSE)</f>
        <v>126.8</v>
      </c>
      <c r="DH843" s="364"/>
      <c r="DI843" s="364"/>
      <c r="DJ843" s="56">
        <f t="shared" ca="1" si="1534"/>
        <v>1.5898586067798204E-2</v>
      </c>
      <c r="DK843" s="53">
        <f>HLOOKUP(H843,'GDP-PI'!$8:$9,2,FALSE)</f>
        <v>101.773</v>
      </c>
      <c r="DL843" s="355">
        <f t="shared" si="1527"/>
        <v>1.7574657016510519E-2</v>
      </c>
      <c r="EC843"/>
    </row>
    <row r="844" spans="1:133" s="126" customFormat="1" ht="21" customHeight="1" x14ac:dyDescent="0.4">
      <c r="A844" s="233" t="s">
        <v>230</v>
      </c>
      <c r="B844" s="127" t="s">
        <v>230</v>
      </c>
      <c r="C844" s="127">
        <v>4004218</v>
      </c>
      <c r="D844" s="127" t="s">
        <v>231</v>
      </c>
      <c r="E844" s="127"/>
      <c r="F844" s="127"/>
      <c r="G844" s="127" t="s">
        <v>170</v>
      </c>
      <c r="H844" s="128">
        <v>2014</v>
      </c>
      <c r="I844" s="129"/>
      <c r="J844" s="125">
        <f>IFERROR(INDEX('Labor Expenditures'!$E$7:$W$91,MATCH($C844,'Labor Expenditures'!$C$7:$C$91,0),MATCH($G844,'Labor Expenditures'!$E$5:$W$5,0)),"NA")</f>
        <v>262813.24157941324</v>
      </c>
      <c r="K844" s="125">
        <f t="shared" ca="1" si="1528"/>
        <v>2031.0142316801641</v>
      </c>
      <c r="L844" s="47"/>
      <c r="M844" s="131">
        <f t="shared" ca="1" si="1535"/>
        <v>-0.15278170960842336</v>
      </c>
      <c r="N844" s="131"/>
      <c r="O844" s="131"/>
      <c r="P844" s="59">
        <f t="shared" ca="1" si="1541"/>
        <v>-1.4875905340741992E-2</v>
      </c>
      <c r="Q844" s="61"/>
      <c r="R844" s="387"/>
      <c r="S844" s="49">
        <f t="shared" ca="1" si="1547"/>
        <v>119.74486970377731</v>
      </c>
      <c r="T844" s="61">
        <f ca="1">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</f>
        <v>0.10461406395948625</v>
      </c>
      <c r="U844" s="61"/>
      <c r="V844" s="125">
        <f>IFERROR(INDEX('Non-Labor Expenditures'!$E$7:$AA$91,MATCH($C844,'Non-Labor Expenditures'!$C$7:$C$91,0),MATCH($G844,'Non-Labor Expenditures'!$E$5:$AA$5,0)),"NA")</f>
        <v>380602.66054951696</v>
      </c>
      <c r="W844" s="125">
        <f t="shared" si="1529"/>
        <v>3672.1049383920126</v>
      </c>
      <c r="X844" s="131">
        <f t="shared" si="1542"/>
        <v>-0.15073042144300436</v>
      </c>
      <c r="Y844" s="131">
        <f t="shared" si="1543"/>
        <v>-1.4676177450187775E-2</v>
      </c>
      <c r="Z844" s="131"/>
      <c r="AA844" s="131"/>
      <c r="AB844" s="131"/>
      <c r="AC844" s="125">
        <f t="shared" si="1509"/>
        <v>321415.38989698427</v>
      </c>
      <c r="AD844" s="129"/>
      <c r="AE844" s="133">
        <v>15994.406088570915</v>
      </c>
      <c r="AF844" s="134">
        <v>5.0922409042975493E-2</v>
      </c>
      <c r="AG844" s="59">
        <f t="shared" si="1530"/>
        <v>4.9581650747811965E-3</v>
      </c>
      <c r="AH844" s="134"/>
      <c r="AI844" s="134"/>
      <c r="AJ844" s="129">
        <f t="shared" si="1458"/>
        <v>964831.29202591442</v>
      </c>
      <c r="AK844" s="134">
        <f t="shared" si="1544"/>
        <v>-6.7151470249040571E-2</v>
      </c>
      <c r="AL844" s="129"/>
      <c r="AM844" s="129"/>
      <c r="AN844" s="129"/>
      <c r="AO844" s="129"/>
      <c r="AP844" s="133">
        <f t="shared" si="1545"/>
        <v>219.48675524697248</v>
      </c>
      <c r="AQ844" s="134">
        <f>+BB844/Outputs!$B$22</f>
        <v>0.12164889055299252</v>
      </c>
      <c r="AR844" s="93">
        <f t="shared" si="1531"/>
        <v>0.27239294968094208</v>
      </c>
      <c r="AS844" s="93">
        <f t="shared" si="1532"/>
        <v>0.39447586712319688</v>
      </c>
      <c r="AT844" s="93">
        <f t="shared" si="1533"/>
        <v>0.3331311831958611</v>
      </c>
      <c r="AU844" s="93">
        <f t="shared" ca="1" si="1536"/>
        <v>-8.8670722567811916E-2</v>
      </c>
      <c r="AV844" s="132">
        <f t="shared" ca="1" si="1549"/>
        <v>109.33896055407691</v>
      </c>
      <c r="AW844" s="134">
        <f t="shared" ca="1" si="1550"/>
        <v>-8.8670722567811916E-2</v>
      </c>
      <c r="AX844" s="56">
        <f>+AJ844/$AL$19</f>
        <v>9.7367056428866103E-2</v>
      </c>
      <c r="AY844" s="135">
        <f t="shared" ca="1" si="1548"/>
        <v>-8.6336072478484741E-3</v>
      </c>
      <c r="AZ844" s="93"/>
      <c r="BA844" s="93"/>
      <c r="BB844" s="234">
        <f>IFERROR(INDEX('Total Customers'!$E$7:$AA$91,MATCH($C844,'Total Customers'!$C$7:$C$91,0),MATCH($G844,'Total Customers'!$E$5:$AA$5,0)),"NA")</f>
        <v>4395852</v>
      </c>
      <c r="BC844" s="269">
        <f t="shared" si="1546"/>
        <v>-3.1164903693907671E-3</v>
      </c>
      <c r="BD844" s="92"/>
      <c r="BE844" s="299" t="str">
        <f t="shared" si="1537"/>
        <v>PACIFIC GAS AND ELECTRIC COMPANY</v>
      </c>
      <c r="BF844" s="300">
        <f t="shared" si="1538"/>
        <v>4004218</v>
      </c>
      <c r="BG844" s="231" t="str">
        <f t="shared" si="1539"/>
        <v>CA</v>
      </c>
      <c r="BH844" s="231"/>
      <c r="BI844" s="231" t="str">
        <f t="shared" si="1540"/>
        <v>2014 Y</v>
      </c>
      <c r="BJ844" s="129"/>
      <c r="BK844" s="129"/>
      <c r="BL844" s="129">
        <f>INDEX('Dist. Plant Gas Additions'!$E$7:$AD$91,MATCH($C844,'Dist. Plant Gas Additions'!$C$7:$C$91,0),MATCH(Calculation!$G844,'Dist. Plant Gas Additions'!$E$5:$AD$5,0))</f>
        <v>596995</v>
      </c>
      <c r="BM844" s="129">
        <f>INDEX('Gen. Plant Additions'!$E$7:$AD$91,MATCH($C844,'Gen. Plant Additions'!$C$7:$C$91,0),MATCH(Calculation!$G844,'Gen. Plant Additions'!$E$5:$AD$5,0))</f>
        <v>27110</v>
      </c>
      <c r="BN844" s="301">
        <f t="shared" si="1510"/>
        <v>0.97440818649803285</v>
      </c>
      <c r="BO844" s="231">
        <f t="shared" si="1504"/>
        <v>26416.205935961669</v>
      </c>
      <c r="BP844" s="231">
        <f t="shared" si="1505"/>
        <v>-693.79406403833127</v>
      </c>
      <c r="BQ844" s="129">
        <f>INDEX('Dist Plant Depreciation'!$D$7:$AC$94,MATCH($C844,'Dist Plant Depreciation'!$C$7:$C$94,0),MATCH(Calculation!$G844,'Dist Plant Depreciation'!$D$5:$AC$5,0))</f>
        <v>4370240</v>
      </c>
      <c r="BR844" s="129">
        <f>INDEX('Gen. Plant Depreciation'!$D$7:$AC$94,MATCH($C844,'Gen. Plant Depreciation'!$C$7:$C$94,0),MATCH(Calculation!$G844,'Gen. Plant Depreciation'!$D$5:$AC$5,0))</f>
        <v>38002</v>
      </c>
      <c r="BS844" s="129"/>
      <c r="BT844" s="129"/>
      <c r="BU844" s="129"/>
      <c r="BV844" s="129"/>
      <c r="BW844" s="129"/>
      <c r="BX844" s="137"/>
      <c r="BY844" s="129">
        <f>INDEX('Gross Dx Plant'!$D$7:$AC$91,MATCH($C844,'Gross Dx Plant'!$C$7:$C$91,0),MATCH(Calculation!$G844,'Gross Dx Plant'!$D$5:$AC$5,0))</f>
        <v>7789078</v>
      </c>
      <c r="BZ844" s="129">
        <f>INDEX('Gross Gen Plant'!$D$7:$AC$91,MATCH($C844,'Gross Gen Plant'!$C$7:$C$91,0),MATCH(Calculation!$G844,'Gross Gen Plant'!$D$5:$AC$5,0))</f>
        <v>204572</v>
      </c>
      <c r="CA844" s="129">
        <f t="shared" si="1526"/>
        <v>3585408</v>
      </c>
      <c r="CB844" s="129"/>
      <c r="CC844" s="133">
        <v>2014</v>
      </c>
      <c r="CD844" s="129"/>
      <c r="CE844" s="129"/>
      <c r="CF844" s="129"/>
      <c r="CG844" s="137"/>
      <c r="CH844" s="129">
        <f t="shared" si="1511"/>
        <v>624105</v>
      </c>
      <c r="CI844" s="46">
        <f t="shared" si="1520"/>
        <v>623411.20593596168</v>
      </c>
      <c r="CJ844" s="231">
        <f t="shared" si="1512"/>
        <v>910.79519427246169</v>
      </c>
      <c r="CK844" s="443">
        <v>0.81395348837209303</v>
      </c>
      <c r="CL844" s="231">
        <f>+CL828*CK844+CJ829*CK843+CJ830*CK842+CJ831*CK841+CJ832*CK840+CJ833*CK839+CJ834*CK838+CJ835*CK837+CJ836*CK836+CJ837*CK835+CJ838*CK834+CJ839*CK833+CJ840*CK832+CJ841*CK831+CJ842*CK830+CJ843*CK829+CJ844</f>
        <v>14991.160207170795</v>
      </c>
      <c r="CM844" s="134">
        <f t="shared" si="1513"/>
        <v>4.8301430663846928E-2</v>
      </c>
      <c r="CN844" s="135">
        <f t="shared" si="1514"/>
        <v>1.4275132725948858E-2</v>
      </c>
      <c r="CO844" s="135">
        <f t="shared" si="1522"/>
        <v>1.4053029446844259E-2</v>
      </c>
      <c r="CP844" s="134">
        <f>VLOOKUP($H844,RoR!$E:$F,2,FALSE)</f>
        <v>4.1625000000000002E-2</v>
      </c>
      <c r="CQ844" s="135">
        <v>1.841352814597208E-2</v>
      </c>
      <c r="CR844" s="135">
        <f t="shared" si="1521"/>
        <v>2.3211471854027922E-2</v>
      </c>
      <c r="CS844" s="135">
        <f t="shared" si="1523"/>
        <v>1.6848912161689364E-2</v>
      </c>
      <c r="CT844" s="135">
        <f t="shared" si="1524"/>
        <v>3.9072621432650924E-2</v>
      </c>
      <c r="CU844" s="139">
        <f t="shared" si="1515"/>
        <v>0.84923979999999999</v>
      </c>
      <c r="CV844" s="335">
        <f t="shared" si="1516"/>
        <v>1.2320012320012319</v>
      </c>
      <c r="CW844" s="335">
        <f t="shared" si="1517"/>
        <v>0.37439939939939942</v>
      </c>
      <c r="CX844" s="335">
        <f t="shared" si="1518"/>
        <v>0.80432100613819935</v>
      </c>
      <c r="CY844" s="335">
        <f t="shared" si="1519"/>
        <v>0.37100152660040037</v>
      </c>
      <c r="CZ844" s="336">
        <f>INDEX('State Tax Lookup'!$D$7:$Z$91,MATCH(Calculation!$C844,'State Tax Lookup'!$B$7:$B$91,0),MATCH($H844,'State Tax Lookup'!$D$6:$Z$6,0))</f>
        <v>0.40745999999999999</v>
      </c>
      <c r="DA844" s="302">
        <v>0.37</v>
      </c>
      <c r="DB844" s="141">
        <v>22.501344408032914</v>
      </c>
      <c r="DC844" s="56">
        <f t="shared" si="1525"/>
        <v>2.0292197532526954E-2</v>
      </c>
      <c r="DD844" s="336">
        <v>4.1625000000000002E-2</v>
      </c>
      <c r="DE844" s="342">
        <v>1.841352814597208E-2</v>
      </c>
      <c r="DF844" s="303">
        <f>VLOOKUP(H844,'HW Dx Data'!$E:$F,2,FALSE)</f>
        <v>684.46914285042885</v>
      </c>
      <c r="DG844" s="364">
        <f ca="1">VLOOKUP(CC844,'ECI - Input Price'!M$13:N$33,2,FALSE)</f>
        <v>129.4</v>
      </c>
      <c r="DH844" s="364"/>
      <c r="DI844" s="364"/>
      <c r="DJ844" s="56">
        <f t="shared" ca="1" si="1534"/>
        <v>2.0297340063674733E-2</v>
      </c>
      <c r="DK844" s="53">
        <f>HLOOKUP(H844,'GDP-PI'!$8:$9,2,FALSE)</f>
        <v>103.64700000000001</v>
      </c>
      <c r="DL844" s="355">
        <f t="shared" si="1527"/>
        <v>1.8246051898256087E-2</v>
      </c>
      <c r="EC844"/>
    </row>
    <row r="845" spans="1:133" s="126" customFormat="1" ht="21" customHeight="1" x14ac:dyDescent="0.4">
      <c r="A845" s="233" t="s">
        <v>230</v>
      </c>
      <c r="B845" s="127" t="s">
        <v>230</v>
      </c>
      <c r="C845" s="127">
        <v>4004218</v>
      </c>
      <c r="D845" s="127" t="s">
        <v>231</v>
      </c>
      <c r="E845" s="127"/>
      <c r="F845" s="127"/>
      <c r="G845" s="127" t="s">
        <v>171</v>
      </c>
      <c r="H845" s="128">
        <v>2015</v>
      </c>
      <c r="I845" s="129"/>
      <c r="J845" s="125">
        <f>IFERROR(INDEX('Labor Expenditures'!$E$7:$W$91,MATCH($C845,'Labor Expenditures'!$C$7:$C$91,0),MATCH($G845,'Labor Expenditures'!$E$5:$W$5,0)),"NA")</f>
        <v>294789.49262681877</v>
      </c>
      <c r="K845" s="125">
        <f t="shared" ca="1" si="1528"/>
        <v>2208.1609934593166</v>
      </c>
      <c r="L845" s="47"/>
      <c r="M845" s="131">
        <f t="shared" ca="1" si="1535"/>
        <v>8.3624749659430161E-2</v>
      </c>
      <c r="N845" s="131"/>
      <c r="O845" s="131"/>
      <c r="P845" s="59">
        <f t="shared" ca="1" si="1541"/>
        <v>8.8236488496586853E-3</v>
      </c>
      <c r="Q845" s="61"/>
      <c r="R845" s="387"/>
      <c r="S845" s="49">
        <f t="shared" ca="1" si="1547"/>
        <v>119.21285565975668</v>
      </c>
      <c r="T845" s="61">
        <f ca="1">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</f>
        <v>-4.4527953406678505E-3</v>
      </c>
      <c r="U845" s="61"/>
      <c r="V845" s="125">
        <f>IFERROR(INDEX('Non-Labor Expenditures'!$E$7:$AA$91,MATCH($C845,'Non-Labor Expenditures'!$C$7:$C$91,0),MATCH($G845,'Non-Labor Expenditures'!$E$5:$AA$5,0)),"NA")</f>
        <v>426910.24440603418</v>
      </c>
      <c r="W845" s="125">
        <f t="shared" si="1529"/>
        <v>4079.8387255806556</v>
      </c>
      <c r="X845" s="131">
        <f t="shared" si="1542"/>
        <v>0.10529240924749128</v>
      </c>
      <c r="Y845" s="131">
        <f t="shared" si="1543"/>
        <v>1.1109907647175236E-2</v>
      </c>
      <c r="Z845" s="131"/>
      <c r="AA845" s="131"/>
      <c r="AB845" s="131"/>
      <c r="AC845" s="125">
        <f t="shared" si="1509"/>
        <v>329287.40392366995</v>
      </c>
      <c r="AD845" s="129"/>
      <c r="AE845" s="133">
        <v>16911.596614354898</v>
      </c>
      <c r="AF845" s="134">
        <v>5.5760535162362353E-2</v>
      </c>
      <c r="AG845" s="59">
        <f t="shared" si="1530"/>
        <v>5.8835617917601538E-3</v>
      </c>
      <c r="AH845" s="134"/>
      <c r="AI845" s="134"/>
      <c r="AJ845" s="129">
        <f t="shared" si="1458"/>
        <v>1050987.1409565229</v>
      </c>
      <c r="AK845" s="134">
        <f t="shared" si="1544"/>
        <v>8.5531876607634297E-2</v>
      </c>
      <c r="AL845" s="129"/>
      <c r="AM845" s="129"/>
      <c r="AN845" s="129"/>
      <c r="AO845" s="129"/>
      <c r="AP845" s="133">
        <f t="shared" si="1545"/>
        <v>236.15725006157308</v>
      </c>
      <c r="AQ845" s="134">
        <f>+BB845/Outputs!$B$23</f>
        <v>0.12215616639174208</v>
      </c>
      <c r="AR845" s="93">
        <f t="shared" si="1531"/>
        <v>0.28048820117677692</v>
      </c>
      <c r="AS845" s="93">
        <f t="shared" si="1532"/>
        <v>0.40619930327358261</v>
      </c>
      <c r="AT845" s="93">
        <f t="shared" si="1533"/>
        <v>0.31331249554964047</v>
      </c>
      <c r="AU845" s="93">
        <f t="shared" ca="1" si="1536"/>
        <v>8.329280551339617E-2</v>
      </c>
      <c r="AV845" s="132">
        <f t="shared" ca="1" si="1549"/>
        <v>118.83614272927778</v>
      </c>
      <c r="AW845" s="134">
        <f t="shared" ca="1" si="1550"/>
        <v>8.329280551339617E-2</v>
      </c>
      <c r="AX845" s="56">
        <f>+AJ845/$AL$20</f>
        <v>0.10551480136674661</v>
      </c>
      <c r="AY845" s="135">
        <f t="shared" ca="1" si="1548"/>
        <v>8.7886238290250541E-3</v>
      </c>
      <c r="AZ845" s="93"/>
      <c r="BA845" s="93"/>
      <c r="BB845" s="234">
        <f>IFERROR(INDEX('Total Customers'!$E$7:$AA$91,MATCH($C845,'Total Customers'!$C$7:$C$91,0),MATCH($G845,'Total Customers'!$E$5:$AA$5,0)),"NA")</f>
        <v>4450370</v>
      </c>
      <c r="BC845" s="269">
        <f t="shared" si="1546"/>
        <v>1.2325869784464842E-2</v>
      </c>
      <c r="BD845" s="92"/>
      <c r="BE845" s="299" t="str">
        <f t="shared" si="1537"/>
        <v>PACIFIC GAS AND ELECTRIC COMPANY</v>
      </c>
      <c r="BF845" s="300">
        <f t="shared" si="1538"/>
        <v>4004218</v>
      </c>
      <c r="BG845" s="231" t="str">
        <f t="shared" si="1539"/>
        <v>CA</v>
      </c>
      <c r="BH845" s="231"/>
      <c r="BI845" s="231" t="str">
        <f t="shared" si="1540"/>
        <v>2015 Y</v>
      </c>
      <c r="BJ845" s="129"/>
      <c r="BK845" s="129"/>
      <c r="BL845" s="129">
        <f>INDEX('Dist. Plant Gas Additions'!$E$7:$AD$91,MATCH($C845,'Dist. Plant Gas Additions'!$C$7:$C$91,0),MATCH(Calculation!$G845,'Dist. Plant Gas Additions'!$E$5:$AD$5,0))</f>
        <v>671886</v>
      </c>
      <c r="BM845" s="129">
        <f>INDEX('Gen. Plant Additions'!$E$7:$AD$91,MATCH($C845,'Gen. Plant Additions'!$C$7:$C$91,0),MATCH(Calculation!$G845,'Gen. Plant Additions'!$E$5:$AD$5,0))</f>
        <v>33336</v>
      </c>
      <c r="BN845" s="301">
        <f t="shared" si="1510"/>
        <v>0.97389930999091678</v>
      </c>
      <c r="BO845" s="231">
        <f t="shared" si="1504"/>
        <v>32465.907397857201</v>
      </c>
      <c r="BP845" s="231">
        <f t="shared" si="1505"/>
        <v>-870.09260214279857</v>
      </c>
      <c r="BQ845" s="129">
        <f>INDEX('Dist Plant Depreciation'!$D$7:$AC$94,MATCH($C845,'Dist Plant Depreciation'!$C$7:$C$94,0),MATCH(Calculation!$G845,'Dist Plant Depreciation'!$D$5:$AC$5,0))</f>
        <v>4600948</v>
      </c>
      <c r="BR845" s="129">
        <f>INDEX('Gen. Plant Depreciation'!$D$7:$AC$94,MATCH($C845,'Gen. Plant Depreciation'!$C$7:$C$94,0),MATCH(Calculation!$G845,'Gen. Plant Depreciation'!$D$5:$AC$5,0))</f>
        <v>34254</v>
      </c>
      <c r="BS845" s="129"/>
      <c r="BT845" s="129"/>
      <c r="BU845" s="129"/>
      <c r="BV845" s="129"/>
      <c r="BW845" s="129"/>
      <c r="BX845" s="137"/>
      <c r="BY845" s="129">
        <f>INDEX('Gross Dx Plant'!$D$7:$AC$91,MATCH($C845,'Gross Dx Plant'!$C$7:$C$91,0),MATCH(Calculation!$G845,'Gross Dx Plant'!$D$5:$AC$5,0))</f>
        <v>8433857</v>
      </c>
      <c r="BZ845" s="129">
        <f>INDEX('Gross Gen Plant'!$D$7:$AC$91,MATCH($C845,'Gross Gen Plant'!$C$7:$C$91,0),MATCH(Calculation!$G845,'Gross Gen Plant'!$D$5:$AC$5,0))</f>
        <v>226029</v>
      </c>
      <c r="CA845" s="129">
        <f t="shared" si="1526"/>
        <v>4024684</v>
      </c>
      <c r="CB845" s="129"/>
      <c r="CC845" s="133">
        <v>2015</v>
      </c>
      <c r="CD845" s="129"/>
      <c r="CE845" s="129"/>
      <c r="CF845" s="129"/>
      <c r="CG845" s="137"/>
      <c r="CH845" s="129">
        <f t="shared" si="1511"/>
        <v>705222</v>
      </c>
      <c r="CI845" s="46">
        <f t="shared" si="1520"/>
        <v>704351.90739785717</v>
      </c>
      <c r="CJ845" s="231">
        <f t="shared" si="1512"/>
        <v>1042.5350087222184</v>
      </c>
      <c r="CK845" s="443">
        <v>0.8</v>
      </c>
      <c r="CL845" s="231">
        <f>+CL828*CK845+CJ829*CK844+CJ830*CK843+CJ831*CK842+CJ832*CK841+CJ833*CK840+CJ834*CK839+CJ835*CK838+CJ836*CK837+CJ837*CK836+CJ838*CK835+CJ839*CK834+CJ840*CK833+CJ841*CK832+CJ842*CK831+CJ843*CK830+CJ844*CK829+CJ845</f>
        <v>15816.149405844473</v>
      </c>
      <c r="CM845" s="134">
        <f t="shared" si="1513"/>
        <v>5.3570824460467514E-2</v>
      </c>
      <c r="CN845" s="135">
        <f t="shared" si="1514"/>
        <v>1.4511605975932422E-2</v>
      </c>
      <c r="CO845" s="135">
        <f t="shared" si="1522"/>
        <v>1.4288484900853327E-2</v>
      </c>
      <c r="CP845" s="134">
        <f>VLOOKUP($H845,RoR!$E:$F,2,FALSE)</f>
        <v>3.8866666666666674E-2</v>
      </c>
      <c r="CQ845" s="135">
        <v>9.5709475431029478E-3</v>
      </c>
      <c r="CR845" s="135">
        <f t="shared" si="1521"/>
        <v>2.9295719123563727E-2</v>
      </c>
      <c r="CS845" s="135">
        <f t="shared" si="1523"/>
        <v>1.6613456707680298E-2</v>
      </c>
      <c r="CT845" s="135">
        <f t="shared" si="1524"/>
        <v>3.5270373279175926E-3</v>
      </c>
      <c r="CU845" s="139">
        <f t="shared" si="1515"/>
        <v>0.84923979999999999</v>
      </c>
      <c r="CV845" s="335">
        <f t="shared" si="1516"/>
        <v>1.3194352816994324</v>
      </c>
      <c r="CW845" s="335">
        <f t="shared" si="1517"/>
        <v>0.33177530017152673</v>
      </c>
      <c r="CX845" s="335">
        <f t="shared" si="1518"/>
        <v>0.78242572977668579</v>
      </c>
      <c r="CY845" s="335">
        <f t="shared" si="1519"/>
        <v>0.34251158643433932</v>
      </c>
      <c r="CZ845" s="336">
        <f>INDEX('State Tax Lookup'!$D$7:$Z$91,MATCH(Calculation!$C845,'State Tax Lookup'!$B$7:$B$91,0),MATCH($H845,'State Tax Lookup'!$D$6:$Z$6,0))</f>
        <v>0.40745999999999999</v>
      </c>
      <c r="DA845" s="302">
        <v>0.37</v>
      </c>
      <c r="DB845" s="141">
        <v>21.965438256483996</v>
      </c>
      <c r="DC845" s="56">
        <f t="shared" si="1525"/>
        <v>-2.4104829172888222E-2</v>
      </c>
      <c r="DD845" s="336">
        <v>3.8866666666666674E-2</v>
      </c>
      <c r="DE845" s="342">
        <v>9.5709475431029478E-3</v>
      </c>
      <c r="DF845" s="303">
        <f>VLOOKUP(H845,'HW Dx Data'!$E:$F,2,FALSE)</f>
        <v>675.61463308665782</v>
      </c>
      <c r="DG845" s="364">
        <f ca="1">VLOOKUP(CC845,'ECI - Input Price'!M$13:N$33,2,FALSE)</f>
        <v>133.5</v>
      </c>
      <c r="DH845" s="364"/>
      <c r="DI845" s="364"/>
      <c r="DJ845" s="56">
        <f t="shared" ca="1" si="1534"/>
        <v>3.1193095773504077E-2</v>
      </c>
      <c r="DK845" s="53">
        <f>HLOOKUP(H845,'GDP-PI'!$8:$9,2,FALSE)</f>
        <v>104.639</v>
      </c>
      <c r="DL845" s="355">
        <f t="shared" si="1527"/>
        <v>9.5254361854427965E-3</v>
      </c>
      <c r="EC845"/>
    </row>
    <row r="846" spans="1:133" s="126" customFormat="1" ht="21" customHeight="1" x14ac:dyDescent="0.4">
      <c r="A846" s="233" t="s">
        <v>230</v>
      </c>
      <c r="B846" s="127" t="s">
        <v>230</v>
      </c>
      <c r="C846" s="127">
        <v>4004218</v>
      </c>
      <c r="D846" s="127" t="s">
        <v>231</v>
      </c>
      <c r="E846" s="127"/>
      <c r="F846" s="127"/>
      <c r="G846" s="127" t="s">
        <v>172</v>
      </c>
      <c r="H846" s="128">
        <v>2016</v>
      </c>
      <c r="I846" s="129"/>
      <c r="J846" s="125">
        <f>IFERROR(INDEX('Labor Expenditures'!$E$7:$W$91,MATCH($C846,'Labor Expenditures'!$C$7:$C$91,0),MATCH($G846,'Labor Expenditures'!$E$5:$W$5,0)),"NA")</f>
        <v>335216.14992524328</v>
      </c>
      <c r="K846" s="125">
        <f t="shared" ca="1" si="1528"/>
        <v>2447.7265419879031</v>
      </c>
      <c r="L846" s="47"/>
      <c r="M846" s="131">
        <f t="shared" ca="1" si="1535"/>
        <v>0.10299961224495852</v>
      </c>
      <c r="N846" s="131"/>
      <c r="O846" s="131"/>
      <c r="P846" s="59">
        <f t="shared" ca="1" si="1541"/>
        <v>1.1629175989154699E-2</v>
      </c>
      <c r="Q846" s="61"/>
      <c r="R846" s="387"/>
      <c r="S846" s="49">
        <f t="shared" ca="1" si="1547"/>
        <v>300.82179348412626</v>
      </c>
      <c r="T846" s="61">
        <f ca="1">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</f>
        <v>0.92560744288311136</v>
      </c>
      <c r="U846" s="61"/>
      <c r="V846" s="125">
        <f>IFERROR(INDEX('Non-Labor Expenditures'!$E$7:$AA$91,MATCH($C846,'Non-Labor Expenditures'!$C$7:$C$91,0),MATCH($G846,'Non-Labor Expenditures'!$E$5:$AA$5,0)),"NA")</f>
        <v>485455.59483220225</v>
      </c>
      <c r="W846" s="125">
        <f t="shared" si="1529"/>
        <v>4591.204460469492</v>
      </c>
      <c r="X846" s="131">
        <f t="shared" si="1542"/>
        <v>0.11808493974653626</v>
      </c>
      <c r="Y846" s="131">
        <f t="shared" si="1543"/>
        <v>1.3332385589135205E-2</v>
      </c>
      <c r="Z846" s="131"/>
      <c r="AA846" s="131"/>
      <c r="AB846" s="131"/>
      <c r="AC846" s="125">
        <f t="shared" si="1509"/>
        <v>340279.77902097325</v>
      </c>
      <c r="AD846" s="129"/>
      <c r="AE846" s="133">
        <v>18230.410534972347</v>
      </c>
      <c r="AF846" s="134">
        <v>7.5091531376465778E-2</v>
      </c>
      <c r="AG846" s="59">
        <f t="shared" si="1530"/>
        <v>8.4782128266195998E-3</v>
      </c>
      <c r="AH846" s="134"/>
      <c r="AI846" s="134"/>
      <c r="AJ846" s="129">
        <f t="shared" si="1458"/>
        <v>1160951.5237784188</v>
      </c>
      <c r="AK846" s="134">
        <f t="shared" si="1544"/>
        <v>9.9510091228221284E-2</v>
      </c>
      <c r="AL846" s="129"/>
      <c r="AM846" s="129"/>
      <c r="AN846" s="129"/>
      <c r="AO846" s="129"/>
      <c r="AP846" s="133">
        <f t="shared" si="1545"/>
        <v>260.68400496025777</v>
      </c>
      <c r="AQ846" s="134">
        <f>+BB846/Outputs!$B$24</f>
        <v>0.12118524794463166</v>
      </c>
      <c r="AR846" s="93">
        <f t="shared" si="1531"/>
        <v>0.28874259007322967</v>
      </c>
      <c r="AS846" s="93">
        <f t="shared" si="1532"/>
        <v>0.41815320010282975</v>
      </c>
      <c r="AT846" s="93">
        <f t="shared" si="1533"/>
        <v>0.29310420982394064</v>
      </c>
      <c r="AU846" s="93">
        <f t="shared" ca="1" si="1536"/>
        <v>0.10075546276326243</v>
      </c>
      <c r="AV846" s="132">
        <f t="shared" ca="1" si="1549"/>
        <v>131.43350458255802</v>
      </c>
      <c r="AW846" s="134">
        <f t="shared" ca="1" si="1550"/>
        <v>0.10075546276326244</v>
      </c>
      <c r="AX846" s="56">
        <f>+AJ846/$AL$21</f>
        <v>0.11290504629762728</v>
      </c>
      <c r="AY846" s="135">
        <f t="shared" ca="1" si="1548"/>
        <v>1.1375800188025007E-2</v>
      </c>
      <c r="AZ846" s="93"/>
      <c r="BA846" s="93"/>
      <c r="BB846" s="234">
        <f>IFERROR(INDEX('Total Customers'!$E$7:$AA$91,MATCH($C846,'Total Customers'!$C$7:$C$91,0),MATCH($G846,'Total Customers'!$E$5:$AA$5,0)),"NA")</f>
        <v>4453482</v>
      </c>
      <c r="BC846" s="269">
        <f t="shared" si="1546"/>
        <v>6.9902332759317774E-4</v>
      </c>
      <c r="BD846" s="92"/>
      <c r="BE846" s="299" t="str">
        <f t="shared" si="1537"/>
        <v>PACIFIC GAS AND ELECTRIC COMPANY</v>
      </c>
      <c r="BF846" s="300">
        <f t="shared" si="1538"/>
        <v>4004218</v>
      </c>
      <c r="BG846" s="231" t="str">
        <f t="shared" si="1539"/>
        <v>CA</v>
      </c>
      <c r="BH846" s="231"/>
      <c r="BI846" s="231" t="str">
        <f t="shared" si="1540"/>
        <v>2016 Y</v>
      </c>
      <c r="BJ846" s="129"/>
      <c r="BK846" s="129"/>
      <c r="BL846" s="129">
        <f>INDEX('Dist. Plant Gas Additions'!$E$7:$AD$91,MATCH($C846,'Dist. Plant Gas Additions'!$C$7:$C$91,0),MATCH(Calculation!$G846,'Dist. Plant Gas Additions'!$E$5:$AD$5,0))</f>
        <v>938464</v>
      </c>
      <c r="BM846" s="129">
        <f>INDEX('Gen. Plant Additions'!$E$7:$AD$91,MATCH($C846,'Gen. Plant Additions'!$C$7:$C$91,0),MATCH(Calculation!$G846,'Gen. Plant Additions'!$E$5:$AD$5,0))</f>
        <v>38772</v>
      </c>
      <c r="BN846" s="301">
        <f t="shared" si="1510"/>
        <v>0.97037838192906478</v>
      </c>
      <c r="BO846" s="231">
        <f t="shared" si="1504"/>
        <v>37623.5106241537</v>
      </c>
      <c r="BP846" s="231">
        <f t="shared" si="1505"/>
        <v>-1148.4893758463004</v>
      </c>
      <c r="BQ846" s="129">
        <f>INDEX('Dist Plant Depreciation'!$D$7:$AC$94,MATCH($C846,'Dist Plant Depreciation'!$C$7:$C$94,0),MATCH(Calculation!$G846,'Dist Plant Depreciation'!$D$5:$AC$5,0))</f>
        <v>4849089</v>
      </c>
      <c r="BR846" s="129">
        <f>INDEX('Gen. Plant Depreciation'!$D$7:$AC$94,MATCH($C846,'Gen. Plant Depreciation'!$C$7:$C$94,0),MATCH(Calculation!$G846,'Gen. Plant Depreciation'!$D$5:$AC$5,0))</f>
        <v>41931</v>
      </c>
      <c r="BS846" s="129"/>
      <c r="BT846" s="129"/>
      <c r="BU846" s="129"/>
      <c r="BV846" s="129"/>
      <c r="BW846" s="129"/>
      <c r="BX846" s="137"/>
      <c r="BY846" s="129">
        <f>INDEX('Gross Dx Plant'!$D$7:$AC$91,MATCH($C846,'Gross Dx Plant'!$C$7:$C$91,0),MATCH(Calculation!$G846,'Gross Dx Plant'!$D$5:$AC$5,0))</f>
        <v>9336286</v>
      </c>
      <c r="BZ846" s="129">
        <f>INDEX('Gross Gen Plant'!$D$7:$AC$91,MATCH($C846,'Gross Gen Plant'!$C$7:$C$91,0),MATCH(Calculation!$G846,'Gross Gen Plant'!$D$5:$AC$5,0))</f>
        <v>284998</v>
      </c>
      <c r="CA846" s="129">
        <f t="shared" si="1526"/>
        <v>4730264</v>
      </c>
      <c r="CB846" s="129"/>
      <c r="CC846" s="133">
        <v>2016</v>
      </c>
      <c r="CD846" s="129"/>
      <c r="CE846" s="129"/>
      <c r="CF846" s="129"/>
      <c r="CG846" s="137"/>
      <c r="CH846" s="129">
        <f t="shared" si="1511"/>
        <v>977236</v>
      </c>
      <c r="CI846" s="46">
        <f t="shared" si="1520"/>
        <v>976087.51062415366</v>
      </c>
      <c r="CJ846" s="231">
        <f t="shared" si="1512"/>
        <v>1453.687118851218</v>
      </c>
      <c r="CK846" s="443">
        <v>0.7857142857142857</v>
      </c>
      <c r="CL846" s="231">
        <f>+CL828*CK846+CJ829*CK845+CJ830*CK844+CJ831*CK843+CJ832*CK842+CJ833*CK841+CJ834*CK840+CJ835*CK839+CJ836*CK838+CJ837*CK837+CJ838*CK836+CJ839*CK835+CJ840*CK834+CJ841*CK833+CJ842*CK832+CJ843*CK831+CJ844*CK830+CJ845*CK829+CJ846</f>
        <v>17037.010952902569</v>
      </c>
      <c r="CM846" s="134">
        <f t="shared" si="1513"/>
        <v>7.4356560128627763E-2</v>
      </c>
      <c r="CN846" s="135">
        <f t="shared" si="1514"/>
        <v>1.4720749394734957E-2</v>
      </c>
      <c r="CO846" s="135">
        <f t="shared" si="1522"/>
        <v>1.4502496032205414E-2</v>
      </c>
      <c r="CP846" s="134">
        <f>VLOOKUP($H846,RoR!$E:$F,2,FALSE)</f>
        <v>3.6658333333333334E-2</v>
      </c>
      <c r="CQ846" s="135">
        <v>1.0483662879041455E-2</v>
      </c>
      <c r="CR846" s="135">
        <f t="shared" si="1521"/>
        <v>2.6174670454291879E-2</v>
      </c>
      <c r="CS846" s="135">
        <f t="shared" si="1523"/>
        <v>1.6399445576328213E-2</v>
      </c>
      <c r="CT846" s="135">
        <f t="shared" si="1524"/>
        <v>4.301363574220729E-3</v>
      </c>
      <c r="CU846" s="139">
        <f t="shared" si="1515"/>
        <v>0.84923979999999999</v>
      </c>
      <c r="CV846" s="335">
        <f t="shared" si="1516"/>
        <v>1.3989193348138562</v>
      </c>
      <c r="CW846" s="335">
        <f t="shared" si="1517"/>
        <v>0.29302682427824522</v>
      </c>
      <c r="CX846" s="335">
        <f t="shared" si="1518"/>
        <v>0.76309497491941802</v>
      </c>
      <c r="CY846" s="335">
        <f t="shared" si="1519"/>
        <v>0.31280857135128509</v>
      </c>
      <c r="CZ846" s="336">
        <f>INDEX('State Tax Lookup'!$D$7:$Z$91,MATCH(Calculation!$C846,'State Tax Lookup'!$B$7:$B$91,0),MATCH($H846,'State Tax Lookup'!$D$6:$Z$6,0))</f>
        <v>0.40745999999999999</v>
      </c>
      <c r="DA846" s="302">
        <v>0.37</v>
      </c>
      <c r="DB846" s="141">
        <v>21.514704387860117</v>
      </c>
      <c r="DC846" s="56">
        <f t="shared" si="1525"/>
        <v>-2.0733603340333865E-2</v>
      </c>
      <c r="DD846" s="336">
        <v>3.6658333333333334E-2</v>
      </c>
      <c r="DE846" s="342">
        <v>1.0483662879041455E-2</v>
      </c>
      <c r="DF846" s="303">
        <f>VLOOKUP(H846,'HW Dx Data'!$E:$F,2,FALSE)</f>
        <v>671.45639385971219</v>
      </c>
      <c r="DG846" s="364">
        <f ca="1">VLOOKUP(CC846,'ECI - Input Price'!M$13:N$33,2,FALSE)</f>
        <v>136.94999999999999</v>
      </c>
      <c r="DH846" s="364"/>
      <c r="DI846" s="364"/>
      <c r="DJ846" s="56">
        <f t="shared" ca="1" si="1534"/>
        <v>2.5514417868782811E-2</v>
      </c>
      <c r="DK846" s="53">
        <f>HLOOKUP(H846,'GDP-PI'!$8:$9,2,FALSE)</f>
        <v>105.736</v>
      </c>
      <c r="DL846" s="355">
        <f t="shared" si="1527"/>
        <v>1.0429090367205095E-2</v>
      </c>
      <c r="EC846"/>
    </row>
    <row r="847" spans="1:133" s="126" customFormat="1" ht="21" customHeight="1" x14ac:dyDescent="0.4">
      <c r="A847" s="233" t="s">
        <v>230</v>
      </c>
      <c r="B847" s="127" t="s">
        <v>230</v>
      </c>
      <c r="C847" s="127">
        <v>4004218</v>
      </c>
      <c r="D847" s="127" t="s">
        <v>231</v>
      </c>
      <c r="E847" s="127"/>
      <c r="F847" s="127"/>
      <c r="G847" s="127" t="s">
        <v>173</v>
      </c>
      <c r="H847" s="128">
        <v>2017</v>
      </c>
      <c r="I847" s="129"/>
      <c r="J847" s="125">
        <f>IFERROR(INDEX('Labor Expenditures'!$E$7:$W$91,MATCH($C847,'Labor Expenditures'!$C$7:$C$91,0),MATCH($G847,'Labor Expenditures'!$E$5:$W$5,0)),"NA")</f>
        <v>330916.043893828</v>
      </c>
      <c r="K847" s="125">
        <f t="shared" ca="1" si="1528"/>
        <v>2356.1128080728231</v>
      </c>
      <c r="L847" s="47"/>
      <c r="M847" s="131">
        <f t="shared" ca="1" si="1535"/>
        <v>-3.8146505877651504E-2</v>
      </c>
      <c r="N847" s="131"/>
      <c r="O847" s="131"/>
      <c r="P847" s="59">
        <f t="shared" ca="1" si="1541"/>
        <v>-4.2299339903997344E-3</v>
      </c>
      <c r="Q847" s="61"/>
      <c r="R847" s="387"/>
      <c r="S847" s="49">
        <f t="shared" ca="1" si="1547"/>
        <v>166.74895056463001</v>
      </c>
      <c r="T847" s="61">
        <f ca="1">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</f>
        <v>-0.59002864988318326</v>
      </c>
      <c r="U847" s="61"/>
      <c r="V847" s="125">
        <f>IFERROR(INDEX('Non-Labor Expenditures'!$E$7:$AA$91,MATCH($C847,'Non-Labor Expenditures'!$C$7:$C$91,0),MATCH($G847,'Non-Labor Expenditures'!$E$5:$AA$5,0)),"NA")</f>
        <v>479228.23814969225</v>
      </c>
      <c r="W847" s="125">
        <f t="shared" si="1529"/>
        <v>4447.5525809476685</v>
      </c>
      <c r="X847" s="131">
        <f t="shared" si="1542"/>
        <v>-3.1788436264230814E-2</v>
      </c>
      <c r="Y847" s="131">
        <f t="shared" si="1543"/>
        <v>-3.5249096597993238E-3</v>
      </c>
      <c r="Z847" s="131"/>
      <c r="AA847" s="131"/>
      <c r="AB847" s="131"/>
      <c r="AC847" s="125">
        <f t="shared" si="1509"/>
        <v>329672.55583851284</v>
      </c>
      <c r="AD847" s="129"/>
      <c r="AE847" s="133">
        <v>19423.825645912406</v>
      </c>
      <c r="AF847" s="134">
        <v>6.340933043414218E-2</v>
      </c>
      <c r="AG847" s="59">
        <f t="shared" si="1530"/>
        <v>7.031241156716374E-3</v>
      </c>
      <c r="AH847" s="134"/>
      <c r="AI847" s="134"/>
      <c r="AJ847" s="129">
        <f t="shared" si="1458"/>
        <v>1139816.8378820331</v>
      </c>
      <c r="AK847" s="134">
        <f t="shared" si="1544"/>
        <v>-1.8372367019245349E-2</v>
      </c>
      <c r="AL847" s="129"/>
      <c r="AM847" s="129"/>
      <c r="AN847" s="129"/>
      <c r="AO847" s="129"/>
      <c r="AP847" s="133">
        <f t="shared" si="1545"/>
        <v>253.60343574003096</v>
      </c>
      <c r="AQ847" s="134">
        <f>+BB847/Outputs!$B$25</f>
        <v>0.12138212804038331</v>
      </c>
      <c r="AR847" s="93">
        <f t="shared" si="1531"/>
        <v>0.29032387739483156</v>
      </c>
      <c r="AS847" s="93">
        <f t="shared" si="1532"/>
        <v>0.42044319948824149</v>
      </c>
      <c r="AT847" s="93">
        <f t="shared" si="1533"/>
        <v>0.28923292311692694</v>
      </c>
      <c r="AU847" s="93">
        <f t="shared" ca="1" si="1536"/>
        <v>-5.9107114589585195E-3</v>
      </c>
      <c r="AV847" s="132">
        <f t="shared" ca="1" si="1549"/>
        <v>130.65893045808255</v>
      </c>
      <c r="AW847" s="134">
        <f t="shared" ca="1" si="1550"/>
        <v>-5.9107114589585872E-3</v>
      </c>
      <c r="AX847" s="56">
        <f>+AJ847/$AL$22</f>
        <v>0.1108865384412018</v>
      </c>
      <c r="AY847" s="135">
        <f t="shared" ca="1" si="1548"/>
        <v>-6.5541833340866337E-4</v>
      </c>
      <c r="AZ847" s="93"/>
      <c r="BA847" s="93"/>
      <c r="BB847" s="234">
        <f>IFERROR(INDEX('Total Customers'!$E$7:$AA$91,MATCH($C847,'Total Customers'!$C$7:$C$91,0),MATCH($G847,'Total Customers'!$E$5:$AA$5,0)),"NA")</f>
        <v>4494485</v>
      </c>
      <c r="BC847" s="269">
        <f t="shared" si="1546"/>
        <v>9.1648274966397228E-3</v>
      </c>
      <c r="BD847" s="92"/>
      <c r="BE847" s="299" t="str">
        <f t="shared" si="1537"/>
        <v>PACIFIC GAS AND ELECTRIC COMPANY</v>
      </c>
      <c r="BF847" s="300">
        <f t="shared" si="1538"/>
        <v>4004218</v>
      </c>
      <c r="BG847" s="231" t="str">
        <f t="shared" si="1539"/>
        <v>CA</v>
      </c>
      <c r="BH847" s="231"/>
      <c r="BI847" s="231" t="str">
        <f t="shared" si="1540"/>
        <v>2017 Y</v>
      </c>
      <c r="BJ847" s="129"/>
      <c r="BK847" s="129"/>
      <c r="BL847" s="129">
        <f>INDEX('Dist. Plant Gas Additions'!$E$7:$AD$91,MATCH($C847,'Dist. Plant Gas Additions'!$C$7:$C$91,0),MATCH(Calculation!$G847,'Dist. Plant Gas Additions'!$E$5:$AD$5,0))</f>
        <v>843826</v>
      </c>
      <c r="BM847" s="129">
        <f>INDEX('Gen. Plant Additions'!$E$7:$AD$91,MATCH($C847,'Gen. Plant Additions'!$C$7:$C$91,0),MATCH(Calculation!$G847,'Gen. Plant Additions'!$E$5:$AD$5,0))</f>
        <v>112560</v>
      </c>
      <c r="BN847" s="301">
        <f t="shared" si="1510"/>
        <v>0.9627288479287841</v>
      </c>
      <c r="BO847" s="231">
        <f t="shared" si="1504"/>
        <v>108364.75912286394</v>
      </c>
      <c r="BP847" s="231">
        <f t="shared" si="1505"/>
        <v>-4195.2408771360642</v>
      </c>
      <c r="BQ847" s="129">
        <f>INDEX('Dist Plant Depreciation'!$D$7:$AC$94,MATCH($C847,'Dist Plant Depreciation'!$C$7:$C$94,0),MATCH(Calculation!$G847,'Dist Plant Depreciation'!$D$5:$AC$5,0))</f>
        <v>5099734</v>
      </c>
      <c r="BR847" s="129">
        <f>INDEX('Gen. Plant Depreciation'!$D$7:$AC$94,MATCH($C847,'Gen. Plant Depreciation'!$C$7:$C$94,0),MATCH(Calculation!$G847,'Gen. Plant Depreciation'!$D$5:$AC$5,0))</f>
        <v>52753</v>
      </c>
      <c r="BS847" s="129"/>
      <c r="BT847" s="129"/>
      <c r="BU847" s="129"/>
      <c r="BV847" s="129"/>
      <c r="BW847" s="129"/>
      <c r="BX847" s="137"/>
      <c r="BY847" s="129">
        <f>INDEX('Gross Dx Plant'!$D$7:$AC$91,MATCH($C847,'Gross Dx Plant'!$C$7:$C$91,0),MATCH(Calculation!$G847,'Gross Dx Plant'!$D$5:$AC$5,0))</f>
        <v>10153337</v>
      </c>
      <c r="BZ847" s="129">
        <f>INDEX('Gross Gen Plant'!$D$7:$AC$91,MATCH($C847,'Gross Gen Plant'!$C$7:$C$91,0),MATCH(Calculation!$G847,'Gross Gen Plant'!$D$5:$AC$5,0))</f>
        <v>393077</v>
      </c>
      <c r="CA847" s="129">
        <f t="shared" si="1526"/>
        <v>5393927</v>
      </c>
      <c r="CB847" s="129"/>
      <c r="CC847" s="133">
        <v>2017</v>
      </c>
      <c r="CD847" s="129"/>
      <c r="CE847" s="129"/>
      <c r="CF847" s="129"/>
      <c r="CG847" s="137"/>
      <c r="CH847" s="129">
        <f t="shared" si="1511"/>
        <v>956386</v>
      </c>
      <c r="CI847" s="46">
        <f t="shared" si="1520"/>
        <v>952190.75912286388</v>
      </c>
      <c r="CJ847" s="231">
        <f t="shared" si="1512"/>
        <v>1336.5420491336661</v>
      </c>
      <c r="CK847" s="443">
        <v>0.77108433734939763</v>
      </c>
      <c r="CL847" s="231">
        <f>+CL828*CK847+CJ829*CK846+CJ830*CK845+CJ831*CK844+CJ832*CK843+CJ833*CK842+CJ834*CK841+CJ835*CK840+CJ836*CK839+CJ837*CK838+CJ838*CK837+CJ839*CK836+CJ840*CK835+CJ841*CK834+CJ842*CK833+CJ843*CK832+CJ844*CK831+CJ845*CK830+CJ846*CK829+CJ847</f>
        <v>18120.998365089028</v>
      </c>
      <c r="CM847" s="134">
        <f t="shared" si="1513"/>
        <v>6.1683304055765394E-2</v>
      </c>
      <c r="CN847" s="135">
        <f t="shared" si="1514"/>
        <v>1.4823881820899996E-2</v>
      </c>
      <c r="CO847" s="135">
        <f t="shared" si="1522"/>
        <v>1.4685412397189124E-2</v>
      </c>
      <c r="CP847" s="134">
        <f>VLOOKUP($H847,RoR!$E:$F,2,FALSE)</f>
        <v>3.7433333333333339E-2</v>
      </c>
      <c r="CQ847" s="135">
        <v>1.9056896421275615E-2</v>
      </c>
      <c r="CR847" s="135">
        <f t="shared" si="1521"/>
        <v>1.8376436912057724E-2</v>
      </c>
      <c r="CS847" s="135">
        <f t="shared" si="1523"/>
        <v>1.6216529211344501E-2</v>
      </c>
      <c r="CT847" s="135">
        <f t="shared" si="1524"/>
        <v>1.3976271617800498E-2</v>
      </c>
      <c r="CU847" s="139">
        <f t="shared" si="1515"/>
        <v>0.90103980000000006</v>
      </c>
      <c r="CV847" s="335">
        <f t="shared" si="1516"/>
        <v>1.3699568463593395</v>
      </c>
      <c r="CW847" s="335">
        <f t="shared" si="1517"/>
        <v>0.30714603739982199</v>
      </c>
      <c r="CX847" s="335">
        <f t="shared" si="1518"/>
        <v>0.77007188472689425</v>
      </c>
      <c r="CY847" s="335">
        <f t="shared" si="1519"/>
        <v>0.32402839633793828</v>
      </c>
      <c r="CZ847" s="336">
        <f>INDEX('State Tax Lookup'!$D$7:$Z$91,MATCH(Calculation!$C847,'State Tax Lookup'!$B$7:$B$91,0),MATCH($H847,'State Tax Lookup'!$D$6:$Z$6,0))</f>
        <v>0.26745999999999998</v>
      </c>
      <c r="DA847" s="302">
        <v>0.37</v>
      </c>
      <c r="DB847" s="141">
        <v>19.350375294696107</v>
      </c>
      <c r="DC847" s="56">
        <f t="shared" si="1525"/>
        <v>-0.10602481201779088</v>
      </c>
      <c r="DD847" s="336">
        <v>3.7433333333333339E-2</v>
      </c>
      <c r="DE847" s="342">
        <v>1.9056896421275615E-2</v>
      </c>
      <c r="DF847" s="303">
        <f>VLOOKUP(H847,'HW Dx Data'!$E:$F,2,FALSE)</f>
        <v>712.42858370229726</v>
      </c>
      <c r="DG847" s="364">
        <f ca="1">VLOOKUP(CC847,'ECI - Input Price'!M$13:N$33,2,FALSE)</f>
        <v>140.44999999999999</v>
      </c>
      <c r="DH847" s="364"/>
      <c r="DI847" s="364"/>
      <c r="DJ847" s="56">
        <f t="shared" ca="1" si="1534"/>
        <v>2.5235657841165486E-2</v>
      </c>
      <c r="DK847" s="53">
        <f>HLOOKUP(H847,'GDP-PI'!$8:$9,2,FALSE)</f>
        <v>107.751</v>
      </c>
      <c r="DL847" s="355">
        <f t="shared" si="1527"/>
        <v>1.8877588227745139E-2</v>
      </c>
      <c r="EC847"/>
    </row>
    <row r="848" spans="1:133" s="126" customFormat="1" ht="21" customHeight="1" x14ac:dyDescent="0.4">
      <c r="A848" s="233" t="s">
        <v>230</v>
      </c>
      <c r="B848" s="127" t="s">
        <v>230</v>
      </c>
      <c r="C848" s="127">
        <v>4004218</v>
      </c>
      <c r="D848" s="127" t="s">
        <v>231</v>
      </c>
      <c r="E848" s="127"/>
      <c r="F848" s="127"/>
      <c r="G848" s="127" t="s">
        <v>174</v>
      </c>
      <c r="H848" s="128">
        <v>2018</v>
      </c>
      <c r="I848" s="129"/>
      <c r="J848" s="125">
        <f>IFERROR(INDEX('Labor Expenditures'!$E$7:$W$91,MATCH($C848,'Labor Expenditures'!$C$7:$C$91,0),MATCH($G848,'Labor Expenditures'!$E$5:$W$5,0)),"NA")</f>
        <v>345557.33900176245</v>
      </c>
      <c r="K848" s="125">
        <f t="shared" ca="1" si="1528"/>
        <v>2392.2280304725682</v>
      </c>
      <c r="L848" s="47"/>
      <c r="M848" s="131">
        <f t="shared" ca="1" si="1535"/>
        <v>1.521201618136408E-2</v>
      </c>
      <c r="N848" s="131"/>
      <c r="O848" s="131"/>
      <c r="P848" s="59">
        <f t="shared" ca="1" si="1541"/>
        <v>1.6559660633896352E-3</v>
      </c>
      <c r="Q848" s="61"/>
      <c r="R848" s="387"/>
      <c r="S848" s="49">
        <f t="shared" ca="1" si="1547"/>
        <v>115.2654084120614</v>
      </c>
      <c r="T848" s="61">
        <f ca="1">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</f>
        <v>-0.36925202282079772</v>
      </c>
      <c r="U848" s="61"/>
      <c r="V848" s="125">
        <f>IFERROR(INDEX('Non-Labor Expenditures'!$E$7:$AA$91,MATCH($C848,'Non-Labor Expenditures'!$C$7:$C$91,0),MATCH($G848,'Non-Labor Expenditures'!$E$5:$AA$5,0)),"NA")</f>
        <v>500431.56808269583</v>
      </c>
      <c r="W848" s="125">
        <f t="shared" si="1529"/>
        <v>4536.0994913316999</v>
      </c>
      <c r="X848" s="131">
        <f t="shared" si="1542"/>
        <v>1.971353682684697E-2</v>
      </c>
      <c r="Y848" s="131">
        <f t="shared" si="1543"/>
        <v>2.1459974526343859E-3</v>
      </c>
      <c r="Z848" s="131"/>
      <c r="AA848" s="131"/>
      <c r="AB848" s="131"/>
      <c r="AC848" s="125">
        <f t="shared" si="1509"/>
        <v>365389.19139445754</v>
      </c>
      <c r="AD848" s="129"/>
      <c r="AE848" s="133">
        <v>20615.009437323446</v>
      </c>
      <c r="AF848" s="134">
        <v>5.951898533061447E-2</v>
      </c>
      <c r="AG848" s="59">
        <f t="shared" si="1530"/>
        <v>6.4791818954037534E-3</v>
      </c>
      <c r="AH848" s="134"/>
      <c r="AI848" s="134"/>
      <c r="AJ848" s="129">
        <f t="shared" si="1458"/>
        <v>1211378.0984789159</v>
      </c>
      <c r="AK848" s="134">
        <f t="shared" si="1544"/>
        <v>6.0891054915767559E-2</v>
      </c>
      <c r="AL848" s="129"/>
      <c r="AM848" s="129"/>
      <c r="AN848" s="129"/>
      <c r="AO848" s="129"/>
      <c r="AP848" s="133">
        <f t="shared" si="1545"/>
        <v>270.84687763150163</v>
      </c>
      <c r="AQ848" s="134">
        <f>+BB848/Outputs!$B$26</f>
        <v>0.11973205739269976</v>
      </c>
      <c r="AR848" s="93">
        <f t="shared" si="1531"/>
        <v>0.28525968847849109</v>
      </c>
      <c r="AS848" s="93">
        <f t="shared" si="1532"/>
        <v>0.41310930807736235</v>
      </c>
      <c r="AT848" s="93">
        <f t="shared" si="1533"/>
        <v>0.30163100344414651</v>
      </c>
      <c r="AU848" s="93">
        <f t="shared" ca="1" si="1536"/>
        <v>3.0177837975087593E-2</v>
      </c>
      <c r="AV848" s="132">
        <f t="shared" ca="1" si="1549"/>
        <v>134.66203318604363</v>
      </c>
      <c r="AW848" s="134">
        <f t="shared" ca="1" si="1550"/>
        <v>3.0177837975087506E-2</v>
      </c>
      <c r="AX848" s="56">
        <f>+AJ848/$AL$23</f>
        <v>0.10885907848417387</v>
      </c>
      <c r="AY848" s="135">
        <f t="shared" ca="1" si="1548"/>
        <v>3.2851316326127332E-3</v>
      </c>
      <c r="AZ848" s="93"/>
      <c r="BA848" s="93"/>
      <c r="BB848" s="234">
        <f>IFERROR(INDEX('Total Customers'!$E$7:$AA$91,MATCH($C848,'Total Customers'!$C$7:$C$91,0),MATCH($G848,'Total Customers'!$E$5:$AA$5,0)),"NA")</f>
        <v>4472557</v>
      </c>
      <c r="BC848" s="269">
        <f t="shared" si="1546"/>
        <v>-4.8908087438007666E-3</v>
      </c>
      <c r="BD848" s="92"/>
      <c r="BE848" s="299" t="str">
        <f t="shared" si="1537"/>
        <v>PACIFIC GAS AND ELECTRIC COMPANY</v>
      </c>
      <c r="BF848" s="300">
        <f t="shared" si="1538"/>
        <v>4004218</v>
      </c>
      <c r="BG848" s="231" t="str">
        <f t="shared" si="1539"/>
        <v>CA</v>
      </c>
      <c r="BH848" s="231"/>
      <c r="BI848" s="231" t="str">
        <f t="shared" si="1540"/>
        <v>2018 Y</v>
      </c>
      <c r="BJ848" s="129"/>
      <c r="BK848" s="129"/>
      <c r="BL848" s="129">
        <f>INDEX('Dist. Plant Gas Additions'!$E$7:$AD$91,MATCH($C848,'Dist. Plant Gas Additions'!$C$7:$C$91,0),MATCH(Calculation!$G848,'Dist. Plant Gas Additions'!$E$5:$AD$5,0))</f>
        <v>959458</v>
      </c>
      <c r="BM848" s="129">
        <f>INDEX('Gen. Plant Additions'!$E$7:$AD$91,MATCH($C848,'Gen. Plant Additions'!$C$7:$C$91,0),MATCH(Calculation!$G848,'Gen. Plant Additions'!$E$5:$AD$5,0))</f>
        <v>61935</v>
      </c>
      <c r="BN848" s="301">
        <f t="shared" si="1510"/>
        <v>0.96000367018520183</v>
      </c>
      <c r="BO848" s="231">
        <f t="shared" si="1504"/>
        <v>59457.827312920475</v>
      </c>
      <c r="BP848" s="231">
        <f t="shared" si="1505"/>
        <v>-2477.1726870795246</v>
      </c>
      <c r="BQ848" s="129">
        <f>INDEX('Dist Plant Depreciation'!$D$7:$AC$94,MATCH($C848,'Dist Plant Depreciation'!$C$7:$C$94,0),MATCH(Calculation!$G848,'Dist Plant Depreciation'!$D$5:$AC$5,0))</f>
        <v>5344337</v>
      </c>
      <c r="BR848" s="129">
        <f>INDEX('Gen. Plant Depreciation'!$D$7:$AC$94,MATCH($C848,'Gen. Plant Depreciation'!$C$7:$C$94,0),MATCH(Calculation!$G848,'Gen. Plant Depreciation'!$D$5:$AC$5,0))</f>
        <v>65706</v>
      </c>
      <c r="BS848" s="129"/>
      <c r="BT848" s="129"/>
      <c r="BU848" s="129"/>
      <c r="BV848" s="129"/>
      <c r="BW848" s="129"/>
      <c r="BX848" s="137"/>
      <c r="BY848" s="129">
        <f>INDEX('Gross Dx Plant'!$D$7:$AC$91,MATCH($C848,'Gross Dx Plant'!$C$7:$C$91,0),MATCH(Calculation!$G848,'Gross Dx Plant'!$D$5:$AC$5,0))</f>
        <v>11048640</v>
      </c>
      <c r="BZ848" s="129">
        <f>INDEX('Gross Gen Plant'!$D$7:$AC$91,MATCH($C848,'Gross Gen Plant'!$C$7:$C$91,0),MATCH(Calculation!$G848,'Gross Gen Plant'!$D$5:$AC$5,0))</f>
        <v>460316</v>
      </c>
      <c r="CA848" s="129">
        <f t="shared" si="1526"/>
        <v>6098913</v>
      </c>
      <c r="CB848" s="129"/>
      <c r="CC848" s="133">
        <v>2018</v>
      </c>
      <c r="CD848" s="129"/>
      <c r="CE848" s="129"/>
      <c r="CF848" s="129"/>
      <c r="CG848" s="137"/>
      <c r="CH848" s="129">
        <f t="shared" si="1511"/>
        <v>1021393</v>
      </c>
      <c r="CI848" s="46">
        <f t="shared" si="1520"/>
        <v>1018915.8273129205</v>
      </c>
      <c r="CJ848" s="231">
        <f t="shared" si="1512"/>
        <v>1349.3130554526249</v>
      </c>
      <c r="CK848" s="443">
        <v>0.75609756097560976</v>
      </c>
      <c r="CL848" s="231">
        <f>+CL828*CK848++CJ829*CK847+CJ830*CK846+CJ831*CK845+CJ832*CK844+CJ833*CK843+CJ834*CK842+CJ835*CK841+CJ836*CK840+CJ837*CK839+CJ838*CK838+CJ839*CK837+CJ840*CK836+CJ841*CK835+CJ842*CK834+CJ843*CK833+CJ844*CK832+CJ845*CK831+CJ846*CK830+CJ847*CK829+CJ848</f>
        <v>19198.713325910707</v>
      </c>
      <c r="CM848" s="134">
        <f t="shared" si="1513"/>
        <v>5.7771866004574048E-2</v>
      </c>
      <c r="CN848" s="135">
        <f t="shared" si="1514"/>
        <v>1.4988031517854611E-2</v>
      </c>
      <c r="CO848" s="135">
        <f t="shared" si="1522"/>
        <v>1.4844220911163187E-2</v>
      </c>
      <c r="CP848" s="134">
        <f>VLOOKUP($H848,RoR!$E:$F,2,FALSE)</f>
        <v>3.9299999999999995E-2</v>
      </c>
      <c r="CQ848" s="135">
        <v>2.386056741932796E-2</v>
      </c>
      <c r="CR848" s="135">
        <f t="shared" si="1521"/>
        <v>1.5439432580672034E-2</v>
      </c>
      <c r="CS848" s="135">
        <f t="shared" si="1523"/>
        <v>1.6057720697370437E-2</v>
      </c>
      <c r="CT848" s="135">
        <f t="shared" si="1524"/>
        <v>3.8270792163076606E-2</v>
      </c>
      <c r="CU848" s="139">
        <f t="shared" si="1515"/>
        <v>0.90103980000000006</v>
      </c>
      <c r="CV848" s="335">
        <f t="shared" si="1516"/>
        <v>1.3048868010700074</v>
      </c>
      <c r="CW848" s="335">
        <f t="shared" si="1517"/>
        <v>0.33886768447837151</v>
      </c>
      <c r="CX848" s="335">
        <f t="shared" si="1518"/>
        <v>0.78602506232557801</v>
      </c>
      <c r="CY848" s="335">
        <f t="shared" si="1519"/>
        <v>0.34756768162358759</v>
      </c>
      <c r="CZ848" s="336">
        <f>INDEX('State Tax Lookup'!$D$7:$Z$91,MATCH(Calculation!$C848,'State Tax Lookup'!$B$7:$B$91,0),MATCH($H848,'State Tax Lookup'!$D$6:$Z$6,0))</f>
        <v>0.26745999999999998</v>
      </c>
      <c r="DA848" s="302">
        <v>0.37</v>
      </c>
      <c r="DB848" s="141">
        <v>20.16385543626544</v>
      </c>
      <c r="DC848" s="56">
        <f t="shared" si="1525"/>
        <v>4.1179852434573949E-2</v>
      </c>
      <c r="DD848" s="336">
        <v>3.9299999999999995E-2</v>
      </c>
      <c r="DE848" s="342">
        <v>2.386056741932796E-2</v>
      </c>
      <c r="DF848" s="303">
        <f>VLOOKUP(H848,'HW Dx Data'!$E:$F,2,FALSE)</f>
        <v>755.13671434174842</v>
      </c>
      <c r="DG848" s="364">
        <f ca="1">VLOOKUP(CC848,'ECI - Input Price'!M$13:N$33,2,FALSE)</f>
        <v>144.44999999999999</v>
      </c>
      <c r="DH848" s="364"/>
      <c r="DI848" s="364"/>
      <c r="DJ848" s="56">
        <f t="shared" ca="1" si="1534"/>
        <v>2.80818733619915E-2</v>
      </c>
      <c r="DK848" s="53">
        <f>HLOOKUP(H848,'GDP-PI'!$8:$9,2,FALSE)</f>
        <v>110.322</v>
      </c>
      <c r="DL848" s="355">
        <f t="shared" si="1527"/>
        <v>2.3580352716508712E-2</v>
      </c>
      <c r="EC848"/>
    </row>
    <row r="849" spans="1:133" s="126" customFormat="1" ht="21" customHeight="1" x14ac:dyDescent="0.4">
      <c r="A849" s="233" t="s">
        <v>230</v>
      </c>
      <c r="B849" s="127" t="s">
        <v>230</v>
      </c>
      <c r="C849" s="127">
        <v>4004218</v>
      </c>
      <c r="D849" s="127" t="s">
        <v>231</v>
      </c>
      <c r="E849" s="127"/>
      <c r="F849" s="127"/>
      <c r="G849" s="127" t="s">
        <v>175</v>
      </c>
      <c r="H849" s="128">
        <v>2019</v>
      </c>
      <c r="I849" s="129"/>
      <c r="J849" s="125">
        <f>IFERROR(INDEX('Labor Expenditures'!$E$7:$W$91,MATCH($C849,'Labor Expenditures'!$C$7:$C$91,0),MATCH($G849,'Labor Expenditures'!$E$5:$W$5,0)),"NA")</f>
        <v>422458.99195655232</v>
      </c>
      <c r="K849" s="125">
        <f t="shared" ca="1" si="1528"/>
        <v>2822.5087152600786</v>
      </c>
      <c r="L849" s="47"/>
      <c r="M849" s="131">
        <f t="shared" ca="1" si="1535"/>
        <v>0.16540094280743153</v>
      </c>
      <c r="N849" s="131"/>
      <c r="O849" s="131"/>
      <c r="P849" s="59">
        <f t="shared" ca="1" si="1541"/>
        <v>2.0694947902446959E-2</v>
      </c>
      <c r="Q849" s="61"/>
      <c r="R849" s="387"/>
      <c r="S849" s="49">
        <f t="shared" ca="1" si="1547"/>
        <v>116.50795028645032</v>
      </c>
      <c r="T849" s="61">
        <f ca="1">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</f>
        <v>1.0722144989825664E-2</v>
      </c>
      <c r="U849" s="61"/>
      <c r="V849" s="125">
        <f>IFERROR(INDEX('Non-Labor Expenditures'!$E$7:$AA$91,MATCH($C849,'Non-Labor Expenditures'!$C$7:$C$91,0),MATCH($G849,'Non-Labor Expenditures'!$E$5:$AA$5,0)),"NA")</f>
        <v>611799.52480874443</v>
      </c>
      <c r="W849" s="125">
        <f t="shared" si="1529"/>
        <v>5447.0300825223421</v>
      </c>
      <c r="X849" s="131">
        <f t="shared" si="1542"/>
        <v>0.18300302125520151</v>
      </c>
      <c r="Y849" s="131">
        <f t="shared" si="1543"/>
        <v>2.2897318035702434E-2</v>
      </c>
      <c r="Z849" s="131"/>
      <c r="AA849" s="131"/>
      <c r="AB849" s="131"/>
      <c r="AC849" s="125">
        <f t="shared" si="1509"/>
        <v>391246.50950777321</v>
      </c>
      <c r="AD849" s="129"/>
      <c r="AE849" s="133">
        <v>21655.196641103303</v>
      </c>
      <c r="AF849" s="134">
        <v>4.9226031310247831E-2</v>
      </c>
      <c r="AG849" s="59">
        <f t="shared" si="1530"/>
        <v>6.159155662104422E-3</v>
      </c>
      <c r="AH849" s="134"/>
      <c r="AI849" s="134"/>
      <c r="AJ849" s="129">
        <f t="shared" si="1458"/>
        <v>1425505.0262730699</v>
      </c>
      <c r="AK849" s="134">
        <f t="shared" si="1544"/>
        <v>0.16276751944729292</v>
      </c>
      <c r="AL849" s="129"/>
      <c r="AM849" s="129"/>
      <c r="AN849" s="129"/>
      <c r="AO849" s="129"/>
      <c r="AP849" s="133">
        <f t="shared" si="1545"/>
        <v>315.52199532995223</v>
      </c>
      <c r="AQ849" s="134">
        <f>+BB849/Outputs!$B$27</f>
        <v>0.11994913414979906</v>
      </c>
      <c r="AR849" s="93">
        <f t="shared" si="1531"/>
        <v>0.296357420121524</v>
      </c>
      <c r="AS849" s="93">
        <f t="shared" si="1532"/>
        <v>0.42918089626682809</v>
      </c>
      <c r="AT849" s="93">
        <f t="shared" si="1533"/>
        <v>0.27446168361164797</v>
      </c>
      <c r="AU849" s="93">
        <f t="shared" ca="1" si="1536"/>
        <v>0.13935021346731802</v>
      </c>
      <c r="AV849" s="132">
        <f t="shared" ca="1" si="1549"/>
        <v>154.79759039862063</v>
      </c>
      <c r="AW849" s="134">
        <f t="shared" ca="1" si="1550"/>
        <v>0.13935021346731807</v>
      </c>
      <c r="AX849" s="56">
        <f>+AJ849/$AL$24</f>
        <v>0.12511989080099201</v>
      </c>
      <c r="AY849" s="135">
        <f t="shared" ca="1" si="1548"/>
        <v>1.7435483492125762E-2</v>
      </c>
      <c r="AZ849" s="93"/>
      <c r="BA849" s="93"/>
      <c r="BB849" s="234">
        <f>IFERROR(INDEX('Total Customers'!$E$7:$AA$91,MATCH($C849,'Total Customers'!$C$7:$C$91,0),MATCH($G849,'Total Customers'!$E$5:$AA$5,0)),"NA")</f>
        <v>4517926</v>
      </c>
      <c r="BC849" s="269">
        <f t="shared" si="1546"/>
        <v>1.0092758113391888E-2</v>
      </c>
      <c r="BD849" s="92"/>
      <c r="BE849" s="299" t="str">
        <f t="shared" si="1537"/>
        <v>PACIFIC GAS AND ELECTRIC COMPANY</v>
      </c>
      <c r="BF849" s="300">
        <f t="shared" si="1538"/>
        <v>4004218</v>
      </c>
      <c r="BG849" s="231" t="str">
        <f t="shared" si="1539"/>
        <v>CA</v>
      </c>
      <c r="BH849" s="231"/>
      <c r="BI849" s="231" t="str">
        <f t="shared" si="1540"/>
        <v>2019 Y</v>
      </c>
      <c r="BJ849" s="129"/>
      <c r="BK849" s="129"/>
      <c r="BL849" s="129">
        <f>INDEX('Dist. Plant Gas Additions'!$E$7:$AD$91,MATCH($C849,'Dist. Plant Gas Additions'!$C$7:$C$91,0),MATCH(Calculation!$G849,'Dist. Plant Gas Additions'!$E$5:$AD$5,0))</f>
        <v>914707</v>
      </c>
      <c r="BM849" s="129">
        <f>INDEX('Gen. Plant Additions'!$E$7:$AD$91,MATCH($C849,'Gen. Plant Additions'!$C$7:$C$91,0),MATCH(Calculation!$G849,'Gen. Plant Additions'!$E$5:$AD$5,0))</f>
        <v>24821</v>
      </c>
      <c r="BN849" s="301">
        <f t="shared" si="1510"/>
        <v>0.9609951437168357</v>
      </c>
      <c r="BO849" s="231">
        <f t="shared" si="1504"/>
        <v>23852.860462195578</v>
      </c>
      <c r="BP849" s="231">
        <f t="shared" si="1505"/>
        <v>-968.13953780442171</v>
      </c>
      <c r="BQ849" s="129">
        <f>INDEX('Dist Plant Depreciation'!$D$7:$AC$94,MATCH($C849,'Dist Plant Depreciation'!$C$7:$C$94,0),MATCH(Calculation!$G849,'Dist Plant Depreciation'!$D$5:$AC$5,0))</f>
        <v>5623609</v>
      </c>
      <c r="BR849" s="129">
        <f>INDEX('Gen. Plant Depreciation'!$D$7:$AC$94,MATCH($C849,'Gen. Plant Depreciation'!$C$7:$C$94,0),MATCH(Calculation!$G849,'Gen. Plant Depreciation'!$D$5:$AC$5,0))</f>
        <v>78244</v>
      </c>
      <c r="BS849" s="129"/>
      <c r="BT849" s="129"/>
      <c r="BU849" s="129"/>
      <c r="BV849" s="129"/>
      <c r="BW849" s="129"/>
      <c r="BX849" s="137"/>
      <c r="BY849" s="129">
        <f>INDEX('Gross Dx Plant'!$D$7:$AC$91,MATCH($C849,'Gross Dx Plant'!$C$7:$C$91,0),MATCH(Calculation!$G849,'Gross Dx Plant'!$D$5:$AC$5,0))</f>
        <v>11929220</v>
      </c>
      <c r="BZ849" s="129">
        <f>INDEX('Gross Gen Plant'!$D$7:$AC$91,MATCH($C849,'Gross Gen Plant'!$C$7:$C$91,0),MATCH(Calculation!$G849,'Gross Gen Plant'!$D$5:$AC$5,0))</f>
        <v>484183</v>
      </c>
      <c r="CA849" s="129">
        <f t="shared" si="1526"/>
        <v>6711550</v>
      </c>
      <c r="CB849" s="129"/>
      <c r="CC849" s="133">
        <v>2019</v>
      </c>
      <c r="CD849" s="129"/>
      <c r="CE849" s="129"/>
      <c r="CF849" s="129"/>
      <c r="CG849" s="137"/>
      <c r="CH849" s="129">
        <f t="shared" si="1511"/>
        <v>939528</v>
      </c>
      <c r="CI849" s="46">
        <f t="shared" si="1520"/>
        <v>938559.86046219559</v>
      </c>
      <c r="CJ849" s="231">
        <f t="shared" si="1512"/>
        <v>1213.3318410097622</v>
      </c>
      <c r="CK849" s="443">
        <v>0.7407407407407407</v>
      </c>
      <c r="CL849" s="231">
        <f>CL828*CK849+CJ829*CK848+CJ830*CK847+CJ831*CK846+CJ832*CK845+CJ833*CK844+CJ834*CK843+CJ835*CK842+CJ836*CK841+CJ837*CK840+CJ838*CK839+CJ839*CK838+CJ840*CK837+CJ841*CK836+CJ842*CK835+CJ843*CK834+CJ844*CK833+CJ845*CK832+CJ846*CK831+CJ847*CK830+CJ848*CK829+CJ849</f>
        <v>20120.808579011398</v>
      </c>
      <c r="CM849" s="134">
        <f t="shared" si="1513"/>
        <v>4.6911269734962617E-2</v>
      </c>
      <c r="CN849" s="135">
        <f t="shared" si="1514"/>
        <v>1.516958886593801E-2</v>
      </c>
      <c r="CO849" s="135">
        <f t="shared" si="1522"/>
        <v>1.4993834068230872E-2</v>
      </c>
      <c r="CP849" s="134">
        <f>VLOOKUP($H849,RoR!$E:$F,2,FALSE)</f>
        <v>3.3875000000000009E-2</v>
      </c>
      <c r="CQ849" s="135">
        <v>1.8092492884465461E-2</v>
      </c>
      <c r="CR849" s="135">
        <f t="shared" si="1521"/>
        <v>1.5782507115534548E-2</v>
      </c>
      <c r="CS849" s="135">
        <f t="shared" si="1523"/>
        <v>1.5908107540302752E-2</v>
      </c>
      <c r="CT849" s="135">
        <f t="shared" si="1524"/>
        <v>4.8445665544254078E-2</v>
      </c>
      <c r="CU849" s="139">
        <f t="shared" si="1515"/>
        <v>0.90103980000000006</v>
      </c>
      <c r="CV849" s="335">
        <f t="shared" si="1516"/>
        <v>1.513861292459078</v>
      </c>
      <c r="CW849" s="335">
        <f t="shared" si="1517"/>
        <v>0.23699261992619944</v>
      </c>
      <c r="CX849" s="335">
        <f t="shared" si="1518"/>
        <v>0.73619765810468829</v>
      </c>
      <c r="CY849" s="335">
        <f t="shared" si="1519"/>
        <v>0.26412854465362851</v>
      </c>
      <c r="CZ849" s="336">
        <f>INDEX('State Tax Lookup'!$D$7:$Z$91,MATCH(Calculation!$C849,'State Tax Lookup'!$B$7:$B$91,0),MATCH($H849,'State Tax Lookup'!$D$6:$Z$6,0))</f>
        <v>0.26745999999999998</v>
      </c>
      <c r="DA849" s="302">
        <v>0.37</v>
      </c>
      <c r="DB849" s="141">
        <v>20.378788039912259</v>
      </c>
      <c r="DC849" s="56">
        <f t="shared" si="1525"/>
        <v>1.0602891118972092E-2</v>
      </c>
      <c r="DD849" s="336">
        <v>3.3875000000000009E-2</v>
      </c>
      <c r="DE849" s="342">
        <v>1.8092492884465461E-2</v>
      </c>
      <c r="DF849" s="303">
        <f>VLOOKUP(H849,'HW Dx Data'!$E:$F,2,FALSE)</f>
        <v>773.53929793938721</v>
      </c>
      <c r="DG849" s="364">
        <f ca="1">VLOOKUP(CC849,'ECI - Input Price'!M$13:N$33,2,FALSE)</f>
        <v>149.67500000000001</v>
      </c>
      <c r="DH849" s="364"/>
      <c r="DI849" s="364"/>
      <c r="DJ849" s="56">
        <f t="shared" ca="1" si="1534"/>
        <v>3.5532849899171604E-2</v>
      </c>
      <c r="DK849" s="53">
        <f>HLOOKUP(H849,'GDP-PI'!$8:$9,2,FALSE)</f>
        <v>112.318</v>
      </c>
      <c r="DL849" s="355">
        <f t="shared" si="1527"/>
        <v>1.7930771451401852E-2</v>
      </c>
      <c r="EC849"/>
    </row>
    <row r="850" spans="1:133" s="126" customFormat="1" ht="21" customHeight="1" x14ac:dyDescent="0.4">
      <c r="A850" s="233" t="s">
        <v>230</v>
      </c>
      <c r="B850" s="126" t="s">
        <v>230</v>
      </c>
      <c r="C850" s="126">
        <v>4004218</v>
      </c>
      <c r="D850" s="126" t="s">
        <v>231</v>
      </c>
      <c r="G850" s="127" t="s">
        <v>176</v>
      </c>
      <c r="H850" s="128">
        <v>2020</v>
      </c>
      <c r="I850" s="129"/>
      <c r="J850" s="125">
        <f>IFERROR(INDEX('Labor Expenditures'!$E$7:$W$91,MATCH($C850,'Labor Expenditures'!$C$7:$C$91,0),MATCH($G850,'Labor Expenditures'!$E$5:$W$5,0)),"NA")</f>
        <v>421550.71411270759</v>
      </c>
      <c r="K850" s="125">
        <f t="shared" ca="1" si="1528"/>
        <v>2752.5348619830725</v>
      </c>
      <c r="L850" s="47"/>
      <c r="M850" s="131">
        <f t="shared" ca="1" si="1535"/>
        <v>-2.5103849712188427E-2</v>
      </c>
      <c r="N850" s="131"/>
      <c r="O850" s="131"/>
      <c r="P850" s="59">
        <f t="shared" ca="1" si="1541"/>
        <v>-3.1552823319860694E-3</v>
      </c>
      <c r="Q850" s="61"/>
      <c r="R850" s="387"/>
      <c r="S850" s="49">
        <f t="shared" ca="1" si="1547"/>
        <v>117.08169719587396</v>
      </c>
      <c r="T850" s="61">
        <f ca="1">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</f>
        <v>4.9124442749701033E-3</v>
      </c>
      <c r="U850" s="61"/>
      <c r="V850" s="125">
        <f>IFERROR(INDEX('Non-Labor Expenditures'!$E$7:$AA$91,MATCH($C850,'Non-Labor Expenditures'!$C$7:$C$91,0),MATCH($G850,'Non-Labor Expenditures'!$E$5:$AA$5,0)),"NA")</f>
        <v>610484.16884795646</v>
      </c>
      <c r="W850" s="125">
        <f t="shared" si="1529"/>
        <v>5372.8925380244882</v>
      </c>
      <c r="X850" s="131">
        <f t="shared" si="1542"/>
        <v>-1.3704109976212891E-2</v>
      </c>
      <c r="Y850" s="131">
        <f t="shared" si="1543"/>
        <v>-1.7224583710977409E-3</v>
      </c>
      <c r="Z850" s="131"/>
      <c r="AA850" s="131"/>
      <c r="AB850" s="131"/>
      <c r="AC850" s="125">
        <f t="shared" si="1509"/>
        <v>426223.03078266757</v>
      </c>
      <c r="AD850" s="129"/>
      <c r="AE850" s="133">
        <v>22790.792099463095</v>
      </c>
      <c r="AF850" s="134">
        <v>5.1111143844017506E-2</v>
      </c>
      <c r="AG850" s="59">
        <f t="shared" si="1530"/>
        <v>6.424117853937243E-3</v>
      </c>
      <c r="AH850" s="134"/>
      <c r="AI850" s="134"/>
      <c r="AJ850" s="129">
        <f t="shared" si="1458"/>
        <v>1458257.9137433316</v>
      </c>
      <c r="AK850" s="134">
        <f t="shared" si="1544"/>
        <v>2.2716358177485553E-2</v>
      </c>
      <c r="AL850" s="129"/>
      <c r="AM850" s="129"/>
      <c r="AN850" s="129"/>
      <c r="AO850" s="129"/>
      <c r="AP850" s="133">
        <f t="shared" si="1545"/>
        <v>322.77153582049192</v>
      </c>
      <c r="AQ850" s="134">
        <f>+BB850/Outputs!$B$28</f>
        <v>0.11910210515496221</v>
      </c>
      <c r="AR850" s="93">
        <f t="shared" si="1531"/>
        <v>0.28907829687725928</v>
      </c>
      <c r="AS850" s="93">
        <f t="shared" si="1532"/>
        <v>0.41863936625644671</v>
      </c>
      <c r="AT850" s="93">
        <f t="shared" si="1533"/>
        <v>0.29228233686629401</v>
      </c>
      <c r="AU850" s="93">
        <f t="shared" ca="1" si="1536"/>
        <v>1.3258113900097603E-3</v>
      </c>
      <c r="AV850" s="132">
        <f t="shared" ca="1" si="1549"/>
        <v>155.00295891699494</v>
      </c>
      <c r="AW850" s="134">
        <f t="shared" ca="1" si="1550"/>
        <v>1.3258113900096987E-3</v>
      </c>
      <c r="AX850" s="56">
        <f>+AJ850/$AL$25</f>
        <v>0.12568918186496775</v>
      </c>
      <c r="AY850" s="135">
        <f t="shared" ca="1" si="1548"/>
        <v>1.6664014891757469E-4</v>
      </c>
      <c r="AZ850" s="93"/>
      <c r="BA850" s="93"/>
      <c r="BB850" s="234">
        <v>4517926</v>
      </c>
      <c r="BC850" s="269">
        <f t="shared" si="1546"/>
        <v>0</v>
      </c>
      <c r="BD850" s="92"/>
      <c r="BE850" s="299" t="str">
        <f t="shared" si="1537"/>
        <v>PACIFIC GAS AND ELECTRIC COMPANY</v>
      </c>
      <c r="BF850" s="300">
        <f t="shared" si="1538"/>
        <v>4004218</v>
      </c>
      <c r="BG850" s="231" t="str">
        <f t="shared" si="1539"/>
        <v>CA</v>
      </c>
      <c r="BH850" s="231"/>
      <c r="BI850" s="231" t="str">
        <f t="shared" si="1540"/>
        <v>2020 Y</v>
      </c>
      <c r="BJ850" s="129"/>
      <c r="BK850" s="129"/>
      <c r="BL850" s="129">
        <f>INDEX('Dist. Plant Gas Additions'!$E$7:$AD$91,MATCH($C850,'Dist. Plant Gas Additions'!$C$7:$C$91,0),MATCH(Calculation!$G850,'Dist. Plant Gas Additions'!$E$5:$AD$5,0))</f>
        <v>1051764</v>
      </c>
      <c r="BM850" s="129">
        <f>INDEX('Gen. Plant Additions'!$E$7:$AD$91,MATCH($C850,'Gen. Plant Additions'!$C$7:$C$91,0),MATCH(Calculation!$G850,'Gen. Plant Additions'!$E$5:$AD$5,0))</f>
        <v>23837</v>
      </c>
      <c r="BN850" s="301">
        <f t="shared" si="1510"/>
        <v>0.96338622266384566</v>
      </c>
      <c r="BO850" s="231">
        <f t="shared" si="1504"/>
        <v>22964.237389638089</v>
      </c>
      <c r="BP850" s="231">
        <f t="shared" si="1505"/>
        <v>-872.76261036191136</v>
      </c>
      <c r="BQ850" s="129">
        <f>INDEX('Dist Plant Depreciation'!$D$7:$AC$94,MATCH($C850,'Dist Plant Depreciation'!$C$7:$C$94,0),MATCH(Calculation!$G850,'Dist Plant Depreciation'!$D$5:$AC$5,0))</f>
        <v>5894624</v>
      </c>
      <c r="BR850" s="129">
        <f>INDEX('Gen. Plant Depreciation'!$D$7:$AC$94,MATCH($C850,'Gen. Plant Depreciation'!$C$7:$C$94,0),MATCH(Calculation!$G850,'Gen. Plant Depreciation'!$D$5:$AC$5,0))</f>
        <v>87470</v>
      </c>
      <c r="BS850" s="129"/>
      <c r="BT850" s="129"/>
      <c r="BU850" s="129"/>
      <c r="BV850" s="129"/>
      <c r="BW850" s="129"/>
      <c r="BX850" s="137"/>
      <c r="BY850" s="129">
        <f>INDEX('Gross Dx Plant'!$D$7:$AC$91,MATCH($C850,'Gross Dx Plant'!$C$7:$C$91,0),MATCH(Calculation!$G850,'Gross Dx Plant'!$D$5:$AC$5,0))</f>
        <v>12938513</v>
      </c>
      <c r="BZ850" s="129">
        <f>INDEX('Gross Gen Plant'!$D$7:$AC$91,MATCH($C850,'Gross Gen Plant'!$C$7:$C$91,0),MATCH(Calculation!$G850,'Gross Gen Plant'!$D$5:$AC$5,0))</f>
        <v>491732</v>
      </c>
      <c r="CA850" s="129">
        <f t="shared" si="1526"/>
        <v>7448151</v>
      </c>
      <c r="CB850" s="129"/>
      <c r="CC850" s="133">
        <v>2020</v>
      </c>
      <c r="CD850" s="129"/>
      <c r="CE850" s="129"/>
      <c r="CF850" s="129"/>
      <c r="CG850" s="137"/>
      <c r="CH850" s="129">
        <f t="shared" si="1511"/>
        <v>1075601</v>
      </c>
      <c r="CI850" s="46">
        <f t="shared" si="1520"/>
        <v>1074728.2373896381</v>
      </c>
      <c r="CJ850" s="231">
        <f t="shared" si="1512"/>
        <v>1321.7986208636009</v>
      </c>
      <c r="CK850" s="443">
        <v>0.72499999999999998</v>
      </c>
      <c r="CL850" s="231">
        <f>CL828*CK850+CJ829*CK849+CJ830*CK848+CJ831*CK847+CJ832*CK846+CJ833*CK845+CJ834*CK844+CJ835*CK843+CJ836*CK842+CJ837*CK841+CJ838*CK840+CJ839*CK839+CJ840*CK838+CJ841*CK837+CJ842*CK836+CJ843*CK835+CJ844*CK834+CJ845*CK833+CJ846*CK832+CJ847*CK831+CJ848*CK830+CJ849*CK829+CJ850</f>
        <v>21132.589623047123</v>
      </c>
      <c r="CM850" s="134">
        <f t="shared" si="1513"/>
        <v>4.9061848569718999E-2</v>
      </c>
      <c r="CN850" s="135">
        <f t="shared" si="1514"/>
        <v>1.5407809065450032E-2</v>
      </c>
      <c r="CO850" s="135">
        <f t="shared" si="1522"/>
        <v>1.5188476483080885E-2</v>
      </c>
      <c r="CP850" s="134">
        <f>VLOOKUP($H850,RoR!$E:$F,2,FALSE)</f>
        <v>2.4766666666666666E-2</v>
      </c>
      <c r="CQ850" s="135">
        <v>1.1618796630994188E-2</v>
      </c>
      <c r="CR850" s="135">
        <f t="shared" si="1521"/>
        <v>1.3147870035672478E-2</v>
      </c>
      <c r="CS850" s="135">
        <f t="shared" si="1523"/>
        <v>1.5713465125452741E-2</v>
      </c>
      <c r="CT850" s="135">
        <f t="shared" si="1524"/>
        <v>4.5144642961987357E-2</v>
      </c>
      <c r="CU850" s="139">
        <f t="shared" si="1515"/>
        <v>0.90103980000000006</v>
      </c>
      <c r="CV850" s="335">
        <f t="shared" si="1516"/>
        <v>2.0706077233668081</v>
      </c>
      <c r="CW850" s="335">
        <f t="shared" si="1517"/>
        <v>-3.4421265141318998E-2</v>
      </c>
      <c r="CX850" s="335">
        <f t="shared" si="1518"/>
        <v>0.62416226176410472</v>
      </c>
      <c r="CY850" s="335">
        <f t="shared" si="1519"/>
        <v>-4.4485877841158712E-2</v>
      </c>
      <c r="CZ850" s="336">
        <f>INDEX('State Tax Lookup'!$D$7:$Z$91,MATCH(Calculation!$C850,'State Tax Lookup'!$B$7:$B$91,0),MATCH($H850,'State Tax Lookup'!$D$6:$Z$6,0))</f>
        <v>0.26745999999999998</v>
      </c>
      <c r="DA850" s="302">
        <v>0.37</v>
      </c>
      <c r="DB850" s="141">
        <v>21.183195949057097</v>
      </c>
      <c r="DC850" s="56">
        <f t="shared" si="1525"/>
        <v>3.871366554129009E-2</v>
      </c>
      <c r="DD850" s="336">
        <v>2.4766666666666666E-2</v>
      </c>
      <c r="DE850" s="342">
        <v>1.1618796630994188E-2</v>
      </c>
      <c r="DF850" s="303">
        <f>VLOOKUP(H850,'HW Dx Data'!$E:$F,2,FALSE)</f>
        <v>813.080162458833</v>
      </c>
      <c r="DG850" s="364">
        <f ca="1">VLOOKUP(CC850,'ECI - Input Price'!M$13:N$33,2,FALSE)</f>
        <v>153.15</v>
      </c>
      <c r="DH850" s="364"/>
      <c r="DI850" s="364"/>
      <c r="DJ850" s="56">
        <f t="shared" ca="1" si="1534"/>
        <v>2.2951556467368479E-2</v>
      </c>
      <c r="DK850" s="53">
        <f>HLOOKUP(H850,'GDP-PI'!$8:$9,2,FALSE)</f>
        <v>113.623</v>
      </c>
      <c r="DL850" s="355">
        <f t="shared" si="1527"/>
        <v>1.1551816731392881E-2</v>
      </c>
      <c r="EC850"/>
    </row>
    <row r="851" spans="1:133" s="126" customFormat="1" ht="21" customHeight="1" x14ac:dyDescent="0.4">
      <c r="A851" s="233" t="s">
        <v>230</v>
      </c>
      <c r="B851" s="126" t="s">
        <v>230</v>
      </c>
      <c r="C851" s="126">
        <v>4004218</v>
      </c>
      <c r="D851" s="126" t="s">
        <v>231</v>
      </c>
      <c r="G851" s="127" t="s">
        <v>177</v>
      </c>
      <c r="H851" s="128">
        <v>2021</v>
      </c>
      <c r="I851" s="129"/>
      <c r="J851" s="125">
        <v>476245.32590278739</v>
      </c>
      <c r="K851" s="125">
        <f t="shared" ca="1" si="1528"/>
        <v>3028.5871281576306</v>
      </c>
      <c r="L851" s="47"/>
      <c r="M851" s="130">
        <f t="shared" ca="1" si="1535"/>
        <v>9.5573961329761301E-2</v>
      </c>
      <c r="N851" s="130"/>
      <c r="O851" s="130"/>
      <c r="P851" s="59">
        <f t="shared" ca="1" si="1541"/>
        <v>1.4443565376834406E-2</v>
      </c>
      <c r="Q851" s="61"/>
      <c r="R851" s="387"/>
      <c r="S851" s="132">
        <f ca="1">+S850*EXP(T851)</f>
        <v>120.55333221344392</v>
      </c>
      <c r="T851" s="134">
        <f ca="1">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</f>
        <v>2.9220288244707487E-2</v>
      </c>
      <c r="U851" s="134"/>
      <c r="V851" s="125">
        <v>671333.7726581461</v>
      </c>
      <c r="W851" s="125">
        <f t="shared" si="1529"/>
        <v>5665.7420259781093</v>
      </c>
      <c r="X851" s="131">
        <f t="shared" si="1542"/>
        <v>5.3071459008909388E-2</v>
      </c>
      <c r="Y851" s="131">
        <f t="shared" si="1543"/>
        <v>8.0203967395926345E-3</v>
      </c>
      <c r="Z851" s="131"/>
      <c r="AA851" s="131"/>
      <c r="AB851" s="131"/>
      <c r="AC851" s="125">
        <f t="shared" si="1509"/>
        <v>793641.33243016957</v>
      </c>
      <c r="AD851" s="129"/>
      <c r="AE851" s="133">
        <v>23472.681483873348</v>
      </c>
      <c r="AF851" s="134"/>
      <c r="AG851" s="59">
        <f t="shared" si="1530"/>
        <v>0</v>
      </c>
      <c r="AH851" s="134"/>
      <c r="AI851" s="134"/>
      <c r="AJ851" s="129">
        <f t="shared" si="1458"/>
        <v>1941220.4309911029</v>
      </c>
      <c r="AK851" s="134">
        <f t="shared" si="1544"/>
        <v>0.28607434990813763</v>
      </c>
      <c r="AL851" s="129"/>
      <c r="AM851" s="134"/>
      <c r="AN851" s="134"/>
      <c r="AO851" s="134"/>
      <c r="AP851" s="133">
        <f t="shared" si="1545"/>
        <v>425.32903516949068</v>
      </c>
      <c r="AQ851" s="134">
        <f>+BB851/Outputs!$B$29</f>
        <v>0.11822026160768127</v>
      </c>
      <c r="AR851" s="93">
        <f t="shared" si="1531"/>
        <v>0.24533294534698319</v>
      </c>
      <c r="AS851" s="93">
        <f t="shared" si="1532"/>
        <v>0.34583077838068715</v>
      </c>
      <c r="AT851" s="93">
        <f t="shared" si="1533"/>
        <v>0.40883627627232971</v>
      </c>
      <c r="AU851" s="93">
        <f t="shared" ca="1" si="1536"/>
        <v>4.582367267158706E-2</v>
      </c>
      <c r="AV851" s="132">
        <f t="shared" ca="1" si="1549"/>
        <v>162.27101656700583</v>
      </c>
      <c r="AW851" s="134">
        <f t="shared" ca="1" si="1550"/>
        <v>4.5823672671587157E-2</v>
      </c>
      <c r="AX851" s="56">
        <f>+AJ851/$AL$26</f>
        <v>0.15112448177175999</v>
      </c>
      <c r="AY851" s="135">
        <f t="shared" ca="1" si="1548"/>
        <v>6.9250787853723699E-3</v>
      </c>
      <c r="AZ851" s="93"/>
      <c r="BA851" s="93"/>
      <c r="BB851" s="234">
        <f>INDEX('Total Customers'!$D$7:$D$91,MATCH(Calculation!$C851,'Total Customers'!$C$7:$C$91,0))</f>
        <v>4564044</v>
      </c>
      <c r="BC851" s="269">
        <f t="shared" si="1546"/>
        <v>1.0156033636494697E-2</v>
      </c>
      <c r="BD851" s="91"/>
      <c r="BE851" s="299" t="str">
        <f t="shared" si="1537"/>
        <v>PACIFIC GAS AND ELECTRIC COMPANY</v>
      </c>
      <c r="BF851" s="300">
        <f t="shared" si="1538"/>
        <v>4004218</v>
      </c>
      <c r="BG851" s="231" t="str">
        <f t="shared" si="1539"/>
        <v>CA</v>
      </c>
      <c r="BH851" s="231"/>
      <c r="BI851" s="231" t="str">
        <f t="shared" si="1540"/>
        <v>2021 Y</v>
      </c>
      <c r="BJ851" s="129"/>
      <c r="BK851" s="129"/>
      <c r="BL851" s="129">
        <f>INDEX('Dist. Plant Gas Additions'!$D$7:$AD$91,MATCH($C851,'Dist. Plant Gas Additions'!$C$7:$C$91,0),MATCH(Calculation!$G851,'Dist. Plant Gas Additions'!$D$5:$AD$5,0))</f>
        <v>1199092.95</v>
      </c>
      <c r="BM851" s="129">
        <f>INDEX('Gen. Plant Additions'!$D$7:$AD$91,MATCH($C851,'Gen. Plant Additions'!$C$7:$C$91,0),MATCH(Calculation!$G851,'Gen. Plant Additions'!$D$5:$AD$5,0))</f>
        <v>92663.921000000002</v>
      </c>
      <c r="BN851" s="343">
        <v>0.96338622266384566</v>
      </c>
      <c r="BO851" s="231">
        <f t="shared" si="1504"/>
        <v>89271.144829411001</v>
      </c>
      <c r="BP851" s="231">
        <f t="shared" si="1505"/>
        <v>-3392.7761705890007</v>
      </c>
      <c r="BQ851" s="129"/>
      <c r="BR851" s="129"/>
      <c r="BS851" s="137"/>
      <c r="BT851" s="137"/>
      <c r="BU851" s="333"/>
      <c r="BV851" s="93"/>
      <c r="BW851" s="334"/>
      <c r="BX851" s="334"/>
      <c r="BY851" s="129"/>
      <c r="BZ851" s="129"/>
      <c r="CA851" s="129"/>
      <c r="CB851" s="129"/>
      <c r="CC851" s="133">
        <v>2021</v>
      </c>
      <c r="CD851" s="129"/>
      <c r="CE851" s="129"/>
      <c r="CF851" s="129"/>
      <c r="CG851" s="137"/>
      <c r="CH851" s="129">
        <f t="shared" si="1511"/>
        <v>1291756.871</v>
      </c>
      <c r="CI851" s="46">
        <f t="shared" si="1520"/>
        <v>1288364.094829411</v>
      </c>
      <c r="CJ851" s="231">
        <f t="shared" si="1512"/>
        <v>1380.8499751197139</v>
      </c>
      <c r="CK851" s="443">
        <v>0.70886075949367089</v>
      </c>
      <c r="CL851" s="129">
        <f>CL828*CK851+CJ829*CK850+CJ830*CK849+CJ831*CK848+CJ832*CK847+CJ833*CK846+CJ834*CK845+CJ835*CK844+CJ836*CK843+CJ837*CK842+CJ838*CK841+CJ839*CK840+CJ840*CK839+CJ841*CK838+CJ842*CK837+CJ833*CK836+CJ844*CK835+CJ845*CK834+CJ846*CK833+CJ847*CK832+CJ848*CK831+CJ849*CK830+CJ851+CJ850*CK829</f>
        <v>21705.268889747029</v>
      </c>
      <c r="CM851" s="134"/>
      <c r="CN851" s="135">
        <f t="shared" si="1514"/>
        <v>3.8242861988784363E-2</v>
      </c>
      <c r="CO851" s="135">
        <f t="shared" si="1522"/>
        <v>2.2940086640057467E-2</v>
      </c>
      <c r="CP851" s="134">
        <f>VLOOKUP($H851,RoR!$E:$F,2,FALSE)</f>
        <v>2.7033333333333336E-2</v>
      </c>
      <c r="CQ851" s="135"/>
      <c r="CR851" s="135"/>
      <c r="CS851" s="135">
        <f t="shared" si="1523"/>
        <v>7.9618549684761578E-3</v>
      </c>
      <c r="CT851" s="135">
        <f t="shared" si="1524"/>
        <v>7.433422950153494E-2</v>
      </c>
      <c r="CU851" s="139">
        <f t="shared" si="1515"/>
        <v>0.90103980000000006</v>
      </c>
      <c r="CV851" s="335">
        <f t="shared" si="1516"/>
        <v>1.8969932656739068</v>
      </c>
      <c r="CW851" s="335">
        <f t="shared" si="1517"/>
        <v>5.0215782983970621E-2</v>
      </c>
      <c r="CX851" s="335">
        <f t="shared" si="1518"/>
        <v>0.655952481704143</v>
      </c>
      <c r="CY851" s="335">
        <f t="shared" si="1519"/>
        <v>6.2485378865697057E-2</v>
      </c>
      <c r="CZ851" s="336">
        <f>CZ850</f>
        <v>0.26745999999999998</v>
      </c>
      <c r="DA851" s="302">
        <v>0.37</v>
      </c>
      <c r="DB851" s="141">
        <v>37.555327888666675</v>
      </c>
      <c r="DC851" s="135">
        <f>LN(DB852/DB850)</f>
        <v>-0.11745278145306488</v>
      </c>
      <c r="DD851" s="336">
        <v>2.7033333333333336E-2</v>
      </c>
      <c r="DE851" s="342">
        <v>4.2834637353352578E-2</v>
      </c>
      <c r="DF851" s="336">
        <f>VLOOKUP(H851,'HW Dx Data'!$E:$F,2,FALSE)</f>
        <v>933.02249921662576</v>
      </c>
      <c r="DG851" s="364">
        <f ca="1">VLOOKUP(CC851,'ECI - Input Price'!M$13:N$33,2,FALSE)</f>
        <v>157.25</v>
      </c>
      <c r="DH851" s="364"/>
      <c r="DI851" s="364"/>
      <c r="DJ851" s="135">
        <f t="shared" ca="1" si="1534"/>
        <v>2.6419062301765574E-2</v>
      </c>
      <c r="DK851" s="137">
        <f>HLOOKUP(H851,'GDP-PI'!$8:$9,2,FALSE)</f>
        <v>118.49</v>
      </c>
      <c r="DL851" s="356">
        <f t="shared" si="1527"/>
        <v>4.194261824609434E-2</v>
      </c>
      <c r="EC851"/>
    </row>
    <row r="852" spans="1:133" s="126" customFormat="1" ht="21" customHeight="1" thickBot="1" x14ac:dyDescent="0.45">
      <c r="A852" s="235"/>
      <c r="B852" s="236"/>
      <c r="C852" s="236"/>
      <c r="D852" s="236"/>
      <c r="E852" s="236"/>
      <c r="F852" s="236"/>
      <c r="G852" s="237" t="s">
        <v>178</v>
      </c>
      <c r="H852" s="238"/>
      <c r="I852" s="239"/>
      <c r="J852" s="240">
        <v>436652.23748897167</v>
      </c>
      <c r="K852" s="240">
        <f t="shared" ca="1" si="1528"/>
        <v>2686.2641494246177</v>
      </c>
      <c r="L852" s="47"/>
      <c r="M852" s="241">
        <f t="shared" ref="M852" ca="1" si="1551">LN(K852/K851)</f>
        <v>-0.11994478012202495</v>
      </c>
      <c r="N852" s="241"/>
      <c r="O852" s="241"/>
      <c r="P852" s="242">
        <f t="shared" ca="1" si="1541"/>
        <v>-1.3243055940686949E-2</v>
      </c>
      <c r="Q852" s="61"/>
      <c r="R852" s="387"/>
      <c r="S852" s="206">
        <f ca="1">+S851*EXP(T852)</f>
        <v>118.1831377861117</v>
      </c>
      <c r="T852" s="243">
        <f ca="1">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</f>
        <v>-1.9856809527744101E-2</v>
      </c>
      <c r="U852" s="243"/>
      <c r="V852" s="239">
        <v>615521.8287495143</v>
      </c>
      <c r="W852" s="240">
        <f t="shared" si="1529"/>
        <v>4837.1067092299745</v>
      </c>
      <c r="X852" s="244">
        <f t="shared" ref="X852" si="1552">LN(W852/W851)</f>
        <v>-0.15812111555464409</v>
      </c>
      <c r="Y852" s="244">
        <f t="shared" si="1543"/>
        <v>-1.7458090102492618E-2</v>
      </c>
      <c r="Z852" s="206"/>
      <c r="AA852" s="243"/>
      <c r="AB852" s="243"/>
      <c r="AC852" s="240">
        <f t="shared" si="1509"/>
        <v>408834.52059798065</v>
      </c>
      <c r="AD852" s="243"/>
      <c r="AE852" s="245">
        <v>25010.847737980523</v>
      </c>
      <c r="AF852" s="243">
        <v>6.3472385389407665E-2</v>
      </c>
      <c r="AG852" s="242">
        <f t="shared" si="1530"/>
        <v>7.0079610763021166E-3</v>
      </c>
      <c r="AH852" s="206"/>
      <c r="AI852" s="243"/>
      <c r="AJ852" s="239">
        <f t="shared" si="1458"/>
        <v>1461008.5868364666</v>
      </c>
      <c r="AK852" s="243">
        <f t="shared" si="1544"/>
        <v>-0.28418985330144969</v>
      </c>
      <c r="AL852" s="239"/>
      <c r="AM852" s="243"/>
      <c r="AN852" s="243"/>
      <c r="AO852" s="243"/>
      <c r="AP852" s="245">
        <f t="shared" si="1545"/>
        <v>320.76697916266625</v>
      </c>
      <c r="AQ852" s="243"/>
      <c r="AR852" s="207">
        <f t="shared" si="1531"/>
        <v>0.29887041145627913</v>
      </c>
      <c r="AS852" s="207">
        <f t="shared" si="1532"/>
        <v>0.4212992547034296</v>
      </c>
      <c r="AT852" s="207">
        <f t="shared" si="1533"/>
        <v>0.27983033384029127</v>
      </c>
      <c r="AU852" s="207"/>
      <c r="AV852" s="206"/>
      <c r="AW852" s="243"/>
      <c r="AX852" s="248">
        <f>+AJ852/$AL$27</f>
        <v>0.11040960621391128</v>
      </c>
      <c r="AY852" s="249"/>
      <c r="AZ852" s="206"/>
      <c r="BA852" s="243"/>
      <c r="BB852" s="250">
        <v>4554735</v>
      </c>
      <c r="BC852" s="270">
        <f t="shared" si="1546"/>
        <v>-2.0417214264785931E-3</v>
      </c>
      <c r="BD852" s="91"/>
      <c r="BE852" s="306">
        <f t="shared" si="1537"/>
        <v>0</v>
      </c>
      <c r="BF852" s="307">
        <f t="shared" si="1538"/>
        <v>0</v>
      </c>
      <c r="BG852" s="308">
        <f t="shared" si="1539"/>
        <v>0</v>
      </c>
      <c r="BH852" s="308"/>
      <c r="BI852" s="308" t="str">
        <f t="shared" si="1540"/>
        <v>2022Y</v>
      </c>
      <c r="BJ852" s="239"/>
      <c r="BK852" s="239"/>
      <c r="BL852" s="239"/>
      <c r="BM852" s="239"/>
      <c r="BN852" s="337">
        <v>0.96338622266384566</v>
      </c>
      <c r="BO852" s="308">
        <f t="shared" si="1504"/>
        <v>0</v>
      </c>
      <c r="BP852" s="308">
        <f t="shared" si="1505"/>
        <v>0</v>
      </c>
      <c r="BQ852" s="239"/>
      <c r="BR852" s="239"/>
      <c r="BS852" s="310"/>
      <c r="BT852" s="310"/>
      <c r="BU852" s="311"/>
      <c r="BV852" s="207"/>
      <c r="BW852" s="312"/>
      <c r="BX852" s="312"/>
      <c r="BY852" s="239"/>
      <c r="BZ852" s="239"/>
      <c r="CA852" s="239"/>
      <c r="CB852" s="239"/>
      <c r="CC852" s="245">
        <v>2022</v>
      </c>
      <c r="CD852" s="239"/>
      <c r="CE852" s="239"/>
      <c r="CF852" s="239"/>
      <c r="CG852" s="310"/>
      <c r="CH852" s="239">
        <v>1363203</v>
      </c>
      <c r="CI852" s="313">
        <f t="shared" si="1520"/>
        <v>1363203</v>
      </c>
      <c r="CJ852" s="308">
        <f t="shared" si="1512"/>
        <v>1322.4580669570532</v>
      </c>
      <c r="CK852" s="443">
        <v>0.69230769230769229</v>
      </c>
      <c r="CL852" s="239">
        <f>+CL828*CK852+CJ829*CK851+CJ830*CK850+CJ831*CK849+CJ832*CK848+CJ833*CK847+CJ834*CK846+CJ835*CK845+CJ836*CK844+CJ837*CK843+CJ838*CK842+CJ839*CK841+CJ840*CK840+CJ841*CK839+CJ842*CK838+CJ843*CK837+CJ844*CK836+CJ845*CK835+CJ846*CK834+CJ847*CK833+CJ848*CK832+CJ849*CK831+CJ850*CK830+CJ851*CK829+CJ852*CK828</f>
        <v>23153.750199875849</v>
      </c>
      <c r="CM852" s="243">
        <f t="shared" ref="CM852" si="1553">LN(CL852/CL851)</f>
        <v>6.4601726034404755E-2</v>
      </c>
      <c r="CN852" s="249">
        <f t="shared" si="1514"/>
        <v>-5.8061129678654531E-3</v>
      </c>
      <c r="CO852" s="249">
        <f t="shared" si="1522"/>
        <v>1.5948186028789644E-2</v>
      </c>
      <c r="CP852" s="243"/>
      <c r="CQ852" s="249"/>
      <c r="CR852" s="249"/>
      <c r="CS852" s="248">
        <f t="shared" si="1523"/>
        <v>1.4953755579743981E-2</v>
      </c>
      <c r="CT852" s="249">
        <f t="shared" si="1524"/>
        <v>0.10114668178709289</v>
      </c>
      <c r="CU852" s="314">
        <f t="shared" si="1515"/>
        <v>0.90103980000000006</v>
      </c>
      <c r="CV852" s="315">
        <f t="shared" si="1516"/>
        <v>1.2820512820512819</v>
      </c>
      <c r="CW852" s="315">
        <f t="shared" si="1517"/>
        <v>0.35000000000000003</v>
      </c>
      <c r="CX852" s="315">
        <f t="shared" si="1518"/>
        <v>0.79171095533705893</v>
      </c>
      <c r="CY852" s="315">
        <f t="shared" si="1519"/>
        <v>0.35525491585637264</v>
      </c>
      <c r="CZ852" s="316">
        <f>CZ851</f>
        <v>0.26745999999999998</v>
      </c>
      <c r="DA852" s="317">
        <v>0.37</v>
      </c>
      <c r="DB852" s="318">
        <f>+(DF852*CS852-CT852)*CU852/(1-CZ852)</f>
        <v>18.835727061234557</v>
      </c>
      <c r="DC852" s="249">
        <f>LN(DB852/DB851)</f>
        <v>-0.69005981398811578</v>
      </c>
      <c r="DD852" s="316">
        <v>0.04</v>
      </c>
      <c r="DE852" s="319">
        <v>7.0000000000000001E-3</v>
      </c>
      <c r="DF852" s="316">
        <v>1030.81</v>
      </c>
      <c r="DG852" s="364">
        <f ca="1">VLOOKUP(CC852,'ECI - Input Price'!M$13:N$33,2,FALSE)</f>
        <v>162.55000000000001</v>
      </c>
      <c r="DH852" s="364"/>
      <c r="DI852" s="364"/>
      <c r="DJ852" s="249">
        <f t="shared" ca="1" si="1534"/>
        <v>3.3148751169364422E-2</v>
      </c>
      <c r="DK852" s="310">
        <v>127.25</v>
      </c>
      <c r="DL852" s="357">
        <f t="shared" si="1527"/>
        <v>7.1325086601983473E-2</v>
      </c>
      <c r="EC852"/>
    </row>
    <row r="853" spans="1:133" s="126" customFormat="1" ht="21" customHeight="1" x14ac:dyDescent="0.4">
      <c r="A853" s="251" t="s">
        <v>232</v>
      </c>
      <c r="B853" s="252" t="s">
        <v>233</v>
      </c>
      <c r="C853" s="252">
        <v>4057135</v>
      </c>
      <c r="D853" s="252" t="s">
        <v>214</v>
      </c>
      <c r="E853" s="252"/>
      <c r="F853" s="252"/>
      <c r="G853" s="252" t="s">
        <v>150</v>
      </c>
      <c r="H853" s="253">
        <v>1998</v>
      </c>
      <c r="I853" s="254"/>
      <c r="J853" s="255"/>
      <c r="K853" s="255"/>
      <c r="L853" s="47"/>
      <c r="M853" s="255"/>
      <c r="N853" s="255"/>
      <c r="O853" s="255"/>
      <c r="P853" s="219"/>
      <c r="Q853" s="218"/>
      <c r="R853" s="385"/>
      <c r="S853" s="257"/>
      <c r="T853" s="258"/>
      <c r="U853" s="258"/>
      <c r="V853" s="255"/>
      <c r="W853" s="255"/>
      <c r="X853" s="255"/>
      <c r="Y853" s="255"/>
      <c r="Z853" s="255"/>
      <c r="AA853" s="255"/>
      <c r="AB853" s="255"/>
      <c r="AC853" s="255"/>
      <c r="AD853" s="254"/>
      <c r="AE853" s="260">
        <v>4955.7544206043767</v>
      </c>
      <c r="AF853" s="256"/>
      <c r="AG853" s="225"/>
      <c r="AH853" s="256"/>
      <c r="AI853" s="256"/>
      <c r="AJ853" s="254">
        <f t="shared" si="1458"/>
        <v>0</v>
      </c>
      <c r="AK853" s="254"/>
      <c r="AL853" s="254"/>
      <c r="AM853" s="256"/>
      <c r="AN853" s="256"/>
      <c r="AO853" s="256"/>
      <c r="AP853" s="226">
        <f>+(AP850+AP851+AP852)/3</f>
        <v>356.2891833842163</v>
      </c>
      <c r="AQ853" s="256"/>
      <c r="AR853" s="261"/>
      <c r="AS853" s="261"/>
      <c r="AT853" s="261"/>
      <c r="AU853" s="261"/>
      <c r="AV853" s="261"/>
      <c r="AW853" s="256">
        <f ca="1">AVERAGE(AW862:AW876)</f>
        <v>1.0625618377533834E-2</v>
      </c>
      <c r="AX853" s="223"/>
      <c r="AY853" s="261"/>
      <c r="AZ853" s="261"/>
      <c r="BA853" s="261"/>
      <c r="BB853" s="262">
        <f>IFERROR(INDEX('Total Customers'!$E$7:$AA$91,MATCH($C853,'Total Customers'!$C$7:$C$91,0),MATCH($G853,'Total Customers'!$E$5:$AA$5,0)),"NA")</f>
        <v>832509</v>
      </c>
      <c r="BC853" s="268"/>
      <c r="BD853" s="92"/>
      <c r="BE853" s="320" t="str">
        <f t="shared" si="1537"/>
        <v>PEOPLES GAS LIGHT AND COKE COMPANY</v>
      </c>
      <c r="BF853" s="321">
        <f t="shared" si="1538"/>
        <v>4057135</v>
      </c>
      <c r="BG853" s="322" t="str">
        <f t="shared" si="1539"/>
        <v>WI</v>
      </c>
      <c r="BH853" s="322"/>
      <c r="BI853" s="322" t="str">
        <f t="shared" si="1540"/>
        <v>1998 Y</v>
      </c>
      <c r="BJ853" s="254">
        <f>INDEX('Gross Dx Plant'!$D$7:$AC$91,MATCH($C853,'Gross Dx Plant'!$C$7:$C$91,0),MATCH(Calculation!$G853,'Gross Dx Plant'!$D$5:$AC$5,0))</f>
        <v>1399780</v>
      </c>
      <c r="BK853" s="254">
        <f>INDEX('Gross Gen Plant'!$D$7:$AC$91,MATCH($C853,'Gross Gen Plant'!$C$7:$C$91,0),MATCH(Calculation!$G853,'Gross Gen Plant'!$D$5:$AC$5,0))</f>
        <v>106759</v>
      </c>
      <c r="BL853" s="254">
        <f>INDEX('Dist. Plant Gas Additions'!$E$7:$AD$91,MATCH($C853,'Dist. Plant Gas Additions'!$C$7:$C$91,0),MATCH(Calculation!$G853,'Dist. Plant Gas Additions'!$E$5:$AD$5,0))</f>
        <v>41407</v>
      </c>
      <c r="BM853" s="254">
        <f>INDEX('Gen. Plant Additions'!$E$7:$AD$91,MATCH($C853,'Gen. Plant Additions'!$C$7:$C$91,0),MATCH(Calculation!$G853,'Gen. Plant Additions'!$E$5:$AD$5,0))</f>
        <v>12300</v>
      </c>
      <c r="BN853" s="338">
        <f>+(BY853/(BY853+BZ853))</f>
        <v>0.92913625203197525</v>
      </c>
      <c r="BO853" s="322">
        <f t="shared" si="1504"/>
        <v>11428.375899993296</v>
      </c>
      <c r="BP853" s="322">
        <f t="shared" si="1505"/>
        <v>-871.62410000670388</v>
      </c>
      <c r="BQ853" s="254">
        <f>INDEX('Dist Plant Depreciation'!$D$7:$AC$94,MATCH($C853,'Dist Plant Depreciation'!$C$7:$C$94,0),MATCH(Calculation!$G853,'Dist Plant Depreciation'!$D$5:$AC$5,0))</f>
        <v>461009</v>
      </c>
      <c r="BR853" s="254">
        <f>INDEX('Gen. Plant Depreciation'!$D$7:$AC$94,MATCH($C853,'Gen. Plant Depreciation'!$C$7:$C$94,0),MATCH(Calculation!$G853,'Gen. Plant Depreciation'!$D$5:$AC$5,0))</f>
        <v>45858</v>
      </c>
      <c r="BS853" s="254"/>
      <c r="BT853" s="254"/>
      <c r="BU853" s="254"/>
      <c r="BV853" s="254"/>
      <c r="BW853" s="254"/>
      <c r="BX853" s="323"/>
      <c r="BY853" s="254">
        <f>INDEX('Gross Dx Plant'!$D$7:$AC$91,MATCH($C853,'Gross Dx Plant'!$C$7:$C$91,0),MATCH(Calculation!$G853,'Gross Dx Plant'!$D$5:$AC$5,0))</f>
        <v>1399780</v>
      </c>
      <c r="BZ853" s="254">
        <f>INDEX('Gross Gen Plant'!$D$7:$AC$91,MATCH($C853,'Gross Gen Plant'!$C$7:$C$91,0),MATCH(Calculation!$G853,'Gross Gen Plant'!$D$5:$AC$5,0))</f>
        <v>106759</v>
      </c>
      <c r="CA853" s="254">
        <f t="shared" si="1526"/>
        <v>999672</v>
      </c>
      <c r="CB853" s="254"/>
      <c r="CC853" s="260">
        <v>1998</v>
      </c>
      <c r="CD853" s="254">
        <f>BJ853+BK853</f>
        <v>1506539</v>
      </c>
      <c r="CE853" s="254">
        <f>461009+45858</f>
        <v>506867</v>
      </c>
      <c r="CF853" s="254">
        <f>+CD853-CE853</f>
        <v>999672</v>
      </c>
      <c r="CG853" s="254">
        <f>CF853/$BX$3</f>
        <v>4955.7544206043767</v>
      </c>
      <c r="CH853" s="323"/>
      <c r="CI853" s="344"/>
      <c r="CJ853" s="344"/>
      <c r="CK853" s="443">
        <v>1</v>
      </c>
      <c r="CL853" s="254">
        <f>+CG853</f>
        <v>4955.7544206043767</v>
      </c>
      <c r="CM853" s="256"/>
      <c r="CN853" s="325"/>
      <c r="CO853" s="325"/>
      <c r="CP853" s="256" t="e">
        <f>VLOOKUP($H853,RoR!$E:$F,2,FALSE)</f>
        <v>#N/A</v>
      </c>
      <c r="CQ853" s="325">
        <v>1.1028127770464469E-2</v>
      </c>
      <c r="CR853" s="325"/>
      <c r="CS853" s="325"/>
      <c r="CT853" s="325"/>
      <c r="CU853" s="327"/>
      <c r="CV853" s="331" t="e">
        <f>2/(DD853*39)</f>
        <v>#N/A</v>
      </c>
      <c r="CW853" s="328" t="e">
        <f>+(DD853*40-(1+DD853))/(DD853*40)</f>
        <v>#N/A</v>
      </c>
      <c r="CX853" s="328" t="e">
        <f>+(1-(1/(1+DD853)^40))</f>
        <v>#N/A</v>
      </c>
      <c r="CY853" s="328" t="e">
        <f>+CX853*CW853*CV853</f>
        <v>#N/A</v>
      </c>
      <c r="CZ853" s="329">
        <f>INDEX('State Tax Lookup'!$D$7:$Z$91,MATCH(Calculation!$C853,'State Tax Lookup'!$B$7:$B$91,0),MATCH($H853,'State Tax Lookup'!$D$6:$Z$6,0))</f>
        <v>0.40134999999999998</v>
      </c>
      <c r="DA853" s="330">
        <v>0.37</v>
      </c>
      <c r="DB853" s="344"/>
      <c r="DC853" s="326"/>
      <c r="DD853" s="351" t="e">
        <f>VLOOKUP($H853,RoR!$E:$F,2,FALSE)</f>
        <v>#N/A</v>
      </c>
      <c r="DE853" s="354">
        <f>HLOOKUP($H853,'GDP-PI'!$D$8:$CQ$11,3,FALSE)</f>
        <v>1.1028127770464469E-2</v>
      </c>
      <c r="DF853" s="351">
        <f>VLOOKUP(H853,'HW Dx Data'!$E:$F,2,FALSE)</f>
        <v>329.24564746449528</v>
      </c>
      <c r="DG853" s="330"/>
      <c r="DH853" s="330"/>
      <c r="DI853" s="330"/>
      <c r="DJ853" s="326"/>
      <c r="DK853" s="344">
        <f>HLOOKUP(H853,'GDP-PI'!$8:$9,2,FALSE)</f>
        <v>75.266999999999996</v>
      </c>
      <c r="DL853" s="292"/>
      <c r="EC853"/>
    </row>
    <row r="854" spans="1:133" s="126" customFormat="1" ht="21" customHeight="1" x14ac:dyDescent="0.4">
      <c r="A854" s="233" t="s">
        <v>232</v>
      </c>
      <c r="B854" s="127" t="s">
        <v>233</v>
      </c>
      <c r="C854" s="127">
        <v>4057135</v>
      </c>
      <c r="D854" s="127" t="s">
        <v>214</v>
      </c>
      <c r="E854" s="127"/>
      <c r="F854" s="127"/>
      <c r="G854" s="127" t="s">
        <v>155</v>
      </c>
      <c r="H854" s="128">
        <v>1999</v>
      </c>
      <c r="I854" s="129"/>
      <c r="J854" s="125"/>
      <c r="K854" s="125"/>
      <c r="L854" s="47"/>
      <c r="M854" s="125"/>
      <c r="N854" s="125"/>
      <c r="O854" s="125"/>
      <c r="P854" s="47"/>
      <c r="Q854" s="47"/>
      <c r="R854" s="386"/>
      <c r="S854" s="119"/>
      <c r="T854" s="47"/>
      <c r="U854" s="47"/>
      <c r="V854" s="125"/>
      <c r="W854" s="125"/>
      <c r="X854" s="125"/>
      <c r="Y854" s="143"/>
      <c r="Z854" s="125"/>
      <c r="AA854" s="125"/>
      <c r="AB854" s="125"/>
      <c r="AC854" s="125">
        <f t="shared" ref="AC854:AC877" si="1554">+CL853*DB854</f>
        <v>0</v>
      </c>
      <c r="AD854" s="129"/>
      <c r="AE854" s="133">
        <v>5114.7953445758985</v>
      </c>
      <c r="AF854" s="134">
        <v>3.1587977164538122E-2</v>
      </c>
      <c r="AG854" s="61"/>
      <c r="AH854" s="134"/>
      <c r="AI854" s="134"/>
      <c r="AJ854" s="129">
        <f t="shared" si="1458"/>
        <v>0</v>
      </c>
      <c r="AK854" s="134"/>
      <c r="AL854" s="129"/>
      <c r="AM854" s="134"/>
      <c r="AN854" s="134"/>
      <c r="AO854" s="134"/>
      <c r="AP854" s="133"/>
      <c r="AQ854" s="134"/>
      <c r="AR854" s="93"/>
      <c r="AS854" s="93"/>
      <c r="AT854" s="93"/>
      <c r="AU854" s="93"/>
      <c r="AV854" s="93"/>
      <c r="AW854" s="134"/>
      <c r="AX854" s="62"/>
      <c r="AY854" s="93"/>
      <c r="AZ854" s="93"/>
      <c r="BA854" s="93"/>
      <c r="BB854" s="234">
        <f>IFERROR(INDEX('Total Customers'!$E$7:$AA$91,MATCH($C854,'Total Customers'!$C$7:$C$91,0),MATCH($G854,'Total Customers'!$E$5:$AA$5,0)),"NA")</f>
        <v>836928</v>
      </c>
      <c r="BC854" s="269">
        <f t="shared" si="1546"/>
        <v>5.2940126770637591E-3</v>
      </c>
      <c r="BD854" s="92"/>
      <c r="BE854" s="299" t="str">
        <f t="shared" si="1537"/>
        <v>PEOPLES GAS LIGHT AND COKE COMPANY</v>
      </c>
      <c r="BF854" s="300">
        <f t="shared" si="1538"/>
        <v>4057135</v>
      </c>
      <c r="BG854" s="231" t="str">
        <f t="shared" si="1539"/>
        <v>WI</v>
      </c>
      <c r="BH854" s="231"/>
      <c r="BI854" s="231" t="str">
        <f t="shared" si="1540"/>
        <v>1999 Y</v>
      </c>
      <c r="BJ854" s="129"/>
      <c r="BK854" s="129"/>
      <c r="BL854" s="129">
        <f>INDEX('Dist. Plant Gas Additions'!$E$7:$AD$91,MATCH($C854,'Dist. Plant Gas Additions'!$C$7:$C$91,0),MATCH(Calculation!$G854,'Dist. Plant Gas Additions'!$E$5:$AD$5,0))</f>
        <v>49270</v>
      </c>
      <c r="BM854" s="129">
        <f>INDEX('Gen. Plant Additions'!$E$7:$AD$91,MATCH($C854,'Gen. Plant Additions'!$C$7:$C$91,0),MATCH(Calculation!$G854,'Gen. Plant Additions'!$E$5:$AD$5,0))</f>
        <v>12328</v>
      </c>
      <c r="BN854" s="301">
        <f t="shared" ref="BN854:BN875" si="1555">+(BY854/(BY854+BZ854))</f>
        <v>0.92694719011031335</v>
      </c>
      <c r="BO854" s="231">
        <f t="shared" si="1504"/>
        <v>11427.404959679943</v>
      </c>
      <c r="BP854" s="231">
        <f t="shared" si="1505"/>
        <v>-900.5950403200568</v>
      </c>
      <c r="BQ854" s="129">
        <f>INDEX('Dist Plant Depreciation'!$D$7:$AC$94,MATCH($C854,'Dist Plant Depreciation'!$C$7:$C$94,0),MATCH(Calculation!$G854,'Dist Plant Depreciation'!$D$5:$AC$5,0))</f>
        <v>491646</v>
      </c>
      <c r="BR854" s="129">
        <f>INDEX('Gen. Plant Depreciation'!$D$7:$AC$94,MATCH($C854,'Gen. Plant Depreciation'!$C$7:$C$94,0),MATCH(Calculation!$G854,'Gen. Plant Depreciation'!$D$5:$AC$5,0))</f>
        <v>52236</v>
      </c>
      <c r="BS854" s="129"/>
      <c r="BT854" s="129"/>
      <c r="BU854" s="129"/>
      <c r="BV854" s="129"/>
      <c r="BW854" s="129"/>
      <c r="BX854" s="137"/>
      <c r="BY854" s="129">
        <f>INDEX('Gross Dx Plant'!$D$7:$AC$91,MATCH($C854,'Gross Dx Plant'!$C$7:$C$91,0),MATCH(Calculation!$G854,'Gross Dx Plant'!$D$5:$AC$5,0))</f>
        <v>1436973</v>
      </c>
      <c r="BZ854" s="129">
        <f>INDEX('Gross Gen Plant'!$D$7:$AC$91,MATCH($C854,'Gross Gen Plant'!$C$7:$C$91,0),MATCH(Calculation!$G854,'Gross Gen Plant'!$D$5:$AC$5,0))</f>
        <v>113248</v>
      </c>
      <c r="CA854" s="129">
        <f t="shared" si="1526"/>
        <v>1006339</v>
      </c>
      <c r="CB854" s="129"/>
      <c r="CC854" s="133">
        <v>1999</v>
      </c>
      <c r="CD854" s="129"/>
      <c r="CE854" s="129"/>
      <c r="CF854" s="129"/>
      <c r="CG854" s="137"/>
      <c r="CH854" s="129">
        <f t="shared" ref="CH854:CH876" si="1556">+BM854+BL854</f>
        <v>61598</v>
      </c>
      <c r="CI854" s="46">
        <f>+CH854+BP854</f>
        <v>60697.404959679945</v>
      </c>
      <c r="CJ854" s="231">
        <f t="shared" ref="CJ854:CJ877" si="1557">+CI854/$DF854</f>
        <v>181.01068069566665</v>
      </c>
      <c r="CK854" s="443">
        <v>0.99009900990099009</v>
      </c>
      <c r="CL854" s="231">
        <f>+CL853*CK854+CJ854</f>
        <v>5087.698225848515</v>
      </c>
      <c r="CM854" s="134">
        <f t="shared" ref="CM854:CM875" si="1558">LN(CL854/CL853)</f>
        <v>2.6276102718415392E-2</v>
      </c>
      <c r="CN854" s="135">
        <f t="shared" ref="CN854:CN877" si="1559">+(CL853-CL854+CJ854)/CL853</f>
        <v>9.9009900990098786E-3</v>
      </c>
      <c r="CO854" s="135"/>
      <c r="CP854" s="134">
        <f>VLOOKUP($H854,RoR!$E:$F,2,FALSE)</f>
        <v>7.0416666666666669E-2</v>
      </c>
      <c r="CQ854" s="135">
        <v>1.4335631817396832E-2</v>
      </c>
      <c r="CR854" s="135">
        <f>+CP854-CQ854</f>
        <v>5.6081034849269837E-2</v>
      </c>
      <c r="CS854" s="135"/>
      <c r="CT854" s="135"/>
      <c r="CU854" s="139">
        <f t="shared" ref="CU854:CU877" si="1560">1-CZ854*DA854</f>
        <v>0.85150049999999999</v>
      </c>
      <c r="CV854" s="335">
        <f t="shared" ref="CV854:CV877" si="1561">2/(DD854*39)</f>
        <v>0.72826581702321336</v>
      </c>
      <c r="CW854" s="335">
        <f t="shared" ref="CW854:CW877" si="1562">+(DD854*40-(1+DD854))/(DD854*40)</f>
        <v>0.61997041420118348</v>
      </c>
      <c r="CX854" s="335">
        <f t="shared" ref="CX854:CX877" si="1563">+(1-(1/(1+DD854)^40))</f>
        <v>0.93425155319585029</v>
      </c>
      <c r="CY854" s="335">
        <f t="shared" ref="CY854:CY877" si="1564">+CX854*CW854*CV854</f>
        <v>0.42181762214141483</v>
      </c>
      <c r="CZ854" s="336">
        <f>INDEX('State Tax Lookup'!$D$7:$Z$91,MATCH(Calculation!$C854,'State Tax Lookup'!$B$7:$B$91,0),MATCH($H854,'State Tax Lookup'!$D$6:$Z$6,0))</f>
        <v>0.40134999999999998</v>
      </c>
      <c r="DA854" s="302">
        <v>0.37</v>
      </c>
      <c r="DB854" s="57"/>
      <c r="DC854" s="56"/>
      <c r="DD854" s="303">
        <f>VLOOKUP($H854,RoR!$E:$F,2,FALSE)</f>
        <v>7.0416666666666669E-2</v>
      </c>
      <c r="DE854" s="304">
        <f>HLOOKUP($H854,'GDP-PI'!$D$8:$CQ$11,3,FALSE)</f>
        <v>1.4335631817396832E-2</v>
      </c>
      <c r="DF854" s="303">
        <f>VLOOKUP(H854,'HW Dx Data'!$E:$F,2,FALSE)</f>
        <v>335.32499146683239</v>
      </c>
      <c r="DG854" s="364"/>
      <c r="DH854" s="364"/>
      <c r="DI854" s="364"/>
      <c r="DJ854" s="56"/>
      <c r="DK854" s="53">
        <f>HLOOKUP(H854,'GDP-PI'!$8:$9,2,FALSE)</f>
        <v>76.346000000000004</v>
      </c>
      <c r="DL854" s="298"/>
      <c r="EC854"/>
    </row>
    <row r="855" spans="1:133" s="126" customFormat="1" ht="21" customHeight="1" x14ac:dyDescent="0.4">
      <c r="A855" s="233" t="s">
        <v>232</v>
      </c>
      <c r="B855" s="127" t="s">
        <v>233</v>
      </c>
      <c r="C855" s="127">
        <v>4057135</v>
      </c>
      <c r="D855" s="127" t="s">
        <v>214</v>
      </c>
      <c r="E855" s="127"/>
      <c r="F855" s="127"/>
      <c r="G855" s="127" t="s">
        <v>156</v>
      </c>
      <c r="H855" s="128">
        <v>2000</v>
      </c>
      <c r="I855" s="129"/>
      <c r="J855" s="125"/>
      <c r="K855" s="125"/>
      <c r="L855" s="47"/>
      <c r="M855" s="125"/>
      <c r="N855" s="125"/>
      <c r="O855" s="125"/>
      <c r="P855" s="47"/>
      <c r="Q855" s="47"/>
      <c r="R855" s="386"/>
      <c r="S855" s="119"/>
      <c r="T855" s="47"/>
      <c r="U855" s="47"/>
      <c r="V855" s="125"/>
      <c r="W855" s="125"/>
      <c r="X855" s="125"/>
      <c r="Y855" s="125"/>
      <c r="Z855" s="125"/>
      <c r="AA855" s="125"/>
      <c r="AB855" s="125"/>
      <c r="AC855" s="125">
        <f t="shared" si="1554"/>
        <v>0</v>
      </c>
      <c r="AD855" s="129"/>
      <c r="AE855" s="133">
        <v>5291.2498344110027</v>
      </c>
      <c r="AF855" s="134">
        <v>3.3917093790589325E-2</v>
      </c>
      <c r="AG855" s="61"/>
      <c r="AH855" s="134"/>
      <c r="AI855" s="134"/>
      <c r="AJ855" s="129">
        <f t="shared" si="1458"/>
        <v>0</v>
      </c>
      <c r="AK855" s="134"/>
      <c r="AL855" s="129"/>
      <c r="AM855" s="129"/>
      <c r="AN855" s="129"/>
      <c r="AO855" s="129"/>
      <c r="AP855" s="133"/>
      <c r="AQ855" s="134"/>
      <c r="AR855" s="93"/>
      <c r="AS855" s="93"/>
      <c r="AT855" s="93"/>
      <c r="AU855" s="93"/>
      <c r="AV855" s="93"/>
      <c r="AW855" s="134"/>
      <c r="AX855" s="62"/>
      <c r="AY855" s="93"/>
      <c r="AZ855" s="93"/>
      <c r="BA855" s="93"/>
      <c r="BB855" s="234">
        <f>IFERROR(INDEX('Total Customers'!$E$7:$AA$91,MATCH($C855,'Total Customers'!$C$7:$C$91,0),MATCH($G855,'Total Customers'!$E$5:$AA$5,0)),"NA")</f>
        <v>840561</v>
      </c>
      <c r="BC855" s="269">
        <f t="shared" si="1546"/>
        <v>4.331480778843491E-3</v>
      </c>
      <c r="BD855" s="92"/>
      <c r="BE855" s="299" t="str">
        <f t="shared" si="1537"/>
        <v>PEOPLES GAS LIGHT AND COKE COMPANY</v>
      </c>
      <c r="BF855" s="300">
        <f t="shared" si="1538"/>
        <v>4057135</v>
      </c>
      <c r="BG855" s="231" t="str">
        <f t="shared" si="1539"/>
        <v>WI</v>
      </c>
      <c r="BH855" s="231"/>
      <c r="BI855" s="231" t="str">
        <f t="shared" si="1540"/>
        <v>2000 Y</v>
      </c>
      <c r="BJ855" s="129"/>
      <c r="BK855" s="129"/>
      <c r="BL855" s="129">
        <f>INDEX('Dist. Plant Gas Additions'!$E$7:$AD$91,MATCH($C855,'Dist. Plant Gas Additions'!$C$7:$C$91,0),MATCH(Calculation!$G855,'Dist. Plant Gas Additions'!$E$5:$AD$5,0))</f>
        <v>56835</v>
      </c>
      <c r="BM855" s="129">
        <f>INDEX('Gen. Plant Additions'!$E$7:$AD$91,MATCH($C855,'Gen. Plant Additions'!$C$7:$C$91,0),MATCH(Calculation!$G855,'Gen. Plant Additions'!$E$5:$AD$5,0))</f>
        <v>13432</v>
      </c>
      <c r="BN855" s="301">
        <f t="shared" si="1555"/>
        <v>0.93149253787635922</v>
      </c>
      <c r="BO855" s="231">
        <f t="shared" si="1504"/>
        <v>12511.807768755258</v>
      </c>
      <c r="BP855" s="231">
        <f t="shared" si="1505"/>
        <v>-920.19223124474229</v>
      </c>
      <c r="BQ855" s="129">
        <f>INDEX('Dist Plant Depreciation'!$D$7:$AC$94,MATCH($C855,'Dist Plant Depreciation'!$C$7:$C$94,0),MATCH(Calculation!$G855,'Dist Plant Depreciation'!$D$5:$AC$5,0))</f>
        <v>520985</v>
      </c>
      <c r="BR855" s="129">
        <f>INDEX('Gen. Plant Depreciation'!$D$7:$AC$94,MATCH($C855,'Gen. Plant Depreciation'!$C$7:$C$94,0),MATCH(Calculation!$G855,'Gen. Plant Depreciation'!$D$5:$AC$5,0))</f>
        <v>51763</v>
      </c>
      <c r="BS855" s="129"/>
      <c r="BT855" s="129"/>
      <c r="BU855" s="129"/>
      <c r="BV855" s="129"/>
      <c r="BW855" s="129"/>
      <c r="BX855" s="137"/>
      <c r="BY855" s="129">
        <f>INDEX('Gross Dx Plant'!$D$7:$AC$91,MATCH($C855,'Gross Dx Plant'!$C$7:$C$91,0),MATCH(Calculation!$G855,'Gross Dx Plant'!$D$5:$AC$5,0))</f>
        <v>1481850</v>
      </c>
      <c r="BZ855" s="129">
        <f>INDEX('Gross Gen Plant'!$D$7:$AC$91,MATCH($C855,'Gross Gen Plant'!$C$7:$C$91,0),MATCH(Calculation!$G855,'Gross Gen Plant'!$D$5:$AC$5,0))</f>
        <v>108984</v>
      </c>
      <c r="CA855" s="129">
        <f t="shared" si="1526"/>
        <v>1018086</v>
      </c>
      <c r="CB855" s="129"/>
      <c r="CC855" s="133">
        <v>2000</v>
      </c>
      <c r="CD855" s="129"/>
      <c r="CE855" s="129"/>
      <c r="CF855" s="129"/>
      <c r="CG855" s="137"/>
      <c r="CH855" s="129">
        <f t="shared" si="1556"/>
        <v>70267</v>
      </c>
      <c r="CI855" s="46">
        <f t="shared" ref="CI855:CI877" si="1565">+CH855+BP855</f>
        <v>69346.807768755258</v>
      </c>
      <c r="CJ855" s="231">
        <f t="shared" si="1557"/>
        <v>200.11561415929867</v>
      </c>
      <c r="CK855" s="443">
        <v>0.98</v>
      </c>
      <c r="CL855" s="231">
        <f>+CL853*CK855+CJ854*CK854+CJ855</f>
        <v>5235.9734420898712</v>
      </c>
      <c r="CM855" s="134">
        <f t="shared" si="1558"/>
        <v>2.872726253802995E-2</v>
      </c>
      <c r="CN855" s="135">
        <f t="shared" si="1559"/>
        <v>1.0189361793229511E-2</v>
      </c>
      <c r="CO855" s="135"/>
      <c r="CP855" s="134">
        <f>VLOOKUP($H855,RoR!$E:$F,2,FALSE)</f>
        <v>7.6225000000000001E-2</v>
      </c>
      <c r="CQ855" s="135">
        <v>2.2568307442433211E-2</v>
      </c>
      <c r="CR855" s="135">
        <f t="shared" ref="CR855:CR875" si="1566">+CP855-CQ855</f>
        <v>5.365669255756679E-2</v>
      </c>
      <c r="CS855" s="135"/>
      <c r="CT855" s="135"/>
      <c r="CU855" s="139">
        <f t="shared" si="1560"/>
        <v>0.85150049999999999</v>
      </c>
      <c r="CV855" s="335">
        <f t="shared" si="1561"/>
        <v>0.67277207323124022</v>
      </c>
      <c r="CW855" s="335">
        <f t="shared" si="1562"/>
        <v>0.6470236142997704</v>
      </c>
      <c r="CX855" s="335">
        <f t="shared" si="1563"/>
        <v>0.94704866037543145</v>
      </c>
      <c r="CY855" s="335">
        <f t="shared" si="1564"/>
        <v>0.41224973107878493</v>
      </c>
      <c r="CZ855" s="336">
        <f>INDEX('State Tax Lookup'!$D$7:$Z$91,MATCH(Calculation!$C855,'State Tax Lookup'!$B$7:$B$91,0),MATCH($H855,'State Tax Lookup'!$D$6:$Z$6,0))</f>
        <v>0.40134999999999998</v>
      </c>
      <c r="DA855" s="302">
        <v>0.37</v>
      </c>
      <c r="DB855" s="57"/>
      <c r="DC855" s="56"/>
      <c r="DD855" s="303">
        <f>VLOOKUP($H855,RoR!$E:$F,2,FALSE)</f>
        <v>7.6225000000000001E-2</v>
      </c>
      <c r="DE855" s="304">
        <f>HLOOKUP($H855,'GDP-PI'!$D$8:$CQ$11,3,FALSE)</f>
        <v>2.2568307442433211E-2</v>
      </c>
      <c r="DF855" s="303">
        <f>VLOOKUP(H855,'HW Dx Data'!$E:$F,2,FALSE)</f>
        <v>346.53371782150339</v>
      </c>
      <c r="DG855" s="364"/>
      <c r="DH855" s="364"/>
      <c r="DI855" s="364"/>
      <c r="DJ855" s="56"/>
      <c r="DK855" s="53">
        <f>HLOOKUP(H855,'GDP-PI'!$8:$9,2,FALSE)</f>
        <v>78.069000000000003</v>
      </c>
      <c r="DL855" s="298"/>
      <c r="EC855"/>
    </row>
    <row r="856" spans="1:133" s="126" customFormat="1" ht="21" customHeight="1" x14ac:dyDescent="0.4">
      <c r="A856" s="233" t="s">
        <v>232</v>
      </c>
      <c r="B856" s="127" t="s">
        <v>233</v>
      </c>
      <c r="C856" s="127">
        <v>4057135</v>
      </c>
      <c r="D856" s="127" t="s">
        <v>214</v>
      </c>
      <c r="E856" s="127"/>
      <c r="F856" s="127"/>
      <c r="G856" s="127" t="s">
        <v>157</v>
      </c>
      <c r="H856" s="128">
        <v>2001</v>
      </c>
      <c r="I856" s="129"/>
      <c r="J856" s="125"/>
      <c r="K856" s="125"/>
      <c r="L856" s="47"/>
      <c r="M856" s="125"/>
      <c r="N856" s="125"/>
      <c r="O856" s="125"/>
      <c r="P856" s="47"/>
      <c r="Q856" s="47"/>
      <c r="R856" s="386"/>
      <c r="S856" s="119"/>
      <c r="T856" s="47"/>
      <c r="U856" s="47"/>
      <c r="V856" s="125"/>
      <c r="W856" s="125"/>
      <c r="X856" s="125"/>
      <c r="Y856" s="125"/>
      <c r="Z856" s="125"/>
      <c r="AA856" s="125"/>
      <c r="AB856" s="125"/>
      <c r="AC856" s="125">
        <f t="shared" si="1554"/>
        <v>54673.985857204825</v>
      </c>
      <c r="AD856" s="129"/>
      <c r="AE856" s="133">
        <v>5490.1349890884139</v>
      </c>
      <c r="AF856" s="134">
        <v>3.689836183742818E-2</v>
      </c>
      <c r="AG856" s="61"/>
      <c r="AH856" s="134"/>
      <c r="AI856" s="134"/>
      <c r="AJ856" s="129">
        <f t="shared" si="1458"/>
        <v>54673.985857204825</v>
      </c>
      <c r="AK856" s="134"/>
      <c r="AL856" s="129"/>
      <c r="AM856" s="129"/>
      <c r="AN856" s="129"/>
      <c r="AO856" s="129"/>
      <c r="AP856" s="133"/>
      <c r="AQ856" s="134"/>
      <c r="AR856" s="93"/>
      <c r="AS856" s="93"/>
      <c r="AT856" s="93"/>
      <c r="AU856" s="93"/>
      <c r="AV856" s="93"/>
      <c r="AW856" s="134"/>
      <c r="AX856" s="62"/>
      <c r="AY856" s="93"/>
      <c r="AZ856" s="93"/>
      <c r="BA856" s="93"/>
      <c r="BB856" s="234">
        <f>IFERROR(INDEX('Total Customers'!$E$7:$AA$91,MATCH($C856,'Total Customers'!$C$7:$C$91,0),MATCH($G856,'Total Customers'!$E$5:$AA$5,0)),"NA")</f>
        <v>845637</v>
      </c>
      <c r="BC856" s="269">
        <f t="shared" si="1546"/>
        <v>6.0206634488465804E-3</v>
      </c>
      <c r="BD856" s="92"/>
      <c r="BE856" s="299" t="str">
        <f t="shared" si="1537"/>
        <v>PEOPLES GAS LIGHT AND COKE COMPANY</v>
      </c>
      <c r="BF856" s="300">
        <f t="shared" si="1538"/>
        <v>4057135</v>
      </c>
      <c r="BG856" s="231" t="str">
        <f t="shared" si="1539"/>
        <v>WI</v>
      </c>
      <c r="BH856" s="231"/>
      <c r="BI856" s="231" t="str">
        <f t="shared" si="1540"/>
        <v>2001 Y</v>
      </c>
      <c r="BJ856" s="129"/>
      <c r="BK856" s="129"/>
      <c r="BL856" s="129">
        <f>INDEX('Dist. Plant Gas Additions'!$E$7:$AD$91,MATCH($C856,'Dist. Plant Gas Additions'!$C$7:$C$91,0),MATCH(Calculation!$G856,'Dist. Plant Gas Additions'!$E$5:$AD$5,0))</f>
        <v>68464</v>
      </c>
      <c r="BM856" s="129">
        <f>INDEX('Gen. Plant Additions'!$E$7:$AD$91,MATCH($C856,'Gen. Plant Additions'!$C$7:$C$91,0),MATCH(Calculation!$G856,'Gen. Plant Additions'!$E$5:$AD$5,0))</f>
        <v>11419</v>
      </c>
      <c r="BN856" s="301">
        <f t="shared" si="1555"/>
        <v>0.92967829698644566</v>
      </c>
      <c r="BO856" s="231">
        <f t="shared" si="1504"/>
        <v>10615.996473288224</v>
      </c>
      <c r="BP856" s="231">
        <f t="shared" si="1505"/>
        <v>-803.00352671177643</v>
      </c>
      <c r="BQ856" s="129">
        <f>INDEX('Dist Plant Depreciation'!$D$7:$AC$94,MATCH($C856,'Dist Plant Depreciation'!$C$7:$C$94,0),MATCH(Calculation!$G856,'Dist Plant Depreciation'!$D$5:$AC$5,0))</f>
        <v>544737</v>
      </c>
      <c r="BR856" s="129">
        <f>INDEX('Gen. Plant Depreciation'!$D$7:$AC$94,MATCH($C856,'Gen. Plant Depreciation'!$C$7:$C$94,0),MATCH(Calculation!$G856,'Gen. Plant Depreciation'!$D$5:$AC$5,0))</f>
        <v>57925</v>
      </c>
      <c r="BS856" s="129"/>
      <c r="BT856" s="129"/>
      <c r="BU856" s="129"/>
      <c r="BV856" s="129"/>
      <c r="BW856" s="129"/>
      <c r="BX856" s="137"/>
      <c r="BY856" s="129">
        <f>INDEX('Gross Dx Plant'!$D$7:$AC$91,MATCH($C856,'Gross Dx Plant'!$C$7:$C$91,0),MATCH(Calculation!$G856,'Gross Dx Plant'!$D$5:$AC$5,0))</f>
        <v>1539749</v>
      </c>
      <c r="BZ856" s="129">
        <f>INDEX('Gross Gen Plant'!$D$7:$AC$91,MATCH($C856,'Gross Gen Plant'!$C$7:$C$91,0),MATCH(Calculation!$G856,'Gross Gen Plant'!$D$5:$AC$5,0))</f>
        <v>116468</v>
      </c>
      <c r="CA856" s="129">
        <f t="shared" si="1526"/>
        <v>1053555</v>
      </c>
      <c r="CB856" s="129"/>
      <c r="CC856" s="133">
        <v>2001</v>
      </c>
      <c r="CD856" s="129"/>
      <c r="CE856" s="129"/>
      <c r="CF856" s="129"/>
      <c r="CG856" s="137"/>
      <c r="CH856" s="129">
        <f t="shared" si="1556"/>
        <v>79883</v>
      </c>
      <c r="CI856" s="46">
        <f t="shared" si="1565"/>
        <v>79079.996473288222</v>
      </c>
      <c r="CJ856" s="231">
        <f t="shared" si="1557"/>
        <v>223.73909359342713</v>
      </c>
      <c r="CK856" s="443">
        <v>0.96969696969696972</v>
      </c>
      <c r="CL856" s="231">
        <f>+CL853*CK856+CJ854*CK855+CJ855*CK853+CJ856</f>
        <v>5406.8252190569056</v>
      </c>
      <c r="CM856" s="134">
        <f t="shared" si="1558"/>
        <v>3.2109309079349377E-2</v>
      </c>
      <c r="CN856" s="135">
        <f t="shared" si="1559"/>
        <v>1.0100761054525809E-2</v>
      </c>
      <c r="CO856" s="135">
        <f>+(CN856+CN855+CN854)/3</f>
        <v>1.0063704315588399E-2</v>
      </c>
      <c r="CP856" s="134">
        <f>VLOOKUP($H856,RoR!$E:$F,2,FALSE)</f>
        <v>7.0824999999999999E-2</v>
      </c>
      <c r="CQ856" s="135">
        <v>2.2454495382290052E-2</v>
      </c>
      <c r="CR856" s="135">
        <f t="shared" si="1566"/>
        <v>4.8370504617709947E-2</v>
      </c>
      <c r="CS856" s="135">
        <f>+$CR$2-CO856</f>
        <v>2.0838237292945226E-2</v>
      </c>
      <c r="CT856" s="135">
        <f>+((DF854/DF853-1)+(DF855/DF854-1)+(DF856/DF855-1))/3</f>
        <v>2.3947275901631187E-2</v>
      </c>
      <c r="CU856" s="139">
        <f t="shared" si="1560"/>
        <v>0.85150049999999999</v>
      </c>
      <c r="CV856" s="335">
        <f t="shared" si="1561"/>
        <v>0.72406708481540816</v>
      </c>
      <c r="CW856" s="335">
        <f t="shared" si="1562"/>
        <v>0.62201729615248857</v>
      </c>
      <c r="CX856" s="335">
        <f t="shared" si="1563"/>
        <v>0.9352469954311422</v>
      </c>
      <c r="CY856" s="335">
        <f t="shared" si="1564"/>
        <v>0.42121864641655071</v>
      </c>
      <c r="CZ856" s="336">
        <f>INDEX('State Tax Lookup'!$D$7:$Z$91,MATCH(Calculation!$C856,'State Tax Lookup'!$B$7:$B$91,0),MATCH($H856,'State Tax Lookup'!$D$6:$Z$6,0))</f>
        <v>0.40134999999999998</v>
      </c>
      <c r="DA856" s="302">
        <v>0.37</v>
      </c>
      <c r="DB856" s="57">
        <f t="shared" ref="DB856:DB877" si="1567">+(DF856*CS856-CT856)*CU856/(1-CZ856)</f>
        <v>10.44199067506775</v>
      </c>
      <c r="DC856" s="56"/>
      <c r="DD856" s="303">
        <f>VLOOKUP($H856,RoR!$E:$F,2,FALSE)</f>
        <v>7.0824999999999999E-2</v>
      </c>
      <c r="DE856" s="304">
        <f>HLOOKUP($H856,'GDP-PI'!$D$8:$CQ$11,3,FALSE)</f>
        <v>2.2454495382290052E-2</v>
      </c>
      <c r="DF856" s="303">
        <f>VLOOKUP(H856,'HW Dx Data'!$E:$F,2,FALSE)</f>
        <v>353.44738017483138</v>
      </c>
      <c r="DG856" s="364"/>
      <c r="DH856" s="364"/>
      <c r="DI856" s="364"/>
      <c r="DJ856" s="56"/>
      <c r="DK856" s="53">
        <f>HLOOKUP(H856,'GDP-PI'!$8:$9,2,FALSE)</f>
        <v>79.822000000000003</v>
      </c>
      <c r="DL856" s="298"/>
      <c r="EC856"/>
    </row>
    <row r="857" spans="1:133" s="126" customFormat="1" ht="21" customHeight="1" x14ac:dyDescent="0.4">
      <c r="A857" s="233" t="s">
        <v>232</v>
      </c>
      <c r="B857" s="127" t="s">
        <v>233</v>
      </c>
      <c r="C857" s="127">
        <v>4057135</v>
      </c>
      <c r="D857" s="127" t="s">
        <v>214</v>
      </c>
      <c r="E857" s="127"/>
      <c r="F857" s="127"/>
      <c r="G857" s="127" t="s">
        <v>158</v>
      </c>
      <c r="H857" s="128">
        <v>2002</v>
      </c>
      <c r="I857" s="129"/>
      <c r="J857" s="125"/>
      <c r="K857" s="125"/>
      <c r="L857" s="47"/>
      <c r="M857" s="125"/>
      <c r="N857" s="125"/>
      <c r="O857" s="125"/>
      <c r="P857" s="47"/>
      <c r="Q857" s="47"/>
      <c r="R857" s="386"/>
      <c r="S857" s="119"/>
      <c r="T857" s="47"/>
      <c r="U857" s="47"/>
      <c r="V857" s="125"/>
      <c r="W857" s="125"/>
      <c r="X857" s="125"/>
      <c r="Y857" s="125"/>
      <c r="Z857" s="125"/>
      <c r="AA857" s="125"/>
      <c r="AB857" s="125"/>
      <c r="AC857" s="125">
        <f t="shared" si="1554"/>
        <v>56574.745508327404</v>
      </c>
      <c r="AD857" s="129"/>
      <c r="AE857" s="133">
        <v>5620.5204686820971</v>
      </c>
      <c r="AF857" s="134">
        <v>2.3471426307781811E-2</v>
      </c>
      <c r="AG857" s="61"/>
      <c r="AH857" s="134"/>
      <c r="AI857" s="134"/>
      <c r="AJ857" s="129">
        <f t="shared" si="1458"/>
        <v>56574.745508327404</v>
      </c>
      <c r="AK857" s="134"/>
      <c r="AL857" s="129"/>
      <c r="AM857" s="129"/>
      <c r="AN857" s="129"/>
      <c r="AO857" s="129"/>
      <c r="AP857" s="133"/>
      <c r="AQ857" s="134"/>
      <c r="AR857" s="93"/>
      <c r="AS857" s="93"/>
      <c r="AT857" s="93"/>
      <c r="AU857" s="93"/>
      <c r="AV857" s="93"/>
      <c r="AW857" s="134"/>
      <c r="AX857" s="62"/>
      <c r="AY857" s="93"/>
      <c r="AZ857" s="93"/>
      <c r="BA857" s="93"/>
      <c r="BB857" s="234">
        <f>IFERROR(INDEX('Total Customers'!$E$7:$AA$91,MATCH($C857,'Total Customers'!$C$7:$C$91,0),MATCH($G857,'Total Customers'!$E$5:$AA$5,0)),"NA")</f>
        <v>837212</v>
      </c>
      <c r="BC857" s="269">
        <f t="shared" si="1546"/>
        <v>-1.0012865550011595E-2</v>
      </c>
      <c r="BD857" s="92"/>
      <c r="BE857" s="299" t="str">
        <f t="shared" si="1537"/>
        <v>PEOPLES GAS LIGHT AND COKE COMPANY</v>
      </c>
      <c r="BF857" s="300">
        <f t="shared" si="1538"/>
        <v>4057135</v>
      </c>
      <c r="BG857" s="231" t="str">
        <f t="shared" si="1539"/>
        <v>WI</v>
      </c>
      <c r="BH857" s="231"/>
      <c r="BI857" s="231" t="str">
        <f t="shared" si="1540"/>
        <v>2002 Y</v>
      </c>
      <c r="BJ857" s="129"/>
      <c r="BK857" s="129"/>
      <c r="BL857" s="129">
        <f>INDEX('Dist. Plant Gas Additions'!$E$7:$AD$91,MATCH($C857,'Dist. Plant Gas Additions'!$C$7:$C$91,0),MATCH(Calculation!$G857,'Dist. Plant Gas Additions'!$E$5:$AD$5,0))</f>
        <v>50577</v>
      </c>
      <c r="BM857" s="129">
        <f>INDEX('Gen. Plant Additions'!$E$7:$AD$91,MATCH($C857,'Gen. Plant Additions'!$C$7:$C$91,0),MATCH(Calculation!$G857,'Gen. Plant Additions'!$E$5:$AD$5,0))</f>
        <v>7792</v>
      </c>
      <c r="BN857" s="301">
        <f t="shared" si="1555"/>
        <v>0.92947775389052556</v>
      </c>
      <c r="BO857" s="231">
        <f t="shared" si="1504"/>
        <v>7242.490658314975</v>
      </c>
      <c r="BP857" s="231">
        <f t="shared" si="1505"/>
        <v>-549.50934168502499</v>
      </c>
      <c r="BQ857" s="129">
        <f>INDEX('Dist Plant Depreciation'!$D$7:$AC$94,MATCH($C857,'Dist Plant Depreciation'!$C$7:$C$94,0),MATCH(Calculation!$G857,'Dist Plant Depreciation'!$D$5:$AC$5,0))</f>
        <v>565543</v>
      </c>
      <c r="BR857" s="129">
        <f>INDEX('Gen. Plant Depreciation'!$D$7:$AC$94,MATCH($C857,'Gen. Plant Depreciation'!$C$7:$C$94,0),MATCH(Calculation!$G857,'Gen. Plant Depreciation'!$D$5:$AC$5,0))</f>
        <v>66064</v>
      </c>
      <c r="BS857" s="129"/>
      <c r="BT857" s="129"/>
      <c r="BU857" s="129"/>
      <c r="BV857" s="129"/>
      <c r="BW857" s="129"/>
      <c r="BX857" s="137"/>
      <c r="BY857" s="129">
        <f>INDEX('Gross Dx Plant'!$D$7:$AC$91,MATCH($C857,'Gross Dx Plant'!$C$7:$C$91,0),MATCH(Calculation!$G857,'Gross Dx Plant'!$D$5:$AC$5,0))</f>
        <v>1575897</v>
      </c>
      <c r="BZ857" s="129">
        <f>INDEX('Gross Gen Plant'!$D$7:$AC$91,MATCH($C857,'Gross Gen Plant'!$C$7:$C$91,0),MATCH(Calculation!$G857,'Gross Gen Plant'!$D$5:$AC$5,0))</f>
        <v>119568</v>
      </c>
      <c r="CA857" s="129">
        <f t="shared" si="1526"/>
        <v>1063858</v>
      </c>
      <c r="CB857" s="129"/>
      <c r="CC857" s="133">
        <v>2002</v>
      </c>
      <c r="CD857" s="129"/>
      <c r="CE857" s="129"/>
      <c r="CF857" s="129"/>
      <c r="CG857" s="137"/>
      <c r="CH857" s="129">
        <f t="shared" si="1556"/>
        <v>58369</v>
      </c>
      <c r="CI857" s="46">
        <f t="shared" si="1565"/>
        <v>57819.490658314971</v>
      </c>
      <c r="CJ857" s="231">
        <f t="shared" si="1557"/>
        <v>160.01047228466078</v>
      </c>
      <c r="CK857" s="443">
        <v>0.95918367346938771</v>
      </c>
      <c r="CL857" s="231">
        <f>+CL853*CK857+CJ854*CK856+CJ855*CK855+CJ856*CK854+CJ857</f>
        <v>5506.6518677246077</v>
      </c>
      <c r="CM857" s="134">
        <f t="shared" si="1558"/>
        <v>1.8294707023109296E-2</v>
      </c>
      <c r="CN857" s="135">
        <f t="shared" si="1559"/>
        <v>1.113108361720935E-2</v>
      </c>
      <c r="CO857" s="135">
        <f t="shared" ref="CO857:CO877" si="1568">+(CN857+CN856+CN855)/3</f>
        <v>1.0473735488321556E-2</v>
      </c>
      <c r="CP857" s="134">
        <f>VLOOKUP($H857,RoR!$E:$F,2,FALSE)</f>
        <v>6.4916666666666664E-2</v>
      </c>
      <c r="CQ857" s="135">
        <v>1.5246423291824351E-2</v>
      </c>
      <c r="CR857" s="135">
        <f t="shared" si="1566"/>
        <v>4.9670243374842313E-2</v>
      </c>
      <c r="CS857" s="135">
        <f t="shared" ref="CS857:CS877" si="1569">+$CR$2-CO857</f>
        <v>2.0428206120212067E-2</v>
      </c>
      <c r="CT857" s="135">
        <f t="shared" ref="CT857:CT877" si="1570">+((DF855/DF854-1)+(DF856/DF855-1)+(DF857/DF856-1))/3</f>
        <v>2.5243621214759093E-2</v>
      </c>
      <c r="CU857" s="139">
        <f t="shared" si="1560"/>
        <v>0.85150049999999999</v>
      </c>
      <c r="CV857" s="335">
        <f t="shared" si="1561"/>
        <v>0.78996741384417901</v>
      </c>
      <c r="CW857" s="335">
        <f t="shared" si="1562"/>
        <v>0.58989088575096271</v>
      </c>
      <c r="CX857" s="335">
        <f t="shared" si="1563"/>
        <v>0.91920675783645744</v>
      </c>
      <c r="CY857" s="335">
        <f t="shared" si="1564"/>
        <v>0.42834536472275586</v>
      </c>
      <c r="CZ857" s="336">
        <f>INDEX('State Tax Lookup'!$D$7:$Z$91,MATCH(Calculation!$C857,'State Tax Lookup'!$B$7:$B$91,0),MATCH($H857,'State Tax Lookup'!$D$6:$Z$6,0))</f>
        <v>0.40134999999999998</v>
      </c>
      <c r="DA857" s="302">
        <v>0.37</v>
      </c>
      <c r="DB857" s="57">
        <f t="shared" si="1567"/>
        <v>10.463579497432978</v>
      </c>
      <c r="DC857" s="56">
        <f t="shared" ref="DC857:DC875" si="1571">LN(DB857/DB856)</f>
        <v>2.0653662982109198E-3</v>
      </c>
      <c r="DD857" s="303">
        <f>VLOOKUP($H857,RoR!$E:$F,2,FALSE)</f>
        <v>6.4916666666666664E-2</v>
      </c>
      <c r="DE857" s="304">
        <f>HLOOKUP($H857,'GDP-PI'!$D$8:$CQ$11,3,FALSE)</f>
        <v>1.5246423291824351E-2</v>
      </c>
      <c r="DF857" s="303">
        <f>VLOOKUP(H857,'HW Dx Data'!$E:$F,2,FALSE)</f>
        <v>361.34816573413599</v>
      </c>
      <c r="DG857" s="364"/>
      <c r="DH857" s="364"/>
      <c r="DI857" s="364"/>
      <c r="DJ857" s="56"/>
      <c r="DK857" s="53">
        <f>HLOOKUP(H857,'GDP-PI'!$8:$9,2,FALSE)</f>
        <v>81.039000000000001</v>
      </c>
      <c r="DL857" s="355">
        <f>LN(DK857/DK856)</f>
        <v>1.513136459537477E-2</v>
      </c>
      <c r="EC857"/>
    </row>
    <row r="858" spans="1:133" s="126" customFormat="1" ht="21" customHeight="1" x14ac:dyDescent="0.4">
      <c r="A858" s="233" t="s">
        <v>232</v>
      </c>
      <c r="B858" s="127" t="s">
        <v>233</v>
      </c>
      <c r="C858" s="127">
        <v>4057135</v>
      </c>
      <c r="D858" s="127" t="s">
        <v>214</v>
      </c>
      <c r="E858" s="127"/>
      <c r="F858" s="127"/>
      <c r="G858" s="127" t="s">
        <v>159</v>
      </c>
      <c r="H858" s="128">
        <v>2003</v>
      </c>
      <c r="I858" s="129"/>
      <c r="J858" s="125"/>
      <c r="K858" s="125"/>
      <c r="L858" s="47"/>
      <c r="M858" s="125"/>
      <c r="N858" s="125"/>
      <c r="O858" s="125"/>
      <c r="P858" s="59"/>
      <c r="Q858" s="59"/>
      <c r="R858" s="386"/>
      <c r="S858" s="119"/>
      <c r="T858" s="59"/>
      <c r="U858" s="59"/>
      <c r="V858" s="125"/>
      <c r="W858" s="125"/>
      <c r="X858" s="125"/>
      <c r="Y858" s="125"/>
      <c r="Z858" s="125"/>
      <c r="AA858" s="125"/>
      <c r="AB858" s="125"/>
      <c r="AC858" s="125">
        <f t="shared" si="1554"/>
        <v>58057.781924204552</v>
      </c>
      <c r="AD858" s="129"/>
      <c r="AE858" s="133">
        <v>5712.0416140477437</v>
      </c>
      <c r="AF858" s="134">
        <v>1.6152240679916427E-2</v>
      </c>
      <c r="AG858" s="61"/>
      <c r="AH858" s="134"/>
      <c r="AI858" s="134"/>
      <c r="AJ858" s="129">
        <f t="shared" si="1458"/>
        <v>58057.781924204552</v>
      </c>
      <c r="AK858" s="134"/>
      <c r="AL858" s="129"/>
      <c r="AM858" s="129"/>
      <c r="AN858" s="129"/>
      <c r="AO858" s="129"/>
      <c r="AP858" s="133"/>
      <c r="AQ858" s="134"/>
      <c r="AR858" s="93"/>
      <c r="AS858" s="93"/>
      <c r="AT858" s="93"/>
      <c r="AU858" s="93"/>
      <c r="AV858" s="93"/>
      <c r="AW858" s="134"/>
      <c r="AX858" s="62"/>
      <c r="AY858" s="93"/>
      <c r="AZ858" s="93"/>
      <c r="BA858" s="93"/>
      <c r="BB858" s="234">
        <f>IFERROR(INDEX('Total Customers'!$E$7:$AA$91,MATCH($C858,'Total Customers'!$C$7:$C$91,0),MATCH($G858,'Total Customers'!$E$5:$AA$5,0)),"NA")</f>
        <v>818730</v>
      </c>
      <c r="BC858" s="269">
        <f t="shared" si="1546"/>
        <v>-2.2322964791525578E-2</v>
      </c>
      <c r="BD858" s="92"/>
      <c r="BE858" s="299" t="str">
        <f t="shared" si="1537"/>
        <v>PEOPLES GAS LIGHT AND COKE COMPANY</v>
      </c>
      <c r="BF858" s="300">
        <f t="shared" si="1538"/>
        <v>4057135</v>
      </c>
      <c r="BG858" s="231" t="str">
        <f t="shared" si="1539"/>
        <v>WI</v>
      </c>
      <c r="BH858" s="231"/>
      <c r="BI858" s="231" t="str">
        <f t="shared" si="1540"/>
        <v>2003 Y</v>
      </c>
      <c r="BJ858" s="129"/>
      <c r="BK858" s="129"/>
      <c r="BL858" s="129">
        <f>INDEX('Dist. Plant Gas Additions'!$E$7:$AD$91,MATCH($C858,'Dist. Plant Gas Additions'!$C$7:$C$91,0),MATCH(Calculation!$G858,'Dist. Plant Gas Additions'!$E$5:$AD$5,0))</f>
        <v>35405</v>
      </c>
      <c r="BM858" s="129">
        <f>INDEX('Gen. Plant Additions'!$E$7:$AD$91,MATCH($C858,'Gen. Plant Additions'!$C$7:$C$91,0),MATCH(Calculation!$G858,'Gen. Plant Additions'!$E$5:$AD$5,0))</f>
        <v>10164</v>
      </c>
      <c r="BN858" s="301">
        <f t="shared" si="1555"/>
        <v>0.92648648648648646</v>
      </c>
      <c r="BO858" s="231">
        <f t="shared" si="1504"/>
        <v>9416.8086486486482</v>
      </c>
      <c r="BP858" s="231">
        <f t="shared" si="1505"/>
        <v>-747.19135135135184</v>
      </c>
      <c r="BQ858" s="129">
        <f>INDEX('Dist Plant Depreciation'!$D$7:$AC$94,MATCH($C858,'Dist Plant Depreciation'!$C$7:$C$94,0),MATCH(Calculation!$G858,'Dist Plant Depreciation'!$D$5:$AC$5,0))</f>
        <v>588522</v>
      </c>
      <c r="BR858" s="129">
        <f>INDEX('Gen. Plant Depreciation'!$D$7:$AC$94,MATCH($C858,'Gen. Plant Depreciation'!$C$7:$C$94,0),MATCH(Calculation!$G858,'Gen. Plant Depreciation'!$D$5:$AC$5,0))</f>
        <v>74149</v>
      </c>
      <c r="BS858" s="129"/>
      <c r="BT858" s="129"/>
      <c r="BU858" s="129"/>
      <c r="BV858" s="129"/>
      <c r="BW858" s="129"/>
      <c r="BX858" s="137"/>
      <c r="BY858" s="129">
        <f>INDEX('Gross Dx Plant'!$D$7:$AC$91,MATCH($C858,'Gross Dx Plant'!$C$7:$C$91,0),MATCH(Calculation!$G858,'Gross Dx Plant'!$D$5:$AC$5,0))</f>
        <v>1597448</v>
      </c>
      <c r="BZ858" s="129">
        <f>INDEX('Gross Gen Plant'!$D$7:$AC$91,MATCH($C858,'Gross Gen Plant'!$C$7:$C$91,0),MATCH(Calculation!$G858,'Gross Gen Plant'!$D$5:$AC$5,0))</f>
        <v>126752</v>
      </c>
      <c r="CA858" s="129">
        <f t="shared" si="1526"/>
        <v>1061529</v>
      </c>
      <c r="CB858" s="129"/>
      <c r="CC858" s="133">
        <v>2003</v>
      </c>
      <c r="CD858" s="129"/>
      <c r="CE858" s="129"/>
      <c r="CF858" s="129"/>
      <c r="CG858" s="137"/>
      <c r="CH858" s="129">
        <f t="shared" si="1556"/>
        <v>45569</v>
      </c>
      <c r="CI858" s="46">
        <f t="shared" si="1565"/>
        <v>44821.80864864865</v>
      </c>
      <c r="CJ858" s="231">
        <f t="shared" si="1557"/>
        <v>121.39166141360586</v>
      </c>
      <c r="CK858" s="443">
        <v>0.94845360824742264</v>
      </c>
      <c r="CL858" s="231">
        <f>+CL853*CK858+CJ854*CK857+CJ855*CK856+CJ856*CK855+CJ857*CK854+CJ858</f>
        <v>5567.059339414518</v>
      </c>
      <c r="CM858" s="134">
        <f t="shared" si="1558"/>
        <v>1.0910176319454668E-2</v>
      </c>
      <c r="CN858" s="135">
        <f t="shared" si="1559"/>
        <v>1.107464048728663E-2</v>
      </c>
      <c r="CO858" s="135">
        <f t="shared" si="1568"/>
        <v>1.0768828386340594E-2</v>
      </c>
      <c r="CP858" s="134">
        <f>VLOOKUP($H858,RoR!$E:$F,2,FALSE)</f>
        <v>5.6666666666666671E-2</v>
      </c>
      <c r="CQ858" s="135">
        <v>1.8855119140166909E-2</v>
      </c>
      <c r="CR858" s="135">
        <f t="shared" si="1566"/>
        <v>3.7811547526499761E-2</v>
      </c>
      <c r="CS858" s="135">
        <f t="shared" si="1569"/>
        <v>2.0133113222193029E-2</v>
      </c>
      <c r="CT858" s="135">
        <f t="shared" si="1570"/>
        <v>2.1375012817671957E-2</v>
      </c>
      <c r="CU858" s="139">
        <f t="shared" si="1560"/>
        <v>0.85150049999999999</v>
      </c>
      <c r="CV858" s="335">
        <f t="shared" si="1561"/>
        <v>0.90497737556561086</v>
      </c>
      <c r="CW858" s="335">
        <f t="shared" si="1562"/>
        <v>0.5338235294117647</v>
      </c>
      <c r="CX858" s="335">
        <f t="shared" si="1563"/>
        <v>0.88972433127405692</v>
      </c>
      <c r="CY858" s="335">
        <f t="shared" si="1564"/>
        <v>0.42982423775949252</v>
      </c>
      <c r="CZ858" s="336">
        <f>INDEX('State Tax Lookup'!$D$7:$Z$91,MATCH(Calculation!$C858,'State Tax Lookup'!$B$7:$B$91,0),MATCH($H858,'State Tax Lookup'!$D$6:$Z$6,0))</f>
        <v>0.40134999999999998</v>
      </c>
      <c r="DA858" s="302">
        <v>0.37</v>
      </c>
      <c r="DB858" s="57">
        <f t="shared" si="1567"/>
        <v>10.543209071285359</v>
      </c>
      <c r="DC858" s="56">
        <f t="shared" si="1571"/>
        <v>7.5813544747071688E-3</v>
      </c>
      <c r="DD858" s="303">
        <f>VLOOKUP($H858,RoR!$E:$F,2,FALSE)</f>
        <v>5.6666666666666671E-2</v>
      </c>
      <c r="DE858" s="304">
        <f>HLOOKUP($H858,'GDP-PI'!$D$8:$CQ$11,3,FALSE)</f>
        <v>1.8855119140166909E-2</v>
      </c>
      <c r="DF858" s="303">
        <f>VLOOKUP(H858,'HW Dx Data'!$E:$F,2,FALSE)</f>
        <v>369.23301095560191</v>
      </c>
      <c r="DG858" s="364">
        <f ca="1">VLOOKUP(CC858,'ECI - Input Price'!M$13:N$33,2,FALSE)</f>
        <v>89.25</v>
      </c>
      <c r="DH858" s="364"/>
      <c r="DI858" s="364"/>
      <c r="DJ858" s="56"/>
      <c r="DK858" s="53">
        <f>HLOOKUP(H858,'GDP-PI'!$8:$9,2,FALSE)</f>
        <v>82.566999999999993</v>
      </c>
      <c r="DL858" s="355">
        <f t="shared" ref="DL858:DL877" si="1572">LN(DK858/DK857)</f>
        <v>1.8679564681853753E-2</v>
      </c>
      <c r="EC858"/>
    </row>
    <row r="859" spans="1:133" s="126" customFormat="1" ht="21" customHeight="1" x14ac:dyDescent="0.4">
      <c r="A859" s="233" t="s">
        <v>232</v>
      </c>
      <c r="B859" s="127" t="s">
        <v>233</v>
      </c>
      <c r="C859" s="127">
        <v>4057135</v>
      </c>
      <c r="D859" s="127" t="s">
        <v>214</v>
      </c>
      <c r="E859" s="127"/>
      <c r="F859" s="127"/>
      <c r="G859" s="127" t="s">
        <v>160</v>
      </c>
      <c r="H859" s="128">
        <v>2004</v>
      </c>
      <c r="I859" s="129"/>
      <c r="J859" s="125">
        <f>IFERROR(INDEX('Labor Expenditures'!$E$7:$W$91,MATCH($C859,'Labor Expenditures'!$C$7:$C$91,0),MATCH($G859,'Labor Expenditures'!$E$5:$W$5,0)),"NA")</f>
        <v>82432.621796345367</v>
      </c>
      <c r="K859" s="125">
        <f t="shared" ref="K859:K877" ca="1" si="1573">+J859/DG859</f>
        <v>873.68968517589155</v>
      </c>
      <c r="L859" s="47"/>
      <c r="M859" s="131"/>
      <c r="N859" s="131"/>
      <c r="O859" s="131"/>
      <c r="P859" s="59"/>
      <c r="Q859" s="59"/>
      <c r="R859" s="386"/>
      <c r="S859" s="119"/>
      <c r="T859" s="59"/>
      <c r="U859" s="59"/>
      <c r="V859" s="125">
        <f>IFERROR(INDEX('Non-Labor Expenditures'!$E$7:$AA$91,MATCH($C859,'Non-Labor Expenditures'!$C$7:$C$91,0),MATCH($G859,'Non-Labor Expenditures'!$E$5:$AA$5,0)),"NA")</f>
        <v>119377.83265110318</v>
      </c>
      <c r="W859" s="125">
        <f t="shared" ref="W859:W877" si="1574">+V859/DK859</f>
        <v>1408.1227753792632</v>
      </c>
      <c r="X859" s="125"/>
      <c r="Y859" s="125"/>
      <c r="Z859" s="125"/>
      <c r="AA859" s="125"/>
      <c r="AB859" s="125"/>
      <c r="AC859" s="125">
        <f t="shared" si="1554"/>
        <v>64278.830294702144</v>
      </c>
      <c r="AD859" s="129"/>
      <c r="AE859" s="133">
        <v>5810.7912466475864</v>
      </c>
      <c r="AF859" s="134">
        <v>1.7140238238524452E-2</v>
      </c>
      <c r="AG859" s="59">
        <f t="shared" ref="AG859:AG877" si="1575">+AF859*$AX859</f>
        <v>0</v>
      </c>
      <c r="AH859" s="134"/>
      <c r="AI859" s="134"/>
      <c r="AJ859" s="129">
        <f t="shared" si="1458"/>
        <v>266089.28474215069</v>
      </c>
      <c r="AK859" s="134"/>
      <c r="AL859" s="129"/>
      <c r="AM859" s="129"/>
      <c r="AN859" s="129"/>
      <c r="AO859" s="129"/>
      <c r="AP859" s="133"/>
      <c r="AQ859" s="134"/>
      <c r="AR859" s="93">
        <f t="shared" ref="AR859:AR877" si="1576">+J859/AJ859</f>
        <v>0.30979309022618218</v>
      </c>
      <c r="AS859" s="93">
        <f t="shared" ref="AS859:AS877" si="1577">+V859/AJ859</f>
        <v>0.44863825601539814</v>
      </c>
      <c r="AT859" s="93">
        <f t="shared" ref="AT859:AT877" si="1578">+AC859/AJ859</f>
        <v>0.24156865375841968</v>
      </c>
      <c r="AU859" s="93"/>
      <c r="AV859" s="93"/>
      <c r="AW859" s="134"/>
      <c r="AX859" s="62"/>
      <c r="AY859" s="93"/>
      <c r="AZ859" s="93"/>
      <c r="BA859" s="93"/>
      <c r="BB859" s="234">
        <f>IFERROR(INDEX('Total Customers'!$E$7:$AA$91,MATCH($C859,'Total Customers'!$C$7:$C$91,0),MATCH($G859,'Total Customers'!$E$5:$AA$5,0)),"NA")</f>
        <v>812705</v>
      </c>
      <c r="BC859" s="269">
        <f t="shared" si="1546"/>
        <v>-7.3861690982224872E-3</v>
      </c>
      <c r="BD859" s="92"/>
      <c r="BE859" s="299" t="str">
        <f t="shared" si="1537"/>
        <v>PEOPLES GAS LIGHT AND COKE COMPANY</v>
      </c>
      <c r="BF859" s="300">
        <f t="shared" si="1538"/>
        <v>4057135</v>
      </c>
      <c r="BG859" s="231" t="str">
        <f t="shared" si="1539"/>
        <v>WI</v>
      </c>
      <c r="BH859" s="231"/>
      <c r="BI859" s="231" t="str">
        <f t="shared" si="1540"/>
        <v>2004 Y</v>
      </c>
      <c r="BJ859" s="129"/>
      <c r="BK859" s="129"/>
      <c r="BL859" s="129">
        <f>INDEX('Dist. Plant Gas Additions'!$E$7:$AD$91,MATCH($C859,'Dist. Plant Gas Additions'!$C$7:$C$91,0),MATCH(Calculation!$G859,'Dist. Plant Gas Additions'!$E$5:$AD$5,0))</f>
        <v>50016</v>
      </c>
      <c r="BM859" s="129">
        <f>INDEX('Gen. Plant Additions'!$E$7:$AD$91,MATCH($C859,'Gen. Plant Additions'!$C$7:$C$91,0),MATCH(Calculation!$G859,'Gen. Plant Additions'!$E$5:$AD$5,0))</f>
        <v>4866</v>
      </c>
      <c r="BN859" s="301">
        <f t="shared" si="1555"/>
        <v>0.92774600614482938</v>
      </c>
      <c r="BO859" s="231">
        <f t="shared" si="1504"/>
        <v>4514.4120659007394</v>
      </c>
      <c r="BP859" s="231">
        <f t="shared" si="1505"/>
        <v>-351.58793409926056</v>
      </c>
      <c r="BQ859" s="129">
        <f>INDEX('Dist Plant Depreciation'!$D$7:$AC$94,MATCH($C859,'Dist Plant Depreciation'!$C$7:$C$94,0),MATCH(Calculation!$G859,'Dist Plant Depreciation'!$D$5:$AC$5,0))</f>
        <v>612763</v>
      </c>
      <c r="BR859" s="129">
        <f>INDEX('Gen. Plant Depreciation'!$D$7:$AC$94,MATCH($C859,'Gen. Plant Depreciation'!$C$7:$C$94,0),MATCH(Calculation!$G859,'Gen. Plant Depreciation'!$D$5:$AC$5,0))</f>
        <v>80485</v>
      </c>
      <c r="BS859" s="129"/>
      <c r="BT859" s="129"/>
      <c r="BU859" s="129"/>
      <c r="BV859" s="129"/>
      <c r="BW859" s="129"/>
      <c r="BX859" s="137"/>
      <c r="BY859" s="129">
        <f>INDEX('Gross Dx Plant'!$D$7:$AC$91,MATCH($C859,'Gross Dx Plant'!$C$7:$C$91,0),MATCH(Calculation!$G859,'Gross Dx Plant'!$D$5:$AC$5,0))</f>
        <v>1633603</v>
      </c>
      <c r="BZ859" s="129">
        <f>INDEX('Gross Gen Plant'!$D$7:$AC$91,MATCH($C859,'Gross Gen Plant'!$C$7:$C$91,0),MATCH(Calculation!$G859,'Gross Gen Plant'!$D$5:$AC$5,0))</f>
        <v>127227</v>
      </c>
      <c r="CA859" s="129">
        <f t="shared" si="1526"/>
        <v>1067582</v>
      </c>
      <c r="CB859" s="129"/>
      <c r="CC859" s="133">
        <v>2004</v>
      </c>
      <c r="CD859" s="129"/>
      <c r="CE859" s="129"/>
      <c r="CF859" s="129"/>
      <c r="CG859" s="137"/>
      <c r="CH859" s="129">
        <f t="shared" si="1556"/>
        <v>54882</v>
      </c>
      <c r="CI859" s="46">
        <f t="shared" si="1565"/>
        <v>54530.412065900739</v>
      </c>
      <c r="CJ859" s="231">
        <f t="shared" si="1557"/>
        <v>131.4343108259483</v>
      </c>
      <c r="CK859" s="443">
        <v>0.9375</v>
      </c>
      <c r="CL859" s="231">
        <f>+CL853*CK859+CJ854*CK858+CJ855*CK857+CJ856*CK856+CJ857*CK855+CJ858*CK854+CJ859</f>
        <v>5635.0410909626853</v>
      </c>
      <c r="CM859" s="134">
        <f t="shared" si="1558"/>
        <v>1.2137471280104515E-2</v>
      </c>
      <c r="CN859" s="135">
        <f t="shared" si="1559"/>
        <v>1.1397859338150018E-2</v>
      </c>
      <c r="CO859" s="135">
        <f t="shared" si="1568"/>
        <v>1.1201194480881999E-2</v>
      </c>
      <c r="CP859" s="134">
        <f>VLOOKUP($H859,RoR!$E:$F,2,FALSE)</f>
        <v>5.6283333333333331E-2</v>
      </c>
      <c r="CQ859" s="135">
        <v>2.6778252812867276E-2</v>
      </c>
      <c r="CR859" s="135">
        <f t="shared" si="1566"/>
        <v>2.9505080520466055E-2</v>
      </c>
      <c r="CS859" s="135">
        <f t="shared" si="1569"/>
        <v>1.9700747127651626E-2</v>
      </c>
      <c r="CT859" s="135">
        <f t="shared" si="1570"/>
        <v>5.5940039414565046E-2</v>
      </c>
      <c r="CU859" s="139">
        <f t="shared" si="1560"/>
        <v>0.85150049999999999</v>
      </c>
      <c r="CV859" s="335">
        <f t="shared" si="1561"/>
        <v>0.91114097628755619</v>
      </c>
      <c r="CW859" s="335">
        <f t="shared" si="1562"/>
        <v>0.53081877405981637</v>
      </c>
      <c r="CX859" s="335">
        <f t="shared" si="1563"/>
        <v>0.88811215519385678</v>
      </c>
      <c r="CY859" s="335">
        <f t="shared" si="1564"/>
        <v>0.42953609753547711</v>
      </c>
      <c r="CZ859" s="336">
        <f>INDEX('State Tax Lookup'!$D$7:$Z$91,MATCH(Calculation!$C859,'State Tax Lookup'!$B$7:$B$91,0),MATCH($H859,'State Tax Lookup'!$D$6:$Z$6,0))</f>
        <v>0.40134999999999998</v>
      </c>
      <c r="DA859" s="302">
        <v>0.37</v>
      </c>
      <c r="DB859" s="57">
        <f t="shared" si="1567"/>
        <v>11.546280787706186</v>
      </c>
      <c r="DC859" s="56">
        <f t="shared" si="1571"/>
        <v>9.0881412649918725E-2</v>
      </c>
      <c r="DD859" s="303">
        <f>VLOOKUP($H859,RoR!$E:$F,2,FALSE)</f>
        <v>5.6283333333333331E-2</v>
      </c>
      <c r="DE859" s="304">
        <f>HLOOKUP($H859,'GDP-PI'!$D$8:$CQ$11,3,FALSE)</f>
        <v>2.6778252812867276E-2</v>
      </c>
      <c r="DF859" s="303">
        <f>VLOOKUP(H859,'HW Dx Data'!$E:$F,2,FALSE)</f>
        <v>414.88719135228365</v>
      </c>
      <c r="DG859" s="364">
        <f ca="1">VLOOKUP(CC859,'ECI - Input Price'!M$13:N$33,2,FALSE)</f>
        <v>94.35</v>
      </c>
      <c r="DH859" s="364"/>
      <c r="DI859" s="364"/>
      <c r="DJ859" s="56">
        <f t="shared" ref="DJ859:DJ877" ca="1" si="1579">LN(DG859/DG858)</f>
        <v>5.5569851154810786E-2</v>
      </c>
      <c r="DK859" s="53">
        <f>HLOOKUP(H859,'GDP-PI'!$8:$9,2,FALSE)</f>
        <v>84.778000000000006</v>
      </c>
      <c r="DL859" s="355">
        <f t="shared" si="1572"/>
        <v>2.6425990216022755E-2</v>
      </c>
      <c r="EC859"/>
    </row>
    <row r="860" spans="1:133" s="126" customFormat="1" ht="21" customHeight="1" x14ac:dyDescent="0.4">
      <c r="A860" s="233" t="s">
        <v>232</v>
      </c>
      <c r="B860" s="127" t="s">
        <v>233</v>
      </c>
      <c r="C860" s="127">
        <v>4057135</v>
      </c>
      <c r="D860" s="127" t="s">
        <v>214</v>
      </c>
      <c r="E860" s="127"/>
      <c r="F860" s="127"/>
      <c r="G860" s="127" t="s">
        <v>161</v>
      </c>
      <c r="H860" s="128">
        <v>2005</v>
      </c>
      <c r="I860" s="129"/>
      <c r="J860" s="125">
        <f>IFERROR(INDEX('Labor Expenditures'!$E$7:$W$91,MATCH($C860,'Labor Expenditures'!$C$7:$C$91,0),MATCH($G860,'Labor Expenditures'!$E$5:$W$5,0)),"NA")</f>
        <v>102825.17628040782</v>
      </c>
      <c r="K860" s="125">
        <f t="shared" ca="1" si="1573"/>
        <v>1036.2829557108373</v>
      </c>
      <c r="L860" s="47"/>
      <c r="M860" s="131">
        <f t="shared" ref="M860:M876" ca="1" si="1580">LN(K860/K859)</f>
        <v>0.1706702474773272</v>
      </c>
      <c r="N860" s="131"/>
      <c r="O860" s="131"/>
      <c r="P860" s="59"/>
      <c r="Q860" s="61"/>
      <c r="R860" s="387"/>
      <c r="S860" s="49">
        <v>100</v>
      </c>
      <c r="T860" s="46"/>
      <c r="U860" s="46"/>
      <c r="V860" s="125">
        <f>IFERROR(INDEX('Non-Labor Expenditures'!$E$7:$AA$91,MATCH($C860,'Non-Labor Expenditures'!$C$7:$C$91,0),MATCH($G860,'Non-Labor Expenditures'!$E$5:$AA$5,0)),"NA")</f>
        <v>148910.06034781874</v>
      </c>
      <c r="W860" s="125">
        <f t="shared" si="1574"/>
        <v>1703.6399870470184</v>
      </c>
      <c r="X860" s="131">
        <f>LN(W860/W859)</f>
        <v>0.19050967852116316</v>
      </c>
      <c r="Y860" s="131"/>
      <c r="Z860" s="131"/>
      <c r="AA860" s="131"/>
      <c r="AB860" s="131"/>
      <c r="AC860" s="125">
        <f t="shared" si="1554"/>
        <v>72603.194328193204</v>
      </c>
      <c r="AD860" s="129"/>
      <c r="AE860" s="133">
        <v>5912.0285772556708</v>
      </c>
      <c r="AF860" s="134">
        <v>1.7272268783701143E-2</v>
      </c>
      <c r="AG860" s="59">
        <f t="shared" si="1575"/>
        <v>0</v>
      </c>
      <c r="AH860" s="134"/>
      <c r="AI860" s="134"/>
      <c r="AJ860" s="129">
        <f t="shared" si="1458"/>
        <v>324338.43095641979</v>
      </c>
      <c r="AK860" s="134">
        <f>LN(AJ860/AJ859)</f>
        <v>0.19795560124208009</v>
      </c>
      <c r="AL860" s="129"/>
      <c r="AM860" s="129"/>
      <c r="AN860" s="129"/>
      <c r="AO860" s="129"/>
      <c r="AP860" s="133"/>
      <c r="AQ860" s="134"/>
      <c r="AR860" s="93">
        <f t="shared" si="1576"/>
        <v>0.31703050414714523</v>
      </c>
      <c r="AS860" s="93">
        <f t="shared" si="1577"/>
        <v>0.45911938313541162</v>
      </c>
      <c r="AT860" s="93">
        <f t="shared" si="1578"/>
        <v>0.22385011271744309</v>
      </c>
      <c r="AU860" s="93">
        <f t="shared" ref="AU860:AU876" ca="1" si="1581">+(((AR860+AR859)/2)*M860+((AS859+AS860)/2)*X860+((AT859+AT860)/2)*AF860)</f>
        <v>0.14397779600881205</v>
      </c>
      <c r="AV860" s="132">
        <v>100</v>
      </c>
      <c r="AW860" s="134"/>
      <c r="AX860" s="15"/>
      <c r="AY860" s="93"/>
      <c r="AZ860" s="93"/>
      <c r="BA860" s="93"/>
      <c r="BB860" s="234">
        <f>IFERROR(INDEX('Total Customers'!$E$7:$AA$91,MATCH($C860,'Total Customers'!$C$7:$C$91,0),MATCH($G860,'Total Customers'!$E$5:$AA$5,0)),"NA")</f>
        <v>816428</v>
      </c>
      <c r="BC860" s="269">
        <f t="shared" si="1546"/>
        <v>4.5705371888745475E-3</v>
      </c>
      <c r="BD860" s="92"/>
      <c r="BE860" s="299" t="str">
        <f t="shared" si="1537"/>
        <v>PEOPLES GAS LIGHT AND COKE COMPANY</v>
      </c>
      <c r="BF860" s="300">
        <f t="shared" si="1538"/>
        <v>4057135</v>
      </c>
      <c r="BG860" s="231" t="str">
        <f t="shared" si="1539"/>
        <v>WI</v>
      </c>
      <c r="BH860" s="231"/>
      <c r="BI860" s="231" t="str">
        <f t="shared" si="1540"/>
        <v>2005 Y</v>
      </c>
      <c r="BJ860" s="129"/>
      <c r="BK860" s="129"/>
      <c r="BL860" s="129">
        <f>INDEX('Dist. Plant Gas Additions'!$E$7:$AD$91,MATCH($C860,'Dist. Plant Gas Additions'!$C$7:$C$91,0),MATCH(Calculation!$G860,'Dist. Plant Gas Additions'!$E$5:$AD$5,0))</f>
        <v>54795</v>
      </c>
      <c r="BM860" s="129">
        <f>INDEX('Gen. Plant Additions'!$E$7:$AD$91,MATCH($C860,'Gen. Plant Additions'!$C$7:$C$91,0),MATCH(Calculation!$G860,'Gen. Plant Additions'!$E$5:$AD$5,0))</f>
        <v>9261</v>
      </c>
      <c r="BN860" s="301">
        <f t="shared" si="1555"/>
        <v>0.94807327958472187</v>
      </c>
      <c r="BO860" s="231">
        <f t="shared" si="1504"/>
        <v>8780.10664223411</v>
      </c>
      <c r="BP860" s="231">
        <f t="shared" si="1505"/>
        <v>-480.89335776588996</v>
      </c>
      <c r="BQ860" s="129">
        <f>INDEX('Dist Plant Depreciation'!$D$7:$AC$94,MATCH($C860,'Dist Plant Depreciation'!$C$7:$C$94,0),MATCH(Calculation!$G860,'Dist Plant Depreciation'!$D$5:$AC$5,0))</f>
        <v>635733</v>
      </c>
      <c r="BR860" s="129">
        <f>INDEX('Gen. Plant Depreciation'!$D$7:$AC$94,MATCH($C860,'Gen. Plant Depreciation'!$C$7:$C$94,0),MATCH(Calculation!$G860,'Gen. Plant Depreciation'!$D$5:$AC$5,0))</f>
        <v>46634</v>
      </c>
      <c r="BS860" s="129"/>
      <c r="BT860" s="129"/>
      <c r="BU860" s="129"/>
      <c r="BV860" s="129"/>
      <c r="BW860" s="129"/>
      <c r="BX860" s="137"/>
      <c r="BY860" s="129">
        <f>INDEX('Gross Dx Plant'!$D$7:$AC$91,MATCH($C860,'Gross Dx Plant'!$C$7:$C$91,0),MATCH(Calculation!$G860,'Gross Dx Plant'!$D$5:$AC$5,0))</f>
        <v>1677354</v>
      </c>
      <c r="BZ860" s="129">
        <f>INDEX('Gross Gen Plant'!$D$7:$AC$91,MATCH($C860,'Gross Gen Plant'!$C$7:$C$91,0),MATCH(Calculation!$G860,'Gross Gen Plant'!$D$5:$AC$5,0))</f>
        <v>91870</v>
      </c>
      <c r="CA860" s="129">
        <f t="shared" si="1526"/>
        <v>1086857</v>
      </c>
      <c r="CB860" s="129"/>
      <c r="CC860" s="133">
        <v>2005</v>
      </c>
      <c r="CD860" s="129"/>
      <c r="CE860" s="129"/>
      <c r="CF860" s="129"/>
      <c r="CG860" s="137"/>
      <c r="CH860" s="129">
        <f t="shared" si="1556"/>
        <v>64056</v>
      </c>
      <c r="CI860" s="46">
        <f t="shared" si="1565"/>
        <v>63575.10664223411</v>
      </c>
      <c r="CJ860" s="231">
        <f t="shared" si="1557"/>
        <v>135.49533279813838</v>
      </c>
      <c r="CK860" s="443">
        <v>0.9263157894736842</v>
      </c>
      <c r="CL860" s="231">
        <f>+CL853*CK860+CJ854*CK859+CJ855*CK858+CJ856*CK857+CJ857*CK856+CJ858*CK855+CJ859*CK854+CJ860</f>
        <v>5704.452155813201</v>
      </c>
      <c r="CM860" s="134">
        <f t="shared" si="1558"/>
        <v>1.224251036206544E-2</v>
      </c>
      <c r="CN860" s="135">
        <f t="shared" si="1559"/>
        <v>1.1727379957105676E-2</v>
      </c>
      <c r="CO860" s="135">
        <f t="shared" si="1568"/>
        <v>1.1399959927514108E-2</v>
      </c>
      <c r="CP860" s="134">
        <f>VLOOKUP($H860,RoR!$E:$F,2,FALSE)</f>
        <v>5.2350000000000001E-2</v>
      </c>
      <c r="CQ860" s="135">
        <v>3.1010403642454332E-2</v>
      </c>
      <c r="CR860" s="135">
        <f t="shared" si="1566"/>
        <v>2.1339596357545669E-2</v>
      </c>
      <c r="CS860" s="135">
        <f t="shared" si="1569"/>
        <v>1.9501981681019517E-2</v>
      </c>
      <c r="CT860" s="135">
        <f t="shared" si="1570"/>
        <v>9.2129610649277341E-2</v>
      </c>
      <c r="CU860" s="139">
        <f t="shared" si="1560"/>
        <v>0.85150049999999999</v>
      </c>
      <c r="CV860" s="335">
        <f t="shared" si="1561"/>
        <v>0.97959983346802826</v>
      </c>
      <c r="CW860" s="335">
        <f t="shared" si="1562"/>
        <v>0.49744508118433622</v>
      </c>
      <c r="CX860" s="335">
        <f t="shared" si="1563"/>
        <v>0.87010519444335932</v>
      </c>
      <c r="CY860" s="335">
        <f t="shared" si="1564"/>
        <v>0.42399975420741998</v>
      </c>
      <c r="CZ860" s="336">
        <f>INDEX('State Tax Lookup'!$D$7:$Z$91,MATCH(Calculation!$C860,'State Tax Lookup'!$B$7:$B$91,0),MATCH($H860,'State Tax Lookup'!$D$6:$Z$6,0))</f>
        <v>0.40134999999999998</v>
      </c>
      <c r="DA860" s="302">
        <v>0.37</v>
      </c>
      <c r="DB860" s="57">
        <f t="shared" si="1567"/>
        <v>12.884235120242884</v>
      </c>
      <c r="DC860" s="56">
        <f t="shared" si="1571"/>
        <v>0.10964110492315825</v>
      </c>
      <c r="DD860" s="303">
        <f>VLOOKUP($H860,RoR!$E:$F,2,FALSE)</f>
        <v>5.2350000000000001E-2</v>
      </c>
      <c r="DE860" s="304">
        <f>HLOOKUP($H860,'GDP-PI'!$D$8:$CQ$11,3,FALSE)</f>
        <v>3.1010403642454332E-2</v>
      </c>
      <c r="DF860" s="303">
        <f>VLOOKUP(H860,'HW Dx Data'!$E:$F,2,FALSE)</f>
        <v>469.20514034936258</v>
      </c>
      <c r="DG860" s="364">
        <f ca="1">VLOOKUP(CC860,'ECI - Input Price'!M$13:N$33,2,FALSE)</f>
        <v>99.224999999999994</v>
      </c>
      <c r="DH860" s="364"/>
      <c r="DI860" s="364"/>
      <c r="DJ860" s="56">
        <f t="shared" ca="1" si="1579"/>
        <v>5.0378726854569796E-2</v>
      </c>
      <c r="DK860" s="53">
        <f>HLOOKUP(H860,'GDP-PI'!$8:$9,2,FALSE)</f>
        <v>87.406999999999996</v>
      </c>
      <c r="DL860" s="355">
        <f t="shared" si="1572"/>
        <v>3.0539295810733648E-2</v>
      </c>
      <c r="EC860"/>
    </row>
    <row r="861" spans="1:133" s="126" customFormat="1" ht="21" customHeight="1" x14ac:dyDescent="0.4">
      <c r="A861" s="233" t="s">
        <v>232</v>
      </c>
      <c r="B861" s="127" t="s">
        <v>233</v>
      </c>
      <c r="C861" s="127">
        <v>4057135</v>
      </c>
      <c r="D861" s="127" t="s">
        <v>214</v>
      </c>
      <c r="E861" s="127"/>
      <c r="F861" s="127"/>
      <c r="G861" s="127" t="s">
        <v>162</v>
      </c>
      <c r="H861" s="128">
        <v>2006</v>
      </c>
      <c r="I861" s="129"/>
      <c r="J861" s="125">
        <f>IFERROR(INDEX('Labor Expenditures'!$E$7:$W$91,MATCH($C861,'Labor Expenditures'!$C$7:$C$91,0),MATCH($G861,'Labor Expenditures'!$E$5:$W$5,0)),"NA")</f>
        <v>93063.124150521369</v>
      </c>
      <c r="K861" s="125">
        <f t="shared" ca="1" si="1573"/>
        <v>850.66841088227943</v>
      </c>
      <c r="L861" s="47"/>
      <c r="M861" s="131">
        <f t="shared" ca="1" si="1580"/>
        <v>-0.19737310259639443</v>
      </c>
      <c r="N861" s="131"/>
      <c r="O861" s="131"/>
      <c r="P861" s="59">
        <f t="shared" ref="P861:P877" ca="1" si="1582">+M861*$AX861</f>
        <v>-8.0672586972252817E-3</v>
      </c>
      <c r="Q861" s="61"/>
      <c r="R861" s="387"/>
      <c r="S861" s="49">
        <f ca="1">+S860*EXP(T861)</f>
        <v>111.52503649949711</v>
      </c>
      <c r="T861" s="61">
        <f ca="1">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</f>
        <v>0.10907892230255292</v>
      </c>
      <c r="U861" s="61"/>
      <c r="V861" s="125">
        <f>IFERROR(INDEX('Non-Labor Expenditures'!$E$7:$AA$91,MATCH($C861,'Non-Labor Expenditures'!$C$7:$C$91,0),MATCH($G861,'Non-Labor Expenditures'!$E$5:$AA$5,0)),"NA")</f>
        <v>134772.78556391038</v>
      </c>
      <c r="W861" s="125">
        <f t="shared" si="1574"/>
        <v>1496.2451491430422</v>
      </c>
      <c r="X861" s="131">
        <f t="shared" ref="X861:X876" si="1583">LN(W861/W860)</f>
        <v>-0.1298083950030966</v>
      </c>
      <c r="Y861" s="131">
        <f t="shared" ref="Y861:Y877" si="1584">+X861*AX861</f>
        <v>-5.305676861669377E-3</v>
      </c>
      <c r="Z861" s="131"/>
      <c r="AA861" s="131"/>
      <c r="AB861" s="131"/>
      <c r="AC861" s="125">
        <f t="shared" si="1554"/>
        <v>71083.434761917888</v>
      </c>
      <c r="AD861" s="129"/>
      <c r="AE861" s="133">
        <v>6052.5671523009296</v>
      </c>
      <c r="AF861" s="134">
        <v>2.3493487332227503E-2</v>
      </c>
      <c r="AG861" s="59">
        <f t="shared" si="1575"/>
        <v>9.6025262569149371E-4</v>
      </c>
      <c r="AH861" s="134"/>
      <c r="AI861" s="134"/>
      <c r="AJ861" s="129">
        <f t="shared" si="1458"/>
        <v>298919.34447634965</v>
      </c>
      <c r="AK861" s="134">
        <f t="shared" ref="AK861:AK877" si="1585">LN(AJ861/AJ860)</f>
        <v>-8.1613724542828794E-2</v>
      </c>
      <c r="AL861" s="129"/>
      <c r="AM861" s="129"/>
      <c r="AN861" s="129"/>
      <c r="AO861" s="129"/>
      <c r="AP861" s="133">
        <f t="shared" ref="AP861:AP877" si="1586">+(AJ861*1000)/BB861</f>
        <v>365.42171077728648</v>
      </c>
      <c r="AQ861" s="134">
        <f>+BB861/Outputs!$B$14</f>
        <v>2.3586442423440844E-2</v>
      </c>
      <c r="AR861" s="93">
        <f t="shared" si="1576"/>
        <v>0.31133188891990388</v>
      </c>
      <c r="AS861" s="93">
        <f t="shared" si="1577"/>
        <v>0.45086672393185828</v>
      </c>
      <c r="AT861" s="93">
        <f t="shared" si="1578"/>
        <v>0.23780138714823781</v>
      </c>
      <c r="AU861" s="93">
        <f t="shared" ca="1" si="1581"/>
        <v>-0.11564993372202936</v>
      </c>
      <c r="AV861" s="132">
        <f ca="1">+AV860*EXP(AU861)</f>
        <v>89.078700321315068</v>
      </c>
      <c r="AW861" s="134">
        <f ca="1">LN(AV861/AV860)</f>
        <v>-0.11564993372202952</v>
      </c>
      <c r="AX861" s="56">
        <f>+AJ861/$AL$11</f>
        <v>4.0873141228984528E-2</v>
      </c>
      <c r="AY861" s="135">
        <f ca="1">+AX861*AW861</f>
        <v>-4.7269760741432123E-3</v>
      </c>
      <c r="AZ861" s="93"/>
      <c r="BA861" s="93"/>
      <c r="BB861" s="234">
        <f>IFERROR(INDEX('Total Customers'!$E$7:$AA$91,MATCH($C861,'Total Customers'!$C$7:$C$91,0),MATCH($G861,'Total Customers'!$E$5:$AA$5,0)),"NA")</f>
        <v>818012</v>
      </c>
      <c r="BC861" s="269">
        <f t="shared" si="1546"/>
        <v>1.9382791609532236E-3</v>
      </c>
      <c r="BD861" s="92"/>
      <c r="BE861" s="299" t="str">
        <f t="shared" si="1537"/>
        <v>PEOPLES GAS LIGHT AND COKE COMPANY</v>
      </c>
      <c r="BF861" s="300">
        <f t="shared" si="1538"/>
        <v>4057135</v>
      </c>
      <c r="BG861" s="231" t="str">
        <f t="shared" si="1539"/>
        <v>WI</v>
      </c>
      <c r="BH861" s="231"/>
      <c r="BI861" s="231" t="str">
        <f t="shared" si="1540"/>
        <v>2006 Y</v>
      </c>
      <c r="BJ861" s="129"/>
      <c r="BK861" s="129"/>
      <c r="BL861" s="129">
        <f>INDEX('Dist. Plant Gas Additions'!$E$7:$AD$91,MATCH($C861,'Dist. Plant Gas Additions'!$C$7:$C$91,0),MATCH(Calculation!$G861,'Dist. Plant Gas Additions'!$E$5:$AD$5,0))</f>
        <v>70211</v>
      </c>
      <c r="BM861" s="129">
        <f>INDEX('Gen. Plant Additions'!$E$7:$AD$91,MATCH($C861,'Gen. Plant Additions'!$C$7:$C$91,0),MATCH(Calculation!$G861,'Gen. Plant Additions'!$E$5:$AD$5,0))</f>
        <v>11709</v>
      </c>
      <c r="BN861" s="301">
        <f t="shared" si="1555"/>
        <v>0.94838416085731836</v>
      </c>
      <c r="BO861" s="231">
        <f t="shared" si="1504"/>
        <v>11104.63013947834</v>
      </c>
      <c r="BP861" s="231">
        <f t="shared" si="1505"/>
        <v>-604.36986052165958</v>
      </c>
      <c r="BQ861" s="129">
        <f>INDEX('Dist Plant Depreciation'!$D$7:$AC$94,MATCH($C861,'Dist Plant Depreciation'!$C$7:$C$94,0),MATCH(Calculation!$G861,'Dist Plant Depreciation'!$D$5:$AC$5,0))</f>
        <v>666881</v>
      </c>
      <c r="BR861" s="129">
        <f>INDEX('Gen. Plant Depreciation'!$D$7:$AC$94,MATCH($C861,'Gen. Plant Depreciation'!$C$7:$C$94,0),MATCH(Calculation!$G861,'Gen. Plant Depreciation'!$D$5:$AC$5,0))</f>
        <v>47197</v>
      </c>
      <c r="BS861" s="129"/>
      <c r="BT861" s="129"/>
      <c r="BU861" s="129"/>
      <c r="BV861" s="129"/>
      <c r="BW861" s="129"/>
      <c r="BX861" s="137"/>
      <c r="BY861" s="129">
        <f>INDEX('Gross Dx Plant'!$D$7:$AC$91,MATCH($C861,'Gross Dx Plant'!$C$7:$C$91,0),MATCH(Calculation!$G861,'Gross Dx Plant'!$D$5:$AC$5,0))</f>
        <v>1756857</v>
      </c>
      <c r="BZ861" s="129">
        <f>INDEX('Gross Gen Plant'!$D$7:$AC$91,MATCH($C861,'Gross Gen Plant'!$C$7:$C$91,0),MATCH(Calculation!$G861,'Gross Gen Plant'!$D$5:$AC$5,0))</f>
        <v>95617</v>
      </c>
      <c r="CA861" s="129">
        <f t="shared" si="1526"/>
        <v>1138396</v>
      </c>
      <c r="CB861" s="134"/>
      <c r="CC861" s="133">
        <v>2006</v>
      </c>
      <c r="CD861" s="129"/>
      <c r="CE861" s="129"/>
      <c r="CF861" s="129"/>
      <c r="CG861" s="137"/>
      <c r="CH861" s="129">
        <f t="shared" si="1556"/>
        <v>81920</v>
      </c>
      <c r="CI861" s="46">
        <f t="shared" si="1565"/>
        <v>81315.630139478337</v>
      </c>
      <c r="CJ861" s="231">
        <f t="shared" si="1557"/>
        <v>176.35687888125813</v>
      </c>
      <c r="CK861" s="443">
        <v>0.91489361702127658</v>
      </c>
      <c r="CL861" s="231">
        <f>+CL853*CK861+CJ854*CK860+CJ855*CK859+CJ856*CK858+CJ857*CK857+CJ858*CK856+CJ859*CK855+CJ860*CK854+CJ861</f>
        <v>5811.9845345858866</v>
      </c>
      <c r="CM861" s="134">
        <f t="shared" si="1558"/>
        <v>1.8675134835666952E-2</v>
      </c>
      <c r="CN861" s="135">
        <f t="shared" si="1559"/>
        <v>1.2065049934450919E-2</v>
      </c>
      <c r="CO861" s="135">
        <f t="shared" si="1568"/>
        <v>1.1730096409902205E-2</v>
      </c>
      <c r="CP861" s="134">
        <f>VLOOKUP($H861,RoR!$E:$F,2,FALSE)</f>
        <v>5.5874999999999994E-2</v>
      </c>
      <c r="CQ861" s="135">
        <v>3.0512430354548314E-2</v>
      </c>
      <c r="CR861" s="135">
        <f t="shared" si="1566"/>
        <v>2.536256964545168E-2</v>
      </c>
      <c r="CS861" s="135">
        <f t="shared" si="1569"/>
        <v>1.917184519863142E-2</v>
      </c>
      <c r="CT861" s="135">
        <f t="shared" si="1570"/>
        <v>7.9087823893859641E-2</v>
      </c>
      <c r="CU861" s="139">
        <f t="shared" si="1560"/>
        <v>0.85150049999999999</v>
      </c>
      <c r="CV861" s="335">
        <f t="shared" si="1561"/>
        <v>0.91779957551769631</v>
      </c>
      <c r="CW861" s="335">
        <f t="shared" si="1562"/>
        <v>0.52757270693512304</v>
      </c>
      <c r="CX861" s="335">
        <f t="shared" si="1563"/>
        <v>0.88636824549024895</v>
      </c>
      <c r="CY861" s="335">
        <f t="shared" si="1564"/>
        <v>0.42918482841932087</v>
      </c>
      <c r="CZ861" s="336">
        <f>INDEX('State Tax Lookup'!$D$7:$Z$91,MATCH(Calculation!$C861,'State Tax Lookup'!$B$7:$B$91,0),MATCH($H861,'State Tax Lookup'!$D$6:$Z$6,0))</f>
        <v>0.40134999999999998</v>
      </c>
      <c r="DA861" s="302">
        <v>0.37</v>
      </c>
      <c r="DB861" s="57">
        <f t="shared" si="1567"/>
        <v>12.461044955820926</v>
      </c>
      <c r="DC861" s="56">
        <f t="shared" si="1571"/>
        <v>-3.3397105636300814E-2</v>
      </c>
      <c r="DD861" s="303">
        <f>VLOOKUP($H861,RoR!$E:$F,2,FALSE)</f>
        <v>5.5874999999999994E-2</v>
      </c>
      <c r="DE861" s="304">
        <f>HLOOKUP($H861,'GDP-PI'!$D$8:$CQ$11,3,FALSE)</f>
        <v>3.0512430354548314E-2</v>
      </c>
      <c r="DF861" s="303">
        <f>VLOOKUP(H861,'HW Dx Data'!$E:$F,2,FALSE)</f>
        <v>461.08567272971823</v>
      </c>
      <c r="DG861" s="364">
        <f ca="1">VLOOKUP(CC861,'ECI - Input Price'!M$13:N$33,2,FALSE)</f>
        <v>109.4</v>
      </c>
      <c r="DH861" s="364"/>
      <c r="DI861" s="364"/>
      <c r="DJ861" s="56">
        <f t="shared" ca="1" si="1579"/>
        <v>9.7620891318751846E-2</v>
      </c>
      <c r="DK861" s="53">
        <f>HLOOKUP(H861,'GDP-PI'!$8:$9,2,FALSE)</f>
        <v>90.073999999999998</v>
      </c>
      <c r="DL861" s="355">
        <f t="shared" si="1572"/>
        <v>3.005618372545445E-2</v>
      </c>
      <c r="EC861"/>
    </row>
    <row r="862" spans="1:133" s="126" customFormat="1" ht="21" customHeight="1" x14ac:dyDescent="0.4">
      <c r="A862" s="233" t="s">
        <v>232</v>
      </c>
      <c r="B862" s="127" t="s">
        <v>233</v>
      </c>
      <c r="C862" s="127">
        <v>4057135</v>
      </c>
      <c r="D862" s="127" t="s">
        <v>214</v>
      </c>
      <c r="E862" s="127"/>
      <c r="F862" s="127"/>
      <c r="G862" s="127" t="s">
        <v>163</v>
      </c>
      <c r="H862" s="128">
        <v>2007</v>
      </c>
      <c r="I862" s="129"/>
      <c r="J862" s="125">
        <f>IFERROR(INDEX('Labor Expenditures'!$E$7:$W$91,MATCH($C862,'Labor Expenditures'!$C$7:$C$91,0),MATCH($G862,'Labor Expenditures'!$E$5:$W$5,0)),"NA")</f>
        <v>111088.57815179335</v>
      </c>
      <c r="K862" s="125">
        <f t="shared" ca="1" si="1573"/>
        <v>1062.7943377354065</v>
      </c>
      <c r="L862" s="47"/>
      <c r="M862" s="131">
        <f t="shared" ca="1" si="1580"/>
        <v>0.22263447998087665</v>
      </c>
      <c r="N862" s="131"/>
      <c r="O862" s="131"/>
      <c r="P862" s="59">
        <f t="shared" ca="1" si="1582"/>
        <v>1.0136262274813516E-2</v>
      </c>
      <c r="Q862" s="61"/>
      <c r="R862" s="387"/>
      <c r="S862" s="49">
        <f t="shared" ref="S862:S875" ca="1" si="1587">+S861*EXP(T862)</f>
        <v>119.89163334587207</v>
      </c>
      <c r="T862" s="61">
        <f ca="1">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</f>
        <v>7.2339171040111894E-2</v>
      </c>
      <c r="U862" s="61"/>
      <c r="V862" s="125">
        <f>IFERROR(INDEX('Non-Labor Expenditures'!$E$7:$AA$91,MATCH($C862,'Non-Labor Expenditures'!$C$7:$C$91,0),MATCH($G862,'Non-Labor Expenditures'!$E$5:$AA$5,0)),"NA")</f>
        <v>160877.00964816008</v>
      </c>
      <c r="W862" s="125">
        <f t="shared" si="1574"/>
        <v>1739.24852048866</v>
      </c>
      <c r="X862" s="131">
        <f t="shared" si="1583"/>
        <v>0.15049439928558636</v>
      </c>
      <c r="Y862" s="131">
        <f t="shared" si="1584"/>
        <v>6.8518169430909388E-3</v>
      </c>
      <c r="Z862" s="131"/>
      <c r="AA862" s="131"/>
      <c r="AB862" s="131"/>
      <c r="AC862" s="125">
        <f t="shared" si="1554"/>
        <v>77028.669894667371</v>
      </c>
      <c r="AD862" s="129"/>
      <c r="AE862" s="133">
        <v>6190.2616805407297</v>
      </c>
      <c r="AF862" s="134">
        <v>2.2494855789117103E-2</v>
      </c>
      <c r="AG862" s="59">
        <f t="shared" si="1575"/>
        <v>1.0241619273536763E-3</v>
      </c>
      <c r="AH862" s="134"/>
      <c r="AI862" s="134"/>
      <c r="AJ862" s="129">
        <f t="shared" ref="AJ862:AJ925" si="1588">+J862+V862+AC862</f>
        <v>348994.25769462076</v>
      </c>
      <c r="AK862" s="134">
        <f t="shared" si="1585"/>
        <v>0.15488168238384442</v>
      </c>
      <c r="AL862" s="129"/>
      <c r="AM862" s="129"/>
      <c r="AN862" s="129"/>
      <c r="AO862" s="129"/>
      <c r="AP862" s="133">
        <f t="shared" si="1586"/>
        <v>420.3818161933026</v>
      </c>
      <c r="AQ862" s="134">
        <f>+BB862/Outputs!$B$15</f>
        <v>2.3757181699497681E-2</v>
      </c>
      <c r="AR862" s="93">
        <f t="shared" si="1576"/>
        <v>0.31831061887843098</v>
      </c>
      <c r="AS862" s="93">
        <f t="shared" si="1577"/>
        <v>0.46097322835876497</v>
      </c>
      <c r="AT862" s="93">
        <f t="shared" si="1578"/>
        <v>0.22071615276280421</v>
      </c>
      <c r="AU862" s="93">
        <f t="shared" ca="1" si="1581"/>
        <v>0.14386061204959605</v>
      </c>
      <c r="AV862" s="132">
        <f ca="1">+AV861*EXP(AU862)</f>
        <v>102.86123679287537</v>
      </c>
      <c r="AW862" s="134">
        <f ca="1">LN(AV862/AV861)</f>
        <v>0.1438606120495961</v>
      </c>
      <c r="AX862" s="56">
        <f>+AJ862/$AL$12</f>
        <v>4.552871718560475E-2</v>
      </c>
      <c r="AY862" s="135">
        <f t="shared" ref="AY862:AY876" ca="1" si="1589">+AX862*AW862</f>
        <v>6.5497891201540641E-3</v>
      </c>
      <c r="AZ862" s="93"/>
      <c r="BA862" s="93"/>
      <c r="BB862" s="234">
        <f>IFERROR(INDEX('Total Customers'!$E$7:$AA$91,MATCH($C862,'Total Customers'!$C$7:$C$91,0),MATCH($G862,'Total Customers'!$E$5:$AA$5,0)),"NA")</f>
        <v>830184</v>
      </c>
      <c r="BC862" s="269">
        <f t="shared" si="1546"/>
        <v>1.47703565469606E-2</v>
      </c>
      <c r="BD862" s="92"/>
      <c r="BE862" s="299" t="str">
        <f t="shared" si="1537"/>
        <v>PEOPLES GAS LIGHT AND COKE COMPANY</v>
      </c>
      <c r="BF862" s="300">
        <f t="shared" si="1538"/>
        <v>4057135</v>
      </c>
      <c r="BG862" s="231" t="str">
        <f t="shared" si="1539"/>
        <v>WI</v>
      </c>
      <c r="BH862" s="231"/>
      <c r="BI862" s="231" t="str">
        <f t="shared" si="1540"/>
        <v>2007 Y</v>
      </c>
      <c r="BJ862" s="129"/>
      <c r="BK862" s="129"/>
      <c r="BL862" s="129">
        <f>INDEX('Dist. Plant Gas Additions'!$E$7:$AD$91,MATCH($C862,'Dist. Plant Gas Additions'!$C$7:$C$91,0),MATCH(Calculation!$G862,'Dist. Plant Gas Additions'!$E$5:$AD$5,0))</f>
        <v>78853</v>
      </c>
      <c r="BM862" s="129">
        <f>INDEX('Gen. Plant Additions'!$E$7:$AD$91,MATCH($C862,'Gen. Plant Additions'!$C$7:$C$91,0),MATCH(Calculation!$G862,'Gen. Plant Additions'!$E$5:$AD$5,0))</f>
        <v>9274</v>
      </c>
      <c r="BN862" s="301">
        <f t="shared" si="1555"/>
        <v>0.95231023875093979</v>
      </c>
      <c r="BO862" s="231">
        <f t="shared" si="1504"/>
        <v>8831.7251541762162</v>
      </c>
      <c r="BP862" s="231">
        <f t="shared" si="1505"/>
        <v>-442.27484582378383</v>
      </c>
      <c r="BQ862" s="129">
        <f>INDEX('Dist Plant Depreciation'!$D$7:$AC$94,MATCH($C862,'Dist Plant Depreciation'!$C$7:$C$94,0),MATCH(Calculation!$G862,'Dist Plant Depreciation'!$D$5:$AC$5,0))</f>
        <v>682590</v>
      </c>
      <c r="BR862" s="129">
        <f>INDEX('Gen. Plant Depreciation'!$D$7:$AC$94,MATCH($C862,'Gen. Plant Depreciation'!$C$7:$C$94,0),MATCH(Calculation!$G862,'Gen. Plant Depreciation'!$D$5:$AC$5,0))</f>
        <v>46375</v>
      </c>
      <c r="BS862" s="129"/>
      <c r="BT862" s="129"/>
      <c r="BU862" s="129"/>
      <c r="BV862" s="129"/>
      <c r="BW862" s="129"/>
      <c r="BX862" s="137"/>
      <c r="BY862" s="129">
        <f>INDEX('Gross Dx Plant'!$D$7:$AC$91,MATCH($C862,'Gross Dx Plant'!$C$7:$C$91,0),MATCH(Calculation!$G862,'Gross Dx Plant'!$D$5:$AC$5,0))</f>
        <v>1891171</v>
      </c>
      <c r="BZ862" s="129">
        <f>INDEX('Gross Gen Plant'!$D$7:$AC$91,MATCH($C862,'Gross Gen Plant'!$C$7:$C$91,0),MATCH(Calculation!$G862,'Gross Gen Plant'!$D$5:$AC$5,0))</f>
        <v>94706</v>
      </c>
      <c r="CA862" s="129">
        <f t="shared" si="1526"/>
        <v>1256912</v>
      </c>
      <c r="CB862" s="129"/>
      <c r="CC862" s="133">
        <v>2007</v>
      </c>
      <c r="CD862" s="129"/>
      <c r="CE862" s="129"/>
      <c r="CF862" s="129"/>
      <c r="CG862" s="137"/>
      <c r="CH862" s="129">
        <f t="shared" si="1556"/>
        <v>88127</v>
      </c>
      <c r="CI862" s="46">
        <f t="shared" si="1565"/>
        <v>87684.725154176209</v>
      </c>
      <c r="CJ862" s="231">
        <f t="shared" si="1557"/>
        <v>176.06585574412739</v>
      </c>
      <c r="CK862" s="443">
        <v>0.90322580645161288</v>
      </c>
      <c r="CL862" s="231">
        <f>+CL853*CK862+CJ854*CK861+CJ855*CK860+CJ856*CK859+CJ857*CK858+CJ858*CK857+CJ859*CK856+CJ860*CK855+CJ861*CK854+CJ862</f>
        <v>5916.0093683645073</v>
      </c>
      <c r="CM862" s="134">
        <f t="shared" si="1558"/>
        <v>1.7740043652088686E-2</v>
      </c>
      <c r="CN862" s="135">
        <f t="shared" si="1559"/>
        <v>1.2395253555271168E-2</v>
      </c>
      <c r="CO862" s="135">
        <f t="shared" si="1568"/>
        <v>1.2062561148942587E-2</v>
      </c>
      <c r="CP862" s="134">
        <f>VLOOKUP($H862,RoR!$E:$F,2,FALSE)</f>
        <v>5.5558333333333321E-2</v>
      </c>
      <c r="CQ862" s="135">
        <v>2.691120634145272E-2</v>
      </c>
      <c r="CR862" s="135">
        <f t="shared" si="1566"/>
        <v>2.86471269918806E-2</v>
      </c>
      <c r="CS862" s="135">
        <f t="shared" si="1569"/>
        <v>1.8839380459591038E-2</v>
      </c>
      <c r="CT862" s="135">
        <f t="shared" si="1570"/>
        <v>6.4575155250632399E-2</v>
      </c>
      <c r="CU862" s="139">
        <f t="shared" si="1560"/>
        <v>0.85150049999999999</v>
      </c>
      <c r="CV862" s="335">
        <f t="shared" si="1561"/>
        <v>0.92303077153834634</v>
      </c>
      <c r="CW862" s="335">
        <f t="shared" si="1562"/>
        <v>0.52502249887505614</v>
      </c>
      <c r="CX862" s="335">
        <f t="shared" si="1563"/>
        <v>0.88499666072084604</v>
      </c>
      <c r="CY862" s="335">
        <f t="shared" si="1564"/>
        <v>0.42887993290280618</v>
      </c>
      <c r="CZ862" s="336">
        <f>INDEX('State Tax Lookup'!$D$7:$Z$91,MATCH(Calculation!$C862,'State Tax Lookup'!$B$7:$B$91,0),MATCH($H862,'State Tax Lookup'!$D$6:$Z$6,0))</f>
        <v>0.40134999999999998</v>
      </c>
      <c r="DA862" s="302">
        <v>0.37</v>
      </c>
      <c r="DB862" s="57">
        <f t="shared" si="1567"/>
        <v>13.25341962565215</v>
      </c>
      <c r="DC862" s="56">
        <f t="shared" si="1571"/>
        <v>6.1648229412928766E-2</v>
      </c>
      <c r="DD862" s="303">
        <f>VLOOKUP($H862,RoR!$E:$F,2,FALSE)</f>
        <v>5.5558333333333321E-2</v>
      </c>
      <c r="DE862" s="304">
        <f>HLOOKUP($H862,'GDP-PI'!$D$8:$CQ$11,3,FALSE)</f>
        <v>2.691120634145272E-2</v>
      </c>
      <c r="DF862" s="303">
        <f>VLOOKUP(H862,'HW Dx Data'!$E:$F,2,FALSE)</f>
        <v>498.0223154772637</v>
      </c>
      <c r="DG862" s="364">
        <f ca="1">VLOOKUP(CC862,'ECI - Input Price'!M$13:N$33,2,FALSE)</f>
        <v>104.52499999999999</v>
      </c>
      <c r="DH862" s="364"/>
      <c r="DI862" s="364"/>
      <c r="DJ862" s="56">
        <f t="shared" ca="1" si="1579"/>
        <v>-4.5584612745252218E-2</v>
      </c>
      <c r="DK862" s="53">
        <f>HLOOKUP(H862,'GDP-PI'!$8:$9,2,FALSE)</f>
        <v>92.498000000000005</v>
      </c>
      <c r="DL862" s="355">
        <f t="shared" si="1572"/>
        <v>2.6555467950038037E-2</v>
      </c>
      <c r="EC862"/>
    </row>
    <row r="863" spans="1:133" s="126" customFormat="1" ht="21" customHeight="1" x14ac:dyDescent="0.4">
      <c r="A863" s="233" t="s">
        <v>232</v>
      </c>
      <c r="B863" s="127" t="s">
        <v>233</v>
      </c>
      <c r="C863" s="127">
        <v>4057135</v>
      </c>
      <c r="D863" s="127" t="s">
        <v>214</v>
      </c>
      <c r="E863" s="127"/>
      <c r="F863" s="127"/>
      <c r="G863" s="127" t="s">
        <v>164</v>
      </c>
      <c r="H863" s="128">
        <v>2008</v>
      </c>
      <c r="I863" s="129"/>
      <c r="J863" s="125">
        <f>IFERROR(INDEX('Labor Expenditures'!$E$7:$W$91,MATCH($C863,'Labor Expenditures'!$C$7:$C$91,0),MATCH($G863,'Labor Expenditures'!$E$5:$W$5,0)),"NA")</f>
        <v>106917.00431375243</v>
      </c>
      <c r="K863" s="125">
        <f t="shared" ca="1" si="1573"/>
        <v>990.88975267611147</v>
      </c>
      <c r="L863" s="47"/>
      <c r="M863" s="131">
        <f t="shared" ca="1" si="1580"/>
        <v>-7.0053606605077548E-2</v>
      </c>
      <c r="N863" s="131"/>
      <c r="O863" s="131"/>
      <c r="P863" s="59">
        <f t="shared" ca="1" si="1582"/>
        <v>-3.0300369494897002E-3</v>
      </c>
      <c r="Q863" s="61"/>
      <c r="R863" s="387"/>
      <c r="S863" s="49">
        <f t="shared" ca="1" si="1587"/>
        <v>111.64195729608571</v>
      </c>
      <c r="T863" s="61">
        <f ca="1">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</f>
        <v>-7.1291338604877408E-2</v>
      </c>
      <c r="U863" s="61"/>
      <c r="V863" s="125">
        <f>IFERROR(INDEX('Non-Labor Expenditures'!$E$7:$AA$91,MATCH($C863,'Non-Labor Expenditures'!$C$7:$C$91,0),MATCH($G863,'Non-Labor Expenditures'!$E$5:$AA$5,0)),"NA")</f>
        <v>154835.79158815838</v>
      </c>
      <c r="W863" s="125">
        <f t="shared" si="1574"/>
        <v>1642.5760798200627</v>
      </c>
      <c r="X863" s="131">
        <f t="shared" si="1583"/>
        <v>-5.7187345331649576E-2</v>
      </c>
      <c r="Y863" s="131">
        <f t="shared" si="1584"/>
        <v>-2.4735310256755014E-3</v>
      </c>
      <c r="Z863" s="131"/>
      <c r="AA863" s="131"/>
      <c r="AB863" s="131"/>
      <c r="AC863" s="125">
        <f t="shared" si="1554"/>
        <v>88151.749368685414</v>
      </c>
      <c r="AD863" s="129"/>
      <c r="AE863" s="133">
        <v>6360.1657471952876</v>
      </c>
      <c r="AF863" s="134">
        <v>2.7077077365394435E-2</v>
      </c>
      <c r="AG863" s="59">
        <f t="shared" si="1575"/>
        <v>1.171168036556018E-3</v>
      </c>
      <c r="AH863" s="134"/>
      <c r="AI863" s="134"/>
      <c r="AJ863" s="129">
        <f t="shared" si="1588"/>
        <v>349904.54527059622</v>
      </c>
      <c r="AK863" s="134">
        <f t="shared" si="1585"/>
        <v>2.6049210181836695E-3</v>
      </c>
      <c r="AL863" s="129"/>
      <c r="AM863" s="129"/>
      <c r="AN863" s="129"/>
      <c r="AO863" s="129"/>
      <c r="AP863" s="133">
        <f t="shared" si="1586"/>
        <v>421.68554558169461</v>
      </c>
      <c r="AQ863" s="134">
        <f>+BB863/Outputs!$B$16</f>
        <v>2.3618548890515182E-2</v>
      </c>
      <c r="AR863" s="93">
        <f t="shared" si="1576"/>
        <v>0.30556049002183988</v>
      </c>
      <c r="AS863" s="93">
        <f t="shared" si="1577"/>
        <v>0.44250866037883907</v>
      </c>
      <c r="AT863" s="93">
        <f t="shared" si="1578"/>
        <v>0.25193084959932111</v>
      </c>
      <c r="AU863" s="93">
        <f t="shared" ca="1" si="1581"/>
        <v>-4.1287126278910194E-2</v>
      </c>
      <c r="AV863" s="132">
        <f t="shared" ref="AV863:AV876" ca="1" si="1590">+AV862*EXP(AU863)</f>
        <v>98.700867734469071</v>
      </c>
      <c r="AW863" s="134">
        <f t="shared" ref="AW863:AW876" ca="1" si="1591">LN(AV863/AV862)</f>
        <v>-4.1287126278910138E-2</v>
      </c>
      <c r="AX863" s="56">
        <f>+AJ863/$AL$13</f>
        <v>4.3253118523523391E-2</v>
      </c>
      <c r="AY863" s="135">
        <f t="shared" ca="1" si="1589"/>
        <v>-1.7857969664373775E-3</v>
      </c>
      <c r="AZ863" s="93"/>
      <c r="BA863" s="93"/>
      <c r="BB863" s="234">
        <f>IFERROR(INDEX('Total Customers'!$E$7:$AA$91,MATCH($C863,'Total Customers'!$C$7:$C$91,0),MATCH($G863,'Total Customers'!$E$5:$AA$5,0)),"NA")</f>
        <v>829776</v>
      </c>
      <c r="BC863" s="269">
        <f t="shared" si="1546"/>
        <v>-4.9157812021505991E-4</v>
      </c>
      <c r="BD863" s="92"/>
      <c r="BE863" s="299" t="str">
        <f t="shared" si="1537"/>
        <v>PEOPLES GAS LIGHT AND COKE COMPANY</v>
      </c>
      <c r="BF863" s="300">
        <f t="shared" si="1538"/>
        <v>4057135</v>
      </c>
      <c r="BG863" s="231" t="str">
        <f t="shared" si="1539"/>
        <v>WI</v>
      </c>
      <c r="BH863" s="231"/>
      <c r="BI863" s="231" t="str">
        <f t="shared" si="1540"/>
        <v>2008 Y</v>
      </c>
      <c r="BJ863" s="129"/>
      <c r="BK863" s="129"/>
      <c r="BL863" s="129">
        <f>INDEX('Dist. Plant Gas Additions'!$E$7:$AD$91,MATCH($C863,'Dist. Plant Gas Additions'!$C$7:$C$91,0),MATCH(Calculation!$G863,'Dist. Plant Gas Additions'!$E$5:$AD$5,0))</f>
        <v>117769</v>
      </c>
      <c r="BM863" s="129">
        <f>INDEX('Gen. Plant Additions'!$E$7:$AD$91,MATCH($C863,'Gen. Plant Additions'!$C$7:$C$91,0),MATCH(Calculation!$G863,'Gen. Plant Additions'!$E$5:$AD$5,0))</f>
        <v>2693</v>
      </c>
      <c r="BN863" s="301">
        <f t="shared" si="1555"/>
        <v>0.96767349242868061</v>
      </c>
      <c r="BO863" s="231">
        <f t="shared" si="1504"/>
        <v>2605.9447151104368</v>
      </c>
      <c r="BP863" s="231">
        <f t="shared" si="1505"/>
        <v>-87.055284889563154</v>
      </c>
      <c r="BQ863" s="129">
        <f>INDEX('Dist Plant Depreciation'!$D$7:$AC$94,MATCH($C863,'Dist Plant Depreciation'!$C$7:$C$94,0),MATCH(Calculation!$G863,'Dist Plant Depreciation'!$D$5:$AC$5,0))</f>
        <v>709147</v>
      </c>
      <c r="BR863" s="129">
        <f>INDEX('Gen. Plant Depreciation'!$D$7:$AC$94,MATCH($C863,'Gen. Plant Depreciation'!$C$7:$C$94,0),MATCH(Calculation!$G863,'Gen. Plant Depreciation'!$D$5:$AC$5,0))</f>
        <v>34762</v>
      </c>
      <c r="BS863" s="129"/>
      <c r="BT863" s="129"/>
      <c r="BU863" s="129"/>
      <c r="BV863" s="129"/>
      <c r="BW863" s="129"/>
      <c r="BX863" s="137"/>
      <c r="BY863" s="129">
        <f>INDEX('Gross Dx Plant'!$D$7:$AC$91,MATCH($C863,'Gross Dx Plant'!$C$7:$C$91,0),MATCH(Calculation!$G863,'Gross Dx Plant'!$D$5:$AC$5,0))</f>
        <v>1995335</v>
      </c>
      <c r="BZ863" s="129">
        <f>INDEX('Gross Gen Plant'!$D$7:$AC$91,MATCH($C863,'Gross Gen Plant'!$C$7:$C$91,0),MATCH(Calculation!$G863,'Gross Gen Plant'!$D$5:$AC$5,0))</f>
        <v>66657</v>
      </c>
      <c r="CA863" s="129">
        <f t="shared" si="1526"/>
        <v>1318083</v>
      </c>
      <c r="CB863" s="129"/>
      <c r="CC863" s="133">
        <v>2008</v>
      </c>
      <c r="CD863" s="129"/>
      <c r="CE863" s="129"/>
      <c r="CF863" s="129"/>
      <c r="CG863" s="137"/>
      <c r="CH863" s="129">
        <f t="shared" si="1556"/>
        <v>120462</v>
      </c>
      <c r="CI863" s="46">
        <f t="shared" si="1565"/>
        <v>120374.94471511044</v>
      </c>
      <c r="CJ863" s="231">
        <f t="shared" si="1557"/>
        <v>211.22813668995005</v>
      </c>
      <c r="CK863" s="443">
        <v>0.89130434782608692</v>
      </c>
      <c r="CL863" s="231">
        <f>+CL853*CK863+CJ854*CK862+CJ855*CK861+CJ856*CK860+CJ857*CK859+CJ858*CK858+CJ859*CK857+CJ860*CK856+CJ861*CK855+CJ862*CK854+CJ863</f>
        <v>6051.9002762588407</v>
      </c>
      <c r="CM863" s="134">
        <f t="shared" si="1558"/>
        <v>2.2710189563279248E-2</v>
      </c>
      <c r="CN863" s="135">
        <f t="shared" si="1559"/>
        <v>1.2734467460189939E-2</v>
      </c>
      <c r="CO863" s="135">
        <f t="shared" si="1568"/>
        <v>1.2398256983304009E-2</v>
      </c>
      <c r="CP863" s="134">
        <f>VLOOKUP($H863,RoR!$E:$F,2,FALSE)</f>
        <v>5.6316666666666668E-2</v>
      </c>
      <c r="CQ863" s="135">
        <v>1.9092304698479889E-2</v>
      </c>
      <c r="CR863" s="135">
        <f t="shared" si="1566"/>
        <v>3.7224361968186778E-2</v>
      </c>
      <c r="CS863" s="135">
        <f t="shared" si="1569"/>
        <v>1.8503684625229617E-2</v>
      </c>
      <c r="CT863" s="135">
        <f t="shared" si="1570"/>
        <v>6.9030581091053131E-2</v>
      </c>
      <c r="CU863" s="139">
        <f t="shared" si="1560"/>
        <v>0.85150049999999999</v>
      </c>
      <c r="CV863" s="335">
        <f t="shared" si="1561"/>
        <v>0.91060168006009956</v>
      </c>
      <c r="CW863" s="335">
        <f t="shared" si="1562"/>
        <v>0.53108168097070152</v>
      </c>
      <c r="CX863" s="335">
        <f t="shared" si="1563"/>
        <v>0.88825329850328805</v>
      </c>
      <c r="CY863" s="335">
        <f t="shared" si="1564"/>
        <v>0.4295627335323573</v>
      </c>
      <c r="CZ863" s="336">
        <f>INDEX('State Tax Lookup'!$D$7:$Z$91,MATCH(Calculation!$C863,'State Tax Lookup'!$B$7:$B$91,0),MATCH($H863,'State Tax Lookup'!$D$6:$Z$6,0))</f>
        <v>0.40134999999999998</v>
      </c>
      <c r="DA863" s="302">
        <v>0.37</v>
      </c>
      <c r="DB863" s="57">
        <f t="shared" si="1567"/>
        <v>14.90054255831159</v>
      </c>
      <c r="DC863" s="56">
        <f t="shared" si="1571"/>
        <v>0.11714202150905016</v>
      </c>
      <c r="DD863" s="303">
        <f>VLOOKUP($H863,RoR!$E:$F,2,FALSE)</f>
        <v>5.6316666666666668E-2</v>
      </c>
      <c r="DE863" s="304">
        <f>HLOOKUP($H863,'GDP-PI'!$D$8:$CQ$11,3,FALSE)</f>
        <v>1.9092304698479889E-2</v>
      </c>
      <c r="DF863" s="303">
        <f>VLOOKUP(H863,'HW Dx Data'!$E:$F,2,FALSE)</f>
        <v>569.88120333515076</v>
      </c>
      <c r="DG863" s="364">
        <f ca="1">VLOOKUP(CC863,'ECI - Input Price'!M$13:N$33,2,FALSE)</f>
        <v>107.9</v>
      </c>
      <c r="DH863" s="364"/>
      <c r="DI863" s="364"/>
      <c r="DJ863" s="56">
        <f t="shared" ca="1" si="1579"/>
        <v>3.1778595021460486E-2</v>
      </c>
      <c r="DK863" s="53">
        <f>HLOOKUP(H863,'GDP-PI'!$8:$9,2,FALSE)</f>
        <v>94.263999999999996</v>
      </c>
      <c r="DL863" s="355">
        <f t="shared" si="1572"/>
        <v>1.8912333748032254E-2</v>
      </c>
      <c r="EC863"/>
    </row>
    <row r="864" spans="1:133" s="126" customFormat="1" ht="21" customHeight="1" x14ac:dyDescent="0.4">
      <c r="A864" s="233" t="s">
        <v>232</v>
      </c>
      <c r="B864" s="127" t="s">
        <v>233</v>
      </c>
      <c r="C864" s="127">
        <v>4057135</v>
      </c>
      <c r="D864" s="127" t="s">
        <v>214</v>
      </c>
      <c r="E864" s="127"/>
      <c r="F864" s="127"/>
      <c r="G864" s="127" t="s">
        <v>165</v>
      </c>
      <c r="H864" s="128">
        <v>2009</v>
      </c>
      <c r="I864" s="129"/>
      <c r="J864" s="125">
        <f>IFERROR(INDEX('Labor Expenditures'!$E$7:$W$91,MATCH($C864,'Labor Expenditures'!$C$7:$C$91,0),MATCH($G864,'Labor Expenditures'!$E$5:$W$5,0)),"NA")</f>
        <v>106341.60850569638</v>
      </c>
      <c r="K864" s="125">
        <f t="shared" ca="1" si="1573"/>
        <v>958.68026599681207</v>
      </c>
      <c r="L864" s="47"/>
      <c r="M864" s="131">
        <f t="shared" ca="1" si="1580"/>
        <v>-3.3045663837036408E-2</v>
      </c>
      <c r="N864" s="131"/>
      <c r="O864" s="131"/>
      <c r="P864" s="59">
        <f t="shared" ca="1" si="1582"/>
        <v>-1.3518995281083124E-3</v>
      </c>
      <c r="Q864" s="61"/>
      <c r="R864" s="387"/>
      <c r="S864" s="49">
        <f t="shared" ca="1" si="1587"/>
        <v>117.47466684711196</v>
      </c>
      <c r="T864" s="61">
        <f ca="1">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</f>
        <v>5.0925768311858202E-2</v>
      </c>
      <c r="U864" s="61"/>
      <c r="V864" s="125">
        <f>IFERROR(INDEX('Non-Labor Expenditures'!$E$7:$AA$91,MATCH($C864,'Non-Labor Expenditures'!$C$7:$C$91,0),MATCH($G864,'Non-Labor Expenditures'!$E$5:$AA$5,0)),"NA")</f>
        <v>154002.5109889805</v>
      </c>
      <c r="W864" s="125">
        <f t="shared" si="1574"/>
        <v>1621.0961272116601</v>
      </c>
      <c r="X864" s="131">
        <f t="shared" si="1583"/>
        <v>-1.3163247654462026E-2</v>
      </c>
      <c r="Y864" s="131">
        <f t="shared" si="1584"/>
        <v>-5.3850902739304709E-4</v>
      </c>
      <c r="Z864" s="131"/>
      <c r="AA864" s="131"/>
      <c r="AB864" s="131"/>
      <c r="AC864" s="125">
        <f t="shared" si="1554"/>
        <v>85624.91578517454</v>
      </c>
      <c r="AD864" s="129"/>
      <c r="AE864" s="133">
        <v>6422.6727875519937</v>
      </c>
      <c r="AF864" s="134">
        <v>9.7799152202740977E-3</v>
      </c>
      <c r="AG864" s="59">
        <f t="shared" si="1575"/>
        <v>4.0009675207098455E-4</v>
      </c>
      <c r="AH864" s="134"/>
      <c r="AI864" s="134"/>
      <c r="AJ864" s="129">
        <f t="shared" si="1588"/>
        <v>345969.03527985141</v>
      </c>
      <c r="AK864" s="134">
        <f t="shared" si="1585"/>
        <v>-1.1311111846057648E-2</v>
      </c>
      <c r="AL864" s="129"/>
      <c r="AM864" s="129"/>
      <c r="AN864" s="129"/>
      <c r="AO864" s="129"/>
      <c r="AP864" s="133">
        <f t="shared" si="1586"/>
        <v>420.93708894716332</v>
      </c>
      <c r="AQ864" s="134">
        <f>+BB864/Outputs!$B$17</f>
        <v>2.3364602613679359E-2</v>
      </c>
      <c r="AR864" s="93">
        <f t="shared" si="1576"/>
        <v>0.3073731971986382</v>
      </c>
      <c r="AS864" s="93">
        <f t="shared" si="1577"/>
        <v>0.44513379893784188</v>
      </c>
      <c r="AT864" s="93">
        <f t="shared" si="1578"/>
        <v>0.24749300386351997</v>
      </c>
      <c r="AU864" s="93">
        <f t="shared" ca="1" si="1581"/>
        <v>-1.352736757851758E-2</v>
      </c>
      <c r="AV864" s="132">
        <f t="shared" ca="1" si="1590"/>
        <v>97.374694853258205</v>
      </c>
      <c r="AW864" s="134">
        <f t="shared" ca="1" si="1591"/>
        <v>-1.3527367578517633E-2</v>
      </c>
      <c r="AX864" s="56">
        <f>+AJ864/$AL$14</f>
        <v>4.0910042987036363E-2</v>
      </c>
      <c r="AY864" s="135">
        <f t="shared" ca="1" si="1589"/>
        <v>-5.5340518913859842E-4</v>
      </c>
      <c r="AZ864" s="93"/>
      <c r="BA864" s="93"/>
      <c r="BB864" s="234">
        <f>IFERROR(INDEX('Total Customers'!$E$7:$AA$91,MATCH($C864,'Total Customers'!$C$7:$C$91,0),MATCH($G864,'Total Customers'!$E$5:$AA$5,0)),"NA")</f>
        <v>821902</v>
      </c>
      <c r="BC864" s="269">
        <f t="shared" si="1546"/>
        <v>-9.5346183109903202E-3</v>
      </c>
      <c r="BD864" s="92"/>
      <c r="BE864" s="299" t="str">
        <f t="shared" si="1537"/>
        <v>PEOPLES GAS LIGHT AND COKE COMPANY</v>
      </c>
      <c r="BF864" s="300">
        <f t="shared" si="1538"/>
        <v>4057135</v>
      </c>
      <c r="BG864" s="231" t="str">
        <f t="shared" si="1539"/>
        <v>WI</v>
      </c>
      <c r="BH864" s="231"/>
      <c r="BI864" s="231" t="str">
        <f t="shared" si="1540"/>
        <v>2009 Y</v>
      </c>
      <c r="BJ864" s="129"/>
      <c r="BK864" s="129"/>
      <c r="BL864" s="129">
        <f>INDEX('Dist. Plant Gas Additions'!$E$7:$AD$91,MATCH($C864,'Dist. Plant Gas Additions'!$C$7:$C$91,0),MATCH(Calculation!$G864,'Dist. Plant Gas Additions'!$E$5:$AD$5,0))</f>
        <v>56714</v>
      </c>
      <c r="BM864" s="129">
        <f>INDEX('Gen. Plant Additions'!$E$7:$AD$91,MATCH($C864,'Gen. Plant Additions'!$C$7:$C$91,0),MATCH(Calculation!$G864,'Gen. Plant Additions'!$E$5:$AD$5,0))</f>
        <v>1944</v>
      </c>
      <c r="BN864" s="301">
        <f t="shared" si="1555"/>
        <v>0.96841959581153725</v>
      </c>
      <c r="BO864" s="231">
        <f t="shared" si="1504"/>
        <v>1882.6076942576285</v>
      </c>
      <c r="BP864" s="231">
        <f t="shared" si="1505"/>
        <v>-61.392305742371491</v>
      </c>
      <c r="BQ864" s="129">
        <f>INDEX('Dist Plant Depreciation'!$D$7:$AC$94,MATCH($C864,'Dist Plant Depreciation'!$C$7:$C$94,0),MATCH(Calculation!$G864,'Dist Plant Depreciation'!$D$5:$AC$5,0))</f>
        <v>732535</v>
      </c>
      <c r="BR864" s="129">
        <f>INDEX('Gen. Plant Depreciation'!$D$7:$AC$94,MATCH($C864,'Gen. Plant Depreciation'!$C$7:$C$94,0),MATCH(Calculation!$G864,'Gen. Plant Depreciation'!$D$5:$AC$5,0))</f>
        <v>38654</v>
      </c>
      <c r="BS864" s="129"/>
      <c r="BT864" s="129"/>
      <c r="BU864" s="129"/>
      <c r="BV864" s="129"/>
      <c r="BW864" s="129"/>
      <c r="BX864" s="137"/>
      <c r="BY864" s="129">
        <f>INDEX('Gross Dx Plant'!$D$7:$AC$91,MATCH($C864,'Gross Dx Plant'!$C$7:$C$91,0),MATCH(Calculation!$G864,'Gross Dx Plant'!$D$5:$AC$5,0))</f>
        <v>2036231</v>
      </c>
      <c r="BZ864" s="129">
        <f>INDEX('Gross Gen Plant'!$D$7:$AC$91,MATCH($C864,'Gross Gen Plant'!$C$7:$C$91,0),MATCH(Calculation!$G864,'Gross Gen Plant'!$D$5:$AC$5,0))</f>
        <v>66402</v>
      </c>
      <c r="CA864" s="129">
        <f t="shared" si="1526"/>
        <v>1331444</v>
      </c>
      <c r="CB864" s="129"/>
      <c r="CC864" s="133">
        <v>2009</v>
      </c>
      <c r="CD864" s="129"/>
      <c r="CE864" s="129"/>
      <c r="CF864" s="129"/>
      <c r="CG864" s="137"/>
      <c r="CH864" s="129">
        <f t="shared" si="1556"/>
        <v>58658</v>
      </c>
      <c r="CI864" s="46">
        <f t="shared" si="1565"/>
        <v>58596.607694257626</v>
      </c>
      <c r="CJ864" s="231">
        <f t="shared" si="1557"/>
        <v>106.35738912803382</v>
      </c>
      <c r="CK864" s="443">
        <v>0.87912087912087911</v>
      </c>
      <c r="CL864" s="231">
        <f>+CL853*CK864+CJ854*CK863+CJ855*CK862+CJ856*CK861+CJ857*CK860+CJ858*CK859+CJ859*CK858+CJ860*CK857+CJ861*CK856+CJ862*CK855+CJ863*CK854+CJ864</f>
        <v>6079.1904399741925</v>
      </c>
      <c r="CM864" s="134">
        <f t="shared" si="1558"/>
        <v>4.4992178180584446E-3</v>
      </c>
      <c r="CN864" s="135">
        <f t="shared" si="1559"/>
        <v>1.3064859267899194E-2</v>
      </c>
      <c r="CO864" s="135">
        <f t="shared" si="1568"/>
        <v>1.2731526761120099E-2</v>
      </c>
      <c r="CP864" s="134">
        <f>VLOOKUP($H864,RoR!$E:$F,2,FALSE)</f>
        <v>5.3133333333333324E-2</v>
      </c>
      <c r="CQ864" s="135">
        <v>7.7972502758210105E-3</v>
      </c>
      <c r="CR864" s="135">
        <f t="shared" si="1566"/>
        <v>4.5336083057512314E-2</v>
      </c>
      <c r="CS864" s="135">
        <f t="shared" si="1569"/>
        <v>1.8170414847413524E-2</v>
      </c>
      <c r="CT864" s="135">
        <f t="shared" si="1570"/>
        <v>6.3720160300892073E-2</v>
      </c>
      <c r="CU864" s="139">
        <f t="shared" si="1560"/>
        <v>0.85150049999999999</v>
      </c>
      <c r="CV864" s="335">
        <f t="shared" si="1561"/>
        <v>0.96515780330083989</v>
      </c>
      <c r="CW864" s="335">
        <f t="shared" si="1562"/>
        <v>0.50448557089084056</v>
      </c>
      <c r="CX864" s="335">
        <f t="shared" si="1563"/>
        <v>0.87391435735465484</v>
      </c>
      <c r="CY864" s="335">
        <f t="shared" si="1564"/>
        <v>0.42551605393279146</v>
      </c>
      <c r="CZ864" s="336">
        <f>INDEX('State Tax Lookup'!$D$7:$Z$91,MATCH(Calculation!$C864,'State Tax Lookup'!$B$7:$B$91,0),MATCH($H864,'State Tax Lookup'!$D$6:$Z$6,0))</f>
        <v>0.40134999999999998</v>
      </c>
      <c r="DA864" s="302">
        <v>0.37</v>
      </c>
      <c r="DB864" s="57">
        <f t="shared" si="1567"/>
        <v>14.148434686056342</v>
      </c>
      <c r="DC864" s="56">
        <f t="shared" si="1571"/>
        <v>-5.1793630521429414E-2</v>
      </c>
      <c r="DD864" s="303">
        <f>VLOOKUP($H864,RoR!$E:$F,2,FALSE)</f>
        <v>5.3133333333333324E-2</v>
      </c>
      <c r="DE864" s="304">
        <f>HLOOKUP($H864,'GDP-PI'!$D$8:$CQ$11,3,FALSE)</f>
        <v>7.7972502758210105E-3</v>
      </c>
      <c r="DF864" s="303">
        <f>VLOOKUP(H864,'HW Dx Data'!$E:$F,2,FALSE)</f>
        <v>550.94063679692806</v>
      </c>
      <c r="DG864" s="364">
        <f ca="1">VLOOKUP(CC864,'ECI - Input Price'!M$13:N$33,2,FALSE)</f>
        <v>110.925</v>
      </c>
      <c r="DH864" s="364"/>
      <c r="DI864" s="364"/>
      <c r="DJ864" s="56">
        <f t="shared" ca="1" si="1579"/>
        <v>2.7649425000884052E-2</v>
      </c>
      <c r="DK864" s="53">
        <f>HLOOKUP(H864,'GDP-PI'!$8:$9,2,FALSE)</f>
        <v>94.998999999999995</v>
      </c>
      <c r="DL864" s="355">
        <f t="shared" si="1572"/>
        <v>7.7670088183096342E-3</v>
      </c>
      <c r="EC864"/>
    </row>
    <row r="865" spans="1:133" s="126" customFormat="1" ht="21" customHeight="1" x14ac:dyDescent="0.4">
      <c r="A865" s="233" t="s">
        <v>232</v>
      </c>
      <c r="B865" s="127" t="s">
        <v>233</v>
      </c>
      <c r="C865" s="127">
        <v>4057135</v>
      </c>
      <c r="D865" s="127" t="s">
        <v>214</v>
      </c>
      <c r="E865" s="127"/>
      <c r="F865" s="127"/>
      <c r="G865" s="127" t="s">
        <v>166</v>
      </c>
      <c r="H865" s="128">
        <v>2010</v>
      </c>
      <c r="I865" s="129"/>
      <c r="J865" s="125">
        <f>IFERROR(INDEX('Labor Expenditures'!$E$7:$W$91,MATCH($C865,'Labor Expenditures'!$C$7:$C$91,0),MATCH($G865,'Labor Expenditures'!$E$5:$W$5,0)),"NA")</f>
        <v>109369.67656118533</v>
      </c>
      <c r="K865" s="125">
        <f t="shared" ca="1" si="1573"/>
        <v>935.38316494492483</v>
      </c>
      <c r="L865" s="47"/>
      <c r="M865" s="131">
        <f t="shared" ca="1" si="1580"/>
        <v>-2.46013683205531E-2</v>
      </c>
      <c r="N865" s="131"/>
      <c r="O865" s="131"/>
      <c r="P865" s="59">
        <f t="shared" ca="1" si="1582"/>
        <v>-1.001790727784601E-3</v>
      </c>
      <c r="Q865" s="61"/>
      <c r="R865" s="387"/>
      <c r="S865" s="49">
        <f t="shared" ca="1" si="1587"/>
        <v>96.498535134179775</v>
      </c>
      <c r="T865" s="61">
        <f ca="1">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</f>
        <v>-0.19669488076469974</v>
      </c>
      <c r="U865" s="61"/>
      <c r="V865" s="125">
        <f>IFERROR(INDEX('Non-Labor Expenditures'!$E$7:$AA$91,MATCH($C865,'Non-Labor Expenditures'!$C$7:$C$91,0),MATCH($G865,'Non-Labor Expenditures'!$E$5:$AA$5,0)),"NA")</f>
        <v>158387.71909842751</v>
      </c>
      <c r="W865" s="125">
        <f t="shared" si="1574"/>
        <v>1648.0009062463193</v>
      </c>
      <c r="X865" s="131">
        <f t="shared" si="1583"/>
        <v>1.6460439219273131E-2</v>
      </c>
      <c r="Y865" s="131">
        <f t="shared" si="1584"/>
        <v>6.7028448053246673E-4</v>
      </c>
      <c r="Z865" s="131"/>
      <c r="AA865" s="131"/>
      <c r="AB865" s="131"/>
      <c r="AC865" s="125">
        <f t="shared" si="1554"/>
        <v>87229.309917442501</v>
      </c>
      <c r="AD865" s="129"/>
      <c r="AE865" s="133">
        <v>6678.804188187506</v>
      </c>
      <c r="AF865" s="134">
        <v>3.9104604666807895E-2</v>
      </c>
      <c r="AG865" s="59">
        <f t="shared" si="1575"/>
        <v>1.5923760767470123E-3</v>
      </c>
      <c r="AH865" s="134"/>
      <c r="AI865" s="134"/>
      <c r="AJ865" s="129">
        <f t="shared" si="1588"/>
        <v>354986.70557705534</v>
      </c>
      <c r="AK865" s="134">
        <f t="shared" si="1585"/>
        <v>2.5731062053348151E-2</v>
      </c>
      <c r="AL865" s="129"/>
      <c r="AM865" s="129"/>
      <c r="AN865" s="129"/>
      <c r="AO865" s="129"/>
      <c r="AP865" s="133">
        <f t="shared" si="1586"/>
        <v>433.35771488273917</v>
      </c>
      <c r="AQ865" s="134">
        <f>+BB865/Outputs!$B$18</f>
        <v>2.3159073944640937E-2</v>
      </c>
      <c r="AR865" s="93">
        <f t="shared" si="1576"/>
        <v>0.30809513382592002</v>
      </c>
      <c r="AS865" s="93">
        <f t="shared" si="1577"/>
        <v>0.4461792980133083</v>
      </c>
      <c r="AT865" s="93">
        <f t="shared" si="1578"/>
        <v>0.24572556816077168</v>
      </c>
      <c r="AU865" s="93">
        <f t="shared" ca="1" si="1581"/>
        <v>9.4085796149363486E-3</v>
      </c>
      <c r="AV865" s="132">
        <f t="shared" ca="1" si="1590"/>
        <v>98.295175841419265</v>
      </c>
      <c r="AW865" s="134">
        <f t="shared" ca="1" si="1591"/>
        <v>9.4085796149362463E-3</v>
      </c>
      <c r="AX865" s="56">
        <f>+AJ865/$AL$15</f>
        <v>4.072093530454806E-2</v>
      </c>
      <c r="AY865" s="135">
        <f t="shared" ca="1" si="1589"/>
        <v>3.831261618075086E-4</v>
      </c>
      <c r="AZ865" s="93"/>
      <c r="BA865" s="93"/>
      <c r="BB865" s="234">
        <f>IFERROR(INDEX('Total Customers'!$E$7:$AA$91,MATCH($C865,'Total Customers'!$C$7:$C$91,0),MATCH($G865,'Total Customers'!$E$5:$AA$5,0)),"NA")</f>
        <v>819154</v>
      </c>
      <c r="BC865" s="269">
        <f t="shared" si="1546"/>
        <v>-3.3490661726588381E-3</v>
      </c>
      <c r="BD865" s="92"/>
      <c r="BE865" s="299" t="str">
        <f t="shared" si="1537"/>
        <v>PEOPLES GAS LIGHT AND COKE COMPANY</v>
      </c>
      <c r="BF865" s="300">
        <f t="shared" si="1538"/>
        <v>4057135</v>
      </c>
      <c r="BG865" s="231" t="str">
        <f t="shared" si="1539"/>
        <v>WI</v>
      </c>
      <c r="BH865" s="231"/>
      <c r="BI865" s="231" t="str">
        <f t="shared" si="1540"/>
        <v>2010 Y</v>
      </c>
      <c r="BJ865" s="129"/>
      <c r="BK865" s="129"/>
      <c r="BL865" s="129">
        <f>INDEX('Dist. Plant Gas Additions'!$E$7:$AD$91,MATCH($C865,'Dist. Plant Gas Additions'!$C$7:$C$91,0),MATCH(Calculation!$G865,'Dist. Plant Gas Additions'!$E$5:$AD$5,0))</f>
        <v>168910</v>
      </c>
      <c r="BM865" s="129">
        <f>INDEX('Gen. Plant Additions'!$E$7:$AD$91,MATCH($C865,'Gen. Plant Additions'!$C$7:$C$91,0),MATCH(Calculation!$G865,'Gen. Plant Additions'!$E$5:$AD$5,0))</f>
        <v>3018</v>
      </c>
      <c r="BN865" s="301">
        <f t="shared" si="1555"/>
        <v>0.97144079561793117</v>
      </c>
      <c r="BO865" s="231">
        <f t="shared" si="1504"/>
        <v>2931.8083211749163</v>
      </c>
      <c r="BP865" s="231">
        <f t="shared" si="1505"/>
        <v>-86.191678825083727</v>
      </c>
      <c r="BQ865" s="129">
        <f>INDEX('Dist Plant Depreciation'!$D$7:$AC$94,MATCH($C865,'Dist Plant Depreciation'!$C$7:$C$94,0),MATCH(Calculation!$G865,'Dist Plant Depreciation'!$D$5:$AC$5,0))</f>
        <v>778105</v>
      </c>
      <c r="BR865" s="129">
        <f>INDEX('Gen. Plant Depreciation'!$D$7:$AC$94,MATCH($C865,'Gen. Plant Depreciation'!$C$7:$C$94,0),MATCH(Calculation!$G865,'Gen. Plant Depreciation'!$D$5:$AC$5,0))</f>
        <v>39023</v>
      </c>
      <c r="BS865" s="129"/>
      <c r="BT865" s="129"/>
      <c r="BU865" s="129"/>
      <c r="BV865" s="129"/>
      <c r="BW865" s="129"/>
      <c r="BX865" s="137"/>
      <c r="BY865" s="129">
        <f>INDEX('Gross Dx Plant'!$D$7:$AC$91,MATCH($C865,'Gross Dx Plant'!$C$7:$C$91,0),MATCH(Calculation!$G865,'Gross Dx Plant'!$D$5:$AC$5,0))</f>
        <v>2197878</v>
      </c>
      <c r="BZ865" s="129">
        <f>INDEX('Gross Gen Plant'!$D$7:$AC$91,MATCH($C865,'Gross Gen Plant'!$C$7:$C$91,0),MATCH(Calculation!$G865,'Gross Gen Plant'!$D$5:$AC$5,0))</f>
        <v>64615</v>
      </c>
      <c r="CA865" s="129">
        <f t="shared" si="1526"/>
        <v>1445365</v>
      </c>
      <c r="CB865" s="129"/>
      <c r="CC865" s="133">
        <v>2010</v>
      </c>
      <c r="CD865" s="129"/>
      <c r="CE865" s="129"/>
      <c r="CF865" s="129"/>
      <c r="CG865" s="137"/>
      <c r="CH865" s="129">
        <f t="shared" si="1556"/>
        <v>171928</v>
      </c>
      <c r="CI865" s="46">
        <f t="shared" si="1565"/>
        <v>171841.8083211749</v>
      </c>
      <c r="CJ865" s="231">
        <f t="shared" si="1557"/>
        <v>302.01226477284376</v>
      </c>
      <c r="CK865" s="443">
        <v>0.8666666666666667</v>
      </c>
      <c r="CL865" s="231">
        <f>+CL853*CK865+CJ854*CK864+CJ855*CK863+CJ856*CK862+CJ857*CK861+CJ858*CK860+CJ859*CK859+CJ860*CK858+CJ861*CK857+CJ862*CK856+CJ863*CK855+CJ864*CK854+CJ865</f>
        <v>6299.347899710473</v>
      </c>
      <c r="CM865" s="134">
        <f t="shared" si="1558"/>
        <v>3.5574584265083933E-2</v>
      </c>
      <c r="CN865" s="135">
        <f t="shared" si="1559"/>
        <v>1.3464754204494162E-2</v>
      </c>
      <c r="CO865" s="135">
        <f t="shared" si="1568"/>
        <v>1.3088026977527764E-2</v>
      </c>
      <c r="CP865" s="134">
        <f>VLOOKUP($H865,RoR!$E:$F,2,FALSE)</f>
        <v>4.9433333333333322E-2</v>
      </c>
      <c r="CQ865" s="135">
        <v>1.1684333519300205E-2</v>
      </c>
      <c r="CR865" s="135">
        <f t="shared" si="1566"/>
        <v>3.7748999814033117E-2</v>
      </c>
      <c r="CS865" s="135">
        <f t="shared" si="1569"/>
        <v>1.7813914631005859E-2</v>
      </c>
      <c r="CT865" s="135">
        <f t="shared" si="1570"/>
        <v>4.7937530248493419E-2</v>
      </c>
      <c r="CU865" s="139">
        <f t="shared" si="1560"/>
        <v>0.85150049999999999</v>
      </c>
      <c r="CV865" s="335">
        <f t="shared" si="1561"/>
        <v>1.037398205301105</v>
      </c>
      <c r="CW865" s="335">
        <f t="shared" si="1562"/>
        <v>0.46926837491571133</v>
      </c>
      <c r="CX865" s="335">
        <f t="shared" si="1563"/>
        <v>0.8548537519972772</v>
      </c>
      <c r="CY865" s="335">
        <f t="shared" si="1564"/>
        <v>0.41615833911547367</v>
      </c>
      <c r="CZ865" s="336">
        <f>INDEX('State Tax Lookup'!$D$7:$Z$91,MATCH(Calculation!$C865,'State Tax Lookup'!$B$7:$B$91,0),MATCH($H865,'State Tax Lookup'!$D$6:$Z$6,0))</f>
        <v>0.40134999999999998</v>
      </c>
      <c r="DA865" s="302">
        <v>0.37</v>
      </c>
      <c r="DB865" s="57">
        <f t="shared" si="1567"/>
        <v>14.348836539789795</v>
      </c>
      <c r="DC865" s="56">
        <f t="shared" si="1571"/>
        <v>1.4064866475579533E-2</v>
      </c>
      <c r="DD865" s="303">
        <f>VLOOKUP($H865,RoR!$E:$F,2,FALSE)</f>
        <v>4.9433333333333322E-2</v>
      </c>
      <c r="DE865" s="304">
        <f>HLOOKUP($H865,'GDP-PI'!$D$8:$CQ$11,3,FALSE)</f>
        <v>1.1684333519300205E-2</v>
      </c>
      <c r="DF865" s="303">
        <f>VLOOKUP(H865,'HW Dx Data'!$E:$F,2,FALSE)</f>
        <v>568.98950262971744</v>
      </c>
      <c r="DG865" s="364">
        <f ca="1">VLOOKUP(CC865,'ECI - Input Price'!M$13:N$33,2,FALSE)</f>
        <v>116.925</v>
      </c>
      <c r="DH865" s="364"/>
      <c r="DI865" s="364"/>
      <c r="DJ865" s="56">
        <f t="shared" ca="1" si="1579"/>
        <v>5.2678406346976722E-2</v>
      </c>
      <c r="DK865" s="53">
        <f>HLOOKUP(H865,'GDP-PI'!$8:$9,2,FALSE)</f>
        <v>96.108999999999995</v>
      </c>
      <c r="DL865" s="355">
        <f t="shared" si="1572"/>
        <v>1.1616598807150427E-2</v>
      </c>
      <c r="EC865"/>
    </row>
    <row r="866" spans="1:133" s="126" customFormat="1" ht="21" customHeight="1" x14ac:dyDescent="0.4">
      <c r="A866" s="233" t="s">
        <v>232</v>
      </c>
      <c r="B866" s="127" t="s">
        <v>233</v>
      </c>
      <c r="C866" s="127">
        <v>4057135</v>
      </c>
      <c r="D866" s="127" t="s">
        <v>214</v>
      </c>
      <c r="E866" s="127"/>
      <c r="F866" s="127"/>
      <c r="G866" s="127" t="s">
        <v>167</v>
      </c>
      <c r="H866" s="128">
        <v>2011</v>
      </c>
      <c r="I866" s="129"/>
      <c r="J866" s="125">
        <f>IFERROR(INDEX('Labor Expenditures'!$E$7:$W$91,MATCH($C866,'Labor Expenditures'!$C$7:$C$91,0),MATCH($G866,'Labor Expenditures'!$E$5:$W$5,0)),"NA")</f>
        <v>103349.14587868258</v>
      </c>
      <c r="K866" s="125">
        <f t="shared" ca="1" si="1573"/>
        <v>855.00844573884251</v>
      </c>
      <c r="L866" s="47"/>
      <c r="M866" s="131">
        <f t="shared" ca="1" si="1580"/>
        <v>-8.9844900477783166E-2</v>
      </c>
      <c r="N866" s="131"/>
      <c r="O866" s="131"/>
      <c r="P866" s="59">
        <f t="shared" ca="1" si="1582"/>
        <v>-3.4516105490817171E-3</v>
      </c>
      <c r="Q866" s="61"/>
      <c r="R866" s="387"/>
      <c r="S866" s="49">
        <f t="shared" ca="1" si="1587"/>
        <v>116.18188798953651</v>
      </c>
      <c r="T866" s="61">
        <f ca="1">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</f>
        <v>0.18562913471479758</v>
      </c>
      <c r="U866" s="61"/>
      <c r="V866" s="125">
        <f>IFERROR(INDEX('Non-Labor Expenditures'!$E$7:$AA$91,MATCH($C866,'Non-Labor Expenditures'!$C$7:$C$91,0),MATCH($G866,'Non-Labor Expenditures'!$E$5:$AA$5,0)),"NA")</f>
        <v>149668.86619014226</v>
      </c>
      <c r="W866" s="125">
        <f t="shared" si="1574"/>
        <v>1525.4899114292061</v>
      </c>
      <c r="X866" s="131">
        <f t="shared" si="1583"/>
        <v>-7.7247369529123616E-2</v>
      </c>
      <c r="Y866" s="131">
        <f t="shared" si="1584"/>
        <v>-2.9676457332318863E-3</v>
      </c>
      <c r="Z866" s="131"/>
      <c r="AA866" s="131"/>
      <c r="AB866" s="131"/>
      <c r="AC866" s="125">
        <f t="shared" si="1554"/>
        <v>95531.141597865033</v>
      </c>
      <c r="AD866" s="129"/>
      <c r="AE866" s="133">
        <v>6961.7240383414246</v>
      </c>
      <c r="AF866" s="134">
        <v>4.1488192551053883E-2</v>
      </c>
      <c r="AG866" s="59">
        <f t="shared" si="1575"/>
        <v>1.5938699059159383E-3</v>
      </c>
      <c r="AH866" s="134"/>
      <c r="AI866" s="134"/>
      <c r="AJ866" s="129">
        <f t="shared" si="1588"/>
        <v>348549.15366668988</v>
      </c>
      <c r="AK866" s="134">
        <f t="shared" si="1585"/>
        <v>-1.8301075920674183E-2</v>
      </c>
      <c r="AL866" s="129"/>
      <c r="AM866" s="129"/>
      <c r="AN866" s="129"/>
      <c r="AO866" s="129"/>
      <c r="AP866" s="133">
        <f t="shared" si="1586"/>
        <v>421.16875509522976</v>
      </c>
      <c r="AQ866" s="134">
        <f>+BB866/Outputs!$B$19</f>
        <v>2.328428907242195E-2</v>
      </c>
      <c r="AR866" s="93">
        <f t="shared" si="1576"/>
        <v>0.29651239944628632</v>
      </c>
      <c r="AS866" s="93">
        <f t="shared" si="1577"/>
        <v>0.42940533527522895</v>
      </c>
      <c r="AT866" s="93">
        <f t="shared" si="1578"/>
        <v>0.27408226527848473</v>
      </c>
      <c r="AU866" s="93">
        <f t="shared" ca="1" si="1581"/>
        <v>-5.0195812946673579E-2</v>
      </c>
      <c r="AV866" s="132">
        <f t="shared" ca="1" si="1590"/>
        <v>93.482956581325851</v>
      </c>
      <c r="AW866" s="134">
        <f t="shared" ca="1" si="1591"/>
        <v>-5.0195812946673642E-2</v>
      </c>
      <c r="AX866" s="56">
        <f>+AJ866/$AL$16</f>
        <v>3.8417434164059551E-2</v>
      </c>
      <c r="AY866" s="135">
        <f t="shared" ca="1" si="1589"/>
        <v>-1.9283943391902826E-3</v>
      </c>
      <c r="AZ866" s="93"/>
      <c r="BA866" s="93"/>
      <c r="BB866" s="234">
        <f>IFERROR(INDEX('Total Customers'!$E$7:$AA$91,MATCH($C866,'Total Customers'!$C$7:$C$91,0),MATCH($G866,'Total Customers'!$E$5:$AA$5,0)),"NA")</f>
        <v>827576</v>
      </c>
      <c r="BC866" s="269">
        <f t="shared" si="1546"/>
        <v>1.0228845569327712E-2</v>
      </c>
      <c r="BD866" s="92"/>
      <c r="BE866" s="299" t="str">
        <f t="shared" si="1537"/>
        <v>PEOPLES GAS LIGHT AND COKE COMPANY</v>
      </c>
      <c r="BF866" s="300">
        <f t="shared" si="1538"/>
        <v>4057135</v>
      </c>
      <c r="BG866" s="231" t="str">
        <f t="shared" si="1539"/>
        <v>WI</v>
      </c>
      <c r="BH866" s="231"/>
      <c r="BI866" s="231" t="str">
        <f t="shared" si="1540"/>
        <v>2011 Y</v>
      </c>
      <c r="BJ866" s="129"/>
      <c r="BK866" s="129"/>
      <c r="BL866" s="129">
        <f>INDEX('Dist. Plant Gas Additions'!$E$7:$AD$91,MATCH($C866,'Dist. Plant Gas Additions'!$C$7:$C$91,0),MATCH(Calculation!$G866,'Dist. Plant Gas Additions'!$E$5:$AD$5,0))</f>
        <v>191552</v>
      </c>
      <c r="BM866" s="129">
        <f>INDEX('Gen. Plant Additions'!$E$7:$AD$91,MATCH($C866,'Gen. Plant Additions'!$C$7:$C$91,0),MATCH(Calculation!$G866,'Gen. Plant Additions'!$E$5:$AD$5,0))</f>
        <v>11561</v>
      </c>
      <c r="BN866" s="301">
        <f t="shared" si="1555"/>
        <v>0.9733900927964555</v>
      </c>
      <c r="BO866" s="231">
        <f t="shared" si="1504"/>
        <v>11253.362862819822</v>
      </c>
      <c r="BP866" s="231">
        <f t="shared" si="1505"/>
        <v>-307.63713718017789</v>
      </c>
      <c r="BQ866" s="129">
        <f>INDEX('Dist Plant Depreciation'!$D$7:$AC$94,MATCH($C866,'Dist Plant Depreciation'!$C$7:$C$94,0),MATCH(Calculation!$G866,'Dist Plant Depreciation'!$D$5:$AC$5,0))</f>
        <v>803704</v>
      </c>
      <c r="BR866" s="129">
        <f>INDEX('Gen. Plant Depreciation'!$D$7:$AC$94,MATCH($C866,'Gen. Plant Depreciation'!$C$7:$C$94,0),MATCH(Calculation!$G866,'Gen. Plant Depreciation'!$D$5:$AC$5,0))</f>
        <v>34180</v>
      </c>
      <c r="BS866" s="129"/>
      <c r="BT866" s="129"/>
      <c r="BU866" s="129"/>
      <c r="BV866" s="129"/>
      <c r="BW866" s="129"/>
      <c r="BX866" s="137"/>
      <c r="BY866" s="129">
        <f>INDEX('Gross Dx Plant'!$D$7:$AC$91,MATCH($C866,'Gross Dx Plant'!$C$7:$C$91,0),MATCH(Calculation!$G866,'Gross Dx Plant'!$D$5:$AC$5,0))</f>
        <v>2365701</v>
      </c>
      <c r="BZ866" s="129">
        <f>INDEX('Gross Gen Plant'!$D$7:$AC$91,MATCH($C866,'Gross Gen Plant'!$C$7:$C$91,0),MATCH(Calculation!$G866,'Gross Gen Plant'!$D$5:$AC$5,0))</f>
        <v>64672</v>
      </c>
      <c r="CA866" s="129">
        <f t="shared" si="1526"/>
        <v>1592489</v>
      </c>
      <c r="CB866" s="129"/>
      <c r="CC866" s="133">
        <v>2011</v>
      </c>
      <c r="CD866" s="129"/>
      <c r="CE866" s="129"/>
      <c r="CF866" s="129"/>
      <c r="CG866" s="137"/>
      <c r="CH866" s="129">
        <f t="shared" si="1556"/>
        <v>203113</v>
      </c>
      <c r="CI866" s="46">
        <f t="shared" si="1565"/>
        <v>202805.36286281983</v>
      </c>
      <c r="CJ866" s="231">
        <f t="shared" si="1557"/>
        <v>331.59202661373843</v>
      </c>
      <c r="CK866" s="443">
        <v>0.8539325842696629</v>
      </c>
      <c r="CL866" s="231">
        <f>+CL853*CK866+CJ854*CK865+CJ855*CK864+CJ856*CK863+CJ857*CK862+CJ858*CK861+CJ859*CK860+CJ860*CK859+CJ861*CK858+CJ862*CK857+CJ863*CK856+CJ864*CK855+CJ865*CK854+CJ866</f>
        <v>6544.281548909069</v>
      </c>
      <c r="CM866" s="134">
        <f t="shared" si="1558"/>
        <v>3.8145502294786783E-2</v>
      </c>
      <c r="CN866" s="135">
        <f t="shared" si="1559"/>
        <v>1.3756721932936171E-2</v>
      </c>
      <c r="CO866" s="135">
        <f t="shared" si="1568"/>
        <v>1.3428778468443175E-2</v>
      </c>
      <c r="CP866" s="134">
        <f>VLOOKUP($H866,RoR!$E:$F,2,FALSE)</f>
        <v>4.6391666666666664E-2</v>
      </c>
      <c r="CQ866" s="135">
        <v>2.0840920205183799E-2</v>
      </c>
      <c r="CR866" s="135">
        <f t="shared" si="1566"/>
        <v>2.5550746461482865E-2</v>
      </c>
      <c r="CS866" s="135">
        <f t="shared" si="1569"/>
        <v>1.747316314009045E-2</v>
      </c>
      <c r="CT866" s="135">
        <f t="shared" si="1570"/>
        <v>2.4810540821321614E-2</v>
      </c>
      <c r="CU866" s="139">
        <f t="shared" si="1560"/>
        <v>0.85150049999999999</v>
      </c>
      <c r="CV866" s="335">
        <f t="shared" si="1561"/>
        <v>1.1054151524782025</v>
      </c>
      <c r="CW866" s="335">
        <f t="shared" si="1562"/>
        <v>0.43611011316687626</v>
      </c>
      <c r="CX866" s="335">
        <f t="shared" si="1563"/>
        <v>0.83698442246886229</v>
      </c>
      <c r="CY866" s="335">
        <f t="shared" si="1564"/>
        <v>0.40349573304423936</v>
      </c>
      <c r="CZ866" s="336">
        <f>INDEX('State Tax Lookup'!$D$7:$Z$91,MATCH(Calculation!$C866,'State Tax Lookup'!$B$7:$B$91,0),MATCH($H866,'State Tax Lookup'!$D$6:$Z$6,0))</f>
        <v>0.40134999999999998</v>
      </c>
      <c r="DA866" s="302">
        <v>0.37</v>
      </c>
      <c r="DB866" s="57">
        <f t="shared" si="1567"/>
        <v>15.165242993208198</v>
      </c>
      <c r="DC866" s="56">
        <f t="shared" si="1571"/>
        <v>5.5337302751067012E-2</v>
      </c>
      <c r="DD866" s="303">
        <f>VLOOKUP($H866,RoR!$E:$F,2,FALSE)</f>
        <v>4.6391666666666664E-2</v>
      </c>
      <c r="DE866" s="304">
        <f>HLOOKUP($H866,'GDP-PI'!$D$8:$CQ$11,3,FALSE)</f>
        <v>2.0840920205183799E-2</v>
      </c>
      <c r="DF866" s="303">
        <f>VLOOKUP(H866,'HW Dx Data'!$E:$F,2,FALSE)</f>
        <v>611.61109612283201</v>
      </c>
      <c r="DG866" s="364">
        <f ca="1">VLOOKUP(CC866,'ECI - Input Price'!M$13:N$33,2,FALSE)</f>
        <v>120.875</v>
      </c>
      <c r="DH866" s="364"/>
      <c r="DI866" s="364"/>
      <c r="DJ866" s="56">
        <f t="shared" ca="1" si="1579"/>
        <v>3.3224250161508609E-2</v>
      </c>
      <c r="DK866" s="53">
        <f>HLOOKUP(H866,'GDP-PI'!$8:$9,2,FALSE)</f>
        <v>98.111999999999995</v>
      </c>
      <c r="DL866" s="355">
        <f t="shared" si="1572"/>
        <v>2.0626719212849295E-2</v>
      </c>
      <c r="EC866"/>
    </row>
    <row r="867" spans="1:133" s="126" customFormat="1" ht="21" customHeight="1" x14ac:dyDescent="0.4">
      <c r="A867" s="233" t="s">
        <v>232</v>
      </c>
      <c r="B867" s="127" t="s">
        <v>233</v>
      </c>
      <c r="C867" s="127">
        <v>4057135</v>
      </c>
      <c r="D867" s="127" t="s">
        <v>214</v>
      </c>
      <c r="E867" s="127"/>
      <c r="F867" s="127"/>
      <c r="G867" s="127" t="s">
        <v>168</v>
      </c>
      <c r="H867" s="128">
        <v>2012</v>
      </c>
      <c r="I867" s="129"/>
      <c r="J867" s="125">
        <f>IFERROR(INDEX('Labor Expenditures'!$E$7:$W$91,MATCH($C867,'Labor Expenditures'!$C$7:$C$91,0),MATCH($G867,'Labor Expenditures'!$E$5:$W$5,0)),"NA")</f>
        <v>111863.37422452439</v>
      </c>
      <c r="K867" s="125">
        <f t="shared" ca="1" si="1573"/>
        <v>896.34113961958644</v>
      </c>
      <c r="L867" s="47"/>
      <c r="M867" s="131">
        <f t="shared" ca="1" si="1580"/>
        <v>4.7209729750777862E-2</v>
      </c>
      <c r="N867" s="131"/>
      <c r="O867" s="131"/>
      <c r="P867" s="59">
        <f t="shared" ca="1" si="1582"/>
        <v>1.9109109828908805E-3</v>
      </c>
      <c r="Q867" s="61"/>
      <c r="R867" s="387"/>
      <c r="S867" s="49">
        <f t="shared" ca="1" si="1587"/>
        <v>115.48936933355651</v>
      </c>
      <c r="T867" s="61">
        <f ca="1">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</f>
        <v>-5.978477664072457E-3</v>
      </c>
      <c r="U867" s="61"/>
      <c r="V867" s="125">
        <f>IFERROR(INDEX('Non-Labor Expenditures'!$E$7:$AA$91,MATCH($C867,'Non-Labor Expenditures'!$C$7:$C$91,0),MATCH($G867,'Non-Labor Expenditures'!$E$5:$AA$5,0)),"NA")</f>
        <v>161999.05907341951</v>
      </c>
      <c r="W867" s="125">
        <f t="shared" si="1574"/>
        <v>1619.9905907341952</v>
      </c>
      <c r="X867" s="131">
        <f t="shared" si="1583"/>
        <v>6.0104729173904539E-2</v>
      </c>
      <c r="Y867" s="131">
        <f t="shared" si="1584"/>
        <v>2.4328626261666676E-3</v>
      </c>
      <c r="Z867" s="131"/>
      <c r="AA867" s="131"/>
      <c r="AB867" s="131"/>
      <c r="AC867" s="125">
        <f t="shared" si="1554"/>
        <v>106150.77376142965</v>
      </c>
      <c r="AD867" s="129"/>
      <c r="AE867" s="133">
        <v>7267.5914506524741</v>
      </c>
      <c r="AF867" s="134">
        <v>4.2997786550484675E-2</v>
      </c>
      <c r="AG867" s="59">
        <f t="shared" si="1575"/>
        <v>1.7404239124661615E-3</v>
      </c>
      <c r="AH867" s="134"/>
      <c r="AI867" s="134"/>
      <c r="AJ867" s="129">
        <f t="shared" si="1588"/>
        <v>380013.20705937356</v>
      </c>
      <c r="AK867" s="134">
        <f t="shared" si="1585"/>
        <v>8.6426743761089914E-2</v>
      </c>
      <c r="AL867" s="129"/>
      <c r="AM867" s="129"/>
      <c r="AN867" s="129"/>
      <c r="AO867" s="129"/>
      <c r="AP867" s="133">
        <f t="shared" si="1586"/>
        <v>457.4113189230186</v>
      </c>
      <c r="AQ867" s="134">
        <f>+BB867/Outputs!$B$20</f>
        <v>2.3262725566950377E-2</v>
      </c>
      <c r="AR867" s="93">
        <f t="shared" si="1576"/>
        <v>0.29436706973988608</v>
      </c>
      <c r="AS867" s="93">
        <f t="shared" si="1577"/>
        <v>0.42629849716804358</v>
      </c>
      <c r="AT867" s="93">
        <f t="shared" si="1578"/>
        <v>0.27933443309207034</v>
      </c>
      <c r="AU867" s="93">
        <f t="shared" ca="1" si="1581"/>
        <v>5.1561400113824221E-2</v>
      </c>
      <c r="AV867" s="132">
        <f t="shared" ca="1" si="1590"/>
        <v>98.429498165688258</v>
      </c>
      <c r="AW867" s="134">
        <f t="shared" ca="1" si="1591"/>
        <v>5.15614001138242E-2</v>
      </c>
      <c r="AX867" s="56">
        <f>+AJ867/$AL$17</f>
        <v>4.0477058288167701E-2</v>
      </c>
      <c r="AY867" s="135">
        <f t="shared" ca="1" si="1589"/>
        <v>2.0870537978267987E-3</v>
      </c>
      <c r="AZ867" s="93"/>
      <c r="BA867" s="93"/>
      <c r="BB867" s="234">
        <f>IFERROR(INDEX('Total Customers'!$E$7:$AA$91,MATCH($C867,'Total Customers'!$C$7:$C$91,0),MATCH($G867,'Total Customers'!$E$5:$AA$5,0)),"NA")</f>
        <v>830791</v>
      </c>
      <c r="BC867" s="269">
        <f t="shared" si="1546"/>
        <v>3.8773130769479171E-3</v>
      </c>
      <c r="BD867" s="92"/>
      <c r="BE867" s="299" t="str">
        <f t="shared" si="1537"/>
        <v>PEOPLES GAS LIGHT AND COKE COMPANY</v>
      </c>
      <c r="BF867" s="300">
        <f t="shared" si="1538"/>
        <v>4057135</v>
      </c>
      <c r="BG867" s="231" t="str">
        <f t="shared" si="1539"/>
        <v>WI</v>
      </c>
      <c r="BH867" s="231"/>
      <c r="BI867" s="231" t="str">
        <f t="shared" si="1540"/>
        <v>2012 Y</v>
      </c>
      <c r="BJ867" s="129"/>
      <c r="BK867" s="129"/>
      <c r="BL867" s="129">
        <f>INDEX('Dist. Plant Gas Additions'!$E$7:$AD$91,MATCH($C867,'Dist. Plant Gas Additions'!$C$7:$C$91,0),MATCH(Calculation!$G867,'Dist. Plant Gas Additions'!$E$5:$AD$5,0))</f>
        <v>223706</v>
      </c>
      <c r="BM867" s="129">
        <f>INDEX('Gen. Plant Additions'!$E$7:$AD$91,MATCH($C867,'Gen. Plant Additions'!$C$7:$C$91,0),MATCH(Calculation!$G867,'Gen. Plant Additions'!$E$5:$AD$5,0))</f>
        <v>16081</v>
      </c>
      <c r="BN867" s="301">
        <f t="shared" si="1555"/>
        <v>0.97033878515762195</v>
      </c>
      <c r="BO867" s="231">
        <f t="shared" si="1504"/>
        <v>15604.018004119718</v>
      </c>
      <c r="BP867" s="231">
        <f t="shared" si="1505"/>
        <v>-476.98199588028183</v>
      </c>
      <c r="BQ867" s="129">
        <f>INDEX('Dist Plant Depreciation'!$D$7:$AC$94,MATCH($C867,'Dist Plant Depreciation'!$C$7:$C$94,0),MATCH(Calculation!$G867,'Dist Plant Depreciation'!$D$5:$AC$5,0))</f>
        <v>822936</v>
      </c>
      <c r="BR867" s="129">
        <f>INDEX('Gen. Plant Depreciation'!$D$7:$AC$94,MATCH($C867,'Gen. Plant Depreciation'!$C$7:$C$94,0),MATCH(Calculation!$G867,'Gen. Plant Depreciation'!$D$5:$AC$5,0))</f>
        <v>38159</v>
      </c>
      <c r="BS867" s="129"/>
      <c r="BT867" s="129"/>
      <c r="BU867" s="129"/>
      <c r="BV867" s="129"/>
      <c r="BW867" s="129"/>
      <c r="BX867" s="137"/>
      <c r="BY867" s="129">
        <f>INDEX('Gross Dx Plant'!$D$7:$AC$91,MATCH($C867,'Gross Dx Plant'!$C$7:$C$91,0),MATCH(Calculation!$G867,'Gross Dx Plant'!$D$5:$AC$5,0))</f>
        <v>2555557</v>
      </c>
      <c r="BZ867" s="129">
        <f>INDEX('Gross Gen Plant'!$D$7:$AC$91,MATCH($C867,'Gross Gen Plant'!$C$7:$C$91,0),MATCH(Calculation!$G867,'Gross Gen Plant'!$D$5:$AC$5,0))</f>
        <v>78118</v>
      </c>
      <c r="CA867" s="129">
        <f t="shared" si="1526"/>
        <v>1772580</v>
      </c>
      <c r="CB867" s="129"/>
      <c r="CC867" s="133">
        <v>2012</v>
      </c>
      <c r="CD867" s="129"/>
      <c r="CE867" s="129"/>
      <c r="CF867" s="129"/>
      <c r="CG867" s="137"/>
      <c r="CH867" s="129">
        <f t="shared" si="1556"/>
        <v>239787</v>
      </c>
      <c r="CI867" s="46">
        <f t="shared" si="1565"/>
        <v>239310.01800411972</v>
      </c>
      <c r="CJ867" s="231">
        <f t="shared" si="1557"/>
        <v>357.75617491256833</v>
      </c>
      <c r="CK867" s="443">
        <v>0.84090909090909094</v>
      </c>
      <c r="CL867" s="231">
        <f>+CL853*CK867+CJ854*CK866+CJ855*CK865+CJ856*CK864+CJ857*CK863+CJ858*CK862+CJ859*CK861+CJ860*CK860+CJ861*CK859+CJ862*CK858+CJ863*CK857+CJ864*CK856+CJ865*CK855+CJ866*CK854+CJ867</f>
        <v>6810.162112780783</v>
      </c>
      <c r="CM867" s="134">
        <f t="shared" si="1558"/>
        <v>3.98243026329059E-2</v>
      </c>
      <c r="CN867" s="135">
        <f t="shared" si="1559"/>
        <v>1.4039067597293392E-2</v>
      </c>
      <c r="CO867" s="135">
        <f t="shared" si="1568"/>
        <v>1.3753514578241241E-2</v>
      </c>
      <c r="CP867" s="134">
        <f>VLOOKUP($H867,RoR!$E:$F,2,FALSE)</f>
        <v>3.6733333333333333E-2</v>
      </c>
      <c r="CQ867" s="135">
        <v>1.924331376386168E-2</v>
      </c>
      <c r="CR867" s="135">
        <f t="shared" si="1566"/>
        <v>1.7490019569471653E-2</v>
      </c>
      <c r="CS867" s="135">
        <f t="shared" si="1569"/>
        <v>1.7148427030292384E-2</v>
      </c>
      <c r="CT867" s="135">
        <f t="shared" si="1570"/>
        <v>6.7122682943869583E-2</v>
      </c>
      <c r="CU867" s="139">
        <f t="shared" si="1560"/>
        <v>0.85150049999999999</v>
      </c>
      <c r="CV867" s="335">
        <f t="shared" si="1561"/>
        <v>1.3960631020522127</v>
      </c>
      <c r="CW867" s="335">
        <f t="shared" si="1562"/>
        <v>0.29441923774954631</v>
      </c>
      <c r="CX867" s="335">
        <f t="shared" si="1563"/>
        <v>0.76377954189366437</v>
      </c>
      <c r="CY867" s="335">
        <f t="shared" si="1564"/>
        <v>0.31393465103033691</v>
      </c>
      <c r="CZ867" s="336">
        <f>INDEX('State Tax Lookup'!$D$7:$Z$91,MATCH(Calculation!$C867,'State Tax Lookup'!$B$7:$B$91,0),MATCH($H867,'State Tax Lookup'!$D$6:$Z$6,0))</f>
        <v>0.40134999999999998</v>
      </c>
      <c r="DA867" s="302">
        <v>0.37</v>
      </c>
      <c r="DB867" s="57">
        <f t="shared" si="1567"/>
        <v>16.220386144469131</v>
      </c>
      <c r="DC867" s="56">
        <f t="shared" si="1571"/>
        <v>6.7262690788076632E-2</v>
      </c>
      <c r="DD867" s="303">
        <f>VLOOKUP($H867,RoR!$E:$F,2,FALSE)</f>
        <v>3.6733333333333333E-2</v>
      </c>
      <c r="DE867" s="304">
        <f>HLOOKUP($H867,'GDP-PI'!$D$8:$CQ$11,3,FALSE)</f>
        <v>1.924331376386168E-2</v>
      </c>
      <c r="DF867" s="303">
        <f>VLOOKUP(H867,'HW Dx Data'!$E:$F,2,FALSE)</f>
        <v>668.91932211262167</v>
      </c>
      <c r="DG867" s="364">
        <f ca="1">VLOOKUP(CC867,'ECI - Input Price'!M$13:N$33,2,FALSE)</f>
        <v>124.80000000000001</v>
      </c>
      <c r="DH867" s="364"/>
      <c r="DI867" s="364"/>
      <c r="DJ867" s="56">
        <f t="shared" ca="1" si="1579"/>
        <v>3.1955502161869064E-2</v>
      </c>
      <c r="DK867" s="53">
        <f>HLOOKUP(H867,'GDP-PI'!$8:$9,2,FALSE)</f>
        <v>100</v>
      </c>
      <c r="DL867" s="355">
        <f t="shared" si="1572"/>
        <v>1.9060502738742411E-2</v>
      </c>
      <c r="EC867"/>
    </row>
    <row r="868" spans="1:133" s="126" customFormat="1" ht="21" customHeight="1" x14ac:dyDescent="0.4">
      <c r="A868" s="233" t="s">
        <v>232</v>
      </c>
      <c r="B868" s="127" t="s">
        <v>233</v>
      </c>
      <c r="C868" s="127">
        <v>4057135</v>
      </c>
      <c r="D868" s="127" t="s">
        <v>214</v>
      </c>
      <c r="E868" s="127"/>
      <c r="F868" s="127"/>
      <c r="G868" s="127" t="s">
        <v>169</v>
      </c>
      <c r="H868" s="128">
        <v>2013</v>
      </c>
      <c r="I868" s="129"/>
      <c r="J868" s="125">
        <f>IFERROR(INDEX('Labor Expenditures'!$E$7:$W$91,MATCH($C868,'Labor Expenditures'!$C$7:$C$91,0),MATCH($G868,'Labor Expenditures'!$E$5:$W$5,0)),"NA")</f>
        <v>138974.0076375358</v>
      </c>
      <c r="K868" s="125">
        <f t="shared" ca="1" si="1573"/>
        <v>1096.0095239553298</v>
      </c>
      <c r="L868" s="47"/>
      <c r="M868" s="131">
        <f t="shared" ca="1" si="1580"/>
        <v>0.20111008051459356</v>
      </c>
      <c r="N868" s="131"/>
      <c r="O868" s="131"/>
      <c r="P868" s="59">
        <f t="shared" ca="1" si="1582"/>
        <v>9.2606302272492409E-3</v>
      </c>
      <c r="Q868" s="61"/>
      <c r="R868" s="387"/>
      <c r="S868" s="49">
        <f t="shared" ca="1" si="1587"/>
        <v>106.74440194682508</v>
      </c>
      <c r="T868" s="61">
        <f ca="1">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</f>
        <v>-7.8741275369250435E-2</v>
      </c>
      <c r="U868" s="61"/>
      <c r="V868" s="125">
        <f>IFERROR(INDEX('Non-Labor Expenditures'!$E$7:$AA$91,MATCH($C868,'Non-Labor Expenditures'!$C$7:$C$91,0),MATCH($G868,'Non-Labor Expenditures'!$E$5:$AA$5,0)),"NA")</f>
        <v>201260.3198233156</v>
      </c>
      <c r="W868" s="125">
        <f t="shared" si="1574"/>
        <v>1977.5413893991099</v>
      </c>
      <c r="X868" s="131">
        <f t="shared" si="1583"/>
        <v>0.1994340095658812</v>
      </c>
      <c r="Y868" s="131">
        <f t="shared" si="1584"/>
        <v>9.1834512352715926E-3</v>
      </c>
      <c r="Z868" s="131"/>
      <c r="AA868" s="131"/>
      <c r="AB868" s="131"/>
      <c r="AC868" s="125">
        <f t="shared" si="1554"/>
        <v>107835.1572835141</v>
      </c>
      <c r="AD868" s="129"/>
      <c r="AE868" s="133">
        <v>7688.4215672581076</v>
      </c>
      <c r="AF868" s="134">
        <v>5.629056773464975E-2</v>
      </c>
      <c r="AG868" s="59">
        <f t="shared" si="1575"/>
        <v>2.5920437789029235E-3</v>
      </c>
      <c r="AH868" s="134"/>
      <c r="AI868" s="134"/>
      <c r="AJ868" s="129">
        <f t="shared" si="1588"/>
        <v>448069.4847443655</v>
      </c>
      <c r="AK868" s="134">
        <f t="shared" si="1585"/>
        <v>0.16474231272817891</v>
      </c>
      <c r="AL868" s="129"/>
      <c r="AM868" s="129"/>
      <c r="AN868" s="129"/>
      <c r="AO868" s="129"/>
      <c r="AP868" s="133">
        <f t="shared" si="1586"/>
        <v>539.30409836965907</v>
      </c>
      <c r="AQ868" s="134">
        <f>+BB868/Outputs!$B$21</f>
        <v>2.3115521937389281E-2</v>
      </c>
      <c r="AR868" s="93">
        <f t="shared" si="1576"/>
        <v>0.31016173243045964</v>
      </c>
      <c r="AS868" s="93">
        <f t="shared" si="1577"/>
        <v>0.44917211878005814</v>
      </c>
      <c r="AT868" s="93">
        <f t="shared" si="1578"/>
        <v>0.2406661487894822</v>
      </c>
      <c r="AU868" s="93">
        <f t="shared" ca="1" si="1581"/>
        <v>0.16272328962498572</v>
      </c>
      <c r="AV868" s="132">
        <f t="shared" ca="1" si="1590"/>
        <v>115.82307680700389</v>
      </c>
      <c r="AW868" s="134">
        <f t="shared" ca="1" si="1591"/>
        <v>0.16272328962498564</v>
      </c>
      <c r="AX868" s="56">
        <f>+AJ868/$AL$18</f>
        <v>4.6047568593048434E-2</v>
      </c>
      <c r="AY868" s="135">
        <f t="shared" ca="1" si="1589"/>
        <v>7.4930118406930125E-3</v>
      </c>
      <c r="AZ868" s="93"/>
      <c r="BA868" s="93"/>
      <c r="BB868" s="234">
        <f>IFERROR(INDEX('Total Customers'!$E$7:$AA$91,MATCH($C868,'Total Customers'!$C$7:$C$91,0),MATCH($G868,'Total Customers'!$E$5:$AA$5,0)),"NA")</f>
        <v>830829</v>
      </c>
      <c r="BC868" s="269">
        <f t="shared" si="1546"/>
        <v>4.5738496174369374E-5</v>
      </c>
      <c r="BD868" s="92"/>
      <c r="BE868" s="299" t="str">
        <f t="shared" si="1537"/>
        <v>PEOPLES GAS LIGHT AND COKE COMPANY</v>
      </c>
      <c r="BF868" s="300">
        <f t="shared" si="1538"/>
        <v>4057135</v>
      </c>
      <c r="BG868" s="231" t="str">
        <f t="shared" si="1539"/>
        <v>WI</v>
      </c>
      <c r="BH868" s="231"/>
      <c r="BI868" s="231" t="str">
        <f t="shared" si="1540"/>
        <v>2013 Y</v>
      </c>
      <c r="BJ868" s="129"/>
      <c r="BK868" s="129"/>
      <c r="BL868" s="129">
        <f>INDEX('Dist. Plant Gas Additions'!$E$7:$AD$91,MATCH($C868,'Dist. Plant Gas Additions'!$C$7:$C$91,0),MATCH(Calculation!$G868,'Dist. Plant Gas Additions'!$E$5:$AD$5,0))</f>
        <v>304610</v>
      </c>
      <c r="BM868" s="129">
        <f>INDEX('Gen. Plant Additions'!$E$7:$AD$91,MATCH($C868,'Gen. Plant Additions'!$C$7:$C$91,0),MATCH(Calculation!$G868,'Gen. Plant Additions'!$E$5:$AD$5,0))</f>
        <v>11851</v>
      </c>
      <c r="BN868" s="301">
        <f t="shared" si="1555"/>
        <v>0.97094950021789328</v>
      </c>
      <c r="BO868" s="231">
        <f t="shared" si="1504"/>
        <v>11506.722527082253</v>
      </c>
      <c r="BP868" s="231">
        <f t="shared" si="1505"/>
        <v>-344.27747291774722</v>
      </c>
      <c r="BQ868" s="129">
        <f>INDEX('Dist Plant Depreciation'!$D$7:$AC$94,MATCH($C868,'Dist Plant Depreciation'!$C$7:$C$94,0),MATCH(Calculation!$G868,'Dist Plant Depreciation'!$D$5:$AC$5,0))</f>
        <v>853597</v>
      </c>
      <c r="BR868" s="129">
        <f>INDEX('Gen. Plant Depreciation'!$D$7:$AC$94,MATCH($C868,'Gen. Plant Depreciation'!$C$7:$C$94,0),MATCH(Calculation!$G868,'Gen. Plant Depreciation'!$D$5:$AC$5,0))</f>
        <v>40659</v>
      </c>
      <c r="BS868" s="129"/>
      <c r="BT868" s="129"/>
      <c r="BU868" s="129"/>
      <c r="BV868" s="129"/>
      <c r="BW868" s="129"/>
      <c r="BX868" s="137"/>
      <c r="BY868" s="129">
        <f>INDEX('Gross Dx Plant'!$D$7:$AC$91,MATCH($C868,'Gross Dx Plant'!$C$7:$C$91,0),MATCH(Calculation!$G868,'Gross Dx Plant'!$D$5:$AC$5,0))</f>
        <v>2829609</v>
      </c>
      <c r="BZ868" s="129">
        <f>INDEX('Gross Gen Plant'!$D$7:$AC$91,MATCH($C868,'Gross Gen Plant'!$C$7:$C$91,0),MATCH(Calculation!$G868,'Gross Gen Plant'!$D$5:$AC$5,0))</f>
        <v>84661</v>
      </c>
      <c r="CA868" s="129">
        <f t="shared" si="1526"/>
        <v>2020014</v>
      </c>
      <c r="CB868" s="129"/>
      <c r="CC868" s="133">
        <v>2013</v>
      </c>
      <c r="CD868" s="129"/>
      <c r="CE868" s="129"/>
      <c r="CF868" s="129"/>
      <c r="CG868" s="137"/>
      <c r="CH868" s="129">
        <f t="shared" si="1556"/>
        <v>316461</v>
      </c>
      <c r="CI868" s="46">
        <f t="shared" si="1565"/>
        <v>316116.72252708225</v>
      </c>
      <c r="CJ868" s="231">
        <f t="shared" si="1557"/>
        <v>476.6188955922031</v>
      </c>
      <c r="CK868" s="443">
        <v>0.82758620689655171</v>
      </c>
      <c r="CL868" s="231">
        <f>+CL853*CK868+CJ854*CK867+CJ855*CK866+CJ856*CK865+CJ857*CK864+CJ858*CK863+CJ859*CK862+CJ860*CK861+CJ861*CK860+CJ862*CK859+CJ863*CK858+CJ864*CK857+CJ865*CK856+CJ866*CK855+CJ867*CK854+CJ868</f>
        <v>7189.2978824460506</v>
      </c>
      <c r="CM868" s="134">
        <f t="shared" si="1558"/>
        <v>5.4177590024646428E-2</v>
      </c>
      <c r="CN868" s="135">
        <f t="shared" si="1559"/>
        <v>1.4314362024361612E-2</v>
      </c>
      <c r="CO868" s="135">
        <f t="shared" si="1568"/>
        <v>1.4036717184863726E-2</v>
      </c>
      <c r="CP868" s="134">
        <f>VLOOKUP($H868,RoR!$E:$F,2,FALSE)</f>
        <v>4.2350000000000006E-2</v>
      </c>
      <c r="CQ868" s="135">
        <v>1.7730000000000024E-2</v>
      </c>
      <c r="CR868" s="135">
        <f t="shared" si="1566"/>
        <v>2.4619999999999982E-2</v>
      </c>
      <c r="CS868" s="135">
        <f t="shared" si="1569"/>
        <v>1.6865224423669899E-2</v>
      </c>
      <c r="CT868" s="135">
        <f t="shared" si="1570"/>
        <v>5.3376742735721204E-2</v>
      </c>
      <c r="CU868" s="139">
        <f t="shared" si="1560"/>
        <v>0.85150049999999999</v>
      </c>
      <c r="CV868" s="335">
        <f t="shared" si="1561"/>
        <v>1.2109103018193925</v>
      </c>
      <c r="CW868" s="335">
        <f t="shared" si="1562"/>
        <v>0.38468122786304604</v>
      </c>
      <c r="CX868" s="335">
        <f t="shared" si="1563"/>
        <v>0.80969194503422559</v>
      </c>
      <c r="CY868" s="335">
        <f t="shared" si="1564"/>
        <v>0.37716621754800816</v>
      </c>
      <c r="CZ868" s="336">
        <f>INDEX('State Tax Lookup'!$D$7:$Z$91,MATCH(Calculation!$C868,'State Tax Lookup'!$B$7:$B$91,0),MATCH($H868,'State Tax Lookup'!$D$6:$Z$6,0))</f>
        <v>0.40134999999999998</v>
      </c>
      <c r="DA868" s="302">
        <v>0.37</v>
      </c>
      <c r="DB868" s="57">
        <f t="shared" si="1567"/>
        <v>15.834447917346557</v>
      </c>
      <c r="DC868" s="56">
        <f t="shared" si="1571"/>
        <v>-2.4081040416589473E-2</v>
      </c>
      <c r="DD868" s="303">
        <f>VLOOKUP($H868,RoR!$E:$F,2,FALSE)</f>
        <v>4.2350000000000006E-2</v>
      </c>
      <c r="DE868" s="304">
        <f>HLOOKUP($H868,'GDP-PI'!$D$8:$CQ$11,3,FALSE)</f>
        <v>1.7730000000000024E-2</v>
      </c>
      <c r="DF868" s="303">
        <f>VLOOKUP(H868,'HW Dx Data'!$E:$F,2,FALSE)</f>
        <v>663.24840548821396</v>
      </c>
      <c r="DG868" s="364">
        <f ca="1">VLOOKUP(CC868,'ECI - Input Price'!M$13:N$33,2,FALSE)</f>
        <v>126.8</v>
      </c>
      <c r="DH868" s="364"/>
      <c r="DI868" s="364"/>
      <c r="DJ868" s="56">
        <f t="shared" ca="1" si="1579"/>
        <v>1.5898586067798204E-2</v>
      </c>
      <c r="DK868" s="53">
        <f>HLOOKUP(H868,'GDP-PI'!$8:$9,2,FALSE)</f>
        <v>101.773</v>
      </c>
      <c r="DL868" s="355">
        <f t="shared" si="1572"/>
        <v>1.7574657016510519E-2</v>
      </c>
      <c r="EC868"/>
    </row>
    <row r="869" spans="1:133" s="126" customFormat="1" ht="21" customHeight="1" x14ac:dyDescent="0.4">
      <c r="A869" s="233" t="s">
        <v>232</v>
      </c>
      <c r="B869" s="127" t="s">
        <v>233</v>
      </c>
      <c r="C869" s="127">
        <v>4057135</v>
      </c>
      <c r="D869" s="127" t="s">
        <v>214</v>
      </c>
      <c r="E869" s="127"/>
      <c r="F869" s="127"/>
      <c r="G869" s="127" t="s">
        <v>170</v>
      </c>
      <c r="H869" s="128">
        <v>2014</v>
      </c>
      <c r="I869" s="129"/>
      <c r="J869" s="125">
        <f>IFERROR(INDEX('Labor Expenditures'!$E$7:$W$91,MATCH($C869,'Labor Expenditures'!$C$7:$C$91,0),MATCH($G869,'Labor Expenditures'!$E$5:$W$5,0)),"NA")</f>
        <v>160921.62275994557</v>
      </c>
      <c r="K869" s="125">
        <f t="shared" ca="1" si="1573"/>
        <v>1243.5983211742316</v>
      </c>
      <c r="L869" s="47"/>
      <c r="M869" s="131">
        <f t="shared" ca="1" si="1580"/>
        <v>0.12633317100074412</v>
      </c>
      <c r="N869" s="131"/>
      <c r="O869" s="131"/>
      <c r="P869" s="59">
        <f t="shared" ca="1" si="1582"/>
        <v>6.4997673569512152E-3</v>
      </c>
      <c r="Q869" s="61"/>
      <c r="R869" s="387"/>
      <c r="S869" s="49">
        <f t="shared" ca="1" si="1587"/>
        <v>120.29260854685661</v>
      </c>
      <c r="T869" s="61">
        <f ca="1">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</f>
        <v>0.11948996930022823</v>
      </c>
      <c r="U869" s="61"/>
      <c r="V869" s="125">
        <f>IFERROR(INDEX('Non-Labor Expenditures'!$E$7:$AA$91,MATCH($C869,'Non-Labor Expenditures'!$C$7:$C$91,0),MATCH($G869,'Non-Labor Expenditures'!$E$5:$AA$5,0)),"NA")</f>
        <v>233044.56576962146</v>
      </c>
      <c r="W869" s="125">
        <f t="shared" si="1574"/>
        <v>2248.4448731716448</v>
      </c>
      <c r="X869" s="131">
        <f t="shared" si="1583"/>
        <v>0.12838445916616276</v>
      </c>
      <c r="Y869" s="131">
        <f t="shared" si="1584"/>
        <v>6.605304926788751E-3</v>
      </c>
      <c r="Z869" s="131"/>
      <c r="AA869" s="131"/>
      <c r="AB869" s="131"/>
      <c r="AC869" s="125">
        <f t="shared" si="1554"/>
        <v>115857.19958658534</v>
      </c>
      <c r="AD869" s="129"/>
      <c r="AE869" s="133">
        <v>8023.9757315125216</v>
      </c>
      <c r="AF869" s="134">
        <v>4.2718521552103865E-2</v>
      </c>
      <c r="AG869" s="59">
        <f t="shared" si="1575"/>
        <v>2.1978428129532678E-3</v>
      </c>
      <c r="AH869" s="134"/>
      <c r="AI869" s="134"/>
      <c r="AJ869" s="129">
        <f t="shared" si="1588"/>
        <v>509823.38811615238</v>
      </c>
      <c r="AK869" s="134">
        <f t="shared" si="1585"/>
        <v>0.12911604766791307</v>
      </c>
      <c r="AL869" s="129"/>
      <c r="AM869" s="129"/>
      <c r="AN869" s="129"/>
      <c r="AO869" s="129"/>
      <c r="AP869" s="133">
        <f t="shared" si="1586"/>
        <v>613.45494551734259</v>
      </c>
      <c r="AQ869" s="134">
        <f>+BB869/Outputs!$B$22</f>
        <v>2.2998640951284288E-2</v>
      </c>
      <c r="AR869" s="93">
        <f t="shared" si="1576"/>
        <v>0.31564189974604112</v>
      </c>
      <c r="AS869" s="93">
        <f t="shared" si="1577"/>
        <v>0.45710842460708617</v>
      </c>
      <c r="AT869" s="93">
        <f t="shared" si="1578"/>
        <v>0.22724967564687273</v>
      </c>
      <c r="AU869" s="93">
        <f t="shared" ca="1" si="1581"/>
        <v>0.10770038346148507</v>
      </c>
      <c r="AV869" s="132">
        <f t="shared" ca="1" si="1590"/>
        <v>128.99378311930943</v>
      </c>
      <c r="AW869" s="134">
        <f t="shared" ca="1" si="1591"/>
        <v>0.10770038346148508</v>
      </c>
      <c r="AX869" s="56">
        <f>+AJ869/$AL$19</f>
        <v>5.1449411943541974E-2</v>
      </c>
      <c r="AY869" s="135">
        <f t="shared" ca="1" si="1589"/>
        <v>5.5411213951873815E-3</v>
      </c>
      <c r="AZ869" s="93"/>
      <c r="BA869" s="93"/>
      <c r="BB869" s="234">
        <f>IFERROR(INDEX('Total Customers'!$E$7:$AA$91,MATCH($C869,'Total Customers'!$C$7:$C$91,0),MATCH($G869,'Total Customers'!$E$5:$AA$5,0)),"NA")</f>
        <v>831069</v>
      </c>
      <c r="BC869" s="269">
        <f t="shared" si="1546"/>
        <v>2.8882639207511874E-4</v>
      </c>
      <c r="BD869" s="92"/>
      <c r="BE869" s="299" t="str">
        <f t="shared" si="1537"/>
        <v>PEOPLES GAS LIGHT AND COKE COMPANY</v>
      </c>
      <c r="BF869" s="300">
        <f t="shared" si="1538"/>
        <v>4057135</v>
      </c>
      <c r="BG869" s="231" t="str">
        <f t="shared" si="1539"/>
        <v>WI</v>
      </c>
      <c r="BH869" s="231"/>
      <c r="BI869" s="231" t="str">
        <f t="shared" si="1540"/>
        <v>2014 Y</v>
      </c>
      <c r="BJ869" s="129"/>
      <c r="BK869" s="129"/>
      <c r="BL869" s="129">
        <f>INDEX('Dist. Plant Gas Additions'!$E$7:$AD$91,MATCH($C869,'Dist. Plant Gas Additions'!$C$7:$C$91,0),MATCH(Calculation!$G869,'Dist. Plant Gas Additions'!$E$5:$AD$5,0))</f>
        <v>259442</v>
      </c>
      <c r="BM869" s="129">
        <f>INDEX('Gen. Plant Additions'!$E$7:$AD$91,MATCH($C869,'Gen. Plant Additions'!$C$7:$C$91,0),MATCH(Calculation!$G869,'Gen. Plant Additions'!$E$5:$AD$5,0))</f>
        <v>11827</v>
      </c>
      <c r="BN869" s="301">
        <f t="shared" si="1555"/>
        <v>0.96978651653282277</v>
      </c>
      <c r="BO869" s="231">
        <f t="shared" si="1504"/>
        <v>11469.665131033695</v>
      </c>
      <c r="BP869" s="231">
        <f t="shared" si="1505"/>
        <v>-357.33486896630529</v>
      </c>
      <c r="BQ869" s="129">
        <f>INDEX('Dist Plant Depreciation'!$D$7:$AC$94,MATCH($C869,'Dist Plant Depreciation'!$C$7:$C$94,0),MATCH(Calculation!$G869,'Dist Plant Depreciation'!$D$5:$AC$5,0))</f>
        <v>883686</v>
      </c>
      <c r="BR869" s="129">
        <f>INDEX('Gen. Plant Depreciation'!$D$7:$AC$94,MATCH($C869,'Gen. Plant Depreciation'!$C$7:$C$94,0),MATCH(Calculation!$G869,'Gen. Plant Depreciation'!$D$5:$AC$5,0))</f>
        <v>47025</v>
      </c>
      <c r="BS869" s="129"/>
      <c r="BT869" s="129"/>
      <c r="BU869" s="129"/>
      <c r="BV869" s="129"/>
      <c r="BW869" s="129"/>
      <c r="BX869" s="137"/>
      <c r="BY869" s="129">
        <f>INDEX('Gross Dx Plant'!$D$7:$AC$91,MATCH($C869,'Gross Dx Plant'!$C$7:$C$91,0),MATCH(Calculation!$G869,'Gross Dx Plant'!$D$5:$AC$5,0))</f>
        <v>3054042</v>
      </c>
      <c r="BZ869" s="129">
        <f>INDEX('Gross Gen Plant'!$D$7:$AC$91,MATCH($C869,'Gross Gen Plant'!$C$7:$C$91,0),MATCH(Calculation!$G869,'Gross Gen Plant'!$D$5:$AC$5,0))</f>
        <v>95148</v>
      </c>
      <c r="CA869" s="129">
        <f t="shared" si="1526"/>
        <v>2218479</v>
      </c>
      <c r="CB869" s="129"/>
      <c r="CC869" s="133">
        <v>2014</v>
      </c>
      <c r="CD869" s="129"/>
      <c r="CE869" s="129"/>
      <c r="CF869" s="129"/>
      <c r="CG869" s="137"/>
      <c r="CH869" s="129">
        <f t="shared" si="1556"/>
        <v>271269</v>
      </c>
      <c r="CI869" s="46">
        <f t="shared" si="1565"/>
        <v>270911.66513103369</v>
      </c>
      <c r="CJ869" s="231">
        <f t="shared" si="1557"/>
        <v>395.79821524581666</v>
      </c>
      <c r="CK869" s="443">
        <v>0.81395348837209303</v>
      </c>
      <c r="CL869" s="231">
        <f>+CL853*CK869+CJ854*CK868+CJ855*CK867+CJ856*CK866+CJ857*CK865+CJ858*CK864+CJ859*CK863+CJ860*CK862+CJ861*CK861+CJ862*CK860+CJ863*CK859+CJ864*CK858+CJ865*CK857+CJ866*CK856+CJ867*CK855+CJ868*CK854+CJ869</f>
        <v>7480.6871958861884</v>
      </c>
      <c r="CM869" s="134">
        <f t="shared" si="1558"/>
        <v>3.9731143864232814E-2</v>
      </c>
      <c r="CN869" s="135">
        <f t="shared" si="1559"/>
        <v>1.4522823161996355E-2</v>
      </c>
      <c r="CO869" s="135">
        <f t="shared" si="1568"/>
        <v>1.4292084261217119E-2</v>
      </c>
      <c r="CP869" s="134">
        <f>VLOOKUP($H869,RoR!$E:$F,2,FALSE)</f>
        <v>4.1625000000000002E-2</v>
      </c>
      <c r="CQ869" s="135">
        <v>1.841352814597208E-2</v>
      </c>
      <c r="CR869" s="135">
        <f t="shared" si="1566"/>
        <v>2.3211471854027922E-2</v>
      </c>
      <c r="CS869" s="135">
        <f t="shared" si="1569"/>
        <v>1.6609857347316508E-2</v>
      </c>
      <c r="CT869" s="135">
        <f t="shared" si="1570"/>
        <v>3.9072621432650924E-2</v>
      </c>
      <c r="CU869" s="139">
        <f t="shared" si="1560"/>
        <v>0.85150049999999999</v>
      </c>
      <c r="CV869" s="335">
        <f t="shared" si="1561"/>
        <v>1.2320012320012319</v>
      </c>
      <c r="CW869" s="335">
        <f t="shared" si="1562"/>
        <v>0.37439939939939942</v>
      </c>
      <c r="CX869" s="335">
        <f t="shared" si="1563"/>
        <v>0.80432100613819935</v>
      </c>
      <c r="CY869" s="335">
        <f t="shared" si="1564"/>
        <v>0.37100152660040037</v>
      </c>
      <c r="CZ869" s="336">
        <f>INDEX('State Tax Lookup'!$D$7:$Z$91,MATCH(Calculation!$C869,'State Tax Lookup'!$B$7:$B$91,0),MATCH($H869,'State Tax Lookup'!$D$6:$Z$6,0))</f>
        <v>0.40134999999999998</v>
      </c>
      <c r="DA869" s="302">
        <v>0.37</v>
      </c>
      <c r="DB869" s="57">
        <f t="shared" si="1567"/>
        <v>16.115231484491872</v>
      </c>
      <c r="DC869" s="56">
        <f t="shared" si="1571"/>
        <v>1.7577065025202183E-2</v>
      </c>
      <c r="DD869" s="303">
        <f>VLOOKUP($H869,RoR!$E:$F,2,FALSE)</f>
        <v>4.1625000000000002E-2</v>
      </c>
      <c r="DE869" s="304">
        <f>HLOOKUP($H869,'GDP-PI'!$D$8:$CQ$11,3,FALSE)</f>
        <v>1.841352814597208E-2</v>
      </c>
      <c r="DF869" s="303">
        <f>VLOOKUP(H869,'HW Dx Data'!$E:$F,2,FALSE)</f>
        <v>684.46914285042885</v>
      </c>
      <c r="DG869" s="364">
        <f ca="1">VLOOKUP(CC869,'ECI - Input Price'!M$13:N$33,2,FALSE)</f>
        <v>129.4</v>
      </c>
      <c r="DH869" s="364"/>
      <c r="DI869" s="364"/>
      <c r="DJ869" s="56">
        <f t="shared" ca="1" si="1579"/>
        <v>2.0297340063674733E-2</v>
      </c>
      <c r="DK869" s="53">
        <f>HLOOKUP(H869,'GDP-PI'!$8:$9,2,FALSE)</f>
        <v>103.64700000000001</v>
      </c>
      <c r="DL869" s="355">
        <f t="shared" si="1572"/>
        <v>1.8246051898256087E-2</v>
      </c>
      <c r="EC869"/>
    </row>
    <row r="870" spans="1:133" s="126" customFormat="1" ht="21" customHeight="1" x14ac:dyDescent="0.4">
      <c r="A870" s="233" t="s">
        <v>232</v>
      </c>
      <c r="B870" s="127" t="s">
        <v>233</v>
      </c>
      <c r="C870" s="127">
        <v>4057135</v>
      </c>
      <c r="D870" s="127" t="s">
        <v>214</v>
      </c>
      <c r="E870" s="127"/>
      <c r="F870" s="127"/>
      <c r="G870" s="127" t="s">
        <v>171</v>
      </c>
      <c r="H870" s="128">
        <v>2015</v>
      </c>
      <c r="I870" s="129"/>
      <c r="J870" s="125">
        <f>IFERROR(INDEX('Labor Expenditures'!$E$7:$W$91,MATCH($C870,'Labor Expenditures'!$C$7:$C$91,0),MATCH($G870,'Labor Expenditures'!$E$5:$W$5,0)),"NA")</f>
        <v>133235.14975086332</v>
      </c>
      <c r="K870" s="125">
        <f t="shared" ca="1" si="1573"/>
        <v>998.01610300272148</v>
      </c>
      <c r="L870" s="47"/>
      <c r="M870" s="131">
        <f t="shared" ca="1" si="1580"/>
        <v>-0.21999491675665389</v>
      </c>
      <c r="N870" s="131"/>
      <c r="O870" s="131"/>
      <c r="P870" s="59">
        <f t="shared" ca="1" si="1582"/>
        <v>-9.8004922516011263E-3</v>
      </c>
      <c r="Q870" s="61"/>
      <c r="R870" s="387"/>
      <c r="S870" s="49">
        <f t="shared" ca="1" si="1587"/>
        <v>118.70610530737869</v>
      </c>
      <c r="T870" s="61">
        <f ca="1">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</f>
        <v>-1.3276444190326541E-2</v>
      </c>
      <c r="U870" s="61"/>
      <c r="V870" s="125">
        <f>IFERROR(INDEX('Non-Labor Expenditures'!$E$7:$AA$91,MATCH($C870,'Non-Labor Expenditures'!$C$7:$C$91,0),MATCH($G870,'Non-Labor Expenditures'!$E$5:$AA$5,0)),"NA")</f>
        <v>192949.3817326139</v>
      </c>
      <c r="W870" s="125">
        <f t="shared" si="1574"/>
        <v>1843.9528448533902</v>
      </c>
      <c r="X870" s="131">
        <f t="shared" si="1583"/>
        <v>-0.19832725716859298</v>
      </c>
      <c r="Y870" s="131">
        <f t="shared" si="1584"/>
        <v>-8.8352257216566376E-3</v>
      </c>
      <c r="Z870" s="131"/>
      <c r="AA870" s="131"/>
      <c r="AB870" s="131"/>
      <c r="AC870" s="125">
        <f t="shared" si="1554"/>
        <v>117545.94717859406</v>
      </c>
      <c r="AD870" s="129"/>
      <c r="AE870" s="133">
        <v>8466.6769713326721</v>
      </c>
      <c r="AF870" s="134">
        <v>5.3704076274588383E-2</v>
      </c>
      <c r="AG870" s="59">
        <f t="shared" si="1575"/>
        <v>2.3924479309251141E-3</v>
      </c>
      <c r="AH870" s="134"/>
      <c r="AI870" s="134"/>
      <c r="AJ870" s="129">
        <f t="shared" si="1588"/>
        <v>443730.47866207128</v>
      </c>
      <c r="AK870" s="134">
        <f t="shared" si="1585"/>
        <v>-0.13884701985745665</v>
      </c>
      <c r="AL870" s="129"/>
      <c r="AM870" s="129"/>
      <c r="AN870" s="129"/>
      <c r="AO870" s="129"/>
      <c r="AP870" s="133">
        <f t="shared" si="1586"/>
        <v>531.45893682225824</v>
      </c>
      <c r="AQ870" s="134">
        <f>+BB870/Outputs!$B$23</f>
        <v>2.2917583447958443E-2</v>
      </c>
      <c r="AR870" s="93">
        <f t="shared" si="1576"/>
        <v>0.30026143381584181</v>
      </c>
      <c r="AS870" s="93">
        <f t="shared" si="1577"/>
        <v>0.43483463726537702</v>
      </c>
      <c r="AT870" s="93">
        <f t="shared" si="1578"/>
        <v>0.26490392891878112</v>
      </c>
      <c r="AU870" s="93">
        <f t="shared" ca="1" si="1581"/>
        <v>-0.1429807844452034</v>
      </c>
      <c r="AV870" s="132">
        <f t="shared" ca="1" si="1590"/>
        <v>111.80803481366162</v>
      </c>
      <c r="AW870" s="134">
        <f t="shared" ca="1" si="1591"/>
        <v>-0.14298078444520335</v>
      </c>
      <c r="AX870" s="56">
        <f>+AJ870/$AL$20</f>
        <v>4.4548721379966627E-2</v>
      </c>
      <c r="AY870" s="135">
        <f t="shared" ca="1" si="1589"/>
        <v>-6.3696111289384301E-3</v>
      </c>
      <c r="AZ870" s="93"/>
      <c r="BA870" s="93"/>
      <c r="BB870" s="234">
        <f>IFERROR(INDEX('Total Customers'!$E$7:$AA$91,MATCH($C870,'Total Customers'!$C$7:$C$91,0),MATCH($G870,'Total Customers'!$E$5:$AA$5,0)),"NA")</f>
        <v>834929</v>
      </c>
      <c r="BC870" s="269">
        <f t="shared" si="1546"/>
        <v>4.6338673960689665E-3</v>
      </c>
      <c r="BD870" s="92"/>
      <c r="BE870" s="299" t="str">
        <f t="shared" si="1537"/>
        <v>PEOPLES GAS LIGHT AND COKE COMPANY</v>
      </c>
      <c r="BF870" s="300">
        <f t="shared" si="1538"/>
        <v>4057135</v>
      </c>
      <c r="BG870" s="231" t="str">
        <f t="shared" si="1539"/>
        <v>WI</v>
      </c>
      <c r="BH870" s="231"/>
      <c r="BI870" s="231" t="str">
        <f t="shared" si="1540"/>
        <v>2015 Y</v>
      </c>
      <c r="BJ870" s="129"/>
      <c r="BK870" s="129"/>
      <c r="BL870" s="129">
        <f>INDEX('Dist. Plant Gas Additions'!$E$7:$AD$91,MATCH($C870,'Dist. Plant Gas Additions'!$C$7:$C$91,0),MATCH(Calculation!$G870,'Dist. Plant Gas Additions'!$E$5:$AD$5,0))</f>
        <v>332216</v>
      </c>
      <c r="BM870" s="129">
        <f>INDEX('Gen. Plant Additions'!$E$7:$AD$91,MATCH($C870,'Gen. Plant Additions'!$C$7:$C$91,0),MATCH(Calculation!$G870,'Gen. Plant Additions'!$E$5:$AD$5,0))</f>
        <v>10803</v>
      </c>
      <c r="BN870" s="301">
        <f t="shared" si="1555"/>
        <v>0.97214256895432671</v>
      </c>
      <c r="BO870" s="231">
        <f t="shared" si="1504"/>
        <v>10502.056172413591</v>
      </c>
      <c r="BP870" s="231">
        <f t="shared" si="1505"/>
        <v>-300.94382758640859</v>
      </c>
      <c r="BQ870" s="129">
        <f>INDEX('Dist Plant Depreciation'!$D$7:$AC$94,MATCH($C870,'Dist Plant Depreciation'!$C$7:$C$94,0),MATCH(Calculation!$G870,'Dist Plant Depreciation'!$D$5:$AC$5,0))</f>
        <v>908933</v>
      </c>
      <c r="BR870" s="129">
        <f>INDEX('Gen. Plant Depreciation'!$D$7:$AC$94,MATCH($C870,'Gen. Plant Depreciation'!$C$7:$C$94,0),MATCH(Calculation!$G870,'Gen. Plant Depreciation'!$D$5:$AC$5,0))</f>
        <v>44479</v>
      </c>
      <c r="BS870" s="129"/>
      <c r="BT870" s="129"/>
      <c r="BU870" s="129"/>
      <c r="BV870" s="129"/>
      <c r="BW870" s="129"/>
      <c r="BX870" s="137"/>
      <c r="BY870" s="129">
        <f>INDEX('Gross Dx Plant'!$D$7:$AC$91,MATCH($C870,'Gross Dx Plant'!$C$7:$C$91,0),MATCH(Calculation!$G870,'Gross Dx Plant'!$D$5:$AC$5,0))</f>
        <v>3325097</v>
      </c>
      <c r="BZ870" s="129">
        <f>INDEX('Gross Gen Plant'!$D$7:$AC$91,MATCH($C870,'Gross Gen Plant'!$C$7:$C$91,0),MATCH(Calculation!$G870,'Gross Gen Plant'!$D$5:$AC$5,0))</f>
        <v>95283</v>
      </c>
      <c r="CA870" s="129">
        <f t="shared" si="1526"/>
        <v>2466968</v>
      </c>
      <c r="CB870" s="129"/>
      <c r="CC870" s="133">
        <v>2015</v>
      </c>
      <c r="CD870" s="129"/>
      <c r="CE870" s="129"/>
      <c r="CF870" s="129"/>
      <c r="CG870" s="137"/>
      <c r="CH870" s="129">
        <f t="shared" si="1556"/>
        <v>343019</v>
      </c>
      <c r="CI870" s="46">
        <f t="shared" si="1565"/>
        <v>342718.05617241358</v>
      </c>
      <c r="CJ870" s="231">
        <f t="shared" si="1557"/>
        <v>507.26855131400742</v>
      </c>
      <c r="CK870" s="443">
        <v>0.8</v>
      </c>
      <c r="CL870" s="231">
        <f>+CL853*CK870+CJ854*CK869+CJ855*CK868+CJ856*CK867+CJ857*CK866+CJ858*CK865+CJ859*CK864+CJ860*CK863+CJ861*CK862+CJ862*CK861+CJ863*CK860+CJ864*CK859+CJ865*CK858+CJ866*CK857+CJ867*CK856+CJ868*CK855+CJ869*CK854+CJ870</f>
        <v>7877.2509315287462</v>
      </c>
      <c r="CM870" s="134">
        <f t="shared" si="1558"/>
        <v>5.1654317570154332E-2</v>
      </c>
      <c r="CN870" s="135">
        <f t="shared" si="1559"/>
        <v>1.4798749469477745E-2</v>
      </c>
      <c r="CO870" s="135">
        <f t="shared" si="1568"/>
        <v>1.4545311551945238E-2</v>
      </c>
      <c r="CP870" s="134">
        <f>VLOOKUP($H870,RoR!$E:$F,2,FALSE)</f>
        <v>3.8866666666666674E-2</v>
      </c>
      <c r="CQ870" s="135">
        <v>9.5709475431029478E-3</v>
      </c>
      <c r="CR870" s="135">
        <f t="shared" si="1566"/>
        <v>2.9295719123563727E-2</v>
      </c>
      <c r="CS870" s="135">
        <f t="shared" si="1569"/>
        <v>1.6356630056588387E-2</v>
      </c>
      <c r="CT870" s="135">
        <f t="shared" si="1570"/>
        <v>3.5270373279175926E-3</v>
      </c>
      <c r="CU870" s="139">
        <f t="shared" si="1560"/>
        <v>0.85150049999999999</v>
      </c>
      <c r="CV870" s="335">
        <f t="shared" si="1561"/>
        <v>1.3194352816994324</v>
      </c>
      <c r="CW870" s="335">
        <f t="shared" si="1562"/>
        <v>0.33177530017152673</v>
      </c>
      <c r="CX870" s="335">
        <f t="shared" si="1563"/>
        <v>0.78242572977668579</v>
      </c>
      <c r="CY870" s="335">
        <f t="shared" si="1564"/>
        <v>0.34251158643433932</v>
      </c>
      <c r="CZ870" s="336">
        <f>INDEX('State Tax Lookup'!$D$7:$Z$91,MATCH(Calculation!$C870,'State Tax Lookup'!$B$7:$B$91,0),MATCH($H870,'State Tax Lookup'!$D$6:$Z$6,0))</f>
        <v>0.40134999999999998</v>
      </c>
      <c r="DA870" s="302">
        <v>0.37</v>
      </c>
      <c r="DB870" s="57">
        <f t="shared" si="1567"/>
        <v>15.713255226503179</v>
      </c>
      <c r="DC870" s="56">
        <f t="shared" si="1571"/>
        <v>-2.5260241608255969E-2</v>
      </c>
      <c r="DD870" s="303">
        <f>VLOOKUP($H870,RoR!$E:$F,2,FALSE)</f>
        <v>3.8866666666666674E-2</v>
      </c>
      <c r="DE870" s="304">
        <f>HLOOKUP($H870,'GDP-PI'!$D$8:$CQ$11,3,FALSE)</f>
        <v>9.5709475431029478E-3</v>
      </c>
      <c r="DF870" s="303">
        <f>VLOOKUP(H870,'HW Dx Data'!$E:$F,2,FALSE)</f>
        <v>675.61463308665782</v>
      </c>
      <c r="DG870" s="364">
        <f ca="1">VLOOKUP(CC870,'ECI - Input Price'!M$13:N$33,2,FALSE)</f>
        <v>133.5</v>
      </c>
      <c r="DH870" s="364"/>
      <c r="DI870" s="364"/>
      <c r="DJ870" s="56">
        <f t="shared" ca="1" si="1579"/>
        <v>3.1193095773504077E-2</v>
      </c>
      <c r="DK870" s="53">
        <f>HLOOKUP(H870,'GDP-PI'!$8:$9,2,FALSE)</f>
        <v>104.639</v>
      </c>
      <c r="DL870" s="355">
        <f t="shared" si="1572"/>
        <v>9.5254361854427965E-3</v>
      </c>
      <c r="EC870"/>
    </row>
    <row r="871" spans="1:133" s="126" customFormat="1" ht="21" customHeight="1" x14ac:dyDescent="0.4">
      <c r="A871" s="233" t="s">
        <v>232</v>
      </c>
      <c r="B871" s="127" t="s">
        <v>233</v>
      </c>
      <c r="C871" s="127">
        <v>4057135</v>
      </c>
      <c r="D871" s="127" t="s">
        <v>214</v>
      </c>
      <c r="E871" s="127"/>
      <c r="F871" s="127"/>
      <c r="G871" s="127" t="s">
        <v>172</v>
      </c>
      <c r="H871" s="128">
        <v>2016</v>
      </c>
      <c r="I871" s="129"/>
      <c r="J871" s="125">
        <f>IFERROR(INDEX('Labor Expenditures'!$E$7:$W$91,MATCH($C871,'Labor Expenditures'!$C$7:$C$91,0),MATCH($G871,'Labor Expenditures'!$E$5:$W$5,0)),"NA")</f>
        <v>153902.12940365064</v>
      </c>
      <c r="K871" s="125">
        <f t="shared" ca="1" si="1573"/>
        <v>1123.7833472336667</v>
      </c>
      <c r="L871" s="47"/>
      <c r="M871" s="131">
        <f t="shared" ca="1" si="1580"/>
        <v>0.11868684884863411</v>
      </c>
      <c r="N871" s="131"/>
      <c r="O871" s="131"/>
      <c r="P871" s="59">
        <f t="shared" ca="1" si="1582"/>
        <v>5.7485884197332991E-3</v>
      </c>
      <c r="Q871" s="61"/>
      <c r="R871" s="387"/>
      <c r="S871" s="49">
        <f t="shared" ca="1" si="1587"/>
        <v>296.07979685379917</v>
      </c>
      <c r="T871" s="61">
        <f ca="1">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</f>
        <v>0.91397826689395667</v>
      </c>
      <c r="U871" s="61"/>
      <c r="V871" s="125">
        <f>IFERROR(INDEX('Non-Labor Expenditures'!$E$7:$AA$91,MATCH($C871,'Non-Labor Expenditures'!$C$7:$C$91,0),MATCH($G871,'Non-Labor Expenditures'!$E$5:$AA$5,0)),"NA")</f>
        <v>222879.02832919447</v>
      </c>
      <c r="W871" s="125">
        <f t="shared" si="1574"/>
        <v>2107.8821624536058</v>
      </c>
      <c r="X871" s="131">
        <f t="shared" si="1583"/>
        <v>0.1337721763502121</v>
      </c>
      <c r="Y871" s="131">
        <f t="shared" si="1584"/>
        <v>6.4792451001044497E-3</v>
      </c>
      <c r="Z871" s="131"/>
      <c r="AA871" s="131"/>
      <c r="AB871" s="131"/>
      <c r="AC871" s="125">
        <f t="shared" si="1554"/>
        <v>121253.25121216285</v>
      </c>
      <c r="AD871" s="129"/>
      <c r="AE871" s="133">
        <v>8751.8557468740819</v>
      </c>
      <c r="AF871" s="134">
        <v>3.3127660797464369E-2</v>
      </c>
      <c r="AG871" s="59">
        <f t="shared" si="1575"/>
        <v>1.6045357095631416E-3</v>
      </c>
      <c r="AH871" s="134"/>
      <c r="AI871" s="134"/>
      <c r="AJ871" s="129">
        <f t="shared" si="1588"/>
        <v>498034.40894500795</v>
      </c>
      <c r="AK871" s="134">
        <f t="shared" si="1585"/>
        <v>0.11545182083032289</v>
      </c>
      <c r="AL871" s="129"/>
      <c r="AM871" s="129"/>
      <c r="AN871" s="129"/>
      <c r="AO871" s="129"/>
      <c r="AP871" s="133">
        <f t="shared" si="1586"/>
        <v>588.99879363524087</v>
      </c>
      <c r="AQ871" s="134">
        <f>+BB871/Outputs!$B$24</f>
        <v>2.3008854518174922E-2</v>
      </c>
      <c r="AR871" s="93">
        <f t="shared" si="1576"/>
        <v>0.30901906904316773</v>
      </c>
      <c r="AS871" s="93">
        <f t="shared" si="1577"/>
        <v>0.4475173287751778</v>
      </c>
      <c r="AT871" s="93">
        <f t="shared" si="1578"/>
        <v>0.24346360218165453</v>
      </c>
      <c r="AU871" s="93">
        <f t="shared" ca="1" si="1581"/>
        <v>0.10359437644206007</v>
      </c>
      <c r="AV871" s="132">
        <f t="shared" ca="1" si="1590"/>
        <v>124.01193392733916</v>
      </c>
      <c r="AW871" s="134">
        <f t="shared" ca="1" si="1591"/>
        <v>0.10359437644206</v>
      </c>
      <c r="AX871" s="56">
        <f>+AJ871/$AL$21</f>
        <v>4.8434923291835769E-2</v>
      </c>
      <c r="AY871" s="135">
        <f t="shared" ca="1" si="1589"/>
        <v>5.0175856764367345E-3</v>
      </c>
      <c r="AZ871" s="93"/>
      <c r="BA871" s="93"/>
      <c r="BB871" s="234">
        <f>IFERROR(INDEX('Total Customers'!$E$7:$AA$91,MATCH($C871,'Total Customers'!$C$7:$C$91,0),MATCH($G871,'Total Customers'!$E$5:$AA$5,0)),"NA")</f>
        <v>845561</v>
      </c>
      <c r="BC871" s="269">
        <f t="shared" si="1546"/>
        <v>1.2653621099486373E-2</v>
      </c>
      <c r="BD871" s="92"/>
      <c r="BE871" s="299" t="str">
        <f t="shared" si="1537"/>
        <v>PEOPLES GAS LIGHT AND COKE COMPANY</v>
      </c>
      <c r="BF871" s="300">
        <f t="shared" si="1538"/>
        <v>4057135</v>
      </c>
      <c r="BG871" s="231" t="str">
        <f t="shared" si="1539"/>
        <v>WI</v>
      </c>
      <c r="BH871" s="231"/>
      <c r="BI871" s="231" t="str">
        <f t="shared" si="1540"/>
        <v>2016 Y</v>
      </c>
      <c r="BJ871" s="129"/>
      <c r="BK871" s="129"/>
      <c r="BL871" s="129">
        <f>INDEX('Dist. Plant Gas Additions'!$E$7:$AD$91,MATCH($C871,'Dist. Plant Gas Additions'!$C$7:$C$91,0),MATCH(Calculation!$G871,'Dist. Plant Gas Additions'!$E$5:$AD$5,0))</f>
        <v>229083</v>
      </c>
      <c r="BM871" s="129">
        <f>INDEX('Gen. Plant Additions'!$E$7:$AD$91,MATCH($C871,'Gen. Plant Additions'!$C$7:$C$91,0),MATCH(Calculation!$G871,'Gen. Plant Additions'!$E$5:$AD$5,0))</f>
        <v>9407</v>
      </c>
      <c r="BN871" s="301">
        <f t="shared" si="1555"/>
        <v>0.97389601654639291</v>
      </c>
      <c r="BO871" s="231">
        <f t="shared" si="1504"/>
        <v>9161.4398276519187</v>
      </c>
      <c r="BP871" s="231">
        <f t="shared" si="1505"/>
        <v>-245.56017234808132</v>
      </c>
      <c r="BQ871" s="129">
        <f>INDEX('Dist Plant Depreciation'!$D$7:$AC$94,MATCH($C871,'Dist Plant Depreciation'!$C$7:$C$94,0),MATCH(Calculation!$G871,'Dist Plant Depreciation'!$D$5:$AC$5,0))</f>
        <v>954359</v>
      </c>
      <c r="BR871" s="129">
        <f>INDEX('Gen. Plant Depreciation'!$D$7:$AC$94,MATCH($C871,'Gen. Plant Depreciation'!$C$7:$C$94,0),MATCH(Calculation!$G871,'Gen. Plant Depreciation'!$D$5:$AC$5,0))</f>
        <v>41884</v>
      </c>
      <c r="BS871" s="129"/>
      <c r="BT871" s="129"/>
      <c r="BU871" s="129"/>
      <c r="BV871" s="129"/>
      <c r="BW871" s="129"/>
      <c r="BX871" s="137"/>
      <c r="BY871" s="129">
        <f>INDEX('Gross Dx Plant'!$D$7:$AC$91,MATCH($C871,'Gross Dx Plant'!$C$7:$C$91,0),MATCH(Calculation!$G871,'Gross Dx Plant'!$D$5:$AC$5,0))</f>
        <v>3508438</v>
      </c>
      <c r="BZ871" s="129">
        <f>INDEX('Gross Gen Plant'!$D$7:$AC$91,MATCH($C871,'Gross Gen Plant'!$C$7:$C$91,0),MATCH(Calculation!$G871,'Gross Gen Plant'!$D$5:$AC$5,0))</f>
        <v>94039</v>
      </c>
      <c r="CA871" s="129">
        <f t="shared" si="1526"/>
        <v>2606234</v>
      </c>
      <c r="CB871" s="129"/>
      <c r="CC871" s="133">
        <v>2016</v>
      </c>
      <c r="CD871" s="129"/>
      <c r="CE871" s="129"/>
      <c r="CF871" s="129"/>
      <c r="CG871" s="137"/>
      <c r="CH871" s="129">
        <f t="shared" si="1556"/>
        <v>238490</v>
      </c>
      <c r="CI871" s="46">
        <f t="shared" si="1565"/>
        <v>238244.43982765192</v>
      </c>
      <c r="CJ871" s="231">
        <f t="shared" si="1557"/>
        <v>354.81744161844779</v>
      </c>
      <c r="CK871" s="443">
        <v>0.7857142857142857</v>
      </c>
      <c r="CL871" s="231">
        <f>+CL853*CK871+CJ854*CK870+CJ855*CK869+CJ856*CK868+CJ857*CK867+CJ858*CK866+CJ859*CK865+CJ860*CK864+CJ861*CK863+CJ862*CK862+CJ863*CK861+CJ864*CK860+CJ865*CK859+CJ866*CK858+CJ867*CK857+CJ868*CK856+CJ869*CK855+CJ870*CK854+CJ871</f>
        <v>8113.8032438463815</v>
      </c>
      <c r="CM871" s="134">
        <f t="shared" si="1558"/>
        <v>2.9587739074456321E-2</v>
      </c>
      <c r="CN871" s="135">
        <f t="shared" si="1559"/>
        <v>1.5013502848748349E-2</v>
      </c>
      <c r="CO871" s="135">
        <f t="shared" si="1568"/>
        <v>1.4778358493407482E-2</v>
      </c>
      <c r="CP871" s="134">
        <f>VLOOKUP($H871,RoR!$E:$F,2,FALSE)</f>
        <v>3.6658333333333334E-2</v>
      </c>
      <c r="CQ871" s="135">
        <v>1.0483662879041455E-2</v>
      </c>
      <c r="CR871" s="135">
        <f t="shared" si="1566"/>
        <v>2.6174670454291879E-2</v>
      </c>
      <c r="CS871" s="135">
        <f t="shared" si="1569"/>
        <v>1.6123583115126142E-2</v>
      </c>
      <c r="CT871" s="135">
        <f t="shared" si="1570"/>
        <v>4.301363574220729E-3</v>
      </c>
      <c r="CU871" s="139">
        <f t="shared" si="1560"/>
        <v>0.85150049999999999</v>
      </c>
      <c r="CV871" s="335">
        <f t="shared" si="1561"/>
        <v>1.3989193348138562</v>
      </c>
      <c r="CW871" s="335">
        <f t="shared" si="1562"/>
        <v>0.29302682427824522</v>
      </c>
      <c r="CX871" s="335">
        <f t="shared" si="1563"/>
        <v>0.76309497491941802</v>
      </c>
      <c r="CY871" s="335">
        <f t="shared" si="1564"/>
        <v>0.31280857135128509</v>
      </c>
      <c r="CZ871" s="336">
        <f>INDEX('State Tax Lookup'!$D$7:$Z$91,MATCH(Calculation!$C871,'State Tax Lookup'!$B$7:$B$91,0),MATCH($H871,'State Tax Lookup'!$D$6:$Z$6,0))</f>
        <v>0.40134999999999998</v>
      </c>
      <c r="DA871" s="302">
        <v>0.37</v>
      </c>
      <c r="DB871" s="57">
        <f t="shared" si="1567"/>
        <v>15.392838474504597</v>
      </c>
      <c r="DC871" s="56">
        <f t="shared" si="1571"/>
        <v>-2.0602270957014716E-2</v>
      </c>
      <c r="DD871" s="303">
        <f>VLOOKUP($H871,RoR!$E:$F,2,FALSE)</f>
        <v>3.6658333333333334E-2</v>
      </c>
      <c r="DE871" s="304">
        <f>HLOOKUP($H871,'GDP-PI'!$D$8:$CQ$11,3,FALSE)</f>
        <v>1.0483662879041455E-2</v>
      </c>
      <c r="DF871" s="303">
        <f>VLOOKUP(H871,'HW Dx Data'!$E:$F,2,FALSE)</f>
        <v>671.45639385971219</v>
      </c>
      <c r="DG871" s="364">
        <f ca="1">VLOOKUP(CC871,'ECI - Input Price'!M$13:N$33,2,FALSE)</f>
        <v>136.94999999999999</v>
      </c>
      <c r="DH871" s="364"/>
      <c r="DI871" s="364"/>
      <c r="DJ871" s="56">
        <f t="shared" ca="1" si="1579"/>
        <v>2.5514417868782811E-2</v>
      </c>
      <c r="DK871" s="53">
        <f>HLOOKUP(H871,'GDP-PI'!$8:$9,2,FALSE)</f>
        <v>105.736</v>
      </c>
      <c r="DL871" s="355">
        <f t="shared" si="1572"/>
        <v>1.0429090367205095E-2</v>
      </c>
      <c r="EC871"/>
    </row>
    <row r="872" spans="1:133" s="126" customFormat="1" ht="21" customHeight="1" x14ac:dyDescent="0.4">
      <c r="A872" s="233" t="s">
        <v>232</v>
      </c>
      <c r="B872" s="127" t="s">
        <v>233</v>
      </c>
      <c r="C872" s="127">
        <v>4057135</v>
      </c>
      <c r="D872" s="127" t="s">
        <v>214</v>
      </c>
      <c r="E872" s="127"/>
      <c r="F872" s="127"/>
      <c r="G872" s="127" t="s">
        <v>173</v>
      </c>
      <c r="H872" s="128">
        <v>2017</v>
      </c>
      <c r="I872" s="129"/>
      <c r="J872" s="125">
        <f>IFERROR(INDEX('Labor Expenditures'!$E$7:$W$91,MATCH($C872,'Labor Expenditures'!$C$7:$C$91,0),MATCH($G872,'Labor Expenditures'!$E$5:$W$5,0)),"NA")</f>
        <v>124827.45666933454</v>
      </c>
      <c r="K872" s="125">
        <f t="shared" ca="1" si="1573"/>
        <v>888.76793641391635</v>
      </c>
      <c r="L872" s="47"/>
      <c r="M872" s="131">
        <f t="shared" ca="1" si="1580"/>
        <v>-0.23462009777035547</v>
      </c>
      <c r="N872" s="131"/>
      <c r="O872" s="131"/>
      <c r="P872" s="59">
        <f t="shared" ca="1" si="1582"/>
        <v>-9.5294718638199803E-3</v>
      </c>
      <c r="Q872" s="61"/>
      <c r="R872" s="387"/>
      <c r="S872" s="49">
        <f t="shared" ca="1" si="1587"/>
        <v>164.81609656971932</v>
      </c>
      <c r="T872" s="61">
        <f ca="1">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</f>
        <v>-0.58579871589278354</v>
      </c>
      <c r="U872" s="61"/>
      <c r="V872" s="125">
        <f>IFERROR(INDEX('Non-Labor Expenditures'!$E$7:$AA$91,MATCH($C872,'Non-Labor Expenditures'!$C$7:$C$91,0),MATCH($G872,'Non-Labor Expenditures'!$E$5:$AA$5,0)),"NA")</f>
        <v>180773.47181010456</v>
      </c>
      <c r="W872" s="125">
        <f t="shared" si="1574"/>
        <v>1677.6964650917814</v>
      </c>
      <c r="X872" s="131">
        <f t="shared" si="1583"/>
        <v>-0.22826202815693541</v>
      </c>
      <c r="Y872" s="131">
        <f t="shared" si="1584"/>
        <v>-9.2712286610207063E-3</v>
      </c>
      <c r="Z872" s="131"/>
      <c r="AA872" s="131"/>
      <c r="AB872" s="131"/>
      <c r="AC872" s="125">
        <f t="shared" si="1554"/>
        <v>111902.32359776529</v>
      </c>
      <c r="AD872" s="129"/>
      <c r="AE872" s="133">
        <v>9184.8972154691073</v>
      </c>
      <c r="AF872" s="134">
        <v>4.8294764887872529E-2</v>
      </c>
      <c r="AG872" s="59">
        <f t="shared" si="1575"/>
        <v>1.9615693947039694E-3</v>
      </c>
      <c r="AH872" s="134"/>
      <c r="AI872" s="134"/>
      <c r="AJ872" s="129">
        <f t="shared" si="1588"/>
        <v>417503.25207720441</v>
      </c>
      <c r="AK872" s="134">
        <f t="shared" si="1585"/>
        <v>-0.17637683523778772</v>
      </c>
      <c r="AL872" s="129"/>
      <c r="AM872" s="129"/>
      <c r="AN872" s="129"/>
      <c r="AO872" s="129"/>
      <c r="AP872" s="133">
        <f t="shared" si="1586"/>
        <v>493.1179600751239</v>
      </c>
      <c r="AQ872" s="134">
        <f>+BB872/Outputs!$B$25</f>
        <v>2.2865665927613719E-2</v>
      </c>
      <c r="AR872" s="93">
        <f t="shared" si="1576"/>
        <v>0.29898559124576957</v>
      </c>
      <c r="AS872" s="93">
        <f t="shared" si="1577"/>
        <v>0.43298697892939059</v>
      </c>
      <c r="AT872" s="93">
        <f t="shared" si="1578"/>
        <v>0.26802742982483979</v>
      </c>
      <c r="AU872" s="93">
        <f t="shared" ca="1" si="1581"/>
        <v>-0.15946673639318826</v>
      </c>
      <c r="AV872" s="132">
        <f t="shared" ca="1" si="1590"/>
        <v>105.73236744660289</v>
      </c>
      <c r="AW872" s="134">
        <f t="shared" ca="1" si="1591"/>
        <v>-0.15946673639318826</v>
      </c>
      <c r="AX872" s="56">
        <f>+AJ872/$AL$22</f>
        <v>4.0616605117722526E-2</v>
      </c>
      <c r="AY872" s="135">
        <f t="shared" ca="1" si="1589"/>
        <v>-6.476997461494079E-3</v>
      </c>
      <c r="AZ872" s="93"/>
      <c r="BA872" s="93"/>
      <c r="BB872" s="234">
        <f>IFERROR(INDEX('Total Customers'!$E$7:$AA$91,MATCH($C872,'Total Customers'!$C$7:$C$91,0),MATCH($G872,'Total Customers'!$E$5:$AA$5,0)),"NA")</f>
        <v>846660</v>
      </c>
      <c r="BC872" s="269">
        <f t="shared" si="1546"/>
        <v>1.2988849027525395E-3</v>
      </c>
      <c r="BD872" s="92"/>
      <c r="BE872" s="299" t="str">
        <f t="shared" si="1537"/>
        <v>PEOPLES GAS LIGHT AND COKE COMPANY</v>
      </c>
      <c r="BF872" s="300">
        <f t="shared" si="1538"/>
        <v>4057135</v>
      </c>
      <c r="BG872" s="231" t="str">
        <f t="shared" si="1539"/>
        <v>WI</v>
      </c>
      <c r="BH872" s="231"/>
      <c r="BI872" s="231" t="str">
        <f t="shared" si="1540"/>
        <v>2017 Y</v>
      </c>
      <c r="BJ872" s="129"/>
      <c r="BK872" s="129"/>
      <c r="BL872" s="129">
        <f>INDEX('Dist. Plant Gas Additions'!$E$7:$AD$91,MATCH($C872,'Dist. Plant Gas Additions'!$C$7:$C$91,0),MATCH(Calculation!$G872,'Dist. Plant Gas Additions'!$E$5:$AD$5,0))</f>
        <v>355876</v>
      </c>
      <c r="BM872" s="129">
        <f>INDEX('Gen. Plant Additions'!$E$7:$AD$91,MATCH($C872,'Gen. Plant Additions'!$C$7:$C$91,0),MATCH(Calculation!$G872,'Gen. Plant Additions'!$E$5:$AD$5,0))</f>
        <v>5681</v>
      </c>
      <c r="BN872" s="301">
        <f t="shared" si="1555"/>
        <v>0.97543562041540244</v>
      </c>
      <c r="BO872" s="231">
        <f t="shared" si="1504"/>
        <v>5541.4497595799012</v>
      </c>
      <c r="BP872" s="231">
        <f t="shared" si="1505"/>
        <v>-139.55024042009882</v>
      </c>
      <c r="BQ872" s="129">
        <f>INDEX('Dist Plant Depreciation'!$D$7:$AC$94,MATCH($C872,'Dist Plant Depreciation'!$C$7:$C$94,0),MATCH(Calculation!$G872,'Dist Plant Depreciation'!$D$5:$AC$5,0))</f>
        <v>1015905</v>
      </c>
      <c r="BR872" s="129">
        <f>INDEX('Gen. Plant Depreciation'!$D$7:$AC$94,MATCH($C872,'Gen. Plant Depreciation'!$C$7:$C$94,0),MATCH(Calculation!$G872,'Gen. Plant Depreciation'!$D$5:$AC$5,0))</f>
        <v>44651</v>
      </c>
      <c r="BS872" s="129"/>
      <c r="BT872" s="129"/>
      <c r="BU872" s="129"/>
      <c r="BV872" s="129"/>
      <c r="BW872" s="129"/>
      <c r="BX872" s="137"/>
      <c r="BY872" s="129">
        <f>INDEX('Gross Dx Plant'!$D$7:$AC$91,MATCH($C872,'Gross Dx Plant'!$C$7:$C$91,0),MATCH(Calculation!$G872,'Gross Dx Plant'!$D$5:$AC$5,0))</f>
        <v>3826155</v>
      </c>
      <c r="BZ872" s="129">
        <f>INDEX('Gross Gen Plant'!$D$7:$AC$91,MATCH($C872,'Gross Gen Plant'!$C$7:$C$91,0),MATCH(Calculation!$G872,'Gross Gen Plant'!$D$5:$AC$5,0))</f>
        <v>96354</v>
      </c>
      <c r="CA872" s="129">
        <f t="shared" si="1526"/>
        <v>2861953</v>
      </c>
      <c r="CB872" s="129"/>
      <c r="CC872" s="133">
        <v>2017</v>
      </c>
      <c r="CD872" s="129"/>
      <c r="CE872" s="129"/>
      <c r="CF872" s="129"/>
      <c r="CG872" s="137"/>
      <c r="CH872" s="129">
        <f t="shared" si="1556"/>
        <v>361557</v>
      </c>
      <c r="CI872" s="46">
        <f t="shared" si="1565"/>
        <v>361417.4497595799</v>
      </c>
      <c r="CJ872" s="231">
        <f t="shared" si="1557"/>
        <v>507.30340981181843</v>
      </c>
      <c r="CK872" s="443">
        <v>0.77108433734939763</v>
      </c>
      <c r="CL872" s="231">
        <f>+CL853*CK872+CJ854*CK871+CJ855*CK870+CJ856*CK869+CJ857*CK868+CJ858*CK867+CJ859*CK866+CJ860*CK865+CJ861*CK864+CJ862*CK863+CJ863*CK862+CJ864*CK861+CJ865*CK860+CJ866*CK859+CJ867*CK858+CJ868*CK857+CJ869*CK856+CJ870*CK855+CJ871*CK854+CJ872</f>
        <v>8496.6015866676098</v>
      </c>
      <c r="CM872" s="134">
        <f t="shared" si="1558"/>
        <v>4.609955469750375E-2</v>
      </c>
      <c r="CN872" s="135">
        <f t="shared" si="1559"/>
        <v>1.5344846707370735E-2</v>
      </c>
      <c r="CO872" s="135">
        <f t="shared" si="1568"/>
        <v>1.505236634186561E-2</v>
      </c>
      <c r="CP872" s="134">
        <f>VLOOKUP($H872,RoR!$E:$F,2,FALSE)</f>
        <v>3.7433333333333339E-2</v>
      </c>
      <c r="CQ872" s="135">
        <v>1.9056896421275615E-2</v>
      </c>
      <c r="CR872" s="135">
        <f t="shared" si="1566"/>
        <v>1.8376436912057724E-2</v>
      </c>
      <c r="CS872" s="135">
        <f t="shared" si="1569"/>
        <v>1.5849575266668015E-2</v>
      </c>
      <c r="CT872" s="135">
        <f t="shared" si="1570"/>
        <v>1.3976271617800498E-2</v>
      </c>
      <c r="CU872" s="139">
        <f t="shared" si="1560"/>
        <v>0.90330050000000006</v>
      </c>
      <c r="CV872" s="335">
        <f t="shared" si="1561"/>
        <v>1.3699568463593395</v>
      </c>
      <c r="CW872" s="335">
        <f t="shared" si="1562"/>
        <v>0.30714603739982199</v>
      </c>
      <c r="CX872" s="335">
        <f t="shared" si="1563"/>
        <v>0.77007188472689425</v>
      </c>
      <c r="CY872" s="335">
        <f t="shared" si="1564"/>
        <v>0.32402839633793828</v>
      </c>
      <c r="CZ872" s="336">
        <f>INDEX('State Tax Lookup'!$D$7:$Z$91,MATCH(Calculation!$C872,'State Tax Lookup'!$B$7:$B$91,0),MATCH($H872,'State Tax Lookup'!$D$6:$Z$6,0))</f>
        <v>0.26134999999999997</v>
      </c>
      <c r="DA872" s="302">
        <v>0.37</v>
      </c>
      <c r="DB872" s="57">
        <f t="shared" si="1567"/>
        <v>13.791599356643697</v>
      </c>
      <c r="DC872" s="56">
        <f t="shared" si="1571"/>
        <v>-0.10984270260244504</v>
      </c>
      <c r="DD872" s="303">
        <f>VLOOKUP($H872,RoR!$E:$F,2,FALSE)</f>
        <v>3.7433333333333339E-2</v>
      </c>
      <c r="DE872" s="304">
        <f>HLOOKUP($H872,'GDP-PI'!$D$8:$CQ$11,3,FALSE)</f>
        <v>1.9056896421275615E-2</v>
      </c>
      <c r="DF872" s="303">
        <f>VLOOKUP(H872,'HW Dx Data'!$E:$F,2,FALSE)</f>
        <v>712.42858370229726</v>
      </c>
      <c r="DG872" s="364">
        <f ca="1">VLOOKUP(CC872,'ECI - Input Price'!M$13:N$33,2,FALSE)</f>
        <v>140.44999999999999</v>
      </c>
      <c r="DH872" s="364"/>
      <c r="DI872" s="364"/>
      <c r="DJ872" s="56">
        <f t="shared" ca="1" si="1579"/>
        <v>2.5235657841165486E-2</v>
      </c>
      <c r="DK872" s="53">
        <f>HLOOKUP(H872,'GDP-PI'!$8:$9,2,FALSE)</f>
        <v>107.751</v>
      </c>
      <c r="DL872" s="355">
        <f t="shared" si="1572"/>
        <v>1.8877588227745139E-2</v>
      </c>
      <c r="EC872"/>
    </row>
    <row r="873" spans="1:133" s="126" customFormat="1" ht="21" customHeight="1" x14ac:dyDescent="0.4">
      <c r="A873" s="233" t="s">
        <v>232</v>
      </c>
      <c r="B873" s="127" t="s">
        <v>233</v>
      </c>
      <c r="C873" s="127">
        <v>4057135</v>
      </c>
      <c r="D873" s="127" t="s">
        <v>214</v>
      </c>
      <c r="E873" s="127"/>
      <c r="F873" s="127"/>
      <c r="G873" s="127" t="s">
        <v>174</v>
      </c>
      <c r="H873" s="128">
        <v>2018</v>
      </c>
      <c r="I873" s="129"/>
      <c r="J873" s="125">
        <f>IFERROR(INDEX('Labor Expenditures'!$E$7:$W$91,MATCH($C873,'Labor Expenditures'!$C$7:$C$91,0),MATCH($G873,'Labor Expenditures'!$E$5:$W$5,0)),"NA")</f>
        <v>137354.20216691581</v>
      </c>
      <c r="K873" s="125">
        <f t="shared" ca="1" si="1573"/>
        <v>950.87713511191293</v>
      </c>
      <c r="L873" s="47"/>
      <c r="M873" s="131">
        <f t="shared" ca="1" si="1580"/>
        <v>6.7548696200181835E-2</v>
      </c>
      <c r="N873" s="131"/>
      <c r="O873" s="131"/>
      <c r="P873" s="59">
        <f t="shared" ca="1" si="1582"/>
        <v>2.7812048921108143E-3</v>
      </c>
      <c r="Q873" s="61"/>
      <c r="R873" s="387"/>
      <c r="S873" s="49">
        <f t="shared" ca="1" si="1587"/>
        <v>113.74081384704594</v>
      </c>
      <c r="T873" s="61">
        <f ca="1">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</f>
        <v>-0.37090798888418736</v>
      </c>
      <c r="U873" s="61"/>
      <c r="V873" s="125">
        <f>IFERROR(INDEX('Non-Labor Expenditures'!$E$7:$AA$91,MATCH($C873,'Non-Labor Expenditures'!$C$7:$C$91,0),MATCH($G873,'Non-Labor Expenditures'!$E$5:$AA$5,0)),"NA")</f>
        <v>198914.53896392783</v>
      </c>
      <c r="W873" s="125">
        <f t="shared" si="1574"/>
        <v>1803.0360124356685</v>
      </c>
      <c r="X873" s="131">
        <f t="shared" si="1583"/>
        <v>7.2050216845664886E-2</v>
      </c>
      <c r="Y873" s="131">
        <f t="shared" si="1584"/>
        <v>2.966547495971784E-3</v>
      </c>
      <c r="Z873" s="131"/>
      <c r="AA873" s="131"/>
      <c r="AB873" s="131"/>
      <c r="AC873" s="125">
        <f t="shared" si="1554"/>
        <v>121905.9308595781</v>
      </c>
      <c r="AD873" s="129"/>
      <c r="AE873" s="133">
        <v>9600.21183688372</v>
      </c>
      <c r="AF873" s="134">
        <v>4.4224636444873074E-2</v>
      </c>
      <c r="AG873" s="59">
        <f t="shared" si="1575"/>
        <v>1.8208756371521514E-3</v>
      </c>
      <c r="AH873" s="134"/>
      <c r="AI873" s="134"/>
      <c r="AJ873" s="129">
        <f t="shared" si="1588"/>
        <v>458174.67199042172</v>
      </c>
      <c r="AK873" s="134">
        <f t="shared" si="1585"/>
        <v>9.2958157632059391E-2</v>
      </c>
      <c r="AL873" s="129"/>
      <c r="AM873" s="129"/>
      <c r="AN873" s="129"/>
      <c r="AO873" s="129"/>
      <c r="AP873" s="133">
        <f t="shared" si="1586"/>
        <v>530.71613803369542</v>
      </c>
      <c r="AQ873" s="134">
        <f>+BB873/Outputs!$B$26</f>
        <v>2.3111245177181911E-2</v>
      </c>
      <c r="AR873" s="93">
        <f t="shared" si="1576"/>
        <v>0.29978567250392935</v>
      </c>
      <c r="AS873" s="93">
        <f t="shared" si="1577"/>
        <v>0.43414564602577205</v>
      </c>
      <c r="AT873" s="93">
        <f t="shared" si="1578"/>
        <v>0.26606868147029872</v>
      </c>
      <c r="AU873" s="93">
        <f t="shared" ca="1" si="1581"/>
        <v>6.3271759099522706E-2</v>
      </c>
      <c r="AV873" s="132">
        <f t="shared" ca="1" si="1590"/>
        <v>112.63841546148977</v>
      </c>
      <c r="AW873" s="134">
        <f t="shared" ca="1" si="1591"/>
        <v>6.3271759099522693E-2</v>
      </c>
      <c r="AX873" s="56">
        <f>+AJ873/$AL$23</f>
        <v>4.1173331959933931E-2</v>
      </c>
      <c r="AY873" s="135">
        <f t="shared" ca="1" si="1589"/>
        <v>2.6051091410936181E-3</v>
      </c>
      <c r="AZ873" s="93"/>
      <c r="BA873" s="93"/>
      <c r="BB873" s="234">
        <f>IFERROR(INDEX('Total Customers'!$E$7:$AA$91,MATCH($C873,'Total Customers'!$C$7:$C$91,0),MATCH($G873,'Total Customers'!$E$5:$AA$5,0)),"NA")</f>
        <v>863314</v>
      </c>
      <c r="BC873" s="269">
        <f t="shared" si="1546"/>
        <v>1.9479274654610173E-2</v>
      </c>
      <c r="BD873" s="92"/>
      <c r="BE873" s="299" t="str">
        <f t="shared" si="1537"/>
        <v>PEOPLES GAS LIGHT AND COKE COMPANY</v>
      </c>
      <c r="BF873" s="300">
        <f t="shared" si="1538"/>
        <v>4057135</v>
      </c>
      <c r="BG873" s="231" t="str">
        <f t="shared" si="1539"/>
        <v>WI</v>
      </c>
      <c r="BH873" s="231"/>
      <c r="BI873" s="231" t="str">
        <f t="shared" si="1540"/>
        <v>2018 Y</v>
      </c>
      <c r="BJ873" s="129"/>
      <c r="BK873" s="129"/>
      <c r="BL873" s="129">
        <f>INDEX('Dist. Plant Gas Additions'!$E$7:$AD$91,MATCH($C873,'Dist. Plant Gas Additions'!$C$7:$C$91,0),MATCH(Calculation!$G873,'Dist. Plant Gas Additions'!$E$5:$AD$5,0))</f>
        <v>352003</v>
      </c>
      <c r="BM873" s="129">
        <f>INDEX('Gen. Plant Additions'!$E$7:$AD$91,MATCH($C873,'Gen. Plant Additions'!$C$7:$C$91,0),MATCH(Calculation!$G873,'Gen. Plant Additions'!$E$5:$AD$5,0))</f>
        <v>21938</v>
      </c>
      <c r="BN873" s="301">
        <f t="shared" si="1555"/>
        <v>0.97345560289469624</v>
      </c>
      <c r="BO873" s="231">
        <f t="shared" si="1504"/>
        <v>21355.669016303847</v>
      </c>
      <c r="BP873" s="231">
        <f t="shared" si="1505"/>
        <v>-582.33098369615254</v>
      </c>
      <c r="BQ873" s="129">
        <f>INDEX('Dist Plant Depreciation'!$D$7:$AC$94,MATCH($C873,'Dist Plant Depreciation'!$C$7:$C$94,0),MATCH(Calculation!$G873,'Dist Plant Depreciation'!$D$5:$AC$5,0))</f>
        <v>1103891</v>
      </c>
      <c r="BR873" s="129">
        <f>INDEX('Gen. Plant Depreciation'!$D$7:$AC$94,MATCH($C873,'Gen. Plant Depreciation'!$C$7:$C$94,0),MATCH(Calculation!$G873,'Gen. Plant Depreciation'!$D$5:$AC$5,0))</f>
        <v>45419</v>
      </c>
      <c r="BS873" s="129"/>
      <c r="BT873" s="129"/>
      <c r="BU873" s="129"/>
      <c r="BV873" s="129"/>
      <c r="BW873" s="129"/>
      <c r="BX873" s="137"/>
      <c r="BY873" s="129">
        <f>INDEX('Gross Dx Plant'!$D$7:$AC$91,MATCH($C873,'Gross Dx Plant'!$C$7:$C$91,0),MATCH(Calculation!$G873,'Gross Dx Plant'!$D$5:$AC$5,0))</f>
        <v>4021752</v>
      </c>
      <c r="BZ873" s="129">
        <f>INDEX('Gross Gen Plant'!$D$7:$AC$91,MATCH($C873,'Gross Gen Plant'!$C$7:$C$91,0),MATCH(Calculation!$G873,'Gross Gen Plant'!$D$5:$AC$5,0))</f>
        <v>109666</v>
      </c>
      <c r="CA873" s="129">
        <f t="shared" si="1526"/>
        <v>2982108</v>
      </c>
      <c r="CB873" s="129"/>
      <c r="CC873" s="133">
        <v>2018</v>
      </c>
      <c r="CD873" s="129"/>
      <c r="CE873" s="129"/>
      <c r="CF873" s="129"/>
      <c r="CG873" s="137"/>
      <c r="CH873" s="129">
        <f t="shared" si="1556"/>
        <v>373941</v>
      </c>
      <c r="CI873" s="46">
        <f t="shared" si="1565"/>
        <v>373358.66901630384</v>
      </c>
      <c r="CJ873" s="231">
        <f t="shared" si="1557"/>
        <v>494.42526356536649</v>
      </c>
      <c r="CK873" s="443">
        <v>0.75609756097560976</v>
      </c>
      <c r="CL873" s="231">
        <f>+CL853*CK873++CJ854*CK872+CJ855*CK871+CJ856*CK870+CJ857*CK869+CJ858*CK868+CJ859*CK867+CJ860*CK866+CJ861*CK865+CJ862*CK864+CJ863*CK863+CJ864*CK862+CJ865*CK861+CJ866*CK860+CJ867*CK859+CJ868*CK858+CJ869*CK857+CJ870*CK856+CJ871*CK855+CJ872*CK854+CJ873</f>
        <v>8858.6060010615365</v>
      </c>
      <c r="CM873" s="134">
        <f t="shared" si="1558"/>
        <v>4.1723145798656991E-2</v>
      </c>
      <c r="CN873" s="135">
        <f t="shared" si="1559"/>
        <v>1.5585154584537322E-2</v>
      </c>
      <c r="CO873" s="135">
        <f t="shared" si="1568"/>
        <v>1.5314501380218802E-2</v>
      </c>
      <c r="CP873" s="134">
        <f>VLOOKUP($H873,RoR!$E:$F,2,FALSE)</f>
        <v>3.9299999999999995E-2</v>
      </c>
      <c r="CQ873" s="135">
        <v>2.386056741932796E-2</v>
      </c>
      <c r="CR873" s="135">
        <f t="shared" si="1566"/>
        <v>1.5439432580672034E-2</v>
      </c>
      <c r="CS873" s="135">
        <f t="shared" si="1569"/>
        <v>1.5587440228314823E-2</v>
      </c>
      <c r="CT873" s="135">
        <f t="shared" si="1570"/>
        <v>3.8270792163076606E-2</v>
      </c>
      <c r="CU873" s="139">
        <f t="shared" si="1560"/>
        <v>0.90330050000000006</v>
      </c>
      <c r="CV873" s="335">
        <f t="shared" si="1561"/>
        <v>1.3048868010700074</v>
      </c>
      <c r="CW873" s="335">
        <f t="shared" si="1562"/>
        <v>0.33886768447837151</v>
      </c>
      <c r="CX873" s="335">
        <f t="shared" si="1563"/>
        <v>0.78602506232557801</v>
      </c>
      <c r="CY873" s="335">
        <f t="shared" si="1564"/>
        <v>0.34756768162358759</v>
      </c>
      <c r="CZ873" s="336">
        <f>INDEX('State Tax Lookup'!$D$7:$Z$91,MATCH(Calculation!$C873,'State Tax Lookup'!$B$7:$B$91,0),MATCH($H873,'State Tax Lookup'!$D$6:$Z$6,0))</f>
        <v>0.26134999999999997</v>
      </c>
      <c r="DA873" s="302">
        <v>0.37</v>
      </c>
      <c r="DB873" s="57">
        <f t="shared" si="1567"/>
        <v>14.347610584785574</v>
      </c>
      <c r="DC873" s="56">
        <f t="shared" si="1571"/>
        <v>3.952375403814045E-2</v>
      </c>
      <c r="DD873" s="303">
        <f>VLOOKUP($H873,RoR!$E:$F,2,FALSE)</f>
        <v>3.9299999999999995E-2</v>
      </c>
      <c r="DE873" s="304">
        <f>HLOOKUP($H873,'GDP-PI'!$D$8:$CQ$11,3,FALSE)</f>
        <v>2.386056741932796E-2</v>
      </c>
      <c r="DF873" s="303">
        <f>VLOOKUP(H873,'HW Dx Data'!$E:$F,2,FALSE)</f>
        <v>755.13671434174842</v>
      </c>
      <c r="DG873" s="364">
        <f ca="1">VLOOKUP(CC873,'ECI - Input Price'!M$13:N$33,2,FALSE)</f>
        <v>144.44999999999999</v>
      </c>
      <c r="DH873" s="364"/>
      <c r="DI873" s="364"/>
      <c r="DJ873" s="56">
        <f t="shared" ca="1" si="1579"/>
        <v>2.80818733619915E-2</v>
      </c>
      <c r="DK873" s="53">
        <f>HLOOKUP(H873,'GDP-PI'!$8:$9,2,FALSE)</f>
        <v>110.322</v>
      </c>
      <c r="DL873" s="355">
        <f t="shared" si="1572"/>
        <v>2.3580352716508712E-2</v>
      </c>
      <c r="EC873"/>
    </row>
    <row r="874" spans="1:133" s="126" customFormat="1" ht="21" customHeight="1" x14ac:dyDescent="0.4">
      <c r="A874" s="233" t="s">
        <v>232</v>
      </c>
      <c r="B874" s="127" t="s">
        <v>233</v>
      </c>
      <c r="C874" s="127">
        <v>4057135</v>
      </c>
      <c r="D874" s="127" t="s">
        <v>214</v>
      </c>
      <c r="E874" s="127"/>
      <c r="F874" s="127"/>
      <c r="G874" s="127" t="s">
        <v>175</v>
      </c>
      <c r="H874" s="128">
        <v>2019</v>
      </c>
      <c r="I874" s="129"/>
      <c r="J874" s="125">
        <f>IFERROR(INDEX('Labor Expenditures'!$E$7:$W$91,MATCH($C874,'Labor Expenditures'!$C$7:$C$91,0),MATCH($G874,'Labor Expenditures'!$E$5:$W$5,0)),"NA")</f>
        <v>128836.84035805496</v>
      </c>
      <c r="K874" s="125">
        <f t="shared" ca="1" si="1573"/>
        <v>860.77728650779989</v>
      </c>
      <c r="L874" s="47"/>
      <c r="M874" s="131">
        <f t="shared" ca="1" si="1580"/>
        <v>-9.9549056165497987E-2</v>
      </c>
      <c r="N874" s="131"/>
      <c r="O874" s="131"/>
      <c r="P874" s="59">
        <f t="shared" ca="1" si="1582"/>
        <v>-3.8723190757609309E-3</v>
      </c>
      <c r="Q874" s="61"/>
      <c r="R874" s="387"/>
      <c r="S874" s="49">
        <f t="shared" ca="1" si="1587"/>
        <v>112.61213652023157</v>
      </c>
      <c r="T874" s="61">
        <f ca="1">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</f>
        <v>-9.9728029126212869E-3</v>
      </c>
      <c r="U874" s="61"/>
      <c r="V874" s="125">
        <f>IFERROR(INDEX('Non-Labor Expenditures'!$E$7:$AA$91,MATCH($C874,'Non-Labor Expenditures'!$C$7:$C$91,0),MATCH($G874,'Non-Labor Expenditures'!$E$5:$AA$5,0)),"NA")</f>
        <v>186579.80824094889</v>
      </c>
      <c r="W874" s="125">
        <f t="shared" si="1574"/>
        <v>1661.1745957099386</v>
      </c>
      <c r="X874" s="131">
        <f t="shared" si="1583"/>
        <v>-8.1946977717727923E-2</v>
      </c>
      <c r="Y874" s="131">
        <f t="shared" si="1584"/>
        <v>-3.1876228388320292E-3</v>
      </c>
      <c r="Z874" s="131"/>
      <c r="AA874" s="131"/>
      <c r="AB874" s="131"/>
      <c r="AC874" s="125">
        <f t="shared" si="1554"/>
        <v>127759.50625088644</v>
      </c>
      <c r="AD874" s="129"/>
      <c r="AE874" s="133">
        <v>10070.738306315803</v>
      </c>
      <c r="AF874" s="134">
        <v>4.7848856880206715E-2</v>
      </c>
      <c r="AG874" s="59">
        <f t="shared" si="1575"/>
        <v>1.8612536209539285E-3</v>
      </c>
      <c r="AH874" s="134"/>
      <c r="AI874" s="134"/>
      <c r="AJ874" s="129">
        <f t="shared" si="1588"/>
        <v>443176.15484989027</v>
      </c>
      <c r="AK874" s="134">
        <f t="shared" si="1585"/>
        <v>-3.3283159547429997E-2</v>
      </c>
      <c r="AL874" s="129"/>
      <c r="AM874" s="129"/>
      <c r="AN874" s="129"/>
      <c r="AO874" s="129"/>
      <c r="AP874" s="133">
        <f t="shared" si="1586"/>
        <v>511.69580501157532</v>
      </c>
      <c r="AQ874" s="134">
        <f>+BB874/Outputs!$B$27</f>
        <v>2.2994423866880935E-2</v>
      </c>
      <c r="AR874" s="93">
        <f t="shared" si="1576"/>
        <v>0.29071248294415508</v>
      </c>
      <c r="AS874" s="93">
        <f t="shared" si="1577"/>
        <v>0.42100597290516673</v>
      </c>
      <c r="AT874" s="93">
        <f t="shared" si="1578"/>
        <v>0.28828154415067819</v>
      </c>
      <c r="AU874" s="93">
        <f t="shared" ca="1" si="1581"/>
        <v>-5.1167800048444234E-2</v>
      </c>
      <c r="AV874" s="132">
        <f t="shared" ca="1" si="1590"/>
        <v>107.01992424039504</v>
      </c>
      <c r="AW874" s="134">
        <f t="shared" ca="1" si="1591"/>
        <v>-5.1167800048444234E-2</v>
      </c>
      <c r="AX874" s="56">
        <f>+AJ874/$AL$24</f>
        <v>3.8898601603246652E-2</v>
      </c>
      <c r="AY874" s="135">
        <f t="shared" ca="1" si="1589"/>
        <v>-1.9903558689990169E-3</v>
      </c>
      <c r="AZ874" s="93"/>
      <c r="BA874" s="93"/>
      <c r="BB874" s="234">
        <f>IFERROR(INDEX('Total Customers'!$E$7:$AA$91,MATCH($C874,'Total Customers'!$C$7:$C$91,0),MATCH($G874,'Total Customers'!$E$5:$AA$5,0)),"NA")</f>
        <v>866093</v>
      </c>
      <c r="BC874" s="269">
        <f t="shared" si="1546"/>
        <v>3.2138211444061081E-3</v>
      </c>
      <c r="BD874" s="92"/>
      <c r="BE874" s="299" t="str">
        <f t="shared" si="1537"/>
        <v>PEOPLES GAS LIGHT AND COKE COMPANY</v>
      </c>
      <c r="BF874" s="300">
        <f t="shared" si="1538"/>
        <v>4057135</v>
      </c>
      <c r="BG874" s="231" t="str">
        <f t="shared" si="1539"/>
        <v>WI</v>
      </c>
      <c r="BH874" s="231"/>
      <c r="BI874" s="231" t="str">
        <f t="shared" si="1540"/>
        <v>2019 Y</v>
      </c>
      <c r="BJ874" s="129"/>
      <c r="BK874" s="129"/>
      <c r="BL874" s="129">
        <f>INDEX('Dist. Plant Gas Additions'!$E$7:$AD$91,MATCH($C874,'Dist. Plant Gas Additions'!$C$7:$C$91,0),MATCH(Calculation!$G874,'Dist. Plant Gas Additions'!$E$5:$AD$5,0))</f>
        <v>414285</v>
      </c>
      <c r="BM874" s="129">
        <f>INDEX('Gen. Plant Additions'!$E$7:$AD$91,MATCH($C874,'Gen. Plant Additions'!$C$7:$C$91,0),MATCH(Calculation!$G874,'Gen. Plant Additions'!$E$5:$AD$5,0))</f>
        <v>15820</v>
      </c>
      <c r="BN874" s="301">
        <f t="shared" si="1555"/>
        <v>0.97442500239561591</v>
      </c>
      <c r="BO874" s="231">
        <f t="shared" si="1504"/>
        <v>15415.403537898645</v>
      </c>
      <c r="BP874" s="231">
        <f t="shared" si="1505"/>
        <v>-404.59646210135543</v>
      </c>
      <c r="BQ874" s="129">
        <f>INDEX('Dist Plant Depreciation'!$D$7:$AC$94,MATCH($C874,'Dist Plant Depreciation'!$C$7:$C$94,0),MATCH(Calculation!$G874,'Dist Plant Depreciation'!$D$5:$AC$5,0))</f>
        <v>1175936</v>
      </c>
      <c r="BR874" s="129">
        <f>INDEX('Gen. Plant Depreciation'!$D$7:$AC$94,MATCH($C874,'Gen. Plant Depreciation'!$C$7:$C$94,0),MATCH(Calculation!$G874,'Gen. Plant Depreciation'!$D$5:$AC$5,0))</f>
        <v>44152</v>
      </c>
      <c r="BS874" s="129"/>
      <c r="BT874" s="129"/>
      <c r="BU874" s="129"/>
      <c r="BV874" s="129"/>
      <c r="BW874" s="129"/>
      <c r="BX874" s="137"/>
      <c r="BY874" s="129">
        <f>INDEX('Gross Dx Plant'!$D$7:$AC$91,MATCH($C874,'Gross Dx Plant'!$C$7:$C$91,0),MATCH(Calculation!$G874,'Gross Dx Plant'!$D$5:$AC$5,0))</f>
        <v>4403106</v>
      </c>
      <c r="BZ874" s="129">
        <f>INDEX('Gross Gen Plant'!$D$7:$AC$91,MATCH($C874,'Gross Gen Plant'!$C$7:$C$91,0),MATCH(Calculation!$G874,'Gross Gen Plant'!$D$5:$AC$5,0))</f>
        <v>115565</v>
      </c>
      <c r="CA874" s="129">
        <f t="shared" si="1526"/>
        <v>3298583</v>
      </c>
      <c r="CB874" s="129"/>
      <c r="CC874" s="133">
        <v>2019</v>
      </c>
      <c r="CD874" s="129"/>
      <c r="CE874" s="129"/>
      <c r="CF874" s="129"/>
      <c r="CG874" s="137"/>
      <c r="CH874" s="129">
        <f t="shared" si="1556"/>
        <v>430105</v>
      </c>
      <c r="CI874" s="46">
        <f t="shared" si="1565"/>
        <v>429700.40353789867</v>
      </c>
      <c r="CJ874" s="231">
        <f t="shared" si="1557"/>
        <v>555.49912549054363</v>
      </c>
      <c r="CK874" s="443">
        <v>0.7407407407407407</v>
      </c>
      <c r="CL874" s="231">
        <f>CL853*CK874+CJ854*CK873+CJ855*CK872+CJ856*CK871+CJ857*CK870+CJ858*CK869+CJ859*CK868+CJ860*CK867+CJ861*CK866+CJ862*CK865+CJ863*CK864+CJ864*CK863+CJ865*CK862+CJ866*CK861+CJ867*CK860+CJ868*CK859+CJ869*CK858+CJ870*CK857+CJ871*CK856+CJ872*CK855+CJ873*CK854+CJ874</f>
        <v>9273.6930337456433</v>
      </c>
      <c r="CM874" s="134">
        <f t="shared" si="1558"/>
        <v>4.5792269745607919E-2</v>
      </c>
      <c r="CN874" s="135">
        <f t="shared" si="1559"/>
        <v>1.5850359840996548E-2</v>
      </c>
      <c r="CO874" s="135">
        <f t="shared" si="1568"/>
        <v>1.5593453710968201E-2</v>
      </c>
      <c r="CP874" s="134">
        <f>VLOOKUP($H874,RoR!$E:$F,2,FALSE)</f>
        <v>3.3875000000000009E-2</v>
      </c>
      <c r="CQ874" s="135">
        <v>1.8092492884465461E-2</v>
      </c>
      <c r="CR874" s="135">
        <f t="shared" si="1566"/>
        <v>1.5782507115534548E-2</v>
      </c>
      <c r="CS874" s="135">
        <f t="shared" si="1569"/>
        <v>1.5308487897565424E-2</v>
      </c>
      <c r="CT874" s="135">
        <f t="shared" si="1570"/>
        <v>4.8445665544254078E-2</v>
      </c>
      <c r="CU874" s="139">
        <f t="shared" si="1560"/>
        <v>0.90330050000000006</v>
      </c>
      <c r="CV874" s="335">
        <f t="shared" si="1561"/>
        <v>1.513861292459078</v>
      </c>
      <c r="CW874" s="335">
        <f t="shared" si="1562"/>
        <v>0.23699261992619944</v>
      </c>
      <c r="CX874" s="335">
        <f t="shared" si="1563"/>
        <v>0.73619765810468829</v>
      </c>
      <c r="CY874" s="335">
        <f t="shared" si="1564"/>
        <v>0.26412854465362851</v>
      </c>
      <c r="CZ874" s="336">
        <f>INDEX('State Tax Lookup'!$D$7:$Z$91,MATCH(Calculation!$C874,'State Tax Lookup'!$B$7:$B$91,0),MATCH($H874,'State Tax Lookup'!$D$6:$Z$6,0))</f>
        <v>0.26134999999999997</v>
      </c>
      <c r="DA874" s="302">
        <v>0.37</v>
      </c>
      <c r="DB874" s="57">
        <f t="shared" si="1567"/>
        <v>14.422077947204885</v>
      </c>
      <c r="DC874" s="56">
        <f t="shared" si="1571"/>
        <v>5.1768046527559449E-3</v>
      </c>
      <c r="DD874" s="303">
        <f>VLOOKUP($H874,RoR!$E:$F,2,FALSE)</f>
        <v>3.3875000000000009E-2</v>
      </c>
      <c r="DE874" s="304">
        <f>HLOOKUP($H874,'GDP-PI'!$D$8:$CQ$11,3,FALSE)</f>
        <v>1.8092492884465461E-2</v>
      </c>
      <c r="DF874" s="303">
        <f>VLOOKUP(H874,'HW Dx Data'!$E:$F,2,FALSE)</f>
        <v>773.53929793938721</v>
      </c>
      <c r="DG874" s="364">
        <f ca="1">VLOOKUP(CC874,'ECI - Input Price'!M$13:N$33,2,FALSE)</f>
        <v>149.67500000000001</v>
      </c>
      <c r="DH874" s="364"/>
      <c r="DI874" s="364"/>
      <c r="DJ874" s="56">
        <f t="shared" ca="1" si="1579"/>
        <v>3.5532849899171604E-2</v>
      </c>
      <c r="DK874" s="53">
        <f>HLOOKUP(H874,'GDP-PI'!$8:$9,2,FALSE)</f>
        <v>112.318</v>
      </c>
      <c r="DL874" s="355">
        <f t="shared" si="1572"/>
        <v>1.7930771451401852E-2</v>
      </c>
      <c r="EC874"/>
    </row>
    <row r="875" spans="1:133" s="126" customFormat="1" ht="21" customHeight="1" x14ac:dyDescent="0.4">
      <c r="A875" s="233" t="s">
        <v>232</v>
      </c>
      <c r="B875" s="126" t="s">
        <v>233</v>
      </c>
      <c r="C875" s="126">
        <v>4057135</v>
      </c>
      <c r="D875" s="126" t="s">
        <v>214</v>
      </c>
      <c r="G875" s="127" t="s">
        <v>176</v>
      </c>
      <c r="H875" s="128">
        <v>2020</v>
      </c>
      <c r="I875" s="129"/>
      <c r="J875" s="125">
        <f>IFERROR(INDEX('Labor Expenditures'!$E$7:$W$91,MATCH($C875,'Labor Expenditures'!$C$7:$C$91,0),MATCH($G875,'Labor Expenditures'!$E$5:$W$5,0)),"NA")</f>
        <v>108314.16272068916</v>
      </c>
      <c r="K875" s="125">
        <f t="shared" ca="1" si="1573"/>
        <v>707.24232922421913</v>
      </c>
      <c r="L875" s="47"/>
      <c r="M875" s="131">
        <f t="shared" ca="1" si="1580"/>
        <v>-0.19646243836305236</v>
      </c>
      <c r="N875" s="131"/>
      <c r="O875" s="131"/>
      <c r="P875" s="59">
        <f t="shared" ca="1" si="1582"/>
        <v>-6.8331205667298833E-3</v>
      </c>
      <c r="Q875" s="61"/>
      <c r="R875" s="387"/>
      <c r="S875" s="49">
        <f t="shared" ca="1" si="1587"/>
        <v>113.52433518725404</v>
      </c>
      <c r="T875" s="61">
        <f ca="1">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</f>
        <v>8.0677266069561788E-3</v>
      </c>
      <c r="U875" s="61"/>
      <c r="V875" s="125">
        <f>IFERROR(INDEX('Non-Labor Expenditures'!$E$7:$AA$91,MATCH($C875,'Non-Labor Expenditures'!$C$7:$C$91,0),MATCH($G875,'Non-Labor Expenditures'!$E$5:$AA$5,0)),"NA")</f>
        <v>156859.13791459746</v>
      </c>
      <c r="W875" s="125">
        <f t="shared" si="1574"/>
        <v>1380.5227631254011</v>
      </c>
      <c r="X875" s="131">
        <f t="shared" si="1583"/>
        <v>-0.18506269862707678</v>
      </c>
      <c r="Y875" s="131">
        <f t="shared" si="1584"/>
        <v>-6.4366285110763989E-3</v>
      </c>
      <c r="Z875" s="131"/>
      <c r="AA875" s="131"/>
      <c r="AB875" s="131"/>
      <c r="AC875" s="125">
        <f t="shared" si="1554"/>
        <v>138356.85636640515</v>
      </c>
      <c r="AD875" s="129"/>
      <c r="AE875" s="133">
        <v>10666.852023529473</v>
      </c>
      <c r="AF875" s="134">
        <v>5.7506969733929679E-2</v>
      </c>
      <c r="AG875" s="59">
        <f t="shared" si="1575"/>
        <v>2.0001383516022177E-3</v>
      </c>
      <c r="AH875" s="134"/>
      <c r="AI875" s="134"/>
      <c r="AJ875" s="129">
        <f t="shared" si="1588"/>
        <v>403530.15700169175</v>
      </c>
      <c r="AK875" s="134">
        <f t="shared" si="1585"/>
        <v>-9.371610829247505E-2</v>
      </c>
      <c r="AL875" s="129"/>
      <c r="AM875" s="129"/>
      <c r="AN875" s="129"/>
      <c r="AO875" s="129"/>
      <c r="AP875" s="133">
        <f t="shared" si="1586"/>
        <v>463.28247786707573</v>
      </c>
      <c r="AQ875" s="134">
        <f>+BB875/Outputs!$B$28</f>
        <v>2.2962038785162883E-2</v>
      </c>
      <c r="AR875" s="93">
        <f t="shared" si="1576"/>
        <v>0.26841652560860541</v>
      </c>
      <c r="AS875" s="93">
        <f t="shared" si="1577"/>
        <v>0.38871726237288345</v>
      </c>
      <c r="AT875" s="93">
        <f t="shared" si="1578"/>
        <v>0.3428662120185112</v>
      </c>
      <c r="AU875" s="93">
        <f t="shared" ca="1" si="1581"/>
        <v>-0.11170101026486774</v>
      </c>
      <c r="AV875" s="132">
        <f t="shared" ca="1" si="1590"/>
        <v>95.709160484264132</v>
      </c>
      <c r="AW875" s="134">
        <f t="shared" ca="1" si="1591"/>
        <v>-0.1117010102648678</v>
      </c>
      <c r="AX875" s="56">
        <f>+AJ875/$AL$25</f>
        <v>3.478079893370066E-2</v>
      </c>
      <c r="AY875" s="135">
        <f t="shared" ca="1" si="1589"/>
        <v>-3.8850503787136005E-3</v>
      </c>
      <c r="AZ875" s="93"/>
      <c r="BA875" s="93"/>
      <c r="BB875" s="234">
        <f>IFERROR(INDEX('Total Customers'!$E$7:$AA$91,MATCH($C875,'Total Customers'!$C$7:$C$91,0),MATCH($G875,'Total Customers'!$E$5:$AA$5,0)),"NA")</f>
        <v>871024</v>
      </c>
      <c r="BC875" s="269">
        <f t="shared" si="1546"/>
        <v>5.6772379111602843E-3</v>
      </c>
      <c r="BD875" s="92"/>
      <c r="BE875" s="299" t="str">
        <f t="shared" si="1537"/>
        <v>PEOPLES GAS LIGHT AND COKE COMPANY</v>
      </c>
      <c r="BF875" s="300">
        <f t="shared" si="1538"/>
        <v>4057135</v>
      </c>
      <c r="BG875" s="231" t="str">
        <f t="shared" si="1539"/>
        <v>WI</v>
      </c>
      <c r="BH875" s="231"/>
      <c r="BI875" s="231" t="str">
        <f t="shared" si="1540"/>
        <v>2020 Y</v>
      </c>
      <c r="BJ875" s="129"/>
      <c r="BK875" s="129"/>
      <c r="BL875" s="129">
        <f>INDEX('Dist. Plant Gas Additions'!$E$7:$AD$91,MATCH($C875,'Dist. Plant Gas Additions'!$C$7:$C$91,0),MATCH(Calculation!$G875,'Dist. Plant Gas Additions'!$E$5:$AD$5,0))</f>
        <v>534562</v>
      </c>
      <c r="BM875" s="129">
        <f>INDEX('Gen. Plant Additions'!$E$7:$AD$91,MATCH($C875,'Gen. Plant Additions'!$C$7:$C$91,0),MATCH(Calculation!$G875,'Gen. Plant Additions'!$E$5:$AD$5,0))</f>
        <v>24669</v>
      </c>
      <c r="BN875" s="301">
        <f t="shared" si="1555"/>
        <v>0.97355615069619306</v>
      </c>
      <c r="BO875" s="231">
        <f t="shared" si="1504"/>
        <v>24016.656681524386</v>
      </c>
      <c r="BP875" s="231">
        <f t="shared" si="1505"/>
        <v>-652.34331847561407</v>
      </c>
      <c r="BQ875" s="129">
        <f>INDEX('Dist Plant Depreciation'!$D$7:$AC$94,MATCH($C875,'Dist Plant Depreciation'!$C$7:$C$94,0),MATCH(Calculation!$G875,'Dist Plant Depreciation'!$D$5:$AC$5,0))</f>
        <v>1239365</v>
      </c>
      <c r="BR875" s="129">
        <f>INDEX('Gen. Plant Depreciation'!$D$7:$AC$94,MATCH($C875,'Gen. Plant Depreciation'!$C$7:$C$94,0),MATCH(Calculation!$G875,'Gen. Plant Depreciation'!$D$5:$AC$5,0))</f>
        <v>46257</v>
      </c>
      <c r="BS875" s="129"/>
      <c r="BT875" s="129"/>
      <c r="BU875" s="129"/>
      <c r="BV875" s="129"/>
      <c r="BW875" s="129"/>
      <c r="BX875" s="137"/>
      <c r="BY875" s="129">
        <f>INDEX('Gross Dx Plant'!$D$7:$AC$91,MATCH($C875,'Gross Dx Plant'!$C$7:$C$91,0),MATCH(Calculation!$G875,'Gross Dx Plant'!$D$5:$AC$5,0))</f>
        <v>4889714</v>
      </c>
      <c r="BZ875" s="129">
        <f>INDEX('Gross Gen Plant'!$D$7:$AC$91,MATCH($C875,'Gross Gen Plant'!$C$7:$C$91,0),MATCH(Calculation!$G875,'Gross Gen Plant'!$D$5:$AC$5,0))</f>
        <v>132815</v>
      </c>
      <c r="CA875" s="129">
        <f t="shared" si="1526"/>
        <v>3736907</v>
      </c>
      <c r="CB875" s="129"/>
      <c r="CC875" s="133">
        <v>2020</v>
      </c>
      <c r="CD875" s="129"/>
      <c r="CE875" s="129"/>
      <c r="CF875" s="129"/>
      <c r="CG875" s="137"/>
      <c r="CH875" s="129">
        <f t="shared" si="1556"/>
        <v>559231</v>
      </c>
      <c r="CI875" s="46">
        <f t="shared" si="1565"/>
        <v>558578.65668152436</v>
      </c>
      <c r="CJ875" s="231">
        <f t="shared" si="1557"/>
        <v>686.99088044692724</v>
      </c>
      <c r="CK875" s="443">
        <v>0.72499999999999998</v>
      </c>
      <c r="CL875" s="231">
        <f>CL853*CK875+CJ854*CK874+CJ855*CK873+CJ856*CK872+CJ857*CK871+CJ858*CK870+CJ859*CK869+CJ860*CK868+CJ861*CK867+CJ862*CK866+CJ863*CK865+CJ864*CK864+CJ865*CK863+CJ866*CK862+CJ867*CK861+CJ868*CK860+CJ869*CK859+CJ870*CK858+CJ871*CK857+CJ872*CK856+CJ873*CK855+CJ874*CK854+CJ875</f>
        <v>9811.4675005428853</v>
      </c>
      <c r="CM875" s="134">
        <f t="shared" si="1558"/>
        <v>5.6370168936948691E-2</v>
      </c>
      <c r="CN875" s="135">
        <f t="shared" si="1559"/>
        <v>1.609029036293395E-2</v>
      </c>
      <c r="CO875" s="135">
        <f t="shared" si="1568"/>
        <v>1.5841934929489276E-2</v>
      </c>
      <c r="CP875" s="134">
        <f>VLOOKUP($H875,RoR!$E:$F,2,FALSE)</f>
        <v>2.4766666666666666E-2</v>
      </c>
      <c r="CQ875" s="135">
        <v>1.1618796630994188E-2</v>
      </c>
      <c r="CR875" s="135">
        <f t="shared" si="1566"/>
        <v>1.3147870035672478E-2</v>
      </c>
      <c r="CS875" s="135">
        <f t="shared" si="1569"/>
        <v>1.5060006679044349E-2</v>
      </c>
      <c r="CT875" s="135">
        <f t="shared" si="1570"/>
        <v>4.5144642961987357E-2</v>
      </c>
      <c r="CU875" s="139">
        <f t="shared" si="1560"/>
        <v>0.90330050000000006</v>
      </c>
      <c r="CV875" s="335">
        <f t="shared" si="1561"/>
        <v>2.0706077233668081</v>
      </c>
      <c r="CW875" s="335">
        <f t="shared" si="1562"/>
        <v>-3.4421265141318998E-2</v>
      </c>
      <c r="CX875" s="335">
        <f t="shared" si="1563"/>
        <v>0.62416226176410472</v>
      </c>
      <c r="CY875" s="335">
        <f t="shared" si="1564"/>
        <v>-4.4485877841158712E-2</v>
      </c>
      <c r="CZ875" s="336">
        <f>INDEX('State Tax Lookup'!$D$7:$Z$91,MATCH(Calculation!$C875,'State Tax Lookup'!$B$7:$B$91,0),MATCH($H875,'State Tax Lookup'!$D$6:$Z$6,0))</f>
        <v>0.26134999999999997</v>
      </c>
      <c r="DA875" s="302">
        <v>0.37</v>
      </c>
      <c r="DB875" s="57">
        <f t="shared" si="1567"/>
        <v>14.919283597477762</v>
      </c>
      <c r="DC875" s="56">
        <f t="shared" si="1571"/>
        <v>3.3894354144900746E-2</v>
      </c>
      <c r="DD875" s="303">
        <f>VLOOKUP($H875,RoR!$E:$F,2,FALSE)</f>
        <v>2.4766666666666666E-2</v>
      </c>
      <c r="DE875" s="304">
        <f>HLOOKUP($H875,'GDP-PI'!$D$8:$CQ$11,3,FALSE)</f>
        <v>1.1618796630994188E-2</v>
      </c>
      <c r="DF875" s="303">
        <f>VLOOKUP(H875,'HW Dx Data'!$E:$F,2,FALSE)</f>
        <v>813.080162458833</v>
      </c>
      <c r="DG875" s="364">
        <f ca="1">VLOOKUP(CC875,'ECI - Input Price'!M$13:N$33,2,FALSE)</f>
        <v>153.15</v>
      </c>
      <c r="DH875" s="364"/>
      <c r="DI875" s="364"/>
      <c r="DJ875" s="56">
        <f t="shared" ca="1" si="1579"/>
        <v>2.2951556467368479E-2</v>
      </c>
      <c r="DK875" s="53">
        <f>HLOOKUP(H875,'GDP-PI'!$8:$9,2,FALSE)</f>
        <v>113.623</v>
      </c>
      <c r="DL875" s="355">
        <f t="shared" si="1572"/>
        <v>1.1551816731392881E-2</v>
      </c>
      <c r="EC875"/>
    </row>
    <row r="876" spans="1:133" s="126" customFormat="1" ht="21" customHeight="1" x14ac:dyDescent="0.4">
      <c r="A876" s="233" t="s">
        <v>232</v>
      </c>
      <c r="B876" s="126" t="s">
        <v>233</v>
      </c>
      <c r="C876" s="126">
        <v>4057135</v>
      </c>
      <c r="D876" s="126" t="s">
        <v>214</v>
      </c>
      <c r="G876" s="127" t="s">
        <v>177</v>
      </c>
      <c r="H876" s="128">
        <v>2021</v>
      </c>
      <c r="I876" s="129"/>
      <c r="J876" s="125">
        <v>127782.05061886803</v>
      </c>
      <c r="K876" s="125">
        <f t="shared" ca="1" si="1573"/>
        <v>812.60445544590164</v>
      </c>
      <c r="L876" s="47"/>
      <c r="M876" s="130">
        <f t="shared" ca="1" si="1580"/>
        <v>0.13887110228502564</v>
      </c>
      <c r="N876" s="130"/>
      <c r="O876" s="130"/>
      <c r="P876" s="59">
        <f t="shared" ca="1" si="1582"/>
        <v>3.7782856119290861E-3</v>
      </c>
      <c r="Q876" s="61"/>
      <c r="R876" s="387"/>
      <c r="S876" s="132">
        <f ca="1">+S875*EXP(T876)</f>
        <v>115.21430820799422</v>
      </c>
      <c r="T876" s="134">
        <f ca="1">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</f>
        <v>1.4776722867873078E-2</v>
      </c>
      <c r="U876" s="134"/>
      <c r="V876" s="125">
        <v>180126.50508924772</v>
      </c>
      <c r="W876" s="125">
        <f t="shared" si="1574"/>
        <v>1520.1831807684</v>
      </c>
      <c r="X876" s="131">
        <f t="shared" si="1583"/>
        <v>9.6368599964173352E-2</v>
      </c>
      <c r="Y876" s="131">
        <f t="shared" si="1584"/>
        <v>2.6219140533577196E-3</v>
      </c>
      <c r="Z876" s="131"/>
      <c r="AA876" s="131"/>
      <c r="AB876" s="131"/>
      <c r="AC876" s="125">
        <f t="shared" si="1554"/>
        <v>41571.93002916815</v>
      </c>
      <c r="AD876" s="129"/>
      <c r="AE876" s="133">
        <v>10605.881681424602</v>
      </c>
      <c r="AF876" s="134"/>
      <c r="AG876" s="59">
        <f t="shared" si="1575"/>
        <v>0</v>
      </c>
      <c r="AH876" s="134"/>
      <c r="AI876" s="134"/>
      <c r="AJ876" s="129">
        <f t="shared" si="1588"/>
        <v>349480.48573728389</v>
      </c>
      <c r="AK876" s="134">
        <f t="shared" si="1585"/>
        <v>-0.14380349814449256</v>
      </c>
      <c r="AL876" s="129"/>
      <c r="AM876" s="134"/>
      <c r="AN876" s="134"/>
      <c r="AO876" s="134"/>
      <c r="AP876" s="133">
        <f t="shared" si="1586"/>
        <v>398.33735956232175</v>
      </c>
      <c r="AQ876" s="134">
        <f>+BB876/Outputs!$B$29</f>
        <v>2.2725528080135938E-2</v>
      </c>
      <c r="AR876" s="93">
        <f t="shared" si="1576"/>
        <v>0.36563429385561186</v>
      </c>
      <c r="AS876" s="93">
        <f t="shared" si="1577"/>
        <v>0.51541219736273003</v>
      </c>
      <c r="AT876" s="93">
        <f t="shared" si="1578"/>
        <v>0.11895350878165814</v>
      </c>
      <c r="AU876" s="93">
        <f t="shared" ca="1" si="1581"/>
        <v>8.7590513212402576E-2</v>
      </c>
      <c r="AV876" s="132">
        <f t="shared" ca="1" si="1590"/>
        <v>104.47047837754661</v>
      </c>
      <c r="AW876" s="134">
        <f t="shared" ca="1" si="1591"/>
        <v>8.7590513212402576E-2</v>
      </c>
      <c r="AX876" s="56">
        <f>+AJ876/$AL$26</f>
        <v>2.7207140648846825E-2</v>
      </c>
      <c r="AY876" s="135">
        <f t="shared" ca="1" si="1589"/>
        <v>2.3830874124745132E-3</v>
      </c>
      <c r="AZ876" s="93"/>
      <c r="BA876" s="93"/>
      <c r="BB876" s="234">
        <f>INDEX('Total Customers'!$D$7:$D$91,MATCH(Calculation!$C876,'Total Customers'!$C$7:$C$91,0))</f>
        <v>877348</v>
      </c>
      <c r="BC876" s="269">
        <f t="shared" si="1546"/>
        <v>7.2341899546923627E-3</v>
      </c>
      <c r="BD876" s="91"/>
      <c r="BE876" s="299" t="str">
        <f t="shared" si="1537"/>
        <v>PEOPLES GAS LIGHT AND COKE COMPANY</v>
      </c>
      <c r="BF876" s="300">
        <f t="shared" si="1538"/>
        <v>4057135</v>
      </c>
      <c r="BG876" s="231" t="str">
        <f t="shared" si="1539"/>
        <v>WI</v>
      </c>
      <c r="BH876" s="231"/>
      <c r="BI876" s="231" t="str">
        <f t="shared" si="1540"/>
        <v>2021 Y</v>
      </c>
      <c r="BJ876" s="129"/>
      <c r="BK876" s="129"/>
      <c r="BL876" s="129">
        <f>INDEX('Dist. Plant Gas Additions'!$D$7:$AD$91,MATCH($C876,'Dist. Plant Gas Additions'!$C$7:$C$91,0),MATCH(Calculation!$G876,'Dist. Plant Gas Additions'!$D$5:$AD$5,0))</f>
        <v>338834</v>
      </c>
      <c r="BM876" s="129">
        <f>INDEX('Gen. Plant Additions'!$D$7:$AD$91,MATCH($C876,'Gen. Plant Additions'!$C$7:$C$91,0),MATCH(Calculation!$G876,'Gen. Plant Additions'!$D$5:$AD$5,0))</f>
        <v>11839</v>
      </c>
      <c r="BN876" s="343">
        <v>0.97355615069619306</v>
      </c>
      <c r="BO876" s="231">
        <f t="shared" si="1504"/>
        <v>11525.93126809223</v>
      </c>
      <c r="BP876" s="231">
        <f t="shared" si="1505"/>
        <v>-313.06873190776969</v>
      </c>
      <c r="BQ876" s="129"/>
      <c r="BR876" s="129"/>
      <c r="BS876" s="137"/>
      <c r="BT876" s="137"/>
      <c r="BU876" s="333"/>
      <c r="BV876" s="93"/>
      <c r="BW876" s="334"/>
      <c r="BX876" s="334"/>
      <c r="BY876" s="129"/>
      <c r="BZ876" s="129"/>
      <c r="CA876" s="129"/>
      <c r="CB876" s="129"/>
      <c r="CC876" s="133">
        <v>2021</v>
      </c>
      <c r="CD876" s="129"/>
      <c r="CE876" s="129"/>
      <c r="CF876" s="129"/>
      <c r="CG876" s="137"/>
      <c r="CH876" s="129">
        <f t="shared" si="1556"/>
        <v>350673</v>
      </c>
      <c r="CI876" s="46">
        <f t="shared" si="1565"/>
        <v>350359.93126809224</v>
      </c>
      <c r="CJ876" s="231">
        <f t="shared" si="1557"/>
        <v>375.51069943356958</v>
      </c>
      <c r="CK876" s="443">
        <v>0.70886075949367089</v>
      </c>
      <c r="CL876" s="129">
        <f>CL853*CK876+CJ854*CK875+CJ855*CK874+CJ856*CK873+CJ857*CK872+CJ858*CK871+CJ859*CK870+CJ860*CK869+CJ861*CK868+CJ862*CK867+CJ863*CK866+CJ864*CK865+CJ865*CK864+CJ866*CK863+CJ867*CK862+CJ858*CK861+CJ869*CK860+CJ870*CK859+CJ871*CK858+CJ872*CK857+CJ873*CK856+CJ874*CK855+CJ876+CJ875*CK854</f>
        <v>9702.4316432007545</v>
      </c>
      <c r="CM876" s="134"/>
      <c r="CN876" s="135">
        <f t="shared" si="1559"/>
        <v>4.9385737327152096E-2</v>
      </c>
      <c r="CO876" s="135">
        <f t="shared" si="1568"/>
        <v>2.7108795843694199E-2</v>
      </c>
      <c r="CP876" s="134">
        <f>VLOOKUP($H876,RoR!$E:$F,2,FALSE)</f>
        <v>2.7033333333333336E-2</v>
      </c>
      <c r="CQ876" s="135"/>
      <c r="CR876" s="135"/>
      <c r="CS876" s="135">
        <f t="shared" si="1569"/>
        <v>3.7931457648394257E-3</v>
      </c>
      <c r="CT876" s="135">
        <f t="shared" si="1570"/>
        <v>7.433422950153494E-2</v>
      </c>
      <c r="CU876" s="139">
        <f t="shared" si="1560"/>
        <v>0.90330050000000006</v>
      </c>
      <c r="CV876" s="335">
        <f t="shared" si="1561"/>
        <v>1.8969932656739068</v>
      </c>
      <c r="CW876" s="335">
        <f t="shared" si="1562"/>
        <v>5.0215782983970621E-2</v>
      </c>
      <c r="CX876" s="335">
        <f t="shared" si="1563"/>
        <v>0.655952481704143</v>
      </c>
      <c r="CY876" s="335">
        <f t="shared" si="1564"/>
        <v>6.2485378865697057E-2</v>
      </c>
      <c r="CZ876" s="336">
        <f>CZ875</f>
        <v>0.26134999999999997</v>
      </c>
      <c r="DA876" s="302">
        <v>0.37</v>
      </c>
      <c r="DB876" s="141">
        <f t="shared" si="1567"/>
        <v>4.237075649169495</v>
      </c>
      <c r="DC876" s="135">
        <f>LN(DB877/DB875)</f>
        <v>0.19644248429700217</v>
      </c>
      <c r="DD876" s="336">
        <f>VLOOKUP($H876,RoR!$E:$F,2,FALSE)</f>
        <v>2.7033333333333336E-2</v>
      </c>
      <c r="DE876" s="342">
        <f>HLOOKUP($H876,'GDP-PI'!$D$8:$CR$11,3,FALSE)</f>
        <v>4.2834637353352578E-2</v>
      </c>
      <c r="DF876" s="336">
        <f>VLOOKUP(H876,'HW Dx Data'!$E:$F,2,FALSE)</f>
        <v>933.02249921662576</v>
      </c>
      <c r="DG876" s="364">
        <f ca="1">VLOOKUP(CC876,'ECI - Input Price'!M$13:N$33,2,FALSE)</f>
        <v>157.25</v>
      </c>
      <c r="DH876" s="364"/>
      <c r="DI876" s="364"/>
      <c r="DJ876" s="135">
        <f t="shared" ca="1" si="1579"/>
        <v>2.6419062301765574E-2</v>
      </c>
      <c r="DK876" s="137">
        <f>HLOOKUP(H876,'GDP-PI'!$8:$9,2,FALSE)</f>
        <v>118.49</v>
      </c>
      <c r="DL876" s="356">
        <f t="shared" si="1572"/>
        <v>4.194261824609434E-2</v>
      </c>
      <c r="EC876"/>
    </row>
    <row r="877" spans="1:133" s="126" customFormat="1" ht="21" customHeight="1" thickBot="1" x14ac:dyDescent="0.45">
      <c r="A877" s="235"/>
      <c r="B877" s="236"/>
      <c r="C877" s="236"/>
      <c r="D877" s="236"/>
      <c r="E877" s="236"/>
      <c r="F877" s="236"/>
      <c r="G877" s="237" t="s">
        <v>178</v>
      </c>
      <c r="H877" s="238"/>
      <c r="I877" s="239"/>
      <c r="J877" s="240">
        <v>128886.03191236209</v>
      </c>
      <c r="K877" s="240">
        <f t="shared" ca="1" si="1573"/>
        <v>792.90084227845023</v>
      </c>
      <c r="L877" s="47"/>
      <c r="M877" s="241">
        <f t="shared" ref="M877" ca="1" si="1592">LN(K877/K876)</f>
        <v>-2.4546293935946237E-2</v>
      </c>
      <c r="N877" s="241"/>
      <c r="O877" s="241"/>
      <c r="P877" s="242">
        <f t="shared" ca="1" si="1582"/>
        <v>-9.0290019117686307E-4</v>
      </c>
      <c r="Q877" s="61"/>
      <c r="R877" s="387"/>
      <c r="S877" s="206">
        <f ca="1">+S876*EXP(T877)</f>
        <v>114.45482345473867</v>
      </c>
      <c r="T877" s="243">
        <f ca="1">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</f>
        <v>-6.6137535870571538E-3</v>
      </c>
      <c r="U877" s="243"/>
      <c r="V877" s="239">
        <v>181682.71968369116</v>
      </c>
      <c r="W877" s="240">
        <f t="shared" si="1574"/>
        <v>1427.7620407362763</v>
      </c>
      <c r="X877" s="244">
        <f t="shared" ref="X877" si="1593">LN(W877/W876)</f>
        <v>-6.2722629368565319E-2</v>
      </c>
      <c r="Y877" s="244">
        <f t="shared" si="1584"/>
        <v>-2.3071618956318029E-3</v>
      </c>
      <c r="Z877" s="206"/>
      <c r="AA877" s="243"/>
      <c r="AB877" s="243"/>
      <c r="AC877" s="240">
        <f t="shared" si="1554"/>
        <v>176174.25679166208</v>
      </c>
      <c r="AD877" s="243"/>
      <c r="AE877" s="245">
        <v>11179.338663267137</v>
      </c>
      <c r="AF877" s="243">
        <v>5.2658589585819884E-2</v>
      </c>
      <c r="AG877" s="242">
        <f t="shared" si="1575"/>
        <v>1.9369706371239177E-3</v>
      </c>
      <c r="AH877" s="206"/>
      <c r="AI877" s="243"/>
      <c r="AJ877" s="239">
        <f t="shared" si="1588"/>
        <v>486743.00838771532</v>
      </c>
      <c r="AK877" s="243">
        <f t="shared" si="1585"/>
        <v>0.33128855496738946</v>
      </c>
      <c r="AL877" s="239"/>
      <c r="AM877" s="243"/>
      <c r="AN877" s="243"/>
      <c r="AO877" s="243"/>
      <c r="AP877" s="245">
        <f t="shared" si="1586"/>
        <v>552.96875881890242</v>
      </c>
      <c r="AQ877" s="243"/>
      <c r="AR877" s="207">
        <f t="shared" si="1576"/>
        <v>0.26479277501958048</v>
      </c>
      <c r="AS877" s="207">
        <f t="shared" si="1577"/>
        <v>0.37326210454567377</v>
      </c>
      <c r="AT877" s="207">
        <f t="shared" si="1578"/>
        <v>0.36194512043474575</v>
      </c>
      <c r="AU877" s="207"/>
      <c r="AV877" s="206"/>
      <c r="AW877" s="243"/>
      <c r="AX877" s="248">
        <f>+AJ877/$AL$27</f>
        <v>3.6783564701579341E-2</v>
      </c>
      <c r="AY877" s="249"/>
      <c r="AZ877" s="206"/>
      <c r="BA877" s="243"/>
      <c r="BB877" s="250">
        <v>880236</v>
      </c>
      <c r="BC877" s="270">
        <f t="shared" si="1546"/>
        <v>3.2863323735251326E-3</v>
      </c>
      <c r="BD877" s="91"/>
      <c r="BE877" s="306">
        <f t="shared" si="1537"/>
        <v>0</v>
      </c>
      <c r="BF877" s="307">
        <f t="shared" si="1538"/>
        <v>0</v>
      </c>
      <c r="BG877" s="308">
        <f t="shared" si="1539"/>
        <v>0</v>
      </c>
      <c r="BH877" s="308"/>
      <c r="BI877" s="308" t="str">
        <f t="shared" si="1540"/>
        <v>2022Y</v>
      </c>
      <c r="BJ877" s="239"/>
      <c r="BK877" s="239"/>
      <c r="BL877" s="239"/>
      <c r="BM877" s="239"/>
      <c r="BN877" s="337">
        <v>0.97355615069619306</v>
      </c>
      <c r="BO877" s="308">
        <f t="shared" si="1504"/>
        <v>0</v>
      </c>
      <c r="BP877" s="308">
        <f t="shared" si="1505"/>
        <v>0</v>
      </c>
      <c r="BQ877" s="239"/>
      <c r="BR877" s="239"/>
      <c r="BS877" s="310"/>
      <c r="BT877" s="310"/>
      <c r="BU877" s="311"/>
      <c r="BV877" s="207"/>
      <c r="BW877" s="312"/>
      <c r="BX877" s="312"/>
      <c r="BY877" s="239"/>
      <c r="BZ877" s="239"/>
      <c r="CA877" s="239"/>
      <c r="CB877" s="239"/>
      <c r="CC877" s="245">
        <v>2022</v>
      </c>
      <c r="CD877" s="239"/>
      <c r="CE877" s="239"/>
      <c r="CF877" s="239"/>
      <c r="CG877" s="310"/>
      <c r="CH877" s="239">
        <v>334749</v>
      </c>
      <c r="CI877" s="313">
        <f t="shared" si="1565"/>
        <v>334749</v>
      </c>
      <c r="CJ877" s="308">
        <f t="shared" si="1557"/>
        <v>324.74364819898915</v>
      </c>
      <c r="CK877" s="443">
        <v>0.69230769230769229</v>
      </c>
      <c r="CL877" s="239">
        <f>+CL853*CK877+CJ854*CK876+CJ855*CK875+CJ856*CK874+CJ857*CK873+CJ858*CK872+CJ859*CK871+CJ860*CK870+CJ861*CK869+CJ862*CK868+CJ863*CK867+CJ864*CK866+CJ865*CK865+CJ866*CK864+CJ867*CK863+CJ868*CK862+CJ869*CK861+CJ870*CK860+CJ871*CK859+CJ872*CK858+CJ873*CK857+CJ874*CK856+CJ875*CK855+CJ876*CK854+CJ877*CK853</f>
        <v>10185.103976499606</v>
      </c>
      <c r="CM877" s="243">
        <f t="shared" ref="CM877" si="1594">LN(CL877/CL876)</f>
        <v>4.8549719454860092E-2</v>
      </c>
      <c r="CN877" s="249">
        <f t="shared" si="1559"/>
        <v>-1.6277227287711429E-2</v>
      </c>
      <c r="CO877" s="249">
        <f t="shared" si="1568"/>
        <v>1.6399600134124875E-2</v>
      </c>
      <c r="CP877" s="243"/>
      <c r="CQ877" s="249"/>
      <c r="CR877" s="249"/>
      <c r="CS877" s="248">
        <f t="shared" si="1569"/>
        <v>1.450234147440875E-2</v>
      </c>
      <c r="CT877" s="249">
        <f t="shared" si="1570"/>
        <v>0.10114668178709289</v>
      </c>
      <c r="CU877" s="314">
        <f t="shared" si="1560"/>
        <v>0.90330050000000006</v>
      </c>
      <c r="CV877" s="315">
        <f t="shared" si="1561"/>
        <v>1.2820512820512819</v>
      </c>
      <c r="CW877" s="315">
        <f t="shared" si="1562"/>
        <v>0.35000000000000003</v>
      </c>
      <c r="CX877" s="315">
        <f t="shared" si="1563"/>
        <v>0.79171095533705893</v>
      </c>
      <c r="CY877" s="315">
        <f t="shared" si="1564"/>
        <v>0.35525491585637264</v>
      </c>
      <c r="CZ877" s="316">
        <f>CZ876</f>
        <v>0.26134999999999997</v>
      </c>
      <c r="DA877" s="317">
        <v>0.37</v>
      </c>
      <c r="DB877" s="318">
        <f t="shared" si="1567"/>
        <v>18.157742643321896</v>
      </c>
      <c r="DC877" s="249">
        <f>LN(DB877/DB876)</f>
        <v>1.4552237357618227</v>
      </c>
      <c r="DD877" s="316">
        <v>0.04</v>
      </c>
      <c r="DE877" s="319">
        <v>7.0000000000000001E-3</v>
      </c>
      <c r="DF877" s="316">
        <v>1030.81</v>
      </c>
      <c r="DG877" s="364">
        <f ca="1">VLOOKUP(CC877,'ECI - Input Price'!M$13:N$33,2,FALSE)</f>
        <v>162.55000000000001</v>
      </c>
      <c r="DH877" s="364"/>
      <c r="DI877" s="364"/>
      <c r="DJ877" s="249">
        <f t="shared" ca="1" si="1579"/>
        <v>3.3148751169364422E-2</v>
      </c>
      <c r="DK877" s="310">
        <v>127.25</v>
      </c>
      <c r="DL877" s="357">
        <f t="shared" si="1572"/>
        <v>7.1325086601983473E-2</v>
      </c>
      <c r="EC877"/>
    </row>
    <row r="878" spans="1:133" s="126" customFormat="1" ht="21" customHeight="1" x14ac:dyDescent="0.4">
      <c r="A878" s="251" t="s">
        <v>234</v>
      </c>
      <c r="B878" s="252" t="s">
        <v>234</v>
      </c>
      <c r="C878" s="252">
        <v>4063341</v>
      </c>
      <c r="D878" s="252" t="s">
        <v>235</v>
      </c>
      <c r="E878" s="252"/>
      <c r="F878" s="252"/>
      <c r="G878" s="252" t="s">
        <v>150</v>
      </c>
      <c r="H878" s="253">
        <v>1998</v>
      </c>
      <c r="I878" s="254"/>
      <c r="J878" s="255"/>
      <c r="K878" s="255"/>
      <c r="L878" s="47"/>
      <c r="M878" s="255"/>
      <c r="N878" s="255"/>
      <c r="O878" s="255"/>
      <c r="P878" s="219"/>
      <c r="Q878" s="218"/>
      <c r="R878" s="385"/>
      <c r="S878" s="257"/>
      <c r="T878" s="258"/>
      <c r="U878" s="258"/>
      <c r="V878" s="259"/>
      <c r="W878" s="259"/>
      <c r="X878" s="259"/>
      <c r="Y878" s="255"/>
      <c r="Z878" s="259"/>
      <c r="AA878" s="259"/>
      <c r="AB878" s="259"/>
      <c r="AC878" s="255"/>
      <c r="AD878" s="254"/>
      <c r="AE878" s="260">
        <v>1528.4545803086621</v>
      </c>
      <c r="AF878" s="256"/>
      <c r="AG878" s="225"/>
      <c r="AH878" s="256"/>
      <c r="AI878" s="256"/>
      <c r="AJ878" s="254">
        <f t="shared" si="1588"/>
        <v>0</v>
      </c>
      <c r="AK878" s="254"/>
      <c r="AL878" s="254"/>
      <c r="AM878" s="256"/>
      <c r="AN878" s="256"/>
      <c r="AO878" s="256"/>
      <c r="AP878" s="226">
        <f>+(AP875+AP876+AP877)/3</f>
        <v>471.52953208276659</v>
      </c>
      <c r="AQ878" s="256"/>
      <c r="AR878" s="261"/>
      <c r="AS878" s="261"/>
      <c r="AT878" s="261"/>
      <c r="AU878" s="261"/>
      <c r="AV878" s="261"/>
      <c r="AW878" s="256">
        <f ca="1">AVERAGE(AW887:AW901)</f>
        <v>2.3243896117564201E-2</v>
      </c>
      <c r="AX878" s="223"/>
      <c r="AY878" s="261"/>
      <c r="AZ878" s="261"/>
      <c r="BA878" s="261"/>
      <c r="BB878" s="262">
        <f>IFERROR(INDEX('Total Customers'!$E$7:$AA$91,MATCH($C878,'Total Customers'!$C$7:$C$91,0),MATCH($G878,'Total Customers'!$E$5:$AA$5,0)),"NA")</f>
        <v>237335</v>
      </c>
      <c r="BC878" s="268"/>
      <c r="BD878" s="92"/>
      <c r="BE878" s="320" t="str">
        <f t="shared" si="1537"/>
        <v>PEOPLES GAS SYSTEM</v>
      </c>
      <c r="BF878" s="321">
        <f t="shared" si="1538"/>
        <v>4063341</v>
      </c>
      <c r="BG878" s="322" t="str">
        <f t="shared" si="1539"/>
        <v>FL</v>
      </c>
      <c r="BH878" s="322"/>
      <c r="BI878" s="322" t="str">
        <f t="shared" si="1540"/>
        <v>1998 Y</v>
      </c>
      <c r="BJ878" s="254">
        <f>INDEX('Gross Dx Plant'!$D$7:$AC$91,MATCH($C878,'Gross Dx Plant'!$C$7:$C$91,0),MATCH(Calculation!$G878,'Gross Dx Plant'!$D$5:$AC$5,0))</f>
        <v>455488</v>
      </c>
      <c r="BK878" s="254">
        <f>INDEX('Gross Gen Plant'!$D$7:$AC$91,MATCH($C878,'Gross Gen Plant'!$C$7:$C$91,0),MATCH(Calculation!$G878,'Gross Gen Plant'!$D$5:$AC$5,0))</f>
        <v>43886</v>
      </c>
      <c r="BL878" s="254">
        <f>INDEX('Dist. Plant Gas Additions'!$E$7:$AD$91,MATCH($C878,'Dist. Plant Gas Additions'!$C$7:$C$91,0),MATCH(Calculation!$G878,'Dist. Plant Gas Additions'!$E$5:$AD$5,0))</f>
        <v>0</v>
      </c>
      <c r="BM878" s="254">
        <f>INDEX('Gen. Plant Additions'!$E$7:$AD$91,MATCH($C878,'Gen. Plant Additions'!$C$7:$C$91,0),MATCH(Calculation!$G878,'Gen. Plant Additions'!$E$5:$AD$5,0))</f>
        <v>0</v>
      </c>
      <c r="BN878" s="338">
        <f>+(BY878/(BY878+BZ878))</f>
        <v>0.91211797170056907</v>
      </c>
      <c r="BO878" s="322">
        <f t="shared" si="1504"/>
        <v>0</v>
      </c>
      <c r="BP878" s="322">
        <f t="shared" si="1505"/>
        <v>0</v>
      </c>
      <c r="BQ878" s="254">
        <f>INDEX('Dist Plant Depreciation'!$D$7:$AC$94,MATCH($C878,'Dist Plant Depreciation'!$C$7:$C$94,0),MATCH(Calculation!$G878,'Dist Plant Depreciation'!$D$5:$AC$5,0))</f>
        <v>172412</v>
      </c>
      <c r="BR878" s="254">
        <f>INDEX('Gen. Plant Depreciation'!$D$7:$AC$94,MATCH($C878,'Gen. Plant Depreciation'!$C$7:$C$94,0),MATCH(Calculation!$G878,'Gen. Plant Depreciation'!$D$5:$AC$5,0))</f>
        <v>18643</v>
      </c>
      <c r="BS878" s="254"/>
      <c r="BT878" s="254"/>
      <c r="BU878" s="254"/>
      <c r="BV878" s="254"/>
      <c r="BW878" s="254"/>
      <c r="BX878" s="323"/>
      <c r="BY878" s="254">
        <f>INDEX('Gross Dx Plant'!$D$7:$AC$91,MATCH($C878,'Gross Dx Plant'!$C$7:$C$91,0),MATCH(Calculation!$G878,'Gross Dx Plant'!$D$5:$AC$5,0))</f>
        <v>455488</v>
      </c>
      <c r="BZ878" s="254">
        <f>INDEX('Gross Gen Plant'!$D$7:$AC$91,MATCH($C878,'Gross Gen Plant'!$C$7:$C$91,0),MATCH(Calculation!$G878,'Gross Gen Plant'!$D$5:$AC$5,0))</f>
        <v>43886</v>
      </c>
      <c r="CA878" s="254">
        <f t="shared" ref="CA878:CA945" si="1595">IF(OR(BQ878="NA",BR878="NA"),"NA",(SUM(BY878:BZ878)-SUM(BQ878:BR878)))</f>
        <v>308319</v>
      </c>
      <c r="CB878" s="254"/>
      <c r="CC878" s="260">
        <v>1998</v>
      </c>
      <c r="CD878" s="254">
        <f>BJ878+BK878</f>
        <v>499374</v>
      </c>
      <c r="CE878" s="254">
        <f>172412+18643</f>
        <v>191055</v>
      </c>
      <c r="CF878" s="254">
        <f>+CD878-CE878</f>
        <v>308319</v>
      </c>
      <c r="CG878" s="254">
        <f>CF878/$BX$3</f>
        <v>1528.4545803086621</v>
      </c>
      <c r="CH878" s="323"/>
      <c r="CI878" s="344"/>
      <c r="CJ878" s="344"/>
      <c r="CK878" s="443">
        <v>1</v>
      </c>
      <c r="CL878" s="254">
        <f>+CG878</f>
        <v>1528.4545803086621</v>
      </c>
      <c r="CM878" s="256"/>
      <c r="CN878" s="325"/>
      <c r="CO878" s="325"/>
      <c r="CP878" s="256" t="e">
        <f>VLOOKUP($H878,RoR!$E:$F,2,FALSE)</f>
        <v>#N/A</v>
      </c>
      <c r="CQ878" s="325">
        <v>1.1028127770464469E-2</v>
      </c>
      <c r="CR878" s="325"/>
      <c r="CS878" s="325"/>
      <c r="CT878" s="325"/>
      <c r="CU878" s="327"/>
      <c r="CV878" s="331" t="e">
        <f>2/(DD878*39)</f>
        <v>#N/A</v>
      </c>
      <c r="CW878" s="328" t="e">
        <f>+(DD878*40-(1+DD878))/(DD878*40)</f>
        <v>#N/A</v>
      </c>
      <c r="CX878" s="328" t="e">
        <f>+(1-(1/(1+DD878)^40))</f>
        <v>#N/A</v>
      </c>
      <c r="CY878" s="328" t="e">
        <f>+CX878*CW878*CV878</f>
        <v>#N/A</v>
      </c>
      <c r="CZ878" s="329">
        <f>INDEX('State Tax Lookup'!$D$7:$Z$91,MATCH(Calculation!$C878,'State Tax Lookup'!$B$7:$B$91,0),MATCH($H878,'State Tax Lookup'!$D$6:$Z$6,0))</f>
        <v>0.38574999999999998</v>
      </c>
      <c r="DA878" s="330">
        <v>0.37</v>
      </c>
      <c r="DB878" s="344"/>
      <c r="DC878" s="326"/>
      <c r="DD878" s="351" t="e">
        <f>VLOOKUP($H878,RoR!$E:$F,2,FALSE)</f>
        <v>#N/A</v>
      </c>
      <c r="DE878" s="354">
        <f>HLOOKUP($H878,'GDP-PI'!$D$8:$CQ$11,3,FALSE)</f>
        <v>1.1028127770464469E-2</v>
      </c>
      <c r="DF878" s="351">
        <f>VLOOKUP(H878,'HW Dx Data'!$E:$F,2,FALSE)</f>
        <v>329.24564746449528</v>
      </c>
      <c r="DG878" s="330"/>
      <c r="DH878" s="330"/>
      <c r="DI878" s="330"/>
      <c r="DJ878" s="326"/>
      <c r="DK878" s="344">
        <f>HLOOKUP(H878,'GDP-PI'!$8:$9,2,FALSE)</f>
        <v>75.266999999999996</v>
      </c>
      <c r="DL878" s="292"/>
      <c r="EC878"/>
    </row>
    <row r="879" spans="1:133" s="126" customFormat="1" ht="21" customHeight="1" x14ac:dyDescent="0.4">
      <c r="A879" s="233" t="s">
        <v>234</v>
      </c>
      <c r="B879" s="127" t="s">
        <v>234</v>
      </c>
      <c r="C879" s="127">
        <v>4063341</v>
      </c>
      <c r="D879" s="127" t="s">
        <v>235</v>
      </c>
      <c r="E879" s="127"/>
      <c r="F879" s="127"/>
      <c r="G879" s="127" t="s">
        <v>155</v>
      </c>
      <c r="H879" s="128">
        <v>1999</v>
      </c>
      <c r="I879" s="129"/>
      <c r="J879" s="125"/>
      <c r="K879" s="129"/>
      <c r="L879" s="47"/>
      <c r="M879" s="129"/>
      <c r="N879" s="129"/>
      <c r="O879" s="129"/>
      <c r="P879" s="47"/>
      <c r="Q879" s="47"/>
      <c r="R879" s="386"/>
      <c r="S879" s="119"/>
      <c r="T879" s="47"/>
      <c r="U879" s="46"/>
      <c r="V879" s="135"/>
      <c r="W879" s="135"/>
      <c r="X879" s="135"/>
      <c r="Y879" s="143"/>
      <c r="Z879" s="135"/>
      <c r="AA879" s="135"/>
      <c r="AB879" s="135"/>
      <c r="AC879" s="125">
        <f t="shared" ref="AC879:AC902" si="1596">+CL878*DB879</f>
        <v>0</v>
      </c>
      <c r="AD879" s="129"/>
      <c r="AE879" s="133">
        <v>1753.8899230545576</v>
      </c>
      <c r="AF879" s="134">
        <v>0.13757898761313545</v>
      </c>
      <c r="AG879" s="61"/>
      <c r="AH879" s="134"/>
      <c r="AI879" s="134"/>
      <c r="AJ879" s="129">
        <f t="shared" si="1588"/>
        <v>0</v>
      </c>
      <c r="AK879" s="134"/>
      <c r="AL879" s="129"/>
      <c r="AM879" s="134"/>
      <c r="AN879" s="134"/>
      <c r="AO879" s="134"/>
      <c r="AP879" s="133"/>
      <c r="AQ879" s="134"/>
      <c r="AR879" s="93"/>
      <c r="AS879" s="93"/>
      <c r="AT879" s="93"/>
      <c r="AU879" s="93"/>
      <c r="AV879" s="93"/>
      <c r="AW879" s="134"/>
      <c r="AX879" s="62"/>
      <c r="AY879" s="93"/>
      <c r="AZ879" s="93"/>
      <c r="BA879" s="93"/>
      <c r="BB879" s="234">
        <f>IFERROR(INDEX('Total Customers'!$E$7:$AA$91,MATCH($C879,'Total Customers'!$C$7:$C$91,0),MATCH($G879,'Total Customers'!$E$5:$AA$5,0)),"NA")</f>
        <v>246789</v>
      </c>
      <c r="BC879" s="269">
        <f t="shared" si="1546"/>
        <v>3.9061075344388629E-2</v>
      </c>
      <c r="BD879" s="92"/>
      <c r="BE879" s="299" t="str">
        <f t="shared" si="1537"/>
        <v>PEOPLES GAS SYSTEM</v>
      </c>
      <c r="BF879" s="300">
        <f t="shared" si="1538"/>
        <v>4063341</v>
      </c>
      <c r="BG879" s="231" t="str">
        <f t="shared" si="1539"/>
        <v>FL</v>
      </c>
      <c r="BH879" s="231"/>
      <c r="BI879" s="231" t="str">
        <f t="shared" si="1540"/>
        <v>1999 Y</v>
      </c>
      <c r="BJ879" s="129"/>
      <c r="BK879" s="129"/>
      <c r="BL879" s="129">
        <f>INDEX('Dist. Plant Gas Additions'!$E$7:$AD$91,MATCH($C879,'Dist. Plant Gas Additions'!$C$7:$C$91,0),MATCH(Calculation!$G879,'Dist. Plant Gas Additions'!$E$5:$AD$5,0))</f>
        <v>70775</v>
      </c>
      <c r="BM879" s="129">
        <f>INDEX('Gen. Plant Additions'!$E$7:$AD$91,MATCH($C879,'Gen. Plant Additions'!$C$7:$C$91,0),MATCH(Calculation!$G879,'Gen. Plant Additions'!$E$5:$AD$5,0))</f>
        <v>7369</v>
      </c>
      <c r="BN879" s="301">
        <f t="shared" ref="BN879:BN900" si="1597">+(BY879/(BY879+BZ879))</f>
        <v>0.91473890846487349</v>
      </c>
      <c r="BO879" s="231">
        <f t="shared" si="1504"/>
        <v>6740.7110164776532</v>
      </c>
      <c r="BP879" s="231">
        <f t="shared" si="1505"/>
        <v>-628.28898352234683</v>
      </c>
      <c r="BQ879" s="129">
        <f>INDEX('Dist Plant Depreciation'!$D$7:$AC$94,MATCH($C879,'Dist Plant Depreciation'!$C$7:$C$94,0),MATCH(Calculation!$G879,'Dist Plant Depreciation'!$D$5:$AC$5,0))</f>
        <v>187152</v>
      </c>
      <c r="BR879" s="129">
        <f>INDEX('Gen. Plant Depreciation'!$D$7:$AC$94,MATCH($C879,'Gen. Plant Depreciation'!$C$7:$C$94,0),MATCH(Calculation!$G879,'Gen. Plant Depreciation'!$D$5:$AC$5,0))</f>
        <v>19890</v>
      </c>
      <c r="BS879" s="129"/>
      <c r="BT879" s="129"/>
      <c r="BU879" s="129"/>
      <c r="BV879" s="129"/>
      <c r="BW879" s="129"/>
      <c r="BX879" s="137"/>
      <c r="BY879" s="129">
        <f>INDEX('Gross Dx Plant'!$D$7:$AC$91,MATCH($C879,'Gross Dx Plant'!$C$7:$C$91,0),MATCH(Calculation!$G879,'Gross Dx Plant'!$D$5:$AC$5,0))</f>
        <v>522830</v>
      </c>
      <c r="BZ879" s="129">
        <f>INDEX('Gross Gen Plant'!$D$7:$AC$91,MATCH($C879,'Gross Gen Plant'!$C$7:$C$91,0),MATCH(Calculation!$G879,'Gross Gen Plant'!$D$5:$AC$5,0))</f>
        <v>48732</v>
      </c>
      <c r="CA879" s="129">
        <f t="shared" si="1595"/>
        <v>364520</v>
      </c>
      <c r="CB879" s="129"/>
      <c r="CC879" s="133">
        <v>1999</v>
      </c>
      <c r="CD879" s="129"/>
      <c r="CE879" s="129"/>
      <c r="CF879" s="129"/>
      <c r="CG879" s="137"/>
      <c r="CH879" s="129">
        <f t="shared" ref="CH879:CH901" si="1598">+BM879+BL879</f>
        <v>78144</v>
      </c>
      <c r="CI879" s="46">
        <f>+CH879+BP879</f>
        <v>77515.711016477653</v>
      </c>
      <c r="CJ879" s="231">
        <f t="shared" ref="CJ879:CJ902" si="1599">+CI879/$DF879</f>
        <v>231.16592257975162</v>
      </c>
      <c r="CK879" s="443">
        <v>0.99009900990099009</v>
      </c>
      <c r="CL879" s="231">
        <f>+CL878*CK879+CJ879</f>
        <v>1744.4872892219914</v>
      </c>
      <c r="CM879" s="134">
        <f t="shared" ref="CM879:CM900" si="1600">LN(CL879/CL878)</f>
        <v>0.13220354871501597</v>
      </c>
      <c r="CN879" s="135">
        <f t="shared" ref="CN879:CN902" si="1601">+(CL878-CL879+CJ879)/CL878</f>
        <v>9.9009900990098421E-3</v>
      </c>
      <c r="CO879" s="135"/>
      <c r="CP879" s="134">
        <f>VLOOKUP($H879,RoR!$E:$F,2,FALSE)</f>
        <v>7.0416666666666669E-2</v>
      </c>
      <c r="CQ879" s="135">
        <v>1.4335631817396832E-2</v>
      </c>
      <c r="CR879" s="135">
        <f>+CP879-CQ879</f>
        <v>5.6081034849269837E-2</v>
      </c>
      <c r="CS879" s="135"/>
      <c r="CT879" s="135"/>
      <c r="CU879" s="139">
        <f t="shared" ref="CU879:CU902" si="1602">1-CZ879*DA879</f>
        <v>0.85727249999999999</v>
      </c>
      <c r="CV879" s="335">
        <f t="shared" ref="CV879:CV902" si="1603">2/(DD879*39)</f>
        <v>0.72826581702321336</v>
      </c>
      <c r="CW879" s="335">
        <f t="shared" ref="CW879:CW902" si="1604">+(DD879*40-(1+DD879))/(DD879*40)</f>
        <v>0.61997041420118348</v>
      </c>
      <c r="CX879" s="335">
        <f t="shared" ref="CX879:CX902" si="1605">+(1-(1/(1+DD879)^40))</f>
        <v>0.93425155319585029</v>
      </c>
      <c r="CY879" s="335">
        <f t="shared" ref="CY879:CY902" si="1606">+CX879*CW879*CV879</f>
        <v>0.42181762214141483</v>
      </c>
      <c r="CZ879" s="336">
        <f>INDEX('State Tax Lookup'!$D$7:$Z$91,MATCH(Calculation!$C879,'State Tax Lookup'!$B$7:$B$91,0),MATCH($H879,'State Tax Lookup'!$D$6:$Z$6,0))</f>
        <v>0.38574999999999998</v>
      </c>
      <c r="DA879" s="302">
        <v>0.37</v>
      </c>
      <c r="DB879" s="57"/>
      <c r="DC879" s="56"/>
      <c r="DD879" s="303">
        <f>VLOOKUP($H879,RoR!$E:$F,2,FALSE)</f>
        <v>7.0416666666666669E-2</v>
      </c>
      <c r="DE879" s="304">
        <f>HLOOKUP($H879,'GDP-PI'!$D$8:$CQ$11,3,FALSE)</f>
        <v>1.4335631817396832E-2</v>
      </c>
      <c r="DF879" s="303">
        <f>VLOOKUP(H879,'HW Dx Data'!$E:$F,2,FALSE)</f>
        <v>335.32499146683239</v>
      </c>
      <c r="DG879" s="364"/>
      <c r="DH879" s="364"/>
      <c r="DI879" s="364"/>
      <c r="DJ879" s="56"/>
      <c r="DK879" s="53">
        <f>HLOOKUP(H879,'GDP-PI'!$8:$9,2,FALSE)</f>
        <v>76.346000000000004</v>
      </c>
      <c r="DL879" s="298"/>
      <c r="EC879"/>
    </row>
    <row r="880" spans="1:133" s="126" customFormat="1" ht="21" customHeight="1" x14ac:dyDescent="0.4">
      <c r="A880" s="233" t="s">
        <v>234</v>
      </c>
      <c r="B880" s="127" t="s">
        <v>234</v>
      </c>
      <c r="C880" s="127">
        <v>4063341</v>
      </c>
      <c r="D880" s="127" t="s">
        <v>235</v>
      </c>
      <c r="E880" s="127"/>
      <c r="F880" s="127"/>
      <c r="G880" s="127" t="s">
        <v>156</v>
      </c>
      <c r="H880" s="128">
        <v>2000</v>
      </c>
      <c r="I880" s="129"/>
      <c r="J880" s="125"/>
      <c r="K880" s="125"/>
      <c r="L880" s="47"/>
      <c r="M880" s="125"/>
      <c r="N880" s="125"/>
      <c r="O880" s="125"/>
      <c r="P880" s="47"/>
      <c r="Q880" s="47"/>
      <c r="R880" s="386"/>
      <c r="S880" s="119"/>
      <c r="T880" s="47"/>
      <c r="U880" s="47"/>
      <c r="V880" s="125"/>
      <c r="W880" s="125"/>
      <c r="X880" s="125"/>
      <c r="Y880" s="125"/>
      <c r="Z880" s="125"/>
      <c r="AA880" s="125"/>
      <c r="AB880" s="125"/>
      <c r="AC880" s="125">
        <f t="shared" si="1596"/>
        <v>0</v>
      </c>
      <c r="AD880" s="129"/>
      <c r="AE880" s="133">
        <v>1744.8958385761409</v>
      </c>
      <c r="AF880" s="134">
        <v>-5.1412718026453159E-3</v>
      </c>
      <c r="AG880" s="61"/>
      <c r="AH880" s="134"/>
      <c r="AI880" s="134"/>
      <c r="AJ880" s="129">
        <f t="shared" si="1588"/>
        <v>0</v>
      </c>
      <c r="AK880" s="134"/>
      <c r="AL880" s="129"/>
      <c r="AM880" s="129"/>
      <c r="AN880" s="129"/>
      <c r="AO880" s="129"/>
      <c r="AP880" s="133"/>
      <c r="AQ880" s="134"/>
      <c r="AR880" s="93"/>
      <c r="AS880" s="93"/>
      <c r="AT880" s="93"/>
      <c r="AU880" s="93"/>
      <c r="AV880" s="93"/>
      <c r="AW880" s="134"/>
      <c r="AX880" s="62"/>
      <c r="AY880" s="93"/>
      <c r="AZ880" s="93"/>
      <c r="BA880" s="93"/>
      <c r="BB880" s="234">
        <f>IFERROR(INDEX('Total Customers'!$E$7:$AA$91,MATCH($C880,'Total Customers'!$C$7:$C$91,0),MATCH($G880,'Total Customers'!$E$5:$AA$5,0)),"NA")</f>
        <v>255640</v>
      </c>
      <c r="BC880" s="269">
        <f t="shared" si="1546"/>
        <v>3.5236484246573753E-2</v>
      </c>
      <c r="BD880" s="92"/>
      <c r="BE880" s="299" t="str">
        <f t="shared" si="1537"/>
        <v>PEOPLES GAS SYSTEM</v>
      </c>
      <c r="BF880" s="300">
        <f t="shared" si="1538"/>
        <v>4063341</v>
      </c>
      <c r="BG880" s="231" t="str">
        <f t="shared" si="1539"/>
        <v>FL</v>
      </c>
      <c r="BH880" s="231"/>
      <c r="BI880" s="231" t="str">
        <f t="shared" si="1540"/>
        <v>2000 Y</v>
      </c>
      <c r="BJ880" s="129"/>
      <c r="BK880" s="129"/>
      <c r="BL880" s="129">
        <f>INDEX('Dist. Plant Gas Additions'!$E$7:$AD$91,MATCH($C880,'Dist. Plant Gas Additions'!$C$7:$C$91,0),MATCH(Calculation!$G880,'Dist. Plant Gas Additions'!$E$5:$AD$5,0))</f>
        <v>0</v>
      </c>
      <c r="BM880" s="129">
        <f>INDEX('Gen. Plant Additions'!$E$7:$AD$91,MATCH($C880,'Gen. Plant Additions'!$C$7:$C$91,0),MATCH(Calculation!$G880,'Gen. Plant Additions'!$E$5:$AD$5,0))</f>
        <v>0</v>
      </c>
      <c r="BN880" s="301">
        <f t="shared" si="1597"/>
        <v>0.93012640567198923</v>
      </c>
      <c r="BO880" s="231">
        <f t="shared" si="1504"/>
        <v>0</v>
      </c>
      <c r="BP880" s="231">
        <f t="shared" si="1505"/>
        <v>0</v>
      </c>
      <c r="BQ880" s="129"/>
      <c r="BR880" s="129"/>
      <c r="BS880" s="129"/>
      <c r="BT880" s="129"/>
      <c r="BU880" s="129"/>
      <c r="BV880" s="129"/>
      <c r="BW880" s="129"/>
      <c r="BX880" s="137"/>
      <c r="BY880" s="129">
        <f>INDEX('Gross Dx Plant'!$D$7:$AC$91,MATCH($C880,'Gross Dx Plant'!$C$7:$C$91,0),MATCH(Calculation!$G880,'Gross Dx Plant'!$D$5:$AC$5,0))</f>
        <v>554666</v>
      </c>
      <c r="BZ880" s="129">
        <f>INDEX('Gross Gen Plant'!$D$7:$AC$91,MATCH($C880,'Gross Gen Plant'!$C$7:$C$91,0),MATCH(Calculation!$G880,'Gross Gen Plant'!$D$5:$AC$5,0))</f>
        <v>41668</v>
      </c>
      <c r="CA880" s="129">
        <f t="shared" si="1595"/>
        <v>596334</v>
      </c>
      <c r="CB880" s="129"/>
      <c r="CC880" s="133">
        <v>2000</v>
      </c>
      <c r="CD880" s="129"/>
      <c r="CE880" s="129"/>
      <c r="CF880" s="129"/>
      <c r="CG880" s="137"/>
      <c r="CH880" s="129">
        <f t="shared" si="1598"/>
        <v>0</v>
      </c>
      <c r="CI880" s="46">
        <f t="shared" ref="CI880:CI902" si="1607">+CH880+BP880</f>
        <v>0</v>
      </c>
      <c r="CJ880" s="231">
        <f t="shared" si="1599"/>
        <v>0</v>
      </c>
      <c r="CK880" s="443">
        <v>0.98</v>
      </c>
      <c r="CL880" s="231">
        <f>+CL878*CK880+CJ879*CK879+CJ880</f>
        <v>1726.7626397715499</v>
      </c>
      <c r="CM880" s="134">
        <f t="shared" si="1600"/>
        <v>-1.0212346479051601E-2</v>
      </c>
      <c r="CN880" s="135">
        <f t="shared" si="1601"/>
        <v>1.0160377527512072E-2</v>
      </c>
      <c r="CO880" s="135"/>
      <c r="CP880" s="134">
        <f>VLOOKUP($H880,RoR!$E:$F,2,FALSE)</f>
        <v>7.6225000000000001E-2</v>
      </c>
      <c r="CQ880" s="135">
        <v>2.2568307442433211E-2</v>
      </c>
      <c r="CR880" s="135">
        <f t="shared" ref="CR880:CR900" si="1608">+CP880-CQ880</f>
        <v>5.365669255756679E-2</v>
      </c>
      <c r="CS880" s="135"/>
      <c r="CT880" s="135"/>
      <c r="CU880" s="139">
        <f t="shared" si="1602"/>
        <v>0.85727249999999999</v>
      </c>
      <c r="CV880" s="335">
        <f t="shared" si="1603"/>
        <v>0.67277207323124022</v>
      </c>
      <c r="CW880" s="335">
        <f t="shared" si="1604"/>
        <v>0.6470236142997704</v>
      </c>
      <c r="CX880" s="335">
        <f t="shared" si="1605"/>
        <v>0.94704866037543145</v>
      </c>
      <c r="CY880" s="335">
        <f t="shared" si="1606"/>
        <v>0.41224973107878493</v>
      </c>
      <c r="CZ880" s="336">
        <f>INDEX('State Tax Lookup'!$D$7:$Z$91,MATCH(Calculation!$C880,'State Tax Lookup'!$B$7:$B$91,0),MATCH($H880,'State Tax Lookup'!$D$6:$Z$6,0))</f>
        <v>0.38574999999999998</v>
      </c>
      <c r="DA880" s="302">
        <v>0.37</v>
      </c>
      <c r="DB880" s="57"/>
      <c r="DC880" s="56"/>
      <c r="DD880" s="303">
        <f>VLOOKUP($H880,RoR!$E:$F,2,FALSE)</f>
        <v>7.6225000000000001E-2</v>
      </c>
      <c r="DE880" s="304">
        <f>HLOOKUP($H880,'GDP-PI'!$D$8:$CQ$11,3,FALSE)</f>
        <v>2.2568307442433211E-2</v>
      </c>
      <c r="DF880" s="303">
        <f>VLOOKUP(H880,'HW Dx Data'!$E:$F,2,FALSE)</f>
        <v>346.53371782150339</v>
      </c>
      <c r="DG880" s="364"/>
      <c r="DH880" s="364"/>
      <c r="DI880" s="364"/>
      <c r="DJ880" s="56"/>
      <c r="DK880" s="53">
        <f>HLOOKUP(H880,'GDP-PI'!$8:$9,2,FALSE)</f>
        <v>78.069000000000003</v>
      </c>
      <c r="DL880" s="298"/>
      <c r="EC880"/>
    </row>
    <row r="881" spans="1:133" s="126" customFormat="1" ht="21" customHeight="1" x14ac:dyDescent="0.4">
      <c r="A881" s="233" t="s">
        <v>234</v>
      </c>
      <c r="B881" s="127" t="s">
        <v>234</v>
      </c>
      <c r="C881" s="127">
        <v>4063341</v>
      </c>
      <c r="D881" s="127" t="s">
        <v>235</v>
      </c>
      <c r="E881" s="127"/>
      <c r="F881" s="127"/>
      <c r="G881" s="127" t="s">
        <v>157</v>
      </c>
      <c r="H881" s="128">
        <v>2001</v>
      </c>
      <c r="I881" s="129"/>
      <c r="J881" s="125"/>
      <c r="K881" s="125"/>
      <c r="L881" s="47"/>
      <c r="M881" s="125"/>
      <c r="N881" s="125"/>
      <c r="O881" s="125"/>
      <c r="P881" s="47"/>
      <c r="Q881" s="47"/>
      <c r="R881" s="386"/>
      <c r="S881" s="119"/>
      <c r="T881" s="47"/>
      <c r="U881" s="47"/>
      <c r="V881" s="125"/>
      <c r="W881" s="125"/>
      <c r="X881" s="125"/>
      <c r="Y881" s="125"/>
      <c r="Z881" s="125"/>
      <c r="AA881" s="125"/>
      <c r="AB881" s="125"/>
      <c r="AC881" s="125">
        <f t="shared" si="1596"/>
        <v>17594.922752167371</v>
      </c>
      <c r="AD881" s="129"/>
      <c r="AE881" s="133">
        <v>1845.1156846719239</v>
      </c>
      <c r="AF881" s="134">
        <v>5.5847114733607067E-2</v>
      </c>
      <c r="AG881" s="61"/>
      <c r="AH881" s="134"/>
      <c r="AI881" s="134"/>
      <c r="AJ881" s="129">
        <f t="shared" si="1588"/>
        <v>17594.922752167371</v>
      </c>
      <c r="AK881" s="134"/>
      <c r="AL881" s="129"/>
      <c r="AM881" s="129"/>
      <c r="AN881" s="129"/>
      <c r="AO881" s="129"/>
      <c r="AP881" s="133"/>
      <c r="AQ881" s="134"/>
      <c r="AR881" s="93"/>
      <c r="AS881" s="93"/>
      <c r="AT881" s="93"/>
      <c r="AU881" s="93"/>
      <c r="AV881" s="93"/>
      <c r="AW881" s="134"/>
      <c r="AX881" s="62"/>
      <c r="AY881" s="93"/>
      <c r="AZ881" s="93"/>
      <c r="BA881" s="93"/>
      <c r="BB881" s="234">
        <f>IFERROR(INDEX('Total Customers'!$E$7:$AA$91,MATCH($C881,'Total Customers'!$C$7:$C$91,0),MATCH($G881,'Total Customers'!$E$5:$AA$5,0)),"NA")</f>
        <v>266326</v>
      </c>
      <c r="BC881" s="269">
        <f t="shared" si="1546"/>
        <v>4.0950917518982478E-2</v>
      </c>
      <c r="BD881" s="92"/>
      <c r="BE881" s="299" t="str">
        <f t="shared" si="1537"/>
        <v>PEOPLES GAS SYSTEM</v>
      </c>
      <c r="BF881" s="300">
        <f t="shared" si="1538"/>
        <v>4063341</v>
      </c>
      <c r="BG881" s="231" t="str">
        <f t="shared" si="1539"/>
        <v>FL</v>
      </c>
      <c r="BH881" s="231"/>
      <c r="BI881" s="231" t="str">
        <f t="shared" si="1540"/>
        <v>2001 Y</v>
      </c>
      <c r="BJ881" s="129"/>
      <c r="BK881" s="129"/>
      <c r="BL881" s="129">
        <f>INDEX('Dist. Plant Gas Additions'!$E$7:$AD$91,MATCH($C881,'Dist. Plant Gas Additions'!$C$7:$C$91,0),MATCH(Calculation!$G881,'Dist. Plant Gas Additions'!$E$5:$AD$5,0))</f>
        <v>25807</v>
      </c>
      <c r="BM881" s="129">
        <f>INDEX('Gen. Plant Additions'!$E$7:$AD$91,MATCH($C881,'Gen. Plant Additions'!$C$7:$C$91,0),MATCH(Calculation!$G881,'Gen. Plant Additions'!$E$5:$AD$5,0))</f>
        <v>12892</v>
      </c>
      <c r="BN881" s="301">
        <f t="shared" si="1597"/>
        <v>0.92383445423967925</v>
      </c>
      <c r="BO881" s="231">
        <f t="shared" si="1504"/>
        <v>11910.073784057944</v>
      </c>
      <c r="BP881" s="231">
        <f t="shared" si="1505"/>
        <v>-981.92621594205593</v>
      </c>
      <c r="BQ881" s="129"/>
      <c r="BR881" s="129"/>
      <c r="BS881" s="129"/>
      <c r="BT881" s="129"/>
      <c r="BU881" s="129"/>
      <c r="BV881" s="129"/>
      <c r="BW881" s="129"/>
      <c r="BX881" s="137"/>
      <c r="BY881" s="129">
        <f>INDEX('Gross Dx Plant'!$D$7:$AC$91,MATCH($C881,'Gross Dx Plant'!$C$7:$C$91,0),MATCH(Calculation!$G881,'Gross Dx Plant'!$D$5:$AC$5,0))</f>
        <v>571023</v>
      </c>
      <c r="BZ881" s="129">
        <f>INDEX('Gross Gen Plant'!$D$7:$AC$91,MATCH($C881,'Gross Gen Plant'!$C$7:$C$91,0),MATCH(Calculation!$G881,'Gross Gen Plant'!$D$5:$AC$5,0))</f>
        <v>47078</v>
      </c>
      <c r="CA881" s="129">
        <f t="shared" si="1595"/>
        <v>618101</v>
      </c>
      <c r="CB881" s="129"/>
      <c r="CC881" s="133">
        <v>2001</v>
      </c>
      <c r="CD881" s="129"/>
      <c r="CE881" s="129"/>
      <c r="CF881" s="129"/>
      <c r="CG881" s="137"/>
      <c r="CH881" s="129">
        <f t="shared" si="1598"/>
        <v>38699</v>
      </c>
      <c r="CI881" s="46">
        <f t="shared" si="1607"/>
        <v>37717.073784057946</v>
      </c>
      <c r="CJ881" s="231">
        <f t="shared" si="1599"/>
        <v>106.71199137309021</v>
      </c>
      <c r="CK881" s="443">
        <v>0.96969696969696972</v>
      </c>
      <c r="CL881" s="231">
        <f>+CL878*CK881+CJ879*CK880+CJ880*CK878+CJ881</f>
        <v>1815.3923703460102</v>
      </c>
      <c r="CM881" s="134">
        <f t="shared" si="1600"/>
        <v>5.0053277423784952E-2</v>
      </c>
      <c r="CN881" s="135">
        <f t="shared" si="1601"/>
        <v>1.0471769762763752E-2</v>
      </c>
      <c r="CO881" s="135">
        <f>+(CN881+CN880+CN879)/3</f>
        <v>1.0177712463095222E-2</v>
      </c>
      <c r="CP881" s="134">
        <f>VLOOKUP($H881,RoR!$E:$F,2,FALSE)</f>
        <v>7.0824999999999999E-2</v>
      </c>
      <c r="CQ881" s="135">
        <v>2.2454495382290052E-2</v>
      </c>
      <c r="CR881" s="135">
        <f t="shared" si="1608"/>
        <v>4.8370504617709947E-2</v>
      </c>
      <c r="CS881" s="135">
        <f>+$CR$2-CO881</f>
        <v>2.0724229145438401E-2</v>
      </c>
      <c r="CT881" s="135">
        <f>+((DF879/DF878-1)+(DF880/DF879-1)+(DF881/DF880-1))/3</f>
        <v>2.3947275901631187E-2</v>
      </c>
      <c r="CU881" s="139">
        <f t="shared" si="1602"/>
        <v>0.85727249999999999</v>
      </c>
      <c r="CV881" s="335">
        <f t="shared" si="1603"/>
        <v>0.72406708481540816</v>
      </c>
      <c r="CW881" s="335">
        <f t="shared" si="1604"/>
        <v>0.62201729615248857</v>
      </c>
      <c r="CX881" s="335">
        <f t="shared" si="1605"/>
        <v>0.9352469954311422</v>
      </c>
      <c r="CY881" s="335">
        <f t="shared" si="1606"/>
        <v>0.42121864641655071</v>
      </c>
      <c r="CZ881" s="336">
        <f>INDEX('State Tax Lookup'!$D$7:$Z$91,MATCH(Calculation!$C881,'State Tax Lookup'!$B$7:$B$91,0),MATCH($H881,'State Tax Lookup'!$D$6:$Z$6,0))</f>
        <v>0.38574999999999998</v>
      </c>
      <c r="DA881" s="302">
        <v>0.37</v>
      </c>
      <c r="DB881" s="57">
        <f t="shared" ref="DB881:DB902" si="1609">+(DF881*CS881-CT881)*CU881/(1-CZ881)</f>
        <v>10.189543337870209</v>
      </c>
      <c r="DC881" s="56"/>
      <c r="DD881" s="303">
        <f>VLOOKUP($H881,RoR!$E:$F,2,FALSE)</f>
        <v>7.0824999999999999E-2</v>
      </c>
      <c r="DE881" s="304">
        <f>HLOOKUP($H881,'GDP-PI'!$D$8:$CQ$11,3,FALSE)</f>
        <v>2.2454495382290052E-2</v>
      </c>
      <c r="DF881" s="303">
        <f>VLOOKUP(H881,'HW Dx Data'!$E:$F,2,FALSE)</f>
        <v>353.44738017483138</v>
      </c>
      <c r="DG881" s="364"/>
      <c r="DH881" s="364"/>
      <c r="DI881" s="364"/>
      <c r="DJ881" s="56"/>
      <c r="DK881" s="53">
        <f>HLOOKUP(H881,'GDP-PI'!$8:$9,2,FALSE)</f>
        <v>79.822000000000003</v>
      </c>
      <c r="DL881" s="298"/>
      <c r="EC881"/>
    </row>
    <row r="882" spans="1:133" s="126" customFormat="1" ht="21" customHeight="1" x14ac:dyDescent="0.4">
      <c r="A882" s="233" t="s">
        <v>234</v>
      </c>
      <c r="B882" s="127" t="s">
        <v>234</v>
      </c>
      <c r="C882" s="127">
        <v>4063341</v>
      </c>
      <c r="D882" s="127" t="s">
        <v>235</v>
      </c>
      <c r="E882" s="127"/>
      <c r="F882" s="127"/>
      <c r="G882" s="127" t="s">
        <v>158</v>
      </c>
      <c r="H882" s="128">
        <v>2002</v>
      </c>
      <c r="I882" s="129"/>
      <c r="J882" s="125"/>
      <c r="K882" s="125"/>
      <c r="L882" s="47"/>
      <c r="M882" s="125"/>
      <c r="N882" s="125"/>
      <c r="O882" s="125"/>
      <c r="P882" s="47"/>
      <c r="Q882" s="47"/>
      <c r="R882" s="386"/>
      <c r="S882" s="119"/>
      <c r="T882" s="47"/>
      <c r="U882" s="47"/>
      <c r="V882" s="125"/>
      <c r="W882" s="125"/>
      <c r="X882" s="125"/>
      <c r="Y882" s="125"/>
      <c r="Z882" s="125"/>
      <c r="AA882" s="125"/>
      <c r="AB882" s="125"/>
      <c r="AC882" s="125">
        <f t="shared" si="1596"/>
        <v>18651.853003154818</v>
      </c>
      <c r="AD882" s="129"/>
      <c r="AE882" s="133">
        <v>1988.8853079382889</v>
      </c>
      <c r="AF882" s="134">
        <v>7.5032357784893922E-2</v>
      </c>
      <c r="AG882" s="61"/>
      <c r="AH882" s="134"/>
      <c r="AI882" s="134"/>
      <c r="AJ882" s="129">
        <f t="shared" si="1588"/>
        <v>18651.853003154818</v>
      </c>
      <c r="AK882" s="134"/>
      <c r="AL882" s="129"/>
      <c r="AM882" s="129"/>
      <c r="AN882" s="129"/>
      <c r="AO882" s="129"/>
      <c r="AP882" s="133"/>
      <c r="AQ882" s="134"/>
      <c r="AR882" s="93"/>
      <c r="AS882" s="93"/>
      <c r="AT882" s="93"/>
      <c r="AU882" s="93"/>
      <c r="AV882" s="93"/>
      <c r="AW882" s="134"/>
      <c r="AX882" s="62"/>
      <c r="AY882" s="93"/>
      <c r="AZ882" s="93"/>
      <c r="BA882" s="93"/>
      <c r="BB882" s="234">
        <f>IFERROR(INDEX('Total Customers'!$E$7:$AA$91,MATCH($C882,'Total Customers'!$C$7:$C$91,0),MATCH($G882,'Total Customers'!$E$5:$AA$5,0)),"NA")</f>
        <v>277160</v>
      </c>
      <c r="BC882" s="269">
        <f t="shared" si="1546"/>
        <v>3.9873834458117194E-2</v>
      </c>
      <c r="BD882" s="92"/>
      <c r="BE882" s="299" t="str">
        <f t="shared" si="1537"/>
        <v>PEOPLES GAS SYSTEM</v>
      </c>
      <c r="BF882" s="300">
        <f t="shared" si="1538"/>
        <v>4063341</v>
      </c>
      <c r="BG882" s="231" t="str">
        <f t="shared" si="1539"/>
        <v>FL</v>
      </c>
      <c r="BH882" s="231"/>
      <c r="BI882" s="231" t="str">
        <f t="shared" si="1540"/>
        <v>2002 Y</v>
      </c>
      <c r="BJ882" s="129"/>
      <c r="BK882" s="129"/>
      <c r="BL882" s="129">
        <f>INDEX('Dist. Plant Gas Additions'!$E$7:$AD$91,MATCH($C882,'Dist. Plant Gas Additions'!$C$7:$C$91,0),MATCH(Calculation!$G882,'Dist. Plant Gas Additions'!$E$5:$AD$5,0))</f>
        <v>47016</v>
      </c>
      <c r="BM882" s="129">
        <f>INDEX('Gen. Plant Additions'!$E$7:$AD$91,MATCH($C882,'Gen. Plant Additions'!$C$7:$C$91,0),MATCH(Calculation!$G882,'Gen. Plant Additions'!$E$5:$AD$5,0))</f>
        <v>8586</v>
      </c>
      <c r="BN882" s="301">
        <f t="shared" si="1597"/>
        <v>0.91812901631240729</v>
      </c>
      <c r="BO882" s="231">
        <f t="shared" si="1504"/>
        <v>7883.0557340583291</v>
      </c>
      <c r="BP882" s="231">
        <f t="shared" si="1505"/>
        <v>-702.94426594167089</v>
      </c>
      <c r="BQ882" s="129">
        <f>INDEX('Dist Plant Depreciation'!$D$7:$AC$94,MATCH($C882,'Dist Plant Depreciation'!$C$7:$C$94,0),MATCH(Calculation!$G882,'Dist Plant Depreciation'!$D$5:$AC$5,0))</f>
        <v>217568</v>
      </c>
      <c r="BR882" s="129">
        <f>INDEX('Gen. Plant Depreciation'!$D$7:$AC$94,MATCH($C882,'Gen. Plant Depreciation'!$C$7:$C$94,0),MATCH(Calculation!$G882,'Gen. Plant Depreciation'!$D$5:$AC$5,0))</f>
        <v>18714</v>
      </c>
      <c r="BS882" s="129"/>
      <c r="BT882" s="129"/>
      <c r="BU882" s="129"/>
      <c r="BV882" s="129"/>
      <c r="BW882" s="129"/>
      <c r="BX882" s="137"/>
      <c r="BY882" s="129">
        <f>INDEX('Gross Dx Plant'!$D$7:$AC$91,MATCH($C882,'Gross Dx Plant'!$C$7:$C$91,0),MATCH(Calculation!$G882,'Gross Dx Plant'!$D$5:$AC$5,0))</f>
        <v>564642</v>
      </c>
      <c r="BZ882" s="129">
        <f>INDEX('Gross Gen Plant'!$D$7:$AC$91,MATCH($C882,'Gross Gen Plant'!$C$7:$C$91,0),MATCH(Calculation!$G882,'Gross Gen Plant'!$D$5:$AC$5,0))</f>
        <v>50350</v>
      </c>
      <c r="CA882" s="129">
        <f t="shared" si="1595"/>
        <v>378710</v>
      </c>
      <c r="CB882" s="129"/>
      <c r="CC882" s="133">
        <v>2002</v>
      </c>
      <c r="CD882" s="129"/>
      <c r="CE882" s="129"/>
      <c r="CF882" s="129"/>
      <c r="CG882" s="137"/>
      <c r="CH882" s="129">
        <f t="shared" si="1598"/>
        <v>55602</v>
      </c>
      <c r="CI882" s="46">
        <f t="shared" si="1607"/>
        <v>54899.055734058333</v>
      </c>
      <c r="CJ882" s="231">
        <f t="shared" si="1599"/>
        <v>151.92841956876191</v>
      </c>
      <c r="CK882" s="443">
        <v>0.95918367346938771</v>
      </c>
      <c r="CL882" s="231">
        <f>+CL878*CK882+CJ879*CK881+CJ880*CK880+CJ881*CK879+CJ882</f>
        <v>1947.8134302661849</v>
      </c>
      <c r="CM882" s="134">
        <f t="shared" si="1600"/>
        <v>7.0405799254592741E-2</v>
      </c>
      <c r="CN882" s="135">
        <f t="shared" si="1601"/>
        <v>1.0745533564663578E-2</v>
      </c>
      <c r="CO882" s="135">
        <f t="shared" ref="CO882:CO902" si="1610">+(CN882+CN881+CN880)/3</f>
        <v>1.0459226951646467E-2</v>
      </c>
      <c r="CP882" s="134">
        <f>VLOOKUP($H882,RoR!$E:$F,2,FALSE)</f>
        <v>6.4916666666666664E-2</v>
      </c>
      <c r="CQ882" s="135">
        <v>1.5246423291824351E-2</v>
      </c>
      <c r="CR882" s="135">
        <f t="shared" si="1608"/>
        <v>4.9670243374842313E-2</v>
      </c>
      <c r="CS882" s="135">
        <f t="shared" ref="CS882:CS902" si="1611">+$CR$2-CO882</f>
        <v>2.0442714656887156E-2</v>
      </c>
      <c r="CT882" s="135">
        <f t="shared" ref="CT882:CT902" si="1612">+((DF880/DF879-1)+(DF881/DF880-1)+(DF882/DF881-1))/3</f>
        <v>2.5243621214759093E-2</v>
      </c>
      <c r="CU882" s="139">
        <f t="shared" si="1602"/>
        <v>0.85727249999999999</v>
      </c>
      <c r="CV882" s="335">
        <f t="shared" si="1603"/>
        <v>0.78996741384417901</v>
      </c>
      <c r="CW882" s="335">
        <f t="shared" si="1604"/>
        <v>0.58989088575096271</v>
      </c>
      <c r="CX882" s="335">
        <f t="shared" si="1605"/>
        <v>0.91920675783645744</v>
      </c>
      <c r="CY882" s="335">
        <f t="shared" si="1606"/>
        <v>0.42834536472275586</v>
      </c>
      <c r="CZ882" s="336">
        <f>INDEX('State Tax Lookup'!$D$7:$Z$91,MATCH(Calculation!$C882,'State Tax Lookup'!$B$7:$B$91,0),MATCH($H882,'State Tax Lookup'!$D$6:$Z$6,0))</f>
        <v>0.38574999999999998</v>
      </c>
      <c r="DA882" s="302">
        <v>0.37</v>
      </c>
      <c r="DB882" s="57">
        <f t="shared" si="1609"/>
        <v>10.274281917137181</v>
      </c>
      <c r="DC882" s="56">
        <f t="shared" ref="DC882:DC900" si="1613">LN(DB882/DB881)</f>
        <v>8.2818400327504867E-3</v>
      </c>
      <c r="DD882" s="303">
        <f>VLOOKUP($H882,RoR!$E:$F,2,FALSE)</f>
        <v>6.4916666666666664E-2</v>
      </c>
      <c r="DE882" s="304">
        <f>HLOOKUP($H882,'GDP-PI'!$D$8:$CQ$11,3,FALSE)</f>
        <v>1.5246423291824351E-2</v>
      </c>
      <c r="DF882" s="303">
        <f>VLOOKUP(H882,'HW Dx Data'!$E:$F,2,FALSE)</f>
        <v>361.34816573413599</v>
      </c>
      <c r="DG882" s="364"/>
      <c r="DH882" s="364"/>
      <c r="DI882" s="364"/>
      <c r="DJ882" s="56"/>
      <c r="DK882" s="53">
        <f>HLOOKUP(H882,'GDP-PI'!$8:$9,2,FALSE)</f>
        <v>81.039000000000001</v>
      </c>
      <c r="DL882" s="355">
        <f>LN(DK882/DK881)</f>
        <v>1.513136459537477E-2</v>
      </c>
      <c r="EC882"/>
    </row>
    <row r="883" spans="1:133" s="126" customFormat="1" ht="21" customHeight="1" x14ac:dyDescent="0.4">
      <c r="A883" s="233" t="s">
        <v>234</v>
      </c>
      <c r="B883" s="127" t="s">
        <v>234</v>
      </c>
      <c r="C883" s="127">
        <v>4063341</v>
      </c>
      <c r="D883" s="127" t="s">
        <v>235</v>
      </c>
      <c r="E883" s="127"/>
      <c r="F883" s="127"/>
      <c r="G883" s="127" t="s">
        <v>159</v>
      </c>
      <c r="H883" s="128">
        <v>2003</v>
      </c>
      <c r="I883" s="129"/>
      <c r="J883" s="125"/>
      <c r="K883" s="125"/>
      <c r="L883" s="47"/>
      <c r="M883" s="125"/>
      <c r="N883" s="125"/>
      <c r="O883" s="125"/>
      <c r="P883" s="59"/>
      <c r="Q883" s="59"/>
      <c r="R883" s="386"/>
      <c r="S883" s="119"/>
      <c r="T883" s="59"/>
      <c r="U883" s="59"/>
      <c r="V883" s="125"/>
      <c r="W883" s="125"/>
      <c r="X883" s="125"/>
      <c r="Y883" s="125"/>
      <c r="Z883" s="125"/>
      <c r="AA883" s="125"/>
      <c r="AB883" s="125"/>
      <c r="AC883" s="125">
        <f t="shared" si="1596"/>
        <v>20182.442458406549</v>
      </c>
      <c r="AD883" s="129"/>
      <c r="AE883" s="133">
        <v>2186.0227068480685</v>
      </c>
      <c r="AF883" s="134">
        <v>9.4509442065673105E-2</v>
      </c>
      <c r="AG883" s="61"/>
      <c r="AH883" s="134"/>
      <c r="AI883" s="134"/>
      <c r="AJ883" s="129">
        <f t="shared" si="1588"/>
        <v>20182.442458406549</v>
      </c>
      <c r="AK883" s="134"/>
      <c r="AL883" s="129"/>
      <c r="AM883" s="129"/>
      <c r="AN883" s="129"/>
      <c r="AO883" s="129"/>
      <c r="AP883" s="133"/>
      <c r="AQ883" s="134"/>
      <c r="AR883" s="93"/>
      <c r="AS883" s="93"/>
      <c r="AT883" s="93"/>
      <c r="AU883" s="93"/>
      <c r="AV883" s="93"/>
      <c r="AW883" s="134"/>
      <c r="AX883" s="62"/>
      <c r="AY883" s="93"/>
      <c r="AZ883" s="93"/>
      <c r="BA883" s="93"/>
      <c r="BB883" s="234">
        <f>IFERROR(INDEX('Total Customers'!$E$7:$AA$91,MATCH($C883,'Total Customers'!$C$7:$C$91,0),MATCH($G883,'Total Customers'!$E$5:$AA$5,0)),"NA")</f>
        <v>291911</v>
      </c>
      <c r="BC883" s="269">
        <f t="shared" si="1546"/>
        <v>5.1854004529262705E-2</v>
      </c>
      <c r="BD883" s="92"/>
      <c r="BE883" s="299" t="str">
        <f t="shared" si="1537"/>
        <v>PEOPLES GAS SYSTEM</v>
      </c>
      <c r="BF883" s="300">
        <f t="shared" si="1538"/>
        <v>4063341</v>
      </c>
      <c r="BG883" s="231" t="str">
        <f t="shared" si="1539"/>
        <v>FL</v>
      </c>
      <c r="BH883" s="231"/>
      <c r="BI883" s="231" t="str">
        <f t="shared" si="1540"/>
        <v>2003 Y</v>
      </c>
      <c r="BJ883" s="129"/>
      <c r="BK883" s="129"/>
      <c r="BL883" s="129">
        <f>INDEX('Dist. Plant Gas Additions'!$E$7:$AD$91,MATCH($C883,'Dist. Plant Gas Additions'!$C$7:$C$91,0),MATCH(Calculation!$G883,'Dist. Plant Gas Additions'!$E$5:$AD$5,0))</f>
        <v>69653</v>
      </c>
      <c r="BM883" s="129">
        <f>INDEX('Gen. Plant Additions'!$E$7:$AD$91,MATCH($C883,'Gen. Plant Additions'!$C$7:$C$91,0),MATCH(Calculation!$G883,'Gen. Plant Additions'!$E$5:$AD$5,0))</f>
        <v>7268</v>
      </c>
      <c r="BN883" s="301">
        <f t="shared" si="1597"/>
        <v>0.94386049695944585</v>
      </c>
      <c r="BO883" s="231">
        <f t="shared" si="1504"/>
        <v>6859.9780919012528</v>
      </c>
      <c r="BP883" s="231">
        <f t="shared" si="1505"/>
        <v>-408.02190809874719</v>
      </c>
      <c r="BQ883" s="129">
        <f>INDEX('Dist Plant Depreciation'!$D$7:$AC$94,MATCH($C883,'Dist Plant Depreciation'!$C$7:$C$94,0),MATCH(Calculation!$G883,'Dist Plant Depreciation'!$D$5:$AC$5,0))</f>
        <v>253590</v>
      </c>
      <c r="BR883" s="129">
        <f>INDEX('Gen. Plant Depreciation'!$D$7:$AC$94,MATCH($C883,'Gen. Plant Depreciation'!$C$7:$C$94,0),MATCH(Calculation!$G883,'Gen. Plant Depreciation'!$D$5:$AC$5,0))</f>
        <v>25511</v>
      </c>
      <c r="BS883" s="129"/>
      <c r="BT883" s="129"/>
      <c r="BU883" s="129"/>
      <c r="BV883" s="129"/>
      <c r="BW883" s="129"/>
      <c r="BX883" s="137"/>
      <c r="BY883" s="129">
        <f>INDEX('Gross Dx Plant'!$D$7:$AC$91,MATCH($C883,'Gross Dx Plant'!$C$7:$C$91,0),MATCH(Calculation!$G883,'Gross Dx Plant'!$D$5:$AC$5,0))</f>
        <v>679673</v>
      </c>
      <c r="BZ883" s="129">
        <f>INDEX('Gross Gen Plant'!$D$7:$AC$91,MATCH($C883,'Gross Gen Plant'!$C$7:$C$91,0),MATCH(Calculation!$G883,'Gross Gen Plant'!$D$5:$AC$5,0))</f>
        <v>40426</v>
      </c>
      <c r="CA883" s="129">
        <f t="shared" si="1595"/>
        <v>440998</v>
      </c>
      <c r="CB883" s="129"/>
      <c r="CC883" s="133">
        <v>2003</v>
      </c>
      <c r="CD883" s="129"/>
      <c r="CE883" s="129"/>
      <c r="CF883" s="129"/>
      <c r="CG883" s="137"/>
      <c r="CH883" s="129">
        <f t="shared" si="1598"/>
        <v>76921</v>
      </c>
      <c r="CI883" s="46">
        <f t="shared" si="1607"/>
        <v>76512.978091901256</v>
      </c>
      <c r="CJ883" s="231">
        <f t="shared" si="1599"/>
        <v>207.22139088777598</v>
      </c>
      <c r="CK883" s="443">
        <v>0.94845360824742264</v>
      </c>
      <c r="CL883" s="231">
        <f>+CL878*CK883+CJ879*CK882+CJ880*CK881+CJ881*CK880+CJ882*CK879+CJ883</f>
        <v>2133.6221607612947</v>
      </c>
      <c r="CM883" s="134">
        <f t="shared" si="1600"/>
        <v>9.1113654774000005E-2</v>
      </c>
      <c r="CN883" s="135">
        <f t="shared" si="1601"/>
        <v>1.0993178330092928E-2</v>
      </c>
      <c r="CO883" s="135">
        <f t="shared" si="1610"/>
        <v>1.073682721917342E-2</v>
      </c>
      <c r="CP883" s="134">
        <f>VLOOKUP($H883,RoR!$E:$F,2,FALSE)</f>
        <v>5.6666666666666671E-2</v>
      </c>
      <c r="CQ883" s="135">
        <v>1.8855119140166909E-2</v>
      </c>
      <c r="CR883" s="135">
        <f t="shared" si="1608"/>
        <v>3.7811547526499761E-2</v>
      </c>
      <c r="CS883" s="135">
        <f t="shared" si="1611"/>
        <v>2.0165114389360205E-2</v>
      </c>
      <c r="CT883" s="135">
        <f t="shared" si="1612"/>
        <v>2.1375012817671957E-2</v>
      </c>
      <c r="CU883" s="139">
        <f t="shared" si="1602"/>
        <v>0.85727249999999999</v>
      </c>
      <c r="CV883" s="335">
        <f t="shared" si="1603"/>
        <v>0.90497737556561086</v>
      </c>
      <c r="CW883" s="335">
        <f t="shared" si="1604"/>
        <v>0.5338235294117647</v>
      </c>
      <c r="CX883" s="335">
        <f t="shared" si="1605"/>
        <v>0.88972433127405692</v>
      </c>
      <c r="CY883" s="335">
        <f t="shared" si="1606"/>
        <v>0.42982423775949252</v>
      </c>
      <c r="CZ883" s="336">
        <f>INDEX('State Tax Lookup'!$D$7:$Z$91,MATCH(Calculation!$C883,'State Tax Lookup'!$B$7:$B$91,0),MATCH($H883,'State Tax Lookup'!$D$6:$Z$6,0))</f>
        <v>0.38574999999999998</v>
      </c>
      <c r="DA883" s="302">
        <v>0.37</v>
      </c>
      <c r="DB883" s="57">
        <f t="shared" si="1609"/>
        <v>10.361589125940286</v>
      </c>
      <c r="DC883" s="56">
        <f t="shared" si="1613"/>
        <v>8.4617440728658212E-3</v>
      </c>
      <c r="DD883" s="303">
        <f>VLOOKUP($H883,RoR!$E:$F,2,FALSE)</f>
        <v>5.6666666666666671E-2</v>
      </c>
      <c r="DE883" s="304">
        <f>HLOOKUP($H883,'GDP-PI'!$D$8:$CQ$11,3,FALSE)</f>
        <v>1.8855119140166909E-2</v>
      </c>
      <c r="DF883" s="303">
        <f>VLOOKUP(H883,'HW Dx Data'!$E:$F,2,FALSE)</f>
        <v>369.23301095560191</v>
      </c>
      <c r="DG883" s="364">
        <f ca="1">VLOOKUP(CC883,'ECI - Input Price'!M$13:N$33,2,FALSE)</f>
        <v>89.25</v>
      </c>
      <c r="DH883" s="364"/>
      <c r="DI883" s="364"/>
      <c r="DJ883" s="56"/>
      <c r="DK883" s="53">
        <f>HLOOKUP(H883,'GDP-PI'!$8:$9,2,FALSE)</f>
        <v>82.566999999999993</v>
      </c>
      <c r="DL883" s="355">
        <f t="shared" ref="DL883:DL902" si="1614">LN(DK883/DK882)</f>
        <v>1.8679564681853753E-2</v>
      </c>
      <c r="EC883"/>
    </row>
    <row r="884" spans="1:133" s="126" customFormat="1" ht="21" customHeight="1" x14ac:dyDescent="0.4">
      <c r="A884" s="233" t="s">
        <v>234</v>
      </c>
      <c r="B884" s="127" t="s">
        <v>234</v>
      </c>
      <c r="C884" s="127">
        <v>4063341</v>
      </c>
      <c r="D884" s="127" t="s">
        <v>235</v>
      </c>
      <c r="E884" s="127"/>
      <c r="F884" s="127"/>
      <c r="G884" s="127" t="s">
        <v>160</v>
      </c>
      <c r="H884" s="128">
        <v>2004</v>
      </c>
      <c r="I884" s="129"/>
      <c r="J884" s="125">
        <f>IFERROR(INDEX('Labor Expenditures'!$E$7:$W$91,MATCH($C884,'Labor Expenditures'!$C$7:$C$91,0),MATCH($G884,'Labor Expenditures'!$E$5:$W$5,0)),"NA")</f>
        <v>23530.377459861564</v>
      </c>
      <c r="K884" s="125">
        <f t="shared" ref="K884:K902" ca="1" si="1615">+J884/DG884</f>
        <v>249.39456767208867</v>
      </c>
      <c r="L884" s="47"/>
      <c r="M884" s="131"/>
      <c r="N884" s="131"/>
      <c r="O884" s="131"/>
      <c r="P884" s="59"/>
      <c r="Q884" s="59"/>
      <c r="R884" s="386"/>
      <c r="S884" s="119"/>
      <c r="T884" s="59"/>
      <c r="U884" s="59"/>
      <c r="V884" s="125">
        <f>IFERROR(INDEX('Non-Labor Expenditures'!$E$7:$AA$91,MATCH($C884,'Non-Labor Expenditures'!$C$7:$C$91,0),MATCH($G884,'Non-Labor Expenditures'!$E$5:$AA$5,0)),"NA")</f>
        <v>34076.381430163136</v>
      </c>
      <c r="W884" s="125">
        <f t="shared" ref="W884:W902" si="1616">+V884/DK884</f>
        <v>401.94839970467729</v>
      </c>
      <c r="X884" s="125"/>
      <c r="Y884" s="125"/>
      <c r="Z884" s="125"/>
      <c r="AA884" s="125"/>
      <c r="AB884" s="125"/>
      <c r="AC884" s="125">
        <f t="shared" si="1596"/>
        <v>24444.089080254027</v>
      </c>
      <c r="AD884" s="129"/>
      <c r="AE884" s="133">
        <v>2271.499648265813</v>
      </c>
      <c r="AF884" s="134">
        <v>3.8356474274062545E-2</v>
      </c>
      <c r="AG884" s="59">
        <f t="shared" ref="AG884:AG902" si="1617">+AF884*$AX884</f>
        <v>0</v>
      </c>
      <c r="AH884" s="134"/>
      <c r="AI884" s="134"/>
      <c r="AJ884" s="129">
        <f t="shared" si="1588"/>
        <v>82050.84797027873</v>
      </c>
      <c r="AK884" s="134"/>
      <c r="AL884" s="129"/>
      <c r="AM884" s="129"/>
      <c r="AN884" s="129"/>
      <c r="AO884" s="129"/>
      <c r="AP884" s="133"/>
      <c r="AQ884" s="134"/>
      <c r="AR884" s="93">
        <f t="shared" ref="AR884:AR902" si="1618">+J884/AJ884</f>
        <v>0.28677799245152191</v>
      </c>
      <c r="AS884" s="93">
        <f t="shared" ref="AS884:AS902" si="1619">+V884/AJ884</f>
        <v>0.41530809581037625</v>
      </c>
      <c r="AT884" s="93">
        <f t="shared" ref="AT884:AT902" si="1620">+AC884/AJ884</f>
        <v>0.29791391173810178</v>
      </c>
      <c r="AU884" s="93"/>
      <c r="AV884" s="93"/>
      <c r="AW884" s="134"/>
      <c r="AX884" s="62"/>
      <c r="AY884" s="93"/>
      <c r="AZ884" s="93"/>
      <c r="BA884" s="93"/>
      <c r="BB884" s="234">
        <f>IFERROR(INDEX('Total Customers'!$E$7:$AA$91,MATCH($C884,'Total Customers'!$C$7:$C$91,0),MATCH($G884,'Total Customers'!$E$5:$AA$5,0)),"NA")</f>
        <v>307395</v>
      </c>
      <c r="BC884" s="269">
        <f t="shared" si="1546"/>
        <v>5.1684604231588729E-2</v>
      </c>
      <c r="BD884" s="92"/>
      <c r="BE884" s="299" t="str">
        <f t="shared" si="1537"/>
        <v>PEOPLES GAS SYSTEM</v>
      </c>
      <c r="BF884" s="300">
        <f t="shared" si="1538"/>
        <v>4063341</v>
      </c>
      <c r="BG884" s="231" t="str">
        <f t="shared" si="1539"/>
        <v>FL</v>
      </c>
      <c r="BH884" s="231"/>
      <c r="BI884" s="231" t="str">
        <f t="shared" si="1540"/>
        <v>2004 Y</v>
      </c>
      <c r="BJ884" s="129"/>
      <c r="BK884" s="129"/>
      <c r="BL884" s="129">
        <f>INDEX('Dist. Plant Gas Additions'!$E$7:$AD$91,MATCH($C884,'Dist. Plant Gas Additions'!$C$7:$C$91,0),MATCH(Calculation!$G884,'Dist. Plant Gas Additions'!$E$5:$AD$5,0))</f>
        <v>37869</v>
      </c>
      <c r="BM884" s="129">
        <f>INDEX('Gen. Plant Additions'!$E$7:$AD$91,MATCH($C884,'Gen. Plant Additions'!$C$7:$C$91,0),MATCH(Calculation!$G884,'Gen. Plant Additions'!$E$5:$AD$5,0))</f>
        <v>2815</v>
      </c>
      <c r="BN884" s="301">
        <f t="shared" si="1597"/>
        <v>0.94732636336591525</v>
      </c>
      <c r="BO884" s="231">
        <f t="shared" si="1504"/>
        <v>2666.7237128750512</v>
      </c>
      <c r="BP884" s="231">
        <f t="shared" si="1505"/>
        <v>-148.27628712494879</v>
      </c>
      <c r="BQ884" s="129">
        <f>INDEX('Dist Plant Depreciation'!$D$7:$AC$94,MATCH($C884,'Dist Plant Depreciation'!$C$7:$C$94,0),MATCH(Calculation!$G884,'Dist Plant Depreciation'!$D$5:$AC$5,0))</f>
        <v>272786</v>
      </c>
      <c r="BR884" s="129">
        <f>INDEX('Gen. Plant Depreciation'!$D$7:$AC$94,MATCH($C884,'Gen. Plant Depreciation'!$C$7:$C$94,0),MATCH(Calculation!$G884,'Gen. Plant Depreciation'!$D$5:$AC$5,0))</f>
        <v>26170</v>
      </c>
      <c r="BS884" s="129"/>
      <c r="BT884" s="129"/>
      <c r="BU884" s="129"/>
      <c r="BV884" s="129"/>
      <c r="BW884" s="129"/>
      <c r="BX884" s="137"/>
      <c r="BY884" s="129">
        <f>INDEX('Gross Dx Plant'!$D$7:$AC$91,MATCH($C884,'Gross Dx Plant'!$C$7:$C$91,0),MATCH(Calculation!$G884,'Gross Dx Plant'!$D$5:$AC$5,0))</f>
        <v>710113</v>
      </c>
      <c r="BZ884" s="129">
        <f>INDEX('Gross Gen Plant'!$D$7:$AC$91,MATCH($C884,'Gross Gen Plant'!$C$7:$C$91,0),MATCH(Calculation!$G884,'Gross Gen Plant'!$D$5:$AC$5,0))</f>
        <v>39484</v>
      </c>
      <c r="CA884" s="129">
        <f t="shared" si="1595"/>
        <v>450641</v>
      </c>
      <c r="CB884" s="129"/>
      <c r="CC884" s="133">
        <v>2004</v>
      </c>
      <c r="CD884" s="129"/>
      <c r="CE884" s="129"/>
      <c r="CF884" s="129"/>
      <c r="CG884" s="137"/>
      <c r="CH884" s="129">
        <f t="shared" si="1598"/>
        <v>40684</v>
      </c>
      <c r="CI884" s="46">
        <f t="shared" si="1607"/>
        <v>40535.723712875049</v>
      </c>
      <c r="CJ884" s="231">
        <f t="shared" si="1599"/>
        <v>97.703001099534745</v>
      </c>
      <c r="CK884" s="443">
        <v>0.9375</v>
      </c>
      <c r="CL884" s="231">
        <f>+CL878*CK884+CJ879*CK883+CJ880*CK882+CJ881*CK881+CJ882*CK880+CJ883*CK879+CJ884</f>
        <v>2207.4171633040096</v>
      </c>
      <c r="CM884" s="134">
        <f t="shared" si="1600"/>
        <v>3.4002047284532086E-2</v>
      </c>
      <c r="CN884" s="135">
        <f t="shared" si="1601"/>
        <v>1.1205357254205349E-2</v>
      </c>
      <c r="CO884" s="135">
        <f t="shared" si="1610"/>
        <v>1.0981356382987284E-2</v>
      </c>
      <c r="CP884" s="134">
        <f>VLOOKUP($H884,RoR!$E:$F,2,FALSE)</f>
        <v>5.6283333333333331E-2</v>
      </c>
      <c r="CQ884" s="135">
        <v>2.6778252812867276E-2</v>
      </c>
      <c r="CR884" s="135">
        <f t="shared" si="1608"/>
        <v>2.9505080520466055E-2</v>
      </c>
      <c r="CS884" s="135">
        <f t="shared" si="1611"/>
        <v>1.9920585225546343E-2</v>
      </c>
      <c r="CT884" s="135">
        <f t="shared" si="1612"/>
        <v>5.5940039414565046E-2</v>
      </c>
      <c r="CU884" s="139">
        <f t="shared" si="1602"/>
        <v>0.85727249999999999</v>
      </c>
      <c r="CV884" s="335">
        <f t="shared" si="1603"/>
        <v>0.91114097628755619</v>
      </c>
      <c r="CW884" s="335">
        <f t="shared" si="1604"/>
        <v>0.53081877405981637</v>
      </c>
      <c r="CX884" s="335">
        <f t="shared" si="1605"/>
        <v>0.88811215519385678</v>
      </c>
      <c r="CY884" s="335">
        <f t="shared" si="1606"/>
        <v>0.42953609753547711</v>
      </c>
      <c r="CZ884" s="336">
        <f>INDEX('State Tax Lookup'!$D$7:$Z$91,MATCH(Calculation!$C884,'State Tax Lookup'!$B$7:$B$91,0),MATCH($H884,'State Tax Lookup'!$D$6:$Z$6,0))</f>
        <v>0.38574999999999998</v>
      </c>
      <c r="DA884" s="302">
        <v>0.37</v>
      </c>
      <c r="DB884" s="57">
        <f t="shared" si="1609"/>
        <v>11.456615669726718</v>
      </c>
      <c r="DC884" s="56">
        <f t="shared" si="1613"/>
        <v>0.10046173529124507</v>
      </c>
      <c r="DD884" s="303">
        <f>VLOOKUP($H884,RoR!$E:$F,2,FALSE)</f>
        <v>5.6283333333333331E-2</v>
      </c>
      <c r="DE884" s="304">
        <f>HLOOKUP($H884,'GDP-PI'!$D$8:$CQ$11,3,FALSE)</f>
        <v>2.6778252812867276E-2</v>
      </c>
      <c r="DF884" s="303">
        <f>VLOOKUP(H884,'HW Dx Data'!$E:$F,2,FALSE)</f>
        <v>414.88719135228365</v>
      </c>
      <c r="DG884" s="364">
        <f ca="1">VLOOKUP(CC884,'ECI - Input Price'!M$13:N$33,2,FALSE)</f>
        <v>94.35</v>
      </c>
      <c r="DH884" s="364"/>
      <c r="DI884" s="364"/>
      <c r="DJ884" s="56">
        <f t="shared" ref="DJ884:DJ902" ca="1" si="1621">LN(DG884/DG883)</f>
        <v>5.5569851154810786E-2</v>
      </c>
      <c r="DK884" s="53">
        <f>HLOOKUP(H884,'GDP-PI'!$8:$9,2,FALSE)</f>
        <v>84.778000000000006</v>
      </c>
      <c r="DL884" s="355">
        <f t="shared" si="1614"/>
        <v>2.6425990216022755E-2</v>
      </c>
      <c r="EC884"/>
    </row>
    <row r="885" spans="1:133" s="126" customFormat="1" ht="21" customHeight="1" x14ac:dyDescent="0.4">
      <c r="A885" s="233" t="s">
        <v>234</v>
      </c>
      <c r="B885" s="127" t="s">
        <v>234</v>
      </c>
      <c r="C885" s="127">
        <v>4063341</v>
      </c>
      <c r="D885" s="127" t="s">
        <v>235</v>
      </c>
      <c r="E885" s="127"/>
      <c r="F885" s="127"/>
      <c r="G885" s="127" t="s">
        <v>161</v>
      </c>
      <c r="H885" s="128">
        <v>2005</v>
      </c>
      <c r="I885" s="129"/>
      <c r="J885" s="125">
        <f>IFERROR(INDEX('Labor Expenditures'!$E$7:$W$91,MATCH($C885,'Labor Expenditures'!$C$7:$C$91,0),MATCH($G885,'Labor Expenditures'!$E$5:$W$5,0)),"NA")</f>
        <v>24466.010083575813</v>
      </c>
      <c r="K885" s="125">
        <f t="shared" ca="1" si="1615"/>
        <v>246.57102628950179</v>
      </c>
      <c r="L885" s="47"/>
      <c r="M885" s="131">
        <f t="shared" ref="M885:M901" ca="1" si="1622">LN(K885/K884)</f>
        <v>-1.1386160337129534E-2</v>
      </c>
      <c r="N885" s="131"/>
      <c r="O885" s="131"/>
      <c r="P885" s="59"/>
      <c r="Q885" s="61"/>
      <c r="R885" s="387"/>
      <c r="S885" s="49">
        <v>100</v>
      </c>
      <c r="T885" s="46"/>
      <c r="U885" s="46"/>
      <c r="V885" s="125">
        <f>IFERROR(INDEX('Non-Labor Expenditures'!$E$7:$AA$91,MATCH($C885,'Non-Labor Expenditures'!$C$7:$C$91,0),MATCH($G885,'Non-Labor Expenditures'!$E$5:$AA$5,0)),"NA")</f>
        <v>35431.35222137026</v>
      </c>
      <c r="W885" s="125">
        <f t="shared" si="1616"/>
        <v>405.36058006075325</v>
      </c>
      <c r="X885" s="131">
        <f>LN(W885/W884)</f>
        <v>8.4532707067066122E-3</v>
      </c>
      <c r="Y885" s="131"/>
      <c r="Z885" s="131"/>
      <c r="AA885" s="131"/>
      <c r="AB885" s="131"/>
      <c r="AC885" s="125">
        <f t="shared" si="1596"/>
        <v>28150.507135704454</v>
      </c>
      <c r="AD885" s="129"/>
      <c r="AE885" s="133">
        <v>2331.5906123522304</v>
      </c>
      <c r="AF885" s="134">
        <v>2.6110449541944896E-2</v>
      </c>
      <c r="AG885" s="59">
        <f t="shared" si="1617"/>
        <v>0</v>
      </c>
      <c r="AH885" s="134"/>
      <c r="AI885" s="134"/>
      <c r="AJ885" s="129">
        <f t="shared" si="1588"/>
        <v>88047.869440650524</v>
      </c>
      <c r="AK885" s="134">
        <f>LN(AJ885/AJ884)</f>
        <v>7.0541485214193761E-2</v>
      </c>
      <c r="AL885" s="129"/>
      <c r="AM885" s="129"/>
      <c r="AN885" s="129"/>
      <c r="AO885" s="129"/>
      <c r="AP885" s="133"/>
      <c r="AQ885" s="134"/>
      <c r="AR885" s="93">
        <f t="shared" si="1618"/>
        <v>0.27787168774217019</v>
      </c>
      <c r="AS885" s="93">
        <f t="shared" si="1619"/>
        <v>0.40241010312297321</v>
      </c>
      <c r="AT885" s="93">
        <f t="shared" si="1620"/>
        <v>0.3197182091348566</v>
      </c>
      <c r="AU885" s="93">
        <f t="shared" ref="AU885:AU901" ca="1" si="1623">+(((AR885+AR884)/2)*M885+((AS884+AS885)/2)*X885+((AT884+AT885)/2)*AF885)</f>
        <v>8.3049269159638367E-3</v>
      </c>
      <c r="AV885" s="132">
        <v>100</v>
      </c>
      <c r="AW885" s="134"/>
      <c r="AX885" s="15"/>
      <c r="AY885" s="93"/>
      <c r="AZ885" s="93"/>
      <c r="BA885" s="93"/>
      <c r="BB885" s="234">
        <f>IFERROR(INDEX('Total Customers'!$E$7:$AA$91,MATCH($C885,'Total Customers'!$C$7:$C$91,0),MATCH($G885,'Total Customers'!$E$5:$AA$5,0)),"NA")</f>
        <v>318404</v>
      </c>
      <c r="BC885" s="269">
        <f t="shared" si="1546"/>
        <v>3.5187451185354823E-2</v>
      </c>
      <c r="BD885" s="92"/>
      <c r="BE885" s="299" t="str">
        <f t="shared" si="1537"/>
        <v>PEOPLES GAS SYSTEM</v>
      </c>
      <c r="BF885" s="300">
        <f t="shared" si="1538"/>
        <v>4063341</v>
      </c>
      <c r="BG885" s="231" t="str">
        <f t="shared" si="1539"/>
        <v>FL</v>
      </c>
      <c r="BH885" s="231"/>
      <c r="BI885" s="231" t="str">
        <f t="shared" si="1540"/>
        <v>2005 Y</v>
      </c>
      <c r="BJ885" s="129"/>
      <c r="BK885" s="129"/>
      <c r="BL885" s="129">
        <f>INDEX('Dist. Plant Gas Additions'!$E$7:$AD$91,MATCH($C885,'Dist. Plant Gas Additions'!$C$7:$C$91,0),MATCH(Calculation!$G885,'Dist. Plant Gas Additions'!$E$5:$AD$5,0))</f>
        <v>31836</v>
      </c>
      <c r="BM885" s="129">
        <f>INDEX('Gen. Plant Additions'!$E$7:$AD$91,MATCH($C885,'Gen. Plant Additions'!$C$7:$C$91,0),MATCH(Calculation!$G885,'Gen. Plant Additions'!$E$5:$AD$5,0))</f>
        <v>2683</v>
      </c>
      <c r="BN885" s="301">
        <f t="shared" si="1597"/>
        <v>0.94733469156179084</v>
      </c>
      <c r="BO885" s="231">
        <f t="shared" si="1504"/>
        <v>2541.6989774602848</v>
      </c>
      <c r="BP885" s="231">
        <f t="shared" si="1505"/>
        <v>-141.30102253971518</v>
      </c>
      <c r="BQ885" s="129">
        <f>INDEX('Dist Plant Depreciation'!$D$7:$AC$94,MATCH($C885,'Dist Plant Depreciation'!$C$7:$C$94,0),MATCH(Calculation!$G885,'Dist Plant Depreciation'!$D$5:$AC$5,0))</f>
        <v>292024</v>
      </c>
      <c r="BR885" s="129">
        <f>INDEX('Gen. Plant Depreciation'!$D$7:$AC$94,MATCH($C885,'Gen. Plant Depreciation'!$C$7:$C$94,0),MATCH(Calculation!$G885,'Gen. Plant Depreciation'!$D$5:$AC$5,0))</f>
        <v>30349</v>
      </c>
      <c r="BS885" s="129"/>
      <c r="BT885" s="129"/>
      <c r="BU885" s="129"/>
      <c r="BV885" s="129"/>
      <c r="BW885" s="129"/>
      <c r="BX885" s="137"/>
      <c r="BY885" s="129">
        <f>INDEX('Gross Dx Plant'!$D$7:$AC$91,MATCH($C885,'Gross Dx Plant'!$C$7:$C$91,0),MATCH(Calculation!$G885,'Gross Dx Plant'!$D$5:$AC$5,0))</f>
        <v>734677</v>
      </c>
      <c r="BZ885" s="129">
        <f>INDEX('Gross Gen Plant'!$D$7:$AC$91,MATCH($C885,'Gross Gen Plant'!$C$7:$C$91,0),MATCH(Calculation!$G885,'Gross Gen Plant'!$D$5:$AC$5,0))</f>
        <v>40843</v>
      </c>
      <c r="CA885" s="129">
        <f t="shared" si="1595"/>
        <v>453147</v>
      </c>
      <c r="CB885" s="129"/>
      <c r="CC885" s="133">
        <v>2005</v>
      </c>
      <c r="CD885" s="129"/>
      <c r="CE885" s="129"/>
      <c r="CF885" s="129"/>
      <c r="CG885" s="137"/>
      <c r="CH885" s="129">
        <f t="shared" si="1598"/>
        <v>34519</v>
      </c>
      <c r="CI885" s="46">
        <f t="shared" si="1607"/>
        <v>34377.698977460284</v>
      </c>
      <c r="CJ885" s="231">
        <f t="shared" si="1599"/>
        <v>73.267950457369679</v>
      </c>
      <c r="CK885" s="443">
        <v>0.9263157894736842</v>
      </c>
      <c r="CL885" s="231">
        <f>+CL878*CK885+CJ879*CK884+CJ880*CK883+CJ881*CK882+CJ882*CK881+CJ883*CK880+CJ884*CK879+CJ885</f>
        <v>2255.311149787352</v>
      </c>
      <c r="CM885" s="134">
        <f t="shared" si="1600"/>
        <v>2.1464817928521281E-2</v>
      </c>
      <c r="CN885" s="135">
        <f t="shared" si="1601"/>
        <v>1.1494865762504162E-2</v>
      </c>
      <c r="CO885" s="135">
        <f t="shared" si="1610"/>
        <v>1.1231133782267479E-2</v>
      </c>
      <c r="CP885" s="134">
        <f>VLOOKUP($H885,RoR!$E:$F,2,FALSE)</f>
        <v>5.2350000000000001E-2</v>
      </c>
      <c r="CQ885" s="135">
        <v>3.1010403642454332E-2</v>
      </c>
      <c r="CR885" s="135">
        <f t="shared" si="1608"/>
        <v>2.1339596357545669E-2</v>
      </c>
      <c r="CS885" s="135">
        <f t="shared" si="1611"/>
        <v>1.9670807826266144E-2</v>
      </c>
      <c r="CT885" s="135">
        <f t="shared" si="1612"/>
        <v>9.2129610649277341E-2</v>
      </c>
      <c r="CU885" s="139">
        <f t="shared" si="1602"/>
        <v>0.85727249999999999</v>
      </c>
      <c r="CV885" s="335">
        <f t="shared" si="1603"/>
        <v>0.97959983346802826</v>
      </c>
      <c r="CW885" s="335">
        <f t="shared" si="1604"/>
        <v>0.49744508118433622</v>
      </c>
      <c r="CX885" s="335">
        <f t="shared" si="1605"/>
        <v>0.87010519444335932</v>
      </c>
      <c r="CY885" s="335">
        <f t="shared" si="1606"/>
        <v>0.42399975420741998</v>
      </c>
      <c r="CZ885" s="336">
        <f>INDEX('State Tax Lookup'!$D$7:$Z$91,MATCH(Calculation!$C885,'State Tax Lookup'!$B$7:$B$91,0),MATCH($H885,'State Tax Lookup'!$D$6:$Z$6,0))</f>
        <v>0.38574999999999998</v>
      </c>
      <c r="DA885" s="302">
        <v>0.37</v>
      </c>
      <c r="DB885" s="57">
        <f t="shared" si="1609"/>
        <v>12.752690159194669</v>
      </c>
      <c r="DC885" s="56">
        <f t="shared" si="1613"/>
        <v>0.107174891332348</v>
      </c>
      <c r="DD885" s="303">
        <f>VLOOKUP($H885,RoR!$E:$F,2,FALSE)</f>
        <v>5.2350000000000001E-2</v>
      </c>
      <c r="DE885" s="304">
        <f>HLOOKUP($H885,'GDP-PI'!$D$8:$CQ$11,3,FALSE)</f>
        <v>3.1010403642454332E-2</v>
      </c>
      <c r="DF885" s="303">
        <f>VLOOKUP(H885,'HW Dx Data'!$E:$F,2,FALSE)</f>
        <v>469.20514034936258</v>
      </c>
      <c r="DG885" s="364">
        <f ca="1">VLOOKUP(CC885,'ECI - Input Price'!M$13:N$33,2,FALSE)</f>
        <v>99.224999999999994</v>
      </c>
      <c r="DH885" s="364"/>
      <c r="DI885" s="364"/>
      <c r="DJ885" s="56">
        <f t="shared" ca="1" si="1621"/>
        <v>5.0378726854569796E-2</v>
      </c>
      <c r="DK885" s="53">
        <f>HLOOKUP(H885,'GDP-PI'!$8:$9,2,FALSE)</f>
        <v>87.406999999999996</v>
      </c>
      <c r="DL885" s="355">
        <f t="shared" si="1614"/>
        <v>3.0539295810733648E-2</v>
      </c>
      <c r="EC885"/>
    </row>
    <row r="886" spans="1:133" s="126" customFormat="1" ht="21" customHeight="1" x14ac:dyDescent="0.4">
      <c r="A886" s="233" t="s">
        <v>234</v>
      </c>
      <c r="B886" s="127" t="s">
        <v>234</v>
      </c>
      <c r="C886" s="127">
        <v>4063341</v>
      </c>
      <c r="D886" s="127" t="s">
        <v>235</v>
      </c>
      <c r="E886" s="127"/>
      <c r="F886" s="127"/>
      <c r="G886" s="127" t="s">
        <v>162</v>
      </c>
      <c r="H886" s="128">
        <v>2006</v>
      </c>
      <c r="I886" s="129"/>
      <c r="J886" s="125">
        <f>IFERROR(INDEX('Labor Expenditures'!$E$7:$W$91,MATCH($C886,'Labor Expenditures'!$C$7:$C$91,0),MATCH($G886,'Labor Expenditures'!$E$5:$W$5,0)),"NA")</f>
        <v>25572.637831802076</v>
      </c>
      <c r="K886" s="125">
        <f t="shared" ca="1" si="1615"/>
        <v>233.75354508045771</v>
      </c>
      <c r="L886" s="47"/>
      <c r="M886" s="131">
        <f t="shared" ca="1" si="1622"/>
        <v>-5.3382756910732035E-2</v>
      </c>
      <c r="N886" s="131"/>
      <c r="O886" s="131"/>
      <c r="P886" s="59">
        <f t="shared" ref="P886:P902" ca="1" si="1624">+M886*$AX886</f>
        <v>-6.606763558334106E-4</v>
      </c>
      <c r="Q886" s="61"/>
      <c r="R886" s="387"/>
      <c r="S886" s="49">
        <f ca="1">+S885*EXP(T886)</f>
        <v>112.42837666038137</v>
      </c>
      <c r="T886" s="61">
        <f ca="1">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</f>
        <v>0.11714618099977821</v>
      </c>
      <c r="U886" s="61"/>
      <c r="V886" s="125">
        <f>IFERROR(INDEX('Non-Labor Expenditures'!$E$7:$AA$91,MATCH($C886,'Non-Labor Expenditures'!$C$7:$C$91,0),MATCH($G886,'Non-Labor Expenditures'!$E$5:$AA$5,0)),"NA")</f>
        <v>37033.955890354613</v>
      </c>
      <c r="W886" s="125">
        <f t="shared" si="1616"/>
        <v>411.15034183398774</v>
      </c>
      <c r="X886" s="131">
        <f t="shared" ref="X886:X901" si="1625">LN(W886/W885)</f>
        <v>1.4181950682565682E-2</v>
      </c>
      <c r="Y886" s="131">
        <f t="shared" ref="Y886:Y902" si="1626">+X886*AX886</f>
        <v>1.7551883862489256E-4</v>
      </c>
      <c r="Z886" s="131"/>
      <c r="AA886" s="131"/>
      <c r="AB886" s="131"/>
      <c r="AC886" s="125">
        <f t="shared" si="1596"/>
        <v>27904.90811477305</v>
      </c>
      <c r="AD886" s="129"/>
      <c r="AE886" s="133">
        <v>2432.5957243828243</v>
      </c>
      <c r="AF886" s="134">
        <v>4.2408185655413516E-2</v>
      </c>
      <c r="AG886" s="59">
        <f t="shared" si="1617"/>
        <v>5.2485272731750919E-4</v>
      </c>
      <c r="AH886" s="134"/>
      <c r="AI886" s="134"/>
      <c r="AJ886" s="129">
        <f t="shared" si="1588"/>
        <v>90511.501836929732</v>
      </c>
      <c r="AK886" s="134">
        <f t="shared" ref="AK886:AK902" si="1627">LN(AJ886/AJ885)</f>
        <v>2.7596297254988293E-2</v>
      </c>
      <c r="AL886" s="129"/>
      <c r="AM886" s="129"/>
      <c r="AN886" s="129"/>
      <c r="AO886" s="129"/>
      <c r="AP886" s="133">
        <f t="shared" ref="AP886:AP902" si="1628">+(AJ886*1000)/BB886</f>
        <v>275.88073053971186</v>
      </c>
      <c r="AQ886" s="134">
        <f>+BB886/Outputs!$B$14</f>
        <v>9.4598700302285527E-3</v>
      </c>
      <c r="AR886" s="93">
        <f t="shared" si="1618"/>
        <v>0.2825346758456741</v>
      </c>
      <c r="AS886" s="93">
        <f t="shared" si="1619"/>
        <v>0.40916298082288954</v>
      </c>
      <c r="AT886" s="93">
        <f t="shared" si="1620"/>
        <v>0.30830234333143641</v>
      </c>
      <c r="AU886" s="93">
        <f t="shared" ca="1" si="1623"/>
        <v>4.1134324787933402E-3</v>
      </c>
      <c r="AV886" s="132">
        <f ca="1">+AV885*EXP(AU886)</f>
        <v>100.41219042542147</v>
      </c>
      <c r="AW886" s="134">
        <f ca="1">LN(AV886/AV885)</f>
        <v>4.1134324787933749E-3</v>
      </c>
      <c r="AX886" s="56">
        <f>+AJ886/$AL$11</f>
        <v>1.2376212733602536E-2</v>
      </c>
      <c r="AY886" s="135">
        <f ca="1">+AX886*AW886</f>
        <v>5.0908715422856808E-5</v>
      </c>
      <c r="AZ886" s="93"/>
      <c r="BA886" s="93"/>
      <c r="BB886" s="234">
        <f>IFERROR(INDEX('Total Customers'!$E$7:$AA$91,MATCH($C886,'Total Customers'!$C$7:$C$91,0),MATCH($G886,'Total Customers'!$E$5:$AA$5,0)),"NA")</f>
        <v>328082</v>
      </c>
      <c r="BC886" s="269">
        <f t="shared" si="1546"/>
        <v>2.9942560433964184E-2</v>
      </c>
      <c r="BD886" s="92"/>
      <c r="BE886" s="299" t="str">
        <f t="shared" si="1537"/>
        <v>PEOPLES GAS SYSTEM</v>
      </c>
      <c r="BF886" s="300">
        <f t="shared" si="1538"/>
        <v>4063341</v>
      </c>
      <c r="BG886" s="231" t="str">
        <f t="shared" si="1539"/>
        <v>FL</v>
      </c>
      <c r="BH886" s="231"/>
      <c r="BI886" s="231" t="str">
        <f t="shared" si="1540"/>
        <v>2006 Y</v>
      </c>
      <c r="BJ886" s="129"/>
      <c r="BK886" s="129"/>
      <c r="BL886" s="129">
        <f>INDEX('Dist. Plant Gas Additions'!$E$7:$AD$91,MATCH($C886,'Dist. Plant Gas Additions'!$C$7:$C$91,0),MATCH(Calculation!$G886,'Dist. Plant Gas Additions'!$E$5:$AD$5,0))</f>
        <v>49421</v>
      </c>
      <c r="BM886" s="129">
        <f>INDEX('Gen. Plant Additions'!$E$7:$AD$91,MATCH($C886,'Gen. Plant Additions'!$C$7:$C$91,0),MATCH(Calculation!$G886,'Gen. Plant Additions'!$E$5:$AD$5,0))</f>
        <v>3738</v>
      </c>
      <c r="BN886" s="301">
        <f t="shared" si="1597"/>
        <v>0.94989559301585991</v>
      </c>
      <c r="BO886" s="231">
        <f t="shared" si="1504"/>
        <v>3550.7097266932842</v>
      </c>
      <c r="BP886" s="231">
        <f t="shared" si="1505"/>
        <v>-187.29027330671579</v>
      </c>
      <c r="BQ886" s="129">
        <f>INDEX('Dist Plant Depreciation'!$D$7:$AC$94,MATCH($C886,'Dist Plant Depreciation'!$C$7:$C$94,0),MATCH(Calculation!$G886,'Dist Plant Depreciation'!$D$5:$AC$5,0))</f>
        <v>317020</v>
      </c>
      <c r="BR886" s="129">
        <f>INDEX('Gen. Plant Depreciation'!$D$7:$AC$94,MATCH($C886,'Gen. Plant Depreciation'!$C$7:$C$94,0),MATCH(Calculation!$G886,'Gen. Plant Depreciation'!$D$5:$AC$5,0))</f>
        <v>32478</v>
      </c>
      <c r="BS886" s="129"/>
      <c r="BT886" s="129"/>
      <c r="BU886" s="129"/>
      <c r="BV886" s="129"/>
      <c r="BW886" s="129"/>
      <c r="BX886" s="137"/>
      <c r="BY886" s="129">
        <f>INDEX('Gross Dx Plant'!$D$7:$AC$91,MATCH($C886,'Gross Dx Plant'!$C$7:$C$91,0),MATCH(Calculation!$G886,'Gross Dx Plant'!$D$5:$AC$5,0))</f>
        <v>781064</v>
      </c>
      <c r="BZ886" s="129">
        <f>INDEX('Gross Gen Plant'!$D$7:$AC$91,MATCH($C886,'Gross Gen Plant'!$C$7:$C$91,0),MATCH(Calculation!$G886,'Gross Gen Plant'!$D$5:$AC$5,0))</f>
        <v>41199</v>
      </c>
      <c r="CA886" s="129">
        <f t="shared" si="1595"/>
        <v>472765</v>
      </c>
      <c r="CB886" s="134"/>
      <c r="CC886" s="133">
        <v>2006</v>
      </c>
      <c r="CD886" s="129"/>
      <c r="CE886" s="129"/>
      <c r="CF886" s="129"/>
      <c r="CG886" s="137"/>
      <c r="CH886" s="129">
        <f t="shared" si="1598"/>
        <v>53159</v>
      </c>
      <c r="CI886" s="46">
        <f t="shared" si="1607"/>
        <v>52971.709726693283</v>
      </c>
      <c r="CJ886" s="231">
        <f t="shared" si="1599"/>
        <v>114.88474454886074</v>
      </c>
      <c r="CK886" s="443">
        <v>0.91489361702127658</v>
      </c>
      <c r="CL886" s="231">
        <f>+CL878*CK886+CJ879*CK885+CJ880*CK884+CJ881*CK883+CJ882*CK882+CJ883*CK881+CJ884*CK880+CJ885*CK879+CJ886</f>
        <v>2343.5627819846322</v>
      </c>
      <c r="CM886" s="134">
        <f t="shared" si="1600"/>
        <v>3.8384382256156827E-2</v>
      </c>
      <c r="CN886" s="135">
        <f t="shared" si="1601"/>
        <v>1.1809063398676331E-2</v>
      </c>
      <c r="CO886" s="135">
        <f t="shared" si="1610"/>
        <v>1.1503095471795281E-2</v>
      </c>
      <c r="CP886" s="134">
        <f>VLOOKUP($H886,RoR!$E:$F,2,FALSE)</f>
        <v>5.5874999999999994E-2</v>
      </c>
      <c r="CQ886" s="135">
        <v>3.0512430354548314E-2</v>
      </c>
      <c r="CR886" s="135">
        <f t="shared" si="1608"/>
        <v>2.536256964545168E-2</v>
      </c>
      <c r="CS886" s="135">
        <f t="shared" si="1611"/>
        <v>1.9398846136738344E-2</v>
      </c>
      <c r="CT886" s="135">
        <f t="shared" si="1612"/>
        <v>7.9087823893859641E-2</v>
      </c>
      <c r="CU886" s="139">
        <f t="shared" si="1602"/>
        <v>0.85727249999999999</v>
      </c>
      <c r="CV886" s="335">
        <f t="shared" si="1603"/>
        <v>0.91779957551769631</v>
      </c>
      <c r="CW886" s="335">
        <f t="shared" si="1604"/>
        <v>0.52757270693512304</v>
      </c>
      <c r="CX886" s="335">
        <f t="shared" si="1605"/>
        <v>0.88636824549024895</v>
      </c>
      <c r="CY886" s="335">
        <f t="shared" si="1606"/>
        <v>0.42918482841932087</v>
      </c>
      <c r="CZ886" s="336">
        <f>INDEX('State Tax Lookup'!$D$7:$Z$91,MATCH(Calculation!$C886,'State Tax Lookup'!$B$7:$B$91,0),MATCH($H886,'State Tax Lookup'!$D$6:$Z$6,0))</f>
        <v>0.38574999999999998</v>
      </c>
      <c r="DA886" s="302">
        <v>0.37</v>
      </c>
      <c r="DB886" s="57">
        <f t="shared" si="1609"/>
        <v>12.372974840923453</v>
      </c>
      <c r="DC886" s="56">
        <f t="shared" si="1613"/>
        <v>-3.0227596382128952E-2</v>
      </c>
      <c r="DD886" s="303">
        <f>VLOOKUP($H886,RoR!$E:$F,2,FALSE)</f>
        <v>5.5874999999999994E-2</v>
      </c>
      <c r="DE886" s="304">
        <f>HLOOKUP($H886,'GDP-PI'!$D$8:$CQ$11,3,FALSE)</f>
        <v>3.0512430354548314E-2</v>
      </c>
      <c r="DF886" s="303">
        <f>VLOOKUP(H886,'HW Dx Data'!$E:$F,2,FALSE)</f>
        <v>461.08567272971823</v>
      </c>
      <c r="DG886" s="364">
        <f ca="1">VLOOKUP(CC886,'ECI - Input Price'!M$13:N$33,2,FALSE)</f>
        <v>109.4</v>
      </c>
      <c r="DH886" s="364"/>
      <c r="DI886" s="364"/>
      <c r="DJ886" s="56">
        <f t="shared" ca="1" si="1621"/>
        <v>9.7620891318751846E-2</v>
      </c>
      <c r="DK886" s="53">
        <f>HLOOKUP(H886,'GDP-PI'!$8:$9,2,FALSE)</f>
        <v>90.073999999999998</v>
      </c>
      <c r="DL886" s="355">
        <f t="shared" si="1614"/>
        <v>3.005618372545445E-2</v>
      </c>
      <c r="EC886"/>
    </row>
    <row r="887" spans="1:133" s="126" customFormat="1" ht="21" customHeight="1" x14ac:dyDescent="0.4">
      <c r="A887" s="233" t="s">
        <v>234</v>
      </c>
      <c r="B887" s="127" t="s">
        <v>234</v>
      </c>
      <c r="C887" s="127">
        <v>4063341</v>
      </c>
      <c r="D887" s="127" t="s">
        <v>235</v>
      </c>
      <c r="E887" s="127"/>
      <c r="F887" s="127"/>
      <c r="G887" s="127" t="s">
        <v>163</v>
      </c>
      <c r="H887" s="128">
        <v>2007</v>
      </c>
      <c r="I887" s="129"/>
      <c r="J887" s="125">
        <f>IFERROR(INDEX('Labor Expenditures'!$E$7:$W$91,MATCH($C887,'Labor Expenditures'!$C$7:$C$91,0),MATCH($G887,'Labor Expenditures'!$E$5:$W$5,0)),"NA")</f>
        <v>25713.725465201464</v>
      </c>
      <c r="K887" s="125">
        <f t="shared" ca="1" si="1615"/>
        <v>246.00550552692147</v>
      </c>
      <c r="L887" s="47"/>
      <c r="M887" s="131">
        <f t="shared" ca="1" si="1622"/>
        <v>5.1086581699270689E-2</v>
      </c>
      <c r="N887" s="131"/>
      <c r="O887" s="131"/>
      <c r="P887" s="59">
        <f t="shared" ca="1" si="1624"/>
        <v>6.255330322887144E-4</v>
      </c>
      <c r="Q887" s="61"/>
      <c r="R887" s="387"/>
      <c r="S887" s="49">
        <f t="shared" ref="S887:S900" ca="1" si="1629">+S886*EXP(T887)</f>
        <v>119.6438335652708</v>
      </c>
      <c r="T887" s="61">
        <f ca="1">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</f>
        <v>6.2202908765298381E-2</v>
      </c>
      <c r="U887" s="61"/>
      <c r="V887" s="125">
        <f>IFERROR(INDEX('Non-Labor Expenditures'!$E$7:$AA$91,MATCH($C887,'Non-Labor Expenditures'!$C$7:$C$91,0),MATCH($G887,'Non-Labor Expenditures'!$E$5:$AA$5,0)),"NA")</f>
        <v>37238.277135051918</v>
      </c>
      <c r="W887" s="125">
        <f t="shared" si="1616"/>
        <v>402.5846735610707</v>
      </c>
      <c r="X887" s="131">
        <f t="shared" si="1625"/>
        <v>-2.1053498996019826E-2</v>
      </c>
      <c r="Y887" s="131">
        <f t="shared" si="1626"/>
        <v>-2.5779096250348055E-4</v>
      </c>
      <c r="Z887" s="131"/>
      <c r="AA887" s="131"/>
      <c r="AB887" s="131"/>
      <c r="AC887" s="125">
        <f t="shared" si="1596"/>
        <v>30907.072747689377</v>
      </c>
      <c r="AD887" s="129"/>
      <c r="AE887" s="133">
        <v>2492.2761635294073</v>
      </c>
      <c r="AF887" s="134">
        <v>2.4237528252990047E-2</v>
      </c>
      <c r="AG887" s="59">
        <f t="shared" si="1617"/>
        <v>2.967780195693284E-4</v>
      </c>
      <c r="AH887" s="134"/>
      <c r="AI887" s="134"/>
      <c r="AJ887" s="129">
        <f t="shared" si="1588"/>
        <v>93859.075347942766</v>
      </c>
      <c r="AK887" s="134">
        <f t="shared" si="1627"/>
        <v>3.6317524170309194E-2</v>
      </c>
      <c r="AL887" s="129"/>
      <c r="AM887" s="129"/>
      <c r="AN887" s="129"/>
      <c r="AO887" s="129"/>
      <c r="AP887" s="133">
        <f t="shared" si="1628"/>
        <v>280.7269042508525</v>
      </c>
      <c r="AQ887" s="134">
        <f>+BB887/Outputs!$B$15</f>
        <v>9.5678155697473729E-3</v>
      </c>
      <c r="AR887" s="93">
        <f t="shared" si="1618"/>
        <v>0.27396099279562169</v>
      </c>
      <c r="AS887" s="93">
        <f t="shared" si="1619"/>
        <v>0.39674668642330835</v>
      </c>
      <c r="AT887" s="93">
        <f t="shared" si="1620"/>
        <v>0.3292923207810699</v>
      </c>
      <c r="AU887" s="93">
        <f t="shared" ca="1" si="1623"/>
        <v>1.345798087823295E-2</v>
      </c>
      <c r="AV887" s="132">
        <f ca="1">+AV886*EXP(AU887)</f>
        <v>101.77266988357871</v>
      </c>
      <c r="AW887" s="134">
        <f ca="1">LN(AV887/AV886)</f>
        <v>1.3457980878232908E-2</v>
      </c>
      <c r="AX887" s="56">
        <f>+AJ887/$AL$12</f>
        <v>1.2244566214490811E-2</v>
      </c>
      <c r="AY887" s="135">
        <f t="shared" ref="AY887:AY901" ca="1" si="1630">+AX887*AW887</f>
        <v>1.6478713797687402E-4</v>
      </c>
      <c r="AZ887" s="93"/>
      <c r="BA887" s="93"/>
      <c r="BB887" s="234">
        <f>IFERROR(INDEX('Total Customers'!$E$7:$AA$91,MATCH($C887,'Total Customers'!$C$7:$C$91,0),MATCH($G887,'Total Customers'!$E$5:$AA$5,0)),"NA")</f>
        <v>334343</v>
      </c>
      <c r="BC887" s="269">
        <f t="shared" si="1546"/>
        <v>1.8903834996713883E-2</v>
      </c>
      <c r="BD887" s="92"/>
      <c r="BE887" s="299" t="str">
        <f t="shared" si="1537"/>
        <v>PEOPLES GAS SYSTEM</v>
      </c>
      <c r="BF887" s="300">
        <f t="shared" si="1538"/>
        <v>4063341</v>
      </c>
      <c r="BG887" s="231" t="str">
        <f t="shared" si="1539"/>
        <v>FL</v>
      </c>
      <c r="BH887" s="231"/>
      <c r="BI887" s="231" t="str">
        <f t="shared" si="1540"/>
        <v>2007 Y</v>
      </c>
      <c r="BJ887" s="129"/>
      <c r="BK887" s="129"/>
      <c r="BL887" s="129">
        <f>INDEX('Dist. Plant Gas Additions'!$E$7:$AD$91,MATCH($C887,'Dist. Plant Gas Additions'!$C$7:$C$91,0),MATCH(Calculation!$G887,'Dist. Plant Gas Additions'!$E$5:$AD$5,0))</f>
        <v>33594</v>
      </c>
      <c r="BM887" s="129">
        <f>INDEX('Gen. Plant Additions'!$E$7:$AD$91,MATCH($C887,'Gen. Plant Additions'!$C$7:$C$91,0),MATCH(Calculation!$G887,'Gen. Plant Additions'!$E$5:$AD$5,0))</f>
        <v>3765</v>
      </c>
      <c r="BN887" s="301">
        <f t="shared" si="1597"/>
        <v>0.95036573728028728</v>
      </c>
      <c r="BO887" s="231">
        <f t="shared" ref="BO887:BO950" si="1631">+BN887*BM887</f>
        <v>3578.1270008602814</v>
      </c>
      <c r="BP887" s="231">
        <f t="shared" ref="BP887:BP950" si="1632">+BO887-BM887</f>
        <v>-186.87299913971856</v>
      </c>
      <c r="BQ887" s="129">
        <f>INDEX('Dist Plant Depreciation'!$D$7:$AC$94,MATCH($C887,'Dist Plant Depreciation'!$C$7:$C$94,0),MATCH(Calculation!$G887,'Dist Plant Depreciation'!$D$5:$AC$5,0))</f>
        <v>375308</v>
      </c>
      <c r="BR887" s="129">
        <f>INDEX('Gen. Plant Depreciation'!$D$7:$AC$94,MATCH($C887,'Gen. Plant Depreciation'!$C$7:$C$94,0),MATCH(Calculation!$G887,'Gen. Plant Depreciation'!$D$5:$AC$5,0))</f>
        <v>3270</v>
      </c>
      <c r="BS887" s="129"/>
      <c r="BT887" s="129"/>
      <c r="BU887" s="129"/>
      <c r="BV887" s="129"/>
      <c r="BW887" s="129"/>
      <c r="BX887" s="137"/>
      <c r="BY887" s="129">
        <f>INDEX('Gross Dx Plant'!$D$7:$AC$91,MATCH($C887,'Gross Dx Plant'!$C$7:$C$91,0),MATCH(Calculation!$G887,'Gross Dx Plant'!$D$5:$AC$5,0))</f>
        <v>808651</v>
      </c>
      <c r="BZ887" s="129">
        <f>INDEX('Gross Gen Plant'!$D$7:$AC$91,MATCH($C887,'Gross Gen Plant'!$C$7:$C$91,0),MATCH(Calculation!$G887,'Gross Gen Plant'!$D$5:$AC$5,0))</f>
        <v>42233</v>
      </c>
      <c r="CA887" s="129">
        <f t="shared" si="1595"/>
        <v>472306</v>
      </c>
      <c r="CB887" s="129"/>
      <c r="CC887" s="133">
        <v>2007</v>
      </c>
      <c r="CD887" s="129"/>
      <c r="CE887" s="129"/>
      <c r="CF887" s="129"/>
      <c r="CG887" s="137"/>
      <c r="CH887" s="129">
        <f t="shared" si="1598"/>
        <v>37359</v>
      </c>
      <c r="CI887" s="46">
        <f t="shared" si="1607"/>
        <v>37172.127000860281</v>
      </c>
      <c r="CJ887" s="231">
        <f t="shared" si="1599"/>
        <v>74.639480693224698</v>
      </c>
      <c r="CK887" s="443">
        <v>0.90322580645161288</v>
      </c>
      <c r="CL887" s="231">
        <f>+CL878*CK887+CJ879*CK886+CJ880*CK885+CJ881*CK884+CJ882*CK883+CJ883*CK882+CJ884*CK881+CJ885*CK880+CJ886*CK879+CJ887</f>
        <v>2389.8664206142885</v>
      </c>
      <c r="CM887" s="134">
        <f t="shared" si="1600"/>
        <v>1.9565145565621958E-2</v>
      </c>
      <c r="CN887" s="135">
        <f t="shared" si="1601"/>
        <v>1.209092509976303E-2</v>
      </c>
      <c r="CO887" s="135">
        <f t="shared" si="1610"/>
        <v>1.1798284753647843E-2</v>
      </c>
      <c r="CP887" s="134">
        <f>VLOOKUP($H887,RoR!$E:$F,2,FALSE)</f>
        <v>5.5558333333333321E-2</v>
      </c>
      <c r="CQ887" s="135">
        <v>2.691120634145272E-2</v>
      </c>
      <c r="CR887" s="135">
        <f t="shared" si="1608"/>
        <v>2.86471269918806E-2</v>
      </c>
      <c r="CS887" s="135">
        <f t="shared" si="1611"/>
        <v>1.9103656854885784E-2</v>
      </c>
      <c r="CT887" s="135">
        <f t="shared" si="1612"/>
        <v>6.4575155250632399E-2</v>
      </c>
      <c r="CU887" s="139">
        <f t="shared" si="1602"/>
        <v>0.85727249999999999</v>
      </c>
      <c r="CV887" s="335">
        <f t="shared" si="1603"/>
        <v>0.92303077153834634</v>
      </c>
      <c r="CW887" s="335">
        <f t="shared" si="1604"/>
        <v>0.52502249887505614</v>
      </c>
      <c r="CX887" s="335">
        <f t="shared" si="1605"/>
        <v>0.88499666072084604</v>
      </c>
      <c r="CY887" s="335">
        <f t="shared" si="1606"/>
        <v>0.42887993290280618</v>
      </c>
      <c r="CZ887" s="336">
        <f>INDEX('State Tax Lookup'!$D$7:$Z$91,MATCH(Calculation!$C887,'State Tax Lookup'!$B$7:$B$91,0),MATCH($H887,'State Tax Lookup'!$D$6:$Z$6,0))</f>
        <v>0.38574999999999998</v>
      </c>
      <c r="DA887" s="302">
        <v>0.37</v>
      </c>
      <c r="DB887" s="57">
        <f t="shared" si="1609"/>
        <v>13.188071164671726</v>
      </c>
      <c r="DC887" s="56">
        <f t="shared" si="1613"/>
        <v>6.3798075519090044E-2</v>
      </c>
      <c r="DD887" s="303">
        <f>VLOOKUP($H887,RoR!$E:$F,2,FALSE)</f>
        <v>5.5558333333333321E-2</v>
      </c>
      <c r="DE887" s="304">
        <f>HLOOKUP($H887,'GDP-PI'!$D$8:$CQ$11,3,FALSE)</f>
        <v>2.691120634145272E-2</v>
      </c>
      <c r="DF887" s="303">
        <f>VLOOKUP(H887,'HW Dx Data'!$E:$F,2,FALSE)</f>
        <v>498.0223154772637</v>
      </c>
      <c r="DG887" s="364">
        <f ca="1">VLOOKUP(CC887,'ECI - Input Price'!M$13:N$33,2,FALSE)</f>
        <v>104.52499999999999</v>
      </c>
      <c r="DH887" s="364"/>
      <c r="DI887" s="364"/>
      <c r="DJ887" s="56">
        <f t="shared" ca="1" si="1621"/>
        <v>-4.5584612745252218E-2</v>
      </c>
      <c r="DK887" s="53">
        <f>HLOOKUP(H887,'GDP-PI'!$8:$9,2,FALSE)</f>
        <v>92.498000000000005</v>
      </c>
      <c r="DL887" s="355">
        <f t="shared" si="1614"/>
        <v>2.6555467950038037E-2</v>
      </c>
      <c r="EC887"/>
    </row>
    <row r="888" spans="1:133" s="126" customFormat="1" ht="21" customHeight="1" x14ac:dyDescent="0.4">
      <c r="A888" s="233" t="s">
        <v>234</v>
      </c>
      <c r="B888" s="127" t="s">
        <v>234</v>
      </c>
      <c r="C888" s="127">
        <v>4063341</v>
      </c>
      <c r="D888" s="127" t="s">
        <v>235</v>
      </c>
      <c r="E888" s="127"/>
      <c r="F888" s="127"/>
      <c r="G888" s="127" t="s">
        <v>164</v>
      </c>
      <c r="H888" s="128">
        <v>2008</v>
      </c>
      <c r="I888" s="129"/>
      <c r="J888" s="125">
        <f>IFERROR(INDEX('Labor Expenditures'!$E$7:$W$91,MATCH($C888,'Labor Expenditures'!$C$7:$C$91,0),MATCH($G888,'Labor Expenditures'!$E$5:$W$5,0)),"NA")</f>
        <v>25222.138380751185</v>
      </c>
      <c r="K888" s="125">
        <f t="shared" ca="1" si="1615"/>
        <v>233.75475793096555</v>
      </c>
      <c r="L888" s="47"/>
      <c r="M888" s="131">
        <f t="shared" ca="1" si="1622"/>
        <v>-5.1081393126147824E-2</v>
      </c>
      <c r="N888" s="131"/>
      <c r="O888" s="131"/>
      <c r="P888" s="59">
        <f t="shared" ca="1" si="1624"/>
        <v>-6.1403680244427172E-4</v>
      </c>
      <c r="Q888" s="61"/>
      <c r="R888" s="387"/>
      <c r="S888" s="49">
        <f t="shared" ca="1" si="1629"/>
        <v>111.74930051469759</v>
      </c>
      <c r="T888" s="61">
        <f ca="1">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</f>
        <v>-6.8261301655387713E-2</v>
      </c>
      <c r="U888" s="61"/>
      <c r="V888" s="125">
        <f>IFERROR(INDEX('Non-Labor Expenditures'!$E$7:$AA$91,MATCH($C888,'Non-Labor Expenditures'!$C$7:$C$91,0),MATCH($G888,'Non-Labor Expenditures'!$E$5:$AA$5,0)),"NA")</f>
        <v>36526.367220965563</v>
      </c>
      <c r="W888" s="125">
        <f t="shared" si="1616"/>
        <v>387.49010461009044</v>
      </c>
      <c r="X888" s="131">
        <f t="shared" si="1625"/>
        <v>-3.8215131852719735E-2</v>
      </c>
      <c r="Y888" s="131">
        <f t="shared" si="1626"/>
        <v>-4.5937465546174805E-4</v>
      </c>
      <c r="Z888" s="131"/>
      <c r="AA888" s="131"/>
      <c r="AB888" s="131"/>
      <c r="AC888" s="125">
        <f t="shared" si="1596"/>
        <v>35495.721089680737</v>
      </c>
      <c r="AD888" s="129"/>
      <c r="AE888" s="133">
        <v>2555.0512617253116</v>
      </c>
      <c r="AF888" s="134">
        <v>2.4875871930982639E-2</v>
      </c>
      <c r="AG888" s="59">
        <f t="shared" si="1617"/>
        <v>2.9902670862543278E-4</v>
      </c>
      <c r="AH888" s="134"/>
      <c r="AI888" s="134"/>
      <c r="AJ888" s="129">
        <f t="shared" si="1588"/>
        <v>97244.226691397489</v>
      </c>
      <c r="AK888" s="134">
        <f t="shared" si="1627"/>
        <v>3.5431156173748451E-2</v>
      </c>
      <c r="AL888" s="129"/>
      <c r="AM888" s="129"/>
      <c r="AN888" s="129"/>
      <c r="AO888" s="129"/>
      <c r="AP888" s="133">
        <f t="shared" si="1628"/>
        <v>290.16261019045191</v>
      </c>
      <c r="AQ888" s="134">
        <f>+BB888/Outputs!$B$16</f>
        <v>9.5392607396702078E-3</v>
      </c>
      <c r="AR888" s="93">
        <f t="shared" si="1618"/>
        <v>0.25936900563560561</v>
      </c>
      <c r="AS888" s="93">
        <f t="shared" si="1619"/>
        <v>0.37561476360834484</v>
      </c>
      <c r="AT888" s="93">
        <f t="shared" si="1620"/>
        <v>0.36501623075604955</v>
      </c>
      <c r="AU888" s="93">
        <f t="shared" ca="1" si="1623"/>
        <v>-1.9743801679063654E-2</v>
      </c>
      <c r="AV888" s="132">
        <f t="shared" ref="AV888:AV901" ca="1" si="1633">+AV887*EXP(AU888)</f>
        <v>99.782996960571964</v>
      </c>
      <c r="AW888" s="134">
        <f t="shared" ref="AW888:AW901" ca="1" si="1634">LN(AV888/AV887)</f>
        <v>-1.974380167906363E-2</v>
      </c>
      <c r="AX888" s="56">
        <f>+AJ888/$AL$13</f>
        <v>1.2020752858636409E-2</v>
      </c>
      <c r="AY888" s="135">
        <f t="shared" ca="1" si="1630"/>
        <v>-2.3733536047395448E-4</v>
      </c>
      <c r="AZ888" s="93"/>
      <c r="BA888" s="93"/>
      <c r="BB888" s="234">
        <f>IFERROR(INDEX('Total Customers'!$E$7:$AA$91,MATCH($C888,'Total Customers'!$C$7:$C$91,0),MATCH($G888,'Total Customers'!$E$5:$AA$5,0)),"NA")</f>
        <v>335137</v>
      </c>
      <c r="BC888" s="269">
        <f t="shared" si="1546"/>
        <v>2.3719913134861294E-3</v>
      </c>
      <c r="BD888" s="92"/>
      <c r="BE888" s="299" t="str">
        <f t="shared" si="1537"/>
        <v>PEOPLES GAS SYSTEM</v>
      </c>
      <c r="BF888" s="300">
        <f t="shared" si="1538"/>
        <v>4063341</v>
      </c>
      <c r="BG888" s="231" t="str">
        <f t="shared" si="1539"/>
        <v>FL</v>
      </c>
      <c r="BH888" s="231"/>
      <c r="BI888" s="231" t="str">
        <f t="shared" si="1540"/>
        <v>2008 Y</v>
      </c>
      <c r="BJ888" s="129"/>
      <c r="BK888" s="129"/>
      <c r="BL888" s="129">
        <f>INDEX('Dist. Plant Gas Additions'!$E$7:$AD$91,MATCH($C888,'Dist. Plant Gas Additions'!$C$7:$C$91,0),MATCH(Calculation!$G888,'Dist. Plant Gas Additions'!$E$5:$AD$5,0))</f>
        <v>42244</v>
      </c>
      <c r="BM888" s="129">
        <f>INDEX('Gen. Plant Additions'!$E$7:$AD$91,MATCH($C888,'Gen. Plant Additions'!$C$7:$C$91,0),MATCH(Calculation!$G888,'Gen. Plant Additions'!$E$5:$AD$5,0))</f>
        <v>2776</v>
      </c>
      <c r="BN888" s="301">
        <f t="shared" si="1597"/>
        <v>0.95412042407802899</v>
      </c>
      <c r="BO888" s="231">
        <f t="shared" si="1631"/>
        <v>2648.6382972406086</v>
      </c>
      <c r="BP888" s="231">
        <f t="shared" si="1632"/>
        <v>-127.36170275939139</v>
      </c>
      <c r="BQ888" s="129">
        <f>INDEX('Dist Plant Depreciation'!$D$7:$AC$94,MATCH($C888,'Dist Plant Depreciation'!$C$7:$C$94,0),MATCH(Calculation!$G888,'Dist Plant Depreciation'!$D$5:$AC$5,0))</f>
        <v>372292</v>
      </c>
      <c r="BR888" s="129">
        <f>INDEX('Gen. Plant Depreciation'!$D$7:$AC$94,MATCH($C888,'Gen. Plant Depreciation'!$C$7:$C$94,0),MATCH(Calculation!$G888,'Gen. Plant Depreciation'!$D$5:$AC$5,0))</f>
        <v>35857</v>
      </c>
      <c r="BS888" s="129"/>
      <c r="BT888" s="129"/>
      <c r="BU888" s="129"/>
      <c r="BV888" s="129"/>
      <c r="BW888" s="129"/>
      <c r="BX888" s="137"/>
      <c r="BY888" s="129">
        <f>INDEX('Gross Dx Plant'!$D$7:$AC$91,MATCH($C888,'Gross Dx Plant'!$C$7:$C$91,0),MATCH(Calculation!$G888,'Gross Dx Plant'!$D$5:$AC$5,0))</f>
        <v>899768</v>
      </c>
      <c r="BZ888" s="129">
        <f>INDEX('Gross Gen Plant'!$D$7:$AC$91,MATCH($C888,'Gross Gen Plant'!$C$7:$C$91,0),MATCH(Calculation!$G888,'Gross Gen Plant'!$D$5:$AC$5,0))</f>
        <v>43266</v>
      </c>
      <c r="CA888" s="129">
        <f t="shared" si="1595"/>
        <v>534885</v>
      </c>
      <c r="CB888" s="129"/>
      <c r="CC888" s="133">
        <v>2008</v>
      </c>
      <c r="CD888" s="129"/>
      <c r="CE888" s="129"/>
      <c r="CF888" s="129"/>
      <c r="CG888" s="137"/>
      <c r="CH888" s="129">
        <f t="shared" si="1598"/>
        <v>45020</v>
      </c>
      <c r="CI888" s="46">
        <f t="shared" si="1607"/>
        <v>44892.638297240606</v>
      </c>
      <c r="CJ888" s="231">
        <f t="shared" si="1599"/>
        <v>78.77543255421071</v>
      </c>
      <c r="CK888" s="443">
        <v>0.89130434782608692</v>
      </c>
      <c r="CL888" s="231">
        <f>+CL878*CK888+CJ879*CK887+CJ880*CK886+CJ881*CK885+CJ882*CK884+CJ883*CK883+CJ884*CK882+CJ885*CK881+CJ886*CK880+CJ887*CK879+CJ888</f>
        <v>2438.9608026884171</v>
      </c>
      <c r="CM888" s="134">
        <f t="shared" si="1600"/>
        <v>2.0334574621085778E-2</v>
      </c>
      <c r="CN888" s="135">
        <f t="shared" si="1601"/>
        <v>1.2419543713431874E-2</v>
      </c>
      <c r="CO888" s="135">
        <f t="shared" si="1610"/>
        <v>1.2106510737290412E-2</v>
      </c>
      <c r="CP888" s="134">
        <f>VLOOKUP($H888,RoR!$E:$F,2,FALSE)</f>
        <v>5.6316666666666668E-2</v>
      </c>
      <c r="CQ888" s="135">
        <v>1.9092304698479889E-2</v>
      </c>
      <c r="CR888" s="135">
        <f t="shared" si="1608"/>
        <v>3.7224361968186778E-2</v>
      </c>
      <c r="CS888" s="135">
        <f t="shared" si="1611"/>
        <v>1.8795430871243211E-2</v>
      </c>
      <c r="CT888" s="135">
        <f t="shared" si="1612"/>
        <v>6.9030581091053131E-2</v>
      </c>
      <c r="CU888" s="139">
        <f t="shared" si="1602"/>
        <v>0.85727249999999999</v>
      </c>
      <c r="CV888" s="335">
        <f t="shared" si="1603"/>
        <v>0.91060168006009956</v>
      </c>
      <c r="CW888" s="335">
        <f t="shared" si="1604"/>
        <v>0.53108168097070152</v>
      </c>
      <c r="CX888" s="335">
        <f t="shared" si="1605"/>
        <v>0.88825329850328805</v>
      </c>
      <c r="CY888" s="335">
        <f t="shared" si="1606"/>
        <v>0.4295627335323573</v>
      </c>
      <c r="CZ888" s="336">
        <f>INDEX('State Tax Lookup'!$D$7:$Z$91,MATCH(Calculation!$C888,'State Tax Lookup'!$B$7:$B$91,0),MATCH($H888,'State Tax Lookup'!$D$6:$Z$6,0))</f>
        <v>0.38574999999999998</v>
      </c>
      <c r="DA888" s="302">
        <v>0.37</v>
      </c>
      <c r="DB888" s="57">
        <f t="shared" si="1609"/>
        <v>14.852596272120078</v>
      </c>
      <c r="DC888" s="56">
        <f t="shared" si="1613"/>
        <v>0.11886196174303282</v>
      </c>
      <c r="DD888" s="303">
        <f>VLOOKUP($H888,RoR!$E:$F,2,FALSE)</f>
        <v>5.6316666666666668E-2</v>
      </c>
      <c r="DE888" s="304">
        <f>HLOOKUP($H888,'GDP-PI'!$D$8:$CQ$11,3,FALSE)</f>
        <v>1.9092304698479889E-2</v>
      </c>
      <c r="DF888" s="303">
        <f>VLOOKUP(H888,'HW Dx Data'!$E:$F,2,FALSE)</f>
        <v>569.88120333515076</v>
      </c>
      <c r="DG888" s="364">
        <f ca="1">VLOOKUP(CC888,'ECI - Input Price'!M$13:N$33,2,FALSE)</f>
        <v>107.9</v>
      </c>
      <c r="DH888" s="364"/>
      <c r="DI888" s="364"/>
      <c r="DJ888" s="56">
        <f t="shared" ca="1" si="1621"/>
        <v>3.1778595021460486E-2</v>
      </c>
      <c r="DK888" s="53">
        <f>HLOOKUP(H888,'GDP-PI'!$8:$9,2,FALSE)</f>
        <v>94.263999999999996</v>
      </c>
      <c r="DL888" s="355">
        <f t="shared" si="1614"/>
        <v>1.8912333748032254E-2</v>
      </c>
      <c r="EC888"/>
    </row>
    <row r="889" spans="1:133" s="126" customFormat="1" ht="21" customHeight="1" x14ac:dyDescent="0.4">
      <c r="A889" s="233" t="s">
        <v>234</v>
      </c>
      <c r="B889" s="127" t="s">
        <v>234</v>
      </c>
      <c r="C889" s="127">
        <v>4063341</v>
      </c>
      <c r="D889" s="127" t="s">
        <v>235</v>
      </c>
      <c r="E889" s="127"/>
      <c r="F889" s="127"/>
      <c r="G889" s="127" t="s">
        <v>165</v>
      </c>
      <c r="H889" s="128">
        <v>2009</v>
      </c>
      <c r="I889" s="129"/>
      <c r="J889" s="125">
        <f>IFERROR(INDEX('Labor Expenditures'!$E$7:$W$91,MATCH($C889,'Labor Expenditures'!$C$7:$C$91,0),MATCH($G889,'Labor Expenditures'!$E$5:$W$5,0)),"NA")</f>
        <v>29007.987022348712</v>
      </c>
      <c r="K889" s="125">
        <f t="shared" ca="1" si="1615"/>
        <v>261.50991230424802</v>
      </c>
      <c r="L889" s="47"/>
      <c r="M889" s="131">
        <f t="shared" ca="1" si="1622"/>
        <v>0.11219966560123787</v>
      </c>
      <c r="N889" s="131"/>
      <c r="O889" s="131"/>
      <c r="P889" s="59">
        <f t="shared" ca="1" si="1624"/>
        <v>1.3991578805230805E-3</v>
      </c>
      <c r="Q889" s="61"/>
      <c r="R889" s="387"/>
      <c r="S889" s="49">
        <f t="shared" ca="1" si="1629"/>
        <v>117.74669233606157</v>
      </c>
      <c r="T889" s="61">
        <f ca="1">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</f>
        <v>5.2277667839966513E-2</v>
      </c>
      <c r="U889" s="61"/>
      <c r="V889" s="125">
        <f>IFERROR(INDEX('Non-Labor Expenditures'!$E$7:$AA$91,MATCH($C889,'Non-Labor Expenditures'!$C$7:$C$91,0),MATCH($G889,'Non-Labor Expenditures'!$E$5:$AA$5,0)),"NA")</f>
        <v>42008.983152988163</v>
      </c>
      <c r="W889" s="125">
        <f t="shared" si="1616"/>
        <v>442.20447744700647</v>
      </c>
      <c r="X889" s="131">
        <f t="shared" si="1625"/>
        <v>0.13208208178381259</v>
      </c>
      <c r="Y889" s="131">
        <f t="shared" si="1626"/>
        <v>1.6470965810229342E-3</v>
      </c>
      <c r="Z889" s="131"/>
      <c r="AA889" s="131"/>
      <c r="AB889" s="131"/>
      <c r="AC889" s="125">
        <f t="shared" si="1596"/>
        <v>34441.739933819714</v>
      </c>
      <c r="AD889" s="129"/>
      <c r="AE889" s="133">
        <v>2650.2788695926561</v>
      </c>
      <c r="AF889" s="134">
        <v>3.6592581518010987E-2</v>
      </c>
      <c r="AG889" s="59">
        <f t="shared" si="1617"/>
        <v>4.5631863985736728E-4</v>
      </c>
      <c r="AH889" s="134"/>
      <c r="AI889" s="134"/>
      <c r="AJ889" s="129">
        <f t="shared" si="1588"/>
        <v>105458.71010915659</v>
      </c>
      <c r="AK889" s="134">
        <f t="shared" si="1627"/>
        <v>8.1093887841461487E-2</v>
      </c>
      <c r="AL889" s="129"/>
      <c r="AM889" s="129"/>
      <c r="AN889" s="129"/>
      <c r="AO889" s="129"/>
      <c r="AP889" s="133">
        <f t="shared" si="1628"/>
        <v>315.32263739592992</v>
      </c>
      <c r="AQ889" s="134">
        <f>+BB889/Outputs!$B$17</f>
        <v>9.5074853818791303E-3</v>
      </c>
      <c r="AR889" s="93">
        <f t="shared" si="1618"/>
        <v>0.27506487602895552</v>
      </c>
      <c r="AS889" s="93">
        <f t="shared" si="1619"/>
        <v>0.39834531552212377</v>
      </c>
      <c r="AT889" s="93">
        <f t="shared" si="1620"/>
        <v>0.32658980844892077</v>
      </c>
      <c r="AU889" s="93">
        <f t="shared" ca="1" si="1623"/>
        <v>9.374860582290423E-2</v>
      </c>
      <c r="AV889" s="132">
        <f t="shared" ca="1" si="1633"/>
        <v>109.59003002916084</v>
      </c>
      <c r="AW889" s="134">
        <f t="shared" ca="1" si="1634"/>
        <v>9.3748605822904202E-2</v>
      </c>
      <c r="AX889" s="56">
        <f>+AJ889/$AL$14</f>
        <v>1.2470250004984364E-2</v>
      </c>
      <c r="AY889" s="135">
        <f t="shared" ca="1" si="1630"/>
        <v>1.1690685522303484E-3</v>
      </c>
      <c r="AZ889" s="93"/>
      <c r="BA889" s="93"/>
      <c r="BB889" s="234">
        <f>IFERROR(INDEX('Total Customers'!$E$7:$AA$91,MATCH($C889,'Total Customers'!$C$7:$C$91,0),MATCH($G889,'Total Customers'!$E$5:$AA$5,0)),"NA")</f>
        <v>334447</v>
      </c>
      <c r="BC889" s="269">
        <f t="shared" si="1546"/>
        <v>-2.0609818760294581E-3</v>
      </c>
      <c r="BD889" s="92"/>
      <c r="BE889" s="299" t="str">
        <f t="shared" si="1537"/>
        <v>PEOPLES GAS SYSTEM</v>
      </c>
      <c r="BF889" s="300">
        <f t="shared" si="1538"/>
        <v>4063341</v>
      </c>
      <c r="BG889" s="231" t="str">
        <f t="shared" si="1539"/>
        <v>FL</v>
      </c>
      <c r="BH889" s="231"/>
      <c r="BI889" s="231" t="str">
        <f t="shared" si="1540"/>
        <v>2009 Y</v>
      </c>
      <c r="BJ889" s="129"/>
      <c r="BK889" s="129"/>
      <c r="BL889" s="129">
        <f>INDEX('Dist. Plant Gas Additions'!$E$7:$AD$91,MATCH($C889,'Dist. Plant Gas Additions'!$C$7:$C$91,0),MATCH(Calculation!$G889,'Dist. Plant Gas Additions'!$E$5:$AD$5,0))</f>
        <v>59754</v>
      </c>
      <c r="BM889" s="129">
        <f>INDEX('Gen. Plant Additions'!$E$7:$AD$91,MATCH($C889,'Gen. Plant Additions'!$C$7:$C$91,0),MATCH(Calculation!$G889,'Gen. Plant Additions'!$E$5:$AD$5,0))</f>
        <v>2171</v>
      </c>
      <c r="BN889" s="301">
        <f t="shared" si="1597"/>
        <v>0.96172279616785217</v>
      </c>
      <c r="BO889" s="231">
        <f t="shared" si="1631"/>
        <v>2087.9001904804072</v>
      </c>
      <c r="BP889" s="231">
        <f t="shared" si="1632"/>
        <v>-83.099809519592782</v>
      </c>
      <c r="BQ889" s="129">
        <f>INDEX('Dist Plant Depreciation'!$D$7:$AC$94,MATCH($C889,'Dist Plant Depreciation'!$C$7:$C$94,0),MATCH(Calculation!$G889,'Dist Plant Depreciation'!$D$5:$AC$5,0))</f>
        <v>404540</v>
      </c>
      <c r="BR889" s="129">
        <f>INDEX('Gen. Plant Depreciation'!$D$7:$AC$94,MATCH($C889,'Gen. Plant Depreciation'!$C$7:$C$94,0),MATCH(Calculation!$G889,'Gen. Plant Depreciation'!$D$5:$AC$5,0))</f>
        <v>35414</v>
      </c>
      <c r="BS889" s="129"/>
      <c r="BT889" s="129"/>
      <c r="BU889" s="129"/>
      <c r="BV889" s="129"/>
      <c r="BW889" s="129"/>
      <c r="BX889" s="137"/>
      <c r="BY889" s="129">
        <f>INDEX('Gross Dx Plant'!$D$7:$AC$91,MATCH($C889,'Gross Dx Plant'!$C$7:$C$91,0),MATCH(Calculation!$G889,'Gross Dx Plant'!$D$5:$AC$5,0))</f>
        <v>955763</v>
      </c>
      <c r="BZ889" s="129">
        <f>INDEX('Gross Gen Plant'!$D$7:$AC$91,MATCH($C889,'Gross Gen Plant'!$C$7:$C$91,0),MATCH(Calculation!$G889,'Gross Gen Plant'!$D$5:$AC$5,0))</f>
        <v>38040</v>
      </c>
      <c r="CA889" s="129">
        <f t="shared" si="1595"/>
        <v>553849</v>
      </c>
      <c r="CB889" s="129"/>
      <c r="CC889" s="133">
        <v>2009</v>
      </c>
      <c r="CD889" s="129"/>
      <c r="CE889" s="129"/>
      <c r="CF889" s="129"/>
      <c r="CG889" s="137"/>
      <c r="CH889" s="129">
        <f t="shared" si="1598"/>
        <v>61925</v>
      </c>
      <c r="CI889" s="46">
        <f t="shared" si="1607"/>
        <v>61841.90019048041</v>
      </c>
      <c r="CJ889" s="231">
        <f t="shared" si="1599"/>
        <v>112.2478467916586</v>
      </c>
      <c r="CK889" s="443">
        <v>0.87912087912087911</v>
      </c>
      <c r="CL889" s="231">
        <f>+CL878*CK889+CJ879*CK888+CJ880*CK887+CJ881*CK886+CJ882*CK885+CJ883*CK884+CJ884*CK883+CJ885*CK882+CJ886*CK881+CJ887*CK880+CJ888*CK879+CJ889</f>
        <v>2520.1069839399674</v>
      </c>
      <c r="CM889" s="134">
        <f t="shared" si="1600"/>
        <v>3.2729306520437498E-2</v>
      </c>
      <c r="CN889" s="135">
        <f t="shared" si="1601"/>
        <v>1.2752015327932076E-2</v>
      </c>
      <c r="CO889" s="135">
        <f t="shared" si="1610"/>
        <v>1.2420828047042328E-2</v>
      </c>
      <c r="CP889" s="134">
        <f>VLOOKUP($H889,RoR!$E:$F,2,FALSE)</f>
        <v>5.3133333333333324E-2</v>
      </c>
      <c r="CQ889" s="135">
        <v>7.7972502758210105E-3</v>
      </c>
      <c r="CR889" s="135">
        <f t="shared" si="1608"/>
        <v>4.5336083057512314E-2</v>
      </c>
      <c r="CS889" s="135">
        <f t="shared" si="1611"/>
        <v>1.8481113561491298E-2</v>
      </c>
      <c r="CT889" s="135">
        <f t="shared" si="1612"/>
        <v>6.3720160300892073E-2</v>
      </c>
      <c r="CU889" s="139">
        <f t="shared" si="1602"/>
        <v>0.85727249999999999</v>
      </c>
      <c r="CV889" s="335">
        <f t="shared" si="1603"/>
        <v>0.96515780330083989</v>
      </c>
      <c r="CW889" s="335">
        <f t="shared" si="1604"/>
        <v>0.50448557089084056</v>
      </c>
      <c r="CX889" s="335">
        <f t="shared" si="1605"/>
        <v>0.87391435735465484</v>
      </c>
      <c r="CY889" s="335">
        <f t="shared" si="1606"/>
        <v>0.42551605393279146</v>
      </c>
      <c r="CZ889" s="336">
        <f>INDEX('State Tax Lookup'!$D$7:$Z$91,MATCH(Calculation!$C889,'State Tax Lookup'!$B$7:$B$91,0),MATCH($H889,'State Tax Lookup'!$D$6:$Z$6,0))</f>
        <v>0.38574999999999998</v>
      </c>
      <c r="DA889" s="302">
        <v>0.37</v>
      </c>
      <c r="DB889" s="57">
        <f t="shared" si="1609"/>
        <v>14.121481532567183</v>
      </c>
      <c r="DC889" s="56">
        <f t="shared" si="1613"/>
        <v>-5.0477532142884723E-2</v>
      </c>
      <c r="DD889" s="303">
        <f>VLOOKUP($H889,RoR!$E:$F,2,FALSE)</f>
        <v>5.3133333333333324E-2</v>
      </c>
      <c r="DE889" s="304">
        <f>HLOOKUP($H889,'GDP-PI'!$D$8:$CQ$11,3,FALSE)</f>
        <v>7.7972502758210105E-3</v>
      </c>
      <c r="DF889" s="303">
        <f>VLOOKUP(H889,'HW Dx Data'!$E:$F,2,FALSE)</f>
        <v>550.94063679692806</v>
      </c>
      <c r="DG889" s="364">
        <f ca="1">VLOOKUP(CC889,'ECI - Input Price'!M$13:N$33,2,FALSE)</f>
        <v>110.925</v>
      </c>
      <c r="DH889" s="364"/>
      <c r="DI889" s="364"/>
      <c r="DJ889" s="56">
        <f t="shared" ca="1" si="1621"/>
        <v>2.7649425000884052E-2</v>
      </c>
      <c r="DK889" s="53">
        <f>HLOOKUP(H889,'GDP-PI'!$8:$9,2,FALSE)</f>
        <v>94.998999999999995</v>
      </c>
      <c r="DL889" s="355">
        <f t="shared" si="1614"/>
        <v>7.7670088183096342E-3</v>
      </c>
      <c r="EC889"/>
    </row>
    <row r="890" spans="1:133" s="126" customFormat="1" ht="21" customHeight="1" x14ac:dyDescent="0.4">
      <c r="A890" s="233" t="s">
        <v>234</v>
      </c>
      <c r="B890" s="127" t="s">
        <v>234</v>
      </c>
      <c r="C890" s="127">
        <v>4063341</v>
      </c>
      <c r="D890" s="127" t="s">
        <v>235</v>
      </c>
      <c r="E890" s="127"/>
      <c r="F890" s="127"/>
      <c r="G890" s="127" t="s">
        <v>166</v>
      </c>
      <c r="H890" s="128">
        <v>2010</v>
      </c>
      <c r="I890" s="129"/>
      <c r="J890" s="125">
        <f>IFERROR(INDEX('Labor Expenditures'!$E$7:$W$91,MATCH($C890,'Labor Expenditures'!$C$7:$C$91,0),MATCH($G890,'Labor Expenditures'!$E$5:$W$5,0)),"NA")</f>
        <v>30317.849999375052</v>
      </c>
      <c r="K890" s="125">
        <f t="shared" ca="1" si="1615"/>
        <v>259.29313662069745</v>
      </c>
      <c r="L890" s="47"/>
      <c r="M890" s="131">
        <f t="shared" ca="1" si="1622"/>
        <v>-8.5129650285040125E-3</v>
      </c>
      <c r="N890" s="131"/>
      <c r="O890" s="131"/>
      <c r="P890" s="59">
        <f t="shared" ca="1" si="1624"/>
        <v>-1.0780872087812095E-4</v>
      </c>
      <c r="Q890" s="61"/>
      <c r="R890" s="387"/>
      <c r="S890" s="49">
        <f t="shared" ca="1" si="1629"/>
        <v>96.818931828522793</v>
      </c>
      <c r="T890" s="61">
        <f ca="1">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</f>
        <v>-0.19569309003691515</v>
      </c>
      <c r="U890" s="61"/>
      <c r="V890" s="125">
        <f>IFERROR(INDEX('Non-Labor Expenditures'!$E$7:$AA$91,MATCH($C890,'Non-Labor Expenditures'!$C$7:$C$91,0),MATCH($G890,'Non-Labor Expenditures'!$E$5:$AA$5,0)),"NA")</f>
        <v>43905.909392379697</v>
      </c>
      <c r="W890" s="125">
        <f t="shared" si="1616"/>
        <v>456.83452530335035</v>
      </c>
      <c r="X890" s="131">
        <f t="shared" si="1625"/>
        <v>3.2548842511322208E-2</v>
      </c>
      <c r="Y890" s="131">
        <f t="shared" si="1626"/>
        <v>4.1220057470689502E-4</v>
      </c>
      <c r="Z890" s="131"/>
      <c r="AA890" s="131"/>
      <c r="AB890" s="131"/>
      <c r="AC890" s="125">
        <f t="shared" si="1596"/>
        <v>36175.812224981957</v>
      </c>
      <c r="AD890" s="129"/>
      <c r="AE890" s="133">
        <v>2719.0307027253712</v>
      </c>
      <c r="AF890" s="134">
        <v>2.5610589234710001E-2</v>
      </c>
      <c r="AG890" s="59">
        <f t="shared" si="1617"/>
        <v>3.2433410181813694E-4</v>
      </c>
      <c r="AH890" s="134"/>
      <c r="AI890" s="134"/>
      <c r="AJ890" s="129">
        <f t="shared" si="1588"/>
        <v>110399.57161673671</v>
      </c>
      <c r="AK890" s="134">
        <f t="shared" si="1627"/>
        <v>4.5786750615633726E-2</v>
      </c>
      <c r="AL890" s="129"/>
      <c r="AM890" s="129"/>
      <c r="AN890" s="129"/>
      <c r="AO890" s="129"/>
      <c r="AP890" s="133">
        <f t="shared" si="1628"/>
        <v>328.55157481195027</v>
      </c>
      <c r="AQ890" s="134">
        <f>+BB890/Outputs!$B$18</f>
        <v>9.4999095015153474E-3</v>
      </c>
      <c r="AR890" s="93">
        <f t="shared" si="1618"/>
        <v>0.2746192721166214</v>
      </c>
      <c r="AS890" s="93">
        <f t="shared" si="1619"/>
        <v>0.39769999782973353</v>
      </c>
      <c r="AT890" s="93">
        <f t="shared" si="1620"/>
        <v>0.32768073005364506</v>
      </c>
      <c r="AU890" s="93">
        <f t="shared" ca="1" si="1623"/>
        <v>1.8993582808120576E-2</v>
      </c>
      <c r="AV890" s="132">
        <f t="shared" ca="1" si="1633"/>
        <v>111.69143072950938</v>
      </c>
      <c r="AW890" s="134">
        <f t="shared" ca="1" si="1634"/>
        <v>1.8993582808120649E-2</v>
      </c>
      <c r="AX890" s="56">
        <f>+AJ890/$AL$15</f>
        <v>1.2664062464387478E-2</v>
      </c>
      <c r="AY890" s="135">
        <f t="shared" ca="1" si="1630"/>
        <v>2.4053591910455603E-4</v>
      </c>
      <c r="AZ890" s="93"/>
      <c r="BA890" s="93"/>
      <c r="BB890" s="234">
        <f>IFERROR(INDEX('Total Customers'!$E$7:$AA$91,MATCH($C890,'Total Customers'!$C$7:$C$91,0),MATCH($G890,'Total Customers'!$E$5:$AA$5,0)),"NA")</f>
        <v>336019</v>
      </c>
      <c r="BC890" s="269">
        <f t="shared" si="1546"/>
        <v>4.6892844099740063E-3</v>
      </c>
      <c r="BD890" s="92"/>
      <c r="BE890" s="299" t="str">
        <f t="shared" si="1537"/>
        <v>PEOPLES GAS SYSTEM</v>
      </c>
      <c r="BF890" s="300">
        <f t="shared" si="1538"/>
        <v>4063341</v>
      </c>
      <c r="BG890" s="231" t="str">
        <f t="shared" si="1539"/>
        <v>FL</v>
      </c>
      <c r="BH890" s="231"/>
      <c r="BI890" s="231" t="str">
        <f t="shared" si="1540"/>
        <v>2010 Y</v>
      </c>
      <c r="BJ890" s="129"/>
      <c r="BK890" s="129"/>
      <c r="BL890" s="129">
        <f>INDEX('Dist. Plant Gas Additions'!$E$7:$AD$91,MATCH($C890,'Dist. Plant Gas Additions'!$C$7:$C$91,0),MATCH(Calculation!$G890,'Dist. Plant Gas Additions'!$E$5:$AD$5,0))</f>
        <v>48022</v>
      </c>
      <c r="BM890" s="129">
        <f>INDEX('Gen. Plant Additions'!$E$7:$AD$91,MATCH($C890,'Gen. Plant Additions'!$C$7:$C$91,0),MATCH(Calculation!$G890,'Gen. Plant Additions'!$E$5:$AD$5,0))</f>
        <v>1524</v>
      </c>
      <c r="BN890" s="301">
        <f t="shared" si="1597"/>
        <v>0.96465606162221096</v>
      </c>
      <c r="BO890" s="231">
        <f t="shared" si="1631"/>
        <v>1470.1358379122496</v>
      </c>
      <c r="BP890" s="231">
        <f t="shared" si="1632"/>
        <v>-53.864162087750401</v>
      </c>
      <c r="BQ890" s="129">
        <f>INDEX('Dist Plant Depreciation'!$D$7:$AC$94,MATCH($C890,'Dist Plant Depreciation'!$C$7:$C$94,0),MATCH(Calculation!$G890,'Dist Plant Depreciation'!$D$5:$AC$5,0))</f>
        <v>439314</v>
      </c>
      <c r="BR890" s="129">
        <f>INDEX('Gen. Plant Depreciation'!$D$7:$AC$94,MATCH($C890,'Gen. Plant Depreciation'!$C$7:$C$94,0),MATCH(Calculation!$G890,'Gen. Plant Depreciation'!$D$5:$AC$5,0))</f>
        <v>35432</v>
      </c>
      <c r="BS890" s="129"/>
      <c r="BT890" s="129"/>
      <c r="BU890" s="129"/>
      <c r="BV890" s="129"/>
      <c r="BW890" s="129"/>
      <c r="BX890" s="137"/>
      <c r="BY890" s="129">
        <f>INDEX('Gross Dx Plant'!$D$7:$AC$91,MATCH($C890,'Gross Dx Plant'!$C$7:$C$91,0),MATCH(Calculation!$G890,'Gross Dx Plant'!$D$5:$AC$5,0))</f>
        <v>983845</v>
      </c>
      <c r="BZ890" s="129">
        <f>INDEX('Gross Gen Plant'!$D$7:$AC$91,MATCH($C890,'Gross Gen Plant'!$C$7:$C$91,0),MATCH(Calculation!$G890,'Gross Gen Plant'!$D$5:$AC$5,0))</f>
        <v>36047</v>
      </c>
      <c r="CA890" s="129">
        <f t="shared" si="1595"/>
        <v>545146</v>
      </c>
      <c r="CB890" s="129"/>
      <c r="CC890" s="133">
        <v>2010</v>
      </c>
      <c r="CD890" s="129"/>
      <c r="CE890" s="129"/>
      <c r="CF890" s="129"/>
      <c r="CG890" s="137"/>
      <c r="CH890" s="129">
        <f t="shared" si="1598"/>
        <v>49546</v>
      </c>
      <c r="CI890" s="46">
        <f t="shared" si="1607"/>
        <v>49492.135837912247</v>
      </c>
      <c r="CJ890" s="231">
        <f t="shared" si="1599"/>
        <v>86.98251129269137</v>
      </c>
      <c r="CK890" s="443">
        <v>0.8666666666666667</v>
      </c>
      <c r="CL890" s="231">
        <f>+CL878*CK890+CJ879*CK889+CJ880*CK888+CJ881*CK887+CJ882*CK886+CJ883*CK885+CJ884*CK884+CJ885*CK883+CJ886*CK882+CJ887*CK881+CJ888*CK880+CJ889*CK879+CJ890</f>
        <v>2574.199219646961</v>
      </c>
      <c r="CM890" s="134">
        <f t="shared" si="1600"/>
        <v>2.1237148522569482E-2</v>
      </c>
      <c r="CN890" s="135">
        <f t="shared" si="1601"/>
        <v>1.3051142588508995E-2</v>
      </c>
      <c r="CO890" s="135">
        <f t="shared" si="1610"/>
        <v>1.2740900543290981E-2</v>
      </c>
      <c r="CP890" s="134">
        <f>VLOOKUP($H890,RoR!$E:$F,2,FALSE)</f>
        <v>4.9433333333333322E-2</v>
      </c>
      <c r="CQ890" s="135">
        <v>1.1684333519300205E-2</v>
      </c>
      <c r="CR890" s="135">
        <f t="shared" si="1608"/>
        <v>3.7748999814033117E-2</v>
      </c>
      <c r="CS890" s="135">
        <f t="shared" si="1611"/>
        <v>1.8161041065242644E-2</v>
      </c>
      <c r="CT890" s="135">
        <f t="shared" si="1612"/>
        <v>4.7937530248493419E-2</v>
      </c>
      <c r="CU890" s="139">
        <f t="shared" si="1602"/>
        <v>0.85727249999999999</v>
      </c>
      <c r="CV890" s="335">
        <f t="shared" si="1603"/>
        <v>1.037398205301105</v>
      </c>
      <c r="CW890" s="335">
        <f t="shared" si="1604"/>
        <v>0.46926837491571133</v>
      </c>
      <c r="CX890" s="335">
        <f t="shared" si="1605"/>
        <v>0.8548537519972772</v>
      </c>
      <c r="CY890" s="335">
        <f t="shared" si="1606"/>
        <v>0.41615833911547367</v>
      </c>
      <c r="CZ890" s="336">
        <f>INDEX('State Tax Lookup'!$D$7:$Z$91,MATCH(Calculation!$C890,'State Tax Lookup'!$B$7:$B$91,0),MATCH($H890,'State Tax Lookup'!$D$6:$Z$6,0))</f>
        <v>0.38574999999999998</v>
      </c>
      <c r="DA890" s="302">
        <v>0.37</v>
      </c>
      <c r="DB890" s="57">
        <f t="shared" si="1609"/>
        <v>14.354871620737399</v>
      </c>
      <c r="DC890" s="56">
        <f t="shared" si="1613"/>
        <v>1.6392219395357746E-2</v>
      </c>
      <c r="DD890" s="303">
        <f>VLOOKUP($H890,RoR!$E:$F,2,FALSE)</f>
        <v>4.9433333333333322E-2</v>
      </c>
      <c r="DE890" s="304">
        <f>HLOOKUP($H890,'GDP-PI'!$D$8:$CQ$11,3,FALSE)</f>
        <v>1.1684333519300205E-2</v>
      </c>
      <c r="DF890" s="303">
        <f>VLOOKUP(H890,'HW Dx Data'!$E:$F,2,FALSE)</f>
        <v>568.98950262971744</v>
      </c>
      <c r="DG890" s="364">
        <f ca="1">VLOOKUP(CC890,'ECI - Input Price'!M$13:N$33,2,FALSE)</f>
        <v>116.925</v>
      </c>
      <c r="DH890" s="364"/>
      <c r="DI890" s="364"/>
      <c r="DJ890" s="56">
        <f t="shared" ca="1" si="1621"/>
        <v>5.2678406346976722E-2</v>
      </c>
      <c r="DK890" s="53">
        <f>HLOOKUP(H890,'GDP-PI'!$8:$9,2,FALSE)</f>
        <v>96.108999999999995</v>
      </c>
      <c r="DL890" s="355">
        <f t="shared" si="1614"/>
        <v>1.1616598807150427E-2</v>
      </c>
      <c r="EC890"/>
    </row>
    <row r="891" spans="1:133" s="126" customFormat="1" ht="21" customHeight="1" x14ac:dyDescent="0.4">
      <c r="A891" s="233" t="s">
        <v>234</v>
      </c>
      <c r="B891" s="127" t="s">
        <v>234</v>
      </c>
      <c r="C891" s="127">
        <v>4063341</v>
      </c>
      <c r="D891" s="127" t="s">
        <v>235</v>
      </c>
      <c r="E891" s="127"/>
      <c r="F891" s="127"/>
      <c r="G891" s="127" t="s">
        <v>167</v>
      </c>
      <c r="H891" s="128">
        <v>2011</v>
      </c>
      <c r="I891" s="129"/>
      <c r="J891" s="125">
        <f>IFERROR(INDEX('Labor Expenditures'!$E$7:$W$91,MATCH($C891,'Labor Expenditures'!$C$7:$C$91,0),MATCH($G891,'Labor Expenditures'!$E$5:$W$5,0)),"NA")</f>
        <v>30267.994801800101</v>
      </c>
      <c r="K891" s="125">
        <f t="shared" ca="1" si="1615"/>
        <v>250.40740270362028</v>
      </c>
      <c r="L891" s="47"/>
      <c r="M891" s="131">
        <f t="shared" ca="1" si="1622"/>
        <v>-3.4870021017441813E-2</v>
      </c>
      <c r="N891" s="131"/>
      <c r="O891" s="131"/>
      <c r="P891" s="59">
        <f t="shared" ca="1" si="1624"/>
        <v>-4.3509622877663045E-4</v>
      </c>
      <c r="Q891" s="61"/>
      <c r="R891" s="387"/>
      <c r="S891" s="49">
        <f t="shared" ca="1" si="1629"/>
        <v>116.97067907155127</v>
      </c>
      <c r="T891" s="61">
        <f ca="1">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</f>
        <v>0.18908074526387927</v>
      </c>
      <c r="U891" s="61"/>
      <c r="V891" s="125">
        <f>IFERROR(INDEX('Non-Labor Expenditures'!$E$7:$AA$91,MATCH($C891,'Non-Labor Expenditures'!$C$7:$C$91,0),MATCH($G891,'Non-Labor Expenditures'!$E$5:$AA$5,0)),"NA")</f>
        <v>43833.70975462471</v>
      </c>
      <c r="W891" s="125">
        <f t="shared" si="1616"/>
        <v>446.77215584867002</v>
      </c>
      <c r="X891" s="131">
        <f t="shared" si="1625"/>
        <v>-2.227249006878251E-2</v>
      </c>
      <c r="Y891" s="131">
        <f t="shared" si="1626"/>
        <v>-2.7790853436953755E-4</v>
      </c>
      <c r="Z891" s="131"/>
      <c r="AA891" s="131"/>
      <c r="AB891" s="131"/>
      <c r="AC891" s="125">
        <f t="shared" si="1596"/>
        <v>39104.123756126741</v>
      </c>
      <c r="AD891" s="129"/>
      <c r="AE891" s="133">
        <v>2802.5027629337633</v>
      </c>
      <c r="AF891" s="134">
        <v>3.0237404340797077E-2</v>
      </c>
      <c r="AG891" s="59">
        <f t="shared" si="1617"/>
        <v>3.7729201797997964E-4</v>
      </c>
      <c r="AH891" s="134"/>
      <c r="AI891" s="134"/>
      <c r="AJ891" s="129">
        <f t="shared" si="1588"/>
        <v>113205.82831255154</v>
      </c>
      <c r="AK891" s="134">
        <f t="shared" si="1627"/>
        <v>2.5101397751391016E-2</v>
      </c>
      <c r="AL891" s="129"/>
      <c r="AM891" s="129"/>
      <c r="AN891" s="129"/>
      <c r="AO891" s="129"/>
      <c r="AP891" s="133">
        <f t="shared" si="1628"/>
        <v>334.09818295523417</v>
      </c>
      <c r="AQ891" s="134">
        <f>+BB891/Outputs!$B$19</f>
        <v>9.5334428611987942E-3</v>
      </c>
      <c r="AR891" s="93">
        <f t="shared" si="1618"/>
        <v>0.26737134697899806</v>
      </c>
      <c r="AS891" s="93">
        <f t="shared" si="1619"/>
        <v>0.3872036485047714</v>
      </c>
      <c r="AT891" s="93">
        <f t="shared" si="1620"/>
        <v>0.34542500451623059</v>
      </c>
      <c r="AU891" s="93">
        <f t="shared" ca="1" si="1623"/>
        <v>-8.0140063433792163E-3</v>
      </c>
      <c r="AV891" s="132">
        <f t="shared" ca="1" si="1633"/>
        <v>110.79991198500417</v>
      </c>
      <c r="AW891" s="134">
        <f t="shared" ca="1" si="1634"/>
        <v>-8.0140063433792198E-3</v>
      </c>
      <c r="AX891" s="56">
        <f>+AJ891/$AL$16</f>
        <v>1.2477658919648986E-2</v>
      </c>
      <c r="AY891" s="135">
        <f t="shared" ca="1" si="1630"/>
        <v>-9.9996037732589279E-5</v>
      </c>
      <c r="AZ891" s="93"/>
      <c r="BA891" s="93"/>
      <c r="BB891" s="234">
        <f>IFERROR(INDEX('Total Customers'!$E$7:$AA$91,MATCH($C891,'Total Customers'!$C$7:$C$91,0),MATCH($G891,'Total Customers'!$E$5:$AA$5,0)),"NA")</f>
        <v>338840</v>
      </c>
      <c r="BC891" s="269">
        <f t="shared" si="1546"/>
        <v>8.3603135798546342E-3</v>
      </c>
      <c r="BD891" s="92"/>
      <c r="BE891" s="299" t="str">
        <f t="shared" si="1537"/>
        <v>PEOPLES GAS SYSTEM</v>
      </c>
      <c r="BF891" s="300">
        <f t="shared" si="1538"/>
        <v>4063341</v>
      </c>
      <c r="BG891" s="231" t="str">
        <f t="shared" si="1539"/>
        <v>FL</v>
      </c>
      <c r="BH891" s="231"/>
      <c r="BI891" s="231" t="str">
        <f t="shared" si="1540"/>
        <v>2011 Y</v>
      </c>
      <c r="BJ891" s="129"/>
      <c r="BK891" s="129"/>
      <c r="BL891" s="129">
        <f>INDEX('Dist. Plant Gas Additions'!$E$7:$AD$91,MATCH($C891,'Dist. Plant Gas Additions'!$C$7:$C$91,0),MATCH(Calculation!$G891,'Dist. Plant Gas Additions'!$E$5:$AD$5,0))</f>
        <v>58176</v>
      </c>
      <c r="BM891" s="129">
        <f>INDEX('Gen. Plant Additions'!$E$7:$AD$91,MATCH($C891,'Gen. Plant Additions'!$C$7:$C$91,0),MATCH(Calculation!$G891,'Gen. Plant Additions'!$E$5:$AD$5,0))</f>
        <v>4743</v>
      </c>
      <c r="BN891" s="301">
        <f t="shared" si="1597"/>
        <v>0.96531425508610846</v>
      </c>
      <c r="BO891" s="231">
        <f t="shared" si="1631"/>
        <v>4578.4855118734122</v>
      </c>
      <c r="BP891" s="231">
        <f t="shared" si="1632"/>
        <v>-164.51448812658782</v>
      </c>
      <c r="BQ891" s="129">
        <f>INDEX('Dist Plant Depreciation'!$D$7:$AC$94,MATCH($C891,'Dist Plant Depreciation'!$C$7:$C$94,0),MATCH(Calculation!$G891,'Dist Plant Depreciation'!$D$5:$AC$5,0))</f>
        <v>473465</v>
      </c>
      <c r="BR891" s="129">
        <f>INDEX('Gen. Plant Depreciation'!$D$7:$AC$94,MATCH($C891,'Gen. Plant Depreciation'!$C$7:$C$94,0),MATCH(Calculation!$G891,'Gen. Plant Depreciation'!$D$5:$AC$5,0))</f>
        <v>40714</v>
      </c>
      <c r="BS891" s="129"/>
      <c r="BT891" s="129"/>
      <c r="BU891" s="129"/>
      <c r="BV891" s="129"/>
      <c r="BW891" s="129"/>
      <c r="BX891" s="137"/>
      <c r="BY891" s="129">
        <f>INDEX('Gross Dx Plant'!$D$7:$AC$91,MATCH($C891,'Gross Dx Plant'!$C$7:$C$91,0),MATCH(Calculation!$G891,'Gross Dx Plant'!$D$5:$AC$5,0))</f>
        <v>1035565</v>
      </c>
      <c r="BZ891" s="129">
        <f>INDEX('Gross Gen Plant'!$D$7:$AC$91,MATCH($C891,'Gross Gen Plant'!$C$7:$C$91,0),MATCH(Calculation!$G891,'Gross Gen Plant'!$D$5:$AC$5,0))</f>
        <v>37210</v>
      </c>
      <c r="CA891" s="129">
        <f t="shared" si="1595"/>
        <v>558596</v>
      </c>
      <c r="CB891" s="129"/>
      <c r="CC891" s="133">
        <v>2011</v>
      </c>
      <c r="CD891" s="129"/>
      <c r="CE891" s="129"/>
      <c r="CF891" s="129"/>
      <c r="CG891" s="137"/>
      <c r="CH891" s="129">
        <f t="shared" si="1598"/>
        <v>62919</v>
      </c>
      <c r="CI891" s="46">
        <f t="shared" si="1607"/>
        <v>62754.485511873412</v>
      </c>
      <c r="CJ891" s="231">
        <f t="shared" si="1599"/>
        <v>102.60521090884559</v>
      </c>
      <c r="CK891" s="443">
        <v>0.8539325842696629</v>
      </c>
      <c r="CL891" s="231">
        <f>+CL878*CK891+CJ879*CK890+CJ880*CK889+CJ881*CK888+CJ882*CK887+CJ883*CK886+CJ884*CK885+CJ885*CK884+CJ886*CK883+CJ887*CK882+CJ888*CK881+CJ889*CK880+CJ890*CK879+CJ891</f>
        <v>2642.3310835053485</v>
      </c>
      <c r="CM891" s="134">
        <f t="shared" si="1600"/>
        <v>2.6123010642335447E-2</v>
      </c>
      <c r="CN891" s="135">
        <f t="shared" si="1601"/>
        <v>1.3391872232478539E-2</v>
      </c>
      <c r="CO891" s="135">
        <f t="shared" si="1610"/>
        <v>1.3065010049639871E-2</v>
      </c>
      <c r="CP891" s="134">
        <f>VLOOKUP($H891,RoR!$E:$F,2,FALSE)</f>
        <v>4.6391666666666664E-2</v>
      </c>
      <c r="CQ891" s="135">
        <v>2.0840920205183799E-2</v>
      </c>
      <c r="CR891" s="135">
        <f t="shared" si="1608"/>
        <v>2.5550746461482865E-2</v>
      </c>
      <c r="CS891" s="135">
        <f t="shared" si="1611"/>
        <v>1.7836931558893755E-2</v>
      </c>
      <c r="CT891" s="135">
        <f t="shared" si="1612"/>
        <v>2.4810540821321614E-2</v>
      </c>
      <c r="CU891" s="139">
        <f t="shared" si="1602"/>
        <v>0.85727249999999999</v>
      </c>
      <c r="CV891" s="335">
        <f t="shared" si="1603"/>
        <v>1.1054151524782025</v>
      </c>
      <c r="CW891" s="335">
        <f t="shared" si="1604"/>
        <v>0.43611011316687626</v>
      </c>
      <c r="CX891" s="335">
        <f t="shared" si="1605"/>
        <v>0.83698442246886229</v>
      </c>
      <c r="CY891" s="335">
        <f t="shared" si="1606"/>
        <v>0.40349573304423936</v>
      </c>
      <c r="CZ891" s="336">
        <f>INDEX('State Tax Lookup'!$D$7:$Z$91,MATCH(Calculation!$C891,'State Tax Lookup'!$B$7:$B$91,0),MATCH($H891,'State Tax Lookup'!$D$6:$Z$6,0))</f>
        <v>0.38574999999999998</v>
      </c>
      <c r="DA891" s="302">
        <v>0.37</v>
      </c>
      <c r="DB891" s="57">
        <f t="shared" si="1609"/>
        <v>15.190791550892351</v>
      </c>
      <c r="DC891" s="56">
        <f t="shared" si="1613"/>
        <v>5.6600054890450516E-2</v>
      </c>
      <c r="DD891" s="303">
        <f>VLOOKUP($H891,RoR!$E:$F,2,FALSE)</f>
        <v>4.6391666666666664E-2</v>
      </c>
      <c r="DE891" s="304">
        <f>HLOOKUP($H891,'GDP-PI'!$D$8:$CQ$11,3,FALSE)</f>
        <v>2.0840920205183799E-2</v>
      </c>
      <c r="DF891" s="303">
        <f>VLOOKUP(H891,'HW Dx Data'!$E:$F,2,FALSE)</f>
        <v>611.61109612283201</v>
      </c>
      <c r="DG891" s="364">
        <f ca="1">VLOOKUP(CC891,'ECI - Input Price'!M$13:N$33,2,FALSE)</f>
        <v>120.875</v>
      </c>
      <c r="DH891" s="364"/>
      <c r="DI891" s="364"/>
      <c r="DJ891" s="56">
        <f t="shared" ca="1" si="1621"/>
        <v>3.3224250161508609E-2</v>
      </c>
      <c r="DK891" s="53">
        <f>HLOOKUP(H891,'GDP-PI'!$8:$9,2,FALSE)</f>
        <v>98.111999999999995</v>
      </c>
      <c r="DL891" s="355">
        <f t="shared" si="1614"/>
        <v>2.0626719212849295E-2</v>
      </c>
      <c r="EC891"/>
    </row>
    <row r="892" spans="1:133" s="126" customFormat="1" ht="21" customHeight="1" x14ac:dyDescent="0.4">
      <c r="A892" s="233" t="s">
        <v>234</v>
      </c>
      <c r="B892" s="127" t="s">
        <v>234</v>
      </c>
      <c r="C892" s="127">
        <v>4063341</v>
      </c>
      <c r="D892" s="127" t="s">
        <v>235</v>
      </c>
      <c r="E892" s="127"/>
      <c r="F892" s="127"/>
      <c r="G892" s="127" t="s">
        <v>168</v>
      </c>
      <c r="H892" s="128">
        <v>2012</v>
      </c>
      <c r="I892" s="129"/>
      <c r="J892" s="125">
        <f>IFERROR(INDEX('Labor Expenditures'!$E$7:$W$91,MATCH($C892,'Labor Expenditures'!$C$7:$C$91,0),MATCH($G892,'Labor Expenditures'!$E$5:$W$5,0)),"NA")</f>
        <v>28996.13897955589</v>
      </c>
      <c r="K892" s="125">
        <f t="shared" ca="1" si="1615"/>
        <v>232.34085720797987</v>
      </c>
      <c r="L892" s="47"/>
      <c r="M892" s="131">
        <f t="shared" ca="1" si="1622"/>
        <v>-7.4883696768267033E-2</v>
      </c>
      <c r="N892" s="131"/>
      <c r="O892" s="131"/>
      <c r="P892" s="59">
        <f t="shared" ca="1" si="1624"/>
        <v>-9.0884991281512263E-4</v>
      </c>
      <c r="Q892" s="61"/>
      <c r="R892" s="387"/>
      <c r="S892" s="49">
        <f t="shared" ca="1" si="1629"/>
        <v>116.05148264074779</v>
      </c>
      <c r="T892" s="61">
        <f ca="1">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</f>
        <v>-7.8893886469633377E-3</v>
      </c>
      <c r="U892" s="61"/>
      <c r="V892" s="125">
        <f>IFERROR(INDEX('Non-Labor Expenditures'!$E$7:$AA$91,MATCH($C892,'Non-Labor Expenditures'!$C$7:$C$91,0),MATCH($G892,'Non-Labor Expenditures'!$E$5:$AA$5,0)),"NA")</f>
        <v>41991.824974115007</v>
      </c>
      <c r="W892" s="125">
        <f t="shared" si="1616"/>
        <v>419.91824974115008</v>
      </c>
      <c r="X892" s="131">
        <f t="shared" si="1625"/>
        <v>-6.1988697345140627E-2</v>
      </c>
      <c r="Y892" s="131">
        <f t="shared" si="1626"/>
        <v>-7.523456320806031E-4</v>
      </c>
      <c r="Z892" s="131"/>
      <c r="AA892" s="131"/>
      <c r="AB892" s="131"/>
      <c r="AC892" s="125">
        <f t="shared" si="1596"/>
        <v>42956.870604541167</v>
      </c>
      <c r="AD892" s="129"/>
      <c r="AE892" s="133">
        <v>2862.6905084252708</v>
      </c>
      <c r="AF892" s="134">
        <v>2.1249057981962687E-2</v>
      </c>
      <c r="AG892" s="59">
        <f t="shared" si="1617"/>
        <v>2.5789598173916648E-4</v>
      </c>
      <c r="AH892" s="134"/>
      <c r="AI892" s="134"/>
      <c r="AJ892" s="129">
        <f t="shared" si="1588"/>
        <v>113944.83455821207</v>
      </c>
      <c r="AK892" s="134">
        <f t="shared" si="1627"/>
        <v>6.506772585751548E-3</v>
      </c>
      <c r="AL892" s="129"/>
      <c r="AM892" s="129"/>
      <c r="AN892" s="129"/>
      <c r="AO892" s="129"/>
      <c r="AP892" s="133">
        <f t="shared" si="1628"/>
        <v>332.28884210741649</v>
      </c>
      <c r="AQ892" s="134">
        <f>+BB892/Outputs!$B$20</f>
        <v>9.6016903907690226E-3</v>
      </c>
      <c r="AR892" s="93">
        <f t="shared" si="1618"/>
        <v>0.25447523875900108</v>
      </c>
      <c r="AS892" s="93">
        <f t="shared" si="1619"/>
        <v>0.36852767514144968</v>
      </c>
      <c r="AT892" s="93">
        <f t="shared" si="1620"/>
        <v>0.37699708609954924</v>
      </c>
      <c r="AU892" s="93">
        <f t="shared" ca="1" si="1623"/>
        <v>-3.5286906445381253E-2</v>
      </c>
      <c r="AV892" s="132">
        <f t="shared" ca="1" si="1633"/>
        <v>106.95830370428796</v>
      </c>
      <c r="AW892" s="134">
        <f t="shared" ca="1" si="1634"/>
        <v>-3.5286906445381301E-2</v>
      </c>
      <c r="AX892" s="56">
        <f>+AJ892/$AL$17</f>
        <v>1.2136819521979848E-2</v>
      </c>
      <c r="AY892" s="135">
        <f t="shared" ca="1" si="1630"/>
        <v>-4.2827081501658034E-4</v>
      </c>
      <c r="AZ892" s="93"/>
      <c r="BA892" s="93"/>
      <c r="BB892" s="234">
        <f>IFERROR(INDEX('Total Customers'!$E$7:$AA$91,MATCH($C892,'Total Customers'!$C$7:$C$91,0),MATCH($G892,'Total Customers'!$E$5:$AA$5,0)),"NA")</f>
        <v>342909</v>
      </c>
      <c r="BC892" s="269">
        <f t="shared" si="1546"/>
        <v>1.1937086280245554E-2</v>
      </c>
      <c r="BD892" s="92"/>
      <c r="BE892" s="299" t="str">
        <f t="shared" si="1537"/>
        <v>PEOPLES GAS SYSTEM</v>
      </c>
      <c r="BF892" s="300">
        <f t="shared" si="1538"/>
        <v>4063341</v>
      </c>
      <c r="BG892" s="231" t="str">
        <f t="shared" si="1539"/>
        <v>FL</v>
      </c>
      <c r="BH892" s="231"/>
      <c r="BI892" s="231" t="str">
        <f t="shared" si="1540"/>
        <v>2012 Y</v>
      </c>
      <c r="BJ892" s="129"/>
      <c r="BK892" s="129"/>
      <c r="BL892" s="129">
        <f>INDEX('Dist. Plant Gas Additions'!$E$7:$AD$91,MATCH($C892,'Dist. Plant Gas Additions'!$C$7:$C$91,0),MATCH(Calculation!$G892,'Dist. Plant Gas Additions'!$E$5:$AD$5,0))</f>
        <v>53089</v>
      </c>
      <c r="BM892" s="129">
        <f>INDEX('Gen. Plant Additions'!$E$7:$AD$91,MATCH($C892,'Gen. Plant Additions'!$C$7:$C$91,0),MATCH(Calculation!$G892,'Gen. Plant Additions'!$E$5:$AD$5,0))</f>
        <v>955</v>
      </c>
      <c r="BN892" s="301">
        <f t="shared" si="1597"/>
        <v>0.96594476148520747</v>
      </c>
      <c r="BO892" s="231">
        <f t="shared" si="1631"/>
        <v>922.47724721837312</v>
      </c>
      <c r="BP892" s="231">
        <f t="shared" si="1632"/>
        <v>-32.522752781626878</v>
      </c>
      <c r="BQ892" s="129">
        <f>INDEX('Dist Plant Depreciation'!$D$7:$AC$94,MATCH($C892,'Dist Plant Depreciation'!$C$7:$C$94,0),MATCH(Calculation!$G892,'Dist Plant Depreciation'!$D$5:$AC$5,0))</f>
        <v>536373</v>
      </c>
      <c r="BR892" s="129">
        <f>INDEX('Gen. Plant Depreciation'!$D$7:$AC$94,MATCH($C892,'Gen. Plant Depreciation'!$C$7:$C$94,0),MATCH(Calculation!$G892,'Gen. Plant Depreciation'!$D$5:$AC$5,0))</f>
        <v>20578</v>
      </c>
      <c r="BS892" s="129"/>
      <c r="BT892" s="129"/>
      <c r="BU892" s="129"/>
      <c r="BV892" s="129"/>
      <c r="BW892" s="129"/>
      <c r="BX892" s="137"/>
      <c r="BY892" s="129">
        <f>INDEX('Gross Dx Plant'!$D$7:$AC$91,MATCH($C892,'Gross Dx Plant'!$C$7:$C$91,0),MATCH(Calculation!$G892,'Gross Dx Plant'!$D$5:$AC$5,0))</f>
        <v>1100724</v>
      </c>
      <c r="BZ892" s="129">
        <f>INDEX('Gross Gen Plant'!$D$7:$AC$91,MATCH($C892,'Gross Gen Plant'!$C$7:$C$91,0),MATCH(Calculation!$G892,'Gross Gen Plant'!$D$5:$AC$5,0))</f>
        <v>38807</v>
      </c>
      <c r="CA892" s="129">
        <f t="shared" si="1595"/>
        <v>582580</v>
      </c>
      <c r="CB892" s="129"/>
      <c r="CC892" s="133">
        <v>2012</v>
      </c>
      <c r="CD892" s="129"/>
      <c r="CE892" s="129"/>
      <c r="CF892" s="129"/>
      <c r="CG892" s="137"/>
      <c r="CH892" s="129">
        <f t="shared" si="1598"/>
        <v>54044</v>
      </c>
      <c r="CI892" s="46">
        <f t="shared" si="1607"/>
        <v>54011.477247218376</v>
      </c>
      <c r="CJ892" s="231">
        <f t="shared" si="1599"/>
        <v>80.74438196318809</v>
      </c>
      <c r="CK892" s="443">
        <v>0.84090909090909094</v>
      </c>
      <c r="CL892" s="231">
        <f>+CL878*CK892+CJ879*CK891+CJ880*CK890+CJ881*CK889+CJ882*CK888+CJ883*CK887+CJ884*CK886+CJ885*CK885+CJ886*CK884+CJ887*CK883+CJ888*CK882+CJ889*CK881+CJ890*CK880+CJ891*CK879+CJ892</f>
        <v>2686.8230844375803</v>
      </c>
      <c r="CM892" s="134">
        <f t="shared" si="1600"/>
        <v>1.6697972438170412E-2</v>
      </c>
      <c r="CN892" s="135">
        <f t="shared" si="1601"/>
        <v>1.3719848075534667E-2</v>
      </c>
      <c r="CO892" s="135">
        <f t="shared" si="1610"/>
        <v>1.3387620965507399E-2</v>
      </c>
      <c r="CP892" s="134">
        <f>VLOOKUP($H892,RoR!$E:$F,2,FALSE)</f>
        <v>3.6733333333333333E-2</v>
      </c>
      <c r="CQ892" s="135">
        <v>1.924331376386168E-2</v>
      </c>
      <c r="CR892" s="135">
        <f t="shared" si="1608"/>
        <v>1.7490019569471653E-2</v>
      </c>
      <c r="CS892" s="135">
        <f t="shared" si="1611"/>
        <v>1.7514320643026226E-2</v>
      </c>
      <c r="CT892" s="135">
        <f t="shared" si="1612"/>
        <v>6.7122682943869583E-2</v>
      </c>
      <c r="CU892" s="139">
        <f t="shared" si="1602"/>
        <v>0.85727249999999999</v>
      </c>
      <c r="CV892" s="335">
        <f t="shared" si="1603"/>
        <v>1.3960631020522127</v>
      </c>
      <c r="CW892" s="335">
        <f t="shared" si="1604"/>
        <v>0.29441923774954631</v>
      </c>
      <c r="CX892" s="335">
        <f t="shared" si="1605"/>
        <v>0.76377954189366437</v>
      </c>
      <c r="CY892" s="335">
        <f t="shared" si="1606"/>
        <v>0.31393465103033691</v>
      </c>
      <c r="CZ892" s="336">
        <f>INDEX('State Tax Lookup'!$D$7:$Z$91,MATCH(Calculation!$C892,'State Tax Lookup'!$B$7:$B$91,0),MATCH($H892,'State Tax Lookup'!$D$6:$Z$6,0))</f>
        <v>0.38574999999999998</v>
      </c>
      <c r="DA892" s="302">
        <v>0.37</v>
      </c>
      <c r="DB892" s="57">
        <f t="shared" si="1609"/>
        <v>16.257187024252108</v>
      </c>
      <c r="DC892" s="56">
        <f t="shared" si="1613"/>
        <v>6.7845664165491773E-2</v>
      </c>
      <c r="DD892" s="303">
        <f>VLOOKUP($H892,RoR!$E:$F,2,FALSE)</f>
        <v>3.6733333333333333E-2</v>
      </c>
      <c r="DE892" s="304">
        <f>HLOOKUP($H892,'GDP-PI'!$D$8:$CQ$11,3,FALSE)</f>
        <v>1.924331376386168E-2</v>
      </c>
      <c r="DF892" s="303">
        <f>VLOOKUP(H892,'HW Dx Data'!$E:$F,2,FALSE)</f>
        <v>668.91932211262167</v>
      </c>
      <c r="DG892" s="364">
        <f ca="1">VLOOKUP(CC892,'ECI - Input Price'!M$13:N$33,2,FALSE)</f>
        <v>124.80000000000001</v>
      </c>
      <c r="DH892" s="364"/>
      <c r="DI892" s="364"/>
      <c r="DJ892" s="56">
        <f t="shared" ca="1" si="1621"/>
        <v>3.1955502161869064E-2</v>
      </c>
      <c r="DK892" s="53">
        <f>HLOOKUP(H892,'GDP-PI'!$8:$9,2,FALSE)</f>
        <v>100</v>
      </c>
      <c r="DL892" s="355">
        <f t="shared" si="1614"/>
        <v>1.9060502738742411E-2</v>
      </c>
      <c r="EC892"/>
    </row>
    <row r="893" spans="1:133" s="126" customFormat="1" ht="21" customHeight="1" x14ac:dyDescent="0.4">
      <c r="A893" s="233" t="s">
        <v>234</v>
      </c>
      <c r="B893" s="127" t="s">
        <v>234</v>
      </c>
      <c r="C893" s="127">
        <v>4063341</v>
      </c>
      <c r="D893" s="127" t="s">
        <v>235</v>
      </c>
      <c r="E893" s="127"/>
      <c r="F893" s="127"/>
      <c r="G893" s="127" t="s">
        <v>169</v>
      </c>
      <c r="H893" s="128">
        <v>2013</v>
      </c>
      <c r="I893" s="129"/>
      <c r="J893" s="125">
        <f>IFERROR(INDEX('Labor Expenditures'!$E$7:$W$91,MATCH($C893,'Labor Expenditures'!$C$7:$C$91,0),MATCH($G893,'Labor Expenditures'!$E$5:$W$5,0)),"NA")</f>
        <v>31498.845400426508</v>
      </c>
      <c r="K893" s="125">
        <f t="shared" ca="1" si="1615"/>
        <v>248.41360725888413</v>
      </c>
      <c r="L893" s="47"/>
      <c r="M893" s="131">
        <f t="shared" ca="1" si="1622"/>
        <v>6.6889622650567346E-2</v>
      </c>
      <c r="N893" s="131"/>
      <c r="O893" s="131"/>
      <c r="P893" s="59">
        <f t="shared" ca="1" si="1624"/>
        <v>8.222328028648087E-4</v>
      </c>
      <c r="Q893" s="61"/>
      <c r="R893" s="387"/>
      <c r="S893" s="49">
        <f t="shared" ca="1" si="1629"/>
        <v>106.27520497028145</v>
      </c>
      <c r="T893" s="61">
        <f ca="1">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</f>
        <v>-8.800190559649966E-2</v>
      </c>
      <c r="U893" s="61"/>
      <c r="V893" s="125">
        <f>IFERROR(INDEX('Non-Labor Expenditures'!$E$7:$AA$91,MATCH($C893,'Non-Labor Expenditures'!$C$7:$C$91,0),MATCH($G893,'Non-Labor Expenditures'!$E$5:$AA$5,0)),"NA")</f>
        <v>45616.211312616491</v>
      </c>
      <c r="W893" s="125">
        <f t="shared" si="1616"/>
        <v>448.21525662618274</v>
      </c>
      <c r="X893" s="131">
        <f t="shared" si="1625"/>
        <v>6.5213551701854916E-2</v>
      </c>
      <c r="Y893" s="131">
        <f t="shared" si="1626"/>
        <v>8.0162989826838978E-4</v>
      </c>
      <c r="Z893" s="131"/>
      <c r="AA893" s="131"/>
      <c r="AB893" s="131"/>
      <c r="AC893" s="125">
        <f t="shared" si="1596"/>
        <v>42496.933677138615</v>
      </c>
      <c r="AD893" s="129"/>
      <c r="AE893" s="133">
        <v>2971.4237789688141</v>
      </c>
      <c r="AF893" s="134">
        <v>3.7279304976163372E-2</v>
      </c>
      <c r="AG893" s="59">
        <f t="shared" si="1617"/>
        <v>4.5825146270492279E-4</v>
      </c>
      <c r="AH893" s="134"/>
      <c r="AI893" s="134"/>
      <c r="AJ893" s="129">
        <f t="shared" si="1588"/>
        <v>119611.99039018161</v>
      </c>
      <c r="AK893" s="134">
        <f t="shared" si="1627"/>
        <v>4.8538666700506314E-2</v>
      </c>
      <c r="AL893" s="129"/>
      <c r="AM893" s="129"/>
      <c r="AN893" s="129"/>
      <c r="AO893" s="129"/>
      <c r="AP893" s="133">
        <f t="shared" si="1628"/>
        <v>344.3389567523156</v>
      </c>
      <c r="AQ893" s="134">
        <f>+BB893/Outputs!$B$21</f>
        <v>9.6645272478754381E-3</v>
      </c>
      <c r="AR893" s="93">
        <f t="shared" si="1618"/>
        <v>0.26334187147689248</v>
      </c>
      <c r="AS893" s="93">
        <f t="shared" si="1619"/>
        <v>0.3813682153755123</v>
      </c>
      <c r="AT893" s="93">
        <f t="shared" si="1620"/>
        <v>0.35528991314759517</v>
      </c>
      <c r="AU893" s="93">
        <f t="shared" ca="1" si="1623"/>
        <v>5.5419557953968204E-2</v>
      </c>
      <c r="AV893" s="132">
        <f t="shared" ca="1" si="1633"/>
        <v>113.05321436676211</v>
      </c>
      <c r="AW893" s="134">
        <f t="shared" ca="1" si="1634"/>
        <v>5.541955795396819E-2</v>
      </c>
      <c r="AX893" s="56">
        <f>+AJ893/$AL$18</f>
        <v>1.2292382140652347E-2</v>
      </c>
      <c r="AY893" s="135">
        <f t="shared" ca="1" si="1630"/>
        <v>6.8123838443620631E-4</v>
      </c>
      <c r="AZ893" s="93"/>
      <c r="BA893" s="93"/>
      <c r="BB893" s="234">
        <f>IFERROR(INDEX('Total Customers'!$E$7:$AA$91,MATCH($C893,'Total Customers'!$C$7:$C$91,0),MATCH($G893,'Total Customers'!$E$5:$AA$5,0)),"NA")</f>
        <v>347367</v>
      </c>
      <c r="BC893" s="269">
        <f t="shared" si="1546"/>
        <v>1.2916752087022015E-2</v>
      </c>
      <c r="BD893" s="92"/>
      <c r="BE893" s="299" t="str">
        <f t="shared" si="1537"/>
        <v>PEOPLES GAS SYSTEM</v>
      </c>
      <c r="BF893" s="300">
        <f t="shared" si="1538"/>
        <v>4063341</v>
      </c>
      <c r="BG893" s="231" t="str">
        <f t="shared" si="1539"/>
        <v>FL</v>
      </c>
      <c r="BH893" s="231"/>
      <c r="BI893" s="231" t="str">
        <f t="shared" si="1540"/>
        <v>2013 Y</v>
      </c>
      <c r="BJ893" s="129"/>
      <c r="BK893" s="129"/>
      <c r="BL893" s="129">
        <f>INDEX('Dist. Plant Gas Additions'!$E$7:$AD$91,MATCH($C893,'Dist. Plant Gas Additions'!$C$7:$C$91,0),MATCH(Calculation!$G893,'Dist. Plant Gas Additions'!$E$5:$AD$5,0))</f>
        <v>82623</v>
      </c>
      <c r="BM893" s="129">
        <f>INDEX('Gen. Plant Additions'!$E$7:$AD$91,MATCH($C893,'Gen. Plant Additions'!$C$7:$C$91,0),MATCH(Calculation!$G893,'Gen. Plant Additions'!$E$5:$AD$5,0))</f>
        <v>3921</v>
      </c>
      <c r="BN893" s="301">
        <f t="shared" si="1597"/>
        <v>0.96499030245501438</v>
      </c>
      <c r="BO893" s="231">
        <f t="shared" si="1631"/>
        <v>3783.7269759261112</v>
      </c>
      <c r="BP893" s="231">
        <f t="shared" si="1632"/>
        <v>-137.27302407388879</v>
      </c>
      <c r="BQ893" s="129">
        <f>INDEX('Dist Plant Depreciation'!$D$7:$AC$94,MATCH($C893,'Dist Plant Depreciation'!$C$7:$C$94,0),MATCH(Calculation!$G893,'Dist Plant Depreciation'!$D$5:$AC$5,0))</f>
        <v>553400</v>
      </c>
      <c r="BR893" s="129">
        <f>INDEX('Gen. Plant Depreciation'!$D$7:$AC$94,MATCH($C893,'Gen. Plant Depreciation'!$C$7:$C$94,0),MATCH(Calculation!$G893,'Gen. Plant Depreciation'!$D$5:$AC$5,0))</f>
        <v>42296</v>
      </c>
      <c r="BS893" s="129"/>
      <c r="BT893" s="129"/>
      <c r="BU893" s="129"/>
      <c r="BV893" s="129"/>
      <c r="BW893" s="129"/>
      <c r="BX893" s="137"/>
      <c r="BY893" s="129">
        <f>INDEX('Gross Dx Plant'!$D$7:$AC$91,MATCH($C893,'Gross Dx Plant'!$C$7:$C$91,0),MATCH(Calculation!$G893,'Gross Dx Plant'!$D$5:$AC$5,0))</f>
        <v>1175198</v>
      </c>
      <c r="BZ893" s="129">
        <f>INDEX('Gross Gen Plant'!$D$7:$AC$91,MATCH($C893,'Gross Gen Plant'!$C$7:$C$91,0),MATCH(Calculation!$G893,'Gross Gen Plant'!$D$5:$AC$5,0))</f>
        <v>42636</v>
      </c>
      <c r="CA893" s="129">
        <f t="shared" si="1595"/>
        <v>622138</v>
      </c>
      <c r="CB893" s="129"/>
      <c r="CC893" s="133">
        <v>2013</v>
      </c>
      <c r="CD893" s="129"/>
      <c r="CE893" s="129"/>
      <c r="CF893" s="129"/>
      <c r="CG893" s="137"/>
      <c r="CH893" s="129">
        <f t="shared" si="1598"/>
        <v>86544</v>
      </c>
      <c r="CI893" s="46">
        <f t="shared" si="1607"/>
        <v>86406.726975926111</v>
      </c>
      <c r="CJ893" s="231">
        <f t="shared" si="1599"/>
        <v>130.27807720445637</v>
      </c>
      <c r="CK893" s="443">
        <v>0.82758620689655171</v>
      </c>
      <c r="CL893" s="231">
        <f>+CL878*CK893+CJ879*CK892+CJ880*CK891+CJ881*CK890+CJ882*CK889+CJ883*CK888+CJ884*CK887+CJ885*CK886+CJ886*CK885+CJ887*CK884+CJ888*CK883+CJ889*CK882+CJ890*CK881+CJ891*CK880+CJ892*CK879+CJ893</f>
        <v>2779.2402102120168</v>
      </c>
      <c r="CM893" s="134">
        <f t="shared" si="1600"/>
        <v>3.3818098498915837E-2</v>
      </c>
      <c r="CN893" s="135">
        <f t="shared" si="1601"/>
        <v>1.409134514636088E-2</v>
      </c>
      <c r="CO893" s="135">
        <f t="shared" si="1610"/>
        <v>1.373435515145803E-2</v>
      </c>
      <c r="CP893" s="134">
        <f>VLOOKUP($H893,RoR!$E:$F,2,FALSE)</f>
        <v>4.2350000000000006E-2</v>
      </c>
      <c r="CQ893" s="135">
        <v>1.7730000000000024E-2</v>
      </c>
      <c r="CR893" s="135">
        <f t="shared" si="1608"/>
        <v>2.4619999999999982E-2</v>
      </c>
      <c r="CS893" s="135">
        <f t="shared" si="1611"/>
        <v>1.7167586457075595E-2</v>
      </c>
      <c r="CT893" s="135">
        <f t="shared" si="1612"/>
        <v>5.3376742735721204E-2</v>
      </c>
      <c r="CU893" s="139">
        <f t="shared" si="1602"/>
        <v>0.85727249999999999</v>
      </c>
      <c r="CV893" s="335">
        <f t="shared" si="1603"/>
        <v>1.2109103018193925</v>
      </c>
      <c r="CW893" s="335">
        <f t="shared" si="1604"/>
        <v>0.38468122786304604</v>
      </c>
      <c r="CX893" s="335">
        <f t="shared" si="1605"/>
        <v>0.80969194503422559</v>
      </c>
      <c r="CY893" s="335">
        <f t="shared" si="1606"/>
        <v>0.37716621754800816</v>
      </c>
      <c r="CZ893" s="336">
        <f>INDEX('State Tax Lookup'!$D$7:$Z$91,MATCH(Calculation!$C893,'State Tax Lookup'!$B$7:$B$91,0),MATCH($H893,'State Tax Lookup'!$D$6:$Z$6,0))</f>
        <v>0.38574999999999998</v>
      </c>
      <c r="DA893" s="302">
        <v>0.37</v>
      </c>
      <c r="DB893" s="57">
        <f t="shared" si="1609"/>
        <v>15.816796395447932</v>
      </c>
      <c r="DC893" s="56">
        <f t="shared" si="1613"/>
        <v>-2.7462651030372442E-2</v>
      </c>
      <c r="DD893" s="303">
        <f>VLOOKUP($H893,RoR!$E:$F,2,FALSE)</f>
        <v>4.2350000000000006E-2</v>
      </c>
      <c r="DE893" s="304">
        <f>HLOOKUP($H893,'GDP-PI'!$D$8:$CQ$11,3,FALSE)</f>
        <v>1.7730000000000024E-2</v>
      </c>
      <c r="DF893" s="303">
        <f>VLOOKUP(H893,'HW Dx Data'!$E:$F,2,FALSE)</f>
        <v>663.24840548821396</v>
      </c>
      <c r="DG893" s="364">
        <f ca="1">VLOOKUP(CC893,'ECI - Input Price'!M$13:N$33,2,FALSE)</f>
        <v>126.8</v>
      </c>
      <c r="DH893" s="364"/>
      <c r="DI893" s="364"/>
      <c r="DJ893" s="56">
        <f t="shared" ca="1" si="1621"/>
        <v>1.5898586067798204E-2</v>
      </c>
      <c r="DK893" s="53">
        <f>HLOOKUP(H893,'GDP-PI'!$8:$9,2,FALSE)</f>
        <v>101.773</v>
      </c>
      <c r="DL893" s="355">
        <f t="shared" si="1614"/>
        <v>1.7574657016510519E-2</v>
      </c>
      <c r="EC893"/>
    </row>
    <row r="894" spans="1:133" s="126" customFormat="1" ht="21" customHeight="1" x14ac:dyDescent="0.4">
      <c r="A894" s="233" t="s">
        <v>234</v>
      </c>
      <c r="B894" s="127" t="s">
        <v>234</v>
      </c>
      <c r="C894" s="127">
        <v>4063341</v>
      </c>
      <c r="D894" s="127" t="s">
        <v>235</v>
      </c>
      <c r="E894" s="127"/>
      <c r="F894" s="127"/>
      <c r="G894" s="127" t="s">
        <v>170</v>
      </c>
      <c r="H894" s="128">
        <v>2014</v>
      </c>
      <c r="I894" s="129"/>
      <c r="J894" s="125">
        <f>IFERROR(INDEX('Labor Expenditures'!$E$7:$W$91,MATCH($C894,'Labor Expenditures'!$C$7:$C$91,0),MATCH($G894,'Labor Expenditures'!$E$5:$W$5,0)),"NA")</f>
        <v>31734.670799491338</v>
      </c>
      <c r="K894" s="125">
        <f t="shared" ca="1" si="1615"/>
        <v>245.24475115526536</v>
      </c>
      <c r="L894" s="47"/>
      <c r="M894" s="131">
        <f t="shared" ca="1" si="1622"/>
        <v>-1.2838431984932862E-2</v>
      </c>
      <c r="N894" s="131"/>
      <c r="O894" s="131"/>
      <c r="P894" s="59">
        <f t="shared" ca="1" si="1624"/>
        <v>-1.5836583474250523E-4</v>
      </c>
      <c r="Q894" s="61"/>
      <c r="R894" s="387"/>
      <c r="S894" s="49">
        <f t="shared" ca="1" si="1629"/>
        <v>118.98794730901474</v>
      </c>
      <c r="T894" s="61">
        <f ca="1">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</f>
        <v>0.11299020194327702</v>
      </c>
      <c r="U894" s="61"/>
      <c r="V894" s="125">
        <f>IFERROR(INDEX('Non-Labor Expenditures'!$E$7:$AA$91,MATCH($C894,'Non-Labor Expenditures'!$C$7:$C$91,0),MATCH($G894,'Non-Labor Expenditures'!$E$5:$AA$5,0)),"NA")</f>
        <v>45957.730536571216</v>
      </c>
      <c r="W894" s="125">
        <f t="shared" si="1616"/>
        <v>443.40627839272929</v>
      </c>
      <c r="X894" s="131">
        <f t="shared" si="1625"/>
        <v>-1.0787143819514249E-2</v>
      </c>
      <c r="Y894" s="131">
        <f t="shared" si="1626"/>
        <v>-1.3306259187023016E-4</v>
      </c>
      <c r="Z894" s="131"/>
      <c r="AA894" s="131"/>
      <c r="AB894" s="131"/>
      <c r="AC894" s="125">
        <f t="shared" si="1596"/>
        <v>44540.705142775281</v>
      </c>
      <c r="AD894" s="129"/>
      <c r="AE894" s="133">
        <v>3054.9761460733321</v>
      </c>
      <c r="AF894" s="134">
        <v>2.7730559630148002E-2</v>
      </c>
      <c r="AG894" s="59">
        <f t="shared" si="1617"/>
        <v>3.4206460951455287E-4</v>
      </c>
      <c r="AH894" s="134"/>
      <c r="AI894" s="134"/>
      <c r="AJ894" s="129">
        <f t="shared" si="1588"/>
        <v>122233.10647883784</v>
      </c>
      <c r="AK894" s="134">
        <f t="shared" si="1627"/>
        <v>2.1676839903998546E-2</v>
      </c>
      <c r="AL894" s="129"/>
      <c r="AM894" s="129"/>
      <c r="AN894" s="129"/>
      <c r="AO894" s="129"/>
      <c r="AP894" s="133">
        <f t="shared" si="1628"/>
        <v>345.3859008791614</v>
      </c>
      <c r="AQ894" s="134">
        <f>+BB894/Outputs!$B$22</f>
        <v>9.7937572314481264E-3</v>
      </c>
      <c r="AR894" s="93">
        <f t="shared" si="1618"/>
        <v>0.25962418622638495</v>
      </c>
      <c r="AS894" s="93">
        <f t="shared" si="1619"/>
        <v>0.37598431276495337</v>
      </c>
      <c r="AT894" s="93">
        <f t="shared" si="1620"/>
        <v>0.36439150100866163</v>
      </c>
      <c r="AU894" s="93">
        <f t="shared" ca="1" si="1623"/>
        <v>2.536716782296701E-3</v>
      </c>
      <c r="AV894" s="132">
        <f t="shared" ca="1" si="1633"/>
        <v>113.34036240558191</v>
      </c>
      <c r="AW894" s="134">
        <f t="shared" ca="1" si="1634"/>
        <v>2.5367167822967808E-3</v>
      </c>
      <c r="AX894" s="56">
        <f>+AJ894/$AL$19</f>
        <v>1.2335294133143581E-2</v>
      </c>
      <c r="AY894" s="135">
        <f t="shared" ca="1" si="1630"/>
        <v>3.1291147642112344E-5</v>
      </c>
      <c r="AZ894" s="93"/>
      <c r="BA894" s="93"/>
      <c r="BB894" s="234">
        <f>IFERROR(INDEX('Total Customers'!$E$7:$AA$91,MATCH($C894,'Total Customers'!$C$7:$C$91,0),MATCH($G894,'Total Customers'!$E$5:$AA$5,0)),"NA")</f>
        <v>353903</v>
      </c>
      <c r="BC894" s="269">
        <f t="shared" si="1546"/>
        <v>1.8641006355766276E-2</v>
      </c>
      <c r="BD894" s="92"/>
      <c r="BE894" s="299" t="str">
        <f t="shared" si="1537"/>
        <v>PEOPLES GAS SYSTEM</v>
      </c>
      <c r="BF894" s="300">
        <f t="shared" si="1538"/>
        <v>4063341</v>
      </c>
      <c r="BG894" s="231" t="str">
        <f t="shared" si="1539"/>
        <v>FL</v>
      </c>
      <c r="BH894" s="231"/>
      <c r="BI894" s="231" t="str">
        <f t="shared" si="1540"/>
        <v>2014 Y</v>
      </c>
      <c r="BJ894" s="129"/>
      <c r="BK894" s="129"/>
      <c r="BL894" s="129">
        <f>INDEX('Dist. Plant Gas Additions'!$E$7:$AD$91,MATCH($C894,'Dist. Plant Gas Additions'!$C$7:$C$91,0),MATCH(Calculation!$G894,'Dist. Plant Gas Additions'!$E$5:$AD$5,0))</f>
        <v>68179</v>
      </c>
      <c r="BM894" s="129">
        <f>INDEX('Gen. Plant Additions'!$E$7:$AD$91,MATCH($C894,'Gen. Plant Additions'!$C$7:$C$91,0),MATCH(Calculation!$G894,'Gen. Plant Additions'!$E$5:$AD$5,0))</f>
        <v>4889</v>
      </c>
      <c r="BN894" s="301">
        <f t="shared" si="1597"/>
        <v>0.97132746083673271</v>
      </c>
      <c r="BO894" s="231">
        <f t="shared" si="1631"/>
        <v>4748.8199560307867</v>
      </c>
      <c r="BP894" s="231">
        <f t="shared" si="1632"/>
        <v>-140.18004396921333</v>
      </c>
      <c r="BQ894" s="129">
        <f>INDEX('Dist Plant Depreciation'!$D$7:$AC$94,MATCH($C894,'Dist Plant Depreciation'!$C$7:$C$94,0),MATCH(Calculation!$G894,'Dist Plant Depreciation'!$D$5:$AC$5,0))</f>
        <v>591363</v>
      </c>
      <c r="BR894" s="129">
        <f>INDEX('Gen. Plant Depreciation'!$D$7:$AC$94,MATCH($C894,'Gen. Plant Depreciation'!$C$7:$C$94,0),MATCH(Calculation!$G894,'Gen. Plant Depreciation'!$D$5:$AC$5,0))</f>
        <v>39163</v>
      </c>
      <c r="BS894" s="129"/>
      <c r="BT894" s="129"/>
      <c r="BU894" s="129"/>
      <c r="BV894" s="129"/>
      <c r="BW894" s="129"/>
      <c r="BX894" s="137"/>
      <c r="BY894" s="129">
        <f>INDEX('Gross Dx Plant'!$D$7:$AC$91,MATCH($C894,'Gross Dx Plant'!$C$7:$C$91,0),MATCH(Calculation!$G894,'Gross Dx Plant'!$D$5:$AC$5,0))</f>
        <v>1238426</v>
      </c>
      <c r="BZ894" s="129">
        <f>INDEX('Gross Gen Plant'!$D$7:$AC$91,MATCH($C894,'Gross Gen Plant'!$C$7:$C$91,0),MATCH(Calculation!$G894,'Gross Gen Plant'!$D$5:$AC$5,0))</f>
        <v>36557</v>
      </c>
      <c r="CA894" s="129">
        <f t="shared" si="1595"/>
        <v>644457</v>
      </c>
      <c r="CB894" s="129"/>
      <c r="CC894" s="133">
        <v>2014</v>
      </c>
      <c r="CD894" s="129"/>
      <c r="CE894" s="129"/>
      <c r="CF894" s="129"/>
      <c r="CG894" s="137"/>
      <c r="CH894" s="129">
        <f t="shared" si="1598"/>
        <v>73068</v>
      </c>
      <c r="CI894" s="46">
        <f t="shared" si="1607"/>
        <v>72927.819956030784</v>
      </c>
      <c r="CJ894" s="231">
        <f t="shared" si="1599"/>
        <v>106.54654153191983</v>
      </c>
      <c r="CK894" s="443">
        <v>0.81395348837209303</v>
      </c>
      <c r="CL894" s="231">
        <f>+CL878*CK894+CJ879*CK893+CJ880*CK892+CJ881*CK891+CJ882*CK890+CJ883*CK889+CJ884*CK888+CJ885*CK887+CJ886*CK886+CJ887*CK885+CJ888*CK884+CJ889*CK883+CJ890*CK882+CJ891*CK881+CJ892*CK880+CJ893*CK879+CJ894</f>
        <v>2845.7833648647079</v>
      </c>
      <c r="CM894" s="134">
        <f t="shared" si="1600"/>
        <v>2.3660792939754281E-2</v>
      </c>
      <c r="CN894" s="135">
        <f t="shared" si="1601"/>
        <v>1.4393641374444937E-2</v>
      </c>
      <c r="CO894" s="135">
        <f t="shared" si="1610"/>
        <v>1.4068278198780163E-2</v>
      </c>
      <c r="CP894" s="134">
        <f>VLOOKUP($H894,RoR!$E:$F,2,FALSE)</f>
        <v>4.1625000000000002E-2</v>
      </c>
      <c r="CQ894" s="135">
        <v>1.841352814597208E-2</v>
      </c>
      <c r="CR894" s="135">
        <f t="shared" si="1608"/>
        <v>2.3211471854027922E-2</v>
      </c>
      <c r="CS894" s="135">
        <f t="shared" si="1611"/>
        <v>1.6833663409753463E-2</v>
      </c>
      <c r="CT894" s="135">
        <f t="shared" si="1612"/>
        <v>3.9072621432650924E-2</v>
      </c>
      <c r="CU894" s="139">
        <f t="shared" si="1602"/>
        <v>0.85727249999999999</v>
      </c>
      <c r="CV894" s="335">
        <f t="shared" si="1603"/>
        <v>1.2320012320012319</v>
      </c>
      <c r="CW894" s="335">
        <f t="shared" si="1604"/>
        <v>0.37439939939939942</v>
      </c>
      <c r="CX894" s="335">
        <f t="shared" si="1605"/>
        <v>0.80432100613819935</v>
      </c>
      <c r="CY894" s="335">
        <f t="shared" si="1606"/>
        <v>0.37100152660040037</v>
      </c>
      <c r="CZ894" s="336">
        <f>INDEX('State Tax Lookup'!$D$7:$Z$91,MATCH(Calculation!$C894,'State Tax Lookup'!$B$7:$B$91,0),MATCH($H894,'State Tax Lookup'!$D$6:$Z$6,0))</f>
        <v>0.38574999999999998</v>
      </c>
      <c r="DA894" s="302">
        <v>0.37</v>
      </c>
      <c r="DB894" s="57">
        <f t="shared" si="1609"/>
        <v>16.026216438260821</v>
      </c>
      <c r="DC894" s="56">
        <f t="shared" si="1613"/>
        <v>1.3153470325015933E-2</v>
      </c>
      <c r="DD894" s="303">
        <f>VLOOKUP($H894,RoR!$E:$F,2,FALSE)</f>
        <v>4.1625000000000002E-2</v>
      </c>
      <c r="DE894" s="304">
        <f>HLOOKUP($H894,'GDP-PI'!$D$8:$CQ$11,3,FALSE)</f>
        <v>1.841352814597208E-2</v>
      </c>
      <c r="DF894" s="303">
        <f>VLOOKUP(H894,'HW Dx Data'!$E:$F,2,FALSE)</f>
        <v>684.46914285042885</v>
      </c>
      <c r="DG894" s="364">
        <f ca="1">VLOOKUP(CC894,'ECI - Input Price'!M$13:N$33,2,FALSE)</f>
        <v>129.4</v>
      </c>
      <c r="DH894" s="364"/>
      <c r="DI894" s="364"/>
      <c r="DJ894" s="56">
        <f t="shared" ca="1" si="1621"/>
        <v>2.0297340063674733E-2</v>
      </c>
      <c r="DK894" s="53">
        <f>HLOOKUP(H894,'GDP-PI'!$8:$9,2,FALSE)</f>
        <v>103.64700000000001</v>
      </c>
      <c r="DL894" s="355">
        <f t="shared" si="1614"/>
        <v>1.8246051898256087E-2</v>
      </c>
      <c r="EC894"/>
    </row>
    <row r="895" spans="1:133" s="126" customFormat="1" ht="21" customHeight="1" x14ac:dyDescent="0.4">
      <c r="A895" s="233" t="s">
        <v>234</v>
      </c>
      <c r="B895" s="127" t="s">
        <v>234</v>
      </c>
      <c r="C895" s="127">
        <v>4063341</v>
      </c>
      <c r="D895" s="127" t="s">
        <v>235</v>
      </c>
      <c r="E895" s="127"/>
      <c r="F895" s="127"/>
      <c r="G895" s="127" t="s">
        <v>171</v>
      </c>
      <c r="H895" s="128">
        <v>2015</v>
      </c>
      <c r="I895" s="129"/>
      <c r="J895" s="125">
        <f>IFERROR(INDEX('Labor Expenditures'!$E$7:$W$91,MATCH($C895,'Labor Expenditures'!$C$7:$C$91,0),MATCH($G895,'Labor Expenditures'!$E$5:$W$5,0)),"NA")</f>
        <v>32988.470061060958</v>
      </c>
      <c r="K895" s="125">
        <f t="shared" ca="1" si="1615"/>
        <v>247.10464465214201</v>
      </c>
      <c r="L895" s="47"/>
      <c r="M895" s="131">
        <f t="shared" ca="1" si="1622"/>
        <v>7.5552132684347968E-3</v>
      </c>
      <c r="N895" s="131"/>
      <c r="O895" s="131"/>
      <c r="P895" s="59">
        <f t="shared" ca="1" si="1624"/>
        <v>9.481391748707354E-5</v>
      </c>
      <c r="Q895" s="61"/>
      <c r="R895" s="387"/>
      <c r="S895" s="49">
        <f t="shared" ca="1" si="1629"/>
        <v>118.57506891132245</v>
      </c>
      <c r="T895" s="61">
        <f ca="1">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</f>
        <v>-3.4759519387254092E-3</v>
      </c>
      <c r="U895" s="61"/>
      <c r="V895" s="125">
        <f>IFERROR(INDEX('Non-Labor Expenditures'!$E$7:$AA$91,MATCH($C895,'Non-Labor Expenditures'!$C$7:$C$91,0),MATCH($G895,'Non-Labor Expenditures'!$E$5:$AA$5,0)),"NA")</f>
        <v>47773.466044723769</v>
      </c>
      <c r="W895" s="125">
        <f t="shared" si="1616"/>
        <v>456.55507071669047</v>
      </c>
      <c r="X895" s="131">
        <f t="shared" si="1625"/>
        <v>2.9222872856496059E-2</v>
      </c>
      <c r="Y895" s="131">
        <f t="shared" si="1626"/>
        <v>3.6673154778131995E-4</v>
      </c>
      <c r="Z895" s="131"/>
      <c r="AA895" s="131"/>
      <c r="AB895" s="131"/>
      <c r="AC895" s="125">
        <f t="shared" si="1596"/>
        <v>44237.881565360614</v>
      </c>
      <c r="AD895" s="129"/>
      <c r="AE895" s="133">
        <v>3174.4063551220484</v>
      </c>
      <c r="AF895" s="134">
        <v>3.8348855664212658E-2</v>
      </c>
      <c r="AG895" s="59">
        <f t="shared" si="1617"/>
        <v>4.8125778948707529E-4</v>
      </c>
      <c r="AH895" s="134"/>
      <c r="AI895" s="134"/>
      <c r="AJ895" s="129">
        <f t="shared" si="1588"/>
        <v>124999.81767114534</v>
      </c>
      <c r="AK895" s="134">
        <f t="shared" si="1627"/>
        <v>2.2382348176468017E-2</v>
      </c>
      <c r="AL895" s="129"/>
      <c r="AM895" s="129"/>
      <c r="AN895" s="129"/>
      <c r="AO895" s="129"/>
      <c r="AP895" s="133">
        <f t="shared" si="1628"/>
        <v>346.0892348679746</v>
      </c>
      <c r="AQ895" s="134">
        <f>+BB895/Outputs!$B$23</f>
        <v>9.9138093832729906E-3</v>
      </c>
      <c r="AR895" s="93">
        <f t="shared" si="1618"/>
        <v>0.2639081454330468</v>
      </c>
      <c r="AS895" s="93">
        <f t="shared" si="1619"/>
        <v>0.3821882858294095</v>
      </c>
      <c r="AT895" s="93">
        <f t="shared" si="1620"/>
        <v>0.35390356873754369</v>
      </c>
      <c r="AU895" s="93">
        <f t="shared" ca="1" si="1623"/>
        <v>2.6828586912311513E-2</v>
      </c>
      <c r="AV895" s="132">
        <f t="shared" ca="1" si="1633"/>
        <v>116.42228107588187</v>
      </c>
      <c r="AW895" s="134">
        <f t="shared" ca="1" si="1634"/>
        <v>2.6828586912311551E-2</v>
      </c>
      <c r="AX895" s="56">
        <f>+AJ895/$AL$20</f>
        <v>1.2549469368813199E-2</v>
      </c>
      <c r="AY895" s="135">
        <f t="shared" ca="1" si="1630"/>
        <v>3.3668452966459649E-4</v>
      </c>
      <c r="AZ895" s="93"/>
      <c r="BA895" s="93"/>
      <c r="BB895" s="234">
        <f>IFERROR(INDEX('Total Customers'!$E$7:$AA$91,MATCH($C895,'Total Customers'!$C$7:$C$91,0),MATCH($G895,'Total Customers'!$E$5:$AA$5,0)),"NA")</f>
        <v>361178</v>
      </c>
      <c r="BC895" s="269">
        <f t="shared" si="1546"/>
        <v>2.0348047317309555E-2</v>
      </c>
      <c r="BD895" s="92"/>
      <c r="BE895" s="299" t="str">
        <f t="shared" si="1537"/>
        <v>PEOPLES GAS SYSTEM</v>
      </c>
      <c r="BF895" s="300">
        <f t="shared" si="1538"/>
        <v>4063341</v>
      </c>
      <c r="BG895" s="231" t="str">
        <f t="shared" si="1539"/>
        <v>FL</v>
      </c>
      <c r="BH895" s="231"/>
      <c r="BI895" s="231" t="str">
        <f t="shared" si="1540"/>
        <v>2015 Y</v>
      </c>
      <c r="BJ895" s="129"/>
      <c r="BK895" s="129"/>
      <c r="BL895" s="129">
        <f>INDEX('Dist. Plant Gas Additions'!$E$7:$AD$91,MATCH($C895,'Dist. Plant Gas Additions'!$C$7:$C$91,0),MATCH(Calculation!$G895,'Dist. Plant Gas Additions'!$E$5:$AD$5,0))</f>
        <v>92874</v>
      </c>
      <c r="BM895" s="129">
        <f>INDEX('Gen. Plant Additions'!$E$7:$AD$91,MATCH($C895,'Gen. Plant Additions'!$C$7:$C$91,0),MATCH(Calculation!$G895,'Gen. Plant Additions'!$E$5:$AD$5,0))</f>
        <v>4430</v>
      </c>
      <c r="BN895" s="301">
        <f t="shared" si="1597"/>
        <v>0.96552171019772814</v>
      </c>
      <c r="BO895" s="231">
        <f t="shared" si="1631"/>
        <v>4277.2611761759354</v>
      </c>
      <c r="BP895" s="231">
        <f t="shared" si="1632"/>
        <v>-152.73882382406464</v>
      </c>
      <c r="BQ895" s="129">
        <f>INDEX('Dist Plant Depreciation'!$D$7:$AC$94,MATCH($C895,'Dist Plant Depreciation'!$C$7:$C$94,0),MATCH(Calculation!$G895,'Dist Plant Depreciation'!$D$5:$AC$5,0))</f>
        <v>632212</v>
      </c>
      <c r="BR895" s="129">
        <f>INDEX('Gen. Plant Depreciation'!$D$7:$AC$94,MATCH($C895,'Gen. Plant Depreciation'!$C$7:$C$94,0),MATCH(Calculation!$G895,'Gen. Plant Depreciation'!$D$5:$AC$5,0))</f>
        <v>36385</v>
      </c>
      <c r="BS895" s="129"/>
      <c r="BT895" s="129"/>
      <c r="BU895" s="129"/>
      <c r="BV895" s="129"/>
      <c r="BW895" s="129"/>
      <c r="BX895" s="137"/>
      <c r="BY895" s="129">
        <f>INDEX('Gross Dx Plant'!$D$7:$AC$91,MATCH($C895,'Gross Dx Plant'!$C$7:$C$91,0),MATCH(Calculation!$G895,'Gross Dx Plant'!$D$5:$AC$5,0))</f>
        <v>1326146</v>
      </c>
      <c r="BZ895" s="129">
        <f>INDEX('Gross Gen Plant'!$D$7:$AC$91,MATCH($C895,'Gross Gen Plant'!$C$7:$C$91,0),MATCH(Calculation!$G895,'Gross Gen Plant'!$D$5:$AC$5,0))</f>
        <v>47356</v>
      </c>
      <c r="CA895" s="129">
        <f t="shared" si="1595"/>
        <v>704905</v>
      </c>
      <c r="CB895" s="129"/>
      <c r="CC895" s="133">
        <v>2015</v>
      </c>
      <c r="CD895" s="129"/>
      <c r="CE895" s="129"/>
      <c r="CF895" s="129"/>
      <c r="CG895" s="137"/>
      <c r="CH895" s="129">
        <f t="shared" si="1598"/>
        <v>97304</v>
      </c>
      <c r="CI895" s="46">
        <f t="shared" si="1607"/>
        <v>97151.261176175933</v>
      </c>
      <c r="CJ895" s="231">
        <f t="shared" si="1599"/>
        <v>143.7968575848102</v>
      </c>
      <c r="CK895" s="443">
        <v>0.8</v>
      </c>
      <c r="CL895" s="231">
        <f>+CL878*CK895+CJ879*CK894+CJ880*CK893+CJ881*CK892+CJ882*CK891+CJ883*CK890+CJ884*CK889+CJ885*CK888+CJ886*CK887+CJ887*CK886+CJ888*CK885+CJ889*CK884+CJ890*CK883+CJ891*CK882+CJ892*CK881+CJ893*CK880+CJ894*CK879+CJ895</f>
        <v>2947.6143827591436</v>
      </c>
      <c r="CM895" s="134">
        <f t="shared" si="1600"/>
        <v>3.5157781771758316E-2</v>
      </c>
      <c r="CN895" s="135">
        <f t="shared" si="1601"/>
        <v>1.4746674047119391E-2</v>
      </c>
      <c r="CO895" s="135">
        <f t="shared" si="1610"/>
        <v>1.4410553522641737E-2</v>
      </c>
      <c r="CP895" s="134">
        <f>VLOOKUP($H895,RoR!$E:$F,2,FALSE)</f>
        <v>3.8866666666666674E-2</v>
      </c>
      <c r="CQ895" s="135">
        <v>9.5709475431029478E-3</v>
      </c>
      <c r="CR895" s="135">
        <f t="shared" si="1608"/>
        <v>2.9295719123563727E-2</v>
      </c>
      <c r="CS895" s="135">
        <f t="shared" si="1611"/>
        <v>1.6491388085891887E-2</v>
      </c>
      <c r="CT895" s="135">
        <f t="shared" si="1612"/>
        <v>3.5270373279175926E-3</v>
      </c>
      <c r="CU895" s="139">
        <f t="shared" si="1602"/>
        <v>0.85727249999999999</v>
      </c>
      <c r="CV895" s="335">
        <f t="shared" si="1603"/>
        <v>1.3194352816994324</v>
      </c>
      <c r="CW895" s="335">
        <f t="shared" si="1604"/>
        <v>0.33177530017152673</v>
      </c>
      <c r="CX895" s="335">
        <f t="shared" si="1605"/>
        <v>0.78242572977668579</v>
      </c>
      <c r="CY895" s="335">
        <f t="shared" si="1606"/>
        <v>0.34251158643433932</v>
      </c>
      <c r="CZ895" s="336">
        <f>INDEX('State Tax Lookup'!$D$7:$Z$91,MATCH(Calculation!$C895,'State Tax Lookup'!$B$7:$B$91,0),MATCH($H895,'State Tax Lookup'!$D$6:$Z$6,0))</f>
        <v>0.38574999999999998</v>
      </c>
      <c r="DA895" s="302">
        <v>0.37</v>
      </c>
      <c r="DB895" s="57">
        <f t="shared" si="1609"/>
        <v>15.545062955789588</v>
      </c>
      <c r="DC895" s="56">
        <f t="shared" si="1613"/>
        <v>-3.0482815301065454E-2</v>
      </c>
      <c r="DD895" s="303">
        <f>VLOOKUP($H895,RoR!$E:$F,2,FALSE)</f>
        <v>3.8866666666666674E-2</v>
      </c>
      <c r="DE895" s="304">
        <f>HLOOKUP($H895,'GDP-PI'!$D$8:$CQ$11,3,FALSE)</f>
        <v>9.5709475431029478E-3</v>
      </c>
      <c r="DF895" s="303">
        <f>VLOOKUP(H895,'HW Dx Data'!$E:$F,2,FALSE)</f>
        <v>675.61463308665782</v>
      </c>
      <c r="DG895" s="364">
        <f ca="1">VLOOKUP(CC895,'ECI - Input Price'!M$13:N$33,2,FALSE)</f>
        <v>133.5</v>
      </c>
      <c r="DH895" s="364"/>
      <c r="DI895" s="364"/>
      <c r="DJ895" s="56">
        <f t="shared" ca="1" si="1621"/>
        <v>3.1193095773504077E-2</v>
      </c>
      <c r="DK895" s="53">
        <f>HLOOKUP(H895,'GDP-PI'!$8:$9,2,FALSE)</f>
        <v>104.639</v>
      </c>
      <c r="DL895" s="355">
        <f t="shared" si="1614"/>
        <v>9.5254361854427965E-3</v>
      </c>
      <c r="EC895"/>
    </row>
    <row r="896" spans="1:133" s="126" customFormat="1" ht="21" customHeight="1" x14ac:dyDescent="0.4">
      <c r="A896" s="233" t="s">
        <v>234</v>
      </c>
      <c r="B896" s="127" t="s">
        <v>234</v>
      </c>
      <c r="C896" s="127">
        <v>4063341</v>
      </c>
      <c r="D896" s="127" t="s">
        <v>235</v>
      </c>
      <c r="E896" s="127"/>
      <c r="F896" s="127"/>
      <c r="G896" s="127" t="s">
        <v>172</v>
      </c>
      <c r="H896" s="128">
        <v>2016</v>
      </c>
      <c r="I896" s="129"/>
      <c r="J896" s="125">
        <f>IFERROR(INDEX('Labor Expenditures'!$E$7:$W$91,MATCH($C896,'Labor Expenditures'!$C$7:$C$91,0),MATCH($G896,'Labor Expenditures'!$E$5:$W$5,0)),"NA")</f>
        <v>35605.765951955444</v>
      </c>
      <c r="K896" s="125">
        <f t="shared" ca="1" si="1615"/>
        <v>259.99098906137601</v>
      </c>
      <c r="L896" s="47"/>
      <c r="M896" s="131">
        <f t="shared" ca="1" si="1622"/>
        <v>5.0835063491083833E-2</v>
      </c>
      <c r="N896" s="131"/>
      <c r="O896" s="131"/>
      <c r="P896" s="59">
        <f t="shared" ca="1" si="1624"/>
        <v>6.5172507062881511E-4</v>
      </c>
      <c r="Q896" s="61"/>
      <c r="R896" s="387"/>
      <c r="S896" s="49">
        <f t="shared" ca="1" si="1629"/>
        <v>294.05767789101407</v>
      </c>
      <c r="T896" s="61">
        <f ca="1">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</f>
        <v>0.90822967847422342</v>
      </c>
      <c r="U896" s="61"/>
      <c r="V896" s="125">
        <f>IFERROR(INDEX('Non-Labor Expenditures'!$E$7:$AA$91,MATCH($C896,'Non-Labor Expenditures'!$C$7:$C$91,0),MATCH($G896,'Non-Labor Expenditures'!$E$5:$AA$5,0)),"NA")</f>
        <v>51563.799338180586</v>
      </c>
      <c r="W896" s="125">
        <f t="shared" si="1616"/>
        <v>487.66550028543338</v>
      </c>
      <c r="X896" s="131">
        <f t="shared" si="1625"/>
        <v>6.592039099266174E-2</v>
      </c>
      <c r="Y896" s="131">
        <f t="shared" si="1626"/>
        <v>8.4512477265041397E-4</v>
      </c>
      <c r="Z896" s="131"/>
      <c r="AA896" s="131"/>
      <c r="AB896" s="131"/>
      <c r="AC896" s="125">
        <f t="shared" si="1596"/>
        <v>44656.651966292491</v>
      </c>
      <c r="AD896" s="129"/>
      <c r="AE896" s="133">
        <v>3321.3850552074337</v>
      </c>
      <c r="AF896" s="134">
        <v>4.5261241136262217E-2</v>
      </c>
      <c r="AG896" s="59">
        <f t="shared" si="1617"/>
        <v>5.8026652374403118E-4</v>
      </c>
      <c r="AH896" s="134"/>
      <c r="AI896" s="134"/>
      <c r="AJ896" s="129">
        <f t="shared" si="1588"/>
        <v>131826.21725642853</v>
      </c>
      <c r="AK896" s="134">
        <f t="shared" si="1627"/>
        <v>5.3172240584999912E-2</v>
      </c>
      <c r="AL896" s="129"/>
      <c r="AM896" s="129"/>
      <c r="AN896" s="129"/>
      <c r="AO896" s="129"/>
      <c r="AP896" s="133">
        <f t="shared" si="1628"/>
        <v>356.02438540327955</v>
      </c>
      <c r="AQ896" s="134">
        <f>+BB896/Outputs!$B$24</f>
        <v>1.0075627410687323E-2</v>
      </c>
      <c r="AR896" s="93">
        <f t="shared" si="1618"/>
        <v>0.27009624256072723</v>
      </c>
      <c r="AS896" s="93">
        <f t="shared" si="1619"/>
        <v>0.39114980624740692</v>
      </c>
      <c r="AT896" s="93">
        <f t="shared" si="1620"/>
        <v>0.33875395119186585</v>
      </c>
      <c r="AU896" s="93">
        <f t="shared" ca="1" si="1623"/>
        <v>5.4737717700887006E-2</v>
      </c>
      <c r="AV896" s="132">
        <f t="shared" ca="1" si="1633"/>
        <v>122.97261064065263</v>
      </c>
      <c r="AW896" s="134">
        <f t="shared" ca="1" si="1634"/>
        <v>5.4737717700887055E-2</v>
      </c>
      <c r="AX896" s="56">
        <f>+AJ896/$AL$21</f>
        <v>1.2820384708344543E-2</v>
      </c>
      <c r="AY896" s="135">
        <f t="shared" ca="1" si="1630"/>
        <v>7.017585989821328E-4</v>
      </c>
      <c r="AZ896" s="93"/>
      <c r="BA896" s="93"/>
      <c r="BB896" s="234">
        <f>IFERROR(INDEX('Total Customers'!$E$7:$AA$91,MATCH($C896,'Total Customers'!$C$7:$C$91,0),MATCH($G896,'Total Customers'!$E$5:$AA$5,0)),"NA")</f>
        <v>370273</v>
      </c>
      <c r="BC896" s="269">
        <f t="shared" si="1546"/>
        <v>2.486965980389674E-2</v>
      </c>
      <c r="BD896" s="92"/>
      <c r="BE896" s="299" t="str">
        <f t="shared" si="1537"/>
        <v>PEOPLES GAS SYSTEM</v>
      </c>
      <c r="BF896" s="300">
        <f t="shared" si="1538"/>
        <v>4063341</v>
      </c>
      <c r="BG896" s="231" t="str">
        <f t="shared" si="1539"/>
        <v>FL</v>
      </c>
      <c r="BH896" s="231"/>
      <c r="BI896" s="231" t="str">
        <f t="shared" si="1540"/>
        <v>2016 Y</v>
      </c>
      <c r="BJ896" s="129"/>
      <c r="BK896" s="129"/>
      <c r="BL896" s="129">
        <f>INDEX('Dist. Plant Gas Additions'!$E$7:$AD$91,MATCH($C896,'Dist. Plant Gas Additions'!$C$7:$C$91,0),MATCH(Calculation!$G896,'Dist. Plant Gas Additions'!$E$5:$AD$5,0))</f>
        <v>111742</v>
      </c>
      <c r="BM896" s="129">
        <f>INDEX('Gen. Plant Additions'!$E$7:$AD$91,MATCH($C896,'Gen. Plant Additions'!$C$7:$C$91,0),MATCH(Calculation!$G896,'Gen. Plant Additions'!$E$5:$AD$5,0))</f>
        <v>4565</v>
      </c>
      <c r="BN896" s="301">
        <f t="shared" si="1597"/>
        <v>0.9735420827894784</v>
      </c>
      <c r="BO896" s="231">
        <f t="shared" si="1631"/>
        <v>4444.2196079339692</v>
      </c>
      <c r="BP896" s="231">
        <f t="shared" si="1632"/>
        <v>-120.7803920660308</v>
      </c>
      <c r="BQ896" s="129">
        <f>INDEX('Dist Plant Depreciation'!$D$7:$AC$94,MATCH($C896,'Dist Plant Depreciation'!$C$7:$C$94,0),MATCH(Calculation!$G896,'Dist Plant Depreciation'!$D$5:$AC$5,0))</f>
        <v>659288</v>
      </c>
      <c r="BR896" s="129">
        <f>INDEX('Gen. Plant Depreciation'!$D$7:$AC$94,MATCH($C896,'Gen. Plant Depreciation'!$C$7:$C$94,0),MATCH(Calculation!$G896,'Gen. Plant Depreciation'!$D$5:$AC$5,0))</f>
        <v>27669</v>
      </c>
      <c r="BS896" s="129"/>
      <c r="BT896" s="129"/>
      <c r="BU896" s="129"/>
      <c r="BV896" s="129"/>
      <c r="BW896" s="129"/>
      <c r="BX896" s="137"/>
      <c r="BY896" s="129">
        <f>INDEX('Gross Dx Plant'!$D$7:$AC$91,MATCH($C896,'Gross Dx Plant'!$C$7:$C$91,0),MATCH(Calculation!$G896,'Gross Dx Plant'!$D$5:$AC$5,0))</f>
        <v>1429078</v>
      </c>
      <c r="BZ896" s="129">
        <f>INDEX('Gross Gen Plant'!$D$7:$AC$91,MATCH($C896,'Gross Gen Plant'!$C$7:$C$91,0),MATCH(Calculation!$G896,'Gross Gen Plant'!$D$5:$AC$5,0))</f>
        <v>38838</v>
      </c>
      <c r="CA896" s="129">
        <f t="shared" si="1595"/>
        <v>780959</v>
      </c>
      <c r="CB896" s="129"/>
      <c r="CC896" s="133">
        <v>2016</v>
      </c>
      <c r="CD896" s="129"/>
      <c r="CE896" s="129"/>
      <c r="CF896" s="129"/>
      <c r="CG896" s="137"/>
      <c r="CH896" s="129">
        <f t="shared" si="1598"/>
        <v>116307</v>
      </c>
      <c r="CI896" s="46">
        <f t="shared" si="1607"/>
        <v>116186.21960793396</v>
      </c>
      <c r="CJ896" s="231">
        <f t="shared" si="1599"/>
        <v>173.03613558590794</v>
      </c>
      <c r="CK896" s="443">
        <v>0.7857142857142857</v>
      </c>
      <c r="CL896" s="231">
        <f>+CL878*CK896+CJ879*CK895+CJ880*CK894+CJ881*CK893+CJ882*CK892+CJ883*CK891+CJ884*CK890+CJ885*CK889+CJ886*CK888+CJ887*CK887+CJ888*CK886+CJ889*CK885+CJ890*CK884+CJ891*CK883+CJ892*CK882+CJ893*CK881+CJ894*CK880+CJ895*CK879+CJ896</f>
        <v>3076.3009951126596</v>
      </c>
      <c r="CM896" s="134">
        <f t="shared" si="1600"/>
        <v>4.2731740243448287E-2</v>
      </c>
      <c r="CN896" s="135">
        <f t="shared" si="1601"/>
        <v>1.5045904067979924E-2</v>
      </c>
      <c r="CO896" s="135">
        <f t="shared" si="1610"/>
        <v>1.4728739829848084E-2</v>
      </c>
      <c r="CP896" s="134">
        <f>VLOOKUP($H896,RoR!$E:$F,2,FALSE)</f>
        <v>3.6658333333333334E-2</v>
      </c>
      <c r="CQ896" s="135">
        <v>1.0483662879041455E-2</v>
      </c>
      <c r="CR896" s="135">
        <f t="shared" si="1608"/>
        <v>2.6174670454291879E-2</v>
      </c>
      <c r="CS896" s="135">
        <f t="shared" si="1611"/>
        <v>1.6173201778685541E-2</v>
      </c>
      <c r="CT896" s="135">
        <f t="shared" si="1612"/>
        <v>4.301363574220729E-3</v>
      </c>
      <c r="CU896" s="139">
        <f t="shared" si="1602"/>
        <v>0.85727249999999999</v>
      </c>
      <c r="CV896" s="335">
        <f t="shared" si="1603"/>
        <v>1.3989193348138562</v>
      </c>
      <c r="CW896" s="335">
        <f t="shared" si="1604"/>
        <v>0.29302682427824522</v>
      </c>
      <c r="CX896" s="335">
        <f t="shared" si="1605"/>
        <v>0.76309497491941802</v>
      </c>
      <c r="CY896" s="335">
        <f t="shared" si="1606"/>
        <v>0.31280857135128509</v>
      </c>
      <c r="CZ896" s="336">
        <f>INDEX('State Tax Lookup'!$D$7:$Z$91,MATCH(Calculation!$C896,'State Tax Lookup'!$B$7:$B$91,0),MATCH($H896,'State Tax Lookup'!$D$6:$Z$6,0))</f>
        <v>0.38574999999999998</v>
      </c>
      <c r="DA896" s="302">
        <v>0.37</v>
      </c>
      <c r="DB896" s="57">
        <f t="shared" si="1609"/>
        <v>15.150099764573408</v>
      </c>
      <c r="DC896" s="56">
        <f t="shared" si="1613"/>
        <v>-2.5735976354515522E-2</v>
      </c>
      <c r="DD896" s="303">
        <f>VLOOKUP($H896,RoR!$E:$F,2,FALSE)</f>
        <v>3.6658333333333334E-2</v>
      </c>
      <c r="DE896" s="304">
        <f>HLOOKUP($H896,'GDP-PI'!$D$8:$CQ$11,3,FALSE)</f>
        <v>1.0483662879041455E-2</v>
      </c>
      <c r="DF896" s="303">
        <f>VLOOKUP(H896,'HW Dx Data'!$E:$F,2,FALSE)</f>
        <v>671.45639385971219</v>
      </c>
      <c r="DG896" s="364">
        <f ca="1">VLOOKUP(CC896,'ECI - Input Price'!M$13:N$33,2,FALSE)</f>
        <v>136.94999999999999</v>
      </c>
      <c r="DH896" s="364"/>
      <c r="DI896" s="364"/>
      <c r="DJ896" s="56">
        <f t="shared" ca="1" si="1621"/>
        <v>2.5514417868782811E-2</v>
      </c>
      <c r="DK896" s="53">
        <f>HLOOKUP(H896,'GDP-PI'!$8:$9,2,FALSE)</f>
        <v>105.736</v>
      </c>
      <c r="DL896" s="355">
        <f t="shared" si="1614"/>
        <v>1.0429090367205095E-2</v>
      </c>
      <c r="EC896"/>
    </row>
    <row r="897" spans="1:133" s="126" customFormat="1" ht="21" customHeight="1" x14ac:dyDescent="0.4">
      <c r="A897" s="233" t="s">
        <v>234</v>
      </c>
      <c r="B897" s="127" t="s">
        <v>234</v>
      </c>
      <c r="C897" s="127">
        <v>4063341</v>
      </c>
      <c r="D897" s="127" t="s">
        <v>235</v>
      </c>
      <c r="E897" s="127"/>
      <c r="F897" s="127"/>
      <c r="G897" s="127" t="s">
        <v>173</v>
      </c>
      <c r="H897" s="128">
        <v>2017</v>
      </c>
      <c r="I897" s="129"/>
      <c r="J897" s="125">
        <f>IFERROR(INDEX('Labor Expenditures'!$E$7:$W$91,MATCH($C897,'Labor Expenditures'!$C$7:$C$91,0),MATCH($G897,'Labor Expenditures'!$E$5:$W$5,0)),"NA")</f>
        <v>35069.038711156834</v>
      </c>
      <c r="K897" s="125">
        <f t="shared" ca="1" si="1615"/>
        <v>249.69055686120925</v>
      </c>
      <c r="L897" s="47"/>
      <c r="M897" s="131">
        <f t="shared" ca="1" si="1622"/>
        <v>-4.0424594324773799E-2</v>
      </c>
      <c r="N897" s="131"/>
      <c r="O897" s="131"/>
      <c r="P897" s="59">
        <f t="shared" ca="1" si="1624"/>
        <v>-5.0229284254163259E-4</v>
      </c>
      <c r="Q897" s="61"/>
      <c r="R897" s="387"/>
      <c r="S897" s="49">
        <f t="shared" ca="1" si="1629"/>
        <v>165.2578014117839</v>
      </c>
      <c r="T897" s="61">
        <f ca="1">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</f>
        <v>-0.57626924402896351</v>
      </c>
      <c r="U897" s="61"/>
      <c r="V897" s="125">
        <f>IFERROR(INDEX('Non-Labor Expenditures'!$E$7:$AA$91,MATCH($C897,'Non-Labor Expenditures'!$C$7:$C$91,0),MATCH($G897,'Non-Labor Expenditures'!$E$5:$AA$5,0)),"NA")</f>
        <v>50786.518046683625</v>
      </c>
      <c r="W897" s="125">
        <f t="shared" si="1616"/>
        <v>471.3322200878286</v>
      </c>
      <c r="X897" s="131">
        <f t="shared" si="1625"/>
        <v>-3.4066524711353394E-2</v>
      </c>
      <c r="Y897" s="131">
        <f t="shared" si="1626"/>
        <v>-4.2329111320961205E-4</v>
      </c>
      <c r="Z897" s="131"/>
      <c r="AA897" s="131"/>
      <c r="AB897" s="131"/>
      <c r="AC897" s="125">
        <f t="shared" si="1596"/>
        <v>41866.987565919306</v>
      </c>
      <c r="AD897" s="129"/>
      <c r="AE897" s="133">
        <v>3462.138504708807</v>
      </c>
      <c r="AF897" s="134">
        <v>4.1504581856654003E-2</v>
      </c>
      <c r="AG897" s="59">
        <f t="shared" si="1617"/>
        <v>5.157121486932143E-4</v>
      </c>
      <c r="AH897" s="134"/>
      <c r="AI897" s="134"/>
      <c r="AJ897" s="129">
        <f t="shared" si="1588"/>
        <v>127722.54432375976</v>
      </c>
      <c r="AK897" s="134">
        <f t="shared" si="1627"/>
        <v>-3.1624230500446986E-2</v>
      </c>
      <c r="AL897" s="129"/>
      <c r="AM897" s="129"/>
      <c r="AN897" s="129"/>
      <c r="AO897" s="129"/>
      <c r="AP897" s="133">
        <f t="shared" si="1628"/>
        <v>341.85603983715794</v>
      </c>
      <c r="AQ897" s="134">
        <f>+BB897/Outputs!$B$25</f>
        <v>1.009018469698037E-2</v>
      </c>
      <c r="AR897" s="93">
        <f t="shared" si="1618"/>
        <v>0.27457203344040387</v>
      </c>
      <c r="AS897" s="93">
        <f t="shared" si="1619"/>
        <v>0.39763158740360288</v>
      </c>
      <c r="AT897" s="93">
        <f t="shared" si="1620"/>
        <v>0.32779637915599324</v>
      </c>
      <c r="AU897" s="93">
        <f t="shared" ca="1" si="1623"/>
        <v>-1.0612071095042532E-2</v>
      </c>
      <c r="AV897" s="132">
        <f t="shared" ca="1" si="1633"/>
        <v>121.67451646976974</v>
      </c>
      <c r="AW897" s="134">
        <f t="shared" ca="1" si="1634"/>
        <v>-1.0612071095042501E-2</v>
      </c>
      <c r="AX897" s="56">
        <f>+AJ897/$AL$22</f>
        <v>1.2425426919715743E-2</v>
      </c>
      <c r="AY897" s="135">
        <f t="shared" ca="1" si="1630"/>
        <v>-1.318595138582784E-4</v>
      </c>
      <c r="AZ897" s="93"/>
      <c r="BA897" s="93"/>
      <c r="BB897" s="234">
        <f>IFERROR(INDEX('Total Customers'!$E$7:$AA$91,MATCH($C897,'Total Customers'!$C$7:$C$91,0),MATCH($G897,'Total Customers'!$E$5:$AA$5,0)),"NA")</f>
        <v>373615</v>
      </c>
      <c r="BC897" s="269">
        <f t="shared" si="1546"/>
        <v>8.9852840340452766E-3</v>
      </c>
      <c r="BD897" s="92"/>
      <c r="BE897" s="299" t="str">
        <f t="shared" si="1537"/>
        <v>PEOPLES GAS SYSTEM</v>
      </c>
      <c r="BF897" s="300">
        <f t="shared" si="1538"/>
        <v>4063341</v>
      </c>
      <c r="BG897" s="231" t="str">
        <f t="shared" si="1539"/>
        <v>FL</v>
      </c>
      <c r="BH897" s="231"/>
      <c r="BI897" s="231" t="str">
        <f t="shared" si="1540"/>
        <v>2017 Y</v>
      </c>
      <c r="BJ897" s="129"/>
      <c r="BK897" s="129"/>
      <c r="BL897" s="129">
        <f>INDEX('Dist. Plant Gas Additions'!$E$7:$AD$91,MATCH($C897,'Dist. Plant Gas Additions'!$C$7:$C$91,0),MATCH(Calculation!$G897,'Dist. Plant Gas Additions'!$E$5:$AD$5,0))</f>
        <v>117169</v>
      </c>
      <c r="BM897" s="129">
        <f>INDEX('Gen. Plant Additions'!$E$7:$AD$91,MATCH($C897,'Gen. Plant Additions'!$C$7:$C$91,0),MATCH(Calculation!$G897,'Gen. Plant Additions'!$E$5:$AD$5,0))</f>
        <v>3129</v>
      </c>
      <c r="BN897" s="301">
        <f t="shared" si="1597"/>
        <v>0.97508750453650717</v>
      </c>
      <c r="BO897" s="231">
        <f t="shared" si="1631"/>
        <v>3051.0488016947311</v>
      </c>
      <c r="BP897" s="231">
        <f t="shared" si="1632"/>
        <v>-77.951198305268917</v>
      </c>
      <c r="BQ897" s="129">
        <f>INDEX('Dist Plant Depreciation'!$D$7:$AC$94,MATCH($C897,'Dist Plant Depreciation'!$C$7:$C$94,0),MATCH(Calculation!$G897,'Dist Plant Depreciation'!$D$5:$AC$5,0))</f>
        <v>683169</v>
      </c>
      <c r="BR897" s="129">
        <f>INDEX('Gen. Plant Depreciation'!$D$7:$AC$94,MATCH($C897,'Gen. Plant Depreciation'!$C$7:$C$94,0),MATCH(Calculation!$G897,'Gen. Plant Depreciation'!$D$5:$AC$5,0))</f>
        <v>30446</v>
      </c>
      <c r="BS897" s="129"/>
      <c r="BT897" s="129"/>
      <c r="BU897" s="129"/>
      <c r="BV897" s="129"/>
      <c r="BW897" s="129"/>
      <c r="BX897" s="137"/>
      <c r="BY897" s="129">
        <f>INDEX('Gross Dx Plant'!$D$7:$AC$91,MATCH($C897,'Gross Dx Plant'!$C$7:$C$91,0),MATCH(Calculation!$G897,'Gross Dx Plant'!$D$5:$AC$5,0))</f>
        <v>1534151</v>
      </c>
      <c r="BZ897" s="129">
        <f>INDEX('Gross Gen Plant'!$D$7:$AC$91,MATCH($C897,'Gross Gen Plant'!$C$7:$C$91,0),MATCH(Calculation!$G897,'Gross Gen Plant'!$D$5:$AC$5,0))</f>
        <v>39196</v>
      </c>
      <c r="CA897" s="129">
        <f t="shared" si="1595"/>
        <v>859732</v>
      </c>
      <c r="CB897" s="129"/>
      <c r="CC897" s="133">
        <v>2017</v>
      </c>
      <c r="CD897" s="129"/>
      <c r="CE897" s="129"/>
      <c r="CF897" s="129"/>
      <c r="CG897" s="137"/>
      <c r="CH897" s="129">
        <f t="shared" si="1598"/>
        <v>120298</v>
      </c>
      <c r="CI897" s="46">
        <f t="shared" si="1607"/>
        <v>120220.04880169473</v>
      </c>
      <c r="CJ897" s="231">
        <f t="shared" si="1599"/>
        <v>168.74680712127508</v>
      </c>
      <c r="CK897" s="443">
        <v>0.77108433734939763</v>
      </c>
      <c r="CL897" s="231">
        <f>+CL878*CK897+CJ879*CK896+CJ880*CK895+CJ881*CK894+CJ882*CK893+CJ883*CK892+CJ884*CK891+CJ885*CK890+CJ886*CK889+CJ887*CK888+CJ888*CK887+CJ889*CK886+CJ890*CK885+CJ891*CK884+CJ892*CK883+CJ893*CK882+CJ894*CK881+CJ895*CK880+CJ896*CK879+CJ897</f>
        <v>3197.9632050098812</v>
      </c>
      <c r="CM897" s="134">
        <f t="shared" si="1600"/>
        <v>3.878620909657178E-2</v>
      </c>
      <c r="CN897" s="135">
        <f t="shared" si="1601"/>
        <v>1.5305588529489508E-2</v>
      </c>
      <c r="CO897" s="135">
        <f t="shared" si="1610"/>
        <v>1.503272221486294E-2</v>
      </c>
      <c r="CP897" s="134">
        <f>VLOOKUP($H897,RoR!$E:$F,2,FALSE)</f>
        <v>3.7433333333333339E-2</v>
      </c>
      <c r="CQ897" s="135">
        <v>1.9056896421275615E-2</v>
      </c>
      <c r="CR897" s="135">
        <f t="shared" si="1608"/>
        <v>1.8376436912057724E-2</v>
      </c>
      <c r="CS897" s="135">
        <f t="shared" si="1611"/>
        <v>1.5869219393670683E-2</v>
      </c>
      <c r="CT897" s="135">
        <f t="shared" si="1612"/>
        <v>1.3976271617800498E-2</v>
      </c>
      <c r="CU897" s="139">
        <f t="shared" si="1602"/>
        <v>0.90907250000000006</v>
      </c>
      <c r="CV897" s="335">
        <f t="shared" si="1603"/>
        <v>1.3699568463593395</v>
      </c>
      <c r="CW897" s="335">
        <f t="shared" si="1604"/>
        <v>0.30714603739982199</v>
      </c>
      <c r="CX897" s="335">
        <f t="shared" si="1605"/>
        <v>0.77007188472689425</v>
      </c>
      <c r="CY897" s="335">
        <f t="shared" si="1606"/>
        <v>0.32402839633793828</v>
      </c>
      <c r="CZ897" s="336">
        <f>INDEX('State Tax Lookup'!$D$7:$Z$91,MATCH(Calculation!$C897,'State Tax Lookup'!$B$7:$B$91,0),MATCH($H897,'State Tax Lookup'!$D$6:$Z$6,0))</f>
        <v>0.24574999999999997</v>
      </c>
      <c r="DA897" s="302">
        <v>0.37</v>
      </c>
      <c r="DB897" s="57">
        <f t="shared" si="1609"/>
        <v>13.609522485749501</v>
      </c>
      <c r="DC897" s="56">
        <f t="shared" si="1613"/>
        <v>-0.1072373865499452</v>
      </c>
      <c r="DD897" s="303">
        <f>VLOOKUP($H897,RoR!$E:$F,2,FALSE)</f>
        <v>3.7433333333333339E-2</v>
      </c>
      <c r="DE897" s="304">
        <f>HLOOKUP($H897,'GDP-PI'!$D$8:$CQ$11,3,FALSE)</f>
        <v>1.9056896421275615E-2</v>
      </c>
      <c r="DF897" s="303">
        <f>VLOOKUP(H897,'HW Dx Data'!$E:$F,2,FALSE)</f>
        <v>712.42858370229726</v>
      </c>
      <c r="DG897" s="364">
        <f ca="1">VLOOKUP(CC897,'ECI - Input Price'!M$13:N$33,2,FALSE)</f>
        <v>140.44999999999999</v>
      </c>
      <c r="DH897" s="364"/>
      <c r="DI897" s="364"/>
      <c r="DJ897" s="56">
        <f t="shared" ca="1" si="1621"/>
        <v>2.5235657841165486E-2</v>
      </c>
      <c r="DK897" s="53">
        <f>HLOOKUP(H897,'GDP-PI'!$8:$9,2,FALSE)</f>
        <v>107.751</v>
      </c>
      <c r="DL897" s="355">
        <f t="shared" si="1614"/>
        <v>1.8877588227745139E-2</v>
      </c>
      <c r="EC897"/>
    </row>
    <row r="898" spans="1:133" s="126" customFormat="1" ht="21" customHeight="1" x14ac:dyDescent="0.4">
      <c r="A898" s="233" t="s">
        <v>234</v>
      </c>
      <c r="B898" s="127" t="s">
        <v>234</v>
      </c>
      <c r="C898" s="127">
        <v>4063341</v>
      </c>
      <c r="D898" s="127" t="s">
        <v>235</v>
      </c>
      <c r="E898" s="127"/>
      <c r="F898" s="127"/>
      <c r="G898" s="127" t="s">
        <v>174</v>
      </c>
      <c r="H898" s="128">
        <v>2018</v>
      </c>
      <c r="I898" s="129"/>
      <c r="J898" s="125">
        <f>IFERROR(INDEX('Labor Expenditures'!$E$7:$W$91,MATCH($C898,'Labor Expenditures'!$C$7:$C$91,0),MATCH($G898,'Labor Expenditures'!$E$5:$W$5,0)),"NA")</f>
        <v>39082.779872590072</v>
      </c>
      <c r="K898" s="125">
        <f t="shared" ca="1" si="1615"/>
        <v>270.56268516850173</v>
      </c>
      <c r="L898" s="47"/>
      <c r="M898" s="131">
        <f t="shared" ca="1" si="1622"/>
        <v>8.0281430951507624E-2</v>
      </c>
      <c r="N898" s="131"/>
      <c r="O898" s="131"/>
      <c r="P898" s="59">
        <f t="shared" ca="1" si="1624"/>
        <v>1.0165653071148371E-3</v>
      </c>
      <c r="Q898" s="61"/>
      <c r="R898" s="387"/>
      <c r="S898" s="49">
        <f t="shared" ca="1" si="1629"/>
        <v>113.72889402643854</v>
      </c>
      <c r="T898" s="61">
        <f ca="1">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</f>
        <v>-0.37368919377629817</v>
      </c>
      <c r="U898" s="61"/>
      <c r="V898" s="125">
        <f>IFERROR(INDEX('Non-Labor Expenditures'!$E$7:$AA$91,MATCH($C898,'Non-Labor Expenditures'!$C$7:$C$91,0),MATCH($G898,'Non-Labor Expenditures'!$E$5:$AA$5,0)),"NA")</f>
        <v>56599.164911879714</v>
      </c>
      <c r="W898" s="125">
        <f t="shared" si="1616"/>
        <v>513.03606635013602</v>
      </c>
      <c r="X898" s="131">
        <f t="shared" si="1625"/>
        <v>8.4782951596990494E-2</v>
      </c>
      <c r="Y898" s="131">
        <f t="shared" si="1626"/>
        <v>1.0735659069200795E-3</v>
      </c>
      <c r="Z898" s="131"/>
      <c r="AA898" s="131"/>
      <c r="AB898" s="131"/>
      <c r="AC898" s="125">
        <f t="shared" si="1596"/>
        <v>45225.922996516354</v>
      </c>
      <c r="AD898" s="129"/>
      <c r="AE898" s="133">
        <v>3631.4175711984253</v>
      </c>
      <c r="AF898" s="134">
        <v>4.7736624436192782E-2</v>
      </c>
      <c r="AG898" s="59">
        <f t="shared" si="1617"/>
        <v>6.0446601045160682E-4</v>
      </c>
      <c r="AH898" s="134"/>
      <c r="AI898" s="134"/>
      <c r="AJ898" s="129">
        <f t="shared" si="1588"/>
        <v>140907.86778098613</v>
      </c>
      <c r="AK898" s="134">
        <f t="shared" si="1627"/>
        <v>9.8245968058325667E-2</v>
      </c>
      <c r="AL898" s="129"/>
      <c r="AM898" s="129"/>
      <c r="AN898" s="129"/>
      <c r="AO898" s="129"/>
      <c r="AP898" s="133">
        <f t="shared" si="1628"/>
        <v>364.71370092813322</v>
      </c>
      <c r="AQ898" s="134">
        <f>+BB898/Outputs!$B$26</f>
        <v>1.0342790452482627E-2</v>
      </c>
      <c r="AR898" s="93">
        <f t="shared" si="1618"/>
        <v>0.27736407120528322</v>
      </c>
      <c r="AS898" s="93">
        <f t="shared" si="1619"/>
        <v>0.40167497956786991</v>
      </c>
      <c r="AT898" s="93">
        <f t="shared" si="1620"/>
        <v>0.32096094922684698</v>
      </c>
      <c r="AU898" s="93">
        <f t="shared" ca="1" si="1623"/>
        <v>7.1523637594347628E-2</v>
      </c>
      <c r="AV898" s="132">
        <f t="shared" ca="1" si="1633"/>
        <v>130.6958959180443</v>
      </c>
      <c r="AW898" s="134">
        <f t="shared" ca="1" si="1634"/>
        <v>7.1523637594347711E-2</v>
      </c>
      <c r="AX898" s="56">
        <f>+AJ898/$AL$23</f>
        <v>1.2662521022188468E-2</v>
      </c>
      <c r="AY898" s="135">
        <f t="shared" ca="1" si="1630"/>
        <v>9.056695646218173E-4</v>
      </c>
      <c r="AZ898" s="93"/>
      <c r="BA898" s="93"/>
      <c r="BB898" s="234">
        <f>IFERROR(INDEX('Total Customers'!$E$7:$AA$91,MATCH($C898,'Total Customers'!$C$7:$C$91,0),MATCH($G898,'Total Customers'!$E$5:$AA$5,0)),"NA")</f>
        <v>386352</v>
      </c>
      <c r="BC898" s="269">
        <f t="shared" si="1546"/>
        <v>3.3523015577851846E-2</v>
      </c>
      <c r="BD898" s="92"/>
      <c r="BE898" s="299" t="str">
        <f t="shared" si="1537"/>
        <v>PEOPLES GAS SYSTEM</v>
      </c>
      <c r="BF898" s="300">
        <f t="shared" si="1538"/>
        <v>4063341</v>
      </c>
      <c r="BG898" s="231" t="str">
        <f t="shared" si="1539"/>
        <v>FL</v>
      </c>
      <c r="BH898" s="231"/>
      <c r="BI898" s="231" t="str">
        <f t="shared" si="1540"/>
        <v>2018 Y</v>
      </c>
      <c r="BJ898" s="129"/>
      <c r="BK898" s="129"/>
      <c r="BL898" s="129">
        <f>INDEX('Dist. Plant Gas Additions'!$E$7:$AD$91,MATCH($C898,'Dist. Plant Gas Additions'!$C$7:$C$91,0),MATCH(Calculation!$G898,'Dist. Plant Gas Additions'!$E$5:$AD$5,0))</f>
        <v>146440</v>
      </c>
      <c r="BM898" s="129">
        <f>INDEX('Gen. Plant Additions'!$E$7:$AD$91,MATCH($C898,'Gen. Plant Additions'!$C$7:$C$91,0),MATCH(Calculation!$G898,'Gen. Plant Additions'!$E$5:$AD$5,0))</f>
        <v>4067</v>
      </c>
      <c r="BN898" s="301">
        <f t="shared" si="1597"/>
        <v>0.97554244324357009</v>
      </c>
      <c r="BO898" s="231">
        <f t="shared" si="1631"/>
        <v>3967.5311166715996</v>
      </c>
      <c r="BP898" s="231">
        <f t="shared" si="1632"/>
        <v>-99.468883328400352</v>
      </c>
      <c r="BQ898" s="129">
        <f>INDEX('Dist Plant Depreciation'!$D$7:$AC$94,MATCH($C898,'Dist Plant Depreciation'!$C$7:$C$94,0),MATCH(Calculation!$G898,'Dist Plant Depreciation'!$D$5:$AC$5,0))</f>
        <v>716667</v>
      </c>
      <c r="BR898" s="129">
        <f>INDEX('Gen. Plant Depreciation'!$D$7:$AC$94,MATCH($C898,'Gen. Plant Depreciation'!$C$7:$C$94,0),MATCH(Calculation!$G898,'Gen. Plant Depreciation'!$D$5:$AC$5,0))</f>
        <v>35263</v>
      </c>
      <c r="BS898" s="129"/>
      <c r="BT898" s="129"/>
      <c r="BU898" s="129"/>
      <c r="BV898" s="129"/>
      <c r="BW898" s="129"/>
      <c r="BX898" s="137"/>
      <c r="BY898" s="129">
        <f>INDEX('Gross Dx Plant'!$D$7:$AC$91,MATCH($C898,'Gross Dx Plant'!$C$7:$C$91,0),MATCH(Calculation!$G898,'Gross Dx Plant'!$D$5:$AC$5,0))</f>
        <v>1677614</v>
      </c>
      <c r="BZ898" s="129">
        <f>INDEX('Gross Gen Plant'!$D$7:$AC$91,MATCH($C898,'Gross Gen Plant'!$C$7:$C$91,0),MATCH(Calculation!$G898,'Gross Gen Plant'!$D$5:$AC$5,0))</f>
        <v>42059</v>
      </c>
      <c r="CA898" s="129">
        <f t="shared" si="1595"/>
        <v>967743</v>
      </c>
      <c r="CB898" s="129"/>
      <c r="CC898" s="133">
        <v>2018</v>
      </c>
      <c r="CD898" s="129"/>
      <c r="CE898" s="129"/>
      <c r="CF898" s="129"/>
      <c r="CG898" s="137"/>
      <c r="CH898" s="129">
        <f t="shared" si="1598"/>
        <v>150507</v>
      </c>
      <c r="CI898" s="46">
        <f t="shared" si="1607"/>
        <v>150407.5311166716</v>
      </c>
      <c r="CJ898" s="231">
        <f t="shared" si="1599"/>
        <v>199.1792059107888</v>
      </c>
      <c r="CK898" s="443">
        <v>0.75609756097560976</v>
      </c>
      <c r="CL898" s="231">
        <f>+CL878*CK898++CJ879*CK897+CJ880*CK896+CJ881*CK895+CJ882*CK894+CJ883*CK893+CJ884*CK892+CJ885*CK891+CJ886*CK890+CJ887*CK889+CJ888*CK888+CJ889*CK887+CJ890*CK886+CJ891*CK885+CJ892*CK884+CJ893*CK883+CJ894*CK882+CJ895*CK881+CJ896*CK880+CJ897*CK879+CJ898</f>
        <v>3347.2950890144734</v>
      </c>
      <c r="CM898" s="134">
        <f t="shared" si="1600"/>
        <v>4.563847484963169E-2</v>
      </c>
      <c r="CN898" s="135">
        <f t="shared" si="1601"/>
        <v>1.5587209330021844E-2</v>
      </c>
      <c r="CO898" s="135">
        <f t="shared" si="1610"/>
        <v>1.5312900642497093E-2</v>
      </c>
      <c r="CP898" s="134">
        <f>VLOOKUP($H898,RoR!$E:$F,2,FALSE)</f>
        <v>3.9299999999999995E-2</v>
      </c>
      <c r="CQ898" s="135">
        <v>2.386056741932796E-2</v>
      </c>
      <c r="CR898" s="135">
        <f t="shared" si="1608"/>
        <v>1.5439432580672034E-2</v>
      </c>
      <c r="CS898" s="135">
        <f t="shared" si="1611"/>
        <v>1.5589040966036532E-2</v>
      </c>
      <c r="CT898" s="135">
        <f t="shared" si="1612"/>
        <v>3.8270792163076606E-2</v>
      </c>
      <c r="CU898" s="139">
        <f t="shared" si="1602"/>
        <v>0.90907250000000006</v>
      </c>
      <c r="CV898" s="335">
        <f t="shared" si="1603"/>
        <v>1.3048868010700074</v>
      </c>
      <c r="CW898" s="335">
        <f t="shared" si="1604"/>
        <v>0.33886768447837151</v>
      </c>
      <c r="CX898" s="335">
        <f t="shared" si="1605"/>
        <v>0.78602506232557801</v>
      </c>
      <c r="CY898" s="335">
        <f t="shared" si="1606"/>
        <v>0.34756768162358759</v>
      </c>
      <c r="CZ898" s="336">
        <f>INDEX('State Tax Lookup'!$D$7:$Z$91,MATCH(Calculation!$C898,'State Tax Lookup'!$B$7:$B$91,0),MATCH($H898,'State Tax Lookup'!$D$6:$Z$6,0))</f>
        <v>0.24574999999999997</v>
      </c>
      <c r="DA898" s="302">
        <v>0.37</v>
      </c>
      <c r="DB898" s="57">
        <f t="shared" si="1609"/>
        <v>14.142102362424341</v>
      </c>
      <c r="DC898" s="56">
        <f t="shared" si="1613"/>
        <v>3.8386600837598886E-2</v>
      </c>
      <c r="DD898" s="303">
        <f>VLOOKUP($H898,RoR!$E:$F,2,FALSE)</f>
        <v>3.9299999999999995E-2</v>
      </c>
      <c r="DE898" s="304">
        <f>HLOOKUP($H898,'GDP-PI'!$D$8:$CQ$11,3,FALSE)</f>
        <v>2.386056741932796E-2</v>
      </c>
      <c r="DF898" s="303">
        <f>VLOOKUP(H898,'HW Dx Data'!$E:$F,2,FALSE)</f>
        <v>755.13671434174842</v>
      </c>
      <c r="DG898" s="364">
        <f ca="1">VLOOKUP(CC898,'ECI - Input Price'!M$13:N$33,2,FALSE)</f>
        <v>144.44999999999999</v>
      </c>
      <c r="DH898" s="364"/>
      <c r="DI898" s="364"/>
      <c r="DJ898" s="56">
        <f t="shared" ca="1" si="1621"/>
        <v>2.80818733619915E-2</v>
      </c>
      <c r="DK898" s="53">
        <f>HLOOKUP(H898,'GDP-PI'!$8:$9,2,FALSE)</f>
        <v>110.322</v>
      </c>
      <c r="DL898" s="355">
        <f t="shared" si="1614"/>
        <v>2.3580352716508712E-2</v>
      </c>
      <c r="EC898"/>
    </row>
    <row r="899" spans="1:133" s="126" customFormat="1" ht="21" customHeight="1" x14ac:dyDescent="0.4">
      <c r="A899" s="233" t="s">
        <v>234</v>
      </c>
      <c r="B899" s="127" t="s">
        <v>234</v>
      </c>
      <c r="C899" s="127">
        <v>4063341</v>
      </c>
      <c r="D899" s="127" t="s">
        <v>235</v>
      </c>
      <c r="E899" s="127"/>
      <c r="F899" s="127"/>
      <c r="G899" s="127" t="s">
        <v>175</v>
      </c>
      <c r="H899" s="128">
        <v>2019</v>
      </c>
      <c r="I899" s="129"/>
      <c r="J899" s="125">
        <f>IFERROR(INDEX('Labor Expenditures'!$E$7:$W$91,MATCH($C899,'Labor Expenditures'!$C$7:$C$91,0),MATCH($G899,'Labor Expenditures'!$E$5:$W$5,0)),"NA")</f>
        <v>42221.048351104422</v>
      </c>
      <c r="K899" s="125">
        <f t="shared" ca="1" si="1615"/>
        <v>282.08483949293083</v>
      </c>
      <c r="L899" s="47"/>
      <c r="M899" s="131">
        <f t="shared" ca="1" si="1622"/>
        <v>4.1704065372328E-2</v>
      </c>
      <c r="N899" s="131"/>
      <c r="O899" s="131"/>
      <c r="P899" s="59">
        <f t="shared" ca="1" si="1624"/>
        <v>5.5274750407061438E-4</v>
      </c>
      <c r="Q899" s="61"/>
      <c r="R899" s="387"/>
      <c r="S899" s="49">
        <f t="shared" ca="1" si="1629"/>
        <v>113.03720471154129</v>
      </c>
      <c r="T899" s="61">
        <f ca="1">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</f>
        <v>-6.1004838368603599E-3</v>
      </c>
      <c r="U899" s="61"/>
      <c r="V899" s="125">
        <f>IFERROR(INDEX('Non-Labor Expenditures'!$E$7:$AA$91,MATCH($C899,'Non-Labor Expenditures'!$C$7:$C$91,0),MATCH($G899,'Non-Labor Expenditures'!$E$5:$AA$5,0)),"NA")</f>
        <v>61143.96381646736</v>
      </c>
      <c r="W899" s="125">
        <f t="shared" si="1616"/>
        <v>544.38259064858141</v>
      </c>
      <c r="X899" s="131">
        <f t="shared" si="1625"/>
        <v>5.9306143820098092E-2</v>
      </c>
      <c r="Y899" s="131">
        <f t="shared" si="1626"/>
        <v>7.8604622067285509E-4</v>
      </c>
      <c r="Z899" s="131"/>
      <c r="AA899" s="131"/>
      <c r="AB899" s="131"/>
      <c r="AC899" s="125">
        <f t="shared" si="1596"/>
        <v>47639.802199373968</v>
      </c>
      <c r="AD899" s="129"/>
      <c r="AE899" s="133">
        <v>3833.8903110245369</v>
      </c>
      <c r="AF899" s="134">
        <v>5.4256947147331681E-2</v>
      </c>
      <c r="AG899" s="59">
        <f t="shared" si="1617"/>
        <v>7.1912394742404233E-4</v>
      </c>
      <c r="AH899" s="134"/>
      <c r="AI899" s="134"/>
      <c r="AJ899" s="129">
        <f t="shared" si="1588"/>
        <v>151004.81436694576</v>
      </c>
      <c r="AK899" s="134">
        <f t="shared" si="1627"/>
        <v>6.9205462718192848E-2</v>
      </c>
      <c r="AL899" s="129"/>
      <c r="AM899" s="129"/>
      <c r="AN899" s="129"/>
      <c r="AO899" s="129"/>
      <c r="AP899" s="133">
        <f t="shared" si="1628"/>
        <v>378.94064213822554</v>
      </c>
      <c r="AQ899" s="134">
        <f>+BB899/Outputs!$B$27</f>
        <v>1.0579803734196118E-2</v>
      </c>
      <c r="AR899" s="93">
        <f t="shared" si="1618"/>
        <v>0.27960067715792253</v>
      </c>
      <c r="AS899" s="93">
        <f t="shared" si="1619"/>
        <v>0.40491400272766059</v>
      </c>
      <c r="AT899" s="93">
        <f t="shared" si="1620"/>
        <v>0.31548532011441677</v>
      </c>
      <c r="AU899" s="93">
        <f t="shared" ca="1" si="1623"/>
        <v>5.2797504030656008E-2</v>
      </c>
      <c r="AV899" s="132">
        <f t="shared" ca="1" si="1633"/>
        <v>137.7817240826096</v>
      </c>
      <c r="AW899" s="134">
        <f t="shared" ca="1" si="1634"/>
        <v>5.2797504030656021E-2</v>
      </c>
      <c r="AX899" s="56">
        <f>+AJ899/$AL$24</f>
        <v>1.3254043679813053E-2</v>
      </c>
      <c r="AY899" s="135">
        <f t="shared" ca="1" si="1630"/>
        <v>6.9978042460742062E-4</v>
      </c>
      <c r="AZ899" s="93"/>
      <c r="BA899" s="93"/>
      <c r="BB899" s="234">
        <f>IFERROR(INDEX('Total Customers'!$E$7:$AA$91,MATCH($C899,'Total Customers'!$C$7:$C$91,0),MATCH($G899,'Total Customers'!$E$5:$AA$5,0)),"NA")</f>
        <v>398492</v>
      </c>
      <c r="BC899" s="269">
        <f t="shared" si="1546"/>
        <v>3.0938551726962131E-2</v>
      </c>
      <c r="BD899" s="92"/>
      <c r="BE899" s="299" t="str">
        <f t="shared" ref="BE899:BE962" si="1635">A899</f>
        <v>PEOPLES GAS SYSTEM</v>
      </c>
      <c r="BF899" s="300">
        <f t="shared" ref="BF899:BF962" si="1636">C899</f>
        <v>4063341</v>
      </c>
      <c r="BG899" s="231" t="str">
        <f t="shared" ref="BG899:BG962" si="1637">D899</f>
        <v>FL</v>
      </c>
      <c r="BH899" s="231"/>
      <c r="BI899" s="231" t="str">
        <f t="shared" ref="BI899:BI962" si="1638">G899</f>
        <v>2019 Y</v>
      </c>
      <c r="BJ899" s="129"/>
      <c r="BK899" s="129"/>
      <c r="BL899" s="129">
        <f>INDEX('Dist. Plant Gas Additions'!$E$7:$AD$91,MATCH($C899,'Dist. Plant Gas Additions'!$C$7:$C$91,0),MATCH(Calculation!$G899,'Dist. Plant Gas Additions'!$E$5:$AD$5,0))</f>
        <v>174542</v>
      </c>
      <c r="BM899" s="129">
        <f>INDEX('Gen. Plant Additions'!$E$7:$AD$91,MATCH($C899,'Gen. Plant Additions'!$C$7:$C$91,0),MATCH(Calculation!$G899,'Gen. Plant Additions'!$E$5:$AD$5,0))</f>
        <v>6989</v>
      </c>
      <c r="BN899" s="301">
        <f t="shared" si="1597"/>
        <v>0.9752130103064055</v>
      </c>
      <c r="BO899" s="231">
        <f t="shared" si="1631"/>
        <v>6815.7637290314678</v>
      </c>
      <c r="BP899" s="231">
        <f t="shared" si="1632"/>
        <v>-173.23627096853215</v>
      </c>
      <c r="BQ899" s="129">
        <f>INDEX('Dist Plant Depreciation'!$D$7:$AC$94,MATCH($C899,'Dist Plant Depreciation'!$C$7:$C$94,0),MATCH(Calculation!$G899,'Dist Plant Depreciation'!$D$5:$AC$5,0))</f>
        <v>737863</v>
      </c>
      <c r="BR899" s="129">
        <f>INDEX('Gen. Plant Depreciation'!$D$7:$AC$94,MATCH($C899,'Gen. Plant Depreciation'!$C$7:$C$94,0),MATCH(Calculation!$G899,'Gen. Plant Depreciation'!$D$5:$AC$5,0))</f>
        <v>39601</v>
      </c>
      <c r="BS899" s="129"/>
      <c r="BT899" s="129"/>
      <c r="BU899" s="129"/>
      <c r="BV899" s="129"/>
      <c r="BW899" s="129"/>
      <c r="BX899" s="137"/>
      <c r="BY899" s="129">
        <f>INDEX('Gross Dx Plant'!$D$7:$AC$91,MATCH($C899,'Gross Dx Plant'!$C$7:$C$91,0),MATCH(Calculation!$G899,'Gross Dx Plant'!$D$5:$AC$5,0))</f>
        <v>1847779</v>
      </c>
      <c r="BZ899" s="129">
        <f>INDEX('Gross Gen Plant'!$D$7:$AC$91,MATCH($C899,'Gross Gen Plant'!$C$7:$C$91,0),MATCH(Calculation!$G899,'Gross Gen Plant'!$D$5:$AC$5,0))</f>
        <v>46965</v>
      </c>
      <c r="CA899" s="129">
        <f t="shared" si="1595"/>
        <v>1117280</v>
      </c>
      <c r="CB899" s="129"/>
      <c r="CC899" s="133">
        <v>2019</v>
      </c>
      <c r="CD899" s="129"/>
      <c r="CE899" s="129"/>
      <c r="CF899" s="129"/>
      <c r="CG899" s="137"/>
      <c r="CH899" s="129">
        <f t="shared" si="1598"/>
        <v>181531</v>
      </c>
      <c r="CI899" s="46">
        <f t="shared" si="1607"/>
        <v>181357.76372903146</v>
      </c>
      <c r="CJ899" s="231">
        <f t="shared" si="1599"/>
        <v>234.45190724265214</v>
      </c>
      <c r="CK899" s="443">
        <v>0.7407407407407407</v>
      </c>
      <c r="CL899" s="231">
        <f>CL878*CK899+CJ879*CK898+CJ880*CK897+CJ881*CK896+CJ882*CK895+CJ883*CK894+CJ884*CK893+CJ885*CK892+CJ886*CK891+CJ887*CK890+CJ888*CK889+CJ889*CK888+CJ890*CK887+CJ891*CK886+CJ892*CK885+CJ893*CK884+CJ894*CK883+CJ895*CK882+CJ896*CK881+CJ897*CK880+CJ898*CK879+CJ899</f>
        <v>3528.7636275080677</v>
      </c>
      <c r="CM899" s="134">
        <f t="shared" si="1600"/>
        <v>5.279497885971203E-2</v>
      </c>
      <c r="CN899" s="135">
        <f t="shared" si="1601"/>
        <v>1.5828711643304065E-2</v>
      </c>
      <c r="CO899" s="135">
        <f t="shared" si="1610"/>
        <v>1.5573836500938472E-2</v>
      </c>
      <c r="CP899" s="134">
        <f>VLOOKUP($H899,RoR!$E:$F,2,FALSE)</f>
        <v>3.3875000000000009E-2</v>
      </c>
      <c r="CQ899" s="135">
        <v>1.8092492884465461E-2</v>
      </c>
      <c r="CR899" s="135">
        <f t="shared" si="1608"/>
        <v>1.5782507115534548E-2</v>
      </c>
      <c r="CS899" s="135">
        <f t="shared" si="1611"/>
        <v>1.5328105107595153E-2</v>
      </c>
      <c r="CT899" s="135">
        <f t="shared" si="1612"/>
        <v>4.8445665544254078E-2</v>
      </c>
      <c r="CU899" s="139">
        <f t="shared" si="1602"/>
        <v>0.90907250000000006</v>
      </c>
      <c r="CV899" s="335">
        <f t="shared" si="1603"/>
        <v>1.513861292459078</v>
      </c>
      <c r="CW899" s="335">
        <f t="shared" si="1604"/>
        <v>0.23699261992619944</v>
      </c>
      <c r="CX899" s="335">
        <f t="shared" si="1605"/>
        <v>0.73619765810468829</v>
      </c>
      <c r="CY899" s="335">
        <f t="shared" si="1606"/>
        <v>0.26412854465362851</v>
      </c>
      <c r="CZ899" s="336">
        <f>INDEX('State Tax Lookup'!$D$7:$Z$91,MATCH(Calculation!$C899,'State Tax Lookup'!$B$7:$B$91,0),MATCH($H899,'State Tax Lookup'!$D$6:$Z$6,0))</f>
        <v>0.24574999999999997</v>
      </c>
      <c r="DA899" s="302">
        <v>0.37</v>
      </c>
      <c r="DB899" s="57">
        <f t="shared" si="1609"/>
        <v>14.232328173193808</v>
      </c>
      <c r="DC899" s="56">
        <f t="shared" si="1613"/>
        <v>6.3596775807241053E-3</v>
      </c>
      <c r="DD899" s="303">
        <f>VLOOKUP($H899,RoR!$E:$F,2,FALSE)</f>
        <v>3.3875000000000009E-2</v>
      </c>
      <c r="DE899" s="304">
        <f>HLOOKUP($H899,'GDP-PI'!$D$8:$CQ$11,3,FALSE)</f>
        <v>1.8092492884465461E-2</v>
      </c>
      <c r="DF899" s="303">
        <f>VLOOKUP(H899,'HW Dx Data'!$E:$F,2,FALSE)</f>
        <v>773.53929793938721</v>
      </c>
      <c r="DG899" s="364">
        <f ca="1">VLOOKUP(CC899,'ECI - Input Price'!M$13:N$33,2,FALSE)</f>
        <v>149.67500000000001</v>
      </c>
      <c r="DH899" s="364"/>
      <c r="DI899" s="364"/>
      <c r="DJ899" s="56">
        <f t="shared" ca="1" si="1621"/>
        <v>3.5532849899171604E-2</v>
      </c>
      <c r="DK899" s="53">
        <f>HLOOKUP(H899,'GDP-PI'!$8:$9,2,FALSE)</f>
        <v>112.318</v>
      </c>
      <c r="DL899" s="355">
        <f t="shared" si="1614"/>
        <v>1.7930771451401852E-2</v>
      </c>
      <c r="EC899"/>
    </row>
    <row r="900" spans="1:133" s="126" customFormat="1" ht="21" customHeight="1" x14ac:dyDescent="0.4">
      <c r="A900" s="233" t="s">
        <v>234</v>
      </c>
      <c r="B900" s="126" t="s">
        <v>234</v>
      </c>
      <c r="C900" s="126">
        <v>4063341</v>
      </c>
      <c r="D900" s="126" t="s">
        <v>235</v>
      </c>
      <c r="G900" s="127" t="s">
        <v>176</v>
      </c>
      <c r="H900" s="128">
        <v>2020</v>
      </c>
      <c r="I900" s="129"/>
      <c r="J900" s="125">
        <f>IFERROR(INDEX('Labor Expenditures'!$E$7:$W$91,MATCH($C900,'Labor Expenditures'!$C$7:$C$91,0),MATCH($G900,'Labor Expenditures'!$E$5:$W$5,0)),"NA")</f>
        <v>42445.656639748879</v>
      </c>
      <c r="K900" s="125">
        <f t="shared" ca="1" si="1615"/>
        <v>277.15087587168711</v>
      </c>
      <c r="L900" s="47"/>
      <c r="M900" s="131">
        <f t="shared" ca="1" si="1622"/>
        <v>-1.7645838816632942E-2</v>
      </c>
      <c r="N900" s="131"/>
      <c r="O900" s="131"/>
      <c r="P900" s="59">
        <f t="shared" ca="1" si="1624"/>
        <v>-2.3711050221533162E-4</v>
      </c>
      <c r="Q900" s="61"/>
      <c r="R900" s="387"/>
      <c r="S900" s="49">
        <f t="shared" ca="1" si="1629"/>
        <v>114.73416650943221</v>
      </c>
      <c r="T900" s="61">
        <f ca="1">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</f>
        <v>1.4900847173686066E-2</v>
      </c>
      <c r="U900" s="61"/>
      <c r="V900" s="125">
        <f>IFERROR(INDEX('Non-Labor Expenditures'!$E$7:$AA$91,MATCH($C900,'Non-Labor Expenditures'!$C$7:$C$91,0),MATCH($G900,'Non-Labor Expenditures'!$E$5:$AA$5,0)),"NA")</f>
        <v>61469.23856946615</v>
      </c>
      <c r="W900" s="125">
        <f t="shared" si="1616"/>
        <v>540.99292017871517</v>
      </c>
      <c r="X900" s="131">
        <f t="shared" si="1625"/>
        <v>-6.2460990806573078E-3</v>
      </c>
      <c r="Y900" s="131">
        <f t="shared" si="1626"/>
        <v>-8.3930024822927206E-5</v>
      </c>
      <c r="Z900" s="131"/>
      <c r="AA900" s="131"/>
      <c r="AB900" s="131"/>
      <c r="AC900" s="125">
        <f t="shared" si="1596"/>
        <v>51984.677582660413</v>
      </c>
      <c r="AD900" s="129"/>
      <c r="AE900" s="133">
        <v>4103.7260227137576</v>
      </c>
      <c r="AF900" s="134">
        <v>6.8015312367575825E-2</v>
      </c>
      <c r="AG900" s="59">
        <f t="shared" si="1617"/>
        <v>9.1393472656041354E-4</v>
      </c>
      <c r="AH900" s="134"/>
      <c r="AI900" s="134"/>
      <c r="AJ900" s="129">
        <f t="shared" si="1588"/>
        <v>155899.57279187546</v>
      </c>
      <c r="AK900" s="134">
        <f t="shared" si="1627"/>
        <v>3.1900316258302343E-2</v>
      </c>
      <c r="AL900" s="129"/>
      <c r="AM900" s="129"/>
      <c r="AN900" s="129"/>
      <c r="AO900" s="129"/>
      <c r="AP900" s="133">
        <f t="shared" si="1628"/>
        <v>374.44714922654583</v>
      </c>
      <c r="AQ900" s="134">
        <f>+BB900/Outputs!$B$28</f>
        <v>1.0975763010028915E-2</v>
      </c>
      <c r="AR900" s="93">
        <f t="shared" si="1618"/>
        <v>0.27226281560382115</v>
      </c>
      <c r="AS900" s="93">
        <f t="shared" si="1619"/>
        <v>0.39428740867383283</v>
      </c>
      <c r="AT900" s="93">
        <f t="shared" si="1620"/>
        <v>0.33344977572234591</v>
      </c>
      <c r="AU900" s="93">
        <f t="shared" ca="1" si="1623"/>
        <v>1.4703768903273736E-2</v>
      </c>
      <c r="AV900" s="132">
        <f t="shared" ca="1" si="1633"/>
        <v>139.82260224320299</v>
      </c>
      <c r="AW900" s="134">
        <f t="shared" ca="1" si="1634"/>
        <v>1.4703768903273746E-2</v>
      </c>
      <c r="AX900" s="56">
        <f>+AJ900/$AL$25</f>
        <v>1.3437190755240924E-2</v>
      </c>
      <c r="AY900" s="135">
        <f t="shared" ca="1" si="1630"/>
        <v>1.9757734757426895E-4</v>
      </c>
      <c r="AZ900" s="93"/>
      <c r="BA900" s="93"/>
      <c r="BB900" s="234">
        <f>IFERROR(INDEX('Total Customers'!$E$7:$AA$91,MATCH($C900,'Total Customers'!$C$7:$C$91,0),MATCH($G900,'Total Customers'!$E$5:$AA$5,0)),"NA")</f>
        <v>416346</v>
      </c>
      <c r="BC900" s="269">
        <f t="shared" ref="BC900:BC963" si="1639">LN(BB900/BB899)</f>
        <v>4.3829222587678816E-2</v>
      </c>
      <c r="BD900" s="92"/>
      <c r="BE900" s="299" t="str">
        <f t="shared" si="1635"/>
        <v>PEOPLES GAS SYSTEM</v>
      </c>
      <c r="BF900" s="300">
        <f t="shared" si="1636"/>
        <v>4063341</v>
      </c>
      <c r="BG900" s="231" t="str">
        <f t="shared" si="1637"/>
        <v>FL</v>
      </c>
      <c r="BH900" s="231"/>
      <c r="BI900" s="231" t="str">
        <f t="shared" si="1638"/>
        <v>2020 Y</v>
      </c>
      <c r="BJ900" s="129"/>
      <c r="BK900" s="129"/>
      <c r="BL900" s="129">
        <f>INDEX('Dist. Plant Gas Additions'!$E$7:$AD$91,MATCH($C900,'Dist. Plant Gas Additions'!$C$7:$C$91,0),MATCH(Calculation!$G900,'Dist. Plant Gas Additions'!$E$5:$AD$5,0))</f>
        <v>241689</v>
      </c>
      <c r="BM900" s="129">
        <f>INDEX('Gen. Plant Additions'!$E$7:$AD$91,MATCH($C900,'Gen. Plant Additions'!$C$7:$C$91,0),MATCH(Calculation!$G900,'Gen. Plant Additions'!$E$5:$AD$5,0))</f>
        <v>5884</v>
      </c>
      <c r="BN900" s="301">
        <f t="shared" si="1597"/>
        <v>0.96625297485891748</v>
      </c>
      <c r="BO900" s="231">
        <f t="shared" si="1631"/>
        <v>5685.4325040698704</v>
      </c>
      <c r="BP900" s="231">
        <f t="shared" si="1632"/>
        <v>-198.56749593012955</v>
      </c>
      <c r="BQ900" s="129">
        <f>INDEX('Dist Plant Depreciation'!$D$7:$AC$94,MATCH($C900,'Dist Plant Depreciation'!$C$7:$C$94,0),MATCH(Calculation!$G900,'Dist Plant Depreciation'!$D$5:$AC$5,0))</f>
        <v>761968</v>
      </c>
      <c r="BR900" s="129">
        <f>INDEX('Gen. Plant Depreciation'!$D$7:$AC$94,MATCH($C900,'Gen. Plant Depreciation'!$C$7:$C$94,0),MATCH(Calculation!$G900,'Gen. Plant Depreciation'!$D$5:$AC$5,0))</f>
        <v>45131</v>
      </c>
      <c r="BS900" s="129"/>
      <c r="BT900" s="129"/>
      <c r="BU900" s="129"/>
      <c r="BV900" s="129"/>
      <c r="BW900" s="129"/>
      <c r="BX900" s="137"/>
      <c r="BY900" s="129">
        <f>INDEX('Gross Dx Plant'!$D$7:$AC$91,MATCH($C900,'Gross Dx Plant'!$C$7:$C$91,0),MATCH(Calculation!$G900,'Gross Dx Plant'!$D$5:$AC$5,0))</f>
        <v>2056024</v>
      </c>
      <c r="BZ900" s="129">
        <f>INDEX('Gross Gen Plant'!$D$7:$AC$91,MATCH($C900,'Gross Gen Plant'!$C$7:$C$91,0),MATCH(Calculation!$G900,'Gross Gen Plant'!$D$5:$AC$5,0))</f>
        <v>71808</v>
      </c>
      <c r="CA900" s="129">
        <f t="shared" si="1595"/>
        <v>1320733</v>
      </c>
      <c r="CB900" s="129"/>
      <c r="CC900" s="133">
        <v>2020</v>
      </c>
      <c r="CD900" s="129"/>
      <c r="CE900" s="129"/>
      <c r="CF900" s="129"/>
      <c r="CG900" s="137"/>
      <c r="CH900" s="129">
        <f t="shared" si="1598"/>
        <v>247573</v>
      </c>
      <c r="CI900" s="46">
        <f t="shared" si="1607"/>
        <v>247374.43250406987</v>
      </c>
      <c r="CJ900" s="231">
        <f t="shared" si="1599"/>
        <v>304.2435960508318</v>
      </c>
      <c r="CK900" s="443">
        <v>0.72499999999999998</v>
      </c>
      <c r="CL900" s="231">
        <f>CL878*CK900+CJ879*CK899+CJ880*CK898+CJ881*CK897+CJ882*CK896+CJ883*CK895+CJ884*CK894+CJ885*CK893+CJ886*CK892+CJ887*CK891+CJ888*CK890+CJ889*CK889+CJ890*CK888+CJ891*CK887+CJ892*CK886+CJ893*CK885+CJ894*CK884+CJ895*CK883+CJ896*CK882+CJ897*CK881+CJ898*CK880+CJ899*CK879+CJ900</f>
        <v>3776.457675135418</v>
      </c>
      <c r="CM900" s="134">
        <f t="shared" si="1600"/>
        <v>6.7838884847700259E-2</v>
      </c>
      <c r="CN900" s="135">
        <f t="shared" si="1601"/>
        <v>1.6025314924087306E-2</v>
      </c>
      <c r="CO900" s="135">
        <f t="shared" si="1610"/>
        <v>1.5813745299137736E-2</v>
      </c>
      <c r="CP900" s="134">
        <f>VLOOKUP($H900,RoR!$E:$F,2,FALSE)</f>
        <v>2.4766666666666666E-2</v>
      </c>
      <c r="CQ900" s="135">
        <v>1.1618796630994188E-2</v>
      </c>
      <c r="CR900" s="135">
        <f t="shared" si="1608"/>
        <v>1.3147870035672478E-2</v>
      </c>
      <c r="CS900" s="135">
        <f t="shared" si="1611"/>
        <v>1.5088196309395889E-2</v>
      </c>
      <c r="CT900" s="135">
        <f t="shared" si="1612"/>
        <v>4.5144642961987357E-2</v>
      </c>
      <c r="CU900" s="139">
        <f t="shared" si="1602"/>
        <v>0.90907250000000006</v>
      </c>
      <c r="CV900" s="335">
        <f t="shared" si="1603"/>
        <v>2.0706077233668081</v>
      </c>
      <c r="CW900" s="335">
        <f t="shared" si="1604"/>
        <v>-3.4421265141318998E-2</v>
      </c>
      <c r="CX900" s="335">
        <f t="shared" si="1605"/>
        <v>0.62416226176410472</v>
      </c>
      <c r="CY900" s="335">
        <f t="shared" si="1606"/>
        <v>-4.4485877841158712E-2</v>
      </c>
      <c r="CZ900" s="336">
        <f>INDEX('State Tax Lookup'!$D$7:$Z$91,MATCH(Calculation!$C900,'State Tax Lookup'!$B$7:$B$91,0),MATCH($H900,'State Tax Lookup'!$D$6:$Z$6,0))</f>
        <v>0.24574999999999997</v>
      </c>
      <c r="DA900" s="302">
        <v>0.37</v>
      </c>
      <c r="DB900" s="57">
        <f t="shared" si="1609"/>
        <v>14.731697294038026</v>
      </c>
      <c r="DC900" s="56">
        <f t="shared" si="1613"/>
        <v>3.4485441936253733E-2</v>
      </c>
      <c r="DD900" s="303">
        <f>VLOOKUP($H900,RoR!$E:$F,2,FALSE)</f>
        <v>2.4766666666666666E-2</v>
      </c>
      <c r="DE900" s="304">
        <f>HLOOKUP($H900,'GDP-PI'!$D$8:$CQ$11,3,FALSE)</f>
        <v>1.1618796630994188E-2</v>
      </c>
      <c r="DF900" s="303">
        <f>VLOOKUP(H900,'HW Dx Data'!$E:$F,2,FALSE)</f>
        <v>813.080162458833</v>
      </c>
      <c r="DG900" s="364">
        <f ca="1">VLOOKUP(CC900,'ECI - Input Price'!M$13:N$33,2,FALSE)</f>
        <v>153.15</v>
      </c>
      <c r="DH900" s="364"/>
      <c r="DI900" s="364"/>
      <c r="DJ900" s="56">
        <f t="shared" ca="1" si="1621"/>
        <v>2.2951556467368479E-2</v>
      </c>
      <c r="DK900" s="53">
        <f>HLOOKUP(H900,'GDP-PI'!$8:$9,2,FALSE)</f>
        <v>113.623</v>
      </c>
      <c r="DL900" s="355">
        <f t="shared" si="1614"/>
        <v>1.1551816731392881E-2</v>
      </c>
      <c r="EC900"/>
    </row>
    <row r="901" spans="1:133" s="126" customFormat="1" ht="21" customHeight="1" x14ac:dyDescent="0.4">
      <c r="A901" s="233" t="s">
        <v>234</v>
      </c>
      <c r="B901" s="126" t="s">
        <v>234</v>
      </c>
      <c r="C901" s="126">
        <v>4063341</v>
      </c>
      <c r="D901" s="126" t="s">
        <v>235</v>
      </c>
      <c r="G901" s="126" t="s">
        <v>177</v>
      </c>
      <c r="H901" s="128">
        <v>2021</v>
      </c>
      <c r="I901" s="129"/>
      <c r="J901" s="125">
        <v>45991.431038048526</v>
      </c>
      <c r="K901" s="125">
        <f t="shared" ca="1" si="1615"/>
        <v>292.47332933576172</v>
      </c>
      <c r="L901" s="47"/>
      <c r="M901" s="130">
        <f t="shared" ca="1" si="1622"/>
        <v>5.3811444615395249E-2</v>
      </c>
      <c r="N901" s="130"/>
      <c r="O901" s="130"/>
      <c r="P901" s="59">
        <f t="shared" ca="1" si="1624"/>
        <v>8.3862511986969508E-4</v>
      </c>
      <c r="Q901" s="61"/>
      <c r="R901" s="387"/>
      <c r="S901" s="132">
        <f ca="1">+S900*EXP(T901)</f>
        <v>116.00302799693515</v>
      </c>
      <c r="T901" s="134">
        <f ca="1">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</f>
        <v>1.099843725594399E-2</v>
      </c>
      <c r="U901" s="134"/>
      <c r="V901" s="125">
        <v>64831.294354839498</v>
      </c>
      <c r="W901" s="125">
        <f t="shared" si="1616"/>
        <v>547.1457030537556</v>
      </c>
      <c r="X901" s="131">
        <f t="shared" si="1625"/>
        <v>1.1308942294542991E-2</v>
      </c>
      <c r="Y901" s="131">
        <f t="shared" si="1626"/>
        <v>1.7624435015905994E-4</v>
      </c>
      <c r="Z901" s="131"/>
      <c r="AA901" s="131"/>
      <c r="AB901" s="131"/>
      <c r="AC901" s="125">
        <f t="shared" si="1596"/>
        <v>89363.063876696731</v>
      </c>
      <c r="AD901" s="129"/>
      <c r="AE901" s="133">
        <v>4451.5995654113831</v>
      </c>
      <c r="AF901" s="134"/>
      <c r="AG901" s="59">
        <f t="shared" si="1617"/>
        <v>0</v>
      </c>
      <c r="AH901" s="134"/>
      <c r="AI901" s="134"/>
      <c r="AJ901" s="129">
        <f t="shared" si="1588"/>
        <v>200185.78926958475</v>
      </c>
      <c r="AK901" s="134">
        <f t="shared" si="1627"/>
        <v>0.25003384590255062</v>
      </c>
      <c r="AL901" s="129"/>
      <c r="AM901" s="134"/>
      <c r="AN901" s="134"/>
      <c r="AO901" s="134"/>
      <c r="AP901" s="133">
        <f t="shared" si="1628"/>
        <v>458.54855020016481</v>
      </c>
      <c r="AQ901" s="134">
        <f>+BB901/Outputs!$B$29</f>
        <v>1.130810971333663E-2</v>
      </c>
      <c r="AR901" s="93">
        <f t="shared" si="1618"/>
        <v>0.22974373558611155</v>
      </c>
      <c r="AS901" s="93">
        <f t="shared" si="1619"/>
        <v>0.32385562727198863</v>
      </c>
      <c r="AT901" s="93">
        <f t="shared" si="1620"/>
        <v>0.44640063714189987</v>
      </c>
      <c r="AU901" s="93">
        <f t="shared" ca="1" si="1623"/>
        <v>1.7567567939330928E-2</v>
      </c>
      <c r="AV901" s="132">
        <f t="shared" ca="1" si="1633"/>
        <v>142.30064819712152</v>
      </c>
      <c r="AW901" s="134">
        <f t="shared" ca="1" si="1634"/>
        <v>1.7567567939330841E-2</v>
      </c>
      <c r="AX901" s="56">
        <f>+AJ901/$AL$26</f>
        <v>1.5584512288483844E-2</v>
      </c>
      <c r="AY901" s="135">
        <f t="shared" ca="1" si="1630"/>
        <v>2.7378197842927631E-4</v>
      </c>
      <c r="AZ901" s="93"/>
      <c r="BA901" s="93"/>
      <c r="BB901" s="234">
        <f>INDEX('Total Customers'!$D$7:$D$91,MATCH(Calculation!$C901,'Total Customers'!$C$7:$C$91,0))</f>
        <v>436564</v>
      </c>
      <c r="BC901" s="269">
        <f t="shared" si="1639"/>
        <v>4.7418340045394053E-2</v>
      </c>
      <c r="BD901" s="91"/>
      <c r="BE901" s="299" t="str">
        <f t="shared" si="1635"/>
        <v>PEOPLES GAS SYSTEM</v>
      </c>
      <c r="BF901" s="300">
        <f t="shared" si="1636"/>
        <v>4063341</v>
      </c>
      <c r="BG901" s="231" t="str">
        <f t="shared" si="1637"/>
        <v>FL</v>
      </c>
      <c r="BH901" s="231"/>
      <c r="BI901" s="231" t="str">
        <f t="shared" si="1638"/>
        <v>2021 Y</v>
      </c>
      <c r="BJ901" s="129"/>
      <c r="BK901" s="129"/>
      <c r="BL901" s="129">
        <f>INDEX('Dist. Plant Gas Additions'!$D$7:$AD$91,MATCH($C901,'Dist. Plant Gas Additions'!$C$7:$C$91,0),MATCH(Calculation!$G901,'Dist. Plant Gas Additions'!$D$5:$AD$5,0))</f>
        <v>287153</v>
      </c>
      <c r="BM901" s="129">
        <f>INDEX('Gen. Plant Additions'!$D$7:$AD$91,MATCH($C901,'Gen. Plant Additions'!$C$7:$C$91,0),MATCH(Calculation!$G901,'Gen. Plant Additions'!$D$5:$AD$5,0))</f>
        <v>3068</v>
      </c>
      <c r="BN901" s="343">
        <v>0.96625297485891748</v>
      </c>
      <c r="BO901" s="231">
        <f t="shared" si="1631"/>
        <v>2964.4641268671589</v>
      </c>
      <c r="BP901" s="231">
        <f t="shared" si="1632"/>
        <v>-103.53587313284106</v>
      </c>
      <c r="BQ901" s="129"/>
      <c r="BR901" s="129"/>
      <c r="BS901" s="137"/>
      <c r="BT901" s="137"/>
      <c r="BU901" s="333"/>
      <c r="BV901" s="93"/>
      <c r="BW901" s="334"/>
      <c r="BX901" s="334"/>
      <c r="BY901" s="129"/>
      <c r="BZ901" s="129"/>
      <c r="CA901" s="129"/>
      <c r="CB901" s="129"/>
      <c r="CC901" s="133">
        <v>2021</v>
      </c>
      <c r="CD901" s="129"/>
      <c r="CE901" s="129"/>
      <c r="CF901" s="129"/>
      <c r="CG901" s="137"/>
      <c r="CH901" s="129">
        <f t="shared" si="1598"/>
        <v>290221</v>
      </c>
      <c r="CI901" s="46">
        <f t="shared" si="1607"/>
        <v>290117.46412686718</v>
      </c>
      <c r="CJ901" s="231">
        <f t="shared" si="1599"/>
        <v>310.943695752731</v>
      </c>
      <c r="CK901" s="443">
        <v>0.70886075949367089</v>
      </c>
      <c r="CL901" s="129">
        <f>CL878*CK901+CJ879*CK900+CJ880*CK899+CJ881*CK898+CJ882*CK897+CJ883*CK896+CJ884*CK895+CJ885*CK894+CJ886*CK893+CJ887*CK892+CJ888*CK891+CJ889*CK890+CJ890*CK889+CJ891*CK888+CJ892*CK887+CJ883*CK886+CJ894*CK885+CJ895*CK884+CJ896*CK883+CJ897*CK882+CJ898*CK881+CJ899*CK880+CJ901+CJ900*CK879</f>
        <v>4096.8985026818409</v>
      </c>
      <c r="CM901" s="134"/>
      <c r="CN901" s="135">
        <f t="shared" si="1601"/>
        <v>-2.5148254291904376E-3</v>
      </c>
      <c r="CO901" s="135">
        <f t="shared" si="1610"/>
        <v>9.7797337127336435E-3</v>
      </c>
      <c r="CP901" s="134">
        <f>VLOOKUP($H901,RoR!$E:$F,2,FALSE)</f>
        <v>2.7033333333333336E-2</v>
      </c>
      <c r="CQ901" s="135"/>
      <c r="CR901" s="135"/>
      <c r="CS901" s="135">
        <f t="shared" si="1611"/>
        <v>2.112220789579998E-2</v>
      </c>
      <c r="CT901" s="135">
        <f t="shared" si="1612"/>
        <v>7.433422950153494E-2</v>
      </c>
      <c r="CU901" s="139">
        <f t="shared" si="1602"/>
        <v>0.90907250000000006</v>
      </c>
      <c r="CV901" s="335">
        <f t="shared" si="1603"/>
        <v>1.8969932656739068</v>
      </c>
      <c r="CW901" s="335">
        <f t="shared" si="1604"/>
        <v>5.0215782983970621E-2</v>
      </c>
      <c r="CX901" s="335">
        <f t="shared" si="1605"/>
        <v>0.655952481704143</v>
      </c>
      <c r="CY901" s="335">
        <f t="shared" si="1606"/>
        <v>6.2485378865697057E-2</v>
      </c>
      <c r="CZ901" s="336">
        <f>CZ900</f>
        <v>0.24574999999999997</v>
      </c>
      <c r="DA901" s="302">
        <v>0.37</v>
      </c>
      <c r="DB901" s="141">
        <f t="shared" si="1609"/>
        <v>23.663197515775764</v>
      </c>
      <c r="DC901" s="135">
        <f>LN(DB902/DB900)</f>
        <v>0.25162548547806246</v>
      </c>
      <c r="DD901" s="336">
        <f>VLOOKUP($H901,RoR!$E:$F,2,FALSE)</f>
        <v>2.7033333333333336E-2</v>
      </c>
      <c r="DE901" s="342">
        <f>HLOOKUP($H901,'GDP-PI'!$D$8:$CR$11,3,FALSE)</f>
        <v>4.2834637353352578E-2</v>
      </c>
      <c r="DF901" s="336">
        <f>VLOOKUP(H901,'HW Dx Data'!$E:$F,2,FALSE)</f>
        <v>933.02249921662576</v>
      </c>
      <c r="DG901" s="364">
        <f ca="1">VLOOKUP(CC901,'ECI - Input Price'!M$13:N$33,2,FALSE)</f>
        <v>157.25</v>
      </c>
      <c r="DH901" s="364"/>
      <c r="DI901" s="364"/>
      <c r="DJ901" s="135">
        <f t="shared" ca="1" si="1621"/>
        <v>2.6419062301765574E-2</v>
      </c>
      <c r="DK901" s="137">
        <f>HLOOKUP(H901,'GDP-PI'!$8:$9,2,FALSE)</f>
        <v>118.49</v>
      </c>
      <c r="DL901" s="356">
        <f t="shared" si="1614"/>
        <v>4.194261824609434E-2</v>
      </c>
      <c r="EC901"/>
    </row>
    <row r="902" spans="1:133" s="126" customFormat="1" ht="21" customHeight="1" thickBot="1" x14ac:dyDescent="0.45">
      <c r="A902" s="235"/>
      <c r="B902" s="236"/>
      <c r="C902" s="236"/>
      <c r="D902" s="236"/>
      <c r="E902" s="236"/>
      <c r="F902" s="236"/>
      <c r="G902" s="237" t="s">
        <v>178</v>
      </c>
      <c r="H902" s="238"/>
      <c r="I902" s="239"/>
      <c r="J902" s="240">
        <v>49911.791762950561</v>
      </c>
      <c r="K902" s="240">
        <f t="shared" ca="1" si="1615"/>
        <v>307.0550093076011</v>
      </c>
      <c r="L902" s="47"/>
      <c r="M902" s="241">
        <f t="shared" ref="M902" ca="1" si="1640">LN(K902/K901)</f>
        <v>4.8653434191625877E-2</v>
      </c>
      <c r="N902" s="241"/>
      <c r="O902" s="241"/>
      <c r="P902" s="242">
        <f t="shared" ca="1" si="1624"/>
        <v>7.2760476204787432E-4</v>
      </c>
      <c r="Q902" s="61"/>
      <c r="R902" s="387"/>
      <c r="S902" s="206">
        <f ca="1">+S901*EXP(T902)</f>
        <v>115.34243976719328</v>
      </c>
      <c r="T902" s="243">
        <f ca="1">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</f>
        <v>-5.7108533958802931E-3</v>
      </c>
      <c r="U902" s="243"/>
      <c r="V902" s="239">
        <v>70357.585979098978</v>
      </c>
      <c r="W902" s="240">
        <f t="shared" si="1616"/>
        <v>552.90833775323358</v>
      </c>
      <c r="X902" s="244">
        <f t="shared" ref="X902" si="1641">LN(W902/W901)</f>
        <v>1.047709875900675E-2</v>
      </c>
      <c r="Y902" s="244">
        <f t="shared" si="1626"/>
        <v>1.5668342998100782E-4</v>
      </c>
      <c r="Z902" s="206"/>
      <c r="AA902" s="243"/>
      <c r="AB902" s="243"/>
      <c r="AC902" s="240">
        <f t="shared" si="1596"/>
        <v>77622.486603002166</v>
      </c>
      <c r="AD902" s="243"/>
      <c r="AE902" s="245">
        <v>4618.1245852220627</v>
      </c>
      <c r="AF902" s="243">
        <v>3.6725204253679547E-2</v>
      </c>
      <c r="AG902" s="242">
        <f t="shared" si="1617"/>
        <v>5.4921988439527911E-4</v>
      </c>
      <c r="AH902" s="206"/>
      <c r="AI902" s="243"/>
      <c r="AJ902" s="239">
        <f t="shared" si="1588"/>
        <v>197891.8643450517</v>
      </c>
      <c r="AK902" s="243">
        <f t="shared" si="1627"/>
        <v>-1.1525139857836719E-2</v>
      </c>
      <c r="AL902" s="239"/>
      <c r="AM902" s="243"/>
      <c r="AN902" s="243"/>
      <c r="AO902" s="243"/>
      <c r="AP902" s="245">
        <f t="shared" si="1628"/>
        <v>432.69238951580127</v>
      </c>
      <c r="AQ902" s="243"/>
      <c r="AR902" s="207">
        <f t="shared" si="1618"/>
        <v>0.25221750236241386</v>
      </c>
      <c r="AS902" s="207">
        <f t="shared" si="1619"/>
        <v>0.35553551537834244</v>
      </c>
      <c r="AT902" s="207">
        <f t="shared" si="1620"/>
        <v>0.39224698225924376</v>
      </c>
      <c r="AU902" s="207"/>
      <c r="AV902" s="206"/>
      <c r="AW902" s="243"/>
      <c r="AX902" s="248">
        <f>+AJ902/$AL$27</f>
        <v>1.4954849007824159E-2</v>
      </c>
      <c r="AY902" s="249"/>
      <c r="AZ902" s="206"/>
      <c r="BA902" s="243"/>
      <c r="BB902" s="250">
        <v>457350</v>
      </c>
      <c r="BC902" s="270">
        <f t="shared" si="1639"/>
        <v>4.6513976722850792E-2</v>
      </c>
      <c r="BD902" s="91"/>
      <c r="BE902" s="306">
        <f t="shared" si="1635"/>
        <v>0</v>
      </c>
      <c r="BF902" s="307">
        <f t="shared" si="1636"/>
        <v>0</v>
      </c>
      <c r="BG902" s="308">
        <f t="shared" si="1637"/>
        <v>0</v>
      </c>
      <c r="BH902" s="308"/>
      <c r="BI902" s="308" t="str">
        <f t="shared" si="1638"/>
        <v>2022Y</v>
      </c>
      <c r="BJ902" s="239"/>
      <c r="BK902" s="239"/>
      <c r="BL902" s="239"/>
      <c r="BM902" s="239"/>
      <c r="BN902" s="337">
        <v>0.96625297485891748</v>
      </c>
      <c r="BO902" s="308">
        <f t="shared" si="1631"/>
        <v>0</v>
      </c>
      <c r="BP902" s="308">
        <f t="shared" si="1632"/>
        <v>0</v>
      </c>
      <c r="BQ902" s="239"/>
      <c r="BR902" s="239"/>
      <c r="BS902" s="310"/>
      <c r="BT902" s="310"/>
      <c r="BU902" s="311"/>
      <c r="BV902" s="207"/>
      <c r="BW902" s="312"/>
      <c r="BX902" s="312"/>
      <c r="BY902" s="239"/>
      <c r="BZ902" s="239"/>
      <c r="CA902" s="239"/>
      <c r="CB902" s="239"/>
      <c r="CC902" s="245">
        <v>2022</v>
      </c>
      <c r="CD902" s="239"/>
      <c r="CE902" s="239"/>
      <c r="CF902" s="239"/>
      <c r="CG902" s="310"/>
      <c r="CH902" s="239">
        <v>211320</v>
      </c>
      <c r="CI902" s="313">
        <f t="shared" si="1607"/>
        <v>211320</v>
      </c>
      <c r="CJ902" s="308">
        <f t="shared" si="1599"/>
        <v>205.00383193799053</v>
      </c>
      <c r="CK902" s="443">
        <v>0.69230769230769229</v>
      </c>
      <c r="CL902" s="239">
        <f>+CL878*CK902+CJ879*CK901+CJ880*CK900+CJ881*CK899+CJ882*CK898+CJ883*CK897+CJ884*CK896+CJ885*CK895+CJ886*CK894+CJ887*CK893+CJ888*CK892+CJ889*CK891+CJ890*CK890+CJ891*CK889+CJ892*CK888+CJ893*CK887+CJ894*CK886+CJ895*CK885+CJ896*CK884+CJ897*CK883+CJ898*CK882+CJ899*CK881+CJ900*CK880+CJ901*CK879+CJ902*CK878</f>
        <v>4166.0864890615958</v>
      </c>
      <c r="CM902" s="243">
        <f t="shared" ref="CM902" si="1642">LN(CL902/CL901)</f>
        <v>1.6746878632366544E-2</v>
      </c>
      <c r="CN902" s="249">
        <f t="shared" si="1601"/>
        <v>3.3150893406153514E-2</v>
      </c>
      <c r="CO902" s="249">
        <f t="shared" si="1610"/>
        <v>1.5553794300350128E-2</v>
      </c>
      <c r="CP902" s="243"/>
      <c r="CQ902" s="249"/>
      <c r="CR902" s="249"/>
      <c r="CS902" s="248">
        <f t="shared" si="1611"/>
        <v>1.5348147308183497E-2</v>
      </c>
      <c r="CT902" s="249">
        <f t="shared" si="1612"/>
        <v>0.10114668178709289</v>
      </c>
      <c r="CU902" s="314">
        <f t="shared" si="1602"/>
        <v>0.90907250000000006</v>
      </c>
      <c r="CV902" s="315">
        <f t="shared" si="1603"/>
        <v>1.2820512820512819</v>
      </c>
      <c r="CW902" s="315">
        <f t="shared" si="1604"/>
        <v>0.35000000000000003</v>
      </c>
      <c r="CX902" s="315">
        <f t="shared" si="1605"/>
        <v>0.79171095533705893</v>
      </c>
      <c r="CY902" s="315">
        <f t="shared" si="1606"/>
        <v>0.35525491585637264</v>
      </c>
      <c r="CZ902" s="316">
        <f>CZ901</f>
        <v>0.24574999999999997</v>
      </c>
      <c r="DA902" s="317">
        <v>0.37</v>
      </c>
      <c r="DB902" s="318">
        <f t="shared" si="1609"/>
        <v>18.946646237926146</v>
      </c>
      <c r="DC902" s="249">
        <f>LN(DB902/DB901)</f>
        <v>-0.22229405745153666</v>
      </c>
      <c r="DD902" s="316">
        <v>0.04</v>
      </c>
      <c r="DE902" s="319">
        <v>7.0000000000000001E-3</v>
      </c>
      <c r="DF902" s="316">
        <v>1030.81</v>
      </c>
      <c r="DG902" s="364">
        <f ca="1">VLOOKUP(CC902,'ECI - Input Price'!M$13:N$33,2,FALSE)</f>
        <v>162.55000000000001</v>
      </c>
      <c r="DH902" s="364"/>
      <c r="DI902" s="364"/>
      <c r="DJ902" s="249">
        <f t="shared" ca="1" si="1621"/>
        <v>3.3148751169364422E-2</v>
      </c>
      <c r="DK902" s="310">
        <v>127.25</v>
      </c>
      <c r="DL902" s="357">
        <f t="shared" si="1614"/>
        <v>7.1325086601983473E-2</v>
      </c>
      <c r="EC902"/>
    </row>
    <row r="903" spans="1:133" s="126" customFormat="1" ht="21" customHeight="1" x14ac:dyDescent="0.4">
      <c r="A903" s="251" t="s">
        <v>236</v>
      </c>
      <c r="B903" s="265" t="s">
        <v>236</v>
      </c>
      <c r="C903" s="265">
        <v>4057139</v>
      </c>
      <c r="D903" s="252" t="s">
        <v>237</v>
      </c>
      <c r="E903" s="252"/>
      <c r="F903" s="266"/>
      <c r="G903" s="265" t="s">
        <v>150</v>
      </c>
      <c r="H903" s="253">
        <v>1998</v>
      </c>
      <c r="I903" s="254"/>
      <c r="J903" s="255"/>
      <c r="K903" s="255"/>
      <c r="L903" s="47"/>
      <c r="M903" s="255"/>
      <c r="N903" s="255"/>
      <c r="O903" s="255"/>
      <c r="P903" s="219"/>
      <c r="Q903" s="218"/>
      <c r="R903" s="385"/>
      <c r="S903" s="257"/>
      <c r="T903" s="258"/>
      <c r="U903" s="258"/>
      <c r="V903" s="259"/>
      <c r="W903" s="259"/>
      <c r="X903" s="259"/>
      <c r="Y903" s="255"/>
      <c r="Z903" s="259"/>
      <c r="AA903" s="259"/>
      <c r="AB903" s="259"/>
      <c r="AC903" s="255"/>
      <c r="AD903" s="254"/>
      <c r="AE903" s="260">
        <v>2363.3914663887476</v>
      </c>
      <c r="AF903" s="256"/>
      <c r="AG903" s="225"/>
      <c r="AH903" s="256"/>
      <c r="AI903" s="256"/>
      <c r="AJ903" s="254">
        <f t="shared" si="1588"/>
        <v>0</v>
      </c>
      <c r="AK903" s="254"/>
      <c r="AL903" s="254"/>
      <c r="AM903" s="256"/>
      <c r="AN903" s="256"/>
      <c r="AO903" s="256"/>
      <c r="AP903" s="226">
        <f>+(AP900+AP901+AP902)/3</f>
        <v>421.89602964750401</v>
      </c>
      <c r="AQ903" s="256"/>
      <c r="AR903" s="261"/>
      <c r="AS903" s="261"/>
      <c r="AT903" s="261"/>
      <c r="AU903" s="261"/>
      <c r="AV903" s="261"/>
      <c r="AW903" s="256">
        <f ca="1">AVERAGE(AW912:AW926)</f>
        <v>9.4151199930145296E-3</v>
      </c>
      <c r="AX903" s="223"/>
      <c r="AY903" s="261"/>
      <c r="AZ903" s="261"/>
      <c r="BA903" s="261"/>
      <c r="BB903" s="262">
        <f>IFERROR(INDEX('Total Customers'!$E$7:$AA$91,MATCH($C903,'Total Customers'!$C$7:$C$91,0),MATCH($G903,'Total Customers'!$E$5:$AA$5,0)),"NA")</f>
        <v>325844</v>
      </c>
      <c r="BC903" s="268"/>
      <c r="BD903" s="92"/>
      <c r="BE903" s="320" t="str">
        <f t="shared" si="1635"/>
        <v>PUBLIC SERVICE COMPANY OF NORTH CAROLINA, INCORPORATED</v>
      </c>
      <c r="BF903" s="321">
        <f t="shared" si="1636"/>
        <v>4057139</v>
      </c>
      <c r="BG903" s="322" t="str">
        <f t="shared" si="1637"/>
        <v>NC</v>
      </c>
      <c r="BH903" s="322"/>
      <c r="BI903" s="322" t="str">
        <f t="shared" si="1638"/>
        <v>1998 Y</v>
      </c>
      <c r="BJ903" s="254">
        <f>INDEX('Gross Dx Plant'!$D$7:$AC$91,MATCH($C903,'Gross Dx Plant'!$C$7:$C$91,0),MATCH(Calculation!$G903,'Gross Dx Plant'!$D$5:$AC$5,0))</f>
        <v>542232</v>
      </c>
      <c r="BK903" s="254">
        <f>INDEX('Gross Gen Plant'!$D$7:$AC$91,MATCH($C903,'Gross Gen Plant'!$C$7:$C$91,0),MATCH(Calculation!$G903,'Gross Gen Plant'!$D$5:$AC$5,0))</f>
        <v>81543</v>
      </c>
      <c r="BL903" s="254">
        <f>INDEX('Dist. Plant Gas Additions'!$E$7:$AD$91,MATCH($C903,'Dist. Plant Gas Additions'!$C$7:$C$91,0),MATCH(Calculation!$G903,'Dist. Plant Gas Additions'!$E$5:$AD$5,0))</f>
        <v>40284</v>
      </c>
      <c r="BM903" s="254">
        <f>INDEX('Gen. Plant Additions'!$E$7:$AD$91,MATCH($C903,'Gen. Plant Additions'!$C$7:$C$91,0),MATCH(Calculation!$G903,'Gen. Plant Additions'!$E$5:$AD$5,0))</f>
        <v>9065</v>
      </c>
      <c r="BN903" s="338">
        <f>+(BY903/(BY903+BZ903))</f>
        <v>0.86927497895875916</v>
      </c>
      <c r="BO903" s="322">
        <f t="shared" si="1631"/>
        <v>7879.9776842611518</v>
      </c>
      <c r="BP903" s="322">
        <f t="shared" si="1632"/>
        <v>-1185.0223157388482</v>
      </c>
      <c r="BQ903" s="254">
        <f>INDEX('Dist Plant Depreciation'!$D$7:$AC$94,MATCH($C903,'Dist Plant Depreciation'!$C$7:$C$94,0),MATCH(Calculation!$G903,'Dist Plant Depreciation'!$D$5:$AC$5,0))</f>
        <v>147033</v>
      </c>
      <c r="BR903" s="254">
        <f>INDEX('Gen. Plant Depreciation'!$D$7:$AC$94,MATCH($C903,'Gen. Plant Depreciation'!$C$7:$C$94,0),MATCH(Calculation!$G903,'Gen. Plant Depreciation'!$D$5:$AC$5,0))</f>
        <v>0</v>
      </c>
      <c r="BS903" s="254"/>
      <c r="BT903" s="254"/>
      <c r="BU903" s="254"/>
      <c r="BV903" s="254"/>
      <c r="BW903" s="254"/>
      <c r="BX903" s="323"/>
      <c r="BY903" s="254">
        <f>INDEX('Gross Dx Plant'!$D$7:$AC$91,MATCH($C903,'Gross Dx Plant'!$C$7:$C$91,0),MATCH(Calculation!$G903,'Gross Dx Plant'!$D$5:$AC$5,0))</f>
        <v>542232</v>
      </c>
      <c r="BZ903" s="254">
        <f>INDEX('Gross Gen Plant'!$D$7:$AC$91,MATCH($C903,'Gross Gen Plant'!$C$7:$C$91,0),MATCH(Calculation!$G903,'Gross Gen Plant'!$D$5:$AC$5,0))</f>
        <v>81543</v>
      </c>
      <c r="CA903" s="254">
        <f t="shared" si="1595"/>
        <v>476742</v>
      </c>
      <c r="CB903" s="254"/>
      <c r="CC903" s="260">
        <v>1998</v>
      </c>
      <c r="CD903" s="254">
        <f>BJ903+BK903</f>
        <v>623775</v>
      </c>
      <c r="CE903" s="254">
        <f>147033+0</f>
        <v>147033</v>
      </c>
      <c r="CF903" s="254">
        <f>+CD903-CE903</f>
        <v>476742</v>
      </c>
      <c r="CG903" s="254">
        <f>CF903/$BX$3</f>
        <v>2363.3914663887476</v>
      </c>
      <c r="CH903" s="323"/>
      <c r="CI903" s="344"/>
      <c r="CJ903" s="344"/>
      <c r="CK903" s="443">
        <v>1</v>
      </c>
      <c r="CL903" s="254">
        <f>+CG903</f>
        <v>2363.3914663887476</v>
      </c>
      <c r="CM903" s="256"/>
      <c r="CN903" s="325"/>
      <c r="CO903" s="325"/>
      <c r="CP903" s="256" t="e">
        <f>VLOOKUP($H903,RoR!$E:$F,2,FALSE)</f>
        <v>#N/A</v>
      </c>
      <c r="CQ903" s="325">
        <v>1.1028127770464469E-2</v>
      </c>
      <c r="CR903" s="325"/>
      <c r="CS903" s="325"/>
      <c r="CT903" s="325"/>
      <c r="CU903" s="327"/>
      <c r="CV903" s="331" t="e">
        <f>2/(DD903*39)</f>
        <v>#N/A</v>
      </c>
      <c r="CW903" s="328" t="e">
        <f>+(DD903*40-(1+DD903))/(DD903*40)</f>
        <v>#N/A</v>
      </c>
      <c r="CX903" s="328" t="e">
        <f>+(1-(1/(1+DD903)^40))</f>
        <v>#N/A</v>
      </c>
      <c r="CY903" s="328" t="e">
        <f>+CX903*CW903*CV903</f>
        <v>#N/A</v>
      </c>
      <c r="CZ903" s="329">
        <f>INDEX('State Tax Lookup'!$D$7:$Z$91,MATCH(Calculation!$C903,'State Tax Lookup'!$B$7:$B$91,0),MATCH($H903,'State Tax Lookup'!$D$6:$Z$6,0))</f>
        <v>0.35</v>
      </c>
      <c r="DA903" s="330">
        <v>0.37</v>
      </c>
      <c r="DB903" s="344"/>
      <c r="DC903" s="326"/>
      <c r="DD903" s="351" t="e">
        <f>VLOOKUP($H903,RoR!$E:$F,2,FALSE)</f>
        <v>#N/A</v>
      </c>
      <c r="DE903" s="354">
        <f>HLOOKUP($H903,'GDP-PI'!$D$8:$CQ$11,3,FALSE)</f>
        <v>1.1028127770464469E-2</v>
      </c>
      <c r="DF903" s="351">
        <f>VLOOKUP(H903,'HW Dx Data'!$E:$F,2,FALSE)</f>
        <v>329.24564746449528</v>
      </c>
      <c r="DG903" s="330"/>
      <c r="DH903" s="330"/>
      <c r="DI903" s="330"/>
      <c r="DJ903" s="326"/>
      <c r="DK903" s="344">
        <f>HLOOKUP(H903,'GDP-PI'!$8:$9,2,FALSE)</f>
        <v>75.266999999999996</v>
      </c>
      <c r="DL903" s="292"/>
      <c r="EC903"/>
    </row>
    <row r="904" spans="1:133" s="126" customFormat="1" ht="21" customHeight="1" x14ac:dyDescent="0.4">
      <c r="A904" s="233" t="s">
        <v>236</v>
      </c>
      <c r="B904" s="126" t="s">
        <v>236</v>
      </c>
      <c r="C904" s="126">
        <v>4057139</v>
      </c>
      <c r="D904" s="127" t="s">
        <v>237</v>
      </c>
      <c r="E904" s="127"/>
      <c r="F904" s="144"/>
      <c r="G904" s="126" t="s">
        <v>155</v>
      </c>
      <c r="H904" s="128">
        <v>1999</v>
      </c>
      <c r="I904" s="129"/>
      <c r="J904" s="125"/>
      <c r="K904" s="129"/>
      <c r="L904" s="47"/>
      <c r="M904" s="129"/>
      <c r="N904" s="129"/>
      <c r="O904" s="129"/>
      <c r="P904" s="47"/>
      <c r="Q904" s="47"/>
      <c r="R904" s="386"/>
      <c r="S904" s="119"/>
      <c r="T904" s="47"/>
      <c r="U904" s="46"/>
      <c r="V904" s="135"/>
      <c r="W904" s="135"/>
      <c r="X904" s="135"/>
      <c r="Y904" s="143"/>
      <c r="Z904" s="135"/>
      <c r="AA904" s="135"/>
      <c r="AB904" s="135"/>
      <c r="AC904" s="125">
        <f t="shared" ref="AC904:AC927" si="1643">+CL903*DB904</f>
        <v>0</v>
      </c>
      <c r="AD904" s="129"/>
      <c r="AE904" s="133">
        <v>2490.5671735508117</v>
      </c>
      <c r="AF904" s="134">
        <v>5.2412815599867255E-2</v>
      </c>
      <c r="AG904" s="61"/>
      <c r="AH904" s="134"/>
      <c r="AI904" s="134"/>
      <c r="AJ904" s="129">
        <f t="shared" si="1588"/>
        <v>0</v>
      </c>
      <c r="AK904" s="134"/>
      <c r="AL904" s="129"/>
      <c r="AM904" s="134"/>
      <c r="AN904" s="134"/>
      <c r="AO904" s="134"/>
      <c r="AP904" s="133"/>
      <c r="AQ904" s="134"/>
      <c r="AR904" s="93"/>
      <c r="AS904" s="93"/>
      <c r="AT904" s="93"/>
      <c r="AU904" s="93"/>
      <c r="AV904" s="93"/>
      <c r="AW904" s="134"/>
      <c r="AX904" s="62"/>
      <c r="AY904" s="93"/>
      <c r="AZ904" s="93"/>
      <c r="BA904" s="93"/>
      <c r="BB904" s="234">
        <f>IFERROR(INDEX('Total Customers'!$E$7:$AA$91,MATCH($C904,'Total Customers'!$C$7:$C$91,0),MATCH($G904,'Total Customers'!$E$5:$AA$5,0)),"NA")</f>
        <v>342398</v>
      </c>
      <c r="BC904" s="269">
        <f t="shared" si="1639"/>
        <v>4.9555063900561094E-2</v>
      </c>
      <c r="BD904" s="92"/>
      <c r="BE904" s="299" t="str">
        <f t="shared" si="1635"/>
        <v>PUBLIC SERVICE COMPANY OF NORTH CAROLINA, INCORPORATED</v>
      </c>
      <c r="BF904" s="300">
        <f t="shared" si="1636"/>
        <v>4057139</v>
      </c>
      <c r="BG904" s="231" t="str">
        <f t="shared" si="1637"/>
        <v>NC</v>
      </c>
      <c r="BH904" s="231"/>
      <c r="BI904" s="231" t="str">
        <f t="shared" si="1638"/>
        <v>1999 Y</v>
      </c>
      <c r="BJ904" s="129"/>
      <c r="BK904" s="129"/>
      <c r="BL904" s="129">
        <f>INDEX('Dist. Plant Gas Additions'!$E$7:$AD$91,MATCH($C904,'Dist. Plant Gas Additions'!$C$7:$C$91,0),MATCH(Calculation!$G904,'Dist. Plant Gas Additions'!$E$5:$AD$5,0))</f>
        <v>27352</v>
      </c>
      <c r="BM904" s="129">
        <f>INDEX('Gen. Plant Additions'!$E$7:$AD$91,MATCH($C904,'Gen. Plant Additions'!$C$7:$C$91,0),MATCH(Calculation!$G904,'Gen. Plant Additions'!$E$5:$AD$5,0))</f>
        <v>19236</v>
      </c>
      <c r="BN904" s="301">
        <f t="shared" ref="BN904:BN925" si="1644">+(BY904/(BY904+BZ904))</f>
        <v>0.86219879518072284</v>
      </c>
      <c r="BO904" s="231">
        <f t="shared" si="1631"/>
        <v>16585.256024096383</v>
      </c>
      <c r="BP904" s="231">
        <f t="shared" si="1632"/>
        <v>-2650.743975903617</v>
      </c>
      <c r="BQ904" s="129">
        <f>INDEX('Dist Plant Depreciation'!$D$7:$AC$94,MATCH($C904,'Dist Plant Depreciation'!$C$7:$C$94,0),MATCH(Calculation!$G904,'Dist Plant Depreciation'!$D$5:$AC$5,0))</f>
        <v>161949</v>
      </c>
      <c r="BR904" s="129">
        <f>INDEX('Gen. Plant Depreciation'!$D$7:$AC$94,MATCH($C904,'Gen. Plant Depreciation'!$C$7:$C$94,0),MATCH(Calculation!$G904,'Gen. Plant Depreciation'!$D$5:$AC$5,0))</f>
        <v>37540</v>
      </c>
      <c r="BS904" s="129"/>
      <c r="BT904" s="129"/>
      <c r="BU904" s="129"/>
      <c r="BV904" s="129"/>
      <c r="BW904" s="129"/>
      <c r="BX904" s="137"/>
      <c r="BY904" s="129">
        <f>INDEX('Gross Dx Plant'!$D$7:$AC$91,MATCH($C904,'Gross Dx Plant'!$C$7:$C$91,0),MATCH(Calculation!$G904,'Gross Dx Plant'!$D$5:$AC$5,0))</f>
        <v>564485</v>
      </c>
      <c r="BZ904" s="129">
        <f>INDEX('Gross Gen Plant'!$D$7:$AC$91,MATCH($C904,'Gross Gen Plant'!$C$7:$C$91,0),MATCH(Calculation!$G904,'Gross Gen Plant'!$D$5:$AC$5,0))</f>
        <v>90219</v>
      </c>
      <c r="CA904" s="129">
        <f t="shared" si="1595"/>
        <v>455215</v>
      </c>
      <c r="CB904" s="129"/>
      <c r="CC904" s="133">
        <v>1999</v>
      </c>
      <c r="CD904" s="129"/>
      <c r="CE904" s="129"/>
      <c r="CF904" s="129"/>
      <c r="CG904" s="137"/>
      <c r="CH904" s="129">
        <f t="shared" ref="CH904:CH926" si="1645">+BM904+BL904</f>
        <v>46588</v>
      </c>
      <c r="CI904" s="46">
        <f>+CH904+BP904</f>
        <v>43937.256024096379</v>
      </c>
      <c r="CJ904" s="231">
        <f t="shared" ref="CJ904:CJ927" si="1646">+CI904/$DF904</f>
        <v>131.02887390498091</v>
      </c>
      <c r="CK904" s="443">
        <v>0.99009900990099009</v>
      </c>
      <c r="CL904" s="231">
        <f>+CL903*CK904+CJ904</f>
        <v>2471.0204247849292</v>
      </c>
      <c r="CM904" s="134">
        <f t="shared" ref="CM904:CM925" si="1647">LN(CL904/CL903)</f>
        <v>4.4533543288336426E-2</v>
      </c>
      <c r="CN904" s="135">
        <f t="shared" ref="CN904:CN927" si="1648">+(CL903-CL904+CJ904)/CL903</f>
        <v>9.9009900990098352E-3</v>
      </c>
      <c r="CO904" s="135"/>
      <c r="CP904" s="134">
        <f>VLOOKUP($H904,RoR!$E:$F,2,FALSE)</f>
        <v>7.0416666666666669E-2</v>
      </c>
      <c r="CQ904" s="135">
        <v>1.4335631817396832E-2</v>
      </c>
      <c r="CR904" s="135">
        <f>+CP904-CQ904</f>
        <v>5.6081034849269837E-2</v>
      </c>
      <c r="CS904" s="135"/>
      <c r="CT904" s="135"/>
      <c r="CU904" s="139">
        <f t="shared" ref="CU904:CU927" si="1649">1-CZ904*DA904</f>
        <v>0.87050000000000005</v>
      </c>
      <c r="CV904" s="335">
        <f t="shared" ref="CV904:CV927" si="1650">2/(DD904*39)</f>
        <v>0.72826581702321336</v>
      </c>
      <c r="CW904" s="335">
        <f t="shared" ref="CW904:CW927" si="1651">+(DD904*40-(1+DD904))/(DD904*40)</f>
        <v>0.61997041420118348</v>
      </c>
      <c r="CX904" s="335">
        <f t="shared" ref="CX904:CX927" si="1652">+(1-(1/(1+DD904)^40))</f>
        <v>0.93425155319585029</v>
      </c>
      <c r="CY904" s="335">
        <f t="shared" ref="CY904:CY927" si="1653">+CX904*CW904*CV904</f>
        <v>0.42181762214141483</v>
      </c>
      <c r="CZ904" s="336">
        <f>INDEX('State Tax Lookup'!$D$7:$Z$91,MATCH(Calculation!$C904,'State Tax Lookup'!$B$7:$B$91,0),MATCH($H904,'State Tax Lookup'!$D$6:$Z$6,0))</f>
        <v>0.35</v>
      </c>
      <c r="DA904" s="302">
        <v>0.37</v>
      </c>
      <c r="DB904" s="57"/>
      <c r="DC904" s="56"/>
      <c r="DD904" s="303">
        <f>VLOOKUP($H904,RoR!$E:$F,2,FALSE)</f>
        <v>7.0416666666666669E-2</v>
      </c>
      <c r="DE904" s="304">
        <f>HLOOKUP($H904,'GDP-PI'!$D$8:$CQ$11,3,FALSE)</f>
        <v>1.4335631817396832E-2</v>
      </c>
      <c r="DF904" s="303">
        <f>VLOOKUP(H904,'HW Dx Data'!$E:$F,2,FALSE)</f>
        <v>335.32499146683239</v>
      </c>
      <c r="DG904" s="364"/>
      <c r="DH904" s="364"/>
      <c r="DI904" s="364"/>
      <c r="DJ904" s="56"/>
      <c r="DK904" s="53">
        <f>HLOOKUP(H904,'GDP-PI'!$8:$9,2,FALSE)</f>
        <v>76.346000000000004</v>
      </c>
      <c r="DL904" s="298"/>
      <c r="EC904"/>
    </row>
    <row r="905" spans="1:133" s="126" customFormat="1" ht="21" customHeight="1" x14ac:dyDescent="0.4">
      <c r="A905" s="233" t="s">
        <v>236</v>
      </c>
      <c r="B905" s="126" t="s">
        <v>236</v>
      </c>
      <c r="C905" s="126">
        <v>4057139</v>
      </c>
      <c r="D905" s="127" t="s">
        <v>237</v>
      </c>
      <c r="E905" s="127"/>
      <c r="F905" s="144"/>
      <c r="G905" s="126" t="s">
        <v>156</v>
      </c>
      <c r="H905" s="128">
        <v>2000</v>
      </c>
      <c r="I905" s="129"/>
      <c r="J905" s="125"/>
      <c r="K905" s="125"/>
      <c r="L905" s="47"/>
      <c r="M905" s="125"/>
      <c r="N905" s="125"/>
      <c r="O905" s="125"/>
      <c r="P905" s="47"/>
      <c r="Q905" s="47"/>
      <c r="R905" s="386"/>
      <c r="S905" s="119"/>
      <c r="T905" s="47"/>
      <c r="U905" s="47"/>
      <c r="V905" s="125"/>
      <c r="W905" s="125"/>
      <c r="X905" s="125"/>
      <c r="Y905" s="125"/>
      <c r="Z905" s="125"/>
      <c r="AA905" s="125"/>
      <c r="AB905" s="125"/>
      <c r="AC905" s="125">
        <f t="shared" si="1643"/>
        <v>0</v>
      </c>
      <c r="AD905" s="129"/>
      <c r="AE905" s="133">
        <v>2558.9426191486659</v>
      </c>
      <c r="AF905" s="134">
        <v>2.7083668691090371E-2</v>
      </c>
      <c r="AG905" s="61"/>
      <c r="AH905" s="134"/>
      <c r="AI905" s="134"/>
      <c r="AJ905" s="129">
        <f t="shared" si="1588"/>
        <v>0</v>
      </c>
      <c r="AK905" s="134"/>
      <c r="AL905" s="129"/>
      <c r="AM905" s="129"/>
      <c r="AN905" s="129"/>
      <c r="AO905" s="129"/>
      <c r="AP905" s="133"/>
      <c r="AQ905" s="134"/>
      <c r="AR905" s="93"/>
      <c r="AS905" s="93"/>
      <c r="AT905" s="93"/>
      <c r="AU905" s="93"/>
      <c r="AV905" s="93"/>
      <c r="AW905" s="134"/>
      <c r="AX905" s="62"/>
      <c r="AY905" s="93"/>
      <c r="AZ905" s="93"/>
      <c r="BA905" s="93"/>
      <c r="BB905" s="234">
        <f>IFERROR(INDEX('Total Customers'!$E$7:$AA$91,MATCH($C905,'Total Customers'!$C$7:$C$91,0),MATCH($G905,'Total Customers'!$E$5:$AA$5,0)),"NA")</f>
        <v>357736</v>
      </c>
      <c r="BC905" s="269">
        <f t="shared" si="1639"/>
        <v>4.3821481068697946E-2</v>
      </c>
      <c r="BD905" s="92"/>
      <c r="BE905" s="299" t="str">
        <f t="shared" si="1635"/>
        <v>PUBLIC SERVICE COMPANY OF NORTH CAROLINA, INCORPORATED</v>
      </c>
      <c r="BF905" s="300">
        <f t="shared" si="1636"/>
        <v>4057139</v>
      </c>
      <c r="BG905" s="231" t="str">
        <f t="shared" si="1637"/>
        <v>NC</v>
      </c>
      <c r="BH905" s="231"/>
      <c r="BI905" s="231" t="str">
        <f t="shared" si="1638"/>
        <v>2000 Y</v>
      </c>
      <c r="BJ905" s="129"/>
      <c r="BK905" s="129"/>
      <c r="BL905" s="129">
        <f>INDEX('Dist. Plant Gas Additions'!$E$7:$AD$91,MATCH($C905,'Dist. Plant Gas Additions'!$C$7:$C$91,0),MATCH(Calculation!$G905,'Dist. Plant Gas Additions'!$E$5:$AD$5,0))</f>
        <v>21130</v>
      </c>
      <c r="BM905" s="129">
        <f>INDEX('Gen. Plant Additions'!$E$7:$AD$91,MATCH($C905,'Gen. Plant Additions'!$C$7:$C$91,0),MATCH(Calculation!$G905,'Gen. Plant Additions'!$E$5:$AD$5,0))</f>
        <v>7002</v>
      </c>
      <c r="BN905" s="301">
        <f t="shared" si="1644"/>
        <v>0.87804429490542257</v>
      </c>
      <c r="BO905" s="231">
        <f t="shared" si="1631"/>
        <v>6148.0661529277686</v>
      </c>
      <c r="BP905" s="231">
        <f t="shared" si="1632"/>
        <v>-853.9338470722314</v>
      </c>
      <c r="BQ905" s="129">
        <f>INDEX('Dist Plant Depreciation'!$D$7:$AC$94,MATCH($C905,'Dist Plant Depreciation'!$C$7:$C$94,0),MATCH(Calculation!$G905,'Dist Plant Depreciation'!$D$5:$AC$5,0))</f>
        <v>177315</v>
      </c>
      <c r="BR905" s="129">
        <f>INDEX('Gen. Plant Depreciation'!$D$7:$AC$94,MATCH($C905,'Gen. Plant Depreciation'!$C$7:$C$94,0),MATCH(Calculation!$G905,'Gen. Plant Depreciation'!$D$5:$AC$5,0))</f>
        <v>31121</v>
      </c>
      <c r="BS905" s="129"/>
      <c r="BT905" s="129"/>
      <c r="BU905" s="129"/>
      <c r="BV905" s="129"/>
      <c r="BW905" s="129"/>
      <c r="BX905" s="137"/>
      <c r="BY905" s="129">
        <f>INDEX('Gross Dx Plant'!$D$7:$AC$91,MATCH($C905,'Gross Dx Plant'!$C$7:$C$91,0),MATCH(Calculation!$G905,'Gross Dx Plant'!$D$5:$AC$5,0))</f>
        <v>582470</v>
      </c>
      <c r="BZ905" s="129">
        <f>INDEX('Gross Gen Plant'!$D$7:$AC$91,MATCH($C905,'Gross Gen Plant'!$C$7:$C$91,0),MATCH(Calculation!$G905,'Gross Gen Plant'!$D$5:$AC$5,0))</f>
        <v>80902</v>
      </c>
      <c r="CA905" s="129">
        <f t="shared" si="1595"/>
        <v>454936</v>
      </c>
      <c r="CB905" s="129"/>
      <c r="CC905" s="133">
        <v>2000</v>
      </c>
      <c r="CD905" s="129"/>
      <c r="CE905" s="129"/>
      <c r="CF905" s="129"/>
      <c r="CG905" s="137"/>
      <c r="CH905" s="129">
        <f t="shared" si="1645"/>
        <v>28132</v>
      </c>
      <c r="CI905" s="46">
        <f t="shared" ref="CI905:CI927" si="1654">+CH905+BP905</f>
        <v>27278.066152927768</v>
      </c>
      <c r="CJ905" s="231">
        <f t="shared" si="1646"/>
        <v>78.71691771990416</v>
      </c>
      <c r="CK905" s="443">
        <v>0.98</v>
      </c>
      <c r="CL905" s="231">
        <f>+CL903*CK905+CJ904*CK904+CJ905</f>
        <v>2524.5721131026403</v>
      </c>
      <c r="CM905" s="134">
        <f t="shared" si="1647"/>
        <v>2.1440395440427317E-2</v>
      </c>
      <c r="CN905" s="135">
        <f t="shared" si="1648"/>
        <v>1.018414463505837E-2</v>
      </c>
      <c r="CO905" s="135"/>
      <c r="CP905" s="134">
        <f>VLOOKUP($H905,RoR!$E:$F,2,FALSE)</f>
        <v>7.6225000000000001E-2</v>
      </c>
      <c r="CQ905" s="135">
        <v>2.2568307442433211E-2</v>
      </c>
      <c r="CR905" s="135">
        <f t="shared" ref="CR905:CR925" si="1655">+CP905-CQ905</f>
        <v>5.365669255756679E-2</v>
      </c>
      <c r="CS905" s="135"/>
      <c r="CT905" s="135"/>
      <c r="CU905" s="139">
        <f t="shared" si="1649"/>
        <v>0.87050000000000005</v>
      </c>
      <c r="CV905" s="335">
        <f t="shared" si="1650"/>
        <v>0.67277207323124022</v>
      </c>
      <c r="CW905" s="335">
        <f t="shared" si="1651"/>
        <v>0.6470236142997704</v>
      </c>
      <c r="CX905" s="335">
        <f t="shared" si="1652"/>
        <v>0.94704866037543145</v>
      </c>
      <c r="CY905" s="335">
        <f t="shared" si="1653"/>
        <v>0.41224973107878493</v>
      </c>
      <c r="CZ905" s="336">
        <f>INDEX('State Tax Lookup'!$D$7:$Z$91,MATCH(Calculation!$C905,'State Tax Lookup'!$B$7:$B$91,0),MATCH($H905,'State Tax Lookup'!$D$6:$Z$6,0))</f>
        <v>0.35</v>
      </c>
      <c r="DA905" s="302">
        <v>0.37</v>
      </c>
      <c r="DB905" s="57"/>
      <c r="DC905" s="56"/>
      <c r="DD905" s="303">
        <f>VLOOKUP($H905,RoR!$E:$F,2,FALSE)</f>
        <v>7.6225000000000001E-2</v>
      </c>
      <c r="DE905" s="304">
        <f>HLOOKUP($H905,'GDP-PI'!$D$8:$CQ$11,3,FALSE)</f>
        <v>2.2568307442433211E-2</v>
      </c>
      <c r="DF905" s="303">
        <f>VLOOKUP(H905,'HW Dx Data'!$E:$F,2,FALSE)</f>
        <v>346.53371782150339</v>
      </c>
      <c r="DG905" s="364"/>
      <c r="DH905" s="364"/>
      <c r="DI905" s="364"/>
      <c r="DJ905" s="56"/>
      <c r="DK905" s="53">
        <f>HLOOKUP(H905,'GDP-PI'!$8:$9,2,FALSE)</f>
        <v>78.069000000000003</v>
      </c>
      <c r="DL905" s="298"/>
      <c r="EC905"/>
    </row>
    <row r="906" spans="1:133" s="126" customFormat="1" ht="21" customHeight="1" x14ac:dyDescent="0.4">
      <c r="A906" s="233" t="s">
        <v>236</v>
      </c>
      <c r="B906" s="126" t="s">
        <v>236</v>
      </c>
      <c r="C906" s="126">
        <v>4057139</v>
      </c>
      <c r="D906" s="127" t="s">
        <v>237</v>
      </c>
      <c r="E906" s="127"/>
      <c r="F906" s="144"/>
      <c r="G906" s="126" t="s">
        <v>157</v>
      </c>
      <c r="H906" s="128">
        <v>2001</v>
      </c>
      <c r="I906" s="129"/>
      <c r="J906" s="125"/>
      <c r="K906" s="125"/>
      <c r="L906" s="47"/>
      <c r="M906" s="125"/>
      <c r="N906" s="125"/>
      <c r="O906" s="125"/>
      <c r="P906" s="47"/>
      <c r="Q906" s="47"/>
      <c r="R906" s="386"/>
      <c r="S906" s="119"/>
      <c r="T906" s="47"/>
      <c r="U906" s="47"/>
      <c r="V906" s="125"/>
      <c r="W906" s="125"/>
      <c r="X906" s="125"/>
      <c r="Y906" s="125"/>
      <c r="Z906" s="125"/>
      <c r="AA906" s="125"/>
      <c r="AB906" s="125"/>
      <c r="AC906" s="125">
        <f t="shared" si="1643"/>
        <v>24795.473073642443</v>
      </c>
      <c r="AD906" s="129"/>
      <c r="AE906" s="133">
        <v>2757.6814279677369</v>
      </c>
      <c r="AF906" s="134">
        <v>7.4796130576280179E-2</v>
      </c>
      <c r="AG906" s="61"/>
      <c r="AH906" s="134"/>
      <c r="AI906" s="134"/>
      <c r="AJ906" s="129">
        <f t="shared" si="1588"/>
        <v>24795.473073642443</v>
      </c>
      <c r="AK906" s="134"/>
      <c r="AL906" s="129"/>
      <c r="AM906" s="129"/>
      <c r="AN906" s="129"/>
      <c r="AO906" s="129"/>
      <c r="AP906" s="133"/>
      <c r="AQ906" s="134"/>
      <c r="AR906" s="93"/>
      <c r="AS906" s="93"/>
      <c r="AT906" s="93"/>
      <c r="AU906" s="93"/>
      <c r="AV906" s="93"/>
      <c r="AW906" s="134"/>
      <c r="AX906" s="62"/>
      <c r="AY906" s="93"/>
      <c r="AZ906" s="93"/>
      <c r="BA906" s="93"/>
      <c r="BB906" s="234">
        <f>IFERROR(INDEX('Total Customers'!$E$7:$AA$91,MATCH($C906,'Total Customers'!$C$7:$C$91,0),MATCH($G906,'Total Customers'!$E$5:$AA$5,0)),"NA")</f>
        <v>365478</v>
      </c>
      <c r="BC906" s="269">
        <f t="shared" si="1639"/>
        <v>2.1410801662053055E-2</v>
      </c>
      <c r="BD906" s="92"/>
      <c r="BE906" s="299" t="str">
        <f t="shared" si="1635"/>
        <v>PUBLIC SERVICE COMPANY OF NORTH CAROLINA, INCORPORATED</v>
      </c>
      <c r="BF906" s="300">
        <f t="shared" si="1636"/>
        <v>4057139</v>
      </c>
      <c r="BG906" s="231" t="str">
        <f t="shared" si="1637"/>
        <v>NC</v>
      </c>
      <c r="BH906" s="231"/>
      <c r="BI906" s="231" t="str">
        <f t="shared" si="1638"/>
        <v>2001 Y</v>
      </c>
      <c r="BJ906" s="129"/>
      <c r="BK906" s="129"/>
      <c r="BL906" s="129">
        <f>INDEX('Dist. Plant Gas Additions'!$E$7:$AD$91,MATCH($C906,'Dist. Plant Gas Additions'!$C$7:$C$91,0),MATCH(Calculation!$G906,'Dist. Plant Gas Additions'!$E$5:$AD$5,0))</f>
        <v>57307</v>
      </c>
      <c r="BM906" s="129">
        <f>INDEX('Gen. Plant Additions'!$E$7:$AD$91,MATCH($C906,'Gen. Plant Additions'!$C$7:$C$91,0),MATCH(Calculation!$G906,'Gen. Plant Additions'!$E$5:$AD$5,0))</f>
        <v>17602</v>
      </c>
      <c r="BN906" s="301">
        <f t="shared" si="1644"/>
        <v>0.86870023983441569</v>
      </c>
      <c r="BO906" s="231">
        <f t="shared" si="1631"/>
        <v>15290.861621565386</v>
      </c>
      <c r="BP906" s="231">
        <f t="shared" si="1632"/>
        <v>-2311.1383784346144</v>
      </c>
      <c r="BQ906" s="129">
        <f>INDEX('Dist Plant Depreciation'!$D$7:$AC$94,MATCH($C906,'Dist Plant Depreciation'!$C$7:$C$94,0),MATCH(Calculation!$G906,'Dist Plant Depreciation'!$D$5:$AC$5,0))</f>
        <v>194158</v>
      </c>
      <c r="BR906" s="129">
        <f>INDEX('Gen. Plant Depreciation'!$D$7:$AC$94,MATCH($C906,'Gen. Plant Depreciation'!$C$7:$C$94,0),MATCH(Calculation!$G906,'Gen. Plant Depreciation'!$D$5:$AC$5,0))</f>
        <v>44288</v>
      </c>
      <c r="BS906" s="129"/>
      <c r="BT906" s="129"/>
      <c r="BU906" s="129"/>
      <c r="BV906" s="129"/>
      <c r="BW906" s="129"/>
      <c r="BX906" s="137"/>
      <c r="BY906" s="129">
        <f>INDEX('Gross Dx Plant'!$D$7:$AC$91,MATCH($C906,'Gross Dx Plant'!$C$7:$C$91,0),MATCH(Calculation!$G906,'Gross Dx Plant'!$D$5:$AC$5,0))</f>
        <v>634589</v>
      </c>
      <c r="BZ906" s="129">
        <f>INDEX('Gross Gen Plant'!$D$7:$AC$91,MATCH($C906,'Gross Gen Plant'!$C$7:$C$91,0),MATCH(Calculation!$G906,'Gross Gen Plant'!$D$5:$AC$5,0))</f>
        <v>95915</v>
      </c>
      <c r="CA906" s="129">
        <f t="shared" si="1595"/>
        <v>492058</v>
      </c>
      <c r="CB906" s="129"/>
      <c r="CC906" s="133">
        <v>2001</v>
      </c>
      <c r="CD906" s="129"/>
      <c r="CE906" s="129"/>
      <c r="CF906" s="129"/>
      <c r="CG906" s="137"/>
      <c r="CH906" s="129">
        <f t="shared" si="1645"/>
        <v>74909</v>
      </c>
      <c r="CI906" s="46">
        <f t="shared" si="1654"/>
        <v>72597.861621565389</v>
      </c>
      <c r="CJ906" s="231">
        <f t="shared" si="1646"/>
        <v>205.39934851308033</v>
      </c>
      <c r="CK906" s="443">
        <v>0.96969696969696972</v>
      </c>
      <c r="CL906" s="231">
        <f>+CL903*CK906+CJ904*CK905+CJ905*CK903+CJ906</f>
        <v>2704.2981058247124</v>
      </c>
      <c r="CM906" s="134">
        <f t="shared" si="1647"/>
        <v>6.8770810131039556E-2</v>
      </c>
      <c r="CN906" s="135">
        <f t="shared" si="1648"/>
        <v>1.0169388966059794E-2</v>
      </c>
      <c r="CO906" s="135">
        <f>+(CN906+CN905+CN904)/3</f>
        <v>1.0084841233375998E-2</v>
      </c>
      <c r="CP906" s="134">
        <f>VLOOKUP($H906,RoR!$E:$F,2,FALSE)</f>
        <v>7.0824999999999999E-2</v>
      </c>
      <c r="CQ906" s="135">
        <v>2.2454495382290052E-2</v>
      </c>
      <c r="CR906" s="135">
        <f t="shared" si="1655"/>
        <v>4.8370504617709947E-2</v>
      </c>
      <c r="CS906" s="135">
        <f>+$CR$2-CO906</f>
        <v>2.0817100375157625E-2</v>
      </c>
      <c r="CT906" s="135">
        <f>+((DF904/DF903-1)+(DF905/DF904-1)+(DF906/DF905-1))/3</f>
        <v>2.3947275901631187E-2</v>
      </c>
      <c r="CU906" s="139">
        <f t="shared" si="1649"/>
        <v>0.87050000000000005</v>
      </c>
      <c r="CV906" s="335">
        <f t="shared" si="1650"/>
        <v>0.72406708481540816</v>
      </c>
      <c r="CW906" s="335">
        <f t="shared" si="1651"/>
        <v>0.62201729615248857</v>
      </c>
      <c r="CX906" s="335">
        <f t="shared" si="1652"/>
        <v>0.9352469954311422</v>
      </c>
      <c r="CY906" s="335">
        <f t="shared" si="1653"/>
        <v>0.42121864641655071</v>
      </c>
      <c r="CZ906" s="336">
        <f>INDEX('State Tax Lookup'!$D$7:$Z$91,MATCH(Calculation!$C906,'State Tax Lookup'!$B$7:$B$91,0),MATCH($H906,'State Tax Lookup'!$D$6:$Z$6,0))</f>
        <v>0.35</v>
      </c>
      <c r="DA906" s="302">
        <v>0.37</v>
      </c>
      <c r="DB906" s="57">
        <f t="shared" ref="DB906:DB927" si="1656">+(DF906*CS906-CT906)*CU906/(1-CZ906)</f>
        <v>9.8216537150802097</v>
      </c>
      <c r="DC906" s="56"/>
      <c r="DD906" s="303">
        <f>VLOOKUP($H906,RoR!$E:$F,2,FALSE)</f>
        <v>7.0824999999999999E-2</v>
      </c>
      <c r="DE906" s="304">
        <f>HLOOKUP($H906,'GDP-PI'!$D$8:$CQ$11,3,FALSE)</f>
        <v>2.2454495382290052E-2</v>
      </c>
      <c r="DF906" s="303">
        <f>VLOOKUP(H906,'HW Dx Data'!$E:$F,2,FALSE)</f>
        <v>353.44738017483138</v>
      </c>
      <c r="DG906" s="364"/>
      <c r="DH906" s="364"/>
      <c r="DI906" s="364"/>
      <c r="DJ906" s="56"/>
      <c r="DK906" s="53">
        <f>HLOOKUP(H906,'GDP-PI'!$8:$9,2,FALSE)</f>
        <v>79.822000000000003</v>
      </c>
      <c r="DL906" s="298"/>
      <c r="EC906"/>
    </row>
    <row r="907" spans="1:133" s="126" customFormat="1" ht="21" customHeight="1" x14ac:dyDescent="0.4">
      <c r="A907" s="233" t="s">
        <v>236</v>
      </c>
      <c r="B907" s="126" t="s">
        <v>236</v>
      </c>
      <c r="C907" s="126">
        <v>4057139</v>
      </c>
      <c r="D907" s="127" t="s">
        <v>237</v>
      </c>
      <c r="E907" s="127"/>
      <c r="F907" s="144"/>
      <c r="G907" s="126" t="s">
        <v>158</v>
      </c>
      <c r="H907" s="128">
        <v>2002</v>
      </c>
      <c r="I907" s="129"/>
      <c r="J907" s="125"/>
      <c r="K907" s="125"/>
      <c r="L907" s="47"/>
      <c r="M907" s="125"/>
      <c r="N907" s="125"/>
      <c r="O907" s="125"/>
      <c r="P907" s="47"/>
      <c r="Q907" s="47"/>
      <c r="R907" s="386"/>
      <c r="S907" s="119"/>
      <c r="T907" s="47"/>
      <c r="U907" s="47"/>
      <c r="V907" s="125"/>
      <c r="W907" s="125"/>
      <c r="X907" s="125"/>
      <c r="Y907" s="125"/>
      <c r="Z907" s="125"/>
      <c r="AA907" s="125"/>
      <c r="AB907" s="125"/>
      <c r="AC907" s="125">
        <f t="shared" si="1643"/>
        <v>26662.912523868035</v>
      </c>
      <c r="AD907" s="129"/>
      <c r="AE907" s="133">
        <v>2868.879386516172</v>
      </c>
      <c r="AF907" s="134">
        <v>3.953123151478638E-2</v>
      </c>
      <c r="AG907" s="61"/>
      <c r="AH907" s="134"/>
      <c r="AI907" s="134"/>
      <c r="AJ907" s="129">
        <f t="shared" si="1588"/>
        <v>26662.912523868035</v>
      </c>
      <c r="AK907" s="134"/>
      <c r="AL907" s="129"/>
      <c r="AM907" s="129"/>
      <c r="AN907" s="129"/>
      <c r="AO907" s="129"/>
      <c r="AP907" s="133"/>
      <c r="AQ907" s="134"/>
      <c r="AR907" s="93"/>
      <c r="AS907" s="93"/>
      <c r="AT907" s="93"/>
      <c r="AU907" s="93"/>
      <c r="AV907" s="93"/>
      <c r="AW907" s="134"/>
      <c r="AX907" s="62"/>
      <c r="AY907" s="93"/>
      <c r="AZ907" s="93"/>
      <c r="BA907" s="93"/>
      <c r="BB907" s="234">
        <f>IFERROR(INDEX('Total Customers'!$E$7:$AA$91,MATCH($C907,'Total Customers'!$C$7:$C$91,0),MATCH($G907,'Total Customers'!$E$5:$AA$5,0)),"NA")</f>
        <v>367177</v>
      </c>
      <c r="BC907" s="269">
        <f t="shared" si="1639"/>
        <v>4.6379347592483949E-3</v>
      </c>
      <c r="BD907" s="92"/>
      <c r="BE907" s="299" t="str">
        <f t="shared" si="1635"/>
        <v>PUBLIC SERVICE COMPANY OF NORTH CAROLINA, INCORPORATED</v>
      </c>
      <c r="BF907" s="300">
        <f t="shared" si="1636"/>
        <v>4057139</v>
      </c>
      <c r="BG907" s="231" t="str">
        <f t="shared" si="1637"/>
        <v>NC</v>
      </c>
      <c r="BH907" s="231"/>
      <c r="BI907" s="231" t="str">
        <f t="shared" si="1638"/>
        <v>2002 Y</v>
      </c>
      <c r="BJ907" s="129"/>
      <c r="BK907" s="129"/>
      <c r="BL907" s="129">
        <f>INDEX('Dist. Plant Gas Additions'!$E$7:$AD$91,MATCH($C907,'Dist. Plant Gas Additions'!$C$7:$C$91,0),MATCH(Calculation!$G907,'Dist. Plant Gas Additions'!$E$5:$AD$5,0))</f>
        <v>37114</v>
      </c>
      <c r="BM907" s="129">
        <f>INDEX('Gen. Plant Additions'!$E$7:$AD$91,MATCH($C907,'Gen. Plant Additions'!$C$7:$C$91,0),MATCH(Calculation!$G907,'Gen. Plant Additions'!$E$5:$AD$5,0))</f>
        <v>8663</v>
      </c>
      <c r="BN907" s="301">
        <f t="shared" si="1644"/>
        <v>0.87132283683483669</v>
      </c>
      <c r="BO907" s="231">
        <f t="shared" si="1631"/>
        <v>7548.2697355001901</v>
      </c>
      <c r="BP907" s="231">
        <f t="shared" si="1632"/>
        <v>-1114.7302644998099</v>
      </c>
      <c r="BQ907" s="129">
        <f>INDEX('Dist Plant Depreciation'!$D$7:$AC$94,MATCH($C907,'Dist Plant Depreciation'!$C$7:$C$94,0),MATCH(Calculation!$G907,'Dist Plant Depreciation'!$D$5:$AC$5,0))</f>
        <v>213211</v>
      </c>
      <c r="BR907" s="129">
        <f>INDEX('Gen. Plant Depreciation'!$D$7:$AC$94,MATCH($C907,'Gen. Plant Depreciation'!$C$7:$C$94,0),MATCH(Calculation!$G907,'Gen. Plant Depreciation'!$D$5:$AC$5,0))</f>
        <v>51880</v>
      </c>
      <c r="BS907" s="129"/>
      <c r="BT907" s="129"/>
      <c r="BU907" s="129"/>
      <c r="BV907" s="129"/>
      <c r="BW907" s="129"/>
      <c r="BX907" s="137"/>
      <c r="BY907" s="129">
        <f>INDEX('Gross Dx Plant'!$D$7:$AC$91,MATCH($C907,'Gross Dx Plant'!$C$7:$C$91,0),MATCH(Calculation!$G907,'Gross Dx Plant'!$D$5:$AC$5,0))</f>
        <v>670672</v>
      </c>
      <c r="BZ907" s="129">
        <f>INDEX('Gross Gen Plant'!$D$7:$AC$91,MATCH($C907,'Gross Gen Plant'!$C$7:$C$91,0),MATCH(Calculation!$G907,'Gross Gen Plant'!$D$5:$AC$5,0))</f>
        <v>99045</v>
      </c>
      <c r="CA907" s="129">
        <f t="shared" si="1595"/>
        <v>504626</v>
      </c>
      <c r="CB907" s="129"/>
      <c r="CC907" s="133">
        <v>2002</v>
      </c>
      <c r="CD907" s="129"/>
      <c r="CE907" s="129"/>
      <c r="CF907" s="129"/>
      <c r="CG907" s="137"/>
      <c r="CH907" s="129">
        <f t="shared" si="1645"/>
        <v>45777</v>
      </c>
      <c r="CI907" s="46">
        <f t="shared" si="1654"/>
        <v>44662.269735500187</v>
      </c>
      <c r="CJ907" s="231">
        <f t="shared" si="1646"/>
        <v>123.59899390871881</v>
      </c>
      <c r="CK907" s="443">
        <v>0.95918367346938771</v>
      </c>
      <c r="CL907" s="231">
        <f>+CL903*CK907+CJ904*CK906+CJ905*CK905+CJ906*CK904+CJ907</f>
        <v>2798.0920754167628</v>
      </c>
      <c r="CM907" s="134">
        <f t="shared" si="1647"/>
        <v>3.409538494368073E-2</v>
      </c>
      <c r="CN907" s="135">
        <f t="shared" si="1648"/>
        <v>1.1021353101742808E-2</v>
      </c>
      <c r="CO907" s="135">
        <f t="shared" ref="CO907:CO927" si="1657">+(CN907+CN906+CN905)/3</f>
        <v>1.0458295567620323E-2</v>
      </c>
      <c r="CP907" s="134">
        <f>VLOOKUP($H907,RoR!$E:$F,2,FALSE)</f>
        <v>6.4916666666666664E-2</v>
      </c>
      <c r="CQ907" s="135">
        <v>1.5246423291824351E-2</v>
      </c>
      <c r="CR907" s="135">
        <f t="shared" si="1655"/>
        <v>4.9670243374842313E-2</v>
      </c>
      <c r="CS907" s="135">
        <f t="shared" ref="CS907:CS927" si="1658">+$CR$2-CO907</f>
        <v>2.0443646040913303E-2</v>
      </c>
      <c r="CT907" s="135">
        <f t="shared" ref="CT907:CT927" si="1659">+((DF905/DF904-1)+(DF906/DF905-1)+(DF907/DF906-1))/3</f>
        <v>2.5243621214759093E-2</v>
      </c>
      <c r="CU907" s="139">
        <f t="shared" si="1649"/>
        <v>0.87050000000000005</v>
      </c>
      <c r="CV907" s="335">
        <f t="shared" si="1650"/>
        <v>0.78996741384417901</v>
      </c>
      <c r="CW907" s="335">
        <f t="shared" si="1651"/>
        <v>0.58989088575096271</v>
      </c>
      <c r="CX907" s="335">
        <f t="shared" si="1652"/>
        <v>0.91920675783645744</v>
      </c>
      <c r="CY907" s="335">
        <f t="shared" si="1653"/>
        <v>0.42834536472275586</v>
      </c>
      <c r="CZ907" s="336">
        <f>INDEX('State Tax Lookup'!$D$7:$Z$91,MATCH(Calculation!$C907,'State Tax Lookup'!$B$7:$B$91,0),MATCH($H907,'State Tax Lookup'!$D$6:$Z$6,0))</f>
        <v>0.35</v>
      </c>
      <c r="DA907" s="302">
        <v>0.37</v>
      </c>
      <c r="DB907" s="57">
        <f t="shared" si="1656"/>
        <v>9.8594576043371589</v>
      </c>
      <c r="DC907" s="56">
        <f t="shared" ref="DC907:DC925" si="1660">LN(DB907/DB906)</f>
        <v>3.8416464534604257E-3</v>
      </c>
      <c r="DD907" s="303">
        <f>VLOOKUP($H907,RoR!$E:$F,2,FALSE)</f>
        <v>6.4916666666666664E-2</v>
      </c>
      <c r="DE907" s="304">
        <f>HLOOKUP($H907,'GDP-PI'!$D$8:$CQ$11,3,FALSE)</f>
        <v>1.5246423291824351E-2</v>
      </c>
      <c r="DF907" s="303">
        <f>VLOOKUP(H907,'HW Dx Data'!$E:$F,2,FALSE)</f>
        <v>361.34816573413599</v>
      </c>
      <c r="DG907" s="364"/>
      <c r="DH907" s="364"/>
      <c r="DI907" s="364"/>
      <c r="DJ907" s="56"/>
      <c r="DK907" s="53">
        <f>HLOOKUP(H907,'GDP-PI'!$8:$9,2,FALSE)</f>
        <v>81.039000000000001</v>
      </c>
      <c r="DL907" s="355">
        <f>LN(DK907/DK906)</f>
        <v>1.513136459537477E-2</v>
      </c>
      <c r="EC907"/>
    </row>
    <row r="908" spans="1:133" s="126" customFormat="1" ht="21" customHeight="1" x14ac:dyDescent="0.4">
      <c r="A908" s="233" t="s">
        <v>236</v>
      </c>
      <c r="B908" s="126" t="s">
        <v>236</v>
      </c>
      <c r="C908" s="126">
        <v>4057139</v>
      </c>
      <c r="D908" s="127" t="s">
        <v>237</v>
      </c>
      <c r="E908" s="127"/>
      <c r="F908" s="144"/>
      <c r="G908" s="126" t="s">
        <v>159</v>
      </c>
      <c r="H908" s="128">
        <v>2003</v>
      </c>
      <c r="I908" s="129"/>
      <c r="J908" s="125"/>
      <c r="K908" s="125"/>
      <c r="L908" s="47"/>
      <c r="M908" s="125"/>
      <c r="N908" s="125"/>
      <c r="O908" s="125"/>
      <c r="P908" s="59"/>
      <c r="Q908" s="59"/>
      <c r="R908" s="386"/>
      <c r="S908" s="119"/>
      <c r="T908" s="59"/>
      <c r="U908" s="59"/>
      <c r="V908" s="125"/>
      <c r="W908" s="125"/>
      <c r="X908" s="125"/>
      <c r="Y908" s="125"/>
      <c r="Z908" s="125"/>
      <c r="AA908" s="125"/>
      <c r="AB908" s="125"/>
      <c r="AC908" s="125">
        <f t="shared" si="1643"/>
        <v>27818.891947594864</v>
      </c>
      <c r="AD908" s="129"/>
      <c r="AE908" s="133">
        <v>2975.401675187516</v>
      </c>
      <c r="AF908" s="134">
        <v>3.6457550890170463E-2</v>
      </c>
      <c r="AG908" s="61"/>
      <c r="AH908" s="134"/>
      <c r="AI908" s="134"/>
      <c r="AJ908" s="129">
        <f t="shared" si="1588"/>
        <v>27818.891947594864</v>
      </c>
      <c r="AK908" s="134"/>
      <c r="AL908" s="129"/>
      <c r="AM908" s="129"/>
      <c r="AN908" s="129"/>
      <c r="AO908" s="129"/>
      <c r="AP908" s="133"/>
      <c r="AQ908" s="134"/>
      <c r="AR908" s="93"/>
      <c r="AS908" s="93"/>
      <c r="AT908" s="93"/>
      <c r="AU908" s="93"/>
      <c r="AV908" s="93"/>
      <c r="AW908" s="134"/>
      <c r="AX908" s="62"/>
      <c r="AY908" s="93"/>
      <c r="AZ908" s="93"/>
      <c r="BA908" s="93"/>
      <c r="BB908" s="234">
        <f>IFERROR(INDEX('Total Customers'!$E$7:$AA$91,MATCH($C908,'Total Customers'!$C$7:$C$91,0),MATCH($G908,'Total Customers'!$E$5:$AA$5,0)),"NA")</f>
        <v>378511</v>
      </c>
      <c r="BC908" s="269">
        <f t="shared" si="1639"/>
        <v>3.0401113923363914E-2</v>
      </c>
      <c r="BD908" s="92"/>
      <c r="BE908" s="299" t="str">
        <f t="shared" si="1635"/>
        <v>PUBLIC SERVICE COMPANY OF NORTH CAROLINA, INCORPORATED</v>
      </c>
      <c r="BF908" s="300">
        <f t="shared" si="1636"/>
        <v>4057139</v>
      </c>
      <c r="BG908" s="231" t="str">
        <f t="shared" si="1637"/>
        <v>NC</v>
      </c>
      <c r="BH908" s="231"/>
      <c r="BI908" s="231" t="str">
        <f t="shared" si="1638"/>
        <v>2003 Y</v>
      </c>
      <c r="BJ908" s="129"/>
      <c r="BK908" s="129"/>
      <c r="BL908" s="129">
        <f>INDEX('Dist. Plant Gas Additions'!$E$7:$AD$91,MATCH($C908,'Dist. Plant Gas Additions'!$C$7:$C$91,0),MATCH(Calculation!$G908,'Dist. Plant Gas Additions'!$E$5:$AD$5,0))</f>
        <v>38931</v>
      </c>
      <c r="BM908" s="129">
        <f>INDEX('Gen. Plant Additions'!$E$7:$AD$91,MATCH($C908,'Gen. Plant Additions'!$C$7:$C$91,0),MATCH(Calculation!$G908,'Gen. Plant Additions'!$E$5:$AD$5,0))</f>
        <v>6378</v>
      </c>
      <c r="BN908" s="301">
        <f t="shared" si="1644"/>
        <v>0.89081588008861212</v>
      </c>
      <c r="BO908" s="231">
        <f t="shared" si="1631"/>
        <v>5681.6236832051682</v>
      </c>
      <c r="BP908" s="231">
        <f t="shared" si="1632"/>
        <v>-696.37631679483184</v>
      </c>
      <c r="BQ908" s="129">
        <f>INDEX('Dist Plant Depreciation'!$D$7:$AC$94,MATCH($C908,'Dist Plant Depreciation'!$C$7:$C$94,0),MATCH(Calculation!$G908,'Dist Plant Depreciation'!$D$5:$AC$5,0))</f>
        <v>234508</v>
      </c>
      <c r="BR908" s="129">
        <f>INDEX('Gen. Plant Depreciation'!$D$7:$AC$94,MATCH($C908,'Gen. Plant Depreciation'!$C$7:$C$94,0),MATCH(Calculation!$G908,'Gen. Plant Depreciation'!$D$5:$AC$5,0))</f>
        <v>43843</v>
      </c>
      <c r="BS908" s="129"/>
      <c r="BT908" s="129"/>
      <c r="BU908" s="129"/>
      <c r="BV908" s="129"/>
      <c r="BW908" s="129"/>
      <c r="BX908" s="137"/>
      <c r="BY908" s="129">
        <f>INDEX('Gross Dx Plant'!$D$7:$AC$91,MATCH($C908,'Gross Dx Plant'!$C$7:$C$91,0),MATCH(Calculation!$G908,'Gross Dx Plant'!$D$5:$AC$5,0))</f>
        <v>706523</v>
      </c>
      <c r="BZ908" s="129">
        <f>INDEX('Gross Gen Plant'!$D$7:$AC$91,MATCH($C908,'Gross Gen Plant'!$C$7:$C$91,0),MATCH(Calculation!$G908,'Gross Gen Plant'!$D$5:$AC$5,0))</f>
        <v>86596</v>
      </c>
      <c r="CA908" s="129">
        <f t="shared" si="1595"/>
        <v>514768</v>
      </c>
      <c r="CB908" s="129"/>
      <c r="CC908" s="133">
        <v>2003</v>
      </c>
      <c r="CD908" s="129"/>
      <c r="CE908" s="129"/>
      <c r="CF908" s="129"/>
      <c r="CG908" s="137"/>
      <c r="CH908" s="129">
        <f t="shared" si="1645"/>
        <v>45309</v>
      </c>
      <c r="CI908" s="46">
        <f t="shared" si="1654"/>
        <v>44612.623683205165</v>
      </c>
      <c r="CJ908" s="231">
        <f t="shared" si="1646"/>
        <v>120.82512223851396</v>
      </c>
      <c r="CK908" s="443">
        <v>0.94845360824742264</v>
      </c>
      <c r="CL908" s="231">
        <f>+CL903*CK908+CJ904*CK907+CJ905*CK906+CJ906*CK905+CJ907*CK904+CJ908</f>
        <v>2888.0712024523023</v>
      </c>
      <c r="CM908" s="134">
        <f t="shared" si="1647"/>
        <v>3.1651092030729397E-2</v>
      </c>
      <c r="CN908" s="135">
        <f t="shared" si="1648"/>
        <v>1.1023938588003795E-2</v>
      </c>
      <c r="CO908" s="135">
        <f t="shared" si="1657"/>
        <v>1.0738226885268799E-2</v>
      </c>
      <c r="CP908" s="134">
        <f>VLOOKUP($H908,RoR!$E:$F,2,FALSE)</f>
        <v>5.6666666666666671E-2</v>
      </c>
      <c r="CQ908" s="135">
        <v>1.8855119140166909E-2</v>
      </c>
      <c r="CR908" s="135">
        <f t="shared" si="1655"/>
        <v>3.7811547526499761E-2</v>
      </c>
      <c r="CS908" s="135">
        <f t="shared" si="1658"/>
        <v>2.0163714723264826E-2</v>
      </c>
      <c r="CT908" s="135">
        <f t="shared" si="1659"/>
        <v>2.1375012817671957E-2</v>
      </c>
      <c r="CU908" s="139">
        <f t="shared" si="1649"/>
        <v>0.87050000000000005</v>
      </c>
      <c r="CV908" s="335">
        <f t="shared" si="1650"/>
        <v>0.90497737556561086</v>
      </c>
      <c r="CW908" s="335">
        <f t="shared" si="1651"/>
        <v>0.5338235294117647</v>
      </c>
      <c r="CX908" s="335">
        <f t="shared" si="1652"/>
        <v>0.88972433127405692</v>
      </c>
      <c r="CY908" s="335">
        <f t="shared" si="1653"/>
        <v>0.42982423775949252</v>
      </c>
      <c r="CZ908" s="336">
        <f>INDEX('State Tax Lookup'!$D$7:$Z$91,MATCH(Calculation!$C908,'State Tax Lookup'!$B$7:$B$91,0),MATCH($H908,'State Tax Lookup'!$D$6:$Z$6,0))</f>
        <v>0.35</v>
      </c>
      <c r="DA908" s="302">
        <v>0.37</v>
      </c>
      <c r="DB908" s="57">
        <f t="shared" si="1656"/>
        <v>9.9420931112323636</v>
      </c>
      <c r="DC908" s="56">
        <f t="shared" si="1660"/>
        <v>8.3464156720888371E-3</v>
      </c>
      <c r="DD908" s="303">
        <f>VLOOKUP($H908,RoR!$E:$F,2,FALSE)</f>
        <v>5.6666666666666671E-2</v>
      </c>
      <c r="DE908" s="304">
        <f>HLOOKUP($H908,'GDP-PI'!$D$8:$CQ$11,3,FALSE)</f>
        <v>1.8855119140166909E-2</v>
      </c>
      <c r="DF908" s="303">
        <f>VLOOKUP(H908,'HW Dx Data'!$E:$F,2,FALSE)</f>
        <v>369.23301095560191</v>
      </c>
      <c r="DG908" s="364">
        <f ca="1">VLOOKUP(CC908,'ECI - Input Price'!M$13:N$33,2,FALSE)</f>
        <v>89.25</v>
      </c>
      <c r="DH908" s="364"/>
      <c r="DI908" s="364"/>
      <c r="DJ908" s="56"/>
      <c r="DK908" s="53">
        <f>HLOOKUP(H908,'GDP-PI'!$8:$9,2,FALSE)</f>
        <v>82.566999999999993</v>
      </c>
      <c r="DL908" s="355">
        <f t="shared" ref="DL908:DL927" si="1661">LN(DK908/DK907)</f>
        <v>1.8679564681853753E-2</v>
      </c>
      <c r="EC908"/>
    </row>
    <row r="909" spans="1:133" s="126" customFormat="1" ht="21" customHeight="1" x14ac:dyDescent="0.4">
      <c r="A909" s="233" t="s">
        <v>236</v>
      </c>
      <c r="B909" s="126" t="s">
        <v>236</v>
      </c>
      <c r="C909" s="126">
        <v>4057139</v>
      </c>
      <c r="D909" s="127" t="s">
        <v>237</v>
      </c>
      <c r="E909" s="127"/>
      <c r="F909" s="144"/>
      <c r="G909" s="126" t="s">
        <v>160</v>
      </c>
      <c r="H909" s="128">
        <v>2004</v>
      </c>
      <c r="I909" s="129"/>
      <c r="J909" s="125">
        <f>IFERROR(INDEX('Labor Expenditures'!$E$7:$W$91,MATCH($C909,'Labor Expenditures'!$C$7:$C$91,0),MATCH($G909,'Labor Expenditures'!$E$5:$W$5,0)),"NA")</f>
        <v>26675.655261990243</v>
      </c>
      <c r="K909" s="125">
        <f t="shared" ref="K909:K927" ca="1" si="1662">+J909/DG909</f>
        <v>282.73084538410433</v>
      </c>
      <c r="L909" s="47"/>
      <c r="M909" s="131"/>
      <c r="N909" s="131"/>
      <c r="O909" s="131"/>
      <c r="P909" s="59"/>
      <c r="Q909" s="59"/>
      <c r="R909" s="386"/>
      <c r="S909" s="119"/>
      <c r="T909" s="59"/>
      <c r="U909" s="59"/>
      <c r="V909" s="125">
        <f>IFERROR(INDEX('Non-Labor Expenditures'!$E$7:$AA$91,MATCH($C909,'Non-Labor Expenditures'!$C$7:$C$91,0),MATCH($G909,'Non-Labor Expenditures'!$E$5:$AA$5,0)),"NA")</f>
        <v>38631.331144505391</v>
      </c>
      <c r="W909" s="125">
        <f t="shared" ref="W909:W927" si="1663">+V909/DK909</f>
        <v>455.67636821469472</v>
      </c>
      <c r="X909" s="125"/>
      <c r="Y909" s="125"/>
      <c r="Z909" s="125"/>
      <c r="AA909" s="125"/>
      <c r="AB909" s="125"/>
      <c r="AC909" s="125">
        <f t="shared" si="1643"/>
        <v>31526.891749489714</v>
      </c>
      <c r="AD909" s="129"/>
      <c r="AE909" s="133">
        <v>3068.1377918375274</v>
      </c>
      <c r="AF909" s="134">
        <v>3.069174833679849E-2</v>
      </c>
      <c r="AG909" s="59">
        <f t="shared" ref="AG909:AG927" si="1664">+AF909*$AX909</f>
        <v>0</v>
      </c>
      <c r="AH909" s="134"/>
      <c r="AI909" s="134"/>
      <c r="AJ909" s="129">
        <f t="shared" si="1588"/>
        <v>96833.878155985352</v>
      </c>
      <c r="AK909" s="134"/>
      <c r="AL909" s="129"/>
      <c r="AM909" s="129"/>
      <c r="AN909" s="129"/>
      <c r="AO909" s="129"/>
      <c r="AP909" s="133"/>
      <c r="AQ909" s="134"/>
      <c r="AR909" s="93">
        <f t="shared" ref="AR909:AR927" si="1665">+J909/AJ909</f>
        <v>0.27547853881282774</v>
      </c>
      <c r="AS909" s="93">
        <f t="shared" ref="AS909:AS927" si="1666">+V909/AJ909</f>
        <v>0.39894437649472131</v>
      </c>
      <c r="AT909" s="93">
        <f t="shared" ref="AT909:AT927" si="1667">+AC909/AJ909</f>
        <v>0.32557708469245089</v>
      </c>
      <c r="AU909" s="93"/>
      <c r="AV909" s="93"/>
      <c r="AW909" s="134"/>
      <c r="AX909" s="62"/>
      <c r="AY909" s="93"/>
      <c r="AZ909" s="93"/>
      <c r="BA909" s="93"/>
      <c r="BB909" s="234">
        <f>IFERROR(INDEX('Total Customers'!$E$7:$AA$91,MATCH($C909,'Total Customers'!$C$7:$C$91,0),MATCH($G909,'Total Customers'!$E$5:$AA$5,0)),"NA")</f>
        <v>390824</v>
      </c>
      <c r="BC909" s="269">
        <f t="shared" si="1639"/>
        <v>3.2012196227768394E-2</v>
      </c>
      <c r="BD909" s="92"/>
      <c r="BE909" s="299" t="str">
        <f t="shared" si="1635"/>
        <v>PUBLIC SERVICE COMPANY OF NORTH CAROLINA, INCORPORATED</v>
      </c>
      <c r="BF909" s="300">
        <f t="shared" si="1636"/>
        <v>4057139</v>
      </c>
      <c r="BG909" s="231" t="str">
        <f t="shared" si="1637"/>
        <v>NC</v>
      </c>
      <c r="BH909" s="231"/>
      <c r="BI909" s="231" t="str">
        <f t="shared" si="1638"/>
        <v>2004 Y</v>
      </c>
      <c r="BJ909" s="129"/>
      <c r="BK909" s="129"/>
      <c r="BL909" s="129">
        <f>INDEX('Dist. Plant Gas Additions'!$E$7:$AD$91,MATCH($C909,'Dist. Plant Gas Additions'!$C$7:$C$91,0),MATCH(Calculation!$G909,'Dist. Plant Gas Additions'!$E$5:$AD$5,0))</f>
        <v>41557</v>
      </c>
      <c r="BM909" s="129">
        <f>INDEX('Gen. Plant Additions'!$E$7:$AD$91,MATCH($C909,'Gen. Plant Additions'!$C$7:$C$91,0),MATCH(Calculation!$G909,'Gen. Plant Additions'!$E$5:$AD$5,0))</f>
        <v>4103</v>
      </c>
      <c r="BN909" s="301">
        <f t="shared" si="1644"/>
        <v>0.91594785118918598</v>
      </c>
      <c r="BO909" s="231">
        <f t="shared" si="1631"/>
        <v>3758.1340334292299</v>
      </c>
      <c r="BP909" s="231">
        <f t="shared" si="1632"/>
        <v>-344.86596657077007</v>
      </c>
      <c r="BQ909" s="129">
        <f>INDEX('Dist Plant Depreciation'!$D$7:$AC$94,MATCH($C909,'Dist Plant Depreciation'!$C$7:$C$94,0),MATCH(Calculation!$G909,'Dist Plant Depreciation'!$D$5:$AC$5,0))</f>
        <v>253508</v>
      </c>
      <c r="BR909" s="129">
        <f>INDEX('Gen. Plant Depreciation'!$D$7:$AC$94,MATCH($C909,'Gen. Plant Depreciation'!$C$7:$C$94,0),MATCH(Calculation!$G909,'Gen. Plant Depreciation'!$D$5:$AC$5,0))</f>
        <v>33531</v>
      </c>
      <c r="BS909" s="129"/>
      <c r="BT909" s="129"/>
      <c r="BU909" s="129"/>
      <c r="BV909" s="129"/>
      <c r="BW909" s="129"/>
      <c r="BX909" s="137"/>
      <c r="BY909" s="129">
        <f>INDEX('Gross Dx Plant'!$D$7:$AC$91,MATCH($C909,'Gross Dx Plant'!$C$7:$C$91,0),MATCH(Calculation!$G909,'Gross Dx Plant'!$D$5:$AC$5,0))</f>
        <v>743735</v>
      </c>
      <c r="BZ909" s="129">
        <f>INDEX('Gross Gen Plant'!$D$7:$AC$91,MATCH($C909,'Gross Gen Plant'!$C$7:$C$91,0),MATCH(Calculation!$G909,'Gross Gen Plant'!$D$5:$AC$5,0))</f>
        <v>68249</v>
      </c>
      <c r="CA909" s="129">
        <f t="shared" si="1595"/>
        <v>524945</v>
      </c>
      <c r="CB909" s="129"/>
      <c r="CC909" s="133">
        <v>2004</v>
      </c>
      <c r="CD909" s="129"/>
      <c r="CE909" s="129"/>
      <c r="CF909" s="129"/>
      <c r="CG909" s="137"/>
      <c r="CH909" s="129">
        <f t="shared" si="1645"/>
        <v>45660</v>
      </c>
      <c r="CI909" s="46">
        <f t="shared" si="1654"/>
        <v>45315.134033429233</v>
      </c>
      <c r="CJ909" s="231">
        <f t="shared" si="1646"/>
        <v>109.22278387464566</v>
      </c>
      <c r="CK909" s="443">
        <v>0.9375</v>
      </c>
      <c r="CL909" s="231">
        <f>+CL903*CK909+CJ904*CK908+CJ905*CK907+CJ906*CK906+CJ907*CK905+CJ908*CK904+CJ909</f>
        <v>2964.6120479175665</v>
      </c>
      <c r="CM909" s="134">
        <f t="shared" si="1647"/>
        <v>2.6157304700815981E-2</v>
      </c>
      <c r="CN909" s="135">
        <f t="shared" si="1648"/>
        <v>1.1316181672263023E-2</v>
      </c>
      <c r="CO909" s="135">
        <f t="shared" si="1657"/>
        <v>1.1120491120669875E-2</v>
      </c>
      <c r="CP909" s="134">
        <f>VLOOKUP($H909,RoR!$E:$F,2,FALSE)</f>
        <v>5.6283333333333331E-2</v>
      </c>
      <c r="CQ909" s="135">
        <v>2.6778252812867276E-2</v>
      </c>
      <c r="CR909" s="135">
        <f t="shared" si="1655"/>
        <v>2.9505080520466055E-2</v>
      </c>
      <c r="CS909" s="135">
        <f t="shared" si="1658"/>
        <v>1.9781450487863748E-2</v>
      </c>
      <c r="CT909" s="135">
        <f t="shared" si="1659"/>
        <v>5.5940039414565046E-2</v>
      </c>
      <c r="CU909" s="139">
        <f t="shared" si="1649"/>
        <v>0.87050000000000005</v>
      </c>
      <c r="CV909" s="335">
        <f t="shared" si="1650"/>
        <v>0.91114097628755619</v>
      </c>
      <c r="CW909" s="335">
        <f t="shared" si="1651"/>
        <v>0.53081877405981637</v>
      </c>
      <c r="CX909" s="335">
        <f t="shared" si="1652"/>
        <v>0.88811215519385678</v>
      </c>
      <c r="CY909" s="335">
        <f t="shared" si="1653"/>
        <v>0.42953609753547711</v>
      </c>
      <c r="CZ909" s="336">
        <f>INDEX('State Tax Lookup'!$D$7:$Z$91,MATCH(Calculation!$C909,'State Tax Lookup'!$B$7:$B$91,0),MATCH($H909,'State Tax Lookup'!$D$6:$Z$6,0))</f>
        <v>0.35</v>
      </c>
      <c r="DA909" s="302">
        <v>0.37</v>
      </c>
      <c r="DB909" s="57">
        <f t="shared" si="1656"/>
        <v>10.916244628151752</v>
      </c>
      <c r="DC909" s="56">
        <f t="shared" si="1660"/>
        <v>9.347443957777013E-2</v>
      </c>
      <c r="DD909" s="303">
        <f>VLOOKUP($H909,RoR!$E:$F,2,FALSE)</f>
        <v>5.6283333333333331E-2</v>
      </c>
      <c r="DE909" s="304">
        <f>HLOOKUP($H909,'GDP-PI'!$D$8:$CQ$11,3,FALSE)</f>
        <v>2.6778252812867276E-2</v>
      </c>
      <c r="DF909" s="303">
        <f>VLOOKUP(H909,'HW Dx Data'!$E:$F,2,FALSE)</f>
        <v>414.88719135228365</v>
      </c>
      <c r="DG909" s="364">
        <f ca="1">VLOOKUP(CC909,'ECI - Input Price'!M$13:N$33,2,FALSE)</f>
        <v>94.35</v>
      </c>
      <c r="DH909" s="364"/>
      <c r="DI909" s="364"/>
      <c r="DJ909" s="56">
        <f t="shared" ref="DJ909:DJ927" ca="1" si="1668">LN(DG909/DG908)</f>
        <v>5.5569851154810786E-2</v>
      </c>
      <c r="DK909" s="53">
        <f>HLOOKUP(H909,'GDP-PI'!$8:$9,2,FALSE)</f>
        <v>84.778000000000006</v>
      </c>
      <c r="DL909" s="355">
        <f t="shared" si="1661"/>
        <v>2.6425990216022755E-2</v>
      </c>
      <c r="EC909"/>
    </row>
    <row r="910" spans="1:133" s="126" customFormat="1" ht="21" customHeight="1" x14ac:dyDescent="0.4">
      <c r="A910" s="233" t="s">
        <v>236</v>
      </c>
      <c r="B910" s="126" t="s">
        <v>236</v>
      </c>
      <c r="C910" s="126">
        <v>4057139</v>
      </c>
      <c r="D910" s="127" t="s">
        <v>237</v>
      </c>
      <c r="E910" s="127"/>
      <c r="F910" s="144"/>
      <c r="G910" s="126" t="s">
        <v>161</v>
      </c>
      <c r="H910" s="128">
        <v>2005</v>
      </c>
      <c r="I910" s="129"/>
      <c r="J910" s="125">
        <f>IFERROR(INDEX('Labor Expenditures'!$E$7:$W$91,MATCH($C910,'Labor Expenditures'!$C$7:$C$91,0),MATCH($G910,'Labor Expenditures'!$E$5:$W$5,0)),"NA")</f>
        <v>27097.323287755265</v>
      </c>
      <c r="K910" s="125">
        <f t="shared" ca="1" si="1662"/>
        <v>273.08967788113142</v>
      </c>
      <c r="L910" s="47"/>
      <c r="M910" s="131">
        <f t="shared" ref="M910:M926" ca="1" si="1669">LN(K910/K909)</f>
        <v>-3.4695137050997207E-2</v>
      </c>
      <c r="N910" s="131"/>
      <c r="O910" s="131"/>
      <c r="P910" s="59"/>
      <c r="Q910" s="61"/>
      <c r="R910" s="387"/>
      <c r="S910" s="49">
        <v>100</v>
      </c>
      <c r="T910" s="46"/>
      <c r="U910" s="46"/>
      <c r="V910" s="125">
        <f>IFERROR(INDEX('Non-Labor Expenditures'!$E$7:$AA$91,MATCH($C910,'Non-Labor Expenditures'!$C$7:$C$91,0),MATCH($G910,'Non-Labor Expenditures'!$E$5:$AA$5,0)),"NA")</f>
        <v>39241.9852025367</v>
      </c>
      <c r="W910" s="125">
        <f t="shared" si="1663"/>
        <v>448.95700804897433</v>
      </c>
      <c r="X910" s="131">
        <f>LN(W910/W909)</f>
        <v>-1.4855706007160888E-2</v>
      </c>
      <c r="Y910" s="131"/>
      <c r="Z910" s="131"/>
      <c r="AA910" s="131"/>
      <c r="AB910" s="131"/>
      <c r="AC910" s="125">
        <f t="shared" si="1643"/>
        <v>36113.415618616775</v>
      </c>
      <c r="AD910" s="129"/>
      <c r="AE910" s="133">
        <v>3172.1489676857941</v>
      </c>
      <c r="AF910" s="134">
        <v>3.333847091062779E-2</v>
      </c>
      <c r="AG910" s="59">
        <f t="shared" si="1664"/>
        <v>0</v>
      </c>
      <c r="AH910" s="134"/>
      <c r="AI910" s="134"/>
      <c r="AJ910" s="129">
        <f t="shared" si="1588"/>
        <v>102452.72410890873</v>
      </c>
      <c r="AK910" s="134">
        <f>LN(AJ910/AJ909)</f>
        <v>5.6404549970502205E-2</v>
      </c>
      <c r="AL910" s="129"/>
      <c r="AM910" s="129"/>
      <c r="AN910" s="129"/>
      <c r="AO910" s="129"/>
      <c r="AP910" s="133"/>
      <c r="AQ910" s="134"/>
      <c r="AR910" s="93">
        <f t="shared" si="1665"/>
        <v>0.26448611809433603</v>
      </c>
      <c r="AS910" s="93">
        <f t="shared" si="1666"/>
        <v>0.3830252981933589</v>
      </c>
      <c r="AT910" s="93">
        <f t="shared" si="1667"/>
        <v>0.35248858371230513</v>
      </c>
      <c r="AU910" s="93">
        <f t="shared" ref="AU910:AU926" ca="1" si="1670">+(((AR910+AR909)/2)*M910+((AS909+AS910)/2)*X910+((AT909+AT910)/2)*AF910)</f>
        <v>-3.8725934030813727E-3</v>
      </c>
      <c r="AV910" s="132">
        <v>100</v>
      </c>
      <c r="AW910" s="134"/>
      <c r="AX910" s="15"/>
      <c r="AY910" s="93"/>
      <c r="AZ910" s="93"/>
      <c r="BA910" s="93"/>
      <c r="BB910" s="234">
        <f>IFERROR(INDEX('Total Customers'!$E$7:$AA$91,MATCH($C910,'Total Customers'!$C$7:$C$91,0),MATCH($G910,'Total Customers'!$E$5:$AA$5,0)),"NA")</f>
        <v>407973</v>
      </c>
      <c r="BC910" s="269">
        <f t="shared" si="1639"/>
        <v>4.2943664973650375E-2</v>
      </c>
      <c r="BD910" s="92"/>
      <c r="BE910" s="299" t="str">
        <f t="shared" si="1635"/>
        <v>PUBLIC SERVICE COMPANY OF NORTH CAROLINA, INCORPORATED</v>
      </c>
      <c r="BF910" s="300">
        <f t="shared" si="1636"/>
        <v>4057139</v>
      </c>
      <c r="BG910" s="231" t="str">
        <f t="shared" si="1637"/>
        <v>NC</v>
      </c>
      <c r="BH910" s="231"/>
      <c r="BI910" s="231" t="str">
        <f t="shared" si="1638"/>
        <v>2005 Y</v>
      </c>
      <c r="BJ910" s="129"/>
      <c r="BK910" s="129"/>
      <c r="BL910" s="129">
        <f>INDEX('Dist. Plant Gas Additions'!$E$7:$AD$91,MATCH($C910,'Dist. Plant Gas Additions'!$C$7:$C$91,0),MATCH(Calculation!$G910,'Dist. Plant Gas Additions'!$E$5:$AD$5,0))</f>
        <v>51666</v>
      </c>
      <c r="BM910" s="129">
        <f>INDEX('Gen. Plant Additions'!$E$7:$AD$91,MATCH($C910,'Gen. Plant Additions'!$C$7:$C$91,0),MATCH(Calculation!$G910,'Gen. Plant Additions'!$E$5:$AD$5,0))</f>
        <v>5783</v>
      </c>
      <c r="BN910" s="301">
        <f t="shared" si="1644"/>
        <v>0.92097140405763134</v>
      </c>
      <c r="BO910" s="231">
        <f t="shared" si="1631"/>
        <v>5325.9776296652817</v>
      </c>
      <c r="BP910" s="231">
        <f t="shared" si="1632"/>
        <v>-457.02237033471829</v>
      </c>
      <c r="BQ910" s="129">
        <f>INDEX('Dist Plant Depreciation'!$D$7:$AC$94,MATCH($C910,'Dist Plant Depreciation'!$C$7:$C$94,0),MATCH(Calculation!$G910,'Dist Plant Depreciation'!$D$5:$AC$5,0))</f>
        <v>138825</v>
      </c>
      <c r="BR910" s="129">
        <f>INDEX('Gen. Plant Depreciation'!$D$7:$AC$94,MATCH($C910,'Gen. Plant Depreciation'!$C$7:$C$94,0),MATCH(Calculation!$G910,'Gen. Plant Depreciation'!$D$5:$AC$5,0))</f>
        <v>34896</v>
      </c>
      <c r="BS910" s="129"/>
      <c r="BT910" s="129"/>
      <c r="BU910" s="129"/>
      <c r="BV910" s="129"/>
      <c r="BW910" s="129"/>
      <c r="BX910" s="137"/>
      <c r="BY910" s="129">
        <f>INDEX('Gross Dx Plant'!$D$7:$AC$91,MATCH($C910,'Gross Dx Plant'!$C$7:$C$91,0),MATCH(Calculation!$G910,'Gross Dx Plant'!$D$5:$AC$5,0))</f>
        <v>792180</v>
      </c>
      <c r="BZ910" s="129">
        <f>INDEX('Gross Gen Plant'!$D$7:$AC$91,MATCH($C910,'Gross Gen Plant'!$C$7:$C$91,0),MATCH(Calculation!$G910,'Gross Gen Plant'!$D$5:$AC$5,0))</f>
        <v>67977</v>
      </c>
      <c r="CA910" s="129">
        <f t="shared" si="1595"/>
        <v>686436</v>
      </c>
      <c r="CB910" s="129"/>
      <c r="CC910" s="133">
        <v>2005</v>
      </c>
      <c r="CD910" s="129"/>
      <c r="CE910" s="129"/>
      <c r="CF910" s="129"/>
      <c r="CG910" s="137"/>
      <c r="CH910" s="129">
        <f t="shared" si="1645"/>
        <v>57449</v>
      </c>
      <c r="CI910" s="46">
        <f t="shared" si="1654"/>
        <v>56991.977629665285</v>
      </c>
      <c r="CJ910" s="231">
        <f t="shared" si="1646"/>
        <v>121.46494726641311</v>
      </c>
      <c r="CK910" s="443">
        <v>0.9263157894736842</v>
      </c>
      <c r="CL910" s="231">
        <f>+CL903*CK910+CJ904*CK909+CJ905*CK908+CJ906*CK907+CJ907*CK906+CJ908*CK905+CJ909*CK904+CJ910</f>
        <v>3051.6299546696869</v>
      </c>
      <c r="CM910" s="134">
        <f t="shared" si="1647"/>
        <v>2.8929679223307126E-2</v>
      </c>
      <c r="CN910" s="135">
        <f t="shared" si="1648"/>
        <v>1.161940920347046E-2</v>
      </c>
      <c r="CO910" s="135">
        <f t="shared" si="1657"/>
        <v>1.1319843154579094E-2</v>
      </c>
      <c r="CP910" s="134">
        <f>VLOOKUP($H910,RoR!$E:$F,2,FALSE)</f>
        <v>5.2350000000000001E-2</v>
      </c>
      <c r="CQ910" s="135">
        <v>3.1010403642454332E-2</v>
      </c>
      <c r="CR910" s="135">
        <f t="shared" si="1655"/>
        <v>2.1339596357545669E-2</v>
      </c>
      <c r="CS910" s="135">
        <f t="shared" si="1658"/>
        <v>1.9582098453954533E-2</v>
      </c>
      <c r="CT910" s="135">
        <f t="shared" si="1659"/>
        <v>9.2129610649277341E-2</v>
      </c>
      <c r="CU910" s="139">
        <f t="shared" si="1649"/>
        <v>0.87050000000000005</v>
      </c>
      <c r="CV910" s="335">
        <f t="shared" si="1650"/>
        <v>0.97959983346802826</v>
      </c>
      <c r="CW910" s="335">
        <f t="shared" si="1651"/>
        <v>0.49744508118433622</v>
      </c>
      <c r="CX910" s="335">
        <f t="shared" si="1652"/>
        <v>0.87010519444335932</v>
      </c>
      <c r="CY910" s="335">
        <f t="shared" si="1653"/>
        <v>0.42399975420741998</v>
      </c>
      <c r="CZ910" s="336">
        <f>INDEX('State Tax Lookup'!$D$7:$Z$91,MATCH(Calculation!$C910,'State Tax Lookup'!$B$7:$B$91,0),MATCH($H910,'State Tax Lookup'!$D$6:$Z$6,0))</f>
        <v>0.35</v>
      </c>
      <c r="DA910" s="302">
        <v>0.37</v>
      </c>
      <c r="DB910" s="57">
        <f t="shared" si="1656"/>
        <v>12.181497961591276</v>
      </c>
      <c r="DC910" s="56">
        <f t="shared" si="1660"/>
        <v>0.10966622742279401</v>
      </c>
      <c r="DD910" s="303">
        <f>VLOOKUP($H910,RoR!$E:$F,2,FALSE)</f>
        <v>5.2350000000000001E-2</v>
      </c>
      <c r="DE910" s="304">
        <f>HLOOKUP($H910,'GDP-PI'!$D$8:$CQ$11,3,FALSE)</f>
        <v>3.1010403642454332E-2</v>
      </c>
      <c r="DF910" s="303">
        <f>VLOOKUP(H910,'HW Dx Data'!$E:$F,2,FALSE)</f>
        <v>469.20514034936258</v>
      </c>
      <c r="DG910" s="364">
        <f ca="1">VLOOKUP(CC910,'ECI - Input Price'!M$13:N$33,2,FALSE)</f>
        <v>99.224999999999994</v>
      </c>
      <c r="DH910" s="364"/>
      <c r="DI910" s="364"/>
      <c r="DJ910" s="56">
        <f t="shared" ca="1" si="1668"/>
        <v>5.0378726854569796E-2</v>
      </c>
      <c r="DK910" s="53">
        <f>HLOOKUP(H910,'GDP-PI'!$8:$9,2,FALSE)</f>
        <v>87.406999999999996</v>
      </c>
      <c r="DL910" s="355">
        <f t="shared" si="1661"/>
        <v>3.0539295810733648E-2</v>
      </c>
      <c r="EC910"/>
    </row>
    <row r="911" spans="1:133" s="126" customFormat="1" ht="21" customHeight="1" x14ac:dyDescent="0.4">
      <c r="A911" s="233" t="s">
        <v>236</v>
      </c>
      <c r="B911" s="126" t="s">
        <v>236</v>
      </c>
      <c r="C911" s="126">
        <v>4057139</v>
      </c>
      <c r="D911" s="127" t="s">
        <v>237</v>
      </c>
      <c r="E911" s="127"/>
      <c r="F911" s="144"/>
      <c r="G911" s="126" t="s">
        <v>162</v>
      </c>
      <c r="H911" s="128">
        <v>2006</v>
      </c>
      <c r="I911" s="129"/>
      <c r="J911" s="125">
        <f>IFERROR(INDEX('Labor Expenditures'!$E$7:$W$91,MATCH($C911,'Labor Expenditures'!$C$7:$C$91,0),MATCH($G911,'Labor Expenditures'!$E$5:$W$5,0)),"NA")</f>
        <v>26900.303399489418</v>
      </c>
      <c r="K911" s="125">
        <f t="shared" ca="1" si="1662"/>
        <v>245.88942778326705</v>
      </c>
      <c r="L911" s="47"/>
      <c r="M911" s="131">
        <f t="shared" ca="1" si="1669"/>
        <v>-0.10491827732100055</v>
      </c>
      <c r="N911" s="131"/>
      <c r="O911" s="131"/>
      <c r="P911" s="59">
        <f t="shared" ref="P911:P927" ca="1" si="1671">+M911*$AX911</f>
        <v>-1.4614530912456095E-3</v>
      </c>
      <c r="Q911" s="61"/>
      <c r="R911" s="387"/>
      <c r="S911" s="49">
        <f ca="1">+S910*EXP(T911)</f>
        <v>112.50267997308381</v>
      </c>
      <c r="T911" s="61">
        <f ca="1">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</f>
        <v>0.11780685735561161</v>
      </c>
      <c r="U911" s="61"/>
      <c r="V911" s="125">
        <f>IFERROR(INDEX('Non-Labor Expenditures'!$E$7:$AA$91,MATCH($C911,'Non-Labor Expenditures'!$C$7:$C$91,0),MATCH($G911,'Non-Labor Expenditures'!$E$5:$AA$5,0)),"NA")</f>
        <v>38956.66360608855</v>
      </c>
      <c r="W911" s="125">
        <f t="shared" si="1663"/>
        <v>432.49620985066224</v>
      </c>
      <c r="X911" s="131">
        <f t="shared" ref="X911:X926" si="1672">LN(W911/W910)</f>
        <v>-3.7353569727703241E-2</v>
      </c>
      <c r="Y911" s="131">
        <f t="shared" ref="Y911:Y927" si="1673">+X911*AX911</f>
        <v>-5.203143946081874E-4</v>
      </c>
      <c r="Z911" s="131"/>
      <c r="AA911" s="131"/>
      <c r="AB911" s="131"/>
      <c r="AC911" s="125">
        <f t="shared" si="1643"/>
        <v>36013.837124894562</v>
      </c>
      <c r="AD911" s="129"/>
      <c r="AE911" s="133">
        <v>3328.8303314811924</v>
      </c>
      <c r="AF911" s="134">
        <v>4.8211724480721863E-2</v>
      </c>
      <c r="AG911" s="59">
        <f t="shared" si="1664"/>
        <v>6.7156243483736089E-4</v>
      </c>
      <c r="AH911" s="134"/>
      <c r="AI911" s="134"/>
      <c r="AJ911" s="129">
        <f t="shared" si="1588"/>
        <v>101870.80413047253</v>
      </c>
      <c r="AK911" s="134">
        <f t="shared" ref="AK911:AK927" si="1674">LN(AJ911/AJ910)</f>
        <v>-5.6960797107559157E-3</v>
      </c>
      <c r="AL911" s="129"/>
      <c r="AM911" s="129"/>
      <c r="AN911" s="129"/>
      <c r="AO911" s="129"/>
      <c r="AP911" s="133">
        <f t="shared" ref="AP911:AP927" si="1675">+(AJ911*1000)/BB911</f>
        <v>238.33553440940079</v>
      </c>
      <c r="AQ911" s="134">
        <f>+BB911/Outputs!$B$14</f>
        <v>1.23243408889865E-2</v>
      </c>
      <c r="AR911" s="93">
        <f t="shared" si="1665"/>
        <v>0.26406293372374345</v>
      </c>
      <c r="AS911" s="93">
        <f t="shared" si="1666"/>
        <v>0.38241244818480308</v>
      </c>
      <c r="AT911" s="93">
        <f t="shared" si="1667"/>
        <v>0.35352461809145347</v>
      </c>
      <c r="AU911" s="93">
        <f t="shared" ca="1" si="1670"/>
        <v>-2.5004087131419384E-2</v>
      </c>
      <c r="AV911" s="132">
        <f ca="1">+AV910*EXP(AU911)</f>
        <v>97.530592581669367</v>
      </c>
      <c r="AW911" s="134">
        <f ca="1">LN(AV911/AV910)</f>
        <v>-2.5004087131419439E-2</v>
      </c>
      <c r="AX911" s="56">
        <f>+AJ911/$AL$11</f>
        <v>1.3929442310363626E-2</v>
      </c>
      <c r="AY911" s="135">
        <f ca="1">+AX911*AW911</f>
        <v>-3.4829298922041261E-4</v>
      </c>
      <c r="AZ911" s="93"/>
      <c r="BA911" s="93"/>
      <c r="BB911" s="234">
        <f>IFERROR(INDEX('Total Customers'!$E$7:$AA$91,MATCH($C911,'Total Customers'!$C$7:$C$91,0),MATCH($G911,'Total Customers'!$E$5:$AA$5,0)),"NA")</f>
        <v>427426</v>
      </c>
      <c r="BC911" s="269">
        <f t="shared" si="1639"/>
        <v>4.6580178234363043E-2</v>
      </c>
      <c r="BD911" s="92"/>
      <c r="BE911" s="299" t="str">
        <f t="shared" si="1635"/>
        <v>PUBLIC SERVICE COMPANY OF NORTH CAROLINA, INCORPORATED</v>
      </c>
      <c r="BF911" s="300">
        <f t="shared" si="1636"/>
        <v>4057139</v>
      </c>
      <c r="BG911" s="231" t="str">
        <f t="shared" si="1637"/>
        <v>NC</v>
      </c>
      <c r="BH911" s="231"/>
      <c r="BI911" s="231" t="str">
        <f t="shared" si="1638"/>
        <v>2006 Y</v>
      </c>
      <c r="BJ911" s="129"/>
      <c r="BK911" s="129"/>
      <c r="BL911" s="129">
        <f>INDEX('Dist. Plant Gas Additions'!$E$7:$AD$91,MATCH($C911,'Dist. Plant Gas Additions'!$C$7:$C$91,0),MATCH(Calculation!$G911,'Dist. Plant Gas Additions'!$E$5:$AD$5,0))</f>
        <v>73730</v>
      </c>
      <c r="BM911" s="129">
        <f>INDEX('Gen. Plant Additions'!$E$7:$AD$91,MATCH($C911,'Gen. Plant Additions'!$C$7:$C$91,0),MATCH(Calculation!$G911,'Gen. Plant Additions'!$E$5:$AD$5,0))</f>
        <v>7571</v>
      </c>
      <c r="BN911" s="301">
        <f t="shared" si="1644"/>
        <v>0.92386070005493437</v>
      </c>
      <c r="BO911" s="231">
        <f t="shared" si="1631"/>
        <v>6994.5493601159078</v>
      </c>
      <c r="BP911" s="231">
        <f t="shared" si="1632"/>
        <v>-576.4506398840922</v>
      </c>
      <c r="BQ911" s="129">
        <f>INDEX('Dist Plant Depreciation'!$D$7:$AC$94,MATCH($C911,'Dist Plant Depreciation'!$C$7:$C$94,0),MATCH(Calculation!$G911,'Dist Plant Depreciation'!$D$5:$AC$5,0))</f>
        <v>152479</v>
      </c>
      <c r="BR911" s="129">
        <f>INDEX('Gen. Plant Depreciation'!$D$7:$AC$94,MATCH($C911,'Gen. Plant Depreciation'!$C$7:$C$94,0),MATCH(Calculation!$G911,'Gen. Plant Depreciation'!$D$5:$AC$5,0))</f>
        <v>38301</v>
      </c>
      <c r="BS911" s="129"/>
      <c r="BT911" s="129"/>
      <c r="BU911" s="129"/>
      <c r="BV911" s="129"/>
      <c r="BW911" s="129"/>
      <c r="BX911" s="137"/>
      <c r="BY911" s="129">
        <f>INDEX('Gross Dx Plant'!$D$7:$AC$91,MATCH($C911,'Gross Dx Plant'!$C$7:$C$91,0),MATCH(Calculation!$G911,'Gross Dx Plant'!$D$5:$AC$5,0))</f>
        <v>862739</v>
      </c>
      <c r="BZ911" s="129">
        <f>INDEX('Gross Gen Plant'!$D$7:$AC$91,MATCH($C911,'Gross Gen Plant'!$C$7:$C$91,0),MATCH(Calculation!$G911,'Gross Gen Plant'!$D$5:$AC$5,0))</f>
        <v>71102</v>
      </c>
      <c r="CA911" s="129">
        <f t="shared" si="1595"/>
        <v>743061</v>
      </c>
      <c r="CB911" s="134"/>
      <c r="CC911" s="133">
        <v>2006</v>
      </c>
      <c r="CD911" s="129"/>
      <c r="CE911" s="129"/>
      <c r="CF911" s="129"/>
      <c r="CG911" s="137"/>
      <c r="CH911" s="129">
        <f t="shared" si="1645"/>
        <v>81301</v>
      </c>
      <c r="CI911" s="46">
        <f t="shared" si="1654"/>
        <v>80724.549360115911</v>
      </c>
      <c r="CJ911" s="231">
        <f t="shared" si="1646"/>
        <v>175.07494622899608</v>
      </c>
      <c r="CK911" s="443">
        <v>0.91489361702127658</v>
      </c>
      <c r="CL911" s="231">
        <f>+CL903*CK911+CJ904*CK910+CJ905*CK909+CJ906*CK908+CJ907*CK907+CJ908*CK906+CJ909*CK905+CJ910*CK904+CJ911</f>
        <v>3190.3282358528095</v>
      </c>
      <c r="CM911" s="134">
        <f t="shared" si="1647"/>
        <v>4.444794751553343E-2</v>
      </c>
      <c r="CN911" s="135">
        <f t="shared" si="1648"/>
        <v>1.1920405024930662E-2</v>
      </c>
      <c r="CO911" s="135">
        <f t="shared" si="1657"/>
        <v>1.1618665300221383E-2</v>
      </c>
      <c r="CP911" s="134">
        <f>VLOOKUP($H911,RoR!$E:$F,2,FALSE)</f>
        <v>5.5874999999999994E-2</v>
      </c>
      <c r="CQ911" s="135">
        <v>3.0512430354548314E-2</v>
      </c>
      <c r="CR911" s="135">
        <f t="shared" si="1655"/>
        <v>2.536256964545168E-2</v>
      </c>
      <c r="CS911" s="135">
        <f t="shared" si="1658"/>
        <v>1.9283276308312242E-2</v>
      </c>
      <c r="CT911" s="135">
        <f t="shared" si="1659"/>
        <v>7.9087823893859641E-2</v>
      </c>
      <c r="CU911" s="139">
        <f t="shared" si="1649"/>
        <v>0.87050000000000005</v>
      </c>
      <c r="CV911" s="335">
        <f t="shared" si="1650"/>
        <v>0.91779957551769631</v>
      </c>
      <c r="CW911" s="335">
        <f t="shared" si="1651"/>
        <v>0.52757270693512304</v>
      </c>
      <c r="CX911" s="335">
        <f t="shared" si="1652"/>
        <v>0.88636824549024895</v>
      </c>
      <c r="CY911" s="335">
        <f t="shared" si="1653"/>
        <v>0.42918482841932087</v>
      </c>
      <c r="CZ911" s="336">
        <f>INDEX('State Tax Lookup'!$D$7:$Z$91,MATCH(Calculation!$C911,'State Tax Lookup'!$B$7:$B$91,0),MATCH($H911,'State Tax Lookup'!$D$6:$Z$6,0))</f>
        <v>0.35</v>
      </c>
      <c r="DA911" s="302">
        <v>0.37</v>
      </c>
      <c r="DB911" s="57">
        <f t="shared" si="1656"/>
        <v>11.801508590445316</v>
      </c>
      <c r="DC911" s="56">
        <f t="shared" si="1660"/>
        <v>-3.16908701241531E-2</v>
      </c>
      <c r="DD911" s="303">
        <f>VLOOKUP($H911,RoR!$E:$F,2,FALSE)</f>
        <v>5.5874999999999994E-2</v>
      </c>
      <c r="DE911" s="304">
        <f>HLOOKUP($H911,'GDP-PI'!$D$8:$CQ$11,3,FALSE)</f>
        <v>3.0512430354548314E-2</v>
      </c>
      <c r="DF911" s="303">
        <f>VLOOKUP(H911,'HW Dx Data'!$E:$F,2,FALSE)</f>
        <v>461.08567272971823</v>
      </c>
      <c r="DG911" s="364">
        <f ca="1">VLOOKUP(CC911,'ECI - Input Price'!M$13:N$33,2,FALSE)</f>
        <v>109.4</v>
      </c>
      <c r="DH911" s="364"/>
      <c r="DI911" s="364"/>
      <c r="DJ911" s="56">
        <f t="shared" ca="1" si="1668"/>
        <v>9.7620891318751846E-2</v>
      </c>
      <c r="DK911" s="53">
        <f>HLOOKUP(H911,'GDP-PI'!$8:$9,2,FALSE)</f>
        <v>90.073999999999998</v>
      </c>
      <c r="DL911" s="355">
        <f t="shared" si="1661"/>
        <v>3.005618372545445E-2</v>
      </c>
      <c r="EC911"/>
    </row>
    <row r="912" spans="1:133" s="126" customFormat="1" ht="21" customHeight="1" x14ac:dyDescent="0.4">
      <c r="A912" s="233" t="s">
        <v>236</v>
      </c>
      <c r="B912" s="126" t="s">
        <v>236</v>
      </c>
      <c r="C912" s="126">
        <v>4057139</v>
      </c>
      <c r="D912" s="127" t="s">
        <v>237</v>
      </c>
      <c r="E912" s="127"/>
      <c r="F912" s="144"/>
      <c r="G912" s="126" t="s">
        <v>163</v>
      </c>
      <c r="H912" s="128">
        <v>2007</v>
      </c>
      <c r="I912" s="129"/>
      <c r="J912" s="125">
        <f>IFERROR(INDEX('Labor Expenditures'!$E$7:$W$91,MATCH($C912,'Labor Expenditures'!$C$7:$C$91,0),MATCH($G912,'Labor Expenditures'!$E$5:$W$5,0)),"NA")</f>
        <v>28293.976870594048</v>
      </c>
      <c r="K912" s="125">
        <f t="shared" ca="1" si="1662"/>
        <v>270.69100091455681</v>
      </c>
      <c r="L912" s="47"/>
      <c r="M912" s="131">
        <f t="shared" ca="1" si="1669"/>
        <v>9.6095997979233197E-2</v>
      </c>
      <c r="N912" s="131"/>
      <c r="O912" s="131"/>
      <c r="P912" s="59">
        <f t="shared" ca="1" si="1671"/>
        <v>1.3715599412688715E-3</v>
      </c>
      <c r="Q912" s="61"/>
      <c r="R912" s="387"/>
      <c r="S912" s="49">
        <f t="shared" ref="S912:S925" ca="1" si="1676">+S911*EXP(T912)</f>
        <v>119.64803832110802</v>
      </c>
      <c r="T912" s="61">
        <f ca="1">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</f>
        <v>6.1577375733009664E-2</v>
      </c>
      <c r="U912" s="61"/>
      <c r="V912" s="125">
        <f>IFERROR(INDEX('Non-Labor Expenditures'!$E$7:$AA$91,MATCH($C912,'Non-Labor Expenditures'!$C$7:$C$91,0),MATCH($G912,'Non-Labor Expenditures'!$E$5:$AA$5,0)),"NA")</f>
        <v>40974.963094546489</v>
      </c>
      <c r="W912" s="125">
        <f t="shared" si="1663"/>
        <v>442.98215198757254</v>
      </c>
      <c r="X912" s="131">
        <f t="shared" si="1672"/>
        <v>2.3955917283942751E-2</v>
      </c>
      <c r="Y912" s="131">
        <f t="shared" si="1673"/>
        <v>3.4191826084273579E-4</v>
      </c>
      <c r="Z912" s="131"/>
      <c r="AA912" s="131"/>
      <c r="AB912" s="131"/>
      <c r="AC912" s="125">
        <f t="shared" si="1643"/>
        <v>40137.366932742785</v>
      </c>
      <c r="AD912" s="129"/>
      <c r="AE912" s="133">
        <v>3471.8790945525247</v>
      </c>
      <c r="AF912" s="134">
        <v>4.2074982712687142E-2</v>
      </c>
      <c r="AG912" s="59">
        <f t="shared" si="1664"/>
        <v>6.0052824292196869E-4</v>
      </c>
      <c r="AH912" s="134"/>
      <c r="AI912" s="134"/>
      <c r="AJ912" s="129">
        <f t="shared" si="1588"/>
        <v>109406.30689788333</v>
      </c>
      <c r="AK912" s="134">
        <f t="shared" si="1674"/>
        <v>7.1363153951941899E-2</v>
      </c>
      <c r="AL912" s="129"/>
      <c r="AM912" s="129"/>
      <c r="AN912" s="129"/>
      <c r="AO912" s="129"/>
      <c r="AP912" s="133">
        <f t="shared" si="1675"/>
        <v>246.20653804478118</v>
      </c>
      <c r="AQ912" s="134">
        <f>+BB912/Outputs!$B$15</f>
        <v>1.2716375306489147E-2</v>
      </c>
      <c r="AR912" s="93">
        <f t="shared" si="1665"/>
        <v>0.25861376435092381</v>
      </c>
      <c r="AS912" s="93">
        <f t="shared" si="1666"/>
        <v>0.37452103316851126</v>
      </c>
      <c r="AT912" s="93">
        <f t="shared" si="1667"/>
        <v>0.36686520248056481</v>
      </c>
      <c r="AU912" s="93">
        <f t="shared" ca="1" si="1670"/>
        <v>4.9335282018842901E-2</v>
      </c>
      <c r="AV912" s="132">
        <f ca="1">+AV911*EXP(AU912)</f>
        <v>102.46296137905765</v>
      </c>
      <c r="AW912" s="134">
        <f ca="1">LN(AV912/AV911)</f>
        <v>4.9335282018842797E-2</v>
      </c>
      <c r="AX912" s="56">
        <f>+AJ912/$AL$12</f>
        <v>1.4272810211776689E-2</v>
      </c>
      <c r="AY912" s="135">
        <f t="shared" ref="AY912:AY926" ca="1" si="1677">+AX912*AW912</f>
        <v>7.0415311699942231E-4</v>
      </c>
      <c r="AZ912" s="93"/>
      <c r="BA912" s="93"/>
      <c r="BB912" s="234">
        <f>IFERROR(INDEX('Total Customers'!$E$7:$AA$91,MATCH($C912,'Total Customers'!$C$7:$C$91,0),MATCH($G912,'Total Customers'!$E$5:$AA$5,0)),"NA")</f>
        <v>444368</v>
      </c>
      <c r="BC912" s="269">
        <f t="shared" si="1639"/>
        <v>3.8871873993934471E-2</v>
      </c>
      <c r="BD912" s="92"/>
      <c r="BE912" s="299" t="str">
        <f t="shared" si="1635"/>
        <v>PUBLIC SERVICE COMPANY OF NORTH CAROLINA, INCORPORATED</v>
      </c>
      <c r="BF912" s="300">
        <f t="shared" si="1636"/>
        <v>4057139</v>
      </c>
      <c r="BG912" s="231" t="str">
        <f t="shared" si="1637"/>
        <v>NC</v>
      </c>
      <c r="BH912" s="231"/>
      <c r="BI912" s="231" t="str">
        <f t="shared" si="1638"/>
        <v>2007 Y</v>
      </c>
      <c r="BJ912" s="129"/>
      <c r="BK912" s="129"/>
      <c r="BL912" s="129">
        <f>INDEX('Dist. Plant Gas Additions'!$E$7:$AD$91,MATCH($C912,'Dist. Plant Gas Additions'!$C$7:$C$91,0),MATCH(Calculation!$G912,'Dist. Plant Gas Additions'!$E$5:$AD$5,0))</f>
        <v>74266</v>
      </c>
      <c r="BM912" s="129">
        <f>INDEX('Gen. Plant Additions'!$E$7:$AD$91,MATCH($C912,'Gen. Plant Additions'!$C$7:$C$91,0),MATCH(Calculation!$G912,'Gen. Plant Additions'!$E$5:$AD$5,0))</f>
        <v>7522</v>
      </c>
      <c r="BN912" s="301">
        <f t="shared" si="1644"/>
        <v>0.93768522686420175</v>
      </c>
      <c r="BO912" s="231">
        <f t="shared" si="1631"/>
        <v>7053.2682764725259</v>
      </c>
      <c r="BP912" s="231">
        <f t="shared" si="1632"/>
        <v>-468.73172352747406</v>
      </c>
      <c r="BQ912" s="129">
        <f>INDEX('Dist Plant Depreciation'!$D$7:$AC$94,MATCH($C912,'Dist Plant Depreciation'!$C$7:$C$94,0),MATCH(Calculation!$G912,'Dist Plant Depreciation'!$D$5:$AC$5,0))</f>
        <v>163342</v>
      </c>
      <c r="BR912" s="129">
        <f>INDEX('Gen. Plant Depreciation'!$D$7:$AC$94,MATCH($C912,'Gen. Plant Depreciation'!$C$7:$C$94,0),MATCH(Calculation!$G912,'Gen. Plant Depreciation'!$D$5:$AC$5,0))</f>
        <v>28555</v>
      </c>
      <c r="BS912" s="129"/>
      <c r="BT912" s="129"/>
      <c r="BU912" s="129"/>
      <c r="BV912" s="129"/>
      <c r="BW912" s="129"/>
      <c r="BX912" s="137"/>
      <c r="BY912" s="129">
        <f>INDEX('Gross Dx Plant'!$D$7:$AC$91,MATCH($C912,'Gross Dx Plant'!$C$7:$C$91,0),MATCH(Calculation!$G912,'Gross Dx Plant'!$D$5:$AC$5,0))</f>
        <v>931158</v>
      </c>
      <c r="BZ912" s="129">
        <f>INDEX('Gross Gen Plant'!$D$7:$AC$91,MATCH($C912,'Gross Gen Plant'!$C$7:$C$91,0),MATCH(Calculation!$G912,'Gross Gen Plant'!$D$5:$AC$5,0))</f>
        <v>61881</v>
      </c>
      <c r="CA912" s="129">
        <f t="shared" si="1595"/>
        <v>801142</v>
      </c>
      <c r="CB912" s="129"/>
      <c r="CC912" s="133">
        <v>2007</v>
      </c>
      <c r="CD912" s="129"/>
      <c r="CE912" s="129"/>
      <c r="CF912" s="129"/>
      <c r="CG912" s="137"/>
      <c r="CH912" s="129">
        <f t="shared" si="1645"/>
        <v>81788</v>
      </c>
      <c r="CI912" s="46">
        <f t="shared" si="1654"/>
        <v>81319.268276472532</v>
      </c>
      <c r="CJ912" s="231">
        <f t="shared" si="1646"/>
        <v>163.28438656115804</v>
      </c>
      <c r="CK912" s="443">
        <v>0.90322580645161288</v>
      </c>
      <c r="CL912" s="231">
        <f>+CL903*CK912+CJ904*CK911+CJ905*CK910+CJ906*CK909+CJ907*CK908+CJ908*CK907+CJ909*CK906+CJ910*CK905+CJ911*CK904+CJ912</f>
        <v>3314.7282212764035</v>
      </c>
      <c r="CM912" s="134">
        <f t="shared" si="1647"/>
        <v>3.8251828989841058E-2</v>
      </c>
      <c r="CN912" s="135">
        <f t="shared" si="1648"/>
        <v>1.2188213331964518E-2</v>
      </c>
      <c r="CO912" s="135">
        <f t="shared" si="1657"/>
        <v>1.1909342520121879E-2</v>
      </c>
      <c r="CP912" s="134">
        <f>VLOOKUP($H912,RoR!$E:$F,2,FALSE)</f>
        <v>5.5558333333333321E-2</v>
      </c>
      <c r="CQ912" s="135">
        <v>2.691120634145272E-2</v>
      </c>
      <c r="CR912" s="135">
        <f t="shared" si="1655"/>
        <v>2.86471269918806E-2</v>
      </c>
      <c r="CS912" s="135">
        <f t="shared" si="1658"/>
        <v>1.8992599088411746E-2</v>
      </c>
      <c r="CT912" s="135">
        <f t="shared" si="1659"/>
        <v>6.4575155250632399E-2</v>
      </c>
      <c r="CU912" s="139">
        <f t="shared" si="1649"/>
        <v>0.87050000000000005</v>
      </c>
      <c r="CV912" s="335">
        <f t="shared" si="1650"/>
        <v>0.92303077153834634</v>
      </c>
      <c r="CW912" s="335">
        <f t="shared" si="1651"/>
        <v>0.52502249887505614</v>
      </c>
      <c r="CX912" s="335">
        <f t="shared" si="1652"/>
        <v>0.88499666072084604</v>
      </c>
      <c r="CY912" s="335">
        <f t="shared" si="1653"/>
        <v>0.42887993290280618</v>
      </c>
      <c r="CZ912" s="336">
        <f>INDEX('State Tax Lookup'!$D$7:$Z$91,MATCH(Calculation!$C912,'State Tax Lookup'!$B$7:$B$91,0),MATCH($H912,'State Tax Lookup'!$D$6:$Z$6,0))</f>
        <v>0.35</v>
      </c>
      <c r="DA912" s="302">
        <v>0.37</v>
      </c>
      <c r="DB912" s="57">
        <f t="shared" si="1656"/>
        <v>12.580952167140767</v>
      </c>
      <c r="DC912" s="56">
        <f t="shared" si="1660"/>
        <v>6.395656742209363E-2</v>
      </c>
      <c r="DD912" s="303">
        <f>VLOOKUP($H912,RoR!$E:$F,2,FALSE)</f>
        <v>5.5558333333333321E-2</v>
      </c>
      <c r="DE912" s="304">
        <f>HLOOKUP($H912,'GDP-PI'!$D$8:$CQ$11,3,FALSE)</f>
        <v>2.691120634145272E-2</v>
      </c>
      <c r="DF912" s="303">
        <f>VLOOKUP(H912,'HW Dx Data'!$E:$F,2,FALSE)</f>
        <v>498.0223154772637</v>
      </c>
      <c r="DG912" s="364">
        <f ca="1">VLOOKUP(CC912,'ECI - Input Price'!M$13:N$33,2,FALSE)</f>
        <v>104.52499999999999</v>
      </c>
      <c r="DH912" s="364"/>
      <c r="DI912" s="364"/>
      <c r="DJ912" s="56">
        <f t="shared" ca="1" si="1668"/>
        <v>-4.5584612745252218E-2</v>
      </c>
      <c r="DK912" s="53">
        <f>HLOOKUP(H912,'GDP-PI'!$8:$9,2,FALSE)</f>
        <v>92.498000000000005</v>
      </c>
      <c r="DL912" s="355">
        <f t="shared" si="1661"/>
        <v>2.6555467950038037E-2</v>
      </c>
      <c r="EC912"/>
    </row>
    <row r="913" spans="1:133" s="126" customFormat="1" ht="21" customHeight="1" x14ac:dyDescent="0.4">
      <c r="A913" s="233" t="s">
        <v>236</v>
      </c>
      <c r="B913" s="126" t="s">
        <v>236</v>
      </c>
      <c r="C913" s="126">
        <v>4057139</v>
      </c>
      <c r="D913" s="127" t="s">
        <v>237</v>
      </c>
      <c r="E913" s="127"/>
      <c r="F913" s="144"/>
      <c r="G913" s="126" t="s">
        <v>164</v>
      </c>
      <c r="H913" s="128">
        <v>2008</v>
      </c>
      <c r="I913" s="129"/>
      <c r="J913" s="125">
        <f>IFERROR(INDEX('Labor Expenditures'!$E$7:$W$91,MATCH($C913,'Labor Expenditures'!$C$7:$C$91,0),MATCH($G913,'Labor Expenditures'!$E$5:$W$5,0)),"NA")</f>
        <v>29738.445051089788</v>
      </c>
      <c r="K913" s="125">
        <f t="shared" ca="1" si="1662"/>
        <v>275.61116822140673</v>
      </c>
      <c r="L913" s="47"/>
      <c r="M913" s="131">
        <f t="shared" ca="1" si="1669"/>
        <v>1.8013109309084993E-2</v>
      </c>
      <c r="N913" s="131"/>
      <c r="O913" s="131"/>
      <c r="P913" s="59">
        <f t="shared" ca="1" si="1671"/>
        <v>2.6682024911422385E-4</v>
      </c>
      <c r="Q913" s="61"/>
      <c r="R913" s="387"/>
      <c r="S913" s="49">
        <f t="shared" ca="1" si="1676"/>
        <v>111.82186949230532</v>
      </c>
      <c r="T913" s="61">
        <f ca="1">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</f>
        <v>-6.7647264852943437E-2</v>
      </c>
      <c r="U913" s="61"/>
      <c r="V913" s="125">
        <f>IFERROR(INDEX('Non-Labor Expenditures'!$E$7:$AA$91,MATCH($C913,'Non-Labor Expenditures'!$C$7:$C$91,0),MATCH($G913,'Non-Labor Expenditures'!$E$5:$AA$5,0)),"NA")</f>
        <v>43066.822809345816</v>
      </c>
      <c r="W913" s="125">
        <f t="shared" si="1663"/>
        <v>456.8745524202858</v>
      </c>
      <c r="X913" s="131">
        <f t="shared" si="1672"/>
        <v>3.0879370582513367E-2</v>
      </c>
      <c r="Y913" s="131">
        <f t="shared" si="1673"/>
        <v>4.5740250669334211E-4</v>
      </c>
      <c r="Z913" s="131"/>
      <c r="AA913" s="131"/>
      <c r="AB913" s="131"/>
      <c r="AC913" s="125">
        <f t="shared" si="1643"/>
        <v>47023.821680626133</v>
      </c>
      <c r="AD913" s="129"/>
      <c r="AE913" s="133">
        <v>3567.7415271689802</v>
      </c>
      <c r="AF913" s="134">
        <v>2.7236796962549773E-2</v>
      </c>
      <c r="AG913" s="59">
        <f t="shared" si="1664"/>
        <v>4.0344666908537306E-4</v>
      </c>
      <c r="AH913" s="134"/>
      <c r="AI913" s="134"/>
      <c r="AJ913" s="129">
        <f t="shared" si="1588"/>
        <v>119829.08954106174</v>
      </c>
      <c r="AK913" s="134">
        <f t="shared" si="1674"/>
        <v>9.0997935528585761E-2</v>
      </c>
      <c r="AL913" s="129"/>
      <c r="AM913" s="129"/>
      <c r="AN913" s="129"/>
      <c r="AO913" s="129"/>
      <c r="AP913" s="133">
        <f t="shared" si="1675"/>
        <v>261.40327163647532</v>
      </c>
      <c r="AQ913" s="134">
        <f>+BB913/Outputs!$B$16</f>
        <v>1.3047989025055428E-2</v>
      </c>
      <c r="AR913" s="93">
        <f t="shared" si="1665"/>
        <v>0.24817383796360515</v>
      </c>
      <c r="AS913" s="93">
        <f t="shared" si="1666"/>
        <v>0.35940206985039425</v>
      </c>
      <c r="AT913" s="93">
        <f t="shared" si="1667"/>
        <v>0.39242409218600061</v>
      </c>
      <c r="AU913" s="93">
        <f t="shared" ca="1" si="1670"/>
        <v>2.6236256154420247E-2</v>
      </c>
      <c r="AV913" s="132">
        <f t="shared" ref="AV913:AV926" ca="1" si="1678">+AV912*EXP(AU913)</f>
        <v>105.18678105419485</v>
      </c>
      <c r="AW913" s="134">
        <f t="shared" ref="AW913:AW926" ca="1" si="1679">LN(AV913/AV912)</f>
        <v>2.6236256154420323E-2</v>
      </c>
      <c r="AX913" s="56">
        <f>+AJ913/$AL$13</f>
        <v>1.4812559260918482E-2</v>
      </c>
      <c r="AY913" s="135">
        <f t="shared" ca="1" si="1677"/>
        <v>3.8862609907198829E-4</v>
      </c>
      <c r="AZ913" s="93"/>
      <c r="BA913" s="93"/>
      <c r="BB913" s="234">
        <f>IFERROR(INDEX('Total Customers'!$E$7:$AA$91,MATCH($C913,'Total Customers'!$C$7:$C$91,0),MATCH($G913,'Total Customers'!$E$5:$AA$5,0)),"NA")</f>
        <v>458407</v>
      </c>
      <c r="BC913" s="269">
        <f t="shared" si="1639"/>
        <v>3.1104387817933E-2</v>
      </c>
      <c r="BD913" s="92"/>
      <c r="BE913" s="299" t="str">
        <f t="shared" si="1635"/>
        <v>PUBLIC SERVICE COMPANY OF NORTH CAROLINA, INCORPORATED</v>
      </c>
      <c r="BF913" s="300">
        <f t="shared" si="1636"/>
        <v>4057139</v>
      </c>
      <c r="BG913" s="231" t="str">
        <f t="shared" si="1637"/>
        <v>NC</v>
      </c>
      <c r="BH913" s="231"/>
      <c r="BI913" s="231" t="str">
        <f t="shared" si="1638"/>
        <v>2008 Y</v>
      </c>
      <c r="BJ913" s="129"/>
      <c r="BK913" s="129"/>
      <c r="BL913" s="129">
        <f>INDEX('Dist. Plant Gas Additions'!$E$7:$AD$91,MATCH($C913,'Dist. Plant Gas Additions'!$C$7:$C$91,0),MATCH(Calculation!$G913,'Dist. Plant Gas Additions'!$E$5:$AD$5,0))</f>
        <v>57881</v>
      </c>
      <c r="BM913" s="129">
        <f>INDEX('Gen. Plant Additions'!$E$7:$AD$91,MATCH($C913,'Gen. Plant Additions'!$C$7:$C$91,0),MATCH(Calculation!$G913,'Gen. Plant Additions'!$E$5:$AD$5,0))</f>
        <v>9691</v>
      </c>
      <c r="BN913" s="301">
        <f t="shared" si="1644"/>
        <v>0.93839557348872693</v>
      </c>
      <c r="BO913" s="231">
        <f t="shared" si="1631"/>
        <v>9093.9915026792532</v>
      </c>
      <c r="BP913" s="231">
        <f t="shared" si="1632"/>
        <v>-597.00849732074676</v>
      </c>
      <c r="BQ913" s="129">
        <f>INDEX('Dist Plant Depreciation'!$D$7:$AC$94,MATCH($C913,'Dist Plant Depreciation'!$C$7:$C$94,0),MATCH(Calculation!$G913,'Dist Plant Depreciation'!$D$5:$AC$5,0))</f>
        <v>183712</v>
      </c>
      <c r="BR913" s="129">
        <f>INDEX('Gen. Plant Depreciation'!$D$7:$AC$94,MATCH($C913,'Gen. Plant Depreciation'!$C$7:$C$94,0),MATCH(Calculation!$G913,'Gen. Plant Depreciation'!$D$5:$AC$5,0))</f>
        <v>28188</v>
      </c>
      <c r="BS913" s="129"/>
      <c r="BT913" s="129"/>
      <c r="BU913" s="129"/>
      <c r="BV913" s="129"/>
      <c r="BW913" s="129"/>
      <c r="BX913" s="137"/>
      <c r="BY913" s="129">
        <f>INDEX('Gross Dx Plant'!$D$7:$AC$91,MATCH($C913,'Gross Dx Plant'!$C$7:$C$91,0),MATCH(Calculation!$G913,'Gross Dx Plant'!$D$5:$AC$5,0))</f>
        <v>1020965</v>
      </c>
      <c r="BZ913" s="129">
        <f>INDEX('Gross Gen Plant'!$D$7:$AC$91,MATCH($C913,'Gross Gen Plant'!$C$7:$C$91,0),MATCH(Calculation!$G913,'Gross Gen Plant'!$D$5:$AC$5,0))</f>
        <v>67025</v>
      </c>
      <c r="CA913" s="129">
        <f t="shared" si="1595"/>
        <v>876090</v>
      </c>
      <c r="CB913" s="129"/>
      <c r="CC913" s="133">
        <v>2008</v>
      </c>
      <c r="CD913" s="129"/>
      <c r="CE913" s="129"/>
      <c r="CF913" s="129"/>
      <c r="CG913" s="137"/>
      <c r="CH913" s="129">
        <f t="shared" si="1645"/>
        <v>67572</v>
      </c>
      <c r="CI913" s="46">
        <f t="shared" si="1654"/>
        <v>66974.991502679259</v>
      </c>
      <c r="CJ913" s="231">
        <f t="shared" si="1646"/>
        <v>117.52447898038645</v>
      </c>
      <c r="CK913" s="443">
        <v>0.89130434782608692</v>
      </c>
      <c r="CL913" s="231">
        <f>+CL903*CK913+CJ904*CK912+CJ905*CK911+CJ906*CK910+CJ907*CK909+CJ908*CK908+CJ909*CK907+CJ910*CK906+CJ911*CK905+CJ912*CK904+CJ913</f>
        <v>3390.9176332042912</v>
      </c>
      <c r="CM913" s="134">
        <f t="shared" si="1647"/>
        <v>2.2724937278849052E-2</v>
      </c>
      <c r="CN913" s="135">
        <f t="shared" si="1648"/>
        <v>1.2470122523825448E-2</v>
      </c>
      <c r="CO913" s="135">
        <f t="shared" si="1657"/>
        <v>1.2192913626906875E-2</v>
      </c>
      <c r="CP913" s="134">
        <f>VLOOKUP($H913,RoR!$E:$F,2,FALSE)</f>
        <v>5.6316666666666668E-2</v>
      </c>
      <c r="CQ913" s="135">
        <v>1.9092304698479889E-2</v>
      </c>
      <c r="CR913" s="135">
        <f t="shared" si="1655"/>
        <v>3.7224361968186778E-2</v>
      </c>
      <c r="CS913" s="135">
        <f t="shared" si="1658"/>
        <v>1.8709027981626748E-2</v>
      </c>
      <c r="CT913" s="135">
        <f t="shared" si="1659"/>
        <v>6.9030581091053131E-2</v>
      </c>
      <c r="CU913" s="139">
        <f t="shared" si="1649"/>
        <v>0.87050000000000005</v>
      </c>
      <c r="CV913" s="335">
        <f t="shared" si="1650"/>
        <v>0.91060168006009956</v>
      </c>
      <c r="CW913" s="335">
        <f t="shared" si="1651"/>
        <v>0.53108168097070152</v>
      </c>
      <c r="CX913" s="335">
        <f t="shared" si="1652"/>
        <v>0.88825329850328805</v>
      </c>
      <c r="CY913" s="335">
        <f t="shared" si="1653"/>
        <v>0.4295627335323573</v>
      </c>
      <c r="CZ913" s="336">
        <f>INDEX('State Tax Lookup'!$D$7:$Z$91,MATCH(Calculation!$C913,'State Tax Lookup'!$B$7:$B$91,0),MATCH($H913,'State Tax Lookup'!$D$6:$Z$6,0))</f>
        <v>0.35</v>
      </c>
      <c r="DA913" s="302">
        <v>0.37</v>
      </c>
      <c r="DB913" s="57">
        <f t="shared" si="1656"/>
        <v>14.186327970658981</v>
      </c>
      <c r="DC913" s="56">
        <f t="shared" si="1660"/>
        <v>0.12009474446168807</v>
      </c>
      <c r="DD913" s="303">
        <f>VLOOKUP($H913,RoR!$E:$F,2,FALSE)</f>
        <v>5.6316666666666668E-2</v>
      </c>
      <c r="DE913" s="304">
        <f>HLOOKUP($H913,'GDP-PI'!$D$8:$CQ$11,3,FALSE)</f>
        <v>1.9092304698479889E-2</v>
      </c>
      <c r="DF913" s="303">
        <f>VLOOKUP(H913,'HW Dx Data'!$E:$F,2,FALSE)</f>
        <v>569.88120333515076</v>
      </c>
      <c r="DG913" s="364">
        <f ca="1">VLOOKUP(CC913,'ECI - Input Price'!M$13:N$33,2,FALSE)</f>
        <v>107.9</v>
      </c>
      <c r="DH913" s="364"/>
      <c r="DI913" s="364"/>
      <c r="DJ913" s="56">
        <f t="shared" ca="1" si="1668"/>
        <v>3.1778595021460486E-2</v>
      </c>
      <c r="DK913" s="53">
        <f>HLOOKUP(H913,'GDP-PI'!$8:$9,2,FALSE)</f>
        <v>94.263999999999996</v>
      </c>
      <c r="DL913" s="355">
        <f t="shared" si="1661"/>
        <v>1.8912333748032254E-2</v>
      </c>
      <c r="EC913"/>
    </row>
    <row r="914" spans="1:133" s="126" customFormat="1" ht="21" customHeight="1" x14ac:dyDescent="0.4">
      <c r="A914" s="233" t="s">
        <v>236</v>
      </c>
      <c r="B914" s="126" t="s">
        <v>236</v>
      </c>
      <c r="C914" s="126">
        <v>4057139</v>
      </c>
      <c r="D914" s="127" t="s">
        <v>237</v>
      </c>
      <c r="E914" s="127"/>
      <c r="F914" s="144"/>
      <c r="G914" s="126" t="s">
        <v>165</v>
      </c>
      <c r="H914" s="128">
        <v>2009</v>
      </c>
      <c r="I914" s="129"/>
      <c r="J914" s="125">
        <f>IFERROR(INDEX('Labor Expenditures'!$E$7:$W$91,MATCH($C914,'Labor Expenditures'!$C$7:$C$91,0),MATCH($G914,'Labor Expenditures'!$E$5:$W$5,0)),"NA")</f>
        <v>27946.350497040828</v>
      </c>
      <c r="K914" s="125">
        <f t="shared" ca="1" si="1662"/>
        <v>251.93915255389524</v>
      </c>
      <c r="L914" s="47"/>
      <c r="M914" s="131">
        <f t="shared" ca="1" si="1669"/>
        <v>-8.9803461381935998E-2</v>
      </c>
      <c r="N914" s="131"/>
      <c r="O914" s="131"/>
      <c r="P914" s="59">
        <f t="shared" ca="1" si="1671"/>
        <v>-1.212767357847895E-3</v>
      </c>
      <c r="Q914" s="61"/>
      <c r="R914" s="387"/>
      <c r="S914" s="49">
        <f t="shared" ca="1" si="1676"/>
        <v>117.65841804215552</v>
      </c>
      <c r="T914" s="61">
        <f ca="1">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</f>
        <v>5.0878509959443437E-2</v>
      </c>
      <c r="U914" s="61"/>
      <c r="V914" s="125">
        <f>IFERROR(INDEX('Non-Labor Expenditures'!$E$7:$AA$91,MATCH($C914,'Non-Labor Expenditures'!$C$7:$C$91,0),MATCH($G914,'Non-Labor Expenditures'!$E$5:$AA$5,0)),"NA")</f>
        <v>40471.53517799094</v>
      </c>
      <c r="W914" s="125">
        <f t="shared" si="1663"/>
        <v>426.02064419615937</v>
      </c>
      <c r="X914" s="131">
        <f t="shared" si="1672"/>
        <v>-6.9921045199361501E-2</v>
      </c>
      <c r="Y914" s="131">
        <f t="shared" si="1673"/>
        <v>-9.4426161240873999E-4</v>
      </c>
      <c r="Z914" s="131"/>
      <c r="AA914" s="131"/>
      <c r="AB914" s="131"/>
      <c r="AC914" s="125">
        <f t="shared" si="1643"/>
        <v>45788.849755235977</v>
      </c>
      <c r="AD914" s="129"/>
      <c r="AE914" s="133">
        <v>3599.8211309823059</v>
      </c>
      <c r="AF914" s="134">
        <v>8.9513882326597728E-3</v>
      </c>
      <c r="AG914" s="59">
        <f t="shared" si="1664"/>
        <v>1.2088566842454929E-4</v>
      </c>
      <c r="AH914" s="134"/>
      <c r="AI914" s="134"/>
      <c r="AJ914" s="129">
        <f t="shared" si="1588"/>
        <v>114206.73543026774</v>
      </c>
      <c r="AK914" s="134">
        <f t="shared" si="1674"/>
        <v>-4.8056199012037816E-2</v>
      </c>
      <c r="AL914" s="129"/>
      <c r="AM914" s="129"/>
      <c r="AN914" s="129"/>
      <c r="AO914" s="129"/>
      <c r="AP914" s="133">
        <f t="shared" si="1675"/>
        <v>245.18616611191968</v>
      </c>
      <c r="AQ914" s="134">
        <f>+BB914/Outputs!$B$17</f>
        <v>1.3241406443884296E-2</v>
      </c>
      <c r="AR914" s="93">
        <f t="shared" si="1665"/>
        <v>0.24469967022307795</v>
      </c>
      <c r="AS914" s="93">
        <f t="shared" si="1666"/>
        <v>0.35437082607708387</v>
      </c>
      <c r="AT914" s="93">
        <f t="shared" si="1667"/>
        <v>0.40092950369983821</v>
      </c>
      <c r="AU914" s="93">
        <f t="shared" ca="1" si="1670"/>
        <v>-4.3533938967147821E-2</v>
      </c>
      <c r="AV914" s="132">
        <f t="shared" ca="1" si="1678"/>
        <v>100.70583053145127</v>
      </c>
      <c r="AW914" s="134">
        <f t="shared" ca="1" si="1679"/>
        <v>-4.3533938967147794E-2</v>
      </c>
      <c r="AX914" s="56">
        <f>+AJ914/$AL$14</f>
        <v>1.3504683886180847E-2</v>
      </c>
      <c r="AY914" s="135">
        <f t="shared" ca="1" si="1677"/>
        <v>-5.8791208407162131E-4</v>
      </c>
      <c r="AZ914" s="93"/>
      <c r="BA914" s="93"/>
      <c r="BB914" s="234">
        <f>IFERROR(INDEX('Total Customers'!$E$7:$AA$91,MATCH($C914,'Total Customers'!$C$7:$C$91,0),MATCH($G914,'Total Customers'!$E$5:$AA$5,0)),"NA")</f>
        <v>465796</v>
      </c>
      <c r="BC914" s="269">
        <f t="shared" si="1639"/>
        <v>1.5990334246767449E-2</v>
      </c>
      <c r="BD914" s="92"/>
      <c r="BE914" s="299" t="str">
        <f t="shared" si="1635"/>
        <v>PUBLIC SERVICE COMPANY OF NORTH CAROLINA, INCORPORATED</v>
      </c>
      <c r="BF914" s="300">
        <f t="shared" si="1636"/>
        <v>4057139</v>
      </c>
      <c r="BG914" s="231" t="str">
        <f t="shared" si="1637"/>
        <v>NC</v>
      </c>
      <c r="BH914" s="231"/>
      <c r="BI914" s="231" t="str">
        <f t="shared" si="1638"/>
        <v>2009 Y</v>
      </c>
      <c r="BJ914" s="129"/>
      <c r="BK914" s="129"/>
      <c r="BL914" s="129">
        <f>INDEX('Dist. Plant Gas Additions'!$E$7:$AD$91,MATCH($C914,'Dist. Plant Gas Additions'!$C$7:$C$91,0),MATCH(Calculation!$G914,'Dist. Plant Gas Additions'!$E$5:$AD$5,0))</f>
        <v>26503</v>
      </c>
      <c r="BM914" s="129">
        <f>INDEX('Gen. Plant Additions'!$E$7:$AD$91,MATCH($C914,'Gen. Plant Additions'!$C$7:$C$91,0),MATCH(Calculation!$G914,'Gen. Plant Additions'!$E$5:$AD$5,0))</f>
        <v>4436</v>
      </c>
      <c r="BN914" s="301">
        <f t="shared" si="1644"/>
        <v>0.93788684047787629</v>
      </c>
      <c r="BO914" s="231">
        <f t="shared" si="1631"/>
        <v>4160.4660243598591</v>
      </c>
      <c r="BP914" s="231">
        <f t="shared" si="1632"/>
        <v>-275.53397564014085</v>
      </c>
      <c r="BQ914" s="129">
        <f>INDEX('Dist Plant Depreciation'!$D$7:$AC$94,MATCH($C914,'Dist Plant Depreciation'!$C$7:$C$94,0),MATCH(Calculation!$G914,'Dist Plant Depreciation'!$D$5:$AC$5,0))</f>
        <v>199152</v>
      </c>
      <c r="BR914" s="129">
        <f>INDEX('Gen. Plant Depreciation'!$D$7:$AC$94,MATCH($C914,'Gen. Plant Depreciation'!$C$7:$C$94,0),MATCH(Calculation!$G914,'Gen. Plant Depreciation'!$D$5:$AC$5,0))</f>
        <v>30020</v>
      </c>
      <c r="BS914" s="129"/>
      <c r="BT914" s="129"/>
      <c r="BU914" s="129"/>
      <c r="BV914" s="129"/>
      <c r="BW914" s="129"/>
      <c r="BX914" s="137"/>
      <c r="BY914" s="129">
        <f>INDEX('Gross Dx Plant'!$D$7:$AC$91,MATCH($C914,'Gross Dx Plant'!$C$7:$C$91,0),MATCH(Calculation!$G914,'Gross Dx Plant'!$D$5:$AC$5,0))</f>
        <v>1046466</v>
      </c>
      <c r="BZ914" s="129">
        <f>INDEX('Gross Gen Plant'!$D$7:$AC$91,MATCH($C914,'Gross Gen Plant'!$C$7:$C$91,0),MATCH(Calculation!$G914,'Gross Gen Plant'!$D$5:$AC$5,0))</f>
        <v>69304</v>
      </c>
      <c r="CA914" s="129">
        <f t="shared" si="1595"/>
        <v>886598</v>
      </c>
      <c r="CB914" s="129"/>
      <c r="CC914" s="133">
        <v>2009</v>
      </c>
      <c r="CD914" s="129"/>
      <c r="CE914" s="129"/>
      <c r="CF914" s="129"/>
      <c r="CG914" s="137"/>
      <c r="CH914" s="129">
        <f t="shared" si="1645"/>
        <v>30939</v>
      </c>
      <c r="CI914" s="46">
        <f t="shared" si="1654"/>
        <v>30663.466024359859</v>
      </c>
      <c r="CJ914" s="231">
        <f t="shared" si="1646"/>
        <v>55.656569830520866</v>
      </c>
      <c r="CK914" s="443">
        <v>0.87912087912087911</v>
      </c>
      <c r="CL914" s="231">
        <f>+CL903*CK914+CJ904*CK913+CJ905*CK912+CJ906*CK911+CJ907*CK910+CJ908*CK909+CJ909*CK908+CJ910*CK907+CJ911*CK906+CJ912*CK905+CJ913*CK904+CJ914</f>
        <v>3403.1820662956143</v>
      </c>
      <c r="CM914" s="134">
        <f t="shared" si="1647"/>
        <v>3.6103227669388917E-3</v>
      </c>
      <c r="CN914" s="135">
        <f t="shared" si="1648"/>
        <v>1.27965764530216E-2</v>
      </c>
      <c r="CO914" s="135">
        <f t="shared" si="1657"/>
        <v>1.2484970769603856E-2</v>
      </c>
      <c r="CP914" s="134">
        <f>VLOOKUP($H914,RoR!$E:$F,2,FALSE)</f>
        <v>5.3133333333333324E-2</v>
      </c>
      <c r="CQ914" s="135">
        <v>7.7972502758210105E-3</v>
      </c>
      <c r="CR914" s="135">
        <f t="shared" si="1655"/>
        <v>4.5336083057512314E-2</v>
      </c>
      <c r="CS914" s="135">
        <f t="shared" si="1658"/>
        <v>1.8416970838929771E-2</v>
      </c>
      <c r="CT914" s="135">
        <f t="shared" si="1659"/>
        <v>6.3720160300892073E-2</v>
      </c>
      <c r="CU914" s="139">
        <f t="shared" si="1649"/>
        <v>0.87050000000000005</v>
      </c>
      <c r="CV914" s="335">
        <f t="shared" si="1650"/>
        <v>0.96515780330083989</v>
      </c>
      <c r="CW914" s="335">
        <f t="shared" si="1651"/>
        <v>0.50448557089084056</v>
      </c>
      <c r="CX914" s="335">
        <f t="shared" si="1652"/>
        <v>0.87391435735465484</v>
      </c>
      <c r="CY914" s="335">
        <f t="shared" si="1653"/>
        <v>0.42551605393279146</v>
      </c>
      <c r="CZ914" s="336">
        <f>INDEX('State Tax Lookup'!$D$7:$Z$91,MATCH(Calculation!$C914,'State Tax Lookup'!$B$7:$B$91,0),MATCH($H914,'State Tax Lookup'!$D$6:$Z$6,0))</f>
        <v>0.35</v>
      </c>
      <c r="DA914" s="302">
        <v>0.37</v>
      </c>
      <c r="DB914" s="57">
        <f t="shared" si="1656"/>
        <v>13.503380119548117</v>
      </c>
      <c r="DC914" s="56">
        <f t="shared" si="1660"/>
        <v>-4.933864850109989E-2</v>
      </c>
      <c r="DD914" s="303">
        <f>VLOOKUP($H914,RoR!$E:$F,2,FALSE)</f>
        <v>5.3133333333333324E-2</v>
      </c>
      <c r="DE914" s="304">
        <f>HLOOKUP($H914,'GDP-PI'!$D$8:$CQ$11,3,FALSE)</f>
        <v>7.7972502758210105E-3</v>
      </c>
      <c r="DF914" s="303">
        <f>VLOOKUP(H914,'HW Dx Data'!$E:$F,2,FALSE)</f>
        <v>550.94063679692806</v>
      </c>
      <c r="DG914" s="364">
        <f ca="1">VLOOKUP(CC914,'ECI - Input Price'!M$13:N$33,2,FALSE)</f>
        <v>110.925</v>
      </c>
      <c r="DH914" s="364"/>
      <c r="DI914" s="364"/>
      <c r="DJ914" s="56">
        <f t="shared" ca="1" si="1668"/>
        <v>2.7649425000884052E-2</v>
      </c>
      <c r="DK914" s="53">
        <f>HLOOKUP(H914,'GDP-PI'!$8:$9,2,FALSE)</f>
        <v>94.998999999999995</v>
      </c>
      <c r="DL914" s="355">
        <f t="shared" si="1661"/>
        <v>7.7670088183096342E-3</v>
      </c>
      <c r="EC914"/>
    </row>
    <row r="915" spans="1:133" s="126" customFormat="1" ht="21" customHeight="1" x14ac:dyDescent="0.4">
      <c r="A915" s="233" t="s">
        <v>236</v>
      </c>
      <c r="B915" s="126" t="s">
        <v>236</v>
      </c>
      <c r="C915" s="126">
        <v>4057139</v>
      </c>
      <c r="D915" s="127" t="s">
        <v>237</v>
      </c>
      <c r="E915" s="127"/>
      <c r="F915" s="144"/>
      <c r="G915" s="126" t="s">
        <v>166</v>
      </c>
      <c r="H915" s="128">
        <v>2010</v>
      </c>
      <c r="I915" s="129"/>
      <c r="J915" s="125">
        <f>IFERROR(INDEX('Labor Expenditures'!$E$7:$W$91,MATCH($C915,'Labor Expenditures'!$C$7:$C$91,0),MATCH($G915,'Labor Expenditures'!$E$5:$W$5,0)),"NA")</f>
        <v>28207.661375676704</v>
      </c>
      <c r="K915" s="125">
        <f t="shared" ca="1" si="1662"/>
        <v>241.24576759184694</v>
      </c>
      <c r="L915" s="47"/>
      <c r="M915" s="131">
        <f t="shared" ca="1" si="1669"/>
        <v>-4.3371403831789501E-2</v>
      </c>
      <c r="N915" s="131"/>
      <c r="O915" s="131"/>
      <c r="P915" s="59">
        <f t="shared" ca="1" si="1671"/>
        <v>-5.7579155954848272E-4</v>
      </c>
      <c r="Q915" s="61"/>
      <c r="R915" s="387"/>
      <c r="S915" s="49">
        <f t="shared" ca="1" si="1676"/>
        <v>96.75677766750556</v>
      </c>
      <c r="T915" s="61">
        <f ca="1">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</f>
        <v>-0.19558528131603703</v>
      </c>
      <c r="U915" s="61"/>
      <c r="V915" s="125">
        <f>IFERROR(INDEX('Non-Labor Expenditures'!$E$7:$AA$91,MATCH($C915,'Non-Labor Expenditures'!$C$7:$C$91,0),MATCH($G915,'Non-Labor Expenditures'!$E$5:$AA$5,0)),"NA")</f>
        <v>40849.962136395523</v>
      </c>
      <c r="W915" s="125">
        <f t="shared" si="1663"/>
        <v>425.0378438688939</v>
      </c>
      <c r="X915" s="131">
        <f t="shared" si="1672"/>
        <v>-2.3095962919631521E-3</v>
      </c>
      <c r="Y915" s="131">
        <f t="shared" si="1673"/>
        <v>-3.0661817081930202E-5</v>
      </c>
      <c r="Z915" s="131"/>
      <c r="AA915" s="131"/>
      <c r="AB915" s="131"/>
      <c r="AC915" s="125">
        <f t="shared" si="1643"/>
        <v>46675.09618122426</v>
      </c>
      <c r="AD915" s="129"/>
      <c r="AE915" s="133">
        <v>3647.1096858030705</v>
      </c>
      <c r="AF915" s="134">
        <v>1.3050828609489225E-2</v>
      </c>
      <c r="AG915" s="59">
        <f t="shared" si="1664"/>
        <v>1.7326063476298843E-4</v>
      </c>
      <c r="AH915" s="134"/>
      <c r="AI915" s="134"/>
      <c r="AJ915" s="129">
        <f t="shared" si="1588"/>
        <v>115732.71969329649</v>
      </c>
      <c r="AK915" s="134">
        <f t="shared" si="1674"/>
        <v>1.32731171827884E-2</v>
      </c>
      <c r="AL915" s="129"/>
      <c r="AM915" s="129"/>
      <c r="AN915" s="129"/>
      <c r="AO915" s="129"/>
      <c r="AP915" s="133">
        <f t="shared" si="1675"/>
        <v>244.88255455040994</v>
      </c>
      <c r="AQ915" s="134">
        <f>+BB915/Outputs!$B$18</f>
        <v>1.3361460899424322E-2</v>
      </c>
      <c r="AR915" s="93">
        <f t="shared" si="1665"/>
        <v>0.24373108530094068</v>
      </c>
      <c r="AS915" s="93">
        <f t="shared" si="1666"/>
        <v>0.35296813420311984</v>
      </c>
      <c r="AT915" s="93">
        <f t="shared" si="1667"/>
        <v>0.40330078049593948</v>
      </c>
      <c r="AU915" s="93">
        <f t="shared" ca="1" si="1670"/>
        <v>-6.1608616899612931E-3</v>
      </c>
      <c r="AV915" s="132">
        <f t="shared" ca="1" si="1678"/>
        <v>100.08730312548623</v>
      </c>
      <c r="AW915" s="134">
        <f t="shared" ca="1" si="1679"/>
        <v>-6.1608616899614206E-3</v>
      </c>
      <c r="AX915" s="56">
        <f>+AJ915/$AL$15</f>
        <v>1.3275834044515078E-2</v>
      </c>
      <c r="AY915" s="135">
        <f t="shared" ca="1" si="1677"/>
        <v>-8.1790577367138516E-5</v>
      </c>
      <c r="AZ915" s="93"/>
      <c r="BA915" s="93"/>
      <c r="BB915" s="234">
        <f>IFERROR(INDEX('Total Customers'!$E$7:$AA$91,MATCH($C915,'Total Customers'!$C$7:$C$91,0),MATCH($G915,'Total Customers'!$E$5:$AA$5,0)),"NA")</f>
        <v>472605</v>
      </c>
      <c r="BC915" s="269">
        <f t="shared" si="1639"/>
        <v>1.4512174431506618E-2</v>
      </c>
      <c r="BD915" s="92"/>
      <c r="BE915" s="299" t="str">
        <f t="shared" si="1635"/>
        <v>PUBLIC SERVICE COMPANY OF NORTH CAROLINA, INCORPORATED</v>
      </c>
      <c r="BF915" s="300">
        <f t="shared" si="1636"/>
        <v>4057139</v>
      </c>
      <c r="BG915" s="231" t="str">
        <f t="shared" si="1637"/>
        <v>NC</v>
      </c>
      <c r="BH915" s="231"/>
      <c r="BI915" s="231" t="str">
        <f t="shared" si="1638"/>
        <v>2010 Y</v>
      </c>
      <c r="BJ915" s="129"/>
      <c r="BK915" s="129"/>
      <c r="BL915" s="129">
        <f>INDEX('Dist. Plant Gas Additions'!$E$7:$AD$91,MATCH($C915,'Dist. Plant Gas Additions'!$C$7:$C$91,0),MATCH(Calculation!$G915,'Dist. Plant Gas Additions'!$E$5:$AD$5,0))</f>
        <v>34391</v>
      </c>
      <c r="BM915" s="129">
        <f>INDEX('Gen. Plant Additions'!$E$7:$AD$91,MATCH($C915,'Gen. Plant Additions'!$C$7:$C$91,0),MATCH(Calculation!$G915,'Gen. Plant Additions'!$E$5:$AD$5,0))</f>
        <v>6850</v>
      </c>
      <c r="BN915" s="301">
        <f t="shared" si="1644"/>
        <v>0.93921463714744335</v>
      </c>
      <c r="BO915" s="231">
        <f t="shared" si="1631"/>
        <v>6433.6202644599871</v>
      </c>
      <c r="BP915" s="231">
        <f t="shared" si="1632"/>
        <v>-416.37973554001292</v>
      </c>
      <c r="BQ915" s="129">
        <f>INDEX('Dist Plant Depreciation'!$D$7:$AC$94,MATCH($C915,'Dist Plant Depreciation'!$C$7:$C$94,0),MATCH(Calculation!$G915,'Dist Plant Depreciation'!$D$5:$AC$5,0))</f>
        <v>214896</v>
      </c>
      <c r="BR915" s="129">
        <f>INDEX('Gen. Plant Depreciation'!$D$7:$AC$94,MATCH($C915,'Gen. Plant Depreciation'!$C$7:$C$94,0),MATCH(Calculation!$G915,'Gen. Plant Depreciation'!$D$5:$AC$5,0))</f>
        <v>28237</v>
      </c>
      <c r="BS915" s="129"/>
      <c r="BT915" s="129"/>
      <c r="BU915" s="129"/>
      <c r="BV915" s="129"/>
      <c r="BW915" s="129"/>
      <c r="BX915" s="137"/>
      <c r="BY915" s="129">
        <f>INDEX('Gross Dx Plant'!$D$7:$AC$91,MATCH($C915,'Gross Dx Plant'!$C$7:$C$91,0),MATCH(Calculation!$G915,'Gross Dx Plant'!$D$5:$AC$5,0))</f>
        <v>1077792</v>
      </c>
      <c r="BZ915" s="129">
        <f>INDEX('Gross Gen Plant'!$D$7:$AC$91,MATCH($C915,'Gross Gen Plant'!$C$7:$C$91,0),MATCH(Calculation!$G915,'Gross Gen Plant'!$D$5:$AC$5,0))</f>
        <v>69754</v>
      </c>
      <c r="CA915" s="129">
        <f t="shared" si="1595"/>
        <v>904413</v>
      </c>
      <c r="CB915" s="129"/>
      <c r="CC915" s="133">
        <v>2010</v>
      </c>
      <c r="CD915" s="129"/>
      <c r="CE915" s="129"/>
      <c r="CF915" s="129"/>
      <c r="CG915" s="137"/>
      <c r="CH915" s="129">
        <f t="shared" si="1645"/>
        <v>41241</v>
      </c>
      <c r="CI915" s="46">
        <f t="shared" si="1654"/>
        <v>40824.620264459983</v>
      </c>
      <c r="CJ915" s="231">
        <f t="shared" si="1646"/>
        <v>71.749338214113791</v>
      </c>
      <c r="CK915" s="443">
        <v>0.8666666666666667</v>
      </c>
      <c r="CL915" s="231">
        <f>+CL903*CK915+CJ904*CK914+CJ905*CK913+CJ906*CK912+CJ907*CK911+CJ908*CK910+CJ909*CK909+CJ910*CK908+CJ911*CK907+CJ912*CK906+CJ913*CK905+CJ914*CK904+CJ915</f>
        <v>3430.0421699247272</v>
      </c>
      <c r="CM915" s="134">
        <f t="shared" si="1647"/>
        <v>7.8616597502751545E-3</v>
      </c>
      <c r="CN915" s="135">
        <f t="shared" si="1648"/>
        <v>1.3190371161617894E-2</v>
      </c>
      <c r="CO915" s="135">
        <f t="shared" si="1657"/>
        <v>1.2819023379488315E-2</v>
      </c>
      <c r="CP915" s="134">
        <f>VLOOKUP($H915,RoR!$E:$F,2,FALSE)</f>
        <v>4.9433333333333322E-2</v>
      </c>
      <c r="CQ915" s="135">
        <v>1.1684333519300205E-2</v>
      </c>
      <c r="CR915" s="135">
        <f t="shared" si="1655"/>
        <v>3.7748999814033117E-2</v>
      </c>
      <c r="CS915" s="135">
        <f t="shared" si="1658"/>
        <v>1.808291822904531E-2</v>
      </c>
      <c r="CT915" s="135">
        <f t="shared" si="1659"/>
        <v>4.7937530248493419E-2</v>
      </c>
      <c r="CU915" s="139">
        <f t="shared" si="1649"/>
        <v>0.87050000000000005</v>
      </c>
      <c r="CV915" s="335">
        <f t="shared" si="1650"/>
        <v>1.037398205301105</v>
      </c>
      <c r="CW915" s="335">
        <f t="shared" si="1651"/>
        <v>0.46926837491571133</v>
      </c>
      <c r="CX915" s="335">
        <f t="shared" si="1652"/>
        <v>0.8548537519972772</v>
      </c>
      <c r="CY915" s="335">
        <f t="shared" si="1653"/>
        <v>0.41615833911547367</v>
      </c>
      <c r="CZ915" s="336">
        <f>INDEX('State Tax Lookup'!$D$7:$Z$91,MATCH(Calculation!$C915,'State Tax Lookup'!$B$7:$B$91,0),MATCH($H915,'State Tax Lookup'!$D$6:$Z$6,0))</f>
        <v>0.35</v>
      </c>
      <c r="DA915" s="302">
        <v>0.37</v>
      </c>
      <c r="DB915" s="57">
        <f t="shared" si="1656"/>
        <v>13.715133446277942</v>
      </c>
      <c r="DC915" s="56">
        <f t="shared" si="1660"/>
        <v>1.5559820962706227E-2</v>
      </c>
      <c r="DD915" s="303">
        <f>VLOOKUP($H915,RoR!$E:$F,2,FALSE)</f>
        <v>4.9433333333333322E-2</v>
      </c>
      <c r="DE915" s="304">
        <f>HLOOKUP($H915,'GDP-PI'!$D$8:$CQ$11,3,FALSE)</f>
        <v>1.1684333519300205E-2</v>
      </c>
      <c r="DF915" s="303">
        <f>VLOOKUP(H915,'HW Dx Data'!$E:$F,2,FALSE)</f>
        <v>568.98950262971744</v>
      </c>
      <c r="DG915" s="364">
        <f ca="1">VLOOKUP(CC915,'ECI - Input Price'!M$13:N$33,2,FALSE)</f>
        <v>116.925</v>
      </c>
      <c r="DH915" s="364"/>
      <c r="DI915" s="364"/>
      <c r="DJ915" s="56">
        <f t="shared" ca="1" si="1668"/>
        <v>5.2678406346976722E-2</v>
      </c>
      <c r="DK915" s="53">
        <f>HLOOKUP(H915,'GDP-PI'!$8:$9,2,FALSE)</f>
        <v>96.108999999999995</v>
      </c>
      <c r="DL915" s="355">
        <f t="shared" si="1661"/>
        <v>1.1616598807150427E-2</v>
      </c>
      <c r="EC915"/>
    </row>
    <row r="916" spans="1:133" s="126" customFormat="1" ht="21" customHeight="1" x14ac:dyDescent="0.4">
      <c r="A916" s="233" t="s">
        <v>236</v>
      </c>
      <c r="B916" s="126" t="s">
        <v>236</v>
      </c>
      <c r="C916" s="126">
        <v>4057139</v>
      </c>
      <c r="D916" s="127" t="s">
        <v>237</v>
      </c>
      <c r="E916" s="127"/>
      <c r="F916" s="144"/>
      <c r="G916" s="126" t="s">
        <v>167</v>
      </c>
      <c r="H916" s="128">
        <v>2011</v>
      </c>
      <c r="I916" s="129"/>
      <c r="J916" s="125">
        <f>IFERROR(INDEX('Labor Expenditures'!$E$7:$W$91,MATCH($C916,'Labor Expenditures'!$C$7:$C$91,0),MATCH($G916,'Labor Expenditures'!$E$5:$W$5,0)),"NA")</f>
        <v>27594.905154207478</v>
      </c>
      <c r="K916" s="125">
        <f t="shared" ca="1" si="1662"/>
        <v>228.29290717027902</v>
      </c>
      <c r="L916" s="47"/>
      <c r="M916" s="131">
        <f t="shared" ca="1" si="1669"/>
        <v>-5.5186711374643531E-2</v>
      </c>
      <c r="N916" s="131"/>
      <c r="O916" s="131"/>
      <c r="P916" s="59">
        <f t="shared" ca="1" si="1671"/>
        <v>-7.1293303851718208E-4</v>
      </c>
      <c r="Q916" s="61"/>
      <c r="R916" s="387"/>
      <c r="S916" s="49">
        <f t="shared" ca="1" si="1676"/>
        <v>116.94646013257562</v>
      </c>
      <c r="T916" s="61">
        <f ca="1">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</f>
        <v>0.18951584149265591</v>
      </c>
      <c r="U916" s="61"/>
      <c r="V916" s="125">
        <f>IFERROR(INDEX('Non-Labor Expenditures'!$E$7:$AA$91,MATCH($C916,'Non-Labor Expenditures'!$C$7:$C$91,0),MATCH($G916,'Non-Labor Expenditures'!$E$5:$AA$5,0)),"NA")</f>
        <v>39962.576680632686</v>
      </c>
      <c r="W916" s="125">
        <f t="shared" si="1663"/>
        <v>407.31589082510487</v>
      </c>
      <c r="X916" s="131">
        <f t="shared" si="1672"/>
        <v>-4.2589180425984134E-2</v>
      </c>
      <c r="Y916" s="131">
        <f t="shared" si="1673"/>
        <v>-5.5019103426779423E-4</v>
      </c>
      <c r="Z916" s="131"/>
      <c r="AA916" s="131"/>
      <c r="AB916" s="131"/>
      <c r="AC916" s="125">
        <f t="shared" si="1643"/>
        <v>49648.533952775324</v>
      </c>
      <c r="AD916" s="129"/>
      <c r="AE916" s="133">
        <v>3717.9172224071417</v>
      </c>
      <c r="AF916" s="134">
        <v>1.9228638041493131E-2</v>
      </c>
      <c r="AG916" s="59">
        <f t="shared" si="1664"/>
        <v>2.4840638269609747E-4</v>
      </c>
      <c r="AH916" s="134"/>
      <c r="AI916" s="134"/>
      <c r="AJ916" s="129">
        <f t="shared" si="1588"/>
        <v>117206.01578761548</v>
      </c>
      <c r="AK916" s="134">
        <f t="shared" si="1674"/>
        <v>1.2649813156707126E-2</v>
      </c>
      <c r="AL916" s="129"/>
      <c r="AM916" s="129"/>
      <c r="AN916" s="129"/>
      <c r="AO916" s="129"/>
      <c r="AP916" s="133">
        <f t="shared" si="1675"/>
        <v>244.03684473143892</v>
      </c>
      <c r="AQ916" s="134">
        <f>+BB916/Outputs!$B$19</f>
        <v>1.3512932172637696E-2</v>
      </c>
      <c r="AR916" s="93">
        <f t="shared" si="1665"/>
        <v>0.23543932424263225</v>
      </c>
      <c r="AS916" s="93">
        <f t="shared" si="1666"/>
        <v>0.3409601155033487</v>
      </c>
      <c r="AT916" s="93">
        <f t="shared" si="1667"/>
        <v>0.4236005602540191</v>
      </c>
      <c r="AU916" s="93">
        <f t="shared" ca="1" si="1670"/>
        <v>-2.0048743971440366E-2</v>
      </c>
      <c r="AV916" s="132">
        <f t="shared" ca="1" si="1678"/>
        <v>98.100659806148556</v>
      </c>
      <c r="AW916" s="134">
        <f t="shared" ca="1" si="1679"/>
        <v>-2.0048743971440318E-2</v>
      </c>
      <c r="AX916" s="56">
        <f>+AJ916/$AL$16</f>
        <v>1.2918563559211308E-2</v>
      </c>
      <c r="AY916" s="135">
        <f t="shared" ca="1" si="1677"/>
        <v>-2.5900097327740632E-4</v>
      </c>
      <c r="AZ916" s="93"/>
      <c r="BA916" s="93"/>
      <c r="BB916" s="234">
        <f>IFERROR(INDEX('Total Customers'!$E$7:$AA$91,MATCH($C916,'Total Customers'!$C$7:$C$91,0),MATCH($G916,'Total Customers'!$E$5:$AA$5,0)),"NA")</f>
        <v>480280</v>
      </c>
      <c r="BC916" s="269">
        <f t="shared" si="1639"/>
        <v>1.6109322694198191E-2</v>
      </c>
      <c r="BD916" s="92"/>
      <c r="BE916" s="299" t="str">
        <f t="shared" si="1635"/>
        <v>PUBLIC SERVICE COMPANY OF NORTH CAROLINA, INCORPORATED</v>
      </c>
      <c r="BF916" s="300">
        <f t="shared" si="1636"/>
        <v>4057139</v>
      </c>
      <c r="BG916" s="231" t="str">
        <f t="shared" si="1637"/>
        <v>NC</v>
      </c>
      <c r="BH916" s="231"/>
      <c r="BI916" s="231" t="str">
        <f t="shared" si="1638"/>
        <v>2011 Y</v>
      </c>
      <c r="BJ916" s="129"/>
      <c r="BK916" s="129"/>
      <c r="BL916" s="129">
        <f>INDEX('Dist. Plant Gas Additions'!$E$7:$AD$91,MATCH($C916,'Dist. Plant Gas Additions'!$C$7:$C$91,0),MATCH(Calculation!$G916,'Dist. Plant Gas Additions'!$E$5:$AD$5,0))</f>
        <v>51184</v>
      </c>
      <c r="BM916" s="129">
        <f>INDEX('Gen. Plant Additions'!$E$7:$AD$91,MATCH($C916,'Gen. Plant Additions'!$C$7:$C$91,0),MATCH(Calculation!$G916,'Gen. Plant Additions'!$E$5:$AD$5,0))</f>
        <v>8295</v>
      </c>
      <c r="BN916" s="301">
        <f t="shared" si="1644"/>
        <v>0.94063331552602858</v>
      </c>
      <c r="BO916" s="231">
        <f t="shared" si="1631"/>
        <v>7802.553352288407</v>
      </c>
      <c r="BP916" s="231">
        <f t="shared" si="1632"/>
        <v>-492.44664771159296</v>
      </c>
      <c r="BQ916" s="129">
        <f>INDEX('Dist Plant Depreciation'!$D$7:$AC$94,MATCH($C916,'Dist Plant Depreciation'!$C$7:$C$94,0),MATCH(Calculation!$G916,'Dist Plant Depreciation'!$D$5:$AC$5,0))</f>
        <v>228187</v>
      </c>
      <c r="BR916" s="129">
        <f>INDEX('Gen. Plant Depreciation'!$D$7:$AC$94,MATCH($C916,'Gen. Plant Depreciation'!$C$7:$C$94,0),MATCH(Calculation!$G916,'Gen. Plant Depreciation'!$D$5:$AC$5,0))</f>
        <v>25005</v>
      </c>
      <c r="BS916" s="129"/>
      <c r="BT916" s="129"/>
      <c r="BU916" s="129"/>
      <c r="BV916" s="129"/>
      <c r="BW916" s="129"/>
      <c r="BX916" s="137"/>
      <c r="BY916" s="129">
        <f>INDEX('Gross Dx Plant'!$D$7:$AC$91,MATCH($C916,'Gross Dx Plant'!$C$7:$C$91,0),MATCH(Calculation!$G916,'Gross Dx Plant'!$D$5:$AC$5,0))</f>
        <v>1114563</v>
      </c>
      <c r="BZ916" s="129">
        <f>INDEX('Gross Gen Plant'!$D$7:$AC$91,MATCH($C916,'Gross Gen Plant'!$C$7:$C$91,0),MATCH(Calculation!$G916,'Gross Gen Plant'!$D$5:$AC$5,0))</f>
        <v>70344</v>
      </c>
      <c r="CA916" s="129">
        <f t="shared" si="1595"/>
        <v>931715</v>
      </c>
      <c r="CB916" s="129"/>
      <c r="CC916" s="133">
        <v>2011</v>
      </c>
      <c r="CD916" s="129"/>
      <c r="CE916" s="129"/>
      <c r="CF916" s="129"/>
      <c r="CG916" s="137"/>
      <c r="CH916" s="129">
        <f t="shared" si="1645"/>
        <v>59479</v>
      </c>
      <c r="CI916" s="46">
        <f t="shared" si="1654"/>
        <v>58986.553352288407</v>
      </c>
      <c r="CJ916" s="231">
        <f t="shared" si="1646"/>
        <v>96.4445441330612</v>
      </c>
      <c r="CK916" s="443">
        <v>0.8539325842696629</v>
      </c>
      <c r="CL916" s="231">
        <f>+CL903*CK916+CJ904*CK915+CJ905*CK914+CJ906*CK913+CJ907*CK912+CJ908*CK911+CJ909*CK910+CJ910*CK909+CJ911*CK908+CJ912*CK907+CJ913*CK906+CJ914*CK905+CJ915*CK904+CJ916</f>
        <v>3479.8987142066062</v>
      </c>
      <c r="CM916" s="134">
        <f t="shared" si="1647"/>
        <v>1.4430632708808169E-2</v>
      </c>
      <c r="CN916" s="135">
        <f t="shared" si="1648"/>
        <v>1.3582340257992976E-2</v>
      </c>
      <c r="CO916" s="135">
        <f t="shared" si="1657"/>
        <v>1.3189762624210824E-2</v>
      </c>
      <c r="CP916" s="134">
        <f>VLOOKUP($H916,RoR!$E:$F,2,FALSE)</f>
        <v>4.6391666666666664E-2</v>
      </c>
      <c r="CQ916" s="135">
        <v>2.0840920205183799E-2</v>
      </c>
      <c r="CR916" s="135">
        <f t="shared" si="1655"/>
        <v>2.5550746461482865E-2</v>
      </c>
      <c r="CS916" s="135">
        <f t="shared" si="1658"/>
        <v>1.7712178984322799E-2</v>
      </c>
      <c r="CT916" s="135">
        <f t="shared" si="1659"/>
        <v>2.4810540821321614E-2</v>
      </c>
      <c r="CU916" s="139">
        <f t="shared" si="1649"/>
        <v>0.87050000000000005</v>
      </c>
      <c r="CV916" s="335">
        <f t="shared" si="1650"/>
        <v>1.1054151524782025</v>
      </c>
      <c r="CW916" s="335">
        <f t="shared" si="1651"/>
        <v>0.43611011316687626</v>
      </c>
      <c r="CX916" s="335">
        <f t="shared" si="1652"/>
        <v>0.83698442246886229</v>
      </c>
      <c r="CY916" s="335">
        <f t="shared" si="1653"/>
        <v>0.40349573304423936</v>
      </c>
      <c r="CZ916" s="336">
        <f>INDEX('State Tax Lookup'!$D$7:$Z$91,MATCH(Calculation!$C916,'State Tax Lookup'!$B$7:$B$91,0),MATCH($H916,'State Tax Lookup'!$D$6:$Z$6,0))</f>
        <v>0.35</v>
      </c>
      <c r="DA916" s="302">
        <v>0.37</v>
      </c>
      <c r="DB916" s="57">
        <f t="shared" si="1656"/>
        <v>14.474613282630536</v>
      </c>
      <c r="DC916" s="56">
        <f t="shared" si="1660"/>
        <v>5.3896452583075148E-2</v>
      </c>
      <c r="DD916" s="303">
        <f>VLOOKUP($H916,RoR!$E:$F,2,FALSE)</f>
        <v>4.6391666666666664E-2</v>
      </c>
      <c r="DE916" s="304">
        <f>HLOOKUP($H916,'GDP-PI'!$D$8:$CQ$11,3,FALSE)</f>
        <v>2.0840920205183799E-2</v>
      </c>
      <c r="DF916" s="303">
        <f>VLOOKUP(H916,'HW Dx Data'!$E:$F,2,FALSE)</f>
        <v>611.61109612283201</v>
      </c>
      <c r="DG916" s="364">
        <f ca="1">VLOOKUP(CC916,'ECI - Input Price'!M$13:N$33,2,FALSE)</f>
        <v>120.875</v>
      </c>
      <c r="DH916" s="364"/>
      <c r="DI916" s="364"/>
      <c r="DJ916" s="56">
        <f t="shared" ca="1" si="1668"/>
        <v>3.3224250161508609E-2</v>
      </c>
      <c r="DK916" s="53">
        <f>HLOOKUP(H916,'GDP-PI'!$8:$9,2,FALSE)</f>
        <v>98.111999999999995</v>
      </c>
      <c r="DL916" s="355">
        <f t="shared" si="1661"/>
        <v>2.0626719212849295E-2</v>
      </c>
      <c r="EC916"/>
    </row>
    <row r="917" spans="1:133" s="126" customFormat="1" ht="21" customHeight="1" x14ac:dyDescent="0.4">
      <c r="A917" s="233" t="s">
        <v>236</v>
      </c>
      <c r="B917" s="126" t="s">
        <v>236</v>
      </c>
      <c r="C917" s="126">
        <v>4057139</v>
      </c>
      <c r="D917" s="127" t="s">
        <v>237</v>
      </c>
      <c r="E917" s="127"/>
      <c r="F917" s="144"/>
      <c r="G917" s="126" t="s">
        <v>168</v>
      </c>
      <c r="H917" s="128">
        <v>2012</v>
      </c>
      <c r="I917" s="129"/>
      <c r="J917" s="125">
        <f>IFERROR(INDEX('Labor Expenditures'!$E$7:$W$91,MATCH($C917,'Labor Expenditures'!$C$7:$C$91,0),MATCH($G917,'Labor Expenditures'!$E$5:$W$5,0)),"NA")</f>
        <v>28991.516246552466</v>
      </c>
      <c r="K917" s="125">
        <f t="shared" ca="1" si="1662"/>
        <v>232.30381607814473</v>
      </c>
      <c r="L917" s="47"/>
      <c r="M917" s="131">
        <f t="shared" ca="1" si="1669"/>
        <v>1.7416581982017346E-2</v>
      </c>
      <c r="N917" s="131"/>
      <c r="O917" s="131"/>
      <c r="P917" s="59">
        <f t="shared" ca="1" si="1671"/>
        <v>2.3128118550840547E-4</v>
      </c>
      <c r="Q917" s="61"/>
      <c r="R917" s="387"/>
      <c r="S917" s="49">
        <f t="shared" ca="1" si="1676"/>
        <v>116.13295349845488</v>
      </c>
      <c r="T917" s="61">
        <f ca="1">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</f>
        <v>-6.980538734148215E-3</v>
      </c>
      <c r="U917" s="61"/>
      <c r="V917" s="125">
        <f>IFERROR(INDEX('Non-Labor Expenditures'!$E$7:$AA$91,MATCH($C917,'Non-Labor Expenditures'!$C$7:$C$91,0),MATCH($G917,'Non-Labor Expenditures'!$E$5:$AA$5,0)),"NA")</f>
        <v>41985.130393318628</v>
      </c>
      <c r="W917" s="125">
        <f t="shared" si="1663"/>
        <v>419.85130393318627</v>
      </c>
      <c r="X917" s="131">
        <f t="shared" si="1672"/>
        <v>3.0311581405143825E-2</v>
      </c>
      <c r="Y917" s="131">
        <f t="shared" si="1673"/>
        <v>4.0251861641133467E-4</v>
      </c>
      <c r="Z917" s="131"/>
      <c r="AA917" s="131"/>
      <c r="AB917" s="131"/>
      <c r="AC917" s="125">
        <f t="shared" si="1643"/>
        <v>53694.836100625187</v>
      </c>
      <c r="AD917" s="129"/>
      <c r="AE917" s="133">
        <v>3772.0920281574822</v>
      </c>
      <c r="AF917" s="134">
        <v>1.4466137141946098E-2</v>
      </c>
      <c r="AG917" s="59">
        <f t="shared" si="1664"/>
        <v>1.9210114541251311E-4</v>
      </c>
      <c r="AH917" s="134"/>
      <c r="AI917" s="134"/>
      <c r="AJ917" s="129">
        <f t="shared" si="1588"/>
        <v>124671.48274049629</v>
      </c>
      <c r="AK917" s="134">
        <f t="shared" si="1674"/>
        <v>6.174893453702246E-2</v>
      </c>
      <c r="AL917" s="129"/>
      <c r="AM917" s="129"/>
      <c r="AN917" s="129"/>
      <c r="AO917" s="129"/>
      <c r="AP917" s="133">
        <f t="shared" si="1675"/>
        <v>255.0410935940713</v>
      </c>
      <c r="AQ917" s="134">
        <f>+BB917/Outputs!$B$20</f>
        <v>1.3687551834536947E-2</v>
      </c>
      <c r="AR917" s="93">
        <f t="shared" si="1665"/>
        <v>0.23254328583625106</v>
      </c>
      <c r="AS917" s="93">
        <f t="shared" si="1666"/>
        <v>0.3367661109855466</v>
      </c>
      <c r="AT917" s="93">
        <f t="shared" si="1667"/>
        <v>0.43069060317820235</v>
      </c>
      <c r="AU917" s="93">
        <f t="shared" ca="1" si="1670"/>
        <v>2.052595215428981E-2</v>
      </c>
      <c r="AV917" s="132">
        <f t="shared" ca="1" si="1678"/>
        <v>100.13507700367322</v>
      </c>
      <c r="AW917" s="134">
        <f t="shared" ca="1" si="1679"/>
        <v>2.0525952154289737E-2</v>
      </c>
      <c r="AX917" s="56">
        <f>+AJ917/$AL$17</f>
        <v>1.3279367085183747E-2</v>
      </c>
      <c r="AY917" s="135">
        <f t="shared" ca="1" si="1677"/>
        <v>2.7257165342973159E-4</v>
      </c>
      <c r="AZ917" s="93"/>
      <c r="BA917" s="93"/>
      <c r="BB917" s="234">
        <f>IFERROR(INDEX('Total Customers'!$E$7:$AA$91,MATCH($C917,'Total Customers'!$C$7:$C$91,0),MATCH($G917,'Total Customers'!$E$5:$AA$5,0)),"NA")</f>
        <v>488829</v>
      </c>
      <c r="BC917" s="269">
        <f t="shared" si="1639"/>
        <v>1.7643467903877986E-2</v>
      </c>
      <c r="BD917" s="92"/>
      <c r="BE917" s="299" t="str">
        <f t="shared" si="1635"/>
        <v>PUBLIC SERVICE COMPANY OF NORTH CAROLINA, INCORPORATED</v>
      </c>
      <c r="BF917" s="300">
        <f t="shared" si="1636"/>
        <v>4057139</v>
      </c>
      <c r="BG917" s="231" t="str">
        <f t="shared" si="1637"/>
        <v>NC</v>
      </c>
      <c r="BH917" s="231"/>
      <c r="BI917" s="231" t="str">
        <f t="shared" si="1638"/>
        <v>2012 Y</v>
      </c>
      <c r="BJ917" s="129"/>
      <c r="BK917" s="129"/>
      <c r="BL917" s="129">
        <f>INDEX('Dist. Plant Gas Additions'!$E$7:$AD$91,MATCH($C917,'Dist. Plant Gas Additions'!$C$7:$C$91,0),MATCH(Calculation!$G917,'Dist. Plant Gas Additions'!$E$5:$AD$5,0))</f>
        <v>44813</v>
      </c>
      <c r="BM917" s="129">
        <f>INDEX('Gen. Plant Additions'!$E$7:$AD$91,MATCH($C917,'Gen. Plant Additions'!$C$7:$C$91,0),MATCH(Calculation!$G917,'Gen. Plant Additions'!$E$5:$AD$5,0))</f>
        <v>10071</v>
      </c>
      <c r="BN917" s="301">
        <f t="shared" si="1644"/>
        <v>0.94107227563828744</v>
      </c>
      <c r="BO917" s="231">
        <f t="shared" si="1631"/>
        <v>9477.5388879531929</v>
      </c>
      <c r="BP917" s="231">
        <f t="shared" si="1632"/>
        <v>-593.4611120468071</v>
      </c>
      <c r="BQ917" s="129">
        <f>INDEX('Dist Plant Depreciation'!$D$7:$AC$94,MATCH($C917,'Dist Plant Depreciation'!$C$7:$C$94,0),MATCH(Calculation!$G917,'Dist Plant Depreciation'!$D$5:$AC$5,0))</f>
        <v>244495</v>
      </c>
      <c r="BR917" s="129">
        <f>INDEX('Gen. Plant Depreciation'!$D$7:$AC$94,MATCH($C917,'Gen. Plant Depreciation'!$C$7:$C$94,0),MATCH(Calculation!$G917,'Gen. Plant Depreciation'!$D$5:$AC$5,0))</f>
        <v>21439</v>
      </c>
      <c r="BS917" s="129"/>
      <c r="BT917" s="129"/>
      <c r="BU917" s="129"/>
      <c r="BV917" s="129"/>
      <c r="BW917" s="129"/>
      <c r="BX917" s="137"/>
      <c r="BY917" s="129">
        <f>INDEX('Gross Dx Plant'!$D$7:$AC$91,MATCH($C917,'Gross Dx Plant'!$C$7:$C$91,0),MATCH(Calculation!$G917,'Gross Dx Plant'!$D$5:$AC$5,0))</f>
        <v>1156607</v>
      </c>
      <c r="BZ917" s="129">
        <f>INDEX('Gross Gen Plant'!$D$7:$AC$91,MATCH($C917,'Gross Gen Plant'!$C$7:$C$91,0),MATCH(Calculation!$G917,'Gross Gen Plant'!$D$5:$AC$5,0))</f>
        <v>72424</v>
      </c>
      <c r="CA917" s="129">
        <f t="shared" si="1595"/>
        <v>963097</v>
      </c>
      <c r="CB917" s="129"/>
      <c r="CC917" s="133">
        <v>2012</v>
      </c>
      <c r="CD917" s="129"/>
      <c r="CE917" s="129"/>
      <c r="CF917" s="129"/>
      <c r="CG917" s="137"/>
      <c r="CH917" s="129">
        <f t="shared" si="1645"/>
        <v>54884</v>
      </c>
      <c r="CI917" s="46">
        <f t="shared" si="1654"/>
        <v>54290.538887953197</v>
      </c>
      <c r="CJ917" s="231">
        <f t="shared" si="1646"/>
        <v>81.161564770605693</v>
      </c>
      <c r="CK917" s="443">
        <v>0.84090909090909094</v>
      </c>
      <c r="CL917" s="231">
        <f>+CL903*CK917+CJ904*CK916+CJ905*CK915+CJ906*CK914+CJ907*CK913+CJ908*CK912+CJ909*CK911+CJ910*CK910+CJ911*CK909+CJ912*CK908+CJ913*CK907+CJ914*CK906+CJ915*CK905+CJ916*CK904+CJ917</f>
        <v>3512.4817544994712</v>
      </c>
      <c r="CM917" s="134">
        <f t="shared" si="1647"/>
        <v>9.3196519480471321E-3</v>
      </c>
      <c r="CN917" s="135">
        <f t="shared" si="1648"/>
        <v>1.3959752414465393E-2</v>
      </c>
      <c r="CO917" s="135">
        <f t="shared" si="1657"/>
        <v>1.3577487944692088E-2</v>
      </c>
      <c r="CP917" s="134">
        <f>VLOOKUP($H917,RoR!$E:$F,2,FALSE)</f>
        <v>3.6733333333333333E-2</v>
      </c>
      <c r="CQ917" s="135">
        <v>1.924331376386168E-2</v>
      </c>
      <c r="CR917" s="135">
        <f t="shared" si="1655"/>
        <v>1.7490019569471653E-2</v>
      </c>
      <c r="CS917" s="135">
        <f t="shared" si="1658"/>
        <v>1.7324453663841537E-2</v>
      </c>
      <c r="CT917" s="135">
        <f t="shared" si="1659"/>
        <v>6.7122682943869583E-2</v>
      </c>
      <c r="CU917" s="139">
        <f t="shared" si="1649"/>
        <v>0.87050000000000005</v>
      </c>
      <c r="CV917" s="335">
        <f t="shared" si="1650"/>
        <v>1.3960631020522127</v>
      </c>
      <c r="CW917" s="335">
        <f t="shared" si="1651"/>
        <v>0.29441923774954631</v>
      </c>
      <c r="CX917" s="335">
        <f t="shared" si="1652"/>
        <v>0.76377954189366437</v>
      </c>
      <c r="CY917" s="335">
        <f t="shared" si="1653"/>
        <v>0.31393465103033691</v>
      </c>
      <c r="CZ917" s="336">
        <f>INDEX('State Tax Lookup'!$D$7:$Z$91,MATCH(Calculation!$C917,'State Tax Lookup'!$B$7:$B$91,0),MATCH($H917,'State Tax Lookup'!$D$6:$Z$6,0))</f>
        <v>0.35</v>
      </c>
      <c r="DA917" s="302">
        <v>0.37</v>
      </c>
      <c r="DB917" s="57">
        <f t="shared" si="1656"/>
        <v>15.429999695513338</v>
      </c>
      <c r="DC917" s="56">
        <f t="shared" si="1660"/>
        <v>6.3917339765345443E-2</v>
      </c>
      <c r="DD917" s="303">
        <f>VLOOKUP($H917,RoR!$E:$F,2,FALSE)</f>
        <v>3.6733333333333333E-2</v>
      </c>
      <c r="DE917" s="304">
        <f>HLOOKUP($H917,'GDP-PI'!$D$8:$CQ$11,3,FALSE)</f>
        <v>1.924331376386168E-2</v>
      </c>
      <c r="DF917" s="303">
        <f>VLOOKUP(H917,'HW Dx Data'!$E:$F,2,FALSE)</f>
        <v>668.91932211262167</v>
      </c>
      <c r="DG917" s="364">
        <f ca="1">VLOOKUP(CC917,'ECI - Input Price'!M$13:N$33,2,FALSE)</f>
        <v>124.80000000000001</v>
      </c>
      <c r="DH917" s="364"/>
      <c r="DI917" s="364"/>
      <c r="DJ917" s="56">
        <f t="shared" ca="1" si="1668"/>
        <v>3.1955502161869064E-2</v>
      </c>
      <c r="DK917" s="53">
        <f>HLOOKUP(H917,'GDP-PI'!$8:$9,2,FALSE)</f>
        <v>100</v>
      </c>
      <c r="DL917" s="355">
        <f t="shared" si="1661"/>
        <v>1.9060502738742411E-2</v>
      </c>
      <c r="EC917"/>
    </row>
    <row r="918" spans="1:133" s="126" customFormat="1" ht="21" customHeight="1" x14ac:dyDescent="0.4">
      <c r="A918" s="233" t="s">
        <v>236</v>
      </c>
      <c r="B918" s="126" t="s">
        <v>236</v>
      </c>
      <c r="C918" s="126">
        <v>4057139</v>
      </c>
      <c r="D918" s="127" t="s">
        <v>237</v>
      </c>
      <c r="E918" s="127"/>
      <c r="F918" s="144"/>
      <c r="G918" s="126" t="s">
        <v>169</v>
      </c>
      <c r="H918" s="128">
        <v>2013</v>
      </c>
      <c r="I918" s="129"/>
      <c r="J918" s="125">
        <f>IFERROR(INDEX('Labor Expenditures'!$E$7:$W$91,MATCH($C918,'Labor Expenditures'!$C$7:$C$91,0),MATCH($G918,'Labor Expenditures'!$E$5:$W$5,0)),"NA")</f>
        <v>29259.49249169325</v>
      </c>
      <c r="K918" s="125">
        <f t="shared" ca="1" si="1662"/>
        <v>230.75309536035687</v>
      </c>
      <c r="L918" s="47"/>
      <c r="M918" s="131">
        <f t="shared" ca="1" si="1669"/>
        <v>-6.6977793727738743E-3</v>
      </c>
      <c r="N918" s="131"/>
      <c r="O918" s="131"/>
      <c r="P918" s="59">
        <f t="shared" ca="1" si="1671"/>
        <v>-8.5494360541474407E-5</v>
      </c>
      <c r="Q918" s="61"/>
      <c r="R918" s="387"/>
      <c r="S918" s="49">
        <f t="shared" ca="1" si="1676"/>
        <v>106.26240428758608</v>
      </c>
      <c r="T918" s="61">
        <f ca="1">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</f>
        <v>-8.8824138399364469E-2</v>
      </c>
      <c r="U918" s="61"/>
      <c r="V918" s="125">
        <f>IFERROR(INDEX('Non-Labor Expenditures'!$E$7:$AA$91,MATCH($C918,'Non-Labor Expenditures'!$C$7:$C$91,0),MATCH($G918,'Non-Labor Expenditures'!$E$5:$AA$5,0)),"NA")</f>
        <v>42373.210047341054</v>
      </c>
      <c r="W918" s="125">
        <f t="shared" si="1663"/>
        <v>416.35021122833223</v>
      </c>
      <c r="X918" s="131">
        <f t="shared" si="1672"/>
        <v>-8.3738503214863796E-3</v>
      </c>
      <c r="Y918" s="131">
        <f t="shared" si="1673"/>
        <v>-1.068887072356643E-4</v>
      </c>
      <c r="Z918" s="131"/>
      <c r="AA918" s="131"/>
      <c r="AB918" s="131"/>
      <c r="AC918" s="125">
        <f t="shared" si="1643"/>
        <v>52574.075161345652</v>
      </c>
      <c r="AD918" s="129"/>
      <c r="AE918" s="133">
        <v>3823.6502681605089</v>
      </c>
      <c r="AF918" s="134">
        <v>1.3575771753342928E-2</v>
      </c>
      <c r="AG918" s="59">
        <f t="shared" si="1664"/>
        <v>1.7328906497384109E-4</v>
      </c>
      <c r="AH918" s="134"/>
      <c r="AI918" s="134"/>
      <c r="AJ918" s="129">
        <f t="shared" si="1588"/>
        <v>124206.77770037996</v>
      </c>
      <c r="AK918" s="134">
        <f t="shared" si="1674"/>
        <v>-3.7344007415351459E-3</v>
      </c>
      <c r="AL918" s="129"/>
      <c r="AM918" s="129"/>
      <c r="AN918" s="129"/>
      <c r="AO918" s="129"/>
      <c r="AP918" s="133">
        <f t="shared" si="1675"/>
        <v>248.79271549918064</v>
      </c>
      <c r="AQ918" s="134">
        <f>+BB918/Outputs!$B$21</f>
        <v>1.3889918311684294E-2</v>
      </c>
      <c r="AR918" s="93">
        <f t="shared" si="1665"/>
        <v>0.23557082015504008</v>
      </c>
      <c r="AS918" s="93">
        <f t="shared" si="1666"/>
        <v>0.3411505461445638</v>
      </c>
      <c r="AT918" s="93">
        <f t="shared" si="1667"/>
        <v>0.42327863370039609</v>
      </c>
      <c r="AU918" s="93">
        <f t="shared" ca="1" si="1670"/>
        <v>1.3905969118886974E-3</v>
      </c>
      <c r="AV918" s="132">
        <f t="shared" ca="1" si="1678"/>
        <v>100.27442139601223</v>
      </c>
      <c r="AW918" s="134">
        <f t="shared" ca="1" si="1679"/>
        <v>1.3905969118887412E-3</v>
      </c>
      <c r="AX918" s="56">
        <f>+AJ918/$AL$18</f>
        <v>1.276458297342617E-2</v>
      </c>
      <c r="AY918" s="135">
        <f t="shared" ca="1" si="1677"/>
        <v>1.7750389664394038E-5</v>
      </c>
      <c r="AZ918" s="93"/>
      <c r="BA918" s="93"/>
      <c r="BB918" s="234">
        <f>IFERROR(INDEX('Total Customers'!$E$7:$AA$91,MATCH($C918,'Total Customers'!$C$7:$C$91,0),MATCH($G918,'Total Customers'!$E$5:$AA$5,0)),"NA")</f>
        <v>499238</v>
      </c>
      <c r="BC918" s="269">
        <f t="shared" si="1639"/>
        <v>2.1070200886577618E-2</v>
      </c>
      <c r="BD918" s="92"/>
      <c r="BE918" s="299" t="str">
        <f t="shared" si="1635"/>
        <v>PUBLIC SERVICE COMPANY OF NORTH CAROLINA, INCORPORATED</v>
      </c>
      <c r="BF918" s="300">
        <f t="shared" si="1636"/>
        <v>4057139</v>
      </c>
      <c r="BG918" s="231" t="str">
        <f t="shared" si="1637"/>
        <v>NC</v>
      </c>
      <c r="BH918" s="231"/>
      <c r="BI918" s="231" t="str">
        <f t="shared" si="1638"/>
        <v>2013 Y</v>
      </c>
      <c r="BJ918" s="129"/>
      <c r="BK918" s="129"/>
      <c r="BL918" s="129">
        <f>INDEX('Dist. Plant Gas Additions'!$E$7:$AD$91,MATCH($C918,'Dist. Plant Gas Additions'!$C$7:$C$91,0),MATCH(Calculation!$G918,'Dist. Plant Gas Additions'!$E$5:$AD$5,0))</f>
        <v>45046</v>
      </c>
      <c r="BM918" s="129">
        <f>INDEX('Gen. Plant Additions'!$E$7:$AD$91,MATCH($C918,'Gen. Plant Additions'!$C$7:$C$91,0),MATCH(Calculation!$G918,'Gen. Plant Additions'!$E$5:$AD$5,0))</f>
        <v>8581</v>
      </c>
      <c r="BN918" s="301">
        <f t="shared" si="1644"/>
        <v>0.94139819721825546</v>
      </c>
      <c r="BO918" s="231">
        <f t="shared" si="1631"/>
        <v>8078.13793032985</v>
      </c>
      <c r="BP918" s="231">
        <f t="shared" si="1632"/>
        <v>-502.86206967015005</v>
      </c>
      <c r="BQ918" s="129">
        <f>INDEX('Dist Plant Depreciation'!$D$7:$AC$94,MATCH($C918,'Dist Plant Depreciation'!$C$7:$C$94,0),MATCH(Calculation!$G918,'Dist Plant Depreciation'!$D$5:$AC$5,0))</f>
        <v>261740</v>
      </c>
      <c r="BR918" s="129">
        <f>INDEX('Gen. Plant Depreciation'!$D$7:$AC$94,MATCH($C918,'Gen. Plant Depreciation'!$C$7:$C$94,0),MATCH(Calculation!$G918,'Gen. Plant Depreciation'!$D$5:$AC$5,0))</f>
        <v>19384</v>
      </c>
      <c r="BS918" s="129"/>
      <c r="BT918" s="129"/>
      <c r="BU918" s="129"/>
      <c r="BV918" s="129"/>
      <c r="BW918" s="129"/>
      <c r="BX918" s="137"/>
      <c r="BY918" s="129">
        <f>INDEX('Gross Dx Plant'!$D$7:$AC$91,MATCH($C918,'Gross Dx Plant'!$C$7:$C$91,0),MATCH(Calculation!$G918,'Gross Dx Plant'!$D$5:$AC$5,0))</f>
        <v>1197804</v>
      </c>
      <c r="BZ918" s="129">
        <f>INDEX('Gross Gen Plant'!$D$7:$AC$91,MATCH($C918,'Gross Gen Plant'!$C$7:$C$91,0),MATCH(Calculation!$G918,'Gross Gen Plant'!$D$5:$AC$5,0))</f>
        <v>74563</v>
      </c>
      <c r="CA918" s="129">
        <f t="shared" si="1595"/>
        <v>991243</v>
      </c>
      <c r="CB918" s="129"/>
      <c r="CC918" s="133">
        <v>2013</v>
      </c>
      <c r="CD918" s="129"/>
      <c r="CE918" s="129"/>
      <c r="CF918" s="129"/>
      <c r="CG918" s="137"/>
      <c r="CH918" s="129">
        <f t="shared" si="1645"/>
        <v>53627</v>
      </c>
      <c r="CI918" s="46">
        <f t="shared" si="1654"/>
        <v>53124.137930329853</v>
      </c>
      <c r="CJ918" s="231">
        <f t="shared" si="1646"/>
        <v>80.096895055820653</v>
      </c>
      <c r="CK918" s="443">
        <v>0.82758620689655171</v>
      </c>
      <c r="CL918" s="231">
        <f>+CL903*CK918+CJ904*CK917+CJ905*CK916+CJ906*CK915+CJ907*CK914+CJ908*CK913+CJ909*CK912+CJ910*CK911+CJ911*CK910+CJ912*CK909+CJ913*CK908+CJ914*CK907+CJ915*CK906+CJ916*CK905+CJ917*CK904+CJ918</f>
        <v>3542.1068527144412</v>
      </c>
      <c r="CM918" s="134">
        <f t="shared" si="1647"/>
        <v>8.3988660467091761E-3</v>
      </c>
      <c r="CN918" s="135">
        <f t="shared" si="1648"/>
        <v>1.436926947056638E-2</v>
      </c>
      <c r="CO918" s="135">
        <f t="shared" si="1657"/>
        <v>1.3970454047674918E-2</v>
      </c>
      <c r="CP918" s="134">
        <f>VLOOKUP($H918,RoR!$E:$F,2,FALSE)</f>
        <v>4.2350000000000006E-2</v>
      </c>
      <c r="CQ918" s="135">
        <v>1.7730000000000024E-2</v>
      </c>
      <c r="CR918" s="135">
        <f t="shared" si="1655"/>
        <v>2.4619999999999982E-2</v>
      </c>
      <c r="CS918" s="135">
        <f t="shared" si="1658"/>
        <v>1.6931487560858709E-2</v>
      </c>
      <c r="CT918" s="135">
        <f t="shared" si="1659"/>
        <v>5.3376742735721204E-2</v>
      </c>
      <c r="CU918" s="139">
        <f t="shared" si="1649"/>
        <v>0.87050000000000005</v>
      </c>
      <c r="CV918" s="335">
        <f t="shared" si="1650"/>
        <v>1.2109103018193925</v>
      </c>
      <c r="CW918" s="335">
        <f t="shared" si="1651"/>
        <v>0.38468122786304604</v>
      </c>
      <c r="CX918" s="335">
        <f t="shared" si="1652"/>
        <v>0.80969194503422559</v>
      </c>
      <c r="CY918" s="335">
        <f t="shared" si="1653"/>
        <v>0.37716621754800816</v>
      </c>
      <c r="CZ918" s="336">
        <f>INDEX('State Tax Lookup'!$D$7:$Z$91,MATCH(Calculation!$C918,'State Tax Lookup'!$B$7:$B$91,0),MATCH($H918,'State Tax Lookup'!$D$6:$Z$6,0))</f>
        <v>0.35</v>
      </c>
      <c r="DA918" s="302">
        <v>0.37</v>
      </c>
      <c r="DB918" s="57">
        <f t="shared" si="1656"/>
        <v>14.967785980382255</v>
      </c>
      <c r="DC918" s="56">
        <f t="shared" si="1660"/>
        <v>-3.0413356250021464E-2</v>
      </c>
      <c r="DD918" s="303">
        <f>VLOOKUP($H918,RoR!$E:$F,2,FALSE)</f>
        <v>4.2350000000000006E-2</v>
      </c>
      <c r="DE918" s="304">
        <f>HLOOKUP($H918,'GDP-PI'!$D$8:$CQ$11,3,FALSE)</f>
        <v>1.7730000000000024E-2</v>
      </c>
      <c r="DF918" s="303">
        <f>VLOOKUP(H918,'HW Dx Data'!$E:$F,2,FALSE)</f>
        <v>663.24840548821396</v>
      </c>
      <c r="DG918" s="364">
        <f ca="1">VLOOKUP(CC918,'ECI - Input Price'!M$13:N$33,2,FALSE)</f>
        <v>126.8</v>
      </c>
      <c r="DH918" s="364"/>
      <c r="DI918" s="364"/>
      <c r="DJ918" s="56">
        <f t="shared" ca="1" si="1668"/>
        <v>1.5898586067798204E-2</v>
      </c>
      <c r="DK918" s="53">
        <f>HLOOKUP(H918,'GDP-PI'!$8:$9,2,FALSE)</f>
        <v>101.773</v>
      </c>
      <c r="DL918" s="355">
        <f t="shared" si="1661"/>
        <v>1.7574657016510519E-2</v>
      </c>
      <c r="EC918"/>
    </row>
    <row r="919" spans="1:133" s="126" customFormat="1" ht="21" customHeight="1" x14ac:dyDescent="0.4">
      <c r="A919" s="233" t="s">
        <v>236</v>
      </c>
      <c r="B919" s="126" t="s">
        <v>236</v>
      </c>
      <c r="C919" s="126">
        <v>4057139</v>
      </c>
      <c r="D919" s="127" t="s">
        <v>237</v>
      </c>
      <c r="E919" s="127"/>
      <c r="F919" s="144"/>
      <c r="G919" s="126" t="s">
        <v>170</v>
      </c>
      <c r="H919" s="128">
        <v>2014</v>
      </c>
      <c r="I919" s="129"/>
      <c r="J919" s="125">
        <f>IFERROR(INDEX('Labor Expenditures'!$E$7:$W$91,MATCH($C919,'Labor Expenditures'!$C$7:$C$91,0),MATCH($G919,'Labor Expenditures'!$E$5:$W$5,0)),"NA")</f>
        <v>29456.292253012794</v>
      </c>
      <c r="K919" s="125">
        <f t="shared" ca="1" si="1662"/>
        <v>227.63749809128896</v>
      </c>
      <c r="L919" s="47"/>
      <c r="M919" s="131">
        <f t="shared" ca="1" si="1669"/>
        <v>-1.35938446019981E-2</v>
      </c>
      <c r="N919" s="131"/>
      <c r="O919" s="131"/>
      <c r="P919" s="59">
        <f t="shared" ca="1" si="1671"/>
        <v>-1.7229069685173367E-4</v>
      </c>
      <c r="Q919" s="61"/>
      <c r="R919" s="387"/>
      <c r="S919" s="49">
        <f t="shared" ca="1" si="1676"/>
        <v>118.99245824423791</v>
      </c>
      <c r="T919" s="61">
        <f ca="1">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</f>
        <v>0.11314856777801953</v>
      </c>
      <c r="U919" s="61"/>
      <c r="V919" s="125">
        <f>IFERROR(INDEX('Non-Labor Expenditures'!$E$7:$AA$91,MATCH($C919,'Non-Labor Expenditures'!$C$7:$C$91,0),MATCH($G919,'Non-Labor Expenditures'!$E$5:$AA$5,0)),"NA")</f>
        <v>42658.212858856903</v>
      </c>
      <c r="W919" s="125">
        <f t="shared" si="1663"/>
        <v>411.57209430911558</v>
      </c>
      <c r="X919" s="131">
        <f t="shared" si="1672"/>
        <v>-1.1542556436579426E-2</v>
      </c>
      <c r="Y919" s="131">
        <f t="shared" si="1673"/>
        <v>-1.4629232201289298E-4</v>
      </c>
      <c r="Z919" s="131"/>
      <c r="AA919" s="131"/>
      <c r="AB919" s="131"/>
      <c r="AC919" s="125">
        <f t="shared" si="1643"/>
        <v>53476.59544365084</v>
      </c>
      <c r="AD919" s="129"/>
      <c r="AE919" s="133">
        <v>3939.6074782317564</v>
      </c>
      <c r="AF919" s="134">
        <v>2.9875559596980742E-2</v>
      </c>
      <c r="AG919" s="59">
        <f t="shared" si="1664"/>
        <v>3.7864791988594126E-4</v>
      </c>
      <c r="AH919" s="134"/>
      <c r="AI919" s="134"/>
      <c r="AJ919" s="129">
        <f t="shared" si="1588"/>
        <v>125591.10055552053</v>
      </c>
      <c r="AK919" s="134">
        <f t="shared" si="1674"/>
        <v>1.1083657207090293E-2</v>
      </c>
      <c r="AL919" s="129"/>
      <c r="AM919" s="129"/>
      <c r="AN919" s="129"/>
      <c r="AO919" s="129"/>
      <c r="AP919" s="133">
        <f t="shared" si="1675"/>
        <v>245.64775714261788</v>
      </c>
      <c r="AQ919" s="134">
        <f>+BB919/Outputs!$B$22</f>
        <v>1.4148524570111943E-2</v>
      </c>
      <c r="AR919" s="93">
        <f t="shared" si="1665"/>
        <v>0.23454123837374083</v>
      </c>
      <c r="AS919" s="93">
        <f t="shared" si="1666"/>
        <v>0.33965951942589134</v>
      </c>
      <c r="AT919" s="93">
        <f t="shared" si="1667"/>
        <v>0.42579924220036786</v>
      </c>
      <c r="AU919" s="93">
        <f t="shared" ca="1" si="1670"/>
        <v>5.558878905173547E-3</v>
      </c>
      <c r="AV919" s="132">
        <f t="shared" ca="1" si="1678"/>
        <v>100.83338693331764</v>
      </c>
      <c r="AW919" s="134">
        <f t="shared" ca="1" si="1679"/>
        <v>5.558878905173455E-3</v>
      </c>
      <c r="AX919" s="56">
        <f>+AJ919/$AL$19</f>
        <v>1.267416995677657E-2</v>
      </c>
      <c r="AY919" s="135">
        <f t="shared" ca="1" si="1677"/>
        <v>7.0454176013308434E-5</v>
      </c>
      <c r="AZ919" s="93"/>
      <c r="BA919" s="93"/>
      <c r="BB919" s="234">
        <f>IFERROR(INDEX('Total Customers'!$E$7:$AA$91,MATCH($C919,'Total Customers'!$C$7:$C$91,0),MATCH($G919,'Total Customers'!$E$5:$AA$5,0)),"NA")</f>
        <v>511265</v>
      </c>
      <c r="BC919" s="269">
        <f t="shared" si="1639"/>
        <v>2.3805110826934244E-2</v>
      </c>
      <c r="BD919" s="92"/>
      <c r="BE919" s="299" t="str">
        <f t="shared" si="1635"/>
        <v>PUBLIC SERVICE COMPANY OF NORTH CAROLINA, INCORPORATED</v>
      </c>
      <c r="BF919" s="300">
        <f t="shared" si="1636"/>
        <v>4057139</v>
      </c>
      <c r="BG919" s="231" t="str">
        <f t="shared" si="1637"/>
        <v>NC</v>
      </c>
      <c r="BH919" s="231"/>
      <c r="BI919" s="231" t="str">
        <f t="shared" si="1638"/>
        <v>2014 Y</v>
      </c>
      <c r="BJ919" s="129"/>
      <c r="BK919" s="129"/>
      <c r="BL919" s="129">
        <f>INDEX('Dist. Plant Gas Additions'!$E$7:$AD$91,MATCH($C919,'Dist. Plant Gas Additions'!$C$7:$C$91,0),MATCH(Calculation!$G919,'Dist. Plant Gas Additions'!$E$5:$AD$5,0))</f>
        <v>93556</v>
      </c>
      <c r="BM919" s="129">
        <f>INDEX('Gen. Plant Additions'!$E$7:$AD$91,MATCH($C919,'Gen. Plant Additions'!$C$7:$C$91,0),MATCH(Calculation!$G919,'Gen. Plant Additions'!$E$5:$AD$5,0))</f>
        <v>6883</v>
      </c>
      <c r="BN919" s="301">
        <f t="shared" si="1644"/>
        <v>0.94190896265900215</v>
      </c>
      <c r="BO919" s="231">
        <f t="shared" si="1631"/>
        <v>6483.1593899819118</v>
      </c>
      <c r="BP919" s="231">
        <f t="shared" si="1632"/>
        <v>-399.84061001808823</v>
      </c>
      <c r="BQ919" s="129">
        <f>INDEX('Dist Plant Depreciation'!$D$7:$AC$94,MATCH($C919,'Dist Plant Depreciation'!$C$7:$C$94,0),MATCH(Calculation!$G919,'Dist Plant Depreciation'!$D$5:$AC$5,0))</f>
        <v>531482</v>
      </c>
      <c r="BR919" s="129">
        <f>INDEX('Gen. Plant Depreciation'!$D$7:$AC$94,MATCH($C919,'Gen. Plant Depreciation'!$C$7:$C$94,0),MATCH(Calculation!$G919,'Gen. Plant Depreciation'!$D$5:$AC$5,0))</f>
        <v>20688</v>
      </c>
      <c r="BS919" s="129"/>
      <c r="BT919" s="129"/>
      <c r="BU919" s="129"/>
      <c r="BV919" s="129"/>
      <c r="BW919" s="129"/>
      <c r="BX919" s="137"/>
      <c r="BY919" s="129">
        <f>INDEX('Gross Dx Plant'!$D$7:$AC$91,MATCH($C919,'Gross Dx Plant'!$C$7:$C$91,0),MATCH(Calculation!$G919,'Gross Dx Plant'!$D$5:$AC$5,0))</f>
        <v>1287258</v>
      </c>
      <c r="BZ919" s="129">
        <f>INDEX('Gross Gen Plant'!$D$7:$AC$91,MATCH($C919,'Gross Gen Plant'!$C$7:$C$91,0),MATCH(Calculation!$G919,'Gross Gen Plant'!$D$5:$AC$5,0))</f>
        <v>79390</v>
      </c>
      <c r="CA919" s="129">
        <f t="shared" si="1595"/>
        <v>814478</v>
      </c>
      <c r="CB919" s="129"/>
      <c r="CC919" s="133">
        <v>2014</v>
      </c>
      <c r="CD919" s="129"/>
      <c r="CE919" s="129"/>
      <c r="CF919" s="129"/>
      <c r="CG919" s="137"/>
      <c r="CH919" s="129">
        <f t="shared" si="1645"/>
        <v>100439</v>
      </c>
      <c r="CI919" s="46">
        <f t="shared" si="1654"/>
        <v>100039.15938998191</v>
      </c>
      <c r="CJ919" s="231">
        <f t="shared" si="1646"/>
        <v>146.15583541629809</v>
      </c>
      <c r="CK919" s="443">
        <v>0.81395348837209303</v>
      </c>
      <c r="CL919" s="231">
        <f>+CL903*CK919+CJ904*CK918+CJ905*CK917+CJ906*CK916+CJ907*CK915+CJ908*CK914+CJ909*CK913+CJ910*CK912+CJ911*CK911+CJ912*CK910+CJ913*CK909+CJ914*CK908+CJ915*CK907+CJ916*CK906+CJ917*CK905+CJ918*CK904+CJ919</f>
        <v>3635.854949386051</v>
      </c>
      <c r="CM919" s="134">
        <f t="shared" si="1647"/>
        <v>2.6122576366829298E-2</v>
      </c>
      <c r="CN919" s="135">
        <f t="shared" si="1648"/>
        <v>1.4795640257020026E-2</v>
      </c>
      <c r="CO919" s="135">
        <f t="shared" si="1657"/>
        <v>1.4374887380683932E-2</v>
      </c>
      <c r="CP919" s="134">
        <f>VLOOKUP($H919,RoR!$E:$F,2,FALSE)</f>
        <v>4.1625000000000002E-2</v>
      </c>
      <c r="CQ919" s="135">
        <v>1.841352814597208E-2</v>
      </c>
      <c r="CR919" s="135">
        <f t="shared" si="1655"/>
        <v>2.3211471854027922E-2</v>
      </c>
      <c r="CS919" s="135">
        <f t="shared" si="1658"/>
        <v>1.6527054227849693E-2</v>
      </c>
      <c r="CT919" s="135">
        <f t="shared" si="1659"/>
        <v>3.9072621432650924E-2</v>
      </c>
      <c r="CU919" s="139">
        <f t="shared" si="1649"/>
        <v>0.87050000000000005</v>
      </c>
      <c r="CV919" s="335">
        <f t="shared" si="1650"/>
        <v>1.2320012320012319</v>
      </c>
      <c r="CW919" s="335">
        <f t="shared" si="1651"/>
        <v>0.37439939939939942</v>
      </c>
      <c r="CX919" s="335">
        <f t="shared" si="1652"/>
        <v>0.80432100613819935</v>
      </c>
      <c r="CY919" s="335">
        <f t="shared" si="1653"/>
        <v>0.37100152660040037</v>
      </c>
      <c r="CZ919" s="336">
        <f>INDEX('State Tax Lookup'!$D$7:$Z$91,MATCH(Calculation!$C919,'State Tax Lookup'!$B$7:$B$91,0),MATCH($H919,'State Tax Lookup'!$D$6:$Z$6,0))</f>
        <v>0.35</v>
      </c>
      <c r="DA919" s="302">
        <v>0.37</v>
      </c>
      <c r="DB919" s="57">
        <f t="shared" si="1656"/>
        <v>15.097397584906238</v>
      </c>
      <c r="DC919" s="56">
        <f t="shared" si="1660"/>
        <v>8.6220932056325691E-3</v>
      </c>
      <c r="DD919" s="303">
        <f>VLOOKUP($H919,RoR!$E:$F,2,FALSE)</f>
        <v>4.1625000000000002E-2</v>
      </c>
      <c r="DE919" s="304">
        <f>HLOOKUP($H919,'GDP-PI'!$D$8:$CQ$11,3,FALSE)</f>
        <v>1.841352814597208E-2</v>
      </c>
      <c r="DF919" s="303">
        <f>VLOOKUP(H919,'HW Dx Data'!$E:$F,2,FALSE)</f>
        <v>684.46914285042885</v>
      </c>
      <c r="DG919" s="364">
        <f ca="1">VLOOKUP(CC919,'ECI - Input Price'!M$13:N$33,2,FALSE)</f>
        <v>129.4</v>
      </c>
      <c r="DH919" s="364"/>
      <c r="DI919" s="364"/>
      <c r="DJ919" s="56">
        <f t="shared" ca="1" si="1668"/>
        <v>2.0297340063674733E-2</v>
      </c>
      <c r="DK919" s="53">
        <f>HLOOKUP(H919,'GDP-PI'!$8:$9,2,FALSE)</f>
        <v>103.64700000000001</v>
      </c>
      <c r="DL919" s="355">
        <f t="shared" si="1661"/>
        <v>1.8246051898256087E-2</v>
      </c>
      <c r="EC919"/>
    </row>
    <row r="920" spans="1:133" s="126" customFormat="1" ht="21" customHeight="1" x14ac:dyDescent="0.4">
      <c r="A920" s="233" t="s">
        <v>236</v>
      </c>
      <c r="B920" s="126" t="s">
        <v>236</v>
      </c>
      <c r="C920" s="126">
        <v>4057139</v>
      </c>
      <c r="D920" s="127" t="s">
        <v>237</v>
      </c>
      <c r="E920" s="127"/>
      <c r="F920" s="144"/>
      <c r="G920" s="126" t="s">
        <v>171</v>
      </c>
      <c r="H920" s="128">
        <v>2015</v>
      </c>
      <c r="I920" s="129"/>
      <c r="J920" s="125">
        <f>IFERROR(INDEX('Labor Expenditures'!$E$7:$W$91,MATCH($C920,'Labor Expenditures'!$C$7:$C$91,0),MATCH($G920,'Labor Expenditures'!$E$5:$W$5,0)),"NA")</f>
        <v>30986.344948207829</v>
      </c>
      <c r="K920" s="125">
        <f t="shared" ca="1" si="1662"/>
        <v>232.10745279556426</v>
      </c>
      <c r="L920" s="47"/>
      <c r="M920" s="131">
        <f t="shared" ca="1" si="1669"/>
        <v>1.9445980005974552E-2</v>
      </c>
      <c r="N920" s="131"/>
      <c r="O920" s="131"/>
      <c r="P920" s="59">
        <f t="shared" ca="1" si="1671"/>
        <v>2.516837608918106E-4</v>
      </c>
      <c r="Q920" s="61"/>
      <c r="R920" s="387"/>
      <c r="S920" s="49">
        <f t="shared" ca="1" si="1676"/>
        <v>118.56832173393525</v>
      </c>
      <c r="T920" s="61">
        <f ca="1">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</f>
        <v>-3.5707658562124825E-3</v>
      </c>
      <c r="U920" s="61"/>
      <c r="V920" s="125">
        <f>IFERROR(INDEX('Non-Labor Expenditures'!$E$7:$AA$91,MATCH($C920,'Non-Labor Expenditures'!$C$7:$C$91,0),MATCH($G920,'Non-Labor Expenditures'!$E$5:$AA$5,0)),"NA")</f>
        <v>44874.014935923202</v>
      </c>
      <c r="W920" s="125">
        <f t="shared" si="1663"/>
        <v>428.84598415431344</v>
      </c>
      <c r="X920" s="131">
        <f t="shared" si="1672"/>
        <v>4.1113639594035689E-2</v>
      </c>
      <c r="Y920" s="131">
        <f t="shared" si="1673"/>
        <v>5.3212208558263278E-4</v>
      </c>
      <c r="Z920" s="131"/>
      <c r="AA920" s="131"/>
      <c r="AB920" s="131"/>
      <c r="AC920" s="125">
        <f t="shared" si="1643"/>
        <v>53056.398534295658</v>
      </c>
      <c r="AD920" s="129"/>
      <c r="AE920" s="133">
        <v>4038.3864417781606</v>
      </c>
      <c r="AF920" s="134">
        <v>2.4764123061241938E-2</v>
      </c>
      <c r="AG920" s="59">
        <f t="shared" si="1664"/>
        <v>3.2051496634914034E-4</v>
      </c>
      <c r="AH920" s="134"/>
      <c r="AI920" s="134"/>
      <c r="AJ920" s="129">
        <f t="shared" si="1588"/>
        <v>128916.75841842669</v>
      </c>
      <c r="AK920" s="134">
        <f t="shared" si="1674"/>
        <v>2.6135516424474464E-2</v>
      </c>
      <c r="AL920" s="129"/>
      <c r="AM920" s="129"/>
      <c r="AN920" s="129"/>
      <c r="AO920" s="129"/>
      <c r="AP920" s="133">
        <f t="shared" si="1675"/>
        <v>245.63292924143147</v>
      </c>
      <c r="AQ920" s="134">
        <f>+BB920/Outputs!$B$23</f>
        <v>1.4405955367353715E-2</v>
      </c>
      <c r="AR920" s="93">
        <f t="shared" si="1665"/>
        <v>0.24035932432954196</v>
      </c>
      <c r="AS920" s="93">
        <f t="shared" si="1666"/>
        <v>0.34808519455845349</v>
      </c>
      <c r="AT920" s="93">
        <f t="shared" si="1667"/>
        <v>0.41155548111200457</v>
      </c>
      <c r="AU920" s="93">
        <f t="shared" ca="1" si="1670"/>
        <v>2.9123475282314699E-2</v>
      </c>
      <c r="AV920" s="132">
        <f t="shared" ca="1" si="1678"/>
        <v>103.81318602449393</v>
      </c>
      <c r="AW920" s="134">
        <f t="shared" ca="1" si="1679"/>
        <v>2.912347528231464E-2</v>
      </c>
      <c r="AX920" s="56">
        <f>+AJ920/$AL$20</f>
        <v>1.2942714165831894E-2</v>
      </c>
      <c r="AY920" s="135">
        <f t="shared" ca="1" si="1677"/>
        <v>3.769368160946687E-4</v>
      </c>
      <c r="AZ920" s="93"/>
      <c r="BA920" s="93"/>
      <c r="BB920" s="234">
        <f>IFERROR(INDEX('Total Customers'!$E$7:$AA$91,MATCH($C920,'Total Customers'!$C$7:$C$91,0),MATCH($G920,'Total Customers'!$E$5:$AA$5,0)),"NA")</f>
        <v>524835</v>
      </c>
      <c r="BC920" s="269">
        <f t="shared" si="1639"/>
        <v>2.6195880699325332E-2</v>
      </c>
      <c r="BD920" s="92"/>
      <c r="BE920" s="299" t="str">
        <f t="shared" si="1635"/>
        <v>PUBLIC SERVICE COMPANY OF NORTH CAROLINA, INCORPORATED</v>
      </c>
      <c r="BF920" s="300">
        <f t="shared" si="1636"/>
        <v>4057139</v>
      </c>
      <c r="BG920" s="231" t="str">
        <f t="shared" si="1637"/>
        <v>NC</v>
      </c>
      <c r="BH920" s="231"/>
      <c r="BI920" s="231" t="str">
        <f t="shared" si="1638"/>
        <v>2015 Y</v>
      </c>
      <c r="BJ920" s="129"/>
      <c r="BK920" s="129"/>
      <c r="BL920" s="129">
        <f>INDEX('Dist. Plant Gas Additions'!$E$7:$AD$91,MATCH($C920,'Dist. Plant Gas Additions'!$C$7:$C$91,0),MATCH(Calculation!$G920,'Dist. Plant Gas Additions'!$E$5:$AD$5,0))</f>
        <v>75856</v>
      </c>
      <c r="BM920" s="129">
        <f>INDEX('Gen. Plant Additions'!$E$7:$AD$91,MATCH($C920,'Gen. Plant Additions'!$C$7:$C$91,0),MATCH(Calculation!$G920,'Gen. Plant Additions'!$E$5:$AD$5,0))</f>
        <v>12953</v>
      </c>
      <c r="BN920" s="301">
        <f t="shared" si="1644"/>
        <v>0.94165335681682394</v>
      </c>
      <c r="BO920" s="231">
        <f t="shared" si="1631"/>
        <v>12197.235930848321</v>
      </c>
      <c r="BP920" s="231">
        <f t="shared" si="1632"/>
        <v>-755.764069151679</v>
      </c>
      <c r="BQ920" s="129">
        <f>INDEX('Dist Plant Depreciation'!$D$7:$AC$94,MATCH($C920,'Dist Plant Depreciation'!$C$7:$C$94,0),MATCH(Calculation!$G920,'Dist Plant Depreciation'!$D$5:$AC$5,0))</f>
        <v>565253</v>
      </c>
      <c r="BR920" s="129">
        <f>INDEX('Gen. Plant Depreciation'!$D$7:$AC$94,MATCH($C920,'Gen. Plant Depreciation'!$C$7:$C$94,0),MATCH(Calculation!$G920,'Gen. Plant Depreciation'!$D$5:$AC$5,0))</f>
        <v>17547</v>
      </c>
      <c r="BS920" s="129"/>
      <c r="BT920" s="129"/>
      <c r="BU920" s="129"/>
      <c r="BV920" s="129"/>
      <c r="BW920" s="129"/>
      <c r="BX920" s="137"/>
      <c r="BY920" s="129">
        <f>INDEX('Gross Dx Plant'!$D$7:$AC$91,MATCH($C920,'Gross Dx Plant'!$C$7:$C$91,0),MATCH(Calculation!$G920,'Gross Dx Plant'!$D$5:$AC$5,0))</f>
        <v>1360142</v>
      </c>
      <c r="BZ920" s="129">
        <f>INDEX('Gross Gen Plant'!$D$7:$AC$91,MATCH($C920,'Gross Gen Plant'!$C$7:$C$91,0),MATCH(Calculation!$G920,'Gross Gen Plant'!$D$5:$AC$5,0))</f>
        <v>84277</v>
      </c>
      <c r="CA920" s="129">
        <f t="shared" si="1595"/>
        <v>861619</v>
      </c>
      <c r="CB920" s="129"/>
      <c r="CC920" s="133">
        <v>2015</v>
      </c>
      <c r="CD920" s="129"/>
      <c r="CE920" s="129"/>
      <c r="CF920" s="129"/>
      <c r="CG920" s="137"/>
      <c r="CH920" s="129">
        <f t="shared" si="1645"/>
        <v>88809</v>
      </c>
      <c r="CI920" s="46">
        <f t="shared" si="1654"/>
        <v>88053.235930848314</v>
      </c>
      <c r="CJ920" s="231">
        <f t="shared" si="1646"/>
        <v>130.33056363590359</v>
      </c>
      <c r="CK920" s="443">
        <v>0.8</v>
      </c>
      <c r="CL920" s="231">
        <f>+CL903*CK920+CJ904*CK919+CJ905*CK918+CJ906*CK917+CJ907*CK916+CJ908*CK915+CJ909*CK914+CJ910*CK913+CJ911*CK912+CJ912*CK911+CJ913*CK910+CJ914*CK909+CJ915*CK908+CJ916*CK907+CJ917*CK906+CJ918*CK905+CJ919*CK904+CJ920</f>
        <v>3711.1325867519968</v>
      </c>
      <c r="CM920" s="134">
        <f t="shared" si="1647"/>
        <v>2.0492826867669657E-2</v>
      </c>
      <c r="CN920" s="135">
        <f t="shared" si="1648"/>
        <v>1.5141672876486453E-2</v>
      </c>
      <c r="CO920" s="135">
        <f t="shared" si="1657"/>
        <v>1.4768860868024286E-2</v>
      </c>
      <c r="CP920" s="134">
        <f>VLOOKUP($H920,RoR!$E:$F,2,FALSE)</f>
        <v>3.8866666666666674E-2</v>
      </c>
      <c r="CQ920" s="135">
        <v>9.5709475431029478E-3</v>
      </c>
      <c r="CR920" s="135">
        <f t="shared" si="1655"/>
        <v>2.9295719123563727E-2</v>
      </c>
      <c r="CS920" s="135">
        <f t="shared" si="1658"/>
        <v>1.6133080740509339E-2</v>
      </c>
      <c r="CT920" s="135">
        <f t="shared" si="1659"/>
        <v>3.5270373279175926E-3</v>
      </c>
      <c r="CU920" s="139">
        <f t="shared" si="1649"/>
        <v>0.87050000000000005</v>
      </c>
      <c r="CV920" s="335">
        <f t="shared" si="1650"/>
        <v>1.3194352816994324</v>
      </c>
      <c r="CW920" s="335">
        <f t="shared" si="1651"/>
        <v>0.33177530017152673</v>
      </c>
      <c r="CX920" s="335">
        <f t="shared" si="1652"/>
        <v>0.78242572977668579</v>
      </c>
      <c r="CY920" s="335">
        <f t="shared" si="1653"/>
        <v>0.34251158643433932</v>
      </c>
      <c r="CZ920" s="336">
        <f>INDEX('State Tax Lookup'!$D$7:$Z$91,MATCH(Calculation!$C920,'State Tax Lookup'!$B$7:$B$91,0),MATCH($H920,'State Tax Lookup'!$D$6:$Z$6,0))</f>
        <v>0.35</v>
      </c>
      <c r="DA920" s="302">
        <v>0.37</v>
      </c>
      <c r="DB920" s="57">
        <f t="shared" si="1656"/>
        <v>14.592550933104397</v>
      </c>
      <c r="DC920" s="56">
        <f t="shared" si="1660"/>
        <v>-3.4011195145754736E-2</v>
      </c>
      <c r="DD920" s="303">
        <f>VLOOKUP($H920,RoR!$E:$F,2,FALSE)</f>
        <v>3.8866666666666674E-2</v>
      </c>
      <c r="DE920" s="304">
        <f>HLOOKUP($H920,'GDP-PI'!$D$8:$CQ$11,3,FALSE)</f>
        <v>9.5709475431029478E-3</v>
      </c>
      <c r="DF920" s="303">
        <f>VLOOKUP(H920,'HW Dx Data'!$E:$F,2,FALSE)</f>
        <v>675.61463308665782</v>
      </c>
      <c r="DG920" s="364">
        <f ca="1">VLOOKUP(CC920,'ECI - Input Price'!M$13:N$33,2,FALSE)</f>
        <v>133.5</v>
      </c>
      <c r="DH920" s="364"/>
      <c r="DI920" s="364"/>
      <c r="DJ920" s="56">
        <f t="shared" ca="1" si="1668"/>
        <v>3.1193095773504077E-2</v>
      </c>
      <c r="DK920" s="53">
        <f>HLOOKUP(H920,'GDP-PI'!$8:$9,2,FALSE)</f>
        <v>104.639</v>
      </c>
      <c r="DL920" s="355">
        <f t="shared" si="1661"/>
        <v>9.5254361854427965E-3</v>
      </c>
      <c r="EC920"/>
    </row>
    <row r="921" spans="1:133" s="126" customFormat="1" ht="21" customHeight="1" x14ac:dyDescent="0.4">
      <c r="A921" s="233" t="s">
        <v>236</v>
      </c>
      <c r="B921" s="126" t="s">
        <v>236</v>
      </c>
      <c r="C921" s="126">
        <v>4057139</v>
      </c>
      <c r="D921" s="127" t="s">
        <v>237</v>
      </c>
      <c r="E921" s="127"/>
      <c r="F921" s="144"/>
      <c r="G921" s="126" t="s">
        <v>172</v>
      </c>
      <c r="H921" s="128">
        <v>2016</v>
      </c>
      <c r="I921" s="129"/>
      <c r="J921" s="125">
        <f>IFERROR(INDEX('Labor Expenditures'!$E$7:$W$91,MATCH($C921,'Labor Expenditures'!$C$7:$C$91,0),MATCH($G921,'Labor Expenditures'!$E$5:$W$5,0)),"NA")</f>
        <v>32440.106448677569</v>
      </c>
      <c r="K921" s="125">
        <f t="shared" ca="1" si="1662"/>
        <v>236.87554909585668</v>
      </c>
      <c r="L921" s="47"/>
      <c r="M921" s="131">
        <f t="shared" ca="1" si="1669"/>
        <v>2.0334470873734509E-2</v>
      </c>
      <c r="N921" s="131"/>
      <c r="O921" s="131"/>
      <c r="P921" s="59">
        <f t="shared" ca="1" si="1671"/>
        <v>2.6094533824129332E-4</v>
      </c>
      <c r="Q921" s="61"/>
      <c r="R921" s="387"/>
      <c r="S921" s="49">
        <f t="shared" ca="1" si="1676"/>
        <v>293.84937395120289</v>
      </c>
      <c r="T921" s="61">
        <f ca="1">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</f>
        <v>0.9075779534035946</v>
      </c>
      <c r="U921" s="61"/>
      <c r="V921" s="125">
        <f>IFERROR(INDEX('Non-Labor Expenditures'!$E$7:$AA$91,MATCH($C921,'Non-Labor Expenditures'!$C$7:$C$91,0),MATCH($G921,'Non-Labor Expenditures'!$E$5:$AA$5,0)),"NA")</f>
        <v>46979.33311379762</v>
      </c>
      <c r="W921" s="125">
        <f t="shared" si="1663"/>
        <v>444.30783379168514</v>
      </c>
      <c r="X921" s="131">
        <f t="shared" si="1672"/>
        <v>3.5419798375312249E-2</v>
      </c>
      <c r="Y921" s="131">
        <f t="shared" si="1673"/>
        <v>4.5453020759063498E-4</v>
      </c>
      <c r="Z921" s="131"/>
      <c r="AA921" s="131"/>
      <c r="AB921" s="131"/>
      <c r="AC921" s="125">
        <f t="shared" si="1643"/>
        <v>52532.992512905723</v>
      </c>
      <c r="AD921" s="129"/>
      <c r="AE921" s="133">
        <v>4164.2045433133326</v>
      </c>
      <c r="AF921" s="134">
        <v>3.0680054785529761E-2</v>
      </c>
      <c r="AG921" s="59">
        <f t="shared" si="1664"/>
        <v>3.9370669259028386E-4</v>
      </c>
      <c r="AH921" s="134"/>
      <c r="AI921" s="134"/>
      <c r="AJ921" s="129">
        <f t="shared" si="1588"/>
        <v>131952.43207538093</v>
      </c>
      <c r="AK921" s="134">
        <f t="shared" si="1674"/>
        <v>2.327458207617249E-2</v>
      </c>
      <c r="AL921" s="129"/>
      <c r="AM921" s="129"/>
      <c r="AN921" s="129"/>
      <c r="AO921" s="129"/>
      <c r="AP921" s="133">
        <f t="shared" si="1675"/>
        <v>244.76565826814272</v>
      </c>
      <c r="AQ921" s="134">
        <f>+BB921/Outputs!$B$24</f>
        <v>1.4669556003865535E-2</v>
      </c>
      <c r="AR921" s="93">
        <f t="shared" si="1665"/>
        <v>0.24584697635694502</v>
      </c>
      <c r="AS921" s="93">
        <f t="shared" si="1666"/>
        <v>0.35603233964615044</v>
      </c>
      <c r="AT921" s="93">
        <f t="shared" si="1667"/>
        <v>0.39812068399690442</v>
      </c>
      <c r="AU921" s="93">
        <f t="shared" ca="1" si="1670"/>
        <v>2.983367902903182E-2</v>
      </c>
      <c r="AV921" s="132">
        <f t="shared" ca="1" si="1678"/>
        <v>106.95697755530128</v>
      </c>
      <c r="AW921" s="134">
        <f t="shared" ca="1" si="1679"/>
        <v>2.9833679029031914E-2</v>
      </c>
      <c r="AX921" s="56">
        <f>+AJ921/$AL$21</f>
        <v>1.2832659372432918E-2</v>
      </c>
      <c r="AY921" s="135">
        <f t="shared" ca="1" si="1677"/>
        <v>3.8284544080606178E-4</v>
      </c>
      <c r="AZ921" s="93"/>
      <c r="BA921" s="93"/>
      <c r="BB921" s="234">
        <f>IFERROR(INDEX('Total Customers'!$E$7:$AA$91,MATCH($C921,'Total Customers'!$C$7:$C$91,0),MATCH($G921,'Total Customers'!$E$5:$AA$5,0)),"NA")</f>
        <v>539097</v>
      </c>
      <c r="BC921" s="269">
        <f t="shared" si="1639"/>
        <v>2.6811590132634143E-2</v>
      </c>
      <c r="BD921" s="92"/>
      <c r="BE921" s="299" t="str">
        <f t="shared" si="1635"/>
        <v>PUBLIC SERVICE COMPANY OF NORTH CAROLINA, INCORPORATED</v>
      </c>
      <c r="BF921" s="300">
        <f t="shared" si="1636"/>
        <v>4057139</v>
      </c>
      <c r="BG921" s="231" t="str">
        <f t="shared" si="1637"/>
        <v>NC</v>
      </c>
      <c r="BH921" s="231"/>
      <c r="BI921" s="231" t="str">
        <f t="shared" si="1638"/>
        <v>2016 Y</v>
      </c>
      <c r="BJ921" s="129"/>
      <c r="BK921" s="129"/>
      <c r="BL921" s="129">
        <f>INDEX('Dist. Plant Gas Additions'!$E$7:$AD$91,MATCH($C921,'Dist. Plant Gas Additions'!$C$7:$C$91,0),MATCH(Calculation!$G921,'Dist. Plant Gas Additions'!$E$5:$AD$5,0))</f>
        <v>98653</v>
      </c>
      <c r="BM921" s="129">
        <f>INDEX('Gen. Plant Additions'!$E$7:$AD$91,MATCH($C921,'Gen. Plant Additions'!$C$7:$C$91,0),MATCH(Calculation!$G921,'Gen. Plant Additions'!$E$5:$AD$5,0))</f>
        <v>9041</v>
      </c>
      <c r="BN921" s="301">
        <f t="shared" si="1644"/>
        <v>0.94299627576706102</v>
      </c>
      <c r="BO921" s="231">
        <f t="shared" si="1631"/>
        <v>8525.6293292099981</v>
      </c>
      <c r="BP921" s="231">
        <f t="shared" si="1632"/>
        <v>-515.3706707900019</v>
      </c>
      <c r="BQ921" s="129">
        <f>INDEX('Dist Plant Depreciation'!$D$7:$AC$94,MATCH($C921,'Dist Plant Depreciation'!$C$7:$C$94,0),MATCH(Calculation!$G921,'Dist Plant Depreciation'!$D$5:$AC$5,0))</f>
        <v>594714</v>
      </c>
      <c r="BR921" s="129">
        <f>INDEX('Gen. Plant Depreciation'!$D$7:$AC$94,MATCH($C921,'Gen. Plant Depreciation'!$C$7:$C$94,0),MATCH(Calculation!$G921,'Gen. Plant Depreciation'!$D$5:$AC$5,0))</f>
        <v>16813</v>
      </c>
      <c r="BS921" s="129"/>
      <c r="BT921" s="129"/>
      <c r="BU921" s="129"/>
      <c r="BV921" s="129"/>
      <c r="BW921" s="129"/>
      <c r="BX921" s="137"/>
      <c r="BY921" s="129">
        <f>INDEX('Gross Dx Plant'!$D$7:$AC$91,MATCH($C921,'Gross Dx Plant'!$C$7:$C$91,0),MATCH(Calculation!$G921,'Gross Dx Plant'!$D$5:$AC$5,0))</f>
        <v>1453906</v>
      </c>
      <c r="BZ921" s="129">
        <f>INDEX('Gross Gen Plant'!$D$7:$AC$91,MATCH($C921,'Gross Gen Plant'!$C$7:$C$91,0),MATCH(Calculation!$G921,'Gross Gen Plant'!$D$5:$AC$5,0))</f>
        <v>87888</v>
      </c>
      <c r="CA921" s="129">
        <f t="shared" si="1595"/>
        <v>930267</v>
      </c>
      <c r="CB921" s="129"/>
      <c r="CC921" s="133">
        <v>2016</v>
      </c>
      <c r="CD921" s="129"/>
      <c r="CE921" s="129"/>
      <c r="CF921" s="129"/>
      <c r="CG921" s="137"/>
      <c r="CH921" s="129">
        <f t="shared" si="1645"/>
        <v>107694</v>
      </c>
      <c r="CI921" s="46">
        <f t="shared" si="1654"/>
        <v>107178.62932921</v>
      </c>
      <c r="CJ921" s="231">
        <f t="shared" si="1646"/>
        <v>159.62113148274361</v>
      </c>
      <c r="CK921" s="443">
        <v>0.7857142857142857</v>
      </c>
      <c r="CL921" s="231">
        <f>+CL903*CK921+CJ904*CK920+CJ905*CK919+CJ906*CK918+CJ907*CK917+CJ908*CK916+CJ909*CK915+CJ910*CK914+CJ911*CK913+CJ912*CK912+CJ913*CK911+CJ914*CK910+CJ915*CK909+CJ916*CK908+CJ917*CK907+CJ918*CK906+CJ919*CK905+CJ920*CK904+CJ921</f>
        <v>3813.1417027454168</v>
      </c>
      <c r="CM921" s="134">
        <f t="shared" si="1647"/>
        <v>2.7116333765245394E-2</v>
      </c>
      <c r="CN921" s="135">
        <f t="shared" si="1648"/>
        <v>1.5524105954874001E-2</v>
      </c>
      <c r="CO921" s="135">
        <f t="shared" si="1657"/>
        <v>1.5153806362793494E-2</v>
      </c>
      <c r="CP921" s="134">
        <f>VLOOKUP($H921,RoR!$E:$F,2,FALSE)</f>
        <v>3.6658333333333334E-2</v>
      </c>
      <c r="CQ921" s="135">
        <v>1.0483662879041455E-2</v>
      </c>
      <c r="CR921" s="135">
        <f t="shared" si="1655"/>
        <v>2.6174670454291879E-2</v>
      </c>
      <c r="CS921" s="135">
        <f t="shared" si="1658"/>
        <v>1.5748135245740133E-2</v>
      </c>
      <c r="CT921" s="135">
        <f t="shared" si="1659"/>
        <v>4.301363574220729E-3</v>
      </c>
      <c r="CU921" s="139">
        <f t="shared" si="1649"/>
        <v>0.87050000000000005</v>
      </c>
      <c r="CV921" s="335">
        <f t="shared" si="1650"/>
        <v>1.3989193348138562</v>
      </c>
      <c r="CW921" s="335">
        <f t="shared" si="1651"/>
        <v>0.29302682427824522</v>
      </c>
      <c r="CX921" s="335">
        <f t="shared" si="1652"/>
        <v>0.76309497491941802</v>
      </c>
      <c r="CY921" s="335">
        <f t="shared" si="1653"/>
        <v>0.31280857135128509</v>
      </c>
      <c r="CZ921" s="336">
        <f>INDEX('State Tax Lookup'!$D$7:$Z$91,MATCH(Calculation!$C921,'State Tax Lookup'!$B$7:$B$91,0),MATCH($H921,'State Tax Lookup'!$D$6:$Z$6,0))</f>
        <v>0.35</v>
      </c>
      <c r="DA921" s="302">
        <v>0.37</v>
      </c>
      <c r="DB921" s="57">
        <f t="shared" si="1656"/>
        <v>14.155514869082833</v>
      </c>
      <c r="DC921" s="56">
        <f t="shared" si="1660"/>
        <v>-3.0406896894409358E-2</v>
      </c>
      <c r="DD921" s="303">
        <f>VLOOKUP($H921,RoR!$E:$F,2,FALSE)</f>
        <v>3.6658333333333334E-2</v>
      </c>
      <c r="DE921" s="304">
        <f>HLOOKUP($H921,'GDP-PI'!$D$8:$CQ$11,3,FALSE)</f>
        <v>1.0483662879041455E-2</v>
      </c>
      <c r="DF921" s="303">
        <f>VLOOKUP(H921,'HW Dx Data'!$E:$F,2,FALSE)</f>
        <v>671.45639385971219</v>
      </c>
      <c r="DG921" s="364">
        <f ca="1">VLOOKUP(CC921,'ECI - Input Price'!M$13:N$33,2,FALSE)</f>
        <v>136.94999999999999</v>
      </c>
      <c r="DH921" s="364"/>
      <c r="DI921" s="364"/>
      <c r="DJ921" s="56">
        <f t="shared" ca="1" si="1668"/>
        <v>2.5514417868782811E-2</v>
      </c>
      <c r="DK921" s="53">
        <f>HLOOKUP(H921,'GDP-PI'!$8:$9,2,FALSE)</f>
        <v>105.736</v>
      </c>
      <c r="DL921" s="355">
        <f t="shared" si="1661"/>
        <v>1.0429090367205095E-2</v>
      </c>
      <c r="EC921"/>
    </row>
    <row r="922" spans="1:133" s="126" customFormat="1" ht="21" customHeight="1" x14ac:dyDescent="0.4">
      <c r="A922" s="233" t="s">
        <v>236</v>
      </c>
      <c r="B922" s="126" t="s">
        <v>236</v>
      </c>
      <c r="C922" s="126">
        <v>4057139</v>
      </c>
      <c r="D922" s="127" t="s">
        <v>237</v>
      </c>
      <c r="E922" s="127"/>
      <c r="F922" s="144"/>
      <c r="G922" s="126" t="s">
        <v>173</v>
      </c>
      <c r="H922" s="128">
        <v>2017</v>
      </c>
      <c r="I922" s="129"/>
      <c r="J922" s="125">
        <f>IFERROR(INDEX('Labor Expenditures'!$E$7:$W$91,MATCH($C922,'Labor Expenditures'!$C$7:$C$91,0),MATCH($G922,'Labor Expenditures'!$E$5:$W$5,0)),"NA")</f>
        <v>29703.456950388951</v>
      </c>
      <c r="K922" s="125">
        <f t="shared" ca="1" si="1662"/>
        <v>211.48776753569919</v>
      </c>
      <c r="L922" s="47"/>
      <c r="M922" s="131">
        <f t="shared" ca="1" si="1669"/>
        <v>-0.11336773381369285</v>
      </c>
      <c r="N922" s="131"/>
      <c r="O922" s="131"/>
      <c r="P922" s="59">
        <f t="shared" ca="1" si="1671"/>
        <v>-1.3516032729641236E-3</v>
      </c>
      <c r="Q922" s="61"/>
      <c r="R922" s="387"/>
      <c r="S922" s="49">
        <f t="shared" ca="1" si="1676"/>
        <v>165.22370629476586</v>
      </c>
      <c r="T922" s="61">
        <f ca="1">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</f>
        <v>-0.57576695118642185</v>
      </c>
      <c r="U922" s="61"/>
      <c r="V922" s="125">
        <f>IFERROR(INDEX('Non-Labor Expenditures'!$E$7:$AA$91,MATCH($C922,'Non-Labor Expenditures'!$C$7:$C$91,0),MATCH($G922,'Non-Labor Expenditures'!$E$5:$AA$5,0)),"NA")</f>
        <v>43016.153504655216</v>
      </c>
      <c r="W922" s="125">
        <f t="shared" si="1663"/>
        <v>399.21813722986531</v>
      </c>
      <c r="X922" s="131">
        <f t="shared" si="1672"/>
        <v>-0.10700966420027229</v>
      </c>
      <c r="Y922" s="131">
        <f t="shared" si="1673"/>
        <v>-1.2758005078373586E-3</v>
      </c>
      <c r="Z922" s="131"/>
      <c r="AA922" s="131"/>
      <c r="AB922" s="131"/>
      <c r="AC922" s="125">
        <f t="shared" si="1643"/>
        <v>49831.150276751709</v>
      </c>
      <c r="AD922" s="129"/>
      <c r="AE922" s="133">
        <v>4246.8546275343861</v>
      </c>
      <c r="AF922" s="134">
        <v>1.9653349917845345E-2</v>
      </c>
      <c r="AG922" s="59">
        <f t="shared" si="1664"/>
        <v>2.3431298465684375E-4</v>
      </c>
      <c r="AH922" s="134"/>
      <c r="AI922" s="134"/>
      <c r="AJ922" s="129">
        <f t="shared" si="1588"/>
        <v>122550.76073179588</v>
      </c>
      <c r="AK922" s="134">
        <f t="shared" si="1674"/>
        <v>-7.3916177098053024E-2</v>
      </c>
      <c r="AL922" s="129"/>
      <c r="AM922" s="129"/>
      <c r="AN922" s="129"/>
      <c r="AO922" s="129"/>
      <c r="AP922" s="133">
        <f t="shared" si="1675"/>
        <v>221.61358413541561</v>
      </c>
      <c r="AQ922" s="134">
        <f>+BB922/Outputs!$B$25</f>
        <v>1.4934629247051818E-2</v>
      </c>
      <c r="AR922" s="93">
        <f t="shared" si="1665"/>
        <v>0.24237676512996439</v>
      </c>
      <c r="AS922" s="93">
        <f t="shared" si="1666"/>
        <v>0.35100682564343028</v>
      </c>
      <c r="AT922" s="93">
        <f t="shared" si="1667"/>
        <v>0.40661640922660536</v>
      </c>
      <c r="AU922" s="93">
        <f t="shared" ca="1" si="1670"/>
        <v>-5.7596531567750298E-2</v>
      </c>
      <c r="AV922" s="132">
        <f t="shared" ca="1" si="1678"/>
        <v>100.97067651137385</v>
      </c>
      <c r="AW922" s="134">
        <f t="shared" ca="1" si="1679"/>
        <v>-5.7596531567750332E-2</v>
      </c>
      <c r="AX922" s="56">
        <f>+AJ922/$AL$22</f>
        <v>1.1922292415100507E-2</v>
      </c>
      <c r="AY922" s="135">
        <f t="shared" ca="1" si="1677"/>
        <v>-6.8668269144628671E-4</v>
      </c>
      <c r="AZ922" s="93"/>
      <c r="BA922" s="93"/>
      <c r="BB922" s="234">
        <f>IFERROR(INDEX('Total Customers'!$E$7:$AA$91,MATCH($C922,'Total Customers'!$C$7:$C$91,0),MATCH($G922,'Total Customers'!$E$5:$AA$5,0)),"NA")</f>
        <v>552993</v>
      </c>
      <c r="BC922" s="269">
        <f t="shared" si="1639"/>
        <v>2.5449825602504025E-2</v>
      </c>
      <c r="BD922" s="92"/>
      <c r="BE922" s="299" t="str">
        <f t="shared" si="1635"/>
        <v>PUBLIC SERVICE COMPANY OF NORTH CAROLINA, INCORPORATED</v>
      </c>
      <c r="BF922" s="300">
        <f t="shared" si="1636"/>
        <v>4057139</v>
      </c>
      <c r="BG922" s="231" t="str">
        <f t="shared" si="1637"/>
        <v>NC</v>
      </c>
      <c r="BH922" s="231"/>
      <c r="BI922" s="231" t="str">
        <f t="shared" si="1638"/>
        <v>2017 Y</v>
      </c>
      <c r="BJ922" s="129"/>
      <c r="BK922" s="129"/>
      <c r="BL922" s="129">
        <f>INDEX('Dist. Plant Gas Additions'!$E$7:$AD$91,MATCH($C922,'Dist. Plant Gas Additions'!$C$7:$C$91,0),MATCH(Calculation!$G922,'Dist. Plant Gas Additions'!$E$5:$AD$5,0))</f>
        <v>70861</v>
      </c>
      <c r="BM922" s="129">
        <f>INDEX('Gen. Plant Additions'!$E$7:$AD$91,MATCH($C922,'Gen. Plant Additions'!$C$7:$C$91,0),MATCH(Calculation!$G922,'Gen. Plant Additions'!$E$5:$AD$5,0))</f>
        <v>14173</v>
      </c>
      <c r="BN922" s="301">
        <f t="shared" si="1644"/>
        <v>0.94093720923605662</v>
      </c>
      <c r="BO922" s="231">
        <f t="shared" si="1631"/>
        <v>13335.903066502631</v>
      </c>
      <c r="BP922" s="231">
        <f t="shared" si="1632"/>
        <v>-837.09693349736881</v>
      </c>
      <c r="BQ922" s="129">
        <f>INDEX('Dist Plant Depreciation'!$D$7:$AC$94,MATCH($C922,'Dist Plant Depreciation'!$C$7:$C$94,0),MATCH(Calculation!$G922,'Dist Plant Depreciation'!$D$5:$AC$5,0))</f>
        <v>620171</v>
      </c>
      <c r="BR922" s="129">
        <f>INDEX('Gen. Plant Depreciation'!$D$7:$AC$94,MATCH($C922,'Gen. Plant Depreciation'!$C$7:$C$94,0),MATCH(Calculation!$G922,'Gen. Plant Depreciation'!$D$5:$AC$5,0))</f>
        <v>23274</v>
      </c>
      <c r="BS922" s="129"/>
      <c r="BT922" s="129"/>
      <c r="BU922" s="129"/>
      <c r="BV922" s="129"/>
      <c r="BW922" s="129"/>
      <c r="BX922" s="137"/>
      <c r="BY922" s="129">
        <f>INDEX('Gross Dx Plant'!$D$7:$AC$91,MATCH($C922,'Gross Dx Plant'!$C$7:$C$91,0),MATCH(Calculation!$G922,'Gross Dx Plant'!$D$5:$AC$5,0))</f>
        <v>1518938</v>
      </c>
      <c r="BZ922" s="129">
        <f>INDEX('Gross Gen Plant'!$D$7:$AC$91,MATCH($C922,'Gross Gen Plant'!$C$7:$C$91,0),MATCH(Calculation!$G922,'Gross Gen Plant'!$D$5:$AC$5,0))</f>
        <v>95344</v>
      </c>
      <c r="CA922" s="129">
        <f t="shared" si="1595"/>
        <v>970837</v>
      </c>
      <c r="CB922" s="129"/>
      <c r="CC922" s="133">
        <v>2017</v>
      </c>
      <c r="CD922" s="129"/>
      <c r="CE922" s="129"/>
      <c r="CF922" s="129"/>
      <c r="CG922" s="137"/>
      <c r="CH922" s="129">
        <f t="shared" si="1645"/>
        <v>85034</v>
      </c>
      <c r="CI922" s="46">
        <f t="shared" si="1654"/>
        <v>84196.903066502637</v>
      </c>
      <c r="CJ922" s="231">
        <f t="shared" si="1646"/>
        <v>118.18293790088302</v>
      </c>
      <c r="CK922" s="443">
        <v>0.77108433734939763</v>
      </c>
      <c r="CL922" s="231">
        <f>+CL903*CK922+CJ904*CK921+CJ905*CK920+CJ906*CK919+CJ907*CK918+CJ908*CK917+CJ909*CK916+CJ910*CK915+CJ911*CK914+CJ912*CK913+CJ913*CK912+CJ914*CK911+CJ915*CK910+CJ916*CK909+CJ917*CK908+CJ918*CK907+CJ919*CK906+CJ920*CK905+CJ921*CK904+CJ922</f>
        <v>3870.7932428402</v>
      </c>
      <c r="CM922" s="134">
        <f t="shared" si="1647"/>
        <v>1.50060151035882E-2</v>
      </c>
      <c r="CN922" s="135">
        <f t="shared" si="1648"/>
        <v>1.5874416039277493E-2</v>
      </c>
      <c r="CO922" s="135">
        <f t="shared" si="1657"/>
        <v>1.551339829021265E-2</v>
      </c>
      <c r="CP922" s="134">
        <f>VLOOKUP($H922,RoR!$E:$F,2,FALSE)</f>
        <v>3.7433333333333339E-2</v>
      </c>
      <c r="CQ922" s="135">
        <v>1.9056896421275615E-2</v>
      </c>
      <c r="CR922" s="135">
        <f t="shared" si="1655"/>
        <v>1.8376436912057724E-2</v>
      </c>
      <c r="CS922" s="135">
        <f t="shared" si="1658"/>
        <v>1.5388543318320975E-2</v>
      </c>
      <c r="CT922" s="135">
        <f t="shared" si="1659"/>
        <v>1.3976271617800498E-2</v>
      </c>
      <c r="CU922" s="139">
        <f t="shared" si="1649"/>
        <v>0.91305000000000003</v>
      </c>
      <c r="CV922" s="335">
        <f t="shared" si="1650"/>
        <v>1.3699568463593395</v>
      </c>
      <c r="CW922" s="335">
        <f t="shared" si="1651"/>
        <v>0.30714603739982199</v>
      </c>
      <c r="CX922" s="335">
        <f t="shared" si="1652"/>
        <v>0.77007188472689425</v>
      </c>
      <c r="CY922" s="335">
        <f t="shared" si="1653"/>
        <v>0.32402839633793828</v>
      </c>
      <c r="CZ922" s="336">
        <f>INDEX('State Tax Lookup'!$D$7:$Z$91,MATCH(Calculation!$C922,'State Tax Lookup'!$B$7:$B$91,0),MATCH($H922,'State Tax Lookup'!$D$6:$Z$6,0))</f>
        <v>0.23499999999999999</v>
      </c>
      <c r="DA922" s="302">
        <v>0.37</v>
      </c>
      <c r="DB922" s="57">
        <f t="shared" si="1656"/>
        <v>13.06826605496299</v>
      </c>
      <c r="DC922" s="56">
        <f t="shared" si="1660"/>
        <v>-7.9917438753788428E-2</v>
      </c>
      <c r="DD922" s="303">
        <f>VLOOKUP($H922,RoR!$E:$F,2,FALSE)</f>
        <v>3.7433333333333339E-2</v>
      </c>
      <c r="DE922" s="304">
        <f>HLOOKUP($H922,'GDP-PI'!$D$8:$CQ$11,3,FALSE)</f>
        <v>1.9056896421275615E-2</v>
      </c>
      <c r="DF922" s="303">
        <f>VLOOKUP(H922,'HW Dx Data'!$E:$F,2,FALSE)</f>
        <v>712.42858370229726</v>
      </c>
      <c r="DG922" s="364">
        <f ca="1">VLOOKUP(CC922,'ECI - Input Price'!M$13:N$33,2,FALSE)</f>
        <v>140.44999999999999</v>
      </c>
      <c r="DH922" s="364"/>
      <c r="DI922" s="364"/>
      <c r="DJ922" s="56">
        <f t="shared" ca="1" si="1668"/>
        <v>2.5235657841165486E-2</v>
      </c>
      <c r="DK922" s="53">
        <f>HLOOKUP(H922,'GDP-PI'!$8:$9,2,FALSE)</f>
        <v>107.751</v>
      </c>
      <c r="DL922" s="355">
        <f t="shared" si="1661"/>
        <v>1.8877588227745139E-2</v>
      </c>
      <c r="EC922"/>
    </row>
    <row r="923" spans="1:133" s="126" customFormat="1" ht="21" customHeight="1" x14ac:dyDescent="0.4">
      <c r="A923" s="233" t="s">
        <v>236</v>
      </c>
      <c r="B923" s="126" t="s">
        <v>236</v>
      </c>
      <c r="C923" s="126">
        <v>4057139</v>
      </c>
      <c r="D923" s="127" t="s">
        <v>237</v>
      </c>
      <c r="E923" s="127"/>
      <c r="F923" s="144"/>
      <c r="G923" s="126" t="s">
        <v>174</v>
      </c>
      <c r="H923" s="128">
        <v>2018</v>
      </c>
      <c r="I923" s="129"/>
      <c r="J923" s="125">
        <f>IFERROR(INDEX('Labor Expenditures'!$E$7:$W$91,MATCH($C923,'Labor Expenditures'!$C$7:$C$91,0),MATCH($G923,'Labor Expenditures'!$E$5:$W$5,0)),"NA")</f>
        <v>30775.87661577035</v>
      </c>
      <c r="K923" s="125">
        <f t="shared" ca="1" si="1662"/>
        <v>213.05556674122778</v>
      </c>
      <c r="L923" s="47"/>
      <c r="M923" s="131">
        <f t="shared" ca="1" si="1669"/>
        <v>7.3858483033064012E-3</v>
      </c>
      <c r="N923" s="131"/>
      <c r="O923" s="131"/>
      <c r="P923" s="59">
        <f t="shared" ca="1" si="1671"/>
        <v>8.4623722524953353E-5</v>
      </c>
      <c r="Q923" s="61"/>
      <c r="R923" s="387"/>
      <c r="S923" s="49">
        <f t="shared" ca="1" si="1676"/>
        <v>113.58989981804366</v>
      </c>
      <c r="T923" s="61">
        <f ca="1">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</f>
        <v>-0.37470575908341303</v>
      </c>
      <c r="U923" s="61"/>
      <c r="V923" s="125">
        <f>IFERROR(INDEX('Non-Labor Expenditures'!$E$7:$AA$91,MATCH($C923,'Non-Labor Expenditures'!$C$7:$C$91,0),MATCH($G923,'Non-Labor Expenditures'!$E$5:$AA$5,0)),"NA")</f>
        <v>44569.217480491643</v>
      </c>
      <c r="W923" s="125">
        <f t="shared" si="1663"/>
        <v>403.99210928456375</v>
      </c>
      <c r="X923" s="131">
        <f t="shared" si="1672"/>
        <v>1.1887368948789291E-2</v>
      </c>
      <c r="Y923" s="131">
        <f t="shared" si="1673"/>
        <v>1.3620011813995141E-4</v>
      </c>
      <c r="Z923" s="131"/>
      <c r="AA923" s="131"/>
      <c r="AB923" s="131"/>
      <c r="AC923" s="125">
        <f t="shared" si="1643"/>
        <v>52153.913962764847</v>
      </c>
      <c r="AD923" s="129"/>
      <c r="AE923" s="133">
        <v>4312.9104322106705</v>
      </c>
      <c r="AF923" s="134">
        <v>1.5434329218074487E-2</v>
      </c>
      <c r="AG923" s="59">
        <f t="shared" si="1664"/>
        <v>1.7683959099517563E-4</v>
      </c>
      <c r="AH923" s="134"/>
      <c r="AI923" s="134"/>
      <c r="AJ923" s="129">
        <f t="shared" si="1588"/>
        <v>127499.00805902685</v>
      </c>
      <c r="AK923" s="134">
        <f t="shared" si="1674"/>
        <v>3.9583267162366764E-2</v>
      </c>
      <c r="AL923" s="129"/>
      <c r="AM923" s="129"/>
      <c r="AN923" s="129"/>
      <c r="AO923" s="129"/>
      <c r="AP923" s="133">
        <f t="shared" si="1675"/>
        <v>224.6065093393467</v>
      </c>
      <c r="AQ923" s="134">
        <f>+BB923/Outputs!$B$26</f>
        <v>1.5196340938584569E-2</v>
      </c>
      <c r="AR923" s="93">
        <f t="shared" si="1665"/>
        <v>0.24138130236685743</v>
      </c>
      <c r="AS923" s="93">
        <f t="shared" si="1666"/>
        <v>0.34956520963565385</v>
      </c>
      <c r="AT923" s="93">
        <f t="shared" si="1667"/>
        <v>0.40905348799748864</v>
      </c>
      <c r="AU923" s="93">
        <f t="shared" ca="1" si="1670"/>
        <v>1.2245119843814265E-2</v>
      </c>
      <c r="AV923" s="132">
        <f t="shared" ca="1" si="1678"/>
        <v>102.21467546003774</v>
      </c>
      <c r="AW923" s="134">
        <f t="shared" ca="1" si="1679"/>
        <v>1.2245119843814309E-2</v>
      </c>
      <c r="AX923" s="56">
        <f>+AJ923/$AL$23</f>
        <v>1.1457549498690638E-2</v>
      </c>
      <c r="AY923" s="135">
        <f t="shared" ca="1" si="1677"/>
        <v>1.4029906672790142E-4</v>
      </c>
      <c r="AZ923" s="93"/>
      <c r="BA923" s="93"/>
      <c r="BB923" s="234">
        <f>IFERROR(INDEX('Total Customers'!$E$7:$AA$91,MATCH($C923,'Total Customers'!$C$7:$C$91,0),MATCH($G923,'Total Customers'!$E$5:$AA$5,0)),"NA")</f>
        <v>567655</v>
      </c>
      <c r="BC923" s="269">
        <f t="shared" si="1639"/>
        <v>2.6168496601896581E-2</v>
      </c>
      <c r="BD923" s="92"/>
      <c r="BE923" s="299" t="str">
        <f t="shared" si="1635"/>
        <v>PUBLIC SERVICE COMPANY OF NORTH CAROLINA, INCORPORATED</v>
      </c>
      <c r="BF923" s="300">
        <f t="shared" si="1636"/>
        <v>4057139</v>
      </c>
      <c r="BG923" s="231" t="str">
        <f t="shared" si="1637"/>
        <v>NC</v>
      </c>
      <c r="BH923" s="231"/>
      <c r="BI923" s="231" t="str">
        <f t="shared" si="1638"/>
        <v>2018 Y</v>
      </c>
      <c r="BJ923" s="129"/>
      <c r="BK923" s="129"/>
      <c r="BL923" s="129">
        <f>INDEX('Dist. Plant Gas Additions'!$E$7:$AD$91,MATCH($C923,'Dist. Plant Gas Additions'!$C$7:$C$91,0),MATCH(Calculation!$G923,'Dist. Plant Gas Additions'!$E$5:$AD$5,0))</f>
        <v>72919</v>
      </c>
      <c r="BM923" s="129">
        <f>INDEX('Gen. Plant Additions'!$E$7:$AD$91,MATCH($C923,'Gen. Plant Additions'!$C$7:$C$91,0),MATCH(Calculation!$G923,'Gen. Plant Additions'!$E$5:$AD$5,0))</f>
        <v>6220</v>
      </c>
      <c r="BN923" s="301">
        <f t="shared" si="1644"/>
        <v>0.94275175128879063</v>
      </c>
      <c r="BO923" s="231">
        <f t="shared" si="1631"/>
        <v>5863.9158930162776</v>
      </c>
      <c r="BP923" s="231">
        <f t="shared" si="1632"/>
        <v>-356.08410698372245</v>
      </c>
      <c r="BQ923" s="129">
        <f>INDEX('Dist Plant Depreciation'!$D$7:$AC$94,MATCH($C923,'Dist Plant Depreciation'!$C$7:$C$94,0),MATCH(Calculation!$G923,'Dist Plant Depreciation'!$D$5:$AC$5,0))</f>
        <v>648858</v>
      </c>
      <c r="BR923" s="129">
        <f>INDEX('Gen. Plant Depreciation'!$D$7:$AC$94,MATCH($C923,'Gen. Plant Depreciation'!$C$7:$C$94,0),MATCH(Calculation!$G923,'Gen. Plant Depreciation'!$D$5:$AC$5,0))</f>
        <v>32522</v>
      </c>
      <c r="BS923" s="129"/>
      <c r="BT923" s="129"/>
      <c r="BU923" s="129"/>
      <c r="BV923" s="129"/>
      <c r="BW923" s="129"/>
      <c r="BX923" s="137"/>
      <c r="BY923" s="129">
        <f>INDEX('Gross Dx Plant'!$D$7:$AC$91,MATCH($C923,'Gross Dx Plant'!$C$7:$C$91,0),MATCH(Calculation!$G923,'Gross Dx Plant'!$D$5:$AC$5,0))</f>
        <v>1587906</v>
      </c>
      <c r="BZ923" s="129">
        <f>INDEX('Gross Gen Plant'!$D$7:$AC$91,MATCH($C923,'Gross Gen Plant'!$C$7:$C$91,0),MATCH(Calculation!$G923,'Gross Gen Plant'!$D$5:$AC$5,0))</f>
        <v>96425</v>
      </c>
      <c r="CA923" s="129">
        <f t="shared" si="1595"/>
        <v>1002951</v>
      </c>
      <c r="CB923" s="129"/>
      <c r="CC923" s="133">
        <v>2018</v>
      </c>
      <c r="CD923" s="129"/>
      <c r="CE923" s="129"/>
      <c r="CF923" s="129"/>
      <c r="CG923" s="137"/>
      <c r="CH923" s="129">
        <f t="shared" si="1645"/>
        <v>79139</v>
      </c>
      <c r="CI923" s="46">
        <f t="shared" si="1654"/>
        <v>78782.915893016281</v>
      </c>
      <c r="CJ923" s="231">
        <f t="shared" si="1646"/>
        <v>104.32934116001927</v>
      </c>
      <c r="CK923" s="443">
        <v>0.75609756097560976</v>
      </c>
      <c r="CL923" s="231">
        <f>+CL903*CK923++CJ904*CK922+CJ905*CK921+CJ906*CK920+CJ907*CK919+CJ908*CK918+CJ909*CK917+CJ910*CK916+CJ911*CK915+CJ912*CK914+CJ913*CK913+CJ914*CK912+CJ915*CK911+CJ916*CK910+CJ917*CK909+CJ918*CK908+CJ919*CK907+CJ920*CK906+CJ921*CK905+CJ922*CK904+CJ923</f>
        <v>3912.0031044671773</v>
      </c>
      <c r="CM923" s="134">
        <f t="shared" si="1647"/>
        <v>1.0590087399844522E-2</v>
      </c>
      <c r="CN923" s="135">
        <f t="shared" si="1648"/>
        <v>1.6306600630192274E-2</v>
      </c>
      <c r="CO923" s="135">
        <f t="shared" si="1657"/>
        <v>1.5901707541447922E-2</v>
      </c>
      <c r="CP923" s="134">
        <f>VLOOKUP($H923,RoR!$E:$F,2,FALSE)</f>
        <v>3.9299999999999995E-2</v>
      </c>
      <c r="CQ923" s="135">
        <v>2.386056741932796E-2</v>
      </c>
      <c r="CR923" s="135">
        <f t="shared" si="1655"/>
        <v>1.5439432580672034E-2</v>
      </c>
      <c r="CS923" s="135">
        <f t="shared" si="1658"/>
        <v>1.5000234067085703E-2</v>
      </c>
      <c r="CT923" s="135">
        <f t="shared" si="1659"/>
        <v>3.8270792163076606E-2</v>
      </c>
      <c r="CU923" s="139">
        <f t="shared" si="1649"/>
        <v>0.91305000000000003</v>
      </c>
      <c r="CV923" s="335">
        <f t="shared" si="1650"/>
        <v>1.3048868010700074</v>
      </c>
      <c r="CW923" s="335">
        <f t="shared" si="1651"/>
        <v>0.33886768447837151</v>
      </c>
      <c r="CX923" s="335">
        <f t="shared" si="1652"/>
        <v>0.78602506232557801</v>
      </c>
      <c r="CY923" s="335">
        <f t="shared" si="1653"/>
        <v>0.34756768162358759</v>
      </c>
      <c r="CZ923" s="336">
        <f>INDEX('State Tax Lookup'!$D$7:$Z$91,MATCH(Calculation!$C923,'State Tax Lookup'!$B$7:$B$91,0),MATCH($H923,'State Tax Lookup'!$D$6:$Z$6,0))</f>
        <v>0.23499999999999999</v>
      </c>
      <c r="DA923" s="302">
        <v>0.37</v>
      </c>
      <c r="DB923" s="57">
        <f t="shared" si="1656"/>
        <v>13.47370182048185</v>
      </c>
      <c r="DC923" s="56">
        <f t="shared" si="1660"/>
        <v>3.0552919497846966E-2</v>
      </c>
      <c r="DD923" s="303">
        <f>VLOOKUP($H923,RoR!$E:$F,2,FALSE)</f>
        <v>3.9299999999999995E-2</v>
      </c>
      <c r="DE923" s="304">
        <f>HLOOKUP($H923,'GDP-PI'!$D$8:$CQ$11,3,FALSE)</f>
        <v>2.386056741932796E-2</v>
      </c>
      <c r="DF923" s="303">
        <f>VLOOKUP(H923,'HW Dx Data'!$E:$F,2,FALSE)</f>
        <v>755.13671434174842</v>
      </c>
      <c r="DG923" s="364">
        <f ca="1">VLOOKUP(CC923,'ECI - Input Price'!M$13:N$33,2,FALSE)</f>
        <v>144.44999999999999</v>
      </c>
      <c r="DH923" s="364"/>
      <c r="DI923" s="364"/>
      <c r="DJ923" s="56">
        <f t="shared" ca="1" si="1668"/>
        <v>2.80818733619915E-2</v>
      </c>
      <c r="DK923" s="53">
        <f>HLOOKUP(H923,'GDP-PI'!$8:$9,2,FALSE)</f>
        <v>110.322</v>
      </c>
      <c r="DL923" s="355">
        <f t="shared" si="1661"/>
        <v>2.3580352716508712E-2</v>
      </c>
      <c r="EC923"/>
    </row>
    <row r="924" spans="1:133" s="126" customFormat="1" ht="21" customHeight="1" x14ac:dyDescent="0.4">
      <c r="A924" s="233" t="s">
        <v>236</v>
      </c>
      <c r="B924" s="126" t="s">
        <v>236</v>
      </c>
      <c r="C924" s="126">
        <v>4057139</v>
      </c>
      <c r="D924" s="127" t="s">
        <v>237</v>
      </c>
      <c r="E924" s="127"/>
      <c r="F924" s="144"/>
      <c r="G924" s="126" t="s">
        <v>175</v>
      </c>
      <c r="H924" s="128">
        <v>2019</v>
      </c>
      <c r="I924" s="129"/>
      <c r="J924" s="125">
        <f>IFERROR(INDEX('Labor Expenditures'!$E$7:$W$91,MATCH($C924,'Labor Expenditures'!$C$7:$C$91,0),MATCH($G924,'Labor Expenditures'!$E$5:$W$5,0)),"NA")</f>
        <v>31776.752368060166</v>
      </c>
      <c r="K924" s="125">
        <f t="shared" ca="1" si="1662"/>
        <v>212.30500997534767</v>
      </c>
      <c r="L924" s="47"/>
      <c r="M924" s="131">
        <f t="shared" ca="1" si="1669"/>
        <v>-3.5290414106298996E-3</v>
      </c>
      <c r="N924" s="131"/>
      <c r="O924" s="131"/>
      <c r="P924" s="59">
        <f t="shared" ca="1" si="1671"/>
        <v>-4.0340161008791379E-5</v>
      </c>
      <c r="Q924" s="61"/>
      <c r="R924" s="387"/>
      <c r="S924" s="49">
        <f t="shared" ca="1" si="1676"/>
        <v>112.83666842642273</v>
      </c>
      <c r="T924" s="61">
        <f ca="1">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</f>
        <v>-6.6532313409309743E-3</v>
      </c>
      <c r="U924" s="61"/>
      <c r="V924" s="125">
        <f>IFERROR(INDEX('Non-Labor Expenditures'!$E$7:$AA$91,MATCH($C924,'Non-Labor Expenditures'!$C$7:$C$91,0),MATCH($G924,'Non-Labor Expenditures'!$E$5:$AA$5,0)),"NA")</f>
        <v>46018.672507611722</v>
      </c>
      <c r="W924" s="125">
        <f t="shared" si="1663"/>
        <v>409.71769892280599</v>
      </c>
      <c r="X924" s="131">
        <f t="shared" si="1672"/>
        <v>1.4073037037140069E-2</v>
      </c>
      <c r="Y924" s="131">
        <f t="shared" si="1673"/>
        <v>1.6086764475217204E-4</v>
      </c>
      <c r="Z924" s="131"/>
      <c r="AA924" s="131"/>
      <c r="AB924" s="131"/>
      <c r="AC924" s="125">
        <f t="shared" si="1643"/>
        <v>52438.242075512513</v>
      </c>
      <c r="AD924" s="129"/>
      <c r="AE924" s="133">
        <v>4459.0421603036857</v>
      </c>
      <c r="AF924" s="134">
        <v>3.3321030188130228E-2</v>
      </c>
      <c r="AG924" s="59">
        <f t="shared" si="1664"/>
        <v>3.8088975627181696E-4</v>
      </c>
      <c r="AH924" s="134"/>
      <c r="AI924" s="134"/>
      <c r="AJ924" s="129">
        <f t="shared" si="1588"/>
        <v>130233.66695118439</v>
      </c>
      <c r="AK924" s="134">
        <f t="shared" si="1674"/>
        <v>2.1221690443869203E-2</v>
      </c>
      <c r="AL924" s="129"/>
      <c r="AM924" s="129"/>
      <c r="AN924" s="129"/>
      <c r="AO924" s="129"/>
      <c r="AP924" s="133">
        <f t="shared" si="1675"/>
        <v>223.64161157412678</v>
      </c>
      <c r="AQ924" s="134">
        <f>+BB924/Outputs!$B$27</f>
        <v>1.5460682443165468E-2</v>
      </c>
      <c r="AR924" s="93">
        <f t="shared" si="1665"/>
        <v>0.24399798540550252</v>
      </c>
      <c r="AS924" s="93">
        <f t="shared" si="1666"/>
        <v>0.3533546554045886</v>
      </c>
      <c r="AT924" s="93">
        <f t="shared" si="1667"/>
        <v>0.4026473591899089</v>
      </c>
      <c r="AU924" s="93">
        <f t="shared" ca="1" si="1670"/>
        <v>1.7613001060652139E-2</v>
      </c>
      <c r="AV924" s="132">
        <f t="shared" ca="1" si="1678"/>
        <v>104.03093054606158</v>
      </c>
      <c r="AW924" s="134">
        <f t="shared" ca="1" si="1679"/>
        <v>1.7613001060652167E-2</v>
      </c>
      <c r="AX924" s="56">
        <f>+AJ924/$AL$24</f>
        <v>1.1430911773174986E-2</v>
      </c>
      <c r="AY924" s="135">
        <f t="shared" ca="1" si="1677"/>
        <v>2.0133266118515237E-4</v>
      </c>
      <c r="AZ924" s="93"/>
      <c r="BA924" s="93"/>
      <c r="BB924" s="234">
        <f>IFERROR(INDEX('Total Customers'!$E$7:$AA$91,MATCH($C924,'Total Customers'!$C$7:$C$91,0),MATCH($G924,'Total Customers'!$E$5:$AA$5,0)),"NA")</f>
        <v>582332</v>
      </c>
      <c r="BC924" s="269">
        <f t="shared" si="1639"/>
        <v>2.5526892007676574E-2</v>
      </c>
      <c r="BD924" s="92"/>
      <c r="BE924" s="299" t="str">
        <f t="shared" si="1635"/>
        <v>PUBLIC SERVICE COMPANY OF NORTH CAROLINA, INCORPORATED</v>
      </c>
      <c r="BF924" s="300">
        <f t="shared" si="1636"/>
        <v>4057139</v>
      </c>
      <c r="BG924" s="231" t="str">
        <f t="shared" si="1637"/>
        <v>NC</v>
      </c>
      <c r="BH924" s="231"/>
      <c r="BI924" s="231" t="str">
        <f t="shared" si="1638"/>
        <v>2019 Y</v>
      </c>
      <c r="BJ924" s="129"/>
      <c r="BK924" s="129"/>
      <c r="BL924" s="129">
        <f>INDEX('Dist. Plant Gas Additions'!$E$7:$AD$91,MATCH($C924,'Dist. Plant Gas Additions'!$C$7:$C$91,0),MATCH(Calculation!$G924,'Dist. Plant Gas Additions'!$E$5:$AD$5,0))</f>
        <v>142060</v>
      </c>
      <c r="BM924" s="129">
        <f>INDEX('Gen. Plant Additions'!$E$7:$AD$91,MATCH($C924,'Gen. Plant Additions'!$C$7:$C$91,0),MATCH(Calculation!$G924,'Gen. Plant Additions'!$E$5:$AD$5,0))</f>
        <v>2551</v>
      </c>
      <c r="BN924" s="301">
        <f t="shared" si="1644"/>
        <v>0.95537880163925792</v>
      </c>
      <c r="BO924" s="231">
        <f t="shared" si="1631"/>
        <v>2437.1713229817469</v>
      </c>
      <c r="BP924" s="231">
        <f t="shared" si="1632"/>
        <v>-113.82867701825307</v>
      </c>
      <c r="BQ924" s="129">
        <f>INDEX('Dist Plant Depreciation'!$D$7:$AC$94,MATCH($C924,'Dist Plant Depreciation'!$C$7:$C$94,0),MATCH(Calculation!$G924,'Dist Plant Depreciation'!$D$5:$AC$5,0))</f>
        <v>679096</v>
      </c>
      <c r="BR924" s="129">
        <f>INDEX('Gen. Plant Depreciation'!$D$7:$AC$94,MATCH($C924,'Gen. Plant Depreciation'!$C$7:$C$94,0),MATCH(Calculation!$G924,'Gen. Plant Depreciation'!$D$5:$AC$5,0))</f>
        <v>35874</v>
      </c>
      <c r="BS924" s="129"/>
      <c r="BT924" s="129"/>
      <c r="BU924" s="129"/>
      <c r="BV924" s="129"/>
      <c r="BW924" s="129"/>
      <c r="BX924" s="137"/>
      <c r="BY924" s="129">
        <f>INDEX('Gross Dx Plant'!$D$7:$AC$91,MATCH($C924,'Gross Dx Plant'!$C$7:$C$91,0),MATCH(Calculation!$G924,'Gross Dx Plant'!$D$5:$AC$5,0))</f>
        <v>1777809</v>
      </c>
      <c r="BZ924" s="129">
        <f>INDEX('Gross Gen Plant'!$D$7:$AC$91,MATCH($C924,'Gross Gen Plant'!$C$7:$C$91,0),MATCH(Calculation!$G924,'Gross Gen Plant'!$D$5:$AC$5,0))</f>
        <v>83033</v>
      </c>
      <c r="CA924" s="129">
        <f t="shared" si="1595"/>
        <v>1145872</v>
      </c>
      <c r="CB924" s="129"/>
      <c r="CC924" s="133">
        <v>2019</v>
      </c>
      <c r="CD924" s="129"/>
      <c r="CE924" s="129"/>
      <c r="CF924" s="129"/>
      <c r="CG924" s="137"/>
      <c r="CH924" s="129">
        <f t="shared" si="1645"/>
        <v>144611</v>
      </c>
      <c r="CI924" s="46">
        <f t="shared" si="1654"/>
        <v>144497.17132298174</v>
      </c>
      <c r="CJ924" s="231">
        <f t="shared" si="1646"/>
        <v>186.80003938766174</v>
      </c>
      <c r="CK924" s="443">
        <v>0.7407407407407407</v>
      </c>
      <c r="CL924" s="231">
        <f>CL903*CK924+CJ904*CK923+CJ905*CK922+CJ906*CK921+CJ907*CK920+CJ908*CK919+CJ909*CK918+CJ910*CK917+CJ911*CK916+CJ912*CK915+CJ913*CK914+CJ914*CK913+CJ915*CK912+CJ916*CK911+CJ917*CK910+CJ918*CK909+CJ919*CK908+CJ920*CK907+CJ921*CK906+CJ922*CK905+CJ923*CK904+CJ924</f>
        <v>4033.1587485230743</v>
      </c>
      <c r="CM924" s="134">
        <f t="shared" si="1647"/>
        <v>3.0500331759884685E-2</v>
      </c>
      <c r="CN924" s="135">
        <f t="shared" si="1648"/>
        <v>1.6780251338963499E-2</v>
      </c>
      <c r="CO924" s="135">
        <f t="shared" si="1657"/>
        <v>1.6320422669477756E-2</v>
      </c>
      <c r="CP924" s="134">
        <f>VLOOKUP($H924,RoR!$E:$F,2,FALSE)</f>
        <v>3.3875000000000009E-2</v>
      </c>
      <c r="CQ924" s="135">
        <v>1.8092492884465461E-2</v>
      </c>
      <c r="CR924" s="135">
        <f t="shared" si="1655"/>
        <v>1.5782507115534548E-2</v>
      </c>
      <c r="CS924" s="135">
        <f t="shared" si="1658"/>
        <v>1.4581518939055869E-2</v>
      </c>
      <c r="CT924" s="135">
        <f t="shared" si="1659"/>
        <v>4.8445665544254078E-2</v>
      </c>
      <c r="CU924" s="139">
        <f t="shared" si="1649"/>
        <v>0.91305000000000003</v>
      </c>
      <c r="CV924" s="335">
        <f t="shared" si="1650"/>
        <v>1.513861292459078</v>
      </c>
      <c r="CW924" s="335">
        <f t="shared" si="1651"/>
        <v>0.23699261992619944</v>
      </c>
      <c r="CX924" s="335">
        <f t="shared" si="1652"/>
        <v>0.73619765810468829</v>
      </c>
      <c r="CY924" s="335">
        <f t="shared" si="1653"/>
        <v>0.26412854465362851</v>
      </c>
      <c r="CZ924" s="336">
        <f>INDEX('State Tax Lookup'!$D$7:$Z$91,MATCH(Calculation!$C924,'State Tax Lookup'!$B$7:$B$91,0),MATCH($H924,'State Tax Lookup'!$D$6:$Z$6,0))</f>
        <v>0.23499999999999999</v>
      </c>
      <c r="DA924" s="302">
        <v>0.37</v>
      </c>
      <c r="DB924" s="57">
        <f t="shared" si="1656"/>
        <v>13.404447970818957</v>
      </c>
      <c r="DC924" s="56">
        <f t="shared" si="1660"/>
        <v>-5.1531823027415723E-3</v>
      </c>
      <c r="DD924" s="303">
        <f>VLOOKUP($H924,RoR!$E:$F,2,FALSE)</f>
        <v>3.3875000000000009E-2</v>
      </c>
      <c r="DE924" s="304">
        <f>HLOOKUP($H924,'GDP-PI'!$D$8:$CQ$11,3,FALSE)</f>
        <v>1.8092492884465461E-2</v>
      </c>
      <c r="DF924" s="303">
        <f>VLOOKUP(H924,'HW Dx Data'!$E:$F,2,FALSE)</f>
        <v>773.53929793938721</v>
      </c>
      <c r="DG924" s="364">
        <f ca="1">VLOOKUP(CC924,'ECI - Input Price'!M$13:N$33,2,FALSE)</f>
        <v>149.67500000000001</v>
      </c>
      <c r="DH924" s="364"/>
      <c r="DI924" s="364"/>
      <c r="DJ924" s="56">
        <f t="shared" ca="1" si="1668"/>
        <v>3.5532849899171604E-2</v>
      </c>
      <c r="DK924" s="53">
        <f>HLOOKUP(H924,'GDP-PI'!$8:$9,2,FALSE)</f>
        <v>112.318</v>
      </c>
      <c r="DL924" s="355">
        <f t="shared" si="1661"/>
        <v>1.7930771451401852E-2</v>
      </c>
      <c r="EC924"/>
    </row>
    <row r="925" spans="1:133" s="126" customFormat="1" ht="21" customHeight="1" x14ac:dyDescent="0.4">
      <c r="A925" s="233" t="s">
        <v>236</v>
      </c>
      <c r="B925" s="126" t="s">
        <v>236</v>
      </c>
      <c r="C925" s="126">
        <v>4057139</v>
      </c>
      <c r="D925" s="126" t="s">
        <v>237</v>
      </c>
      <c r="G925" s="127" t="s">
        <v>176</v>
      </c>
      <c r="H925" s="128">
        <v>2020</v>
      </c>
      <c r="I925" s="129"/>
      <c r="J925" s="125">
        <f>IFERROR(INDEX('Labor Expenditures'!$E$7:$W$91,MATCH($C925,'Labor Expenditures'!$C$7:$C$91,0),MATCH($G925,'Labor Expenditures'!$E$5:$W$5,0)),"NA")</f>
        <v>32569.617479102817</v>
      </c>
      <c r="K925" s="125">
        <f t="shared" ca="1" si="1662"/>
        <v>212.66482193341702</v>
      </c>
      <c r="L925" s="47"/>
      <c r="M925" s="131">
        <f t="shared" ca="1" si="1669"/>
        <v>1.6933533490209637E-3</v>
      </c>
      <c r="N925" s="131"/>
      <c r="O925" s="131"/>
      <c r="P925" s="59">
        <f t="shared" ca="1" si="1671"/>
        <v>1.9697872733597102E-5</v>
      </c>
      <c r="Q925" s="61"/>
      <c r="R925" s="387"/>
      <c r="S925" s="49">
        <f t="shared" ca="1" si="1676"/>
        <v>114.55777932226539</v>
      </c>
      <c r="T925" s="61">
        <f ca="1">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</f>
        <v>1.5137957675901396E-2</v>
      </c>
      <c r="U925" s="61"/>
      <c r="V925" s="125">
        <f>IFERROR(INDEX('Non-Labor Expenditures'!$E$7:$AA$91,MATCH($C925,'Non-Labor Expenditures'!$C$7:$C$91,0),MATCH($G925,'Non-Labor Expenditures'!$E$5:$AA$5,0)),"NA")</f>
        <v>47166.889275177207</v>
      </c>
      <c r="W925" s="125">
        <f t="shared" si="1663"/>
        <v>415.11744343290712</v>
      </c>
      <c r="X925" s="131">
        <f t="shared" si="1672"/>
        <v>1.3093093084996295E-2</v>
      </c>
      <c r="Y925" s="131">
        <f t="shared" si="1673"/>
        <v>1.5230494062359125E-4</v>
      </c>
      <c r="Z925" s="131"/>
      <c r="AA925" s="131"/>
      <c r="AB925" s="131"/>
      <c r="AC925" s="125">
        <f t="shared" si="1643"/>
        <v>55224.459454714022</v>
      </c>
      <c r="AD925" s="129"/>
      <c r="AE925" s="133">
        <v>4722.8161939096799</v>
      </c>
      <c r="AF925" s="134">
        <v>5.7471292220418309E-2</v>
      </c>
      <c r="AG925" s="59">
        <f t="shared" si="1664"/>
        <v>6.685327670374803E-4</v>
      </c>
      <c r="AH925" s="134"/>
      <c r="AI925" s="134"/>
      <c r="AJ925" s="129">
        <f t="shared" si="1588"/>
        <v>134960.96620899404</v>
      </c>
      <c r="AK925" s="134">
        <f t="shared" si="1674"/>
        <v>3.5655322354112014E-2</v>
      </c>
      <c r="AL925" s="129"/>
      <c r="AM925" s="129"/>
      <c r="AN925" s="129"/>
      <c r="AO925" s="129"/>
      <c r="AP925" s="133">
        <f t="shared" si="1675"/>
        <v>231.75948807380331</v>
      </c>
      <c r="AQ925" s="134">
        <f>+BB925/Outputs!$B$28</f>
        <v>1.5351505779222469E-2</v>
      </c>
      <c r="AR925" s="93">
        <f t="shared" si="1665"/>
        <v>0.24132620263452381</v>
      </c>
      <c r="AS925" s="93">
        <f t="shared" si="1666"/>
        <v>0.3494854149320244</v>
      </c>
      <c r="AT925" s="93">
        <f t="shared" si="1667"/>
        <v>0.40918838243345185</v>
      </c>
      <c r="AU925" s="93">
        <f t="shared" ca="1" si="1670"/>
        <v>2.8340712472888628E-2</v>
      </c>
      <c r="AV925" s="132">
        <f t="shared" ca="1" si="1678"/>
        <v>107.02141734058428</v>
      </c>
      <c r="AW925" s="134">
        <f t="shared" ca="1" si="1679"/>
        <v>2.8340712472888718E-2</v>
      </c>
      <c r="AX925" s="56">
        <f>+AJ925/$AL$25</f>
        <v>1.163246450894948E-2</v>
      </c>
      <c r="AY925" s="135">
        <f t="shared" ca="1" si="1677"/>
        <v>3.2967233199921987E-4</v>
      </c>
      <c r="AZ925" s="93"/>
      <c r="BA925" s="93"/>
      <c r="BB925" s="234">
        <v>582332</v>
      </c>
      <c r="BC925" s="269">
        <f t="shared" si="1639"/>
        <v>0</v>
      </c>
      <c r="BD925" s="92"/>
      <c r="BE925" s="299" t="str">
        <f t="shared" si="1635"/>
        <v>PUBLIC SERVICE COMPANY OF NORTH CAROLINA, INCORPORATED</v>
      </c>
      <c r="BF925" s="300">
        <f t="shared" si="1636"/>
        <v>4057139</v>
      </c>
      <c r="BG925" s="231" t="str">
        <f t="shared" si="1637"/>
        <v>NC</v>
      </c>
      <c r="BH925" s="231"/>
      <c r="BI925" s="231" t="str">
        <f t="shared" si="1638"/>
        <v>2020 Y</v>
      </c>
      <c r="BJ925" s="129"/>
      <c r="BK925" s="129"/>
      <c r="BL925" s="129">
        <f>INDEX('Dist. Plant Gas Additions'!$E$7:$AD$91,MATCH($C925,'Dist. Plant Gas Additions'!$C$7:$C$91,0),MATCH(Calculation!$G925,'Dist. Plant Gas Additions'!$E$5:$AD$5,0))</f>
        <v>115197</v>
      </c>
      <c r="BM925" s="129">
        <f>INDEX('Gen. Plant Additions'!$E$7:$AD$91,MATCH($C925,'Gen. Plant Additions'!$C$7:$C$91,0),MATCH(Calculation!$G925,'Gen. Plant Additions'!$E$5:$AD$5,0))</f>
        <v>134565</v>
      </c>
      <c r="BN925" s="301">
        <f t="shared" si="1644"/>
        <v>0.95616371794514898</v>
      </c>
      <c r="BO925" s="231">
        <f t="shared" si="1631"/>
        <v>128666.17070528897</v>
      </c>
      <c r="BP925" s="231">
        <f t="shared" si="1632"/>
        <v>-5898.8292947110313</v>
      </c>
      <c r="BQ925" s="129">
        <f>INDEX('Dist Plant Depreciation'!$D$7:$AC$94,MATCH($C925,'Dist Plant Depreciation'!$C$7:$C$94,0),MATCH(Calculation!$G925,'Dist Plant Depreciation'!$D$5:$AC$5,0))</f>
        <v>717734</v>
      </c>
      <c r="BR925" s="129">
        <f>INDEX('Gen. Plant Depreciation'!$D$7:$AC$94,MATCH($C925,'Gen. Plant Depreciation'!$C$7:$C$94,0),MATCH(Calculation!$G925,'Gen. Plant Depreciation'!$D$5:$AC$5,0))</f>
        <v>42983</v>
      </c>
      <c r="BS925" s="129"/>
      <c r="BT925" s="129"/>
      <c r="BU925" s="129"/>
      <c r="BV925" s="129"/>
      <c r="BW925" s="129"/>
      <c r="BX925" s="137"/>
      <c r="BY925" s="129">
        <f>INDEX('Gross Dx Plant'!$D$7:$AC$91,MATCH($C925,'Gross Dx Plant'!$C$7:$C$91,0),MATCH(Calculation!$G925,'Gross Dx Plant'!$D$5:$AC$5,0))</f>
        <v>1889107</v>
      </c>
      <c r="BZ925" s="129">
        <f>INDEX('Gross Gen Plant'!$D$7:$AC$91,MATCH($C925,'Gross Gen Plant'!$C$7:$C$91,0),MATCH(Calculation!$G925,'Gross Gen Plant'!$D$5:$AC$5,0))</f>
        <v>86608</v>
      </c>
      <c r="CA925" s="129">
        <f t="shared" si="1595"/>
        <v>1214998</v>
      </c>
      <c r="CB925" s="129"/>
      <c r="CC925" s="133">
        <v>2020</v>
      </c>
      <c r="CD925" s="129"/>
      <c r="CE925" s="129"/>
      <c r="CF925" s="129"/>
      <c r="CG925" s="137"/>
      <c r="CH925" s="129">
        <f t="shared" si="1645"/>
        <v>249762</v>
      </c>
      <c r="CI925" s="46">
        <f t="shared" si="1654"/>
        <v>243863.17070528897</v>
      </c>
      <c r="CJ925" s="231">
        <f t="shared" si="1646"/>
        <v>299.92512665396134</v>
      </c>
      <c r="CK925" s="443">
        <v>0.72499999999999998</v>
      </c>
      <c r="CL925" s="231">
        <f>CL903*CK925+CJ904*CK924+CJ905*CK923+CJ906*CK922+CJ907*CK921+CJ908*CK920+CJ909*CK919+CJ910*CK918+CJ911*CK917+CJ912*CK916+CJ913*CK915+CJ914*CK914+CJ915*CK913+CJ916*CK912+CJ917*CK911+CJ918*CK910+CJ919*CK909+CJ920*CK908+CJ921*CK907+CJ922*CK906+CJ923*CK905+CJ924*CK904+CJ925</f>
        <v>4264.0236138080454</v>
      </c>
      <c r="CM925" s="134">
        <f t="shared" si="1647"/>
        <v>5.5663347288091795E-2</v>
      </c>
      <c r="CN925" s="135">
        <f t="shared" si="1648"/>
        <v>1.7123120034459306E-2</v>
      </c>
      <c r="CO925" s="135">
        <f t="shared" si="1657"/>
        <v>1.6736657334538361E-2</v>
      </c>
      <c r="CP925" s="134">
        <f>VLOOKUP($H925,RoR!$E:$F,2,FALSE)</f>
        <v>2.4766666666666666E-2</v>
      </c>
      <c r="CQ925" s="135">
        <v>1.1618796630994188E-2</v>
      </c>
      <c r="CR925" s="135">
        <f t="shared" si="1655"/>
        <v>1.3147870035672478E-2</v>
      </c>
      <c r="CS925" s="135">
        <f t="shared" si="1658"/>
        <v>1.4165284273995264E-2</v>
      </c>
      <c r="CT925" s="135">
        <f t="shared" si="1659"/>
        <v>4.5144642961987357E-2</v>
      </c>
      <c r="CU925" s="139">
        <f t="shared" si="1649"/>
        <v>0.91305000000000003</v>
      </c>
      <c r="CV925" s="335">
        <f t="shared" si="1650"/>
        <v>2.0706077233668081</v>
      </c>
      <c r="CW925" s="335">
        <f t="shared" si="1651"/>
        <v>-3.4421265141318998E-2</v>
      </c>
      <c r="CX925" s="335">
        <f t="shared" si="1652"/>
        <v>0.62416226176410472</v>
      </c>
      <c r="CY925" s="335">
        <f t="shared" si="1653"/>
        <v>-4.4485877841158712E-2</v>
      </c>
      <c r="CZ925" s="336">
        <f>INDEX('State Tax Lookup'!$D$7:$Z$91,MATCH(Calculation!$C925,'State Tax Lookup'!$B$7:$B$91,0),MATCH($H925,'State Tax Lookup'!$D$6:$Z$6,0))</f>
        <v>0.23499999999999999</v>
      </c>
      <c r="DA925" s="302">
        <v>0.37</v>
      </c>
      <c r="DB925" s="57">
        <f t="shared" si="1656"/>
        <v>13.692607432062273</v>
      </c>
      <c r="DC925" s="56">
        <f t="shared" si="1660"/>
        <v>2.1269493698199759E-2</v>
      </c>
      <c r="DD925" s="303">
        <f>VLOOKUP($H925,RoR!$E:$F,2,FALSE)</f>
        <v>2.4766666666666666E-2</v>
      </c>
      <c r="DE925" s="304">
        <f>HLOOKUP($H925,'GDP-PI'!$D$8:$CQ$11,3,FALSE)</f>
        <v>1.1618796630994188E-2</v>
      </c>
      <c r="DF925" s="303">
        <f>VLOOKUP(H925,'HW Dx Data'!$E:$F,2,FALSE)</f>
        <v>813.080162458833</v>
      </c>
      <c r="DG925" s="364">
        <f ca="1">VLOOKUP(CC925,'ECI - Input Price'!M$13:N$33,2,FALSE)</f>
        <v>153.15</v>
      </c>
      <c r="DH925" s="364"/>
      <c r="DI925" s="364"/>
      <c r="DJ925" s="56">
        <f t="shared" ca="1" si="1668"/>
        <v>2.2951556467368479E-2</v>
      </c>
      <c r="DK925" s="53">
        <f>HLOOKUP(H925,'GDP-PI'!$8:$9,2,FALSE)</f>
        <v>113.623</v>
      </c>
      <c r="DL925" s="355">
        <f t="shared" si="1661"/>
        <v>1.1551816731392881E-2</v>
      </c>
      <c r="EC925"/>
    </row>
    <row r="926" spans="1:133" s="126" customFormat="1" ht="21" customHeight="1" x14ac:dyDescent="0.4">
      <c r="A926" s="233" t="s">
        <v>236</v>
      </c>
      <c r="B926" s="126" t="s">
        <v>236</v>
      </c>
      <c r="C926" s="126">
        <v>4057139</v>
      </c>
      <c r="D926" s="126" t="s">
        <v>237</v>
      </c>
      <c r="G926" s="127" t="s">
        <v>177</v>
      </c>
      <c r="H926" s="128">
        <v>2021</v>
      </c>
      <c r="I926" s="129"/>
      <c r="J926" s="125">
        <f>IFERROR(INDEX('Labor Expenditures'!$D$7:$W$91,MATCH($C926,'Labor Expenditures'!$C$7:$C$91,0),MATCH($G926,'Labor Expenditures'!$D$5:$W$5,0)),"NA")</f>
        <v>37372.865186583505</v>
      </c>
      <c r="K926" s="125">
        <f t="shared" ca="1" si="1662"/>
        <v>237.66527940593645</v>
      </c>
      <c r="L926" s="47"/>
      <c r="M926" s="130">
        <f t="shared" ca="1" si="1669"/>
        <v>0.1111459743827001</v>
      </c>
      <c r="N926" s="130"/>
      <c r="O926" s="130"/>
      <c r="P926" s="59">
        <f t="shared" ca="1" si="1671"/>
        <v>1.4642754826045819E-3</v>
      </c>
      <c r="Q926" s="61"/>
      <c r="R926" s="387"/>
      <c r="S926" s="132">
        <f ca="1">+S925*EXP(T926)</f>
        <v>115.72759734202138</v>
      </c>
      <c r="T926" s="134">
        <f ca="1">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</f>
        <v>1.0159812136074295E-2</v>
      </c>
      <c r="U926" s="134"/>
      <c r="V926" s="125">
        <f>IFERROR(INDEX('Non-Labor Expenditures'!$D$7:$AA$91,MATCH($C926,'Non-Labor Expenditures'!$C$7:$C$91,0),MATCH($G926,'Non-Labor Expenditures'!$D$5:$AA$5,0)),"NA")</f>
        <v>52682.231648557477</v>
      </c>
      <c r="W926" s="125">
        <f t="shared" si="1663"/>
        <v>444.61331461353262</v>
      </c>
      <c r="X926" s="131">
        <f t="shared" si="1672"/>
        <v>6.8643472061847885E-2</v>
      </c>
      <c r="Y926" s="131">
        <f t="shared" si="1673"/>
        <v>9.0433282662067619E-4</v>
      </c>
      <c r="Z926" s="131"/>
      <c r="AA926" s="131"/>
      <c r="AB926" s="131"/>
      <c r="AC926" s="125">
        <f t="shared" si="1643"/>
        <v>79171.679755631936</v>
      </c>
      <c r="AD926" s="129"/>
      <c r="AE926" s="133">
        <v>4867.2081532128914</v>
      </c>
      <c r="AF926" s="134"/>
      <c r="AG926" s="59">
        <f t="shared" si="1664"/>
        <v>0</v>
      </c>
      <c r="AH926" s="134"/>
      <c r="AI926" s="134"/>
      <c r="AJ926" s="129">
        <f t="shared" ref="AJ926:AJ989" si="1680">+J926+V926+AC926</f>
        <v>169226.7765907729</v>
      </c>
      <c r="AK926" s="134">
        <f t="shared" si="1674"/>
        <v>0.22625409129685156</v>
      </c>
      <c r="AL926" s="129"/>
      <c r="AM926" s="134"/>
      <c r="AN926" s="134"/>
      <c r="AO926" s="134"/>
      <c r="AP926" s="133">
        <f t="shared" si="1675"/>
        <v>274.77901259330031</v>
      </c>
      <c r="AQ926" s="134">
        <f>+BB926/Outputs!$B$29</f>
        <v>1.5952458261799102E-2</v>
      </c>
      <c r="AR926" s="93">
        <f t="shared" si="1665"/>
        <v>0.22084486828558586</v>
      </c>
      <c r="AS926" s="93">
        <f t="shared" si="1666"/>
        <v>0.3113114408363078</v>
      </c>
      <c r="AT926" s="93">
        <f t="shared" si="1667"/>
        <v>0.46784369087810646</v>
      </c>
      <c r="AU926" s="93">
        <f t="shared" ca="1" si="1670"/>
        <v>4.8363922258201006E-2</v>
      </c>
      <c r="AV926" s="132">
        <f t="shared" ca="1" si="1678"/>
        <v>112.32460055005846</v>
      </c>
      <c r="AW926" s="134">
        <f t="shared" ca="1" si="1679"/>
        <v>4.8363922258200999E-2</v>
      </c>
      <c r="AX926" s="56">
        <f>+AJ926/$AL$26</f>
        <v>1.3174345636331897E-2</v>
      </c>
      <c r="AY926" s="135">
        <f t="shared" ca="1" si="1677"/>
        <v>6.3716302815822548E-4</v>
      </c>
      <c r="AZ926" s="93"/>
      <c r="BA926" s="93"/>
      <c r="BB926" s="234">
        <v>615865</v>
      </c>
      <c r="BC926" s="269">
        <f t="shared" si="1639"/>
        <v>5.5987051847268952E-2</v>
      </c>
      <c r="BD926" s="91"/>
      <c r="BE926" s="299" t="str">
        <f t="shared" si="1635"/>
        <v>PUBLIC SERVICE COMPANY OF NORTH CAROLINA, INCORPORATED</v>
      </c>
      <c r="BF926" s="300">
        <f t="shared" si="1636"/>
        <v>4057139</v>
      </c>
      <c r="BG926" s="231" t="str">
        <f t="shared" si="1637"/>
        <v>NC</v>
      </c>
      <c r="BH926" s="231"/>
      <c r="BI926" s="231" t="str">
        <f t="shared" si="1638"/>
        <v>2021 Y</v>
      </c>
      <c r="BJ926" s="129"/>
      <c r="BK926" s="129"/>
      <c r="BL926" s="129">
        <f>INDEX('Dist. Plant Gas Additions'!$D$7:$AD$91,MATCH($C926,'Dist. Plant Gas Additions'!$C$7:$C$91,0),MATCH(Calculation!$G926,'Dist. Plant Gas Additions'!$D$5:$AD$5,0))</f>
        <v>135423.149</v>
      </c>
      <c r="BM926" s="129">
        <f>INDEX('Gen. Plant Additions'!$D$7:$AD$91,MATCH($C926,'Gen. Plant Additions'!$C$7:$C$91,0),MATCH(Calculation!$G926,'Gen. Plant Additions'!$D$5:$AD$5,0))</f>
        <v>5578.5789999999997</v>
      </c>
      <c r="BN926" s="343">
        <v>0.95616371794514898</v>
      </c>
      <c r="BO926" s="231">
        <f t="shared" si="1631"/>
        <v>5334.0348374907308</v>
      </c>
      <c r="BP926" s="231">
        <f t="shared" si="1632"/>
        <v>-244.54416250926897</v>
      </c>
      <c r="BQ926" s="129"/>
      <c r="BR926" s="129"/>
      <c r="BS926" s="137"/>
      <c r="BT926" s="137"/>
      <c r="BU926" s="333"/>
      <c r="BV926" s="93"/>
      <c r="BW926" s="334"/>
      <c r="BX926" s="334"/>
      <c r="BY926" s="129"/>
      <c r="BZ926" s="129"/>
      <c r="CA926" s="129"/>
      <c r="CB926" s="129"/>
      <c r="CC926" s="133">
        <v>2021</v>
      </c>
      <c r="CD926" s="129"/>
      <c r="CE926" s="129"/>
      <c r="CF926" s="129"/>
      <c r="CG926" s="137"/>
      <c r="CH926" s="129">
        <f t="shared" si="1645"/>
        <v>141001.728</v>
      </c>
      <c r="CI926" s="46">
        <f t="shared" si="1654"/>
        <v>140757.18383749074</v>
      </c>
      <c r="CJ926" s="231">
        <f t="shared" si="1646"/>
        <v>150.86151079493985</v>
      </c>
      <c r="CK926" s="443">
        <v>0.70886075949367089</v>
      </c>
      <c r="CL926" s="129">
        <f>CL903*CK926+CJ904*CK925+CJ905*CK924+CJ906*CK923+CJ907*CK922+CJ908*CK921+CJ909*CK920+CJ910*CK919+CJ911*CK918+CJ912*CK917+CJ913*CK916+CJ914*CK915+CJ915*CK914+CJ916*CK913+CJ917*CK912+CJ908*CK911+CJ919*CK910+CJ920*CK909+CJ921*CK908+CJ922*CK907+CJ923*CK906+CJ924*CK905+CJ926+CJ925*CK904</f>
        <v>4378.4569531332163</v>
      </c>
      <c r="CM926" s="134"/>
      <c r="CN926" s="135">
        <f t="shared" si="1648"/>
        <v>8.5431448718540914E-3</v>
      </c>
      <c r="CO926" s="135">
        <f t="shared" si="1657"/>
        <v>1.4148838748425633E-2</v>
      </c>
      <c r="CP926" s="134">
        <f>VLOOKUP($H926,RoR!$E:$F,2,FALSE)</f>
        <v>2.7033333333333336E-2</v>
      </c>
      <c r="CQ926" s="135"/>
      <c r="CR926" s="135"/>
      <c r="CS926" s="135">
        <f t="shared" si="1658"/>
        <v>1.6753102860107991E-2</v>
      </c>
      <c r="CT926" s="135">
        <f t="shared" si="1659"/>
        <v>7.433422950153494E-2</v>
      </c>
      <c r="CU926" s="139">
        <f t="shared" si="1649"/>
        <v>0.91305000000000003</v>
      </c>
      <c r="CV926" s="335">
        <f t="shared" si="1650"/>
        <v>1.8969932656739068</v>
      </c>
      <c r="CW926" s="335">
        <f t="shared" si="1651"/>
        <v>5.0215782983970621E-2</v>
      </c>
      <c r="CX926" s="335">
        <f t="shared" si="1652"/>
        <v>0.655952481704143</v>
      </c>
      <c r="CY926" s="335">
        <f t="shared" si="1653"/>
        <v>6.2485378865697057E-2</v>
      </c>
      <c r="CZ926" s="336">
        <f>CZ925</f>
        <v>0.23499999999999999</v>
      </c>
      <c r="DA926" s="302">
        <v>0.37</v>
      </c>
      <c r="DB926" s="141">
        <f t="shared" si="1656"/>
        <v>18.567364284581569</v>
      </c>
      <c r="DC926" s="135">
        <f>LN(DB927/DB925)</f>
        <v>0.19695956877065626</v>
      </c>
      <c r="DD926" s="336">
        <f>VLOOKUP($H926,RoR!$E:$F,2,FALSE)</f>
        <v>2.7033333333333336E-2</v>
      </c>
      <c r="DE926" s="342">
        <f>HLOOKUP($H926,'GDP-PI'!$D$8:$CR$11,3,FALSE)</f>
        <v>4.2834637353352578E-2</v>
      </c>
      <c r="DF926" s="336">
        <f>VLOOKUP(H926,'HW Dx Data'!$E:$F,2,FALSE)</f>
        <v>933.02249921662576</v>
      </c>
      <c r="DG926" s="364">
        <f ca="1">VLOOKUP(CC926,'ECI - Input Price'!M$13:N$33,2,FALSE)</f>
        <v>157.25</v>
      </c>
      <c r="DH926" s="364"/>
      <c r="DI926" s="364"/>
      <c r="DJ926" s="135">
        <f t="shared" ca="1" si="1668"/>
        <v>2.6419062301765574E-2</v>
      </c>
      <c r="DK926" s="137">
        <f>HLOOKUP(H926,'GDP-PI'!$8:$9,2,FALSE)</f>
        <v>118.49</v>
      </c>
      <c r="DL926" s="356">
        <f t="shared" si="1661"/>
        <v>4.194261824609434E-2</v>
      </c>
      <c r="EC926"/>
    </row>
    <row r="927" spans="1:133" s="126" customFormat="1" ht="21" customHeight="1" thickBot="1" x14ac:dyDescent="0.45">
      <c r="A927" s="235"/>
      <c r="B927" s="236"/>
      <c r="C927" s="236"/>
      <c r="D927" s="236"/>
      <c r="E927" s="236"/>
      <c r="F927" s="236"/>
      <c r="G927" s="237" t="s">
        <v>178</v>
      </c>
      <c r="H927" s="238"/>
      <c r="I927" s="239"/>
      <c r="J927" s="240">
        <v>37373</v>
      </c>
      <c r="K927" s="240">
        <f t="shared" ca="1" si="1662"/>
        <v>229.91694863119039</v>
      </c>
      <c r="L927" s="47"/>
      <c r="M927" s="241">
        <f t="shared" ref="M927" ca="1" si="1681">LN(K927/K926)</f>
        <v>-3.3145143921895805E-2</v>
      </c>
      <c r="N927" s="241"/>
      <c r="O927" s="241"/>
      <c r="P927" s="242">
        <f t="shared" ca="1" si="1671"/>
        <v>-4.0843066912155698E-4</v>
      </c>
      <c r="Q927" s="61"/>
      <c r="R927" s="387"/>
      <c r="S927" s="206">
        <f ca="1">+S926*EXP(T927)</f>
        <v>114.98488358024352</v>
      </c>
      <c r="T927" s="243">
        <f ca="1">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</f>
        <v>-6.4384581579281673E-3</v>
      </c>
      <c r="U927" s="243"/>
      <c r="V927" s="239">
        <v>52682</v>
      </c>
      <c r="W927" s="240">
        <f t="shared" si="1663"/>
        <v>414.00392927308445</v>
      </c>
      <c r="X927" s="244">
        <f t="shared" ref="X927" si="1682">LN(W927/W926)</f>
        <v>-7.1329483702476867E-2</v>
      </c>
      <c r="Y927" s="244">
        <f t="shared" si="1673"/>
        <v>-8.7895677343709938E-4</v>
      </c>
      <c r="Z927" s="206"/>
      <c r="AA927" s="243"/>
      <c r="AB927" s="243"/>
      <c r="AC927" s="240">
        <f t="shared" si="1643"/>
        <v>73003.838428646384</v>
      </c>
      <c r="AD927" s="243"/>
      <c r="AE927" s="245">
        <v>4914.5663049882933</v>
      </c>
      <c r="AF927" s="243">
        <v>9.6830124237883321E-3</v>
      </c>
      <c r="AG927" s="242">
        <f t="shared" si="1664"/>
        <v>1.1931881341892851E-4</v>
      </c>
      <c r="AH927" s="206"/>
      <c r="AI927" s="243"/>
      <c r="AJ927" s="239">
        <f t="shared" si="1680"/>
        <v>163058.83842864638</v>
      </c>
      <c r="AK927" s="243">
        <f t="shared" si="1674"/>
        <v>-3.7128581106902585E-2</v>
      </c>
      <c r="AL927" s="239"/>
      <c r="AM927" s="243"/>
      <c r="AN927" s="243"/>
      <c r="AO927" s="243"/>
      <c r="AP927" s="245">
        <f t="shared" si="1675"/>
        <v>264.76393110283323</v>
      </c>
      <c r="AQ927" s="243"/>
      <c r="AR927" s="207">
        <f t="shared" si="1665"/>
        <v>0.22919947400676605</v>
      </c>
      <c r="AS927" s="207">
        <f t="shared" si="1666"/>
        <v>0.3230858290644168</v>
      </c>
      <c r="AT927" s="207">
        <f t="shared" si="1667"/>
        <v>0.44771469692881716</v>
      </c>
      <c r="AU927" s="207"/>
      <c r="AV927" s="206"/>
      <c r="AW927" s="243"/>
      <c r="AX927" s="248">
        <f>+AJ927/$AL$27</f>
        <v>1.232248893183252E-2</v>
      </c>
      <c r="AY927" s="249"/>
      <c r="AZ927" s="206"/>
      <c r="BA927" s="243"/>
      <c r="BB927" s="250">
        <v>615865</v>
      </c>
      <c r="BC927" s="270">
        <f t="shared" si="1639"/>
        <v>0</v>
      </c>
      <c r="BD927" s="91"/>
      <c r="BE927" s="306">
        <f t="shared" si="1635"/>
        <v>0</v>
      </c>
      <c r="BF927" s="307">
        <f t="shared" si="1636"/>
        <v>0</v>
      </c>
      <c r="BG927" s="308">
        <f t="shared" si="1637"/>
        <v>0</v>
      </c>
      <c r="BH927" s="308"/>
      <c r="BI927" s="308" t="str">
        <f t="shared" si="1638"/>
        <v>2022Y</v>
      </c>
      <c r="BJ927" s="239"/>
      <c r="BK927" s="239"/>
      <c r="BL927" s="239"/>
      <c r="BM927" s="239"/>
      <c r="BN927" s="337">
        <v>0.95616371794514898</v>
      </c>
      <c r="BO927" s="308">
        <f t="shared" si="1631"/>
        <v>0</v>
      </c>
      <c r="BP927" s="308">
        <f t="shared" si="1632"/>
        <v>0</v>
      </c>
      <c r="BQ927" s="239"/>
      <c r="BR927" s="239"/>
      <c r="BS927" s="310"/>
      <c r="BT927" s="310"/>
      <c r="BU927" s="311"/>
      <c r="BV927" s="207"/>
      <c r="BW927" s="312"/>
      <c r="BX927" s="312"/>
      <c r="BY927" s="239"/>
      <c r="BZ927" s="239"/>
      <c r="CA927" s="239"/>
      <c r="CB927" s="239"/>
      <c r="CC927" s="245">
        <v>2022</v>
      </c>
      <c r="CD927" s="239"/>
      <c r="CE927" s="239"/>
      <c r="CF927" s="239"/>
      <c r="CG927" s="310"/>
      <c r="CH927" s="239">
        <v>141002</v>
      </c>
      <c r="CI927" s="313">
        <f t="shared" si="1654"/>
        <v>141002</v>
      </c>
      <c r="CJ927" s="308">
        <f t="shared" si="1646"/>
        <v>136.7875748198019</v>
      </c>
      <c r="CK927" s="443">
        <v>0.69230769230769229</v>
      </c>
      <c r="CL927" s="239">
        <f>+CL903*CK927+CJ904*CK926+CJ905*CK925+CJ906*CK924+CJ907*CK923+CJ908*CK922+CJ909*CK921+CJ910*CK920+CJ911*CK919+CJ912*CK918+CJ913*CK917+CJ914*CK916+CJ915*CK915+CJ916*CK914+CJ917*CK913+CJ918*CK912+CJ919*CK911+CJ920*CK910+CJ921*CK909+CJ922*CK908+CJ923*CK907+CJ924*CK906+CJ925*CK905+CJ926*CK904+CJ927*CK903</f>
        <v>4401.0180164500862</v>
      </c>
      <c r="CM927" s="243">
        <f t="shared" ref="CM927" si="1683">LN(CL927/CL926)</f>
        <v>5.1395130248195354E-3</v>
      </c>
      <c r="CN927" s="249">
        <f t="shared" si="1648"/>
        <v>2.6088302962803307E-2</v>
      </c>
      <c r="CO927" s="249">
        <f t="shared" si="1657"/>
        <v>1.72515226230389E-2</v>
      </c>
      <c r="CP927" s="243"/>
      <c r="CQ927" s="249"/>
      <c r="CR927" s="249"/>
      <c r="CS927" s="248">
        <f t="shared" si="1658"/>
        <v>1.3650418985494725E-2</v>
      </c>
      <c r="CT927" s="249">
        <f t="shared" si="1659"/>
        <v>0.10114668178709289</v>
      </c>
      <c r="CU927" s="314">
        <f t="shared" si="1649"/>
        <v>0.91305000000000003</v>
      </c>
      <c r="CV927" s="315">
        <f t="shared" si="1650"/>
        <v>1.2820512820512819</v>
      </c>
      <c r="CW927" s="315">
        <f t="shared" si="1651"/>
        <v>0.35000000000000003</v>
      </c>
      <c r="CX927" s="315">
        <f t="shared" si="1652"/>
        <v>0.79171095533705893</v>
      </c>
      <c r="CY927" s="315">
        <f t="shared" si="1653"/>
        <v>0.35525491585637264</v>
      </c>
      <c r="CZ927" s="316">
        <f>CZ926</f>
        <v>0.23499999999999999</v>
      </c>
      <c r="DA927" s="317">
        <v>0.37</v>
      </c>
      <c r="DB927" s="318">
        <f t="shared" si="1656"/>
        <v>16.673416961746071</v>
      </c>
      <c r="DC927" s="249">
        <f>LN(DB927/DB926)</f>
        <v>-0.1075897787678337</v>
      </c>
      <c r="DD927" s="316">
        <v>0.04</v>
      </c>
      <c r="DE927" s="319">
        <v>7.0000000000000001E-3</v>
      </c>
      <c r="DF927" s="316">
        <v>1030.81</v>
      </c>
      <c r="DG927" s="364">
        <f ca="1">VLOOKUP(CC927,'ECI - Input Price'!M$13:N$33,2,FALSE)</f>
        <v>162.55000000000001</v>
      </c>
      <c r="DH927" s="364"/>
      <c r="DI927" s="364"/>
      <c r="DJ927" s="249">
        <f t="shared" ca="1" si="1668"/>
        <v>3.3148751169364422E-2</v>
      </c>
      <c r="DK927" s="310">
        <v>127.25</v>
      </c>
      <c r="DL927" s="357">
        <f t="shared" si="1661"/>
        <v>7.1325086601983473E-2</v>
      </c>
      <c r="EC927"/>
    </row>
    <row r="928" spans="1:133" s="126" customFormat="1" ht="21" customHeight="1" x14ac:dyDescent="0.4">
      <c r="A928" s="251" t="s">
        <v>238</v>
      </c>
      <c r="B928" s="265" t="s">
        <v>238</v>
      </c>
      <c r="C928" s="265">
        <v>4057095</v>
      </c>
      <c r="D928" s="252" t="s">
        <v>218</v>
      </c>
      <c r="E928" s="252" t="s">
        <v>15</v>
      </c>
      <c r="F928" s="266"/>
      <c r="G928" s="265" t="s">
        <v>150</v>
      </c>
      <c r="H928" s="253">
        <v>1998</v>
      </c>
      <c r="I928" s="254"/>
      <c r="J928" s="255"/>
      <c r="K928" s="255"/>
      <c r="L928" s="47"/>
      <c r="M928" s="255"/>
      <c r="N928" s="255"/>
      <c r="O928" s="255"/>
      <c r="P928" s="219"/>
      <c r="Q928" s="218"/>
      <c r="R928" s="385"/>
      <c r="S928" s="257"/>
      <c r="T928" s="258"/>
      <c r="U928" s="258"/>
      <c r="V928" s="259"/>
      <c r="W928" s="259"/>
      <c r="X928" s="259"/>
      <c r="Y928" s="255"/>
      <c r="Z928" s="259"/>
      <c r="AA928" s="259"/>
      <c r="AB928" s="259"/>
      <c r="AC928" s="255"/>
      <c r="AD928" s="254"/>
      <c r="AE928" s="260">
        <v>7739.7002993579317</v>
      </c>
      <c r="AF928" s="256"/>
      <c r="AG928" s="225"/>
      <c r="AH928" s="256"/>
      <c r="AI928" s="256"/>
      <c r="AJ928" s="254">
        <f t="shared" si="1680"/>
        <v>0</v>
      </c>
      <c r="AK928" s="254"/>
      <c r="AL928" s="254"/>
      <c r="AM928" s="256"/>
      <c r="AN928" s="256"/>
      <c r="AO928" s="256"/>
      <c r="AP928" s="226">
        <f>+(AP925+AP926+AP927)/3</f>
        <v>257.10081058997895</v>
      </c>
      <c r="AQ928" s="256"/>
      <c r="AR928" s="261"/>
      <c r="AS928" s="261"/>
      <c r="AT928" s="261"/>
      <c r="AU928" s="261"/>
      <c r="AV928" s="261"/>
      <c r="AW928" s="256">
        <f ca="1">AVERAGE(AW937:AW951)</f>
        <v>-8.0876062392377414E-3</v>
      </c>
      <c r="AX928" s="223"/>
      <c r="AY928" s="261"/>
      <c r="AZ928" s="261"/>
      <c r="BA928" s="261"/>
      <c r="BB928" s="262">
        <f>IFERROR(INDEX('Total Customers'!$E$7:$AA$91,MATCH($C928,'Total Customers'!$C$7:$C$91,0),MATCH($G928,'Total Customers'!$E$5:$AA$5,0)),"NA")</f>
        <v>1593570</v>
      </c>
      <c r="BC928" s="268"/>
      <c r="BD928" s="92"/>
      <c r="BE928" s="320" t="str">
        <f t="shared" si="1635"/>
        <v>PUBLIC SERVICE ELECTRIC AND GAS COMPANY</v>
      </c>
      <c r="BF928" s="321">
        <f t="shared" si="1636"/>
        <v>4057095</v>
      </c>
      <c r="BG928" s="322" t="str">
        <f t="shared" si="1637"/>
        <v>NJ</v>
      </c>
      <c r="BH928" s="322"/>
      <c r="BI928" s="322" t="str">
        <f t="shared" si="1638"/>
        <v>1998 Y</v>
      </c>
      <c r="BJ928" s="254">
        <f>INDEX('Gross Dx Plant'!$D$7:$AC$91,MATCH($C928,'Gross Dx Plant'!$C$7:$C$91,0),MATCH(Calculation!$G928,'Gross Dx Plant'!$D$5:$AC$5,0))</f>
        <v>2607571</v>
      </c>
      <c r="BK928" s="254">
        <f>INDEX('Gross Gen Plant'!$D$7:$AC$91,MATCH($C928,'Gross Gen Plant'!$C$7:$C$91,0),MATCH(Calculation!$G928,'Gross Gen Plant'!$D$5:$AC$5,0))</f>
        <v>52355</v>
      </c>
      <c r="BL928" s="254">
        <f>INDEX('Dist. Plant Gas Additions'!$E$7:$AD$91,MATCH($C928,'Dist. Plant Gas Additions'!$C$7:$C$91,0),MATCH(Calculation!$G928,'Dist. Plant Gas Additions'!$E$5:$AD$5,0))</f>
        <v>140541</v>
      </c>
      <c r="BM928" s="254">
        <f>INDEX('Gen. Plant Additions'!$E$7:$AD$91,MATCH($C928,'Gen. Plant Additions'!$C$7:$C$91,0),MATCH(Calculation!$G928,'Gen. Plant Additions'!$E$5:$AD$5,0))</f>
        <v>1113</v>
      </c>
      <c r="BN928" s="338">
        <f>+(BY928/(BY928+BZ928))</f>
        <v>0.98031712160413487</v>
      </c>
      <c r="BO928" s="322">
        <f t="shared" si="1631"/>
        <v>1091.0929563454022</v>
      </c>
      <c r="BP928" s="322">
        <f t="shared" si="1632"/>
        <v>-21.907043654597828</v>
      </c>
      <c r="BQ928" s="254">
        <f>INDEX('Dist Plant Depreciation'!$D$7:$AC$94,MATCH($C928,'Dist Plant Depreciation'!$C$7:$C$94,0),MATCH(Calculation!$G928,'Dist Plant Depreciation'!$D$5:$AC$5,0))</f>
        <v>1068486.1034284404</v>
      </c>
      <c r="BR928" s="254">
        <f>INDEX('Gen. Plant Depreciation'!$D$7:$AC$94,MATCH($C928,'Gen. Plant Depreciation'!$C$7:$C$94,0),MATCH(Calculation!$G928,'Gen. Plant Depreciation'!$D$5:$AC$5,0))</f>
        <v>30191.851569170041</v>
      </c>
      <c r="BS928" s="254"/>
      <c r="BT928" s="254"/>
      <c r="BU928" s="254"/>
      <c r="BV928" s="254"/>
      <c r="BW928" s="254"/>
      <c r="BX928" s="323"/>
      <c r="BY928" s="254">
        <f>INDEX('Gross Dx Plant'!$D$7:$AC$91,MATCH($C928,'Gross Dx Plant'!$C$7:$C$91,0),MATCH(Calculation!$G928,'Gross Dx Plant'!$D$5:$AC$5,0))</f>
        <v>2607571</v>
      </c>
      <c r="BZ928" s="254">
        <f>INDEX('Gross Gen Plant'!$D$7:$AC$91,MATCH($C928,'Gross Gen Plant'!$C$7:$C$91,0),MATCH(Calculation!$G928,'Gross Gen Plant'!$D$5:$AC$5,0))</f>
        <v>52355</v>
      </c>
      <c r="CA928" s="254">
        <f t="shared" si="1595"/>
        <v>1561248.0450023895</v>
      </c>
      <c r="CB928" s="254"/>
      <c r="CC928" s="260">
        <v>1998</v>
      </c>
      <c r="CD928" s="254">
        <f>BJ928+BK928</f>
        <v>2659926</v>
      </c>
      <c r="CE928" s="254">
        <f>1068486+30192</f>
        <v>1098678</v>
      </c>
      <c r="CF928" s="254">
        <f>+CD928-CE928</f>
        <v>1561248</v>
      </c>
      <c r="CG928" s="254">
        <f>CF928/$BX$3</f>
        <v>7739.7002993579317</v>
      </c>
      <c r="CH928" s="323"/>
      <c r="CI928" s="344"/>
      <c r="CJ928" s="344"/>
      <c r="CK928" s="443">
        <v>1</v>
      </c>
      <c r="CL928" s="254">
        <f>+CG928</f>
        <v>7739.7002993579317</v>
      </c>
      <c r="CM928" s="256"/>
      <c r="CN928" s="325"/>
      <c r="CO928" s="325"/>
      <c r="CP928" s="256" t="e">
        <f>VLOOKUP($H928,RoR!$E:$F,2,FALSE)</f>
        <v>#N/A</v>
      </c>
      <c r="CQ928" s="325">
        <v>1.1028127770464469E-2</v>
      </c>
      <c r="CR928" s="325"/>
      <c r="CS928" s="325"/>
      <c r="CT928" s="325"/>
      <c r="CU928" s="327"/>
      <c r="CV928" s="331" t="e">
        <f>2/(DD928*39)</f>
        <v>#N/A</v>
      </c>
      <c r="CW928" s="328" t="e">
        <f>+(DD928*40-(1+DD928))/(DD928*40)</f>
        <v>#N/A</v>
      </c>
      <c r="CX928" s="328" t="e">
        <f>+(1-(1/(1+DD928)^40))</f>
        <v>#N/A</v>
      </c>
      <c r="CY928" s="328" t="e">
        <f>+CX928*CW928*CV928</f>
        <v>#N/A</v>
      </c>
      <c r="CZ928" s="329">
        <f>INDEX('State Tax Lookup'!$D$7:$Z$91,MATCH(Calculation!$C928,'State Tax Lookup'!$B$7:$B$91,0),MATCH($H928,'State Tax Lookup'!$D$6:$Z$6,0))</f>
        <v>0.40849999999999997</v>
      </c>
      <c r="DA928" s="330">
        <v>0.37</v>
      </c>
      <c r="DB928" s="344"/>
      <c r="DC928" s="326"/>
      <c r="DD928" s="351" t="e">
        <f>VLOOKUP($H928,RoR!$E:$F,2,FALSE)</f>
        <v>#N/A</v>
      </c>
      <c r="DE928" s="354">
        <f>HLOOKUP($H928,'GDP-PI'!$D$8:$CQ$11,3,FALSE)</f>
        <v>1.1028127770464469E-2</v>
      </c>
      <c r="DF928" s="351">
        <f>VLOOKUP(H928,'HW Dx Data'!$E:$F,2,FALSE)</f>
        <v>329.24564746449528</v>
      </c>
      <c r="DG928" s="330"/>
      <c r="DH928" s="330"/>
      <c r="DI928" s="330"/>
      <c r="DJ928" s="326"/>
      <c r="DK928" s="344">
        <f>HLOOKUP(H928,'GDP-PI'!$8:$9,2,FALSE)</f>
        <v>75.266999999999996</v>
      </c>
      <c r="DL928" s="292"/>
      <c r="EC928"/>
    </row>
    <row r="929" spans="1:133" s="126" customFormat="1" ht="21" customHeight="1" x14ac:dyDescent="0.4">
      <c r="A929" s="233" t="s">
        <v>238</v>
      </c>
      <c r="B929" s="126" t="s">
        <v>238</v>
      </c>
      <c r="C929" s="126">
        <v>4057095</v>
      </c>
      <c r="D929" s="127" t="s">
        <v>218</v>
      </c>
      <c r="E929" s="127" t="s">
        <v>15</v>
      </c>
      <c r="F929" s="144"/>
      <c r="G929" s="126" t="s">
        <v>155</v>
      </c>
      <c r="H929" s="128">
        <v>1999</v>
      </c>
      <c r="I929" s="129"/>
      <c r="J929" s="125"/>
      <c r="K929" s="129"/>
      <c r="L929" s="47"/>
      <c r="M929" s="129"/>
      <c r="N929" s="129"/>
      <c r="O929" s="129"/>
      <c r="P929" s="47"/>
      <c r="Q929" s="47"/>
      <c r="R929" s="386"/>
      <c r="S929" s="119"/>
      <c r="T929" s="47"/>
      <c r="U929" s="46"/>
      <c r="V929" s="135"/>
      <c r="W929" s="135"/>
      <c r="X929" s="135"/>
      <c r="Y929" s="143"/>
      <c r="Z929" s="135"/>
      <c r="AA929" s="135"/>
      <c r="AB929" s="135"/>
      <c r="AC929" s="125">
        <f t="shared" ref="AC929:AC952" si="1684">+CL928*DB929</f>
        <v>0</v>
      </c>
      <c r="AD929" s="129"/>
      <c r="AE929" s="133">
        <v>8120.4950168357536</v>
      </c>
      <c r="AF929" s="134">
        <v>4.8028149141169624E-2</v>
      </c>
      <c r="AG929" s="61"/>
      <c r="AH929" s="134"/>
      <c r="AI929" s="134"/>
      <c r="AJ929" s="129">
        <f t="shared" si="1680"/>
        <v>0</v>
      </c>
      <c r="AK929" s="134"/>
      <c r="AL929" s="129"/>
      <c r="AM929" s="134"/>
      <c r="AN929" s="134"/>
      <c r="AO929" s="134"/>
      <c r="AP929" s="133"/>
      <c r="AQ929" s="134"/>
      <c r="AR929" s="93"/>
      <c r="AS929" s="93"/>
      <c r="AT929" s="93"/>
      <c r="AU929" s="93"/>
      <c r="AV929" s="93"/>
      <c r="AW929" s="134"/>
      <c r="AX929" s="62"/>
      <c r="AY929" s="93"/>
      <c r="AZ929" s="93"/>
      <c r="BA929" s="93"/>
      <c r="BB929" s="234">
        <f>IFERROR(INDEX('Total Customers'!$E$7:$AA$91,MATCH($C929,'Total Customers'!$C$7:$C$91,0),MATCH($G929,'Total Customers'!$E$5:$AA$5,0)),"NA")</f>
        <v>1569893</v>
      </c>
      <c r="BC929" s="269">
        <f t="shared" si="1639"/>
        <v>-1.4969318198331137E-2</v>
      </c>
      <c r="BD929" s="92"/>
      <c r="BE929" s="299" t="str">
        <f t="shared" si="1635"/>
        <v>PUBLIC SERVICE ELECTRIC AND GAS COMPANY</v>
      </c>
      <c r="BF929" s="300">
        <f t="shared" si="1636"/>
        <v>4057095</v>
      </c>
      <c r="BG929" s="231" t="str">
        <f t="shared" si="1637"/>
        <v>NJ</v>
      </c>
      <c r="BH929" s="231"/>
      <c r="BI929" s="231" t="str">
        <f t="shared" si="1638"/>
        <v>1999 Y</v>
      </c>
      <c r="BJ929" s="129"/>
      <c r="BK929" s="129"/>
      <c r="BL929" s="129">
        <f>INDEX('Dist. Plant Gas Additions'!$E$7:$AD$91,MATCH($C929,'Dist. Plant Gas Additions'!$C$7:$C$91,0),MATCH(Calculation!$G929,'Dist. Plant Gas Additions'!$E$5:$AD$5,0))</f>
        <v>127298</v>
      </c>
      <c r="BM929" s="129">
        <f>INDEX('Gen. Plant Additions'!$E$7:$AD$91,MATCH($C929,'Gen. Plant Additions'!$C$7:$C$91,0),MATCH(Calculation!$G929,'Gen. Plant Additions'!$E$5:$AD$5,0))</f>
        <v>13304</v>
      </c>
      <c r="BN929" s="301">
        <f t="shared" ref="BN929:BN949" si="1685">+(BY929/(BY929+BZ929))</f>
        <v>0.96267675448751899</v>
      </c>
      <c r="BO929" s="231">
        <f t="shared" si="1631"/>
        <v>12807.451541701952</v>
      </c>
      <c r="BP929" s="231">
        <f t="shared" si="1632"/>
        <v>-496.54845829804799</v>
      </c>
      <c r="BQ929" s="129">
        <f>INDEX('Dist Plant Depreciation'!$D$7:$AC$94,MATCH($C929,'Dist Plant Depreciation'!$C$7:$C$94,0),MATCH(Calculation!$G929,'Dist Plant Depreciation'!$D$5:$AC$5,0))</f>
        <v>1128002</v>
      </c>
      <c r="BR929" s="129">
        <f>INDEX('Gen. Plant Depreciation'!$D$7:$AC$94,MATCH($C929,'Gen. Plant Depreciation'!$C$7:$C$94,0),MATCH(Calculation!$G929,'Gen. Plant Depreciation'!$D$5:$AC$5,0))</f>
        <v>31961</v>
      </c>
      <c r="BS929" s="129"/>
      <c r="BT929" s="129"/>
      <c r="BU929" s="129"/>
      <c r="BV929" s="129"/>
      <c r="BW929" s="129"/>
      <c r="BX929" s="137"/>
      <c r="BY929" s="129">
        <f>INDEX('Gross Dx Plant'!$D$7:$AC$91,MATCH($C929,'Gross Dx Plant'!$C$7:$C$91,0),MATCH(Calculation!$G929,'Gross Dx Plant'!$D$5:$AC$5,0))</f>
        <v>2731577</v>
      </c>
      <c r="BZ929" s="129">
        <f>INDEX('Gross Gen Plant'!$D$7:$AC$91,MATCH($C929,'Gross Gen Plant'!$C$7:$C$91,0),MATCH(Calculation!$G929,'Gross Gen Plant'!$D$5:$AC$5,0))</f>
        <v>105904</v>
      </c>
      <c r="CA929" s="129">
        <f t="shared" si="1595"/>
        <v>1677518</v>
      </c>
      <c r="CB929" s="129"/>
      <c r="CC929" s="133">
        <v>1999</v>
      </c>
      <c r="CD929" s="129"/>
      <c r="CE929" s="129"/>
      <c r="CF929" s="129"/>
      <c r="CG929" s="137"/>
      <c r="CH929" s="129">
        <f t="shared" ref="CH929:CH949" si="1686">+BM929+BL929</f>
        <v>140602</v>
      </c>
      <c r="CI929" s="46">
        <f>+CH929+BP929</f>
        <v>140105.45154170194</v>
      </c>
      <c r="CJ929" s="231">
        <f t="shared" ref="CJ929:CJ952" si="1687">+CI929/$DF929</f>
        <v>417.81989146955675</v>
      </c>
      <c r="CK929" s="443">
        <v>0.99009900990099009</v>
      </c>
      <c r="CL929" s="231">
        <f>+CL928*CK929+CJ929</f>
        <v>8080.8894947942417</v>
      </c>
      <c r="CM929" s="134">
        <f t="shared" ref="CM929:CM950" si="1688">LN(CL929/CL928)</f>
        <v>4.3138986624601736E-2</v>
      </c>
      <c r="CN929" s="135">
        <f t="shared" ref="CN929:CN952" si="1689">+(CL928-CL929+CJ929)/CL928</f>
        <v>9.900990099009889E-3</v>
      </c>
      <c r="CO929" s="135"/>
      <c r="CP929" s="134">
        <f>VLOOKUP($H929,RoR!$E:$F,2,FALSE)</f>
        <v>7.0416666666666669E-2</v>
      </c>
      <c r="CQ929" s="135">
        <v>1.4335631817396832E-2</v>
      </c>
      <c r="CR929" s="135">
        <f>+CP929-CQ929</f>
        <v>5.6081034849269837E-2</v>
      </c>
      <c r="CS929" s="135"/>
      <c r="CT929" s="135"/>
      <c r="CU929" s="139">
        <f t="shared" ref="CU929:CU952" si="1690">1-CZ929*DA929</f>
        <v>0.84885500000000003</v>
      </c>
      <c r="CV929" s="335">
        <f t="shared" ref="CV929:CV952" si="1691">2/(DD929*39)</f>
        <v>0.72826581702321336</v>
      </c>
      <c r="CW929" s="335">
        <f t="shared" ref="CW929:CW952" si="1692">+(DD929*40-(1+DD929))/(DD929*40)</f>
        <v>0.61997041420118348</v>
      </c>
      <c r="CX929" s="335">
        <f t="shared" ref="CX929:CX952" si="1693">+(1-(1/(1+DD929)^40))</f>
        <v>0.93425155319585029</v>
      </c>
      <c r="CY929" s="335">
        <f t="shared" ref="CY929:CY952" si="1694">+CX929*CW929*CV929</f>
        <v>0.42181762214141483</v>
      </c>
      <c r="CZ929" s="336">
        <f>INDEX('State Tax Lookup'!$D$7:$Z$91,MATCH(Calculation!$C929,'State Tax Lookup'!$B$7:$B$91,0),MATCH($H929,'State Tax Lookup'!$D$6:$Z$6,0))</f>
        <v>0.40849999999999997</v>
      </c>
      <c r="DA929" s="302">
        <v>0.37</v>
      </c>
      <c r="DB929" s="57"/>
      <c r="DC929" s="56"/>
      <c r="DD929" s="303">
        <f>VLOOKUP($H929,RoR!$E:$F,2,FALSE)</f>
        <v>7.0416666666666669E-2</v>
      </c>
      <c r="DE929" s="304">
        <f>HLOOKUP($H929,'GDP-PI'!$D$8:$CQ$11,3,FALSE)</f>
        <v>1.4335631817396832E-2</v>
      </c>
      <c r="DF929" s="303">
        <f>VLOOKUP(H929,'HW Dx Data'!$E:$F,2,FALSE)</f>
        <v>335.32499146683239</v>
      </c>
      <c r="DG929" s="364"/>
      <c r="DH929" s="364"/>
      <c r="DI929" s="364"/>
      <c r="DJ929" s="56"/>
      <c r="DK929" s="53">
        <f>HLOOKUP(H929,'GDP-PI'!$8:$9,2,FALSE)</f>
        <v>76.346000000000004</v>
      </c>
      <c r="DL929" s="298"/>
      <c r="EC929"/>
    </row>
    <row r="930" spans="1:133" s="126" customFormat="1" ht="21" customHeight="1" x14ac:dyDescent="0.4">
      <c r="A930" s="233" t="s">
        <v>238</v>
      </c>
      <c r="B930" s="126" t="s">
        <v>238</v>
      </c>
      <c r="C930" s="126">
        <v>4057095</v>
      </c>
      <c r="D930" s="127" t="s">
        <v>218</v>
      </c>
      <c r="E930" s="127" t="s">
        <v>15</v>
      </c>
      <c r="F930" s="144"/>
      <c r="G930" s="126" t="s">
        <v>156</v>
      </c>
      <c r="H930" s="128">
        <v>2000</v>
      </c>
      <c r="I930" s="129"/>
      <c r="J930" s="125"/>
      <c r="K930" s="125"/>
      <c r="L930" s="47"/>
      <c r="M930" s="125"/>
      <c r="N930" s="125"/>
      <c r="O930" s="125"/>
      <c r="P930" s="47"/>
      <c r="Q930" s="47"/>
      <c r="R930" s="386"/>
      <c r="S930" s="119"/>
      <c r="T930" s="47"/>
      <c r="U930" s="47"/>
      <c r="V930" s="125"/>
      <c r="W930" s="125"/>
      <c r="X930" s="125"/>
      <c r="Y930" s="125"/>
      <c r="Z930" s="125"/>
      <c r="AA930" s="125"/>
      <c r="AB930" s="125"/>
      <c r="AC930" s="125">
        <f t="shared" si="1684"/>
        <v>0</v>
      </c>
      <c r="AD930" s="129"/>
      <c r="AE930" s="133">
        <v>8506.3193361094363</v>
      </c>
      <c r="AF930" s="134">
        <v>4.6418223600297001E-2</v>
      </c>
      <c r="AG930" s="61"/>
      <c r="AH930" s="134"/>
      <c r="AI930" s="134"/>
      <c r="AJ930" s="129">
        <f t="shared" si="1680"/>
        <v>0</v>
      </c>
      <c r="AK930" s="134"/>
      <c r="AL930" s="129"/>
      <c r="AM930" s="129"/>
      <c r="AN930" s="129"/>
      <c r="AO930" s="129"/>
      <c r="AP930" s="133"/>
      <c r="AQ930" s="134"/>
      <c r="AR930" s="93"/>
      <c r="AS930" s="93"/>
      <c r="AT930" s="93"/>
      <c r="AU930" s="93"/>
      <c r="AV930" s="93"/>
      <c r="AW930" s="134"/>
      <c r="AX930" s="62"/>
      <c r="AY930" s="93"/>
      <c r="AZ930" s="93"/>
      <c r="BA930" s="93"/>
      <c r="BB930" s="234">
        <f>IFERROR(INDEX('Total Customers'!$E$7:$AA$91,MATCH($C930,'Total Customers'!$C$7:$C$91,0),MATCH($G930,'Total Customers'!$E$5:$AA$5,0)),"NA")</f>
        <v>1621128</v>
      </c>
      <c r="BC930" s="269">
        <f t="shared" si="1639"/>
        <v>3.2114739067329742E-2</v>
      </c>
      <c r="BD930" s="92"/>
      <c r="BE930" s="299" t="str">
        <f t="shared" si="1635"/>
        <v>PUBLIC SERVICE ELECTRIC AND GAS COMPANY</v>
      </c>
      <c r="BF930" s="300">
        <f t="shared" si="1636"/>
        <v>4057095</v>
      </c>
      <c r="BG930" s="231" t="str">
        <f t="shared" si="1637"/>
        <v>NJ</v>
      </c>
      <c r="BH930" s="231"/>
      <c r="BI930" s="231" t="str">
        <f t="shared" si="1638"/>
        <v>2000 Y</v>
      </c>
      <c r="BJ930" s="129"/>
      <c r="BK930" s="129"/>
      <c r="BL930" s="129">
        <f>INDEX('Dist. Plant Gas Additions'!$E$7:$AD$91,MATCH($C930,'Dist. Plant Gas Additions'!$C$7:$C$91,0),MATCH(Calculation!$G930,'Dist. Plant Gas Additions'!$E$5:$AD$5,0))</f>
        <v>135607</v>
      </c>
      <c r="BM930" s="129">
        <f>INDEX('Gen. Plant Additions'!$E$7:$AD$91,MATCH($C930,'Gen. Plant Additions'!$C$7:$C$91,0),MATCH(Calculation!$G930,'Gen. Plant Additions'!$E$5:$AD$5,0))</f>
        <v>12565</v>
      </c>
      <c r="BN930" s="301">
        <f t="shared" si="1685"/>
        <v>0.96041962165414829</v>
      </c>
      <c r="BO930" s="231">
        <f t="shared" si="1631"/>
        <v>12067.672546084374</v>
      </c>
      <c r="BP930" s="231">
        <f t="shared" si="1632"/>
        <v>-497.32745391562639</v>
      </c>
      <c r="BQ930" s="129">
        <f>INDEX('Dist Plant Depreciation'!$D$7:$AC$94,MATCH($C930,'Dist Plant Depreciation'!$C$7:$C$94,0),MATCH(Calculation!$G930,'Dist Plant Depreciation'!$D$5:$AC$5,0))</f>
        <v>1190833</v>
      </c>
      <c r="BR930" s="129">
        <f>INDEX('Gen. Plant Depreciation'!$D$7:$AC$94,MATCH($C930,'Gen. Plant Depreciation'!$C$7:$C$94,0),MATCH(Calculation!$G930,'Gen. Plant Depreciation'!$D$5:$AC$5,0))</f>
        <v>38646</v>
      </c>
      <c r="BS930" s="129"/>
      <c r="BT930" s="129"/>
      <c r="BU930" s="129"/>
      <c r="BV930" s="129"/>
      <c r="BW930" s="129"/>
      <c r="BX930" s="137"/>
      <c r="BY930" s="129">
        <f>INDEX('Gross Dx Plant'!$D$7:$AC$91,MATCH($C930,'Gross Dx Plant'!$C$7:$C$91,0),MATCH(Calculation!$G930,'Gross Dx Plant'!$D$5:$AC$5,0))</f>
        <v>2860145</v>
      </c>
      <c r="BZ930" s="129">
        <f>INDEX('Gross Gen Plant'!$D$7:$AC$91,MATCH($C930,'Gross Gen Plant'!$C$7:$C$91,0),MATCH(Calculation!$G930,'Gross Gen Plant'!$D$5:$AC$5,0))</f>
        <v>117871</v>
      </c>
      <c r="CA930" s="129">
        <f t="shared" si="1595"/>
        <v>1748537</v>
      </c>
      <c r="CB930" s="129"/>
      <c r="CC930" s="133">
        <v>2000</v>
      </c>
      <c r="CD930" s="129"/>
      <c r="CE930" s="129"/>
      <c r="CF930" s="129"/>
      <c r="CG930" s="137"/>
      <c r="CH930" s="129">
        <f t="shared" si="1686"/>
        <v>148172</v>
      </c>
      <c r="CI930" s="46">
        <f t="shared" ref="CI930:CI952" si="1695">+CH930+BP930</f>
        <v>147674.67254608439</v>
      </c>
      <c r="CJ930" s="231">
        <f t="shared" si="1687"/>
        <v>426.14806280452734</v>
      </c>
      <c r="CK930" s="443">
        <v>0.98</v>
      </c>
      <c r="CL930" s="231">
        <f>+CL928*CK930+CJ929*CK929+CJ930</f>
        <v>8424.7374170362473</v>
      </c>
      <c r="CM930" s="134">
        <f t="shared" si="1688"/>
        <v>4.1670356171988873E-2</v>
      </c>
      <c r="CN930" s="135">
        <f t="shared" si="1689"/>
        <v>1.0184539785569404E-2</v>
      </c>
      <c r="CO930" s="135"/>
      <c r="CP930" s="134">
        <f>VLOOKUP($H930,RoR!$E:$F,2,FALSE)</f>
        <v>7.6225000000000001E-2</v>
      </c>
      <c r="CQ930" s="135">
        <v>2.2568307442433211E-2</v>
      </c>
      <c r="CR930" s="135">
        <f t="shared" ref="CR930:CR950" si="1696">+CP930-CQ930</f>
        <v>5.365669255756679E-2</v>
      </c>
      <c r="CS930" s="135"/>
      <c r="CT930" s="135"/>
      <c r="CU930" s="139">
        <f t="shared" si="1690"/>
        <v>0.84885500000000003</v>
      </c>
      <c r="CV930" s="335">
        <f t="shared" si="1691"/>
        <v>0.67277207323124022</v>
      </c>
      <c r="CW930" s="335">
        <f t="shared" si="1692"/>
        <v>0.6470236142997704</v>
      </c>
      <c r="CX930" s="335">
        <f t="shared" si="1693"/>
        <v>0.94704866037543145</v>
      </c>
      <c r="CY930" s="335">
        <f t="shared" si="1694"/>
        <v>0.41224973107878493</v>
      </c>
      <c r="CZ930" s="336">
        <f>INDEX('State Tax Lookup'!$D$7:$Z$91,MATCH(Calculation!$C930,'State Tax Lookup'!$B$7:$B$91,0),MATCH($H930,'State Tax Lookup'!$D$6:$Z$6,0))</f>
        <v>0.40849999999999997</v>
      </c>
      <c r="DA930" s="302">
        <v>0.37</v>
      </c>
      <c r="DB930" s="57"/>
      <c r="DC930" s="56"/>
      <c r="DD930" s="303">
        <f>VLOOKUP($H930,RoR!$E:$F,2,FALSE)</f>
        <v>7.6225000000000001E-2</v>
      </c>
      <c r="DE930" s="304">
        <f>HLOOKUP($H930,'GDP-PI'!$D$8:$CQ$11,3,FALSE)</f>
        <v>2.2568307442433211E-2</v>
      </c>
      <c r="DF930" s="303">
        <f>VLOOKUP(H930,'HW Dx Data'!$E:$F,2,FALSE)</f>
        <v>346.53371782150339</v>
      </c>
      <c r="DG930" s="364"/>
      <c r="DH930" s="364"/>
      <c r="DI930" s="364"/>
      <c r="DJ930" s="56"/>
      <c r="DK930" s="53">
        <f>HLOOKUP(H930,'GDP-PI'!$8:$9,2,FALSE)</f>
        <v>78.069000000000003</v>
      </c>
      <c r="DL930" s="298"/>
      <c r="EC930"/>
    </row>
    <row r="931" spans="1:133" s="126" customFormat="1" ht="21" customHeight="1" x14ac:dyDescent="0.4">
      <c r="A931" s="233" t="s">
        <v>238</v>
      </c>
      <c r="B931" s="126" t="s">
        <v>238</v>
      </c>
      <c r="C931" s="126">
        <v>4057095</v>
      </c>
      <c r="D931" s="127" t="s">
        <v>218</v>
      </c>
      <c r="E931" s="127" t="s">
        <v>15</v>
      </c>
      <c r="F931" s="144"/>
      <c r="G931" s="126" t="s">
        <v>157</v>
      </c>
      <c r="H931" s="128">
        <v>2001</v>
      </c>
      <c r="I931" s="129"/>
      <c r="J931" s="125"/>
      <c r="K931" s="125"/>
      <c r="L931" s="47"/>
      <c r="M931" s="125"/>
      <c r="N931" s="125"/>
      <c r="O931" s="125"/>
      <c r="P931" s="47"/>
      <c r="Q931" s="47"/>
      <c r="R931" s="386"/>
      <c r="S931" s="119"/>
      <c r="T931" s="47"/>
      <c r="U931" s="47"/>
      <c r="V931" s="125"/>
      <c r="W931" s="125"/>
      <c r="X931" s="125"/>
      <c r="Y931" s="125"/>
      <c r="Z931" s="125"/>
      <c r="AA931" s="125"/>
      <c r="AB931" s="125"/>
      <c r="AC931" s="125">
        <f t="shared" si="1684"/>
        <v>88956.453361845677</v>
      </c>
      <c r="AD931" s="129"/>
      <c r="AE931" s="133">
        <v>8885.7439393530549</v>
      </c>
      <c r="AF931" s="134">
        <v>4.3638849330242577E-2</v>
      </c>
      <c r="AG931" s="61"/>
      <c r="AH931" s="134"/>
      <c r="AI931" s="134"/>
      <c r="AJ931" s="129">
        <f t="shared" si="1680"/>
        <v>88956.453361845677</v>
      </c>
      <c r="AK931" s="134"/>
      <c r="AL931" s="129"/>
      <c r="AM931" s="129"/>
      <c r="AN931" s="129"/>
      <c r="AO931" s="129"/>
      <c r="AP931" s="133"/>
      <c r="AQ931" s="134"/>
      <c r="AR931" s="93"/>
      <c r="AS931" s="93"/>
      <c r="AT931" s="93"/>
      <c r="AU931" s="93"/>
      <c r="AV931" s="93"/>
      <c r="AW931" s="134"/>
      <c r="AX931" s="62"/>
      <c r="AY931" s="93"/>
      <c r="AZ931" s="93"/>
      <c r="BA931" s="93"/>
      <c r="BB931" s="234">
        <f>IFERROR(INDEX('Total Customers'!$E$7:$AA$91,MATCH($C931,'Total Customers'!$C$7:$C$91,0),MATCH($G931,'Total Customers'!$E$5:$AA$5,0)),"NA")</f>
        <v>1679196</v>
      </c>
      <c r="BC931" s="269">
        <f t="shared" si="1639"/>
        <v>3.5192904195948782E-2</v>
      </c>
      <c r="BD931" s="92"/>
      <c r="BE931" s="299" t="str">
        <f t="shared" si="1635"/>
        <v>PUBLIC SERVICE ELECTRIC AND GAS COMPANY</v>
      </c>
      <c r="BF931" s="300">
        <f t="shared" si="1636"/>
        <v>4057095</v>
      </c>
      <c r="BG931" s="231" t="str">
        <f t="shared" si="1637"/>
        <v>NJ</v>
      </c>
      <c r="BH931" s="231"/>
      <c r="BI931" s="231" t="str">
        <f t="shared" si="1638"/>
        <v>2001 Y</v>
      </c>
      <c r="BJ931" s="129"/>
      <c r="BK931" s="129"/>
      <c r="BL931" s="129">
        <f>INDEX('Dist. Plant Gas Additions'!$E$7:$AD$91,MATCH($C931,'Dist. Plant Gas Additions'!$C$7:$C$91,0),MATCH(Calculation!$G931,'Dist. Plant Gas Additions'!$E$5:$AD$5,0))</f>
        <v>135898</v>
      </c>
      <c r="BM931" s="129">
        <f>INDEX('Gen. Plant Additions'!$E$7:$AD$91,MATCH($C931,'Gen. Plant Additions'!$C$7:$C$91,0),MATCH(Calculation!$G931,'Gen. Plant Additions'!$E$5:$AD$5,0))</f>
        <v>13422</v>
      </c>
      <c r="BN931" s="301">
        <f t="shared" si="1685"/>
        <v>0.95869198990880888</v>
      </c>
      <c r="BO931" s="231">
        <f t="shared" si="1631"/>
        <v>12867.563888556033</v>
      </c>
      <c r="BP931" s="231">
        <f t="shared" si="1632"/>
        <v>-554.43611144396709</v>
      </c>
      <c r="BQ931" s="129">
        <f>INDEX('Dist Plant Depreciation'!$D$7:$AC$94,MATCH($C931,'Dist Plant Depreciation'!$C$7:$C$94,0),MATCH(Calculation!$G931,'Dist Plant Depreciation'!$D$5:$AC$5,0))</f>
        <v>1240309</v>
      </c>
      <c r="BR931" s="129">
        <f>INDEX('Gen. Plant Depreciation'!$D$7:$AC$94,MATCH($C931,'Gen. Plant Depreciation'!$C$7:$C$94,0),MATCH(Calculation!$G931,'Gen. Plant Depreciation'!$D$5:$AC$5,0))</f>
        <v>40967</v>
      </c>
      <c r="BS931" s="129"/>
      <c r="BT931" s="129"/>
      <c r="BU931" s="129"/>
      <c r="BV931" s="129"/>
      <c r="BW931" s="129"/>
      <c r="BX931" s="137"/>
      <c r="BY931" s="129">
        <f>INDEX('Gross Dx Plant'!$D$7:$AC$91,MATCH($C931,'Gross Dx Plant'!$C$7:$C$91,0),MATCH(Calculation!$G931,'Gross Dx Plant'!$D$5:$AC$5,0))</f>
        <v>2992210</v>
      </c>
      <c r="BZ931" s="129">
        <f>INDEX('Gross Gen Plant'!$D$7:$AC$91,MATCH($C931,'Gross Gen Plant'!$C$7:$C$91,0),MATCH(Calculation!$G931,'Gross Gen Plant'!$D$5:$AC$5,0))</f>
        <v>128928</v>
      </c>
      <c r="CA931" s="129">
        <f t="shared" si="1595"/>
        <v>1839862</v>
      </c>
      <c r="CB931" s="129"/>
      <c r="CC931" s="133">
        <v>2001</v>
      </c>
      <c r="CD931" s="129"/>
      <c r="CE931" s="129"/>
      <c r="CF931" s="129"/>
      <c r="CG931" s="137"/>
      <c r="CH931" s="129">
        <f t="shared" si="1686"/>
        <v>149320</v>
      </c>
      <c r="CI931" s="46">
        <f t="shared" si="1695"/>
        <v>148765.56388855603</v>
      </c>
      <c r="CJ931" s="231">
        <f t="shared" si="1687"/>
        <v>420.89875956916052</v>
      </c>
      <c r="CK931" s="443">
        <v>0.96969696969696972</v>
      </c>
      <c r="CL931" s="231">
        <f>+CL928*CK931+CJ929*CK930+CJ930*CK928+CJ931</f>
        <v>8761.6742426639685</v>
      </c>
      <c r="CM931" s="134">
        <f t="shared" si="1688"/>
        <v>3.9214701642928999E-2</v>
      </c>
      <c r="CN931" s="135">
        <f t="shared" si="1689"/>
        <v>9.9661187981543563E-3</v>
      </c>
      <c r="CO931" s="135">
        <f>+(CN931+CN930+CN929)/3</f>
        <v>1.0017216227577883E-2</v>
      </c>
      <c r="CP931" s="134">
        <f>VLOOKUP($H931,RoR!$E:$F,2,FALSE)</f>
        <v>7.0824999999999999E-2</v>
      </c>
      <c r="CQ931" s="135">
        <v>2.2454495382290052E-2</v>
      </c>
      <c r="CR931" s="135">
        <f t="shared" si="1696"/>
        <v>4.8370504617709947E-2</v>
      </c>
      <c r="CS931" s="135">
        <f>+$CR$2-CO931</f>
        <v>2.0884725380955742E-2</v>
      </c>
      <c r="CT931" s="135">
        <f>+((DF929/DF928-1)+(DF930/DF929-1)+(DF931/DF930-1))/3</f>
        <v>2.3947275901631187E-2</v>
      </c>
      <c r="CU931" s="139">
        <f t="shared" si="1690"/>
        <v>0.84885500000000003</v>
      </c>
      <c r="CV931" s="335">
        <f t="shared" si="1691"/>
        <v>0.72406708481540816</v>
      </c>
      <c r="CW931" s="335">
        <f t="shared" si="1692"/>
        <v>0.62201729615248857</v>
      </c>
      <c r="CX931" s="335">
        <f t="shared" si="1693"/>
        <v>0.9352469954311422</v>
      </c>
      <c r="CY931" s="335">
        <f t="shared" si="1694"/>
        <v>0.42121864641655071</v>
      </c>
      <c r="CZ931" s="336">
        <f>INDEX('State Tax Lookup'!$D$7:$Z$91,MATCH(Calculation!$C931,'State Tax Lookup'!$B$7:$B$91,0),MATCH($H931,'State Tax Lookup'!$D$6:$Z$6,0))</f>
        <v>0.40849999999999997</v>
      </c>
      <c r="DA931" s="302">
        <v>0.37</v>
      </c>
      <c r="DB931" s="57">
        <f t="shared" ref="DB931:DB952" si="1697">+(DF931*CS931-CT931)*CU931/(1-CZ931)</f>
        <v>10.558958571451811</v>
      </c>
      <c r="DC931" s="56"/>
      <c r="DD931" s="303">
        <f>VLOOKUP($H931,RoR!$E:$F,2,FALSE)</f>
        <v>7.0824999999999999E-2</v>
      </c>
      <c r="DE931" s="304">
        <f>HLOOKUP($H931,'GDP-PI'!$D$8:$CQ$11,3,FALSE)</f>
        <v>2.2454495382290052E-2</v>
      </c>
      <c r="DF931" s="303">
        <f>VLOOKUP(H931,'HW Dx Data'!$E:$F,2,FALSE)</f>
        <v>353.44738017483138</v>
      </c>
      <c r="DG931" s="364"/>
      <c r="DH931" s="364"/>
      <c r="DI931" s="364"/>
      <c r="DJ931" s="56"/>
      <c r="DK931" s="53">
        <f>HLOOKUP(H931,'GDP-PI'!$8:$9,2,FALSE)</f>
        <v>79.822000000000003</v>
      </c>
      <c r="DL931" s="298"/>
      <c r="EC931"/>
    </row>
    <row r="932" spans="1:133" s="126" customFormat="1" ht="21" customHeight="1" x14ac:dyDescent="0.4">
      <c r="A932" s="233" t="s">
        <v>238</v>
      </c>
      <c r="B932" s="126" t="s">
        <v>238</v>
      </c>
      <c r="C932" s="126">
        <v>4057095</v>
      </c>
      <c r="D932" s="127" t="s">
        <v>218</v>
      </c>
      <c r="E932" s="127" t="s">
        <v>15</v>
      </c>
      <c r="F932" s="144"/>
      <c r="G932" s="126" t="s">
        <v>158</v>
      </c>
      <c r="H932" s="128">
        <v>2002</v>
      </c>
      <c r="I932" s="129"/>
      <c r="J932" s="125"/>
      <c r="K932" s="125"/>
      <c r="L932" s="47"/>
      <c r="M932" s="125"/>
      <c r="N932" s="125"/>
      <c r="O932" s="125"/>
      <c r="P932" s="47"/>
      <c r="Q932" s="47"/>
      <c r="R932" s="386"/>
      <c r="S932" s="119"/>
      <c r="T932" s="47"/>
      <c r="U932" s="47"/>
      <c r="V932" s="125"/>
      <c r="W932" s="125"/>
      <c r="X932" s="125"/>
      <c r="Y932" s="125"/>
      <c r="Z932" s="125"/>
      <c r="AA932" s="125"/>
      <c r="AB932" s="125"/>
      <c r="AC932" s="125">
        <f t="shared" si="1684"/>
        <v>92564.780384361817</v>
      </c>
      <c r="AD932" s="129"/>
      <c r="AE932" s="133">
        <v>9276.3775146530061</v>
      </c>
      <c r="AF932" s="134">
        <v>4.3022928655203796E-2</v>
      </c>
      <c r="AG932" s="61"/>
      <c r="AH932" s="134"/>
      <c r="AI932" s="134"/>
      <c r="AJ932" s="129">
        <f t="shared" si="1680"/>
        <v>92564.780384361817</v>
      </c>
      <c r="AK932" s="134"/>
      <c r="AL932" s="129"/>
      <c r="AM932" s="129"/>
      <c r="AN932" s="129"/>
      <c r="AO932" s="129"/>
      <c r="AP932" s="133"/>
      <c r="AQ932" s="134"/>
      <c r="AR932" s="93"/>
      <c r="AS932" s="93"/>
      <c r="AT932" s="93"/>
      <c r="AU932" s="93"/>
      <c r="AV932" s="93"/>
      <c r="AW932" s="134"/>
      <c r="AX932" s="62"/>
      <c r="AY932" s="93"/>
      <c r="AZ932" s="93"/>
      <c r="BA932" s="93"/>
      <c r="BB932" s="234">
        <f>IFERROR(INDEX('Total Customers'!$E$7:$AA$91,MATCH($C932,'Total Customers'!$C$7:$C$91,0),MATCH($G932,'Total Customers'!$E$5:$AA$5,0)),"NA")</f>
        <v>1665668</v>
      </c>
      <c r="BC932" s="269">
        <f t="shared" si="1639"/>
        <v>-8.0888632608150136E-3</v>
      </c>
      <c r="BD932" s="92"/>
      <c r="BE932" s="299" t="str">
        <f t="shared" si="1635"/>
        <v>PUBLIC SERVICE ELECTRIC AND GAS COMPANY</v>
      </c>
      <c r="BF932" s="300">
        <f t="shared" si="1636"/>
        <v>4057095</v>
      </c>
      <c r="BG932" s="231" t="str">
        <f t="shared" si="1637"/>
        <v>NJ</v>
      </c>
      <c r="BH932" s="231"/>
      <c r="BI932" s="231" t="str">
        <f t="shared" si="1638"/>
        <v>2002 Y</v>
      </c>
      <c r="BJ932" s="129"/>
      <c r="BK932" s="129"/>
      <c r="BL932" s="129">
        <f>INDEX('Dist. Plant Gas Additions'!$E$7:$AD$91,MATCH($C932,'Dist. Plant Gas Additions'!$C$7:$C$91,0),MATCH(Calculation!$G932,'Dist. Plant Gas Additions'!$E$5:$AD$5,0))</f>
        <v>150814</v>
      </c>
      <c r="BM932" s="129">
        <f>INDEX('Gen. Plant Additions'!$E$7:$AD$91,MATCH($C932,'Gen. Plant Additions'!$C$7:$C$91,0),MATCH(Calculation!$G932,'Gen. Plant Additions'!$E$5:$AD$5,0))</f>
        <v>8700</v>
      </c>
      <c r="BN932" s="301">
        <f t="shared" si="1685"/>
        <v>0.95983210386815321</v>
      </c>
      <c r="BO932" s="231">
        <f t="shared" si="1631"/>
        <v>8350.5393036529331</v>
      </c>
      <c r="BP932" s="231">
        <f t="shared" si="1632"/>
        <v>-349.46069634706691</v>
      </c>
      <c r="BQ932" s="129">
        <f>INDEX('Dist Plant Depreciation'!$D$7:$AC$94,MATCH($C932,'Dist Plant Depreciation'!$C$7:$C$94,0),MATCH(Calculation!$G932,'Dist Plant Depreciation'!$D$5:$AC$5,0))</f>
        <v>1330164</v>
      </c>
      <c r="BR932" s="129">
        <f>INDEX('Gen. Plant Depreciation'!$D$7:$AC$94,MATCH($C932,'Gen. Plant Depreciation'!$C$7:$C$94,0),MATCH(Calculation!$G932,'Gen. Plant Depreciation'!$D$5:$AC$5,0))</f>
        <v>55396</v>
      </c>
      <c r="BS932" s="129"/>
      <c r="BT932" s="129"/>
      <c r="BU932" s="129"/>
      <c r="BV932" s="129"/>
      <c r="BW932" s="129"/>
      <c r="BX932" s="137"/>
      <c r="BY932" s="129">
        <f>INDEX('Gross Dx Plant'!$D$7:$AC$91,MATCH($C932,'Gross Dx Plant'!$C$7:$C$91,0),MATCH(Calculation!$G932,'Gross Dx Plant'!$D$5:$AC$5,0))</f>
        <v>3139678</v>
      </c>
      <c r="BZ932" s="129">
        <f>INDEX('Gross Gen Plant'!$D$7:$AC$91,MATCH($C932,'Gross Gen Plant'!$C$7:$C$91,0),MATCH(Calculation!$G932,'Gross Gen Plant'!$D$5:$AC$5,0))</f>
        <v>131392</v>
      </c>
      <c r="CA932" s="129">
        <f t="shared" si="1595"/>
        <v>1885510</v>
      </c>
      <c r="CB932" s="129"/>
      <c r="CC932" s="133">
        <v>2002</v>
      </c>
      <c r="CD932" s="129"/>
      <c r="CE932" s="129"/>
      <c r="CF932" s="129"/>
      <c r="CG932" s="137"/>
      <c r="CH932" s="129">
        <f t="shared" si="1686"/>
        <v>159514</v>
      </c>
      <c r="CI932" s="46">
        <f t="shared" si="1695"/>
        <v>159164.53930365294</v>
      </c>
      <c r="CJ932" s="231">
        <f t="shared" si="1687"/>
        <v>440.47418638554586</v>
      </c>
      <c r="CK932" s="443">
        <v>0.95918367346938771</v>
      </c>
      <c r="CL932" s="231">
        <f>+CL928*CK932+CJ929*CK931+CJ930*CK930+CJ931*CK929+CJ932</f>
        <v>9103.7835803793696</v>
      </c>
      <c r="CM932" s="134">
        <f t="shared" si="1688"/>
        <v>3.8303094896433021E-2</v>
      </c>
      <c r="CN932" s="135">
        <f t="shared" si="1689"/>
        <v>1.1226718312713383E-2</v>
      </c>
      <c r="CO932" s="135">
        <f t="shared" ref="CO932:CO952" si="1698">+(CN932+CN931+CN930)/3</f>
        <v>1.0459125632145716E-2</v>
      </c>
      <c r="CP932" s="134">
        <f>VLOOKUP($H932,RoR!$E:$F,2,FALSE)</f>
        <v>6.4916666666666664E-2</v>
      </c>
      <c r="CQ932" s="135">
        <v>1.5246423291824351E-2</v>
      </c>
      <c r="CR932" s="135">
        <f t="shared" si="1696"/>
        <v>4.9670243374842313E-2</v>
      </c>
      <c r="CS932" s="135">
        <f t="shared" ref="CS932:CS952" si="1699">+$CR$2-CO932</f>
        <v>2.0442815976387911E-2</v>
      </c>
      <c r="CT932" s="135">
        <f t="shared" ref="CT932:CT952" si="1700">+((DF930/DF929-1)+(DF931/DF930-1)+(DF932/DF931-1))/3</f>
        <v>2.5243621214759093E-2</v>
      </c>
      <c r="CU932" s="139">
        <f t="shared" si="1690"/>
        <v>0.84885500000000003</v>
      </c>
      <c r="CV932" s="335">
        <f t="shared" si="1691"/>
        <v>0.78996741384417901</v>
      </c>
      <c r="CW932" s="335">
        <f t="shared" si="1692"/>
        <v>0.58989088575096271</v>
      </c>
      <c r="CX932" s="335">
        <f t="shared" si="1693"/>
        <v>0.91920675783645744</v>
      </c>
      <c r="CY932" s="335">
        <f t="shared" si="1694"/>
        <v>0.42834536472275586</v>
      </c>
      <c r="CZ932" s="336">
        <f>INDEX('State Tax Lookup'!$D$7:$Z$91,MATCH(Calculation!$C932,'State Tax Lookup'!$B$7:$B$91,0),MATCH($H932,'State Tax Lookup'!$D$6:$Z$6,0))</f>
        <v>0.40849999999999997</v>
      </c>
      <c r="DA932" s="302">
        <v>0.37</v>
      </c>
      <c r="DB932" s="57">
        <f t="shared" si="1697"/>
        <v>10.56473658123789</v>
      </c>
      <c r="DC932" s="56">
        <f t="shared" ref="DC932:DC950" si="1701">LN(DB932/DB931)</f>
        <v>5.4706431695929279E-4</v>
      </c>
      <c r="DD932" s="303">
        <f>VLOOKUP($H932,RoR!$E:$F,2,FALSE)</f>
        <v>6.4916666666666664E-2</v>
      </c>
      <c r="DE932" s="304">
        <f>HLOOKUP($H932,'GDP-PI'!$D$8:$CQ$11,3,FALSE)</f>
        <v>1.5246423291824351E-2</v>
      </c>
      <c r="DF932" s="303">
        <f>VLOOKUP(H932,'HW Dx Data'!$E:$F,2,FALSE)</f>
        <v>361.34816573413599</v>
      </c>
      <c r="DG932" s="364"/>
      <c r="DH932" s="364"/>
      <c r="DI932" s="364"/>
      <c r="DJ932" s="56"/>
      <c r="DK932" s="53">
        <f>HLOOKUP(H932,'GDP-PI'!$8:$9,2,FALSE)</f>
        <v>81.039000000000001</v>
      </c>
      <c r="DL932" s="355">
        <f>LN(DK932/DK931)</f>
        <v>1.513136459537477E-2</v>
      </c>
      <c r="EC932"/>
    </row>
    <row r="933" spans="1:133" s="126" customFormat="1" ht="21" customHeight="1" x14ac:dyDescent="0.4">
      <c r="A933" s="233" t="s">
        <v>238</v>
      </c>
      <c r="B933" s="126" t="s">
        <v>238</v>
      </c>
      <c r="C933" s="126">
        <v>4057095</v>
      </c>
      <c r="D933" s="127" t="s">
        <v>218</v>
      </c>
      <c r="E933" s="127" t="s">
        <v>15</v>
      </c>
      <c r="F933" s="144"/>
      <c r="G933" s="126" t="s">
        <v>159</v>
      </c>
      <c r="H933" s="128">
        <v>2003</v>
      </c>
      <c r="I933" s="129"/>
      <c r="J933" s="125"/>
      <c r="K933" s="125"/>
      <c r="L933" s="47"/>
      <c r="M933" s="125"/>
      <c r="N933" s="125"/>
      <c r="O933" s="125"/>
      <c r="P933" s="59"/>
      <c r="Q933" s="59"/>
      <c r="R933" s="386"/>
      <c r="S933" s="119"/>
      <c r="T933" s="59"/>
      <c r="U933" s="59"/>
      <c r="V933" s="125"/>
      <c r="W933" s="125"/>
      <c r="X933" s="125"/>
      <c r="Y933" s="125"/>
      <c r="Z933" s="125"/>
      <c r="AA933" s="125"/>
      <c r="AB933" s="125"/>
      <c r="AC933" s="125">
        <f t="shared" si="1684"/>
        <v>96971.106255194594</v>
      </c>
      <c r="AD933" s="129"/>
      <c r="AE933" s="133">
        <v>9671.3187932265409</v>
      </c>
      <c r="AF933" s="134">
        <v>4.1693563458598884E-2</v>
      </c>
      <c r="AG933" s="61"/>
      <c r="AH933" s="134"/>
      <c r="AI933" s="134"/>
      <c r="AJ933" s="129">
        <f t="shared" si="1680"/>
        <v>96971.106255194594</v>
      </c>
      <c r="AK933" s="134"/>
      <c r="AL933" s="129"/>
      <c r="AM933" s="129"/>
      <c r="AN933" s="129"/>
      <c r="AO933" s="129"/>
      <c r="AP933" s="133"/>
      <c r="AQ933" s="134"/>
      <c r="AR933" s="93"/>
      <c r="AS933" s="93"/>
      <c r="AT933" s="93"/>
      <c r="AU933" s="93"/>
      <c r="AV933" s="93"/>
      <c r="AW933" s="134"/>
      <c r="AX933" s="62"/>
      <c r="AY933" s="93"/>
      <c r="AZ933" s="93"/>
      <c r="BA933" s="93"/>
      <c r="BB933" s="234">
        <f>IFERROR(INDEX('Total Customers'!$E$7:$AA$91,MATCH($C933,'Total Customers'!$C$7:$C$91,0),MATCH($G933,'Total Customers'!$E$5:$AA$5,0)),"NA")</f>
        <v>1673702</v>
      </c>
      <c r="BC933" s="269">
        <f t="shared" si="1639"/>
        <v>4.8116953200956405E-3</v>
      </c>
      <c r="BD933" s="92"/>
      <c r="BE933" s="299" t="str">
        <f t="shared" si="1635"/>
        <v>PUBLIC SERVICE ELECTRIC AND GAS COMPANY</v>
      </c>
      <c r="BF933" s="300">
        <f t="shared" si="1636"/>
        <v>4057095</v>
      </c>
      <c r="BG933" s="231" t="str">
        <f t="shared" si="1637"/>
        <v>NJ</v>
      </c>
      <c r="BH933" s="231"/>
      <c r="BI933" s="231" t="str">
        <f t="shared" si="1638"/>
        <v>2003 Y</v>
      </c>
      <c r="BJ933" s="129"/>
      <c r="BK933" s="129"/>
      <c r="BL933" s="129">
        <f>INDEX('Dist. Plant Gas Additions'!$E$7:$AD$91,MATCH($C933,'Dist. Plant Gas Additions'!$C$7:$C$91,0),MATCH(Calculation!$G933,'Dist. Plant Gas Additions'!$E$5:$AD$5,0))</f>
        <v>153387</v>
      </c>
      <c r="BM933" s="129">
        <f>INDEX('Gen. Plant Additions'!$E$7:$AD$91,MATCH($C933,'Gen. Plant Additions'!$C$7:$C$91,0),MATCH(Calculation!$G933,'Gen. Plant Additions'!$E$5:$AD$5,0))</f>
        <v>11792</v>
      </c>
      <c r="BN933" s="301">
        <f t="shared" si="1685"/>
        <v>0.95911404235520747</v>
      </c>
      <c r="BO933" s="231">
        <f t="shared" si="1631"/>
        <v>11309.872787452607</v>
      </c>
      <c r="BP933" s="231">
        <f t="shared" si="1632"/>
        <v>-482.12721254739336</v>
      </c>
      <c r="BQ933" s="129">
        <f>INDEX('Dist Plant Depreciation'!$D$7:$AC$94,MATCH($C933,'Dist Plant Depreciation'!$C$7:$C$94,0),MATCH(Calculation!$G933,'Dist Plant Depreciation'!$D$5:$AC$5,0))</f>
        <v>1402820</v>
      </c>
      <c r="BR933" s="129">
        <f>INDEX('Gen. Plant Depreciation'!$D$7:$AC$94,MATCH($C933,'Gen. Plant Depreciation'!$C$7:$C$94,0),MATCH(Calculation!$G933,'Gen. Plant Depreciation'!$D$5:$AC$5,0))</f>
        <v>68552</v>
      </c>
      <c r="BS933" s="129"/>
      <c r="BT933" s="129"/>
      <c r="BU933" s="129"/>
      <c r="BV933" s="129"/>
      <c r="BW933" s="129"/>
      <c r="BX933" s="137"/>
      <c r="BY933" s="129">
        <f>INDEX('Gross Dx Plant'!$D$7:$AC$91,MATCH($C933,'Gross Dx Plant'!$C$7:$C$91,0),MATCH(Calculation!$G933,'Gross Dx Plant'!$D$5:$AC$5,0))</f>
        <v>3290070</v>
      </c>
      <c r="BZ933" s="129">
        <f>INDEX('Gross Gen Plant'!$D$7:$AC$91,MATCH($C933,'Gross Gen Plant'!$C$7:$C$91,0),MATCH(Calculation!$G933,'Gross Gen Plant'!$D$5:$AC$5,0))</f>
        <v>140252</v>
      </c>
      <c r="CA933" s="129">
        <f t="shared" si="1595"/>
        <v>1958950</v>
      </c>
      <c r="CB933" s="129"/>
      <c r="CC933" s="133">
        <v>2003</v>
      </c>
      <c r="CD933" s="129"/>
      <c r="CE933" s="129"/>
      <c r="CF933" s="129"/>
      <c r="CG933" s="137"/>
      <c r="CH933" s="129">
        <f t="shared" si="1686"/>
        <v>165179</v>
      </c>
      <c r="CI933" s="46">
        <f t="shared" si="1695"/>
        <v>164696.87278745259</v>
      </c>
      <c r="CJ933" s="231">
        <f t="shared" si="1687"/>
        <v>446.0513223376347</v>
      </c>
      <c r="CK933" s="443">
        <v>0.94845360824742264</v>
      </c>
      <c r="CL933" s="231">
        <f>+CL928*CK933+CJ929*CK932+CJ930*CK931+CJ931*CK930+CJ932*CK929+CJ933</f>
        <v>9449.392341714507</v>
      </c>
      <c r="CM933" s="134">
        <f t="shared" si="1688"/>
        <v>3.7260331799362494E-2</v>
      </c>
      <c r="CN933" s="135">
        <f t="shared" si="1689"/>
        <v>1.1033056763231151E-2</v>
      </c>
      <c r="CO933" s="135">
        <f t="shared" si="1698"/>
        <v>1.074196462469963E-2</v>
      </c>
      <c r="CP933" s="134">
        <f>VLOOKUP($H933,RoR!$E:$F,2,FALSE)</f>
        <v>5.6666666666666671E-2</v>
      </c>
      <c r="CQ933" s="135">
        <v>1.8855119140166909E-2</v>
      </c>
      <c r="CR933" s="135">
        <f t="shared" si="1696"/>
        <v>3.7811547526499761E-2</v>
      </c>
      <c r="CS933" s="135">
        <f t="shared" si="1699"/>
        <v>2.0159976983833997E-2</v>
      </c>
      <c r="CT933" s="135">
        <f t="shared" si="1700"/>
        <v>2.1375012817671957E-2</v>
      </c>
      <c r="CU933" s="139">
        <f t="shared" si="1690"/>
        <v>0.84885500000000003</v>
      </c>
      <c r="CV933" s="335">
        <f t="shared" si="1691"/>
        <v>0.90497737556561086</v>
      </c>
      <c r="CW933" s="335">
        <f t="shared" si="1692"/>
        <v>0.5338235294117647</v>
      </c>
      <c r="CX933" s="335">
        <f t="shared" si="1693"/>
        <v>0.88972433127405692</v>
      </c>
      <c r="CY933" s="335">
        <f t="shared" si="1694"/>
        <v>0.42982423775949252</v>
      </c>
      <c r="CZ933" s="336">
        <f>INDEX('State Tax Lookup'!$D$7:$Z$91,MATCH(Calculation!$C933,'State Tax Lookup'!$B$7:$B$91,0),MATCH($H933,'State Tax Lookup'!$D$6:$Z$6,0))</f>
        <v>0.40849999999999997</v>
      </c>
      <c r="DA933" s="302">
        <v>0.37</v>
      </c>
      <c r="DB933" s="57">
        <f t="shared" si="1697"/>
        <v>10.651736764062404</v>
      </c>
      <c r="DC933" s="56">
        <f t="shared" si="1701"/>
        <v>8.2012376935809081E-3</v>
      </c>
      <c r="DD933" s="303">
        <f>VLOOKUP($H933,RoR!$E:$F,2,FALSE)</f>
        <v>5.6666666666666671E-2</v>
      </c>
      <c r="DE933" s="304">
        <f>HLOOKUP($H933,'GDP-PI'!$D$8:$CQ$11,3,FALSE)</f>
        <v>1.8855119140166909E-2</v>
      </c>
      <c r="DF933" s="303">
        <f>VLOOKUP(H933,'HW Dx Data'!$E:$F,2,FALSE)</f>
        <v>369.23301095560191</v>
      </c>
      <c r="DG933" s="364">
        <f ca="1">VLOOKUP(CC933,'ECI - Input Price'!M$13:N$33,2,FALSE)</f>
        <v>89.25</v>
      </c>
      <c r="DH933" s="364"/>
      <c r="DI933" s="364"/>
      <c r="DJ933" s="56"/>
      <c r="DK933" s="53">
        <f>HLOOKUP(H933,'GDP-PI'!$8:$9,2,FALSE)</f>
        <v>82.566999999999993</v>
      </c>
      <c r="DL933" s="355">
        <f t="shared" ref="DL933:DL952" si="1702">LN(DK933/DK932)</f>
        <v>1.8679564681853753E-2</v>
      </c>
      <c r="EC933"/>
    </row>
    <row r="934" spans="1:133" s="126" customFormat="1" ht="21" customHeight="1" x14ac:dyDescent="0.4">
      <c r="A934" s="233" t="s">
        <v>238</v>
      </c>
      <c r="B934" s="126" t="s">
        <v>238</v>
      </c>
      <c r="C934" s="126">
        <v>4057095</v>
      </c>
      <c r="D934" s="127" t="s">
        <v>218</v>
      </c>
      <c r="E934" s="127" t="s">
        <v>15</v>
      </c>
      <c r="F934" s="144"/>
      <c r="G934" s="126" t="s">
        <v>160</v>
      </c>
      <c r="H934" s="128">
        <v>2004</v>
      </c>
      <c r="I934" s="129"/>
      <c r="J934" s="125">
        <f>IFERROR(INDEX('Labor Expenditures'!$E$7:$W$91,MATCH($C934,'Labor Expenditures'!$C$7:$C$91,0),MATCH($G934,'Labor Expenditures'!$E$5:$W$5,0)),"NA")</f>
        <v>115582.20476454418</v>
      </c>
      <c r="K934" s="125">
        <f t="shared" ref="K934:K952" ca="1" si="1703">+J934/DG934</f>
        <v>1225.0366164763559</v>
      </c>
      <c r="L934" s="47"/>
      <c r="M934" s="131"/>
      <c r="N934" s="131"/>
      <c r="O934" s="131"/>
      <c r="P934" s="59"/>
      <c r="Q934" s="59"/>
      <c r="R934" s="386"/>
      <c r="S934" s="119"/>
      <c r="T934" s="59"/>
      <c r="U934" s="59"/>
      <c r="V934" s="125">
        <f>IFERROR(INDEX('Non-Labor Expenditures'!$E$7:$AA$91,MATCH($C934,'Non-Labor Expenditures'!$C$7:$C$91,0),MATCH($G934,'Non-Labor Expenditures'!$E$5:$AA$5,0)),"NA")</f>
        <v>167384.62027710277</v>
      </c>
      <c r="W934" s="125">
        <f t="shared" ref="W934:W952" si="1704">+V934/DK934</f>
        <v>1974.3874622791616</v>
      </c>
      <c r="X934" s="125"/>
      <c r="Y934" s="125"/>
      <c r="Z934" s="125"/>
      <c r="AA934" s="125"/>
      <c r="AB934" s="125"/>
      <c r="AC934" s="125">
        <f t="shared" si="1684"/>
        <v>110130.6885291012</v>
      </c>
      <c r="AD934" s="129"/>
      <c r="AE934" s="133">
        <v>10021.705616995447</v>
      </c>
      <c r="AF934" s="134">
        <v>3.5588622403472547E-2</v>
      </c>
      <c r="AG934" s="59">
        <f t="shared" ref="AG934:AG952" si="1705">+AF934*$AX934</f>
        <v>0</v>
      </c>
      <c r="AH934" s="134"/>
      <c r="AI934" s="134"/>
      <c r="AJ934" s="129">
        <f t="shared" si="1680"/>
        <v>393097.51357074815</v>
      </c>
      <c r="AK934" s="134"/>
      <c r="AL934" s="129"/>
      <c r="AM934" s="129"/>
      <c r="AN934" s="129"/>
      <c r="AO934" s="129"/>
      <c r="AP934" s="133"/>
      <c r="AQ934" s="134"/>
      <c r="AR934" s="93">
        <f t="shared" ref="AR934:AR952" si="1706">+J934/AJ934</f>
        <v>0.29402934583492896</v>
      </c>
      <c r="AS934" s="93">
        <f t="shared" ref="AS934:AS952" si="1707">+V934/AJ934</f>
        <v>0.42580940987554111</v>
      </c>
      <c r="AT934" s="93">
        <f t="shared" ref="AT934:AT952" si="1708">+AC934/AJ934</f>
        <v>0.28016124428952999</v>
      </c>
      <c r="AU934" s="93"/>
      <c r="AV934" s="93"/>
      <c r="AW934" s="134"/>
      <c r="AX934" s="62"/>
      <c r="AY934" s="93"/>
      <c r="AZ934" s="93"/>
      <c r="BA934" s="93"/>
      <c r="BB934" s="234">
        <f>IFERROR(INDEX('Total Customers'!$E$7:$AA$91,MATCH($C934,'Total Customers'!$C$7:$C$91,0),MATCH($G934,'Total Customers'!$E$5:$AA$5,0)),"NA")</f>
        <v>1693048</v>
      </c>
      <c r="BC934" s="269">
        <f t="shared" si="1639"/>
        <v>1.1492515292867893E-2</v>
      </c>
      <c r="BD934" s="92"/>
      <c r="BE934" s="299" t="str">
        <f t="shared" si="1635"/>
        <v>PUBLIC SERVICE ELECTRIC AND GAS COMPANY</v>
      </c>
      <c r="BF934" s="300">
        <f t="shared" si="1636"/>
        <v>4057095</v>
      </c>
      <c r="BG934" s="231" t="str">
        <f t="shared" si="1637"/>
        <v>NJ</v>
      </c>
      <c r="BH934" s="231"/>
      <c r="BI934" s="231" t="str">
        <f t="shared" si="1638"/>
        <v>2004 Y</v>
      </c>
      <c r="BJ934" s="129"/>
      <c r="BK934" s="129"/>
      <c r="BL934" s="129">
        <f>INDEX('Dist. Plant Gas Additions'!$E$7:$AD$91,MATCH($C934,'Dist. Plant Gas Additions'!$C$7:$C$91,0),MATCH(Calculation!$G934,'Dist. Plant Gas Additions'!$E$5:$AD$5,0))</f>
        <v>155225</v>
      </c>
      <c r="BM934" s="129">
        <f>INDEX('Gen. Plant Additions'!$E$7:$AD$91,MATCH($C934,'Gen. Plant Additions'!$C$7:$C$91,0),MATCH(Calculation!$G934,'Gen. Plant Additions'!$E$5:$AD$5,0))</f>
        <v>13513</v>
      </c>
      <c r="BN934" s="301">
        <f t="shared" si="1685"/>
        <v>0.95956707426308485</v>
      </c>
      <c r="BO934" s="231">
        <f t="shared" si="1631"/>
        <v>12966.629874517066</v>
      </c>
      <c r="BP934" s="231">
        <f t="shared" si="1632"/>
        <v>-546.37012548293387</v>
      </c>
      <c r="BQ934" s="129">
        <f>INDEX('Dist Plant Depreciation'!$D$7:$AC$94,MATCH($C934,'Dist Plant Depreciation'!$C$7:$C$94,0),MATCH(Calculation!$G934,'Dist Plant Depreciation'!$D$5:$AC$5,0))</f>
        <v>1480514</v>
      </c>
      <c r="BR934" s="129">
        <f>INDEX('Gen. Plant Depreciation'!$D$7:$AC$94,MATCH($C934,'Gen. Plant Depreciation'!$C$7:$C$94,0),MATCH(Calculation!$G934,'Gen. Plant Depreciation'!$D$5:$AC$5,0))</f>
        <v>78156</v>
      </c>
      <c r="BS934" s="129"/>
      <c r="BT934" s="129"/>
      <c r="BU934" s="129"/>
      <c r="BV934" s="129"/>
      <c r="BW934" s="129"/>
      <c r="BX934" s="137"/>
      <c r="BY934" s="129">
        <f>INDEX('Gross Dx Plant'!$D$7:$AC$91,MATCH($C934,'Gross Dx Plant'!$C$7:$C$91,0),MATCH(Calculation!$G934,'Gross Dx Plant'!$D$5:$AC$5,0))</f>
        <v>3444129</v>
      </c>
      <c r="BZ934" s="129">
        <f>INDEX('Gross Gen Plant'!$D$7:$AC$91,MATCH($C934,'Gross Gen Plant'!$C$7:$C$91,0),MATCH(Calculation!$G934,'Gross Gen Plant'!$D$5:$AC$5,0))</f>
        <v>145124</v>
      </c>
      <c r="CA934" s="129">
        <f t="shared" si="1595"/>
        <v>2030583</v>
      </c>
      <c r="CB934" s="129"/>
      <c r="CC934" s="133">
        <v>2004</v>
      </c>
      <c r="CD934" s="129"/>
      <c r="CE934" s="129"/>
      <c r="CF934" s="129"/>
      <c r="CG934" s="137"/>
      <c r="CH934" s="129">
        <f t="shared" si="1686"/>
        <v>168738</v>
      </c>
      <c r="CI934" s="46">
        <f t="shared" si="1695"/>
        <v>168191.62987451706</v>
      </c>
      <c r="CJ934" s="231">
        <f t="shared" si="1687"/>
        <v>405.39123255724797</v>
      </c>
      <c r="CK934" s="443">
        <v>0.9375</v>
      </c>
      <c r="CL934" s="231">
        <f>+CL928*CK934+CJ929*CK933+CJ930*CK932+CJ931*CK931+CJ932*CK930+CJ933*CK929+CJ934</f>
        <v>9747.8412381626495</v>
      </c>
      <c r="CM934" s="134">
        <f t="shared" si="1688"/>
        <v>3.1095412050034112E-2</v>
      </c>
      <c r="CN934" s="135">
        <f t="shared" si="1689"/>
        <v>1.1317377058946605E-2</v>
      </c>
      <c r="CO934" s="135">
        <f t="shared" si="1698"/>
        <v>1.1192384044963713E-2</v>
      </c>
      <c r="CP934" s="134">
        <f>VLOOKUP($H934,RoR!$E:$F,2,FALSE)</f>
        <v>5.6283333333333331E-2</v>
      </c>
      <c r="CQ934" s="135">
        <v>2.6778252812867276E-2</v>
      </c>
      <c r="CR934" s="135">
        <f t="shared" si="1696"/>
        <v>2.9505080520466055E-2</v>
      </c>
      <c r="CS934" s="135">
        <f t="shared" si="1699"/>
        <v>1.9709557563569912E-2</v>
      </c>
      <c r="CT934" s="135">
        <f t="shared" si="1700"/>
        <v>5.5940039414565046E-2</v>
      </c>
      <c r="CU934" s="139">
        <f t="shared" si="1690"/>
        <v>0.84885500000000003</v>
      </c>
      <c r="CV934" s="335">
        <f t="shared" si="1691"/>
        <v>0.91114097628755619</v>
      </c>
      <c r="CW934" s="335">
        <f t="shared" si="1692"/>
        <v>0.53081877405981637</v>
      </c>
      <c r="CX934" s="335">
        <f t="shared" si="1693"/>
        <v>0.88811215519385678</v>
      </c>
      <c r="CY934" s="335">
        <f t="shared" si="1694"/>
        <v>0.42953609753547711</v>
      </c>
      <c r="CZ934" s="336">
        <f>INDEX('State Tax Lookup'!$D$7:$Z$91,MATCH(Calculation!$C934,'State Tax Lookup'!$B$7:$B$91,0),MATCH($H934,'State Tax Lookup'!$D$6:$Z$6,0))</f>
        <v>0.40849999999999997</v>
      </c>
      <c r="DA934" s="302">
        <v>0.37</v>
      </c>
      <c r="DB934" s="57">
        <f t="shared" si="1697"/>
        <v>11.654790545940966</v>
      </c>
      <c r="DC934" s="56">
        <f t="shared" si="1701"/>
        <v>8.9994345852298999E-2</v>
      </c>
      <c r="DD934" s="303">
        <f>VLOOKUP($H934,RoR!$E:$F,2,FALSE)</f>
        <v>5.6283333333333331E-2</v>
      </c>
      <c r="DE934" s="304">
        <f>HLOOKUP($H934,'GDP-PI'!$D$8:$CQ$11,3,FALSE)</f>
        <v>2.6778252812867276E-2</v>
      </c>
      <c r="DF934" s="303">
        <f>VLOOKUP(H934,'HW Dx Data'!$E:$F,2,FALSE)</f>
        <v>414.88719135228365</v>
      </c>
      <c r="DG934" s="364">
        <f ca="1">VLOOKUP(CC934,'ECI - Input Price'!M$13:N$33,2,FALSE)</f>
        <v>94.35</v>
      </c>
      <c r="DH934" s="364"/>
      <c r="DI934" s="364"/>
      <c r="DJ934" s="56">
        <f t="shared" ref="DJ934:DJ952" ca="1" si="1709">LN(DG934/DG933)</f>
        <v>5.5569851154810786E-2</v>
      </c>
      <c r="DK934" s="53">
        <f>HLOOKUP(H934,'GDP-PI'!$8:$9,2,FALSE)</f>
        <v>84.778000000000006</v>
      </c>
      <c r="DL934" s="355">
        <f t="shared" si="1702"/>
        <v>2.6425990216022755E-2</v>
      </c>
      <c r="EC934"/>
    </row>
    <row r="935" spans="1:133" s="126" customFormat="1" ht="21" customHeight="1" x14ac:dyDescent="0.4">
      <c r="A935" s="233" t="s">
        <v>238</v>
      </c>
      <c r="B935" s="126" t="s">
        <v>238</v>
      </c>
      <c r="C935" s="126">
        <v>4057095</v>
      </c>
      <c r="D935" s="127" t="s">
        <v>218</v>
      </c>
      <c r="E935" s="127" t="s">
        <v>15</v>
      </c>
      <c r="F935" s="144"/>
      <c r="G935" s="126" t="s">
        <v>161</v>
      </c>
      <c r="H935" s="128">
        <v>2005</v>
      </c>
      <c r="I935" s="129"/>
      <c r="J935" s="125">
        <f>IFERROR(INDEX('Labor Expenditures'!$E$7:$W$91,MATCH($C935,'Labor Expenditures'!$C$7:$C$91,0),MATCH($G935,'Labor Expenditures'!$E$5:$W$5,0)),"NA")</f>
        <v>118419.82794573229</v>
      </c>
      <c r="K935" s="125">
        <f t="shared" ca="1" si="1703"/>
        <v>1193.4474975634396</v>
      </c>
      <c r="L935" s="47"/>
      <c r="M935" s="131">
        <f t="shared" ref="M935:M951" ca="1" si="1710">LN(K935/K934)</f>
        <v>-2.6124559033244527E-2</v>
      </c>
      <c r="N935" s="131"/>
      <c r="O935" s="131"/>
      <c r="P935" s="59"/>
      <c r="Q935" s="61"/>
      <c r="R935" s="387"/>
      <c r="S935" s="49">
        <v>100</v>
      </c>
      <c r="T935" s="46"/>
      <c r="U935" s="46"/>
      <c r="V935" s="125">
        <f>IFERROR(INDEX('Non-Labor Expenditures'!$E$7:$AA$91,MATCH($C935,'Non-Labor Expenditures'!$C$7:$C$91,0),MATCH($G935,'Non-Labor Expenditures'!$E$5:$AA$5,0)),"NA")</f>
        <v>171494.0286383662</v>
      </c>
      <c r="W935" s="125">
        <f t="shared" si="1704"/>
        <v>1962.0170997559258</v>
      </c>
      <c r="X935" s="131">
        <f>LN(W935/W934)</f>
        <v>-6.2851279894080925E-3</v>
      </c>
      <c r="Y935" s="131"/>
      <c r="Z935" s="131"/>
      <c r="AA935" s="131"/>
      <c r="AB935" s="131"/>
      <c r="AC935" s="125">
        <f t="shared" si="1684"/>
        <v>127235.90838831803</v>
      </c>
      <c r="AD935" s="129"/>
      <c r="AE935" s="133">
        <v>10404.955850466116</v>
      </c>
      <c r="AF935" s="134">
        <v>3.7528914301307517E-2</v>
      </c>
      <c r="AG935" s="59">
        <f t="shared" si="1705"/>
        <v>0</v>
      </c>
      <c r="AH935" s="134"/>
      <c r="AI935" s="134"/>
      <c r="AJ935" s="129">
        <f t="shared" si="1680"/>
        <v>417149.76497241651</v>
      </c>
      <c r="AK935" s="134">
        <f>LN(AJ935/AJ934)</f>
        <v>5.9387598710000662E-2</v>
      </c>
      <c r="AL935" s="129"/>
      <c r="AM935" s="129"/>
      <c r="AN935" s="129"/>
      <c r="AO935" s="129"/>
      <c r="AP935" s="133"/>
      <c r="AQ935" s="134"/>
      <c r="AR935" s="93">
        <f t="shared" si="1706"/>
        <v>0.28387844819608771</v>
      </c>
      <c r="AS935" s="93">
        <f t="shared" si="1707"/>
        <v>0.41110901416834317</v>
      </c>
      <c r="AT935" s="93">
        <f t="shared" si="1708"/>
        <v>0.30501253763556918</v>
      </c>
      <c r="AU935" s="93">
        <f t="shared" ref="AU935:AU951" ca="1" si="1711">+(((AR935+AR934)/2)*M935+((AS934+AS935)/2)*X935+((AT934+AT935)/2)*AF935)</f>
        <v>8.0160551024706025E-4</v>
      </c>
      <c r="AV935" s="132">
        <v>100</v>
      </c>
      <c r="AW935" s="134"/>
      <c r="AX935" s="15"/>
      <c r="AY935" s="93"/>
      <c r="AZ935" s="93"/>
      <c r="BA935" s="93"/>
      <c r="BB935" s="234">
        <f>IFERROR(INDEX('Total Customers'!$E$7:$AA$91,MATCH($C935,'Total Customers'!$C$7:$C$91,0),MATCH($G935,'Total Customers'!$E$5:$AA$5,0)),"NA")</f>
        <v>1709399</v>
      </c>
      <c r="BC935" s="269">
        <f t="shared" si="1639"/>
        <v>9.6113919621347993E-3</v>
      </c>
      <c r="BD935" s="92"/>
      <c r="BE935" s="299" t="str">
        <f t="shared" si="1635"/>
        <v>PUBLIC SERVICE ELECTRIC AND GAS COMPANY</v>
      </c>
      <c r="BF935" s="300">
        <f t="shared" si="1636"/>
        <v>4057095</v>
      </c>
      <c r="BG935" s="231" t="str">
        <f t="shared" si="1637"/>
        <v>NJ</v>
      </c>
      <c r="BH935" s="231"/>
      <c r="BI935" s="231" t="str">
        <f t="shared" si="1638"/>
        <v>2005 Y</v>
      </c>
      <c r="BJ935" s="129"/>
      <c r="BK935" s="129"/>
      <c r="BL935" s="129">
        <f>INDEX('Dist. Plant Gas Additions'!$E$7:$AD$91,MATCH($C935,'Dist. Plant Gas Additions'!$C$7:$C$91,0),MATCH(Calculation!$G935,'Dist. Plant Gas Additions'!$E$5:$AD$5,0))</f>
        <v>187512</v>
      </c>
      <c r="BM935" s="129">
        <f>INDEX('Gen. Plant Additions'!$E$7:$AD$91,MATCH($C935,'Gen. Plant Additions'!$C$7:$C$91,0),MATCH(Calculation!$G935,'Gen. Plant Additions'!$E$5:$AD$5,0))</f>
        <v>20545</v>
      </c>
      <c r="BN935" s="301">
        <f t="shared" si="1685"/>
        <v>0.96022029815767207</v>
      </c>
      <c r="BO935" s="231">
        <f t="shared" si="1631"/>
        <v>19727.726025649372</v>
      </c>
      <c r="BP935" s="231">
        <f t="shared" si="1632"/>
        <v>-817.27397435062812</v>
      </c>
      <c r="BQ935" s="129">
        <f>INDEX('Dist Plant Depreciation'!$D$7:$AC$94,MATCH($C935,'Dist Plant Depreciation'!$C$7:$C$94,0),MATCH(Calculation!$G935,'Dist Plant Depreciation'!$D$5:$AC$5,0))</f>
        <v>1561891</v>
      </c>
      <c r="BR935" s="129">
        <f>INDEX('Gen. Plant Depreciation'!$D$7:$AC$94,MATCH($C935,'Gen. Plant Depreciation'!$C$7:$C$94,0),MATCH(Calculation!$G935,'Gen. Plant Depreciation'!$D$5:$AC$5,0))</f>
        <v>83431</v>
      </c>
      <c r="BS935" s="129"/>
      <c r="BT935" s="129"/>
      <c r="BU935" s="129"/>
      <c r="BV935" s="129"/>
      <c r="BW935" s="129"/>
      <c r="BX935" s="137"/>
      <c r="BY935" s="129">
        <f>INDEX('Gross Dx Plant'!$D$7:$AC$91,MATCH($C935,'Gross Dx Plant'!$C$7:$C$91,0),MATCH(Calculation!$G935,'Gross Dx Plant'!$D$5:$AC$5,0))</f>
        <v>3687486</v>
      </c>
      <c r="BZ935" s="129">
        <f>INDEX('Gross Gen Plant'!$D$7:$AC$91,MATCH($C935,'Gross Gen Plant'!$C$7:$C$91,0),MATCH(Calculation!$G935,'Gross Gen Plant'!$D$5:$AC$5,0))</f>
        <v>152764</v>
      </c>
      <c r="CA935" s="129">
        <f t="shared" si="1595"/>
        <v>2194928</v>
      </c>
      <c r="CB935" s="129"/>
      <c r="CC935" s="133">
        <v>2005</v>
      </c>
      <c r="CD935" s="129"/>
      <c r="CE935" s="129"/>
      <c r="CF935" s="129"/>
      <c r="CG935" s="137"/>
      <c r="CH935" s="129">
        <f t="shared" si="1686"/>
        <v>208057</v>
      </c>
      <c r="CI935" s="46">
        <f t="shared" si="1695"/>
        <v>207239.72602564938</v>
      </c>
      <c r="CJ935" s="231">
        <f t="shared" si="1687"/>
        <v>441.68255674126249</v>
      </c>
      <c r="CK935" s="443">
        <v>0.9263157894736842</v>
      </c>
      <c r="CL935" s="231">
        <f>+CL928*CK935+CJ929*CK934+CJ930*CK933+CJ931*CK932+CJ932*CK931+CJ933*CK930+CJ934*CK929+CJ935</f>
        <v>10076.33042189644</v>
      </c>
      <c r="CM935" s="134">
        <f t="shared" si="1688"/>
        <v>3.3143301891690603E-2</v>
      </c>
      <c r="CN935" s="135">
        <f t="shared" si="1689"/>
        <v>1.1612147781430953E-2</v>
      </c>
      <c r="CO935" s="135">
        <f t="shared" si="1698"/>
        <v>1.1320860534536237E-2</v>
      </c>
      <c r="CP935" s="134">
        <f>VLOOKUP($H935,RoR!$E:$F,2,FALSE)</f>
        <v>5.2350000000000001E-2</v>
      </c>
      <c r="CQ935" s="135">
        <v>3.1010403642454332E-2</v>
      </c>
      <c r="CR935" s="135">
        <f t="shared" si="1696"/>
        <v>2.1339596357545669E-2</v>
      </c>
      <c r="CS935" s="135">
        <f t="shared" si="1699"/>
        <v>1.9581081073997388E-2</v>
      </c>
      <c r="CT935" s="135">
        <f t="shared" si="1700"/>
        <v>9.2129610649277341E-2</v>
      </c>
      <c r="CU935" s="139">
        <f t="shared" si="1690"/>
        <v>0.84885500000000003</v>
      </c>
      <c r="CV935" s="335">
        <f t="shared" si="1691"/>
        <v>0.97959983346802826</v>
      </c>
      <c r="CW935" s="335">
        <f t="shared" si="1692"/>
        <v>0.49744508118433622</v>
      </c>
      <c r="CX935" s="335">
        <f t="shared" si="1693"/>
        <v>0.87010519444335932</v>
      </c>
      <c r="CY935" s="335">
        <f t="shared" si="1694"/>
        <v>0.42399975420741998</v>
      </c>
      <c r="CZ935" s="336">
        <f>INDEX('State Tax Lookup'!$D$7:$Z$91,MATCH(Calculation!$C935,'State Tax Lookup'!$B$7:$B$91,0),MATCH($H935,'State Tax Lookup'!$D$6:$Z$6,0))</f>
        <v>0.40849999999999997</v>
      </c>
      <c r="DA935" s="302">
        <v>0.37</v>
      </c>
      <c r="DB935" s="57">
        <f t="shared" si="1697"/>
        <v>13.052726781206838</v>
      </c>
      <c r="DC935" s="56">
        <f t="shared" si="1701"/>
        <v>0.11327975954343374</v>
      </c>
      <c r="DD935" s="303">
        <f>VLOOKUP($H935,RoR!$E:$F,2,FALSE)</f>
        <v>5.2350000000000001E-2</v>
      </c>
      <c r="DE935" s="304">
        <f>HLOOKUP($H935,'GDP-PI'!$D$8:$CQ$11,3,FALSE)</f>
        <v>3.1010403642454332E-2</v>
      </c>
      <c r="DF935" s="303">
        <f>VLOOKUP(H935,'HW Dx Data'!$E:$F,2,FALSE)</f>
        <v>469.20514034936258</v>
      </c>
      <c r="DG935" s="364">
        <f ca="1">VLOOKUP(CC935,'ECI - Input Price'!M$13:N$33,2,FALSE)</f>
        <v>99.224999999999994</v>
      </c>
      <c r="DH935" s="364"/>
      <c r="DI935" s="364"/>
      <c r="DJ935" s="56">
        <f t="shared" ca="1" si="1709"/>
        <v>5.0378726854569796E-2</v>
      </c>
      <c r="DK935" s="53">
        <f>HLOOKUP(H935,'GDP-PI'!$8:$9,2,FALSE)</f>
        <v>87.406999999999996</v>
      </c>
      <c r="DL935" s="355">
        <f t="shared" si="1702"/>
        <v>3.0539295810733648E-2</v>
      </c>
      <c r="EC935"/>
    </row>
    <row r="936" spans="1:133" s="126" customFormat="1" ht="21" customHeight="1" x14ac:dyDescent="0.4">
      <c r="A936" s="233" t="s">
        <v>238</v>
      </c>
      <c r="B936" s="126" t="s">
        <v>238</v>
      </c>
      <c r="C936" s="126">
        <v>4057095</v>
      </c>
      <c r="D936" s="127" t="s">
        <v>218</v>
      </c>
      <c r="E936" s="127" t="s">
        <v>15</v>
      </c>
      <c r="F936" s="144"/>
      <c r="G936" s="126" t="s">
        <v>162</v>
      </c>
      <c r="H936" s="128">
        <v>2006</v>
      </c>
      <c r="I936" s="129"/>
      <c r="J936" s="125">
        <f>IFERROR(INDEX('Labor Expenditures'!$E$7:$W$91,MATCH($C936,'Labor Expenditures'!$C$7:$C$91,0),MATCH($G936,'Labor Expenditures'!$E$5:$W$5,0)),"NA")</f>
        <v>106786.7688979649</v>
      </c>
      <c r="K936" s="125">
        <f t="shared" ca="1" si="1703"/>
        <v>976.11306122454198</v>
      </c>
      <c r="L936" s="47"/>
      <c r="M936" s="131">
        <f t="shared" ca="1" si="1710"/>
        <v>-0.20102303337738106</v>
      </c>
      <c r="N936" s="131"/>
      <c r="O936" s="131"/>
      <c r="P936" s="59">
        <f t="shared" ref="P936:P952" ca="1" si="1712">+M936*$AX936</f>
        <v>-1.0690030968814112E-2</v>
      </c>
      <c r="Q936" s="61"/>
      <c r="R936" s="387"/>
      <c r="S936" s="49">
        <f ca="1">+S935*EXP(T936)</f>
        <v>112.66721756520461</v>
      </c>
      <c r="T936" s="61">
        <f ca="1">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</f>
        <v>0.11926831044685722</v>
      </c>
      <c r="U936" s="61"/>
      <c r="V936" s="125">
        <f>IFERROR(INDEX('Non-Labor Expenditures'!$E$7:$AA$91,MATCH($C936,'Non-Labor Expenditures'!$C$7:$C$91,0),MATCH($G936,'Non-Labor Expenditures'!$E$5:$AA$5,0)),"NA")</f>
        <v>154647.18638147769</v>
      </c>
      <c r="W936" s="125">
        <f t="shared" si="1704"/>
        <v>1716.8904054608176</v>
      </c>
      <c r="X936" s="131">
        <f t="shared" ref="X936:X951" si="1713">LN(W936/W935)</f>
        <v>-0.13345832578408384</v>
      </c>
      <c r="Y936" s="131">
        <f t="shared" ref="Y936:Y952" si="1714">+X936*AX936</f>
        <v>-7.097065503929796E-3</v>
      </c>
      <c r="Z936" s="131"/>
      <c r="AA936" s="131"/>
      <c r="AB936" s="131"/>
      <c r="AC936" s="125">
        <f t="shared" si="1684"/>
        <v>127476.07724660597</v>
      </c>
      <c r="AD936" s="129"/>
      <c r="AE936" s="133">
        <v>10792.247834134017</v>
      </c>
      <c r="AF936" s="134">
        <v>3.6545866528537724E-2</v>
      </c>
      <c r="AG936" s="59">
        <f t="shared" si="1705"/>
        <v>1.9434411987943564E-3</v>
      </c>
      <c r="AH936" s="134"/>
      <c r="AI936" s="134"/>
      <c r="AJ936" s="129">
        <f t="shared" si="1680"/>
        <v>388910.0325260486</v>
      </c>
      <c r="AK936" s="134">
        <f t="shared" ref="AK936:AK952" si="1715">LN(AJ936/AJ935)</f>
        <v>-7.00972679192607E-2</v>
      </c>
      <c r="AL936" s="129"/>
      <c r="AM936" s="129"/>
      <c r="AN936" s="129"/>
      <c r="AO936" s="129"/>
      <c r="AP936" s="133">
        <f t="shared" ref="AP936:AP952" si="1716">+(AJ936*1000)/BB936</f>
        <v>226.11232447592516</v>
      </c>
      <c r="AQ936" s="134">
        <f>+BB936/Outputs!$B$14</f>
        <v>4.959383329110615E-2</v>
      </c>
      <c r="AR936" s="93">
        <f t="shared" si="1706"/>
        <v>0.27457961987857044</v>
      </c>
      <c r="AS936" s="93">
        <f t="shared" si="1707"/>
        <v>0.39764257398301922</v>
      </c>
      <c r="AT936" s="93">
        <f t="shared" si="1708"/>
        <v>0.32777780613841023</v>
      </c>
      <c r="AU936" s="93">
        <f t="shared" ca="1" si="1711"/>
        <v>-9.8535848172114068E-2</v>
      </c>
      <c r="AV936" s="132">
        <f ca="1">+AV935*EXP(AU936)</f>
        <v>90.616320773737812</v>
      </c>
      <c r="AW936" s="134">
        <f ca="1">LN(AV936/AV935)</f>
        <v>-9.8535848172114054E-2</v>
      </c>
      <c r="AX936" s="56">
        <f>+AJ936/$AL$11</f>
        <v>5.3178139784338489E-2</v>
      </c>
      <c r="AY936" s="135">
        <f ca="1">+AX936*AW936</f>
        <v>-5.2399531078650358E-3</v>
      </c>
      <c r="AZ936" s="93"/>
      <c r="BA936" s="93"/>
      <c r="BB936" s="234">
        <f>IFERROR(INDEX('Total Customers'!$E$7:$AA$91,MATCH($C936,'Total Customers'!$C$7:$C$91,0),MATCH($G936,'Total Customers'!$E$5:$AA$5,0)),"NA")</f>
        <v>1719986</v>
      </c>
      <c r="BC936" s="269">
        <f t="shared" si="1639"/>
        <v>6.1743045083273024E-3</v>
      </c>
      <c r="BD936" s="92"/>
      <c r="BE936" s="299" t="str">
        <f t="shared" si="1635"/>
        <v>PUBLIC SERVICE ELECTRIC AND GAS COMPANY</v>
      </c>
      <c r="BF936" s="300">
        <f t="shared" si="1636"/>
        <v>4057095</v>
      </c>
      <c r="BG936" s="231" t="str">
        <f t="shared" si="1637"/>
        <v>NJ</v>
      </c>
      <c r="BH936" s="231"/>
      <c r="BI936" s="231" t="str">
        <f t="shared" si="1638"/>
        <v>2006 Y</v>
      </c>
      <c r="BJ936" s="129"/>
      <c r="BK936" s="129"/>
      <c r="BL936" s="129">
        <f>INDEX('Dist. Plant Gas Additions'!$E$7:$AD$91,MATCH($C936,'Dist. Plant Gas Additions'!$C$7:$C$91,0),MATCH(Calculation!$G936,'Dist. Plant Gas Additions'!$E$5:$AD$5,0))</f>
        <v>187959</v>
      </c>
      <c r="BM936" s="129">
        <f>INDEX('Gen. Plant Additions'!$E$7:$AD$91,MATCH($C936,'Gen. Plant Additions'!$C$7:$C$91,0),MATCH(Calculation!$G936,'Gen. Plant Additions'!$E$5:$AD$5,0))</f>
        <v>20292</v>
      </c>
      <c r="BN936" s="301">
        <f t="shared" si="1685"/>
        <v>0.96327670473558047</v>
      </c>
      <c r="BO936" s="231">
        <f t="shared" si="1631"/>
        <v>19546.810892494399</v>
      </c>
      <c r="BP936" s="231">
        <f t="shared" si="1632"/>
        <v>-745.18910750560099</v>
      </c>
      <c r="BQ936" s="129">
        <f>INDEX('Dist Plant Depreciation'!$D$7:$AC$94,MATCH($C936,'Dist Plant Depreciation'!$C$7:$C$94,0),MATCH(Calculation!$G936,'Dist Plant Depreciation'!$D$5:$AC$5,0))</f>
        <v>1580252</v>
      </c>
      <c r="BR936" s="129">
        <f>INDEX('Gen. Plant Depreciation'!$D$7:$AC$94,MATCH($C936,'Gen. Plant Depreciation'!$C$7:$C$94,0),MATCH(Calculation!$G936,'Gen. Plant Depreciation'!$D$5:$AC$5,0))</f>
        <v>76654</v>
      </c>
      <c r="BS936" s="129"/>
      <c r="BT936" s="129"/>
      <c r="BU936" s="129"/>
      <c r="BV936" s="129"/>
      <c r="BW936" s="129"/>
      <c r="BX936" s="137"/>
      <c r="BY936" s="129">
        <f>INDEX('Gross Dx Plant'!$D$7:$AC$91,MATCH($C936,'Gross Dx Plant'!$C$7:$C$91,0),MATCH(Calculation!$G936,'Gross Dx Plant'!$D$5:$AC$5,0))</f>
        <v>3871857</v>
      </c>
      <c r="BZ936" s="129">
        <f>INDEX('Gross Gen Plant'!$D$7:$AC$91,MATCH($C936,'Gross Gen Plant'!$C$7:$C$91,0),MATCH(Calculation!$G936,'Gross Gen Plant'!$D$5:$AC$5,0))</f>
        <v>147608</v>
      </c>
      <c r="CA936" s="129">
        <f t="shared" si="1595"/>
        <v>2362559</v>
      </c>
      <c r="CB936" s="134"/>
      <c r="CC936" s="133">
        <v>2006</v>
      </c>
      <c r="CD936" s="129"/>
      <c r="CE936" s="129"/>
      <c r="CF936" s="129"/>
      <c r="CG936" s="137"/>
      <c r="CH936" s="129">
        <f t="shared" si="1686"/>
        <v>208251</v>
      </c>
      <c r="CI936" s="46">
        <f t="shared" si="1695"/>
        <v>207505.8108924944</v>
      </c>
      <c r="CJ936" s="231">
        <f t="shared" si="1687"/>
        <v>450.03742940876697</v>
      </c>
      <c r="CK936" s="443">
        <v>0.91489361702127658</v>
      </c>
      <c r="CL936" s="231">
        <f>+CL928*CK936+CJ929*CK935+CJ930*CK934+CJ931*CK933+CJ932*CK932+CJ933*CK931+CJ934*CK930+CJ935*CK929+CJ936</f>
        <v>10406.412883464936</v>
      </c>
      <c r="CM936" s="134">
        <f t="shared" si="1688"/>
        <v>3.2233088607507177E-2</v>
      </c>
      <c r="CN936" s="135">
        <f t="shared" si="1689"/>
        <v>1.1904628254309921E-2</v>
      </c>
      <c r="CO936" s="135">
        <f t="shared" si="1698"/>
        <v>1.1611384364895824E-2</v>
      </c>
      <c r="CP936" s="134">
        <f>VLOOKUP($H936,RoR!$E:$F,2,FALSE)</f>
        <v>5.5874999999999994E-2</v>
      </c>
      <c r="CQ936" s="135">
        <v>3.0512430354548314E-2</v>
      </c>
      <c r="CR936" s="135">
        <f t="shared" si="1696"/>
        <v>2.536256964545168E-2</v>
      </c>
      <c r="CS936" s="135">
        <f t="shared" si="1699"/>
        <v>1.9290557243637801E-2</v>
      </c>
      <c r="CT936" s="135">
        <f t="shared" si="1700"/>
        <v>7.9087823893859641E-2</v>
      </c>
      <c r="CU936" s="139">
        <f t="shared" si="1690"/>
        <v>0.84885500000000003</v>
      </c>
      <c r="CV936" s="335">
        <f t="shared" si="1691"/>
        <v>0.91779957551769631</v>
      </c>
      <c r="CW936" s="335">
        <f t="shared" si="1692"/>
        <v>0.52757270693512304</v>
      </c>
      <c r="CX936" s="335">
        <f t="shared" si="1693"/>
        <v>0.88636824549024895</v>
      </c>
      <c r="CY936" s="335">
        <f t="shared" si="1694"/>
        <v>0.42918482841932087</v>
      </c>
      <c r="CZ936" s="336">
        <f>INDEX('State Tax Lookup'!$D$7:$Z$91,MATCH(Calculation!$C936,'State Tax Lookup'!$B$7:$B$91,0),MATCH($H936,'State Tax Lookup'!$D$6:$Z$6,0))</f>
        <v>0.40849999999999997</v>
      </c>
      <c r="DA936" s="302">
        <v>0.37</v>
      </c>
      <c r="DB936" s="57">
        <f t="shared" si="1697"/>
        <v>12.651041788942647</v>
      </c>
      <c r="DC936" s="56">
        <f t="shared" si="1701"/>
        <v>-3.1257494053753825E-2</v>
      </c>
      <c r="DD936" s="303">
        <f>VLOOKUP($H936,RoR!$E:$F,2,FALSE)</f>
        <v>5.5874999999999994E-2</v>
      </c>
      <c r="DE936" s="304">
        <f>HLOOKUP($H936,'GDP-PI'!$D$8:$CQ$11,3,FALSE)</f>
        <v>3.0512430354548314E-2</v>
      </c>
      <c r="DF936" s="303">
        <f>VLOOKUP(H936,'HW Dx Data'!$E:$F,2,FALSE)</f>
        <v>461.08567272971823</v>
      </c>
      <c r="DG936" s="364">
        <f ca="1">VLOOKUP(CC936,'ECI - Input Price'!M$13:N$33,2,FALSE)</f>
        <v>109.4</v>
      </c>
      <c r="DH936" s="364"/>
      <c r="DI936" s="364"/>
      <c r="DJ936" s="56">
        <f t="shared" ca="1" si="1709"/>
        <v>9.7620891318751846E-2</v>
      </c>
      <c r="DK936" s="53">
        <f>HLOOKUP(H936,'GDP-PI'!$8:$9,2,FALSE)</f>
        <v>90.073999999999998</v>
      </c>
      <c r="DL936" s="355">
        <f t="shared" si="1702"/>
        <v>3.005618372545445E-2</v>
      </c>
      <c r="EC936"/>
    </row>
    <row r="937" spans="1:133" s="126" customFormat="1" ht="21" customHeight="1" x14ac:dyDescent="0.4">
      <c r="A937" s="233" t="s">
        <v>238</v>
      </c>
      <c r="B937" s="126" t="s">
        <v>238</v>
      </c>
      <c r="C937" s="126">
        <v>4057095</v>
      </c>
      <c r="D937" s="127" t="s">
        <v>218</v>
      </c>
      <c r="E937" s="127" t="s">
        <v>15</v>
      </c>
      <c r="F937" s="144"/>
      <c r="G937" s="126" t="s">
        <v>163</v>
      </c>
      <c r="H937" s="128">
        <v>2007</v>
      </c>
      <c r="I937" s="129"/>
      <c r="J937" s="125">
        <f>IFERROR(INDEX('Labor Expenditures'!$E$7:$W$91,MATCH($C937,'Labor Expenditures'!$C$7:$C$91,0),MATCH($G937,'Labor Expenditures'!$E$5:$W$5,0)),"NA")</f>
        <v>107569.43884202618</v>
      </c>
      <c r="K937" s="125">
        <f t="shared" ca="1" si="1703"/>
        <v>1029.1264180055125</v>
      </c>
      <c r="L937" s="47"/>
      <c r="M937" s="131">
        <f t="shared" ca="1" si="1710"/>
        <v>5.2887162369965185E-2</v>
      </c>
      <c r="N937" s="131"/>
      <c r="O937" s="131"/>
      <c r="P937" s="59">
        <f t="shared" ca="1" si="1712"/>
        <v>2.7851225873819275E-3</v>
      </c>
      <c r="Q937" s="61"/>
      <c r="R937" s="387"/>
      <c r="S937" s="49">
        <f t="shared" ref="S937:S950" ca="1" si="1717">+S936*EXP(T937)</f>
        <v>119.65879434360033</v>
      </c>
      <c r="T937" s="61">
        <f ca="1">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</f>
        <v>6.0205815791740794E-2</v>
      </c>
      <c r="U937" s="61"/>
      <c r="V937" s="125">
        <f>IFERROR(INDEX('Non-Labor Expenditures'!$E$7:$AA$91,MATCH($C937,'Non-Labor Expenditures'!$C$7:$C$91,0),MATCH($G937,'Non-Labor Expenditures'!$E$5:$AA$5,0)),"NA")</f>
        <v>155780.63864305965</v>
      </c>
      <c r="W937" s="125">
        <f t="shared" si="1704"/>
        <v>1684.1514264422976</v>
      </c>
      <c r="X937" s="131">
        <f t="shared" si="1713"/>
        <v>-1.925291832532498E-2</v>
      </c>
      <c r="Y937" s="131">
        <f t="shared" si="1714"/>
        <v>-1.0138894827780365E-3</v>
      </c>
      <c r="Z937" s="131"/>
      <c r="AA937" s="131"/>
      <c r="AB937" s="131"/>
      <c r="AC937" s="125">
        <f t="shared" si="1684"/>
        <v>140320.33364732607</v>
      </c>
      <c r="AD937" s="129"/>
      <c r="AE937" s="133">
        <v>11094.970746535691</v>
      </c>
      <c r="AF937" s="134">
        <v>2.7663836488572766E-2</v>
      </c>
      <c r="AG937" s="59">
        <f t="shared" si="1705"/>
        <v>1.4568218903292822E-3</v>
      </c>
      <c r="AH937" s="134"/>
      <c r="AI937" s="134"/>
      <c r="AJ937" s="129">
        <f t="shared" si="1680"/>
        <v>403670.41113241191</v>
      </c>
      <c r="AK937" s="134">
        <f t="shared" si="1715"/>
        <v>3.725069295907988E-2</v>
      </c>
      <c r="AL937" s="129"/>
      <c r="AM937" s="129"/>
      <c r="AN937" s="129"/>
      <c r="AO937" s="129"/>
      <c r="AP937" s="133">
        <f t="shared" si="1716"/>
        <v>233.03672582343094</v>
      </c>
      <c r="AQ937" s="134">
        <f>+BB937/Outputs!$B$15</f>
        <v>4.9570478073704717E-2</v>
      </c>
      <c r="AR937" s="93">
        <f t="shared" si="1706"/>
        <v>0.26647838403677615</v>
      </c>
      <c r="AS937" s="93">
        <f t="shared" si="1707"/>
        <v>0.38591047138196238</v>
      </c>
      <c r="AT937" s="93">
        <f t="shared" si="1708"/>
        <v>0.34761114458126141</v>
      </c>
      <c r="AU937" s="93">
        <f t="shared" ca="1" si="1711"/>
        <v>1.6106594608783133E-2</v>
      </c>
      <c r="AV937" s="132">
        <f ca="1">+AV936*EXP(AU937)</f>
        <v>92.08765842892889</v>
      </c>
      <c r="AW937" s="134">
        <f ca="1">LN(AV937/AV936)</f>
        <v>1.6106594608783175E-2</v>
      </c>
      <c r="AX937" s="56">
        <f>+AJ937/$AL$12</f>
        <v>5.2661599953103343E-2</v>
      </c>
      <c r="AY937" s="135">
        <f t="shared" ref="AY937:AY951" ca="1" si="1718">+AX937*AW937</f>
        <v>8.4819904189455066E-4</v>
      </c>
      <c r="AZ937" s="93"/>
      <c r="BA937" s="93"/>
      <c r="BB937" s="234">
        <f>IFERROR(INDEX('Total Customers'!$E$7:$AA$91,MATCH($C937,'Total Customers'!$C$7:$C$91,0),MATCH($G937,'Total Customers'!$E$5:$AA$5,0)),"NA")</f>
        <v>1732218</v>
      </c>
      <c r="BC937" s="269">
        <f t="shared" si="1639"/>
        <v>7.0865170132331746E-3</v>
      </c>
      <c r="BD937" s="92"/>
      <c r="BE937" s="299" t="str">
        <f t="shared" si="1635"/>
        <v>PUBLIC SERVICE ELECTRIC AND GAS COMPANY</v>
      </c>
      <c r="BF937" s="300">
        <f t="shared" si="1636"/>
        <v>4057095</v>
      </c>
      <c r="BG937" s="231" t="str">
        <f t="shared" si="1637"/>
        <v>NJ</v>
      </c>
      <c r="BH937" s="231"/>
      <c r="BI937" s="231" t="str">
        <f t="shared" si="1638"/>
        <v>2007 Y</v>
      </c>
      <c r="BJ937" s="129"/>
      <c r="BK937" s="129"/>
      <c r="BL937" s="129">
        <f>INDEX('Dist. Plant Gas Additions'!$E$7:$AD$91,MATCH($C937,'Dist. Plant Gas Additions'!$C$7:$C$91,0),MATCH(Calculation!$G937,'Dist. Plant Gas Additions'!$E$5:$AD$5,0))</f>
        <v>166946</v>
      </c>
      <c r="BM937" s="129">
        <f>INDEX('Gen. Plant Additions'!$E$7:$AD$91,MATCH($C937,'Gen. Plant Additions'!$C$7:$C$91,0),MATCH(Calculation!$G937,'Gen. Plant Additions'!$E$5:$AD$5,0))</f>
        <v>18059</v>
      </c>
      <c r="BN937" s="301">
        <f t="shared" si="1685"/>
        <v>0.96578736895542694</v>
      </c>
      <c r="BO937" s="231">
        <f t="shared" si="1631"/>
        <v>17441.154095966056</v>
      </c>
      <c r="BP937" s="231">
        <f t="shared" si="1632"/>
        <v>-617.84590403394395</v>
      </c>
      <c r="BQ937" s="129">
        <f>INDEX('Dist Plant Depreciation'!$D$7:$AC$94,MATCH($C937,'Dist Plant Depreciation'!$C$7:$C$94,0),MATCH(Calculation!$G937,'Dist Plant Depreciation'!$D$5:$AC$5,0))</f>
        <v>1632574</v>
      </c>
      <c r="BR937" s="129">
        <f>INDEX('Gen. Plant Depreciation'!$D$7:$AC$94,MATCH($C937,'Gen. Plant Depreciation'!$C$7:$C$94,0),MATCH(Calculation!$G937,'Gen. Plant Depreciation'!$D$5:$AC$5,0))</f>
        <v>71340</v>
      </c>
      <c r="BS937" s="129"/>
      <c r="BT937" s="129"/>
      <c r="BU937" s="129"/>
      <c r="BV937" s="129"/>
      <c r="BW937" s="129"/>
      <c r="BX937" s="137"/>
      <c r="BY937" s="129">
        <f>INDEX('Gross Dx Plant'!$D$7:$AC$91,MATCH($C937,'Gross Dx Plant'!$C$7:$C$91,0),MATCH(Calculation!$G937,'Gross Dx Plant'!$D$5:$AC$5,0))</f>
        <v>4033186</v>
      </c>
      <c r="BZ937" s="129">
        <f>INDEX('Gross Gen Plant'!$D$7:$AC$91,MATCH($C937,'Gross Gen Plant'!$C$7:$C$91,0),MATCH(Calculation!$G937,'Gross Gen Plant'!$D$5:$AC$5,0))</f>
        <v>142874</v>
      </c>
      <c r="CA937" s="129">
        <f t="shared" si="1595"/>
        <v>2472146</v>
      </c>
      <c r="CB937" s="129"/>
      <c r="CC937" s="133">
        <v>2007</v>
      </c>
      <c r="CD937" s="129"/>
      <c r="CE937" s="129"/>
      <c r="CF937" s="129"/>
      <c r="CG937" s="137"/>
      <c r="CH937" s="129">
        <f t="shared" si="1686"/>
        <v>185005</v>
      </c>
      <c r="CI937" s="46">
        <f t="shared" si="1695"/>
        <v>184387.15409596605</v>
      </c>
      <c r="CJ937" s="231">
        <f t="shared" si="1687"/>
        <v>370.23873903976477</v>
      </c>
      <c r="CK937" s="443">
        <v>0.90322580645161288</v>
      </c>
      <c r="CL937" s="231">
        <f>+CL928*CK937+CJ929*CK936+CJ930*CK935+CJ931*CK934+CJ932*CK933+CJ933*CK932+CJ934*CK931+CJ935*CK930+CJ936*CK929+CJ937</f>
        <v>10649.688447684523</v>
      </c>
      <c r="CM937" s="134">
        <f t="shared" si="1688"/>
        <v>2.3108398465674904E-2</v>
      </c>
      <c r="CN937" s="135">
        <f t="shared" si="1689"/>
        <v>1.2200474480684332E-2</v>
      </c>
      <c r="CO937" s="135">
        <f t="shared" si="1698"/>
        <v>1.1905750172141736E-2</v>
      </c>
      <c r="CP937" s="134">
        <f>VLOOKUP($H937,RoR!$E:$F,2,FALSE)</f>
        <v>5.5558333333333321E-2</v>
      </c>
      <c r="CQ937" s="135">
        <v>2.691120634145272E-2</v>
      </c>
      <c r="CR937" s="135">
        <f t="shared" si="1696"/>
        <v>2.86471269918806E-2</v>
      </c>
      <c r="CS937" s="135">
        <f t="shared" si="1699"/>
        <v>1.899619143639189E-2</v>
      </c>
      <c r="CT937" s="135">
        <f t="shared" si="1700"/>
        <v>6.4575155250632399E-2</v>
      </c>
      <c r="CU937" s="139">
        <f t="shared" si="1690"/>
        <v>0.84885500000000003</v>
      </c>
      <c r="CV937" s="335">
        <f t="shared" si="1691"/>
        <v>0.92303077153834634</v>
      </c>
      <c r="CW937" s="335">
        <f t="shared" si="1692"/>
        <v>0.52502249887505614</v>
      </c>
      <c r="CX937" s="335">
        <f t="shared" si="1693"/>
        <v>0.88499666072084604</v>
      </c>
      <c r="CY937" s="335">
        <f t="shared" si="1694"/>
        <v>0.42887993290280618</v>
      </c>
      <c r="CZ937" s="336">
        <f>INDEX('State Tax Lookup'!$D$7:$Z$91,MATCH(Calculation!$C937,'State Tax Lookup'!$B$7:$B$91,0),MATCH($H937,'State Tax Lookup'!$D$6:$Z$6,0))</f>
        <v>0.40849999999999997</v>
      </c>
      <c r="DA937" s="302">
        <v>0.37</v>
      </c>
      <c r="DB937" s="57">
        <f t="shared" si="1697"/>
        <v>13.484025208175748</v>
      </c>
      <c r="DC937" s="56">
        <f t="shared" si="1701"/>
        <v>6.3766100218353453E-2</v>
      </c>
      <c r="DD937" s="303">
        <f>VLOOKUP($H937,RoR!$E:$F,2,FALSE)</f>
        <v>5.5558333333333321E-2</v>
      </c>
      <c r="DE937" s="304">
        <f>HLOOKUP($H937,'GDP-PI'!$D$8:$CQ$11,3,FALSE)</f>
        <v>2.691120634145272E-2</v>
      </c>
      <c r="DF937" s="303">
        <f>VLOOKUP(H937,'HW Dx Data'!$E:$F,2,FALSE)</f>
        <v>498.0223154772637</v>
      </c>
      <c r="DG937" s="364">
        <f ca="1">VLOOKUP(CC937,'ECI - Input Price'!M$13:N$33,2,FALSE)</f>
        <v>104.52499999999999</v>
      </c>
      <c r="DH937" s="364"/>
      <c r="DI937" s="364"/>
      <c r="DJ937" s="56">
        <f t="shared" ca="1" si="1709"/>
        <v>-4.5584612745252218E-2</v>
      </c>
      <c r="DK937" s="53">
        <f>HLOOKUP(H937,'GDP-PI'!$8:$9,2,FALSE)</f>
        <v>92.498000000000005</v>
      </c>
      <c r="DL937" s="355">
        <f t="shared" si="1702"/>
        <v>2.6555467950038037E-2</v>
      </c>
      <c r="EC937"/>
    </row>
    <row r="938" spans="1:133" s="126" customFormat="1" ht="21" customHeight="1" x14ac:dyDescent="0.4">
      <c r="A938" s="233" t="s">
        <v>238</v>
      </c>
      <c r="B938" s="126" t="s">
        <v>238</v>
      </c>
      <c r="C938" s="126">
        <v>4057095</v>
      </c>
      <c r="D938" s="127" t="s">
        <v>218</v>
      </c>
      <c r="E938" s="127" t="s">
        <v>15</v>
      </c>
      <c r="F938" s="144"/>
      <c r="G938" s="126" t="s">
        <v>164</v>
      </c>
      <c r="H938" s="128">
        <v>2008</v>
      </c>
      <c r="I938" s="129"/>
      <c r="J938" s="125">
        <f>IFERROR(INDEX('Labor Expenditures'!$E$7:$W$91,MATCH($C938,'Labor Expenditures'!$C$7:$C$91,0),MATCH($G938,'Labor Expenditures'!$E$5:$W$5,0)),"NA")</f>
        <v>102521.00475926603</v>
      </c>
      <c r="K938" s="125">
        <f t="shared" ca="1" si="1703"/>
        <v>950.14832955760915</v>
      </c>
      <c r="L938" s="47"/>
      <c r="M938" s="131">
        <f t="shared" ca="1" si="1710"/>
        <v>-7.9847474709544897E-2</v>
      </c>
      <c r="N938" s="131"/>
      <c r="O938" s="131"/>
      <c r="P938" s="59">
        <f t="shared" ca="1" si="1712"/>
        <v>-4.0739014175332454E-3</v>
      </c>
      <c r="Q938" s="61"/>
      <c r="R938" s="387"/>
      <c r="S938" s="49">
        <f t="shared" ca="1" si="1717"/>
        <v>111.80208692340376</v>
      </c>
      <c r="T938" s="61">
        <f ca="1">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</f>
        <v>-6.7914085102057667E-2</v>
      </c>
      <c r="U938" s="61"/>
      <c r="V938" s="125">
        <f>IFERROR(INDEX('Non-Labor Expenditures'!$E$7:$AA$91,MATCH($C938,'Non-Labor Expenditures'!$C$7:$C$91,0),MATCH($G938,'Non-Labor Expenditures'!$E$5:$AA$5,0)),"NA")</f>
        <v>148469.56317380181</v>
      </c>
      <c r="W938" s="125">
        <f t="shared" si="1704"/>
        <v>1575.0399216434887</v>
      </c>
      <c r="X938" s="131">
        <f t="shared" si="1713"/>
        <v>-6.6981213436116904E-2</v>
      </c>
      <c r="Y938" s="131">
        <f t="shared" si="1714"/>
        <v>-3.4174513515688467E-3</v>
      </c>
      <c r="Z938" s="131"/>
      <c r="AA938" s="131"/>
      <c r="AB938" s="131"/>
      <c r="AC938" s="125">
        <f t="shared" si="1684"/>
        <v>161754.11634600509</v>
      </c>
      <c r="AD938" s="129"/>
      <c r="AE938" s="133">
        <v>11404.131005671925</v>
      </c>
      <c r="AF938" s="134">
        <v>2.748373893310679E-2</v>
      </c>
      <c r="AG938" s="59">
        <f t="shared" si="1705"/>
        <v>1.402249017968167E-3</v>
      </c>
      <c r="AH938" s="134"/>
      <c r="AI938" s="134"/>
      <c r="AJ938" s="129">
        <f t="shared" si="1680"/>
        <v>412744.68427907291</v>
      </c>
      <c r="AK938" s="134">
        <f t="shared" si="1715"/>
        <v>2.223047295134388E-2</v>
      </c>
      <c r="AL938" s="129"/>
      <c r="AM938" s="129"/>
      <c r="AN938" s="129"/>
      <c r="AO938" s="129"/>
      <c r="AP938" s="133">
        <f t="shared" si="1716"/>
        <v>236.9350707910105</v>
      </c>
      <c r="AQ938" s="134">
        <f>+BB938/Outputs!$B$16</f>
        <v>4.9584333680486897E-2</v>
      </c>
      <c r="AR938" s="93">
        <f t="shared" si="1706"/>
        <v>0.24838843155142259</v>
      </c>
      <c r="AS938" s="93">
        <f t="shared" si="1707"/>
        <v>0.35971284144610738</v>
      </c>
      <c r="AT938" s="93">
        <f t="shared" si="1708"/>
        <v>0.39189872700247003</v>
      </c>
      <c r="AU938" s="93">
        <f t="shared" ca="1" si="1711"/>
        <v>-3.5364536523440765E-2</v>
      </c>
      <c r="AV938" s="132">
        <f t="shared" ref="AV938:AV951" ca="1" si="1719">+AV937*EXP(AU938)</f>
        <v>88.887932944661372</v>
      </c>
      <c r="AW938" s="134">
        <f t="shared" ref="AW938:AW951" ca="1" si="1720">LN(AV938/AV937)</f>
        <v>-3.53645365234408E-2</v>
      </c>
      <c r="AX938" s="56">
        <f>+AJ938/$AL$13</f>
        <v>5.1021042711151071E-2</v>
      </c>
      <c r="AY938" s="135">
        <f t="shared" ca="1" si="1718"/>
        <v>-1.8043355284225351E-3</v>
      </c>
      <c r="AZ938" s="93"/>
      <c r="BA938" s="93"/>
      <c r="BB938" s="234">
        <f>IFERROR(INDEX('Total Customers'!$E$7:$AA$91,MATCH($C938,'Total Customers'!$C$7:$C$91,0),MATCH($G938,'Total Customers'!$E$5:$AA$5,0)),"NA")</f>
        <v>1742016</v>
      </c>
      <c r="BC938" s="269">
        <f t="shared" si="1639"/>
        <v>5.6403949625513407E-3</v>
      </c>
      <c r="BD938" s="92"/>
      <c r="BE938" s="299" t="str">
        <f t="shared" si="1635"/>
        <v>PUBLIC SERVICE ELECTRIC AND GAS COMPANY</v>
      </c>
      <c r="BF938" s="300">
        <f t="shared" si="1636"/>
        <v>4057095</v>
      </c>
      <c r="BG938" s="231" t="str">
        <f t="shared" si="1637"/>
        <v>NJ</v>
      </c>
      <c r="BH938" s="231"/>
      <c r="BI938" s="231" t="str">
        <f t="shared" si="1638"/>
        <v>2008 Y</v>
      </c>
      <c r="BJ938" s="129"/>
      <c r="BK938" s="129"/>
      <c r="BL938" s="129">
        <f>INDEX('Dist. Plant Gas Additions'!$E$7:$AD$91,MATCH($C938,'Dist. Plant Gas Additions'!$C$7:$C$91,0),MATCH(Calculation!$G938,'Dist. Plant Gas Additions'!$E$5:$AD$5,0))</f>
        <v>200011</v>
      </c>
      <c r="BM938" s="129">
        <f>INDEX('Gen. Plant Additions'!$E$7:$AD$91,MATCH($C938,'Gen. Plant Additions'!$C$7:$C$91,0),MATCH(Calculation!$G938,'Gen. Plant Additions'!$E$5:$AD$5,0))</f>
        <v>17735</v>
      </c>
      <c r="BN938" s="301">
        <f t="shared" si="1685"/>
        <v>0.96559175000433928</v>
      </c>
      <c r="BO938" s="231">
        <f t="shared" si="1631"/>
        <v>17124.769686326956</v>
      </c>
      <c r="BP938" s="231">
        <f t="shared" si="1632"/>
        <v>-610.23031367304429</v>
      </c>
      <c r="BQ938" s="129">
        <f>INDEX('Dist Plant Depreciation'!$D$7:$AC$94,MATCH($C938,'Dist Plant Depreciation'!$C$7:$C$94,0),MATCH(Calculation!$G938,'Dist Plant Depreciation'!$D$5:$AC$5,0))</f>
        <v>1686050</v>
      </c>
      <c r="BR938" s="129">
        <f>INDEX('Gen. Plant Depreciation'!$D$7:$AC$94,MATCH($C938,'Gen. Plant Depreciation'!$C$7:$C$94,0),MATCH(Calculation!$G938,'Gen. Plant Depreciation'!$D$5:$AC$5,0))</f>
        <v>79196</v>
      </c>
      <c r="BS938" s="129"/>
      <c r="BT938" s="129"/>
      <c r="BU938" s="129"/>
      <c r="BV938" s="129"/>
      <c r="BW938" s="129"/>
      <c r="BX938" s="137"/>
      <c r="BY938" s="129">
        <f>INDEX('Gross Dx Plant'!$D$7:$AC$91,MATCH($C938,'Gross Dx Plant'!$C$7:$C$91,0),MATCH(Calculation!$G938,'Gross Dx Plant'!$D$5:$AC$5,0))</f>
        <v>4227913</v>
      </c>
      <c r="BZ938" s="129">
        <f>INDEX('Gross Gen Plant'!$D$7:$AC$91,MATCH($C938,'Gross Gen Plant'!$C$7:$C$91,0),MATCH(Calculation!$G938,'Gross Gen Plant'!$D$5:$AC$5,0))</f>
        <v>150659</v>
      </c>
      <c r="CA938" s="129">
        <f t="shared" si="1595"/>
        <v>2613326</v>
      </c>
      <c r="CB938" s="129"/>
      <c r="CC938" s="133">
        <v>2008</v>
      </c>
      <c r="CD938" s="129"/>
      <c r="CE938" s="129"/>
      <c r="CF938" s="129"/>
      <c r="CG938" s="137"/>
      <c r="CH938" s="129">
        <f t="shared" si="1686"/>
        <v>217746</v>
      </c>
      <c r="CI938" s="46">
        <f t="shared" si="1695"/>
        <v>217135.76968632697</v>
      </c>
      <c r="CJ938" s="231">
        <f t="shared" si="1687"/>
        <v>381.01935704418742</v>
      </c>
      <c r="CK938" s="443">
        <v>0.89130434782608692</v>
      </c>
      <c r="CL938" s="231">
        <f>+CL928*CK938+CJ929*CK937+CJ930*CK936+CJ931*CK935+CJ932*CK934+CJ933*CK933+CJ934*CK932+CJ935*CK931+CJ936*CK930+CJ937*CK929+CJ938</f>
        <v>10897.35501660006</v>
      </c>
      <c r="CM938" s="134">
        <f t="shared" si="1688"/>
        <v>2.2989462772122379E-2</v>
      </c>
      <c r="CN938" s="135">
        <f t="shared" si="1689"/>
        <v>1.2521754864823612E-2</v>
      </c>
      <c r="CO938" s="135">
        <f t="shared" si="1698"/>
        <v>1.2208952533272621E-2</v>
      </c>
      <c r="CP938" s="134">
        <f>VLOOKUP($H938,RoR!$E:$F,2,FALSE)</f>
        <v>5.6316666666666668E-2</v>
      </c>
      <c r="CQ938" s="135">
        <v>1.9092304698479889E-2</v>
      </c>
      <c r="CR938" s="135">
        <f t="shared" si="1696"/>
        <v>3.7224361968186778E-2</v>
      </c>
      <c r="CS938" s="135">
        <f t="shared" si="1699"/>
        <v>1.8692989075261006E-2</v>
      </c>
      <c r="CT938" s="135">
        <f t="shared" si="1700"/>
        <v>6.9030581091053131E-2</v>
      </c>
      <c r="CU938" s="139">
        <f t="shared" si="1690"/>
        <v>0.84885500000000003</v>
      </c>
      <c r="CV938" s="335">
        <f t="shared" si="1691"/>
        <v>0.91060168006009956</v>
      </c>
      <c r="CW938" s="335">
        <f t="shared" si="1692"/>
        <v>0.53108168097070152</v>
      </c>
      <c r="CX938" s="335">
        <f t="shared" si="1693"/>
        <v>0.88825329850328805</v>
      </c>
      <c r="CY938" s="335">
        <f t="shared" si="1694"/>
        <v>0.4295627335323573</v>
      </c>
      <c r="CZ938" s="336">
        <f>INDEX('State Tax Lookup'!$D$7:$Z$91,MATCH(Calculation!$C938,'State Tax Lookup'!$B$7:$B$91,0),MATCH($H938,'State Tax Lookup'!$D$6:$Z$6,0))</f>
        <v>0.40849999999999997</v>
      </c>
      <c r="DA938" s="302">
        <v>0.37</v>
      </c>
      <c r="DB938" s="57">
        <f t="shared" si="1697"/>
        <v>15.188624262635026</v>
      </c>
      <c r="DC938" s="56">
        <f t="shared" si="1701"/>
        <v>0.11904107702627346</v>
      </c>
      <c r="DD938" s="303">
        <f>VLOOKUP($H938,RoR!$E:$F,2,FALSE)</f>
        <v>5.6316666666666668E-2</v>
      </c>
      <c r="DE938" s="304">
        <f>HLOOKUP($H938,'GDP-PI'!$D$8:$CQ$11,3,FALSE)</f>
        <v>1.9092304698479889E-2</v>
      </c>
      <c r="DF938" s="303">
        <f>VLOOKUP(H938,'HW Dx Data'!$E:$F,2,FALSE)</f>
        <v>569.88120333515076</v>
      </c>
      <c r="DG938" s="364">
        <f ca="1">VLOOKUP(CC938,'ECI - Input Price'!M$13:N$33,2,FALSE)</f>
        <v>107.9</v>
      </c>
      <c r="DH938" s="364"/>
      <c r="DI938" s="364"/>
      <c r="DJ938" s="56">
        <f t="shared" ca="1" si="1709"/>
        <v>3.1778595021460486E-2</v>
      </c>
      <c r="DK938" s="53">
        <f>HLOOKUP(H938,'GDP-PI'!$8:$9,2,FALSE)</f>
        <v>94.263999999999996</v>
      </c>
      <c r="DL938" s="355">
        <f t="shared" si="1702"/>
        <v>1.8912333748032254E-2</v>
      </c>
      <c r="EC938"/>
    </row>
    <row r="939" spans="1:133" s="126" customFormat="1" ht="21" customHeight="1" x14ac:dyDescent="0.4">
      <c r="A939" s="233" t="s">
        <v>238</v>
      </c>
      <c r="B939" s="126" t="s">
        <v>238</v>
      </c>
      <c r="C939" s="126">
        <v>4057095</v>
      </c>
      <c r="D939" s="127" t="s">
        <v>218</v>
      </c>
      <c r="E939" s="127" t="s">
        <v>15</v>
      </c>
      <c r="F939" s="144"/>
      <c r="G939" s="126" t="s">
        <v>165</v>
      </c>
      <c r="H939" s="128">
        <v>2009</v>
      </c>
      <c r="I939" s="129"/>
      <c r="J939" s="125">
        <f>IFERROR(INDEX('Labor Expenditures'!$E$7:$W$91,MATCH($C939,'Labor Expenditures'!$C$7:$C$91,0),MATCH($G939,'Labor Expenditures'!$E$5:$W$5,0)),"NA")</f>
        <v>115867.49645117712</v>
      </c>
      <c r="K939" s="125">
        <f t="shared" ca="1" si="1703"/>
        <v>1044.5571012051128</v>
      </c>
      <c r="L939" s="47"/>
      <c r="M939" s="131">
        <f t="shared" ca="1" si="1710"/>
        <v>9.473013917805341E-2</v>
      </c>
      <c r="N939" s="131"/>
      <c r="O939" s="131"/>
      <c r="P939" s="59">
        <f t="shared" ca="1" si="1712"/>
        <v>4.9401090650797027E-3</v>
      </c>
      <c r="Q939" s="61"/>
      <c r="R939" s="387"/>
      <c r="S939" s="49">
        <f t="shared" ca="1" si="1717"/>
        <v>117.78035651182475</v>
      </c>
      <c r="T939" s="61">
        <f ca="1">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</f>
        <v>5.209127731729133E-2</v>
      </c>
      <c r="U939" s="61"/>
      <c r="V939" s="125">
        <f>IFERROR(INDEX('Non-Labor Expenditures'!$E$7:$AA$91,MATCH($C939,'Non-Labor Expenditures'!$C$7:$C$91,0),MATCH($G939,'Non-Labor Expenditures'!$E$5:$AA$5,0)),"NA")</f>
        <v>167797.77592448425</v>
      </c>
      <c r="W939" s="125">
        <f t="shared" si="1704"/>
        <v>1766.310970899528</v>
      </c>
      <c r="X939" s="131">
        <f t="shared" si="1713"/>
        <v>0.11461255536062832</v>
      </c>
      <c r="Y939" s="131">
        <f t="shared" si="1714"/>
        <v>5.9769628612576049E-3</v>
      </c>
      <c r="Z939" s="131"/>
      <c r="AA939" s="131"/>
      <c r="AB939" s="131"/>
      <c r="AC939" s="125">
        <f t="shared" si="1684"/>
        <v>157352.05850595885</v>
      </c>
      <c r="AD939" s="129"/>
      <c r="AE939" s="133">
        <v>11744.97803345128</v>
      </c>
      <c r="AF939" s="134">
        <v>2.9450089140471324E-2</v>
      </c>
      <c r="AG939" s="59">
        <f t="shared" si="1705"/>
        <v>1.5358011039843726E-3</v>
      </c>
      <c r="AH939" s="134"/>
      <c r="AI939" s="134"/>
      <c r="AJ939" s="129">
        <f t="shared" si="1680"/>
        <v>441017.33088162018</v>
      </c>
      <c r="AK939" s="134">
        <f t="shared" si="1715"/>
        <v>6.6254969799505431E-2</v>
      </c>
      <c r="AL939" s="129"/>
      <c r="AM939" s="129"/>
      <c r="AN939" s="129"/>
      <c r="AO939" s="129"/>
      <c r="AP939" s="133">
        <f t="shared" si="1716"/>
        <v>248.59463918081994</v>
      </c>
      <c r="AQ939" s="134">
        <f>+BB939/Outputs!$B$17</f>
        <v>5.0431543359155909E-2</v>
      </c>
      <c r="AR939" s="93">
        <f t="shared" si="1706"/>
        <v>0.26272776223907351</v>
      </c>
      <c r="AS939" s="93">
        <f t="shared" si="1707"/>
        <v>0.38047887049936652</v>
      </c>
      <c r="AT939" s="93">
        <f t="shared" si="1708"/>
        <v>0.35679336726156002</v>
      </c>
      <c r="AU939" s="93">
        <f t="shared" ca="1" si="1711"/>
        <v>7.7651210325800663E-2</v>
      </c>
      <c r="AV939" s="132">
        <f t="shared" ca="1" si="1719"/>
        <v>96.065245978921993</v>
      </c>
      <c r="AW939" s="134">
        <f t="shared" ca="1" si="1720"/>
        <v>7.765121032580069E-2</v>
      </c>
      <c r="AX939" s="56">
        <f>+AJ939/$AL$14</f>
        <v>5.2149285411629602E-2</v>
      </c>
      <c r="AY939" s="135">
        <f t="shared" ca="1" si="1718"/>
        <v>4.0494551298386602E-3</v>
      </c>
      <c r="AZ939" s="93"/>
      <c r="BA939" s="93"/>
      <c r="BB939" s="234">
        <f>IFERROR(INDEX('Total Customers'!$E$7:$AA$91,MATCH($C939,'Total Customers'!$C$7:$C$91,0),MATCH($G939,'Total Customers'!$E$5:$AA$5,0)),"NA")</f>
        <v>1774042</v>
      </c>
      <c r="BC939" s="269">
        <f t="shared" si="1639"/>
        <v>1.8217495684029382E-2</v>
      </c>
      <c r="BD939" s="92"/>
      <c r="BE939" s="299" t="str">
        <f t="shared" si="1635"/>
        <v>PUBLIC SERVICE ELECTRIC AND GAS COMPANY</v>
      </c>
      <c r="BF939" s="300">
        <f t="shared" si="1636"/>
        <v>4057095</v>
      </c>
      <c r="BG939" s="231" t="str">
        <f t="shared" si="1637"/>
        <v>NJ</v>
      </c>
      <c r="BH939" s="231"/>
      <c r="BI939" s="231" t="str">
        <f t="shared" si="1638"/>
        <v>2009 Y</v>
      </c>
      <c r="BJ939" s="129"/>
      <c r="BK939" s="129"/>
      <c r="BL939" s="129">
        <f>INDEX('Dist. Plant Gas Additions'!$E$7:$AD$91,MATCH($C939,'Dist. Plant Gas Additions'!$C$7:$C$91,0),MATCH(Calculation!$G939,'Dist. Plant Gas Additions'!$E$5:$AD$5,0))</f>
        <v>223510</v>
      </c>
      <c r="BM939" s="129">
        <f>INDEX('Gen. Plant Additions'!$E$7:$AD$91,MATCH($C939,'Gen. Plant Additions'!$C$7:$C$91,0),MATCH(Calculation!$G939,'Gen. Plant Additions'!$E$5:$AD$5,0))</f>
        <v>6882</v>
      </c>
      <c r="BN939" s="301">
        <f t="shared" si="1685"/>
        <v>0.9722557112453406</v>
      </c>
      <c r="BO939" s="231">
        <f t="shared" si="1631"/>
        <v>6691.063804790434</v>
      </c>
      <c r="BP939" s="231">
        <f t="shared" si="1632"/>
        <v>-190.93619520956599</v>
      </c>
      <c r="BQ939" s="129">
        <f>INDEX('Dist Plant Depreciation'!$D$7:$AC$94,MATCH($C939,'Dist Plant Depreciation'!$C$7:$C$94,0),MATCH(Calculation!$G939,'Dist Plant Depreciation'!$D$5:$AC$5,0))</f>
        <v>1714882</v>
      </c>
      <c r="BR939" s="129">
        <f>INDEX('Gen. Plant Depreciation'!$D$7:$AC$94,MATCH($C939,'Gen. Plant Depreciation'!$C$7:$C$94,0),MATCH(Calculation!$G939,'Gen. Plant Depreciation'!$D$5:$AC$5,0))</f>
        <v>65252</v>
      </c>
      <c r="BS939" s="129"/>
      <c r="BT939" s="129"/>
      <c r="BU939" s="129"/>
      <c r="BV939" s="129"/>
      <c r="BW939" s="129"/>
      <c r="BX939" s="137"/>
      <c r="BY939" s="129">
        <f>INDEX('Gross Dx Plant'!$D$7:$AC$91,MATCH($C939,'Gross Dx Plant'!$C$7:$C$91,0),MATCH(Calculation!$G939,'Gross Dx Plant'!$D$5:$AC$5,0))</f>
        <v>4425778</v>
      </c>
      <c r="BZ939" s="129">
        <f>INDEX('Gross Gen Plant'!$D$7:$AC$91,MATCH($C939,'Gross Gen Plant'!$C$7:$C$91,0),MATCH(Calculation!$G939,'Gross Gen Plant'!$D$5:$AC$5,0))</f>
        <v>126294</v>
      </c>
      <c r="CA939" s="129">
        <f t="shared" si="1595"/>
        <v>2771938</v>
      </c>
      <c r="CB939" s="129"/>
      <c r="CC939" s="133">
        <v>2009</v>
      </c>
      <c r="CD939" s="129"/>
      <c r="CE939" s="129"/>
      <c r="CF939" s="129"/>
      <c r="CG939" s="137"/>
      <c r="CH939" s="129">
        <f t="shared" si="1686"/>
        <v>230392</v>
      </c>
      <c r="CI939" s="46">
        <f t="shared" si="1695"/>
        <v>230201.06380479044</v>
      </c>
      <c r="CJ939" s="231">
        <f t="shared" si="1687"/>
        <v>417.83279073974091</v>
      </c>
      <c r="CK939" s="443">
        <v>0.87912087912087911</v>
      </c>
      <c r="CL939" s="231">
        <f>+CL928*CK939+CJ929*CK938+CJ930*CK937+CJ931*CK936+CJ932*CK935+CJ933*CK934+CJ934*CK933+CJ935*CK932+CJ936*CK931+CJ937*CK930+CJ938*CK929+CJ939</f>
        <v>11175.176691073559</v>
      </c>
      <c r="CM939" s="134">
        <f t="shared" si="1688"/>
        <v>2.5174850895270707E-2</v>
      </c>
      <c r="CN939" s="135">
        <f t="shared" si="1689"/>
        <v>1.2848174263659598E-2</v>
      </c>
      <c r="CO939" s="135">
        <f t="shared" si="1698"/>
        <v>1.2523467869722513E-2</v>
      </c>
      <c r="CP939" s="134">
        <f>VLOOKUP($H939,RoR!$E:$F,2,FALSE)</f>
        <v>5.3133333333333324E-2</v>
      </c>
      <c r="CQ939" s="135">
        <v>7.7972502758210105E-3</v>
      </c>
      <c r="CR939" s="135">
        <f t="shared" si="1696"/>
        <v>4.5336083057512314E-2</v>
      </c>
      <c r="CS939" s="135">
        <f t="shared" si="1699"/>
        <v>1.8378473738811112E-2</v>
      </c>
      <c r="CT939" s="135">
        <f t="shared" si="1700"/>
        <v>6.3720160300892073E-2</v>
      </c>
      <c r="CU939" s="139">
        <f t="shared" si="1690"/>
        <v>0.84885500000000003</v>
      </c>
      <c r="CV939" s="335">
        <f t="shared" si="1691"/>
        <v>0.96515780330083989</v>
      </c>
      <c r="CW939" s="335">
        <f t="shared" si="1692"/>
        <v>0.50448557089084056</v>
      </c>
      <c r="CX939" s="335">
        <f t="shared" si="1693"/>
        <v>0.87391435735465484</v>
      </c>
      <c r="CY939" s="335">
        <f t="shared" si="1694"/>
        <v>0.42551605393279146</v>
      </c>
      <c r="CZ939" s="336">
        <f>INDEX('State Tax Lookup'!$D$7:$Z$91,MATCH(Calculation!$C939,'State Tax Lookup'!$B$7:$B$91,0),MATCH($H939,'State Tax Lookup'!$D$6:$Z$6,0))</f>
        <v>0.40849999999999997</v>
      </c>
      <c r="DA939" s="302">
        <v>0.37</v>
      </c>
      <c r="DB939" s="57">
        <f t="shared" si="1697"/>
        <v>14.439472538635544</v>
      </c>
      <c r="DC939" s="56">
        <f t="shared" si="1701"/>
        <v>-5.0581138882105726E-2</v>
      </c>
      <c r="DD939" s="303">
        <f>VLOOKUP($H939,RoR!$E:$F,2,FALSE)</f>
        <v>5.3133333333333324E-2</v>
      </c>
      <c r="DE939" s="304">
        <f>HLOOKUP($H939,'GDP-PI'!$D$8:$CQ$11,3,FALSE)</f>
        <v>7.7972502758210105E-3</v>
      </c>
      <c r="DF939" s="303">
        <f>VLOOKUP(H939,'HW Dx Data'!$E:$F,2,FALSE)</f>
        <v>550.94063679692806</v>
      </c>
      <c r="DG939" s="364">
        <f ca="1">VLOOKUP(CC939,'ECI - Input Price'!M$13:N$33,2,FALSE)</f>
        <v>110.925</v>
      </c>
      <c r="DH939" s="364"/>
      <c r="DI939" s="364"/>
      <c r="DJ939" s="56">
        <f t="shared" ca="1" si="1709"/>
        <v>2.7649425000884052E-2</v>
      </c>
      <c r="DK939" s="53">
        <f>HLOOKUP(H939,'GDP-PI'!$8:$9,2,FALSE)</f>
        <v>94.998999999999995</v>
      </c>
      <c r="DL939" s="355">
        <f t="shared" si="1702"/>
        <v>7.7670088183096342E-3</v>
      </c>
      <c r="EC939"/>
    </row>
    <row r="940" spans="1:133" s="126" customFormat="1" ht="21" customHeight="1" x14ac:dyDescent="0.4">
      <c r="A940" s="233" t="s">
        <v>238</v>
      </c>
      <c r="B940" s="126" t="s">
        <v>238</v>
      </c>
      <c r="C940" s="126">
        <v>4057095</v>
      </c>
      <c r="D940" s="127" t="s">
        <v>218</v>
      </c>
      <c r="E940" s="127" t="s">
        <v>15</v>
      </c>
      <c r="F940" s="144"/>
      <c r="G940" s="126" t="s">
        <v>166</v>
      </c>
      <c r="H940" s="128">
        <v>2010</v>
      </c>
      <c r="I940" s="129"/>
      <c r="J940" s="125">
        <f>IFERROR(INDEX('Labor Expenditures'!$E$7:$W$91,MATCH($C940,'Labor Expenditures'!$C$7:$C$91,0),MATCH($G940,'Labor Expenditures'!$E$5:$W$5,0)),"NA")</f>
        <v>114778.31352530076</v>
      </c>
      <c r="K940" s="125">
        <f t="shared" ca="1" si="1703"/>
        <v>981.64048343212119</v>
      </c>
      <c r="L940" s="47"/>
      <c r="M940" s="131">
        <f t="shared" ca="1" si="1710"/>
        <v>-6.2123113124531455E-2</v>
      </c>
      <c r="N940" s="131"/>
      <c r="O940" s="131"/>
      <c r="P940" s="59">
        <f t="shared" ca="1" si="1712"/>
        <v>-3.1710149759229273E-3</v>
      </c>
      <c r="Q940" s="61"/>
      <c r="R940" s="387"/>
      <c r="S940" s="49">
        <f t="shared" ca="1" si="1717"/>
        <v>96.91283969251019</v>
      </c>
      <c r="T940" s="61">
        <f ca="1">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</f>
        <v>-0.19500948975648855</v>
      </c>
      <c r="U940" s="61"/>
      <c r="V940" s="125">
        <f>IFERROR(INDEX('Non-Labor Expenditures'!$E$7:$AA$91,MATCH($C940,'Non-Labor Expenditures'!$C$7:$C$91,0),MATCH($G940,'Non-Labor Expenditures'!$E$5:$AA$5,0)),"NA")</f>
        <v>166220.43561650591</v>
      </c>
      <c r="W940" s="125">
        <f t="shared" si="1704"/>
        <v>1729.4991688240011</v>
      </c>
      <c r="X940" s="131">
        <f t="shared" si="1713"/>
        <v>-2.1061305584705394E-2</v>
      </c>
      <c r="Y940" s="131">
        <f t="shared" si="1714"/>
        <v>-1.0750542280086948E-3</v>
      </c>
      <c r="Z940" s="131"/>
      <c r="AA940" s="131"/>
      <c r="AB940" s="131"/>
      <c r="AC940" s="125">
        <f t="shared" si="1684"/>
        <v>163980.15923502803</v>
      </c>
      <c r="AD940" s="129"/>
      <c r="AE940" s="133">
        <v>12200.250418985357</v>
      </c>
      <c r="AF940" s="134">
        <v>3.8030729855142061E-2</v>
      </c>
      <c r="AG940" s="59">
        <f t="shared" si="1705"/>
        <v>1.941242282468828E-3</v>
      </c>
      <c r="AH940" s="134"/>
      <c r="AI940" s="134"/>
      <c r="AJ940" s="129">
        <f t="shared" si="1680"/>
        <v>444978.9083768347</v>
      </c>
      <c r="AK940" s="134">
        <f t="shared" si="1715"/>
        <v>8.9427104110304714E-3</v>
      </c>
      <c r="AL940" s="129"/>
      <c r="AM940" s="129"/>
      <c r="AN940" s="129"/>
      <c r="AO940" s="129"/>
      <c r="AP940" s="133">
        <f t="shared" si="1716"/>
        <v>250.22206623317228</v>
      </c>
      <c r="AQ940" s="134">
        <f>+BB940/Outputs!$B$18</f>
        <v>5.0277011309737836E-2</v>
      </c>
      <c r="AR940" s="93">
        <f t="shared" si="1706"/>
        <v>0.25794102004515601</v>
      </c>
      <c r="AS940" s="93">
        <f t="shared" si="1707"/>
        <v>0.37354677376245554</v>
      </c>
      <c r="AT940" s="93">
        <f t="shared" si="1708"/>
        <v>0.36851220619238845</v>
      </c>
      <c r="AU940" s="93">
        <f t="shared" ca="1" si="1711"/>
        <v>-1.0321214924150907E-2</v>
      </c>
      <c r="AV940" s="132">
        <f t="shared" ca="1" si="1719"/>
        <v>95.07883516408296</v>
      </c>
      <c r="AW940" s="134">
        <f t="shared" ca="1" si="1720"/>
        <v>-1.0321214924150886E-2</v>
      </c>
      <c r="AX940" s="56">
        <f>+AJ940/$AL$15</f>
        <v>5.1044044904290903E-2</v>
      </c>
      <c r="AY940" s="135">
        <f t="shared" ca="1" si="1718"/>
        <v>-5.268365580551953E-4</v>
      </c>
      <c r="AZ940" s="93"/>
      <c r="BA940" s="93"/>
      <c r="BB940" s="234">
        <f>IFERROR(INDEX('Total Customers'!$E$7:$AA$91,MATCH($C940,'Total Customers'!$C$7:$C$91,0),MATCH($G940,'Total Customers'!$E$5:$AA$5,0)),"NA")</f>
        <v>1778336</v>
      </c>
      <c r="BC940" s="269">
        <f t="shared" si="1639"/>
        <v>2.4175366987133052E-3</v>
      </c>
      <c r="BD940" s="92"/>
      <c r="BE940" s="299" t="str">
        <f t="shared" si="1635"/>
        <v>PUBLIC SERVICE ELECTRIC AND GAS COMPANY</v>
      </c>
      <c r="BF940" s="300">
        <f t="shared" si="1636"/>
        <v>4057095</v>
      </c>
      <c r="BG940" s="231" t="str">
        <f t="shared" si="1637"/>
        <v>NJ</v>
      </c>
      <c r="BH940" s="231"/>
      <c r="BI940" s="231" t="str">
        <f t="shared" si="1638"/>
        <v>2010 Y</v>
      </c>
      <c r="BJ940" s="129"/>
      <c r="BK940" s="129"/>
      <c r="BL940" s="129">
        <f>INDEX('Dist. Plant Gas Additions'!$E$7:$AD$91,MATCH($C940,'Dist. Plant Gas Additions'!$C$7:$C$91,0),MATCH(Calculation!$G940,'Dist. Plant Gas Additions'!$E$5:$AD$5,0))</f>
        <v>291120</v>
      </c>
      <c r="BM940" s="129">
        <f>INDEX('Gen. Plant Additions'!$E$7:$AD$91,MATCH($C940,'Gen. Plant Additions'!$C$7:$C$91,0),MATCH(Calculation!$G940,'Gen. Plant Additions'!$E$5:$AD$5,0))</f>
        <v>14641</v>
      </c>
      <c r="BN940" s="301">
        <f t="shared" si="1685"/>
        <v>0.97647521111669322</v>
      </c>
      <c r="BO940" s="231">
        <f t="shared" si="1631"/>
        <v>14296.573565959505</v>
      </c>
      <c r="BP940" s="231">
        <f t="shared" si="1632"/>
        <v>-344.42643404049522</v>
      </c>
      <c r="BQ940" s="129">
        <f>INDEX('Dist Plant Depreciation'!$D$7:$AC$94,MATCH($C940,'Dist Plant Depreciation'!$C$7:$C$94,0),MATCH(Calculation!$G940,'Dist Plant Depreciation'!$D$5:$AC$5,0))</f>
        <v>1755201</v>
      </c>
      <c r="BR940" s="129">
        <f>INDEX('Gen. Plant Depreciation'!$D$7:$AC$94,MATCH($C940,'Gen. Plant Depreciation'!$C$7:$C$94,0),MATCH(Calculation!$G940,'Gen. Plant Depreciation'!$D$5:$AC$5,0))</f>
        <v>51989</v>
      </c>
      <c r="BS940" s="129"/>
      <c r="BT940" s="129"/>
      <c r="BU940" s="129"/>
      <c r="BV940" s="129"/>
      <c r="BW940" s="129"/>
      <c r="BX940" s="137"/>
      <c r="BY940" s="129">
        <f>INDEX('Gross Dx Plant'!$D$7:$AC$91,MATCH($C940,'Gross Dx Plant'!$C$7:$C$91,0),MATCH(Calculation!$G940,'Gross Dx Plant'!$D$5:$AC$5,0))</f>
        <v>4684259</v>
      </c>
      <c r="BZ940" s="129">
        <f>INDEX('Gross Gen Plant'!$D$7:$AC$91,MATCH($C940,'Gross Gen Plant'!$C$7:$C$91,0),MATCH(Calculation!$G940,'Gross Gen Plant'!$D$5:$AC$5,0))</f>
        <v>112851</v>
      </c>
      <c r="CA940" s="129">
        <f t="shared" si="1595"/>
        <v>2989920</v>
      </c>
      <c r="CB940" s="129"/>
      <c r="CC940" s="133">
        <v>2010</v>
      </c>
      <c r="CD940" s="129"/>
      <c r="CE940" s="129"/>
      <c r="CF940" s="129"/>
      <c r="CG940" s="137"/>
      <c r="CH940" s="129">
        <f t="shared" si="1686"/>
        <v>305761</v>
      </c>
      <c r="CI940" s="46">
        <f t="shared" si="1695"/>
        <v>305416.57356595952</v>
      </c>
      <c r="CJ940" s="231">
        <f t="shared" si="1687"/>
        <v>536.77013750588674</v>
      </c>
      <c r="CK940" s="443">
        <v>0.8666666666666667</v>
      </c>
      <c r="CL940" s="231">
        <f>+CL928*CK940+CJ929*CK939+CJ930*CK938+CJ931*CK937+CJ932*CK936+CJ933*CK935+CJ934*CK934+CJ935*CK933+CJ936*CK932+CJ937*CK931+CJ938*CK930+CJ939*CK929+CJ940</f>
        <v>11564.742669910567</v>
      </c>
      <c r="CM940" s="134">
        <f t="shared" si="1688"/>
        <v>3.4266093015138513E-2</v>
      </c>
      <c r="CN940" s="135">
        <f t="shared" si="1689"/>
        <v>1.3172423375324444E-2</v>
      </c>
      <c r="CO940" s="135">
        <f t="shared" si="1698"/>
        <v>1.284745083460255E-2</v>
      </c>
      <c r="CP940" s="134">
        <f>VLOOKUP($H940,RoR!$E:$F,2,FALSE)</f>
        <v>4.9433333333333322E-2</v>
      </c>
      <c r="CQ940" s="135">
        <v>1.1684333519300205E-2</v>
      </c>
      <c r="CR940" s="135">
        <f t="shared" si="1696"/>
        <v>3.7748999814033117E-2</v>
      </c>
      <c r="CS940" s="135">
        <f t="shared" si="1699"/>
        <v>1.8054490773931075E-2</v>
      </c>
      <c r="CT940" s="135">
        <f t="shared" si="1700"/>
        <v>4.7937530248493419E-2</v>
      </c>
      <c r="CU940" s="139">
        <f t="shared" si="1690"/>
        <v>0.84885500000000003</v>
      </c>
      <c r="CV940" s="335">
        <f t="shared" si="1691"/>
        <v>1.037398205301105</v>
      </c>
      <c r="CW940" s="335">
        <f t="shared" si="1692"/>
        <v>0.46926837491571133</v>
      </c>
      <c r="CX940" s="335">
        <f t="shared" si="1693"/>
        <v>0.8548537519972772</v>
      </c>
      <c r="CY940" s="335">
        <f t="shared" si="1694"/>
        <v>0.41615833911547367</v>
      </c>
      <c r="CZ940" s="336">
        <f>INDEX('State Tax Lookup'!$D$7:$Z$91,MATCH(Calculation!$C940,'State Tax Lookup'!$B$7:$B$91,0),MATCH($H940,'State Tax Lookup'!$D$6:$Z$6,0))</f>
        <v>0.40849999999999997</v>
      </c>
      <c r="DA940" s="302">
        <v>0.37</v>
      </c>
      <c r="DB940" s="57">
        <f t="shared" si="1697"/>
        <v>14.673607744028882</v>
      </c>
      <c r="DC940" s="56">
        <f t="shared" si="1701"/>
        <v>1.6084883572688079E-2</v>
      </c>
      <c r="DD940" s="303">
        <f>VLOOKUP($H940,RoR!$E:$F,2,FALSE)</f>
        <v>4.9433333333333322E-2</v>
      </c>
      <c r="DE940" s="304">
        <f>HLOOKUP($H940,'GDP-PI'!$D$8:$CQ$11,3,FALSE)</f>
        <v>1.1684333519300205E-2</v>
      </c>
      <c r="DF940" s="303">
        <f>VLOOKUP(H940,'HW Dx Data'!$E:$F,2,FALSE)</f>
        <v>568.98950262971744</v>
      </c>
      <c r="DG940" s="364">
        <f ca="1">VLOOKUP(CC940,'ECI - Input Price'!M$13:N$33,2,FALSE)</f>
        <v>116.925</v>
      </c>
      <c r="DH940" s="364"/>
      <c r="DI940" s="364"/>
      <c r="DJ940" s="56">
        <f t="shared" ca="1" si="1709"/>
        <v>5.2678406346976722E-2</v>
      </c>
      <c r="DK940" s="53">
        <f>HLOOKUP(H940,'GDP-PI'!$8:$9,2,FALSE)</f>
        <v>96.108999999999995</v>
      </c>
      <c r="DL940" s="355">
        <f t="shared" si="1702"/>
        <v>1.1616598807150427E-2</v>
      </c>
      <c r="EC940"/>
    </row>
    <row r="941" spans="1:133" s="126" customFormat="1" ht="21" customHeight="1" x14ac:dyDescent="0.4">
      <c r="A941" s="233" t="s">
        <v>238</v>
      </c>
      <c r="B941" s="126" t="s">
        <v>238</v>
      </c>
      <c r="C941" s="126">
        <v>4057095</v>
      </c>
      <c r="D941" s="127" t="s">
        <v>218</v>
      </c>
      <c r="E941" s="127" t="s">
        <v>15</v>
      </c>
      <c r="F941" s="144"/>
      <c r="G941" s="126" t="s">
        <v>167</v>
      </c>
      <c r="H941" s="128">
        <v>2011</v>
      </c>
      <c r="I941" s="129"/>
      <c r="J941" s="125">
        <f>IFERROR(INDEX('Labor Expenditures'!$E$7:$W$91,MATCH($C941,'Labor Expenditures'!$C$7:$C$91,0),MATCH($G941,'Labor Expenditures'!$E$5:$W$5,0)),"NA")</f>
        <v>112022.20995702814</v>
      </c>
      <c r="K941" s="125">
        <f t="shared" ca="1" si="1703"/>
        <v>926.76078558037761</v>
      </c>
      <c r="L941" s="47"/>
      <c r="M941" s="131">
        <f t="shared" ca="1" si="1710"/>
        <v>-5.7529654804477533E-2</v>
      </c>
      <c r="N941" s="131"/>
      <c r="O941" s="131"/>
      <c r="P941" s="59">
        <f t="shared" ca="1" si="1712"/>
        <v>-2.8781669745173212E-3</v>
      </c>
      <c r="Q941" s="61"/>
      <c r="R941" s="387"/>
      <c r="S941" s="49">
        <f t="shared" ca="1" si="1717"/>
        <v>117.21862597494406</v>
      </c>
      <c r="T941" s="61">
        <f ca="1">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</f>
        <v>0.19022877453117309</v>
      </c>
      <c r="U941" s="61"/>
      <c r="V941" s="125">
        <f>IFERROR(INDEX('Non-Labor Expenditures'!$E$7:$AA$91,MATCH($C941,'Non-Labor Expenditures'!$C$7:$C$91,0),MATCH($G941,'Non-Labor Expenditures'!$E$5:$AA$5,0)),"NA")</f>
        <v>162229.08288050757</v>
      </c>
      <c r="W941" s="125">
        <f t="shared" si="1704"/>
        <v>1653.5090802400071</v>
      </c>
      <c r="X941" s="131">
        <f t="shared" si="1713"/>
        <v>-4.4932123855818379E-2</v>
      </c>
      <c r="Y941" s="131">
        <f t="shared" si="1714"/>
        <v>-2.2479216226180656E-3</v>
      </c>
      <c r="Z941" s="131"/>
      <c r="AA941" s="131"/>
      <c r="AB941" s="131"/>
      <c r="AC941" s="125">
        <f t="shared" si="1684"/>
        <v>179648.4056790176</v>
      </c>
      <c r="AD941" s="129"/>
      <c r="AE941" s="133">
        <v>12436.428556494004</v>
      </c>
      <c r="AF941" s="134">
        <v>1.9173474887482524E-2</v>
      </c>
      <c r="AG941" s="59">
        <f t="shared" si="1705"/>
        <v>9.5923506573160257E-4</v>
      </c>
      <c r="AH941" s="134"/>
      <c r="AI941" s="134"/>
      <c r="AJ941" s="129">
        <f t="shared" si="1680"/>
        <v>453899.69851655333</v>
      </c>
      <c r="AK941" s="134">
        <f t="shared" si="1715"/>
        <v>1.9849361118461112E-2</v>
      </c>
      <c r="AL941" s="129"/>
      <c r="AM941" s="129"/>
      <c r="AN941" s="129"/>
      <c r="AO941" s="129"/>
      <c r="AP941" s="133">
        <f t="shared" si="1716"/>
        <v>255.16468421539383</v>
      </c>
      <c r="AQ941" s="134">
        <f>+BB941/Outputs!$B$19</f>
        <v>5.0048886889515629E-2</v>
      </c>
      <c r="AR941" s="93">
        <f t="shared" si="1706"/>
        <v>0.24679948086139297</v>
      </c>
      <c r="AS941" s="93">
        <f t="shared" si="1707"/>
        <v>0.35741174407189263</v>
      </c>
      <c r="AT941" s="93">
        <f t="shared" si="1708"/>
        <v>0.39578877506671439</v>
      </c>
      <c r="AU941" s="93">
        <f t="shared" ca="1" si="1711"/>
        <v>-2.3613379884570771E-2</v>
      </c>
      <c r="AV941" s="132">
        <f t="shared" ca="1" si="1719"/>
        <v>92.860002676840267</v>
      </c>
      <c r="AW941" s="134">
        <f t="shared" ca="1" si="1720"/>
        <v>-2.361337988457074E-2</v>
      </c>
      <c r="AX941" s="56">
        <f>+AJ941/$AL$16</f>
        <v>5.0029275932545893E-2</v>
      </c>
      <c r="AY941" s="135">
        <f t="shared" ca="1" si="1718"/>
        <v>-1.1813602979452182E-3</v>
      </c>
      <c r="AZ941" s="93"/>
      <c r="BA941" s="93"/>
      <c r="BB941" s="234">
        <f>IFERROR(INDEX('Total Customers'!$E$7:$AA$91,MATCH($C941,'Total Customers'!$C$7:$C$91,0),MATCH($G941,'Total Customers'!$E$5:$AA$5,0)),"NA")</f>
        <v>1778850</v>
      </c>
      <c r="BC941" s="269">
        <f t="shared" si="1639"/>
        <v>2.8899248089764203E-4</v>
      </c>
      <c r="BD941" s="92"/>
      <c r="BE941" s="299" t="str">
        <f t="shared" si="1635"/>
        <v>PUBLIC SERVICE ELECTRIC AND GAS COMPANY</v>
      </c>
      <c r="BF941" s="300">
        <f t="shared" si="1636"/>
        <v>4057095</v>
      </c>
      <c r="BG941" s="231" t="str">
        <f t="shared" si="1637"/>
        <v>NJ</v>
      </c>
      <c r="BH941" s="231"/>
      <c r="BI941" s="231" t="str">
        <f t="shared" si="1638"/>
        <v>2011 Y</v>
      </c>
      <c r="BJ941" s="129"/>
      <c r="BK941" s="129"/>
      <c r="BL941" s="129">
        <f>INDEX('Dist. Plant Gas Additions'!$E$7:$AD$91,MATCH($C941,'Dist. Plant Gas Additions'!$C$7:$C$91,0),MATCH(Calculation!$G941,'Dist. Plant Gas Additions'!$E$5:$AD$5,0))</f>
        <v>189163</v>
      </c>
      <c r="BM941" s="129">
        <f>INDEX('Gen. Plant Additions'!$E$7:$AD$91,MATCH($C941,'Gen. Plant Additions'!$C$7:$C$91,0),MATCH(Calculation!$G941,'Gen. Plant Additions'!$E$5:$AD$5,0))</f>
        <v>8908</v>
      </c>
      <c r="BN941" s="301">
        <f t="shared" si="1685"/>
        <v>0.9782375057970556</v>
      </c>
      <c r="BO941" s="231">
        <f t="shared" si="1631"/>
        <v>8714.1397016401716</v>
      </c>
      <c r="BP941" s="231">
        <f t="shared" si="1632"/>
        <v>-193.86029835982845</v>
      </c>
      <c r="BQ941" s="129">
        <f>INDEX('Dist Plant Depreciation'!$D$7:$AC$94,MATCH($C941,'Dist Plant Depreciation'!$C$7:$C$94,0),MATCH(Calculation!$G941,'Dist Plant Depreciation'!$D$5:$AC$5,0))</f>
        <v>1815936</v>
      </c>
      <c r="BR941" s="129">
        <f>INDEX('Gen. Plant Depreciation'!$D$7:$AC$94,MATCH($C941,'Gen. Plant Depreciation'!$C$7:$C$94,0),MATCH(Calculation!$G941,'Gen. Plant Depreciation'!$D$5:$AC$5,0))</f>
        <v>51112</v>
      </c>
      <c r="BS941" s="129"/>
      <c r="BT941" s="129"/>
      <c r="BU941" s="129"/>
      <c r="BV941" s="129"/>
      <c r="BW941" s="129"/>
      <c r="BX941" s="137"/>
      <c r="BY941" s="129">
        <f>INDEX('Gross Dx Plant'!$D$7:$AC$91,MATCH($C941,'Gross Dx Plant'!$C$7:$C$91,0),MATCH(Calculation!$G941,'Gross Dx Plant'!$D$5:$AC$5,0))</f>
        <v>4857813</v>
      </c>
      <c r="BZ941" s="129">
        <f>INDEX('Gross Gen Plant'!$D$7:$AC$91,MATCH($C941,'Gross Gen Plant'!$C$7:$C$91,0),MATCH(Calculation!$G941,'Gross Gen Plant'!$D$5:$AC$5,0))</f>
        <v>108070</v>
      </c>
      <c r="CA941" s="129">
        <f t="shared" si="1595"/>
        <v>3098835</v>
      </c>
      <c r="CB941" s="129"/>
      <c r="CC941" s="133">
        <v>2011</v>
      </c>
      <c r="CD941" s="129"/>
      <c r="CE941" s="129"/>
      <c r="CF941" s="129"/>
      <c r="CG941" s="137"/>
      <c r="CH941" s="129">
        <f t="shared" si="1686"/>
        <v>198071</v>
      </c>
      <c r="CI941" s="46">
        <f t="shared" si="1695"/>
        <v>197877.13970164018</v>
      </c>
      <c r="CJ941" s="231">
        <f t="shared" si="1687"/>
        <v>323.53425396634697</v>
      </c>
      <c r="CK941" s="443">
        <v>0.8539325842696629</v>
      </c>
      <c r="CL941" s="231">
        <f>+CL928*CK941+CJ929*CK940+CJ930*CK939+CJ931*CK938+CJ932*CK937+CJ933*CK936+CJ934*CK935+CJ935*CK934+CJ936*CK933+CJ937*CK932+CJ938*CK931+CJ939*CK930+CJ940*CK929+CJ941</f>
        <v>11732.518125227942</v>
      </c>
      <c r="CM941" s="134">
        <f t="shared" si="1688"/>
        <v>1.440326888718424E-2</v>
      </c>
      <c r="CN941" s="135">
        <f t="shared" si="1689"/>
        <v>1.3468418891345464E-2</v>
      </c>
      <c r="CO941" s="135">
        <f t="shared" si="1698"/>
        <v>1.3163005510109835E-2</v>
      </c>
      <c r="CP941" s="134">
        <f>VLOOKUP($H941,RoR!$E:$F,2,FALSE)</f>
        <v>4.6391666666666664E-2</v>
      </c>
      <c r="CQ941" s="135">
        <v>2.0840920205183799E-2</v>
      </c>
      <c r="CR941" s="135">
        <f t="shared" si="1696"/>
        <v>2.5550746461482865E-2</v>
      </c>
      <c r="CS941" s="135">
        <f t="shared" si="1699"/>
        <v>1.773893609842379E-2</v>
      </c>
      <c r="CT941" s="135">
        <f t="shared" si="1700"/>
        <v>2.4810540821321614E-2</v>
      </c>
      <c r="CU941" s="139">
        <f t="shared" si="1690"/>
        <v>0.84885500000000003</v>
      </c>
      <c r="CV941" s="335">
        <f t="shared" si="1691"/>
        <v>1.1054151524782025</v>
      </c>
      <c r="CW941" s="335">
        <f t="shared" si="1692"/>
        <v>0.43611011316687626</v>
      </c>
      <c r="CX941" s="335">
        <f t="shared" si="1693"/>
        <v>0.83698442246886229</v>
      </c>
      <c r="CY941" s="335">
        <f t="shared" si="1694"/>
        <v>0.40349573304423936</v>
      </c>
      <c r="CZ941" s="336">
        <f>INDEX('State Tax Lookup'!$D$7:$Z$91,MATCH(Calculation!$C941,'State Tax Lookup'!$B$7:$B$91,0),MATCH($H941,'State Tax Lookup'!$D$6:$Z$6,0))</f>
        <v>0.40849999999999997</v>
      </c>
      <c r="DA941" s="302">
        <v>0.37</v>
      </c>
      <c r="DB941" s="57">
        <f t="shared" si="1697"/>
        <v>15.534146397085969</v>
      </c>
      <c r="DC941" s="56">
        <f t="shared" si="1701"/>
        <v>5.6990105678786436E-2</v>
      </c>
      <c r="DD941" s="303">
        <f>VLOOKUP($H941,RoR!$E:$F,2,FALSE)</f>
        <v>4.6391666666666664E-2</v>
      </c>
      <c r="DE941" s="304">
        <f>HLOOKUP($H941,'GDP-PI'!$D$8:$CQ$11,3,FALSE)</f>
        <v>2.0840920205183799E-2</v>
      </c>
      <c r="DF941" s="303">
        <f>VLOOKUP(H941,'HW Dx Data'!$E:$F,2,FALSE)</f>
        <v>611.61109612283201</v>
      </c>
      <c r="DG941" s="364">
        <f ca="1">VLOOKUP(CC941,'ECI - Input Price'!M$13:N$33,2,FALSE)</f>
        <v>120.875</v>
      </c>
      <c r="DH941" s="364"/>
      <c r="DI941" s="364"/>
      <c r="DJ941" s="56">
        <f t="shared" ca="1" si="1709"/>
        <v>3.3224250161508609E-2</v>
      </c>
      <c r="DK941" s="53">
        <f>HLOOKUP(H941,'GDP-PI'!$8:$9,2,FALSE)</f>
        <v>98.111999999999995</v>
      </c>
      <c r="DL941" s="355">
        <f t="shared" si="1702"/>
        <v>2.0626719212849295E-2</v>
      </c>
      <c r="EC941"/>
    </row>
    <row r="942" spans="1:133" s="126" customFormat="1" ht="21" customHeight="1" x14ac:dyDescent="0.4">
      <c r="A942" s="233" t="s">
        <v>238</v>
      </c>
      <c r="B942" s="126" t="s">
        <v>238</v>
      </c>
      <c r="C942" s="126">
        <v>4057095</v>
      </c>
      <c r="D942" s="127" t="s">
        <v>218</v>
      </c>
      <c r="E942" s="127" t="s">
        <v>15</v>
      </c>
      <c r="F942" s="144"/>
      <c r="G942" s="126" t="s">
        <v>168</v>
      </c>
      <c r="H942" s="128">
        <v>2012</v>
      </c>
      <c r="I942" s="129"/>
      <c r="J942" s="125">
        <f>IFERROR(INDEX('Labor Expenditures'!$E$7:$W$91,MATCH($C942,'Labor Expenditures'!$C$7:$C$91,0),MATCH($G942,'Labor Expenditures'!$E$5:$W$5,0)),"NA")</f>
        <v>120409.38801234731</v>
      </c>
      <c r="K942" s="125">
        <f t="shared" ca="1" si="1703"/>
        <v>964.8188142015008</v>
      </c>
      <c r="L942" s="47"/>
      <c r="M942" s="131">
        <f t="shared" ca="1" si="1710"/>
        <v>4.0244846374186037E-2</v>
      </c>
      <c r="N942" s="131"/>
      <c r="O942" s="131"/>
      <c r="P942" s="59">
        <f t="shared" ca="1" si="1712"/>
        <v>2.0992164909311218E-3</v>
      </c>
      <c r="Q942" s="61"/>
      <c r="R942" s="387"/>
      <c r="S942" s="49">
        <f t="shared" ca="1" si="1717"/>
        <v>116.37630732914796</v>
      </c>
      <c r="T942" s="61">
        <f ca="1">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</f>
        <v>-7.2118199196566203E-3</v>
      </c>
      <c r="U942" s="61"/>
      <c r="V942" s="125">
        <f>IFERROR(INDEX('Non-Labor Expenditures'!$E$7:$AA$91,MATCH($C942,'Non-Labor Expenditures'!$C$7:$C$91,0),MATCH($G942,'Non-Labor Expenditures'!$E$5:$AA$5,0)),"NA")</f>
        <v>174375.28321338704</v>
      </c>
      <c r="W942" s="125">
        <f t="shared" si="1704"/>
        <v>1743.7528321338705</v>
      </c>
      <c r="X942" s="131">
        <f t="shared" si="1713"/>
        <v>5.3139845797312818E-2</v>
      </c>
      <c r="Y942" s="131">
        <f t="shared" si="1714"/>
        <v>2.7718341768800479E-3</v>
      </c>
      <c r="Z942" s="131"/>
      <c r="AA942" s="131"/>
      <c r="AB942" s="131"/>
      <c r="AC942" s="125">
        <f t="shared" si="1684"/>
        <v>194922.77055589596</v>
      </c>
      <c r="AD942" s="129"/>
      <c r="AE942" s="133">
        <v>12670.756734421959</v>
      </c>
      <c r="AF942" s="134">
        <v>1.8666766460831204E-2</v>
      </c>
      <c r="AG942" s="59">
        <f t="shared" si="1705"/>
        <v>9.7367955197541435E-4</v>
      </c>
      <c r="AH942" s="134"/>
      <c r="AI942" s="134"/>
      <c r="AJ942" s="129">
        <f t="shared" si="1680"/>
        <v>489707.44178163027</v>
      </c>
      <c r="AK942" s="134">
        <f t="shared" si="1715"/>
        <v>7.5931909950859799E-2</v>
      </c>
      <c r="AL942" s="129"/>
      <c r="AM942" s="129"/>
      <c r="AN942" s="129"/>
      <c r="AO942" s="129"/>
      <c r="AP942" s="133">
        <f t="shared" si="1716"/>
        <v>274.30825560728653</v>
      </c>
      <c r="AQ942" s="134">
        <f>+BB942/Outputs!$B$20</f>
        <v>4.9988101104574224E-2</v>
      </c>
      <c r="AR942" s="93">
        <f t="shared" si="1706"/>
        <v>0.24588024959204136</v>
      </c>
      <c r="AS942" s="93">
        <f t="shared" si="1707"/>
        <v>0.35608052550515301</v>
      </c>
      <c r="AT942" s="93">
        <f t="shared" si="1708"/>
        <v>0.39803922490280569</v>
      </c>
      <c r="AU942" s="93">
        <f t="shared" ca="1" si="1711"/>
        <v>3.6280445566086277E-2</v>
      </c>
      <c r="AV942" s="132">
        <f t="shared" ca="1" si="1719"/>
        <v>96.29086524004984</v>
      </c>
      <c r="AW942" s="134">
        <f t="shared" ca="1" si="1720"/>
        <v>3.6280445566086207E-2</v>
      </c>
      <c r="AX942" s="56">
        <f>+AJ942/$AL$17</f>
        <v>5.2161125710684965E-2</v>
      </c>
      <c r="AY942" s="135">
        <f t="shared" ca="1" si="1718"/>
        <v>1.8924288820122855E-3</v>
      </c>
      <c r="AZ942" s="93"/>
      <c r="BA942" s="93"/>
      <c r="BB942" s="234">
        <f>IFERROR(INDEX('Total Customers'!$E$7:$AA$91,MATCH($C942,'Total Customers'!$C$7:$C$91,0),MATCH($G942,'Total Customers'!$E$5:$AA$5,0)),"NA")</f>
        <v>1785245</v>
      </c>
      <c r="BC942" s="269">
        <f t="shared" si="1639"/>
        <v>3.5885726181940775E-3</v>
      </c>
      <c r="BD942" s="92"/>
      <c r="BE942" s="299" t="str">
        <f t="shared" si="1635"/>
        <v>PUBLIC SERVICE ELECTRIC AND GAS COMPANY</v>
      </c>
      <c r="BF942" s="300">
        <f t="shared" si="1636"/>
        <v>4057095</v>
      </c>
      <c r="BG942" s="231" t="str">
        <f t="shared" si="1637"/>
        <v>NJ</v>
      </c>
      <c r="BH942" s="231"/>
      <c r="BI942" s="231" t="str">
        <f t="shared" si="1638"/>
        <v>2012 Y</v>
      </c>
      <c r="BJ942" s="129"/>
      <c r="BK942" s="129"/>
      <c r="BL942" s="129">
        <f>INDEX('Dist. Plant Gas Additions'!$E$7:$AD$91,MATCH($C942,'Dist. Plant Gas Additions'!$C$7:$C$91,0),MATCH(Calculation!$G942,'Dist. Plant Gas Additions'!$E$5:$AD$5,0))</f>
        <v>213179</v>
      </c>
      <c r="BM942" s="129">
        <f>INDEX('Gen. Plant Additions'!$E$7:$AD$91,MATCH($C942,'Gen. Plant Additions'!$C$7:$C$91,0),MATCH(Calculation!$G942,'Gen. Plant Additions'!$E$5:$AD$5,0))</f>
        <v>5388</v>
      </c>
      <c r="BN942" s="301">
        <f t="shared" si="1685"/>
        <v>0.97988480751186779</v>
      </c>
      <c r="BO942" s="231">
        <f t="shared" si="1631"/>
        <v>5279.6193428739434</v>
      </c>
      <c r="BP942" s="231">
        <f t="shared" si="1632"/>
        <v>-108.38065712605658</v>
      </c>
      <c r="BQ942" s="129">
        <f>INDEX('Dist Plant Depreciation'!$D$7:$AC$94,MATCH($C942,'Dist Plant Depreciation'!$C$7:$C$94,0),MATCH(Calculation!$G942,'Dist Plant Depreciation'!$D$5:$AC$5,0))</f>
        <v>1853589</v>
      </c>
      <c r="BR942" s="129">
        <f>INDEX('Gen. Plant Depreciation'!$D$7:$AC$94,MATCH($C942,'Gen. Plant Depreciation'!$C$7:$C$94,0),MATCH(Calculation!$G942,'Gen. Plant Depreciation'!$D$5:$AC$5,0))</f>
        <v>52913</v>
      </c>
      <c r="BS942" s="129"/>
      <c r="BT942" s="129"/>
      <c r="BU942" s="129"/>
      <c r="BV942" s="129"/>
      <c r="BW942" s="129"/>
      <c r="BX942" s="137"/>
      <c r="BY942" s="129">
        <f>INDEX('Gross Dx Plant'!$D$7:$AC$91,MATCH($C942,'Gross Dx Plant'!$C$7:$C$91,0),MATCH(Calculation!$G942,'Gross Dx Plant'!$D$5:$AC$5,0))</f>
        <v>5069193</v>
      </c>
      <c r="BZ942" s="129">
        <f>INDEX('Gross Gen Plant'!$D$7:$AC$91,MATCH($C942,'Gross Gen Plant'!$C$7:$C$91,0),MATCH(Calculation!$G942,'Gross Gen Plant'!$D$5:$AC$5,0))</f>
        <v>104061</v>
      </c>
      <c r="CA942" s="129">
        <f t="shared" si="1595"/>
        <v>3266752</v>
      </c>
      <c r="CB942" s="129"/>
      <c r="CC942" s="133">
        <v>2012</v>
      </c>
      <c r="CD942" s="129"/>
      <c r="CE942" s="129"/>
      <c r="CF942" s="129"/>
      <c r="CG942" s="137"/>
      <c r="CH942" s="129">
        <f t="shared" si="1686"/>
        <v>218567</v>
      </c>
      <c r="CI942" s="46">
        <f t="shared" si="1695"/>
        <v>218458.61934287395</v>
      </c>
      <c r="CJ942" s="231">
        <f t="shared" si="1687"/>
        <v>326.58440580386383</v>
      </c>
      <c r="CK942" s="443">
        <v>0.84090909090909094</v>
      </c>
      <c r="CL942" s="231">
        <f>+CL928*CK942+CJ929*CK941+CJ930*CK940+CJ931*CK939+CJ932*CK938+CJ933*CK937+CJ934*CK936+CJ935*CK935+CJ936*CK934+CJ937*CK933+CJ938*CK932+CJ939*CK931+CJ940*CK930+CJ941*CK929+CJ942</f>
        <v>11896.68575170939</v>
      </c>
      <c r="CM942" s="134">
        <f t="shared" si="1688"/>
        <v>1.3895539508432237E-2</v>
      </c>
      <c r="CN942" s="135">
        <f t="shared" si="1689"/>
        <v>1.3843300951155333E-2</v>
      </c>
      <c r="CO942" s="135">
        <f t="shared" si="1698"/>
        <v>1.3494714405941749E-2</v>
      </c>
      <c r="CP942" s="134">
        <f>VLOOKUP($H942,RoR!$E:$F,2,FALSE)</f>
        <v>3.6733333333333333E-2</v>
      </c>
      <c r="CQ942" s="135">
        <v>1.924331376386168E-2</v>
      </c>
      <c r="CR942" s="135">
        <f t="shared" si="1696"/>
        <v>1.7490019569471653E-2</v>
      </c>
      <c r="CS942" s="135">
        <f t="shared" si="1699"/>
        <v>1.7407227202591878E-2</v>
      </c>
      <c r="CT942" s="135">
        <f t="shared" si="1700"/>
        <v>6.7122682943869583E-2</v>
      </c>
      <c r="CU942" s="139">
        <f t="shared" si="1690"/>
        <v>0.84885500000000003</v>
      </c>
      <c r="CV942" s="335">
        <f t="shared" si="1691"/>
        <v>1.3960631020522127</v>
      </c>
      <c r="CW942" s="335">
        <f t="shared" si="1692"/>
        <v>0.29441923774954631</v>
      </c>
      <c r="CX942" s="335">
        <f t="shared" si="1693"/>
        <v>0.76377954189366437</v>
      </c>
      <c r="CY942" s="335">
        <f t="shared" si="1694"/>
        <v>0.31393465103033691</v>
      </c>
      <c r="CZ942" s="336">
        <f>INDEX('State Tax Lookup'!$D$7:$Z$91,MATCH(Calculation!$C942,'State Tax Lookup'!$B$7:$B$91,0),MATCH($H942,'State Tax Lookup'!$D$6:$Z$6,0))</f>
        <v>0.40849999999999997</v>
      </c>
      <c r="DA942" s="302">
        <v>0.37</v>
      </c>
      <c r="DB942" s="57">
        <f t="shared" si="1697"/>
        <v>16.613890426196036</v>
      </c>
      <c r="DC942" s="56">
        <f t="shared" si="1701"/>
        <v>6.7198523872166058E-2</v>
      </c>
      <c r="DD942" s="303">
        <f>VLOOKUP($H942,RoR!$E:$F,2,FALSE)</f>
        <v>3.6733333333333333E-2</v>
      </c>
      <c r="DE942" s="304">
        <f>HLOOKUP($H942,'GDP-PI'!$D$8:$CQ$11,3,FALSE)</f>
        <v>1.924331376386168E-2</v>
      </c>
      <c r="DF942" s="303">
        <f>VLOOKUP(H942,'HW Dx Data'!$E:$F,2,FALSE)</f>
        <v>668.91932211262167</v>
      </c>
      <c r="DG942" s="364">
        <f ca="1">VLOOKUP(CC942,'ECI - Input Price'!M$13:N$33,2,FALSE)</f>
        <v>124.80000000000001</v>
      </c>
      <c r="DH942" s="364"/>
      <c r="DI942" s="364"/>
      <c r="DJ942" s="56">
        <f t="shared" ca="1" si="1709"/>
        <v>3.1955502161869064E-2</v>
      </c>
      <c r="DK942" s="53">
        <f>HLOOKUP(H942,'GDP-PI'!$8:$9,2,FALSE)</f>
        <v>100</v>
      </c>
      <c r="DL942" s="355">
        <f t="shared" si="1702"/>
        <v>1.9060502738742411E-2</v>
      </c>
      <c r="EC942"/>
    </row>
    <row r="943" spans="1:133" s="126" customFormat="1" ht="21" customHeight="1" x14ac:dyDescent="0.4">
      <c r="A943" s="233" t="s">
        <v>238</v>
      </c>
      <c r="B943" s="126" t="s">
        <v>238</v>
      </c>
      <c r="C943" s="126">
        <v>4057095</v>
      </c>
      <c r="D943" s="127" t="s">
        <v>218</v>
      </c>
      <c r="E943" s="127" t="s">
        <v>15</v>
      </c>
      <c r="F943" s="144"/>
      <c r="G943" s="126" t="s">
        <v>169</v>
      </c>
      <c r="H943" s="128">
        <v>2013</v>
      </c>
      <c r="I943" s="129"/>
      <c r="J943" s="125">
        <f>IFERROR(INDEX('Labor Expenditures'!$E$7:$W$91,MATCH($C943,'Labor Expenditures'!$C$7:$C$91,0),MATCH($G943,'Labor Expenditures'!$E$5:$W$5,0)),"NA")</f>
        <v>123190.98794614014</v>
      </c>
      <c r="K943" s="125">
        <f t="shared" ca="1" si="1703"/>
        <v>971.53775982760362</v>
      </c>
      <c r="L943" s="47"/>
      <c r="M943" s="131">
        <f t="shared" ca="1" si="1710"/>
        <v>6.9398092087987889E-3</v>
      </c>
      <c r="N943" s="131"/>
      <c r="O943" s="131"/>
      <c r="P943" s="59">
        <f t="shared" ca="1" si="1712"/>
        <v>3.5217879445213133E-4</v>
      </c>
      <c r="Q943" s="61"/>
      <c r="R943" s="387"/>
      <c r="S943" s="49">
        <f t="shared" ca="1" si="1717"/>
        <v>106.49417888066336</v>
      </c>
      <c r="T943" s="61">
        <f ca="1">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</f>
        <v>-8.8738644038823006E-2</v>
      </c>
      <c r="U943" s="61"/>
      <c r="V943" s="125">
        <f>IFERROR(INDEX('Non-Labor Expenditures'!$E$7:$AA$91,MATCH($C943,'Non-Labor Expenditures'!$C$7:$C$91,0),MATCH($G943,'Non-Labor Expenditures'!$E$5:$AA$5,0)),"NA")</f>
        <v>178403.55944872284</v>
      </c>
      <c r="W943" s="125">
        <f t="shared" si="1704"/>
        <v>1752.9556901017249</v>
      </c>
      <c r="X943" s="131">
        <f t="shared" si="1713"/>
        <v>5.2637382600866861E-3</v>
      </c>
      <c r="Y943" s="131">
        <f t="shared" si="1714"/>
        <v>2.671221843388053E-4</v>
      </c>
      <c r="Z943" s="131"/>
      <c r="AA943" s="131"/>
      <c r="AB943" s="131"/>
      <c r="AC943" s="125">
        <f t="shared" si="1684"/>
        <v>192209.14828729455</v>
      </c>
      <c r="AD943" s="129"/>
      <c r="AE943" s="133">
        <v>12791.637080546625</v>
      </c>
      <c r="AF943" s="134">
        <v>9.4948852919332621E-3</v>
      </c>
      <c r="AG943" s="59">
        <f t="shared" si="1705"/>
        <v>4.8184282232639715E-4</v>
      </c>
      <c r="AH943" s="134"/>
      <c r="AI943" s="134"/>
      <c r="AJ943" s="129">
        <f t="shared" si="1680"/>
        <v>493803.69568215753</v>
      </c>
      <c r="AK943" s="134">
        <f t="shared" si="1715"/>
        <v>8.3299058447681446E-3</v>
      </c>
      <c r="AL943" s="129"/>
      <c r="AM943" s="129"/>
      <c r="AN943" s="129"/>
      <c r="AO943" s="129"/>
      <c r="AP943" s="133">
        <f t="shared" si="1716"/>
        <v>275.83531765073496</v>
      </c>
      <c r="AQ943" s="134">
        <f>+BB943/Outputs!$B$21</f>
        <v>4.9807703821818379E-2</v>
      </c>
      <c r="AR943" s="93">
        <f t="shared" si="1706"/>
        <v>0.24947360463951135</v>
      </c>
      <c r="AS943" s="93">
        <f t="shared" si="1707"/>
        <v>0.36128437476003494</v>
      </c>
      <c r="AT943" s="93">
        <f t="shared" si="1708"/>
        <v>0.38924202060045376</v>
      </c>
      <c r="AU943" s="93">
        <f t="shared" ca="1" si="1711"/>
        <v>7.34441371486152E-3</v>
      </c>
      <c r="AV943" s="132">
        <f t="shared" ca="1" si="1719"/>
        <v>97.000668545312351</v>
      </c>
      <c r="AW943" s="134">
        <f t="shared" ca="1" si="1720"/>
        <v>7.3444137148615035E-3</v>
      </c>
      <c r="AX943" s="56">
        <f>+AJ943/$AL$18</f>
        <v>5.0747619114026039E-2</v>
      </c>
      <c r="AY943" s="135">
        <f t="shared" ca="1" si="1718"/>
        <v>3.7271150981762065E-4</v>
      </c>
      <c r="AZ943" s="93"/>
      <c r="BA943" s="93"/>
      <c r="BB943" s="234">
        <f>IFERROR(INDEX('Total Customers'!$E$7:$AA$91,MATCH($C943,'Total Customers'!$C$7:$C$91,0),MATCH($G943,'Total Customers'!$E$5:$AA$5,0)),"NA")</f>
        <v>1790212</v>
      </c>
      <c r="BC943" s="269">
        <f t="shared" si="1639"/>
        <v>2.7783878789224958E-3</v>
      </c>
      <c r="BD943" s="92"/>
      <c r="BE943" s="299" t="str">
        <f t="shared" si="1635"/>
        <v>PUBLIC SERVICE ELECTRIC AND GAS COMPANY</v>
      </c>
      <c r="BF943" s="300">
        <f t="shared" si="1636"/>
        <v>4057095</v>
      </c>
      <c r="BG943" s="231" t="str">
        <f t="shared" si="1637"/>
        <v>NJ</v>
      </c>
      <c r="BH943" s="231"/>
      <c r="BI943" s="231" t="str">
        <f t="shared" si="1638"/>
        <v>2013 Y</v>
      </c>
      <c r="BJ943" s="129"/>
      <c r="BK943" s="129"/>
      <c r="BL943" s="129">
        <f>INDEX('Dist. Plant Gas Additions'!$E$7:$AD$91,MATCH($C943,'Dist. Plant Gas Additions'!$C$7:$C$91,0),MATCH(Calculation!$G943,'Dist. Plant Gas Additions'!$E$5:$AD$5,0))</f>
        <v>143751</v>
      </c>
      <c r="BM943" s="129">
        <f>INDEX('Gen. Plant Additions'!$E$7:$AD$91,MATCH($C943,'Gen. Plant Additions'!$C$7:$C$91,0),MATCH(Calculation!$G943,'Gen. Plant Additions'!$E$5:$AD$5,0))</f>
        <v>1022</v>
      </c>
      <c r="BN943" s="301">
        <f t="shared" si="1685"/>
        <v>0.98202212644055276</v>
      </c>
      <c r="BO943" s="231">
        <f t="shared" si="1631"/>
        <v>1003.6266132222449</v>
      </c>
      <c r="BP943" s="231">
        <f t="shared" si="1632"/>
        <v>-18.373386777755059</v>
      </c>
      <c r="BQ943" s="129">
        <f>INDEX('Dist Plant Depreciation'!$D$7:$AC$94,MATCH($C943,'Dist Plant Depreciation'!$C$7:$C$94,0),MATCH(Calculation!$G943,'Dist Plant Depreciation'!$D$5:$AC$5,0))</f>
        <v>1931747</v>
      </c>
      <c r="BR943" s="129">
        <f>INDEX('Gen. Plant Depreciation'!$D$7:$AC$94,MATCH($C943,'Gen. Plant Depreciation'!$C$7:$C$94,0),MATCH(Calculation!$G943,'Gen. Plant Depreciation'!$D$5:$AC$5,0))</f>
        <v>53154</v>
      </c>
      <c r="BS943" s="129"/>
      <c r="BT943" s="129"/>
      <c r="BU943" s="129"/>
      <c r="BV943" s="129"/>
      <c r="BW943" s="129"/>
      <c r="BX943" s="137"/>
      <c r="BY943" s="129">
        <f>INDEX('Gross Dx Plant'!$D$7:$AC$91,MATCH($C943,'Gross Dx Plant'!$C$7:$C$91,0),MATCH(Calculation!$G943,'Gross Dx Plant'!$D$5:$AC$5,0))</f>
        <v>5237998</v>
      </c>
      <c r="BZ943" s="129">
        <f>INDEX('Gross Gen Plant'!$D$7:$AC$91,MATCH($C943,'Gross Gen Plant'!$C$7:$C$91,0),MATCH(Calculation!$G943,'Gross Gen Plant'!$D$5:$AC$5,0))</f>
        <v>95892</v>
      </c>
      <c r="CA943" s="129">
        <f t="shared" si="1595"/>
        <v>3348989</v>
      </c>
      <c r="CB943" s="129"/>
      <c r="CC943" s="133">
        <v>2013</v>
      </c>
      <c r="CD943" s="129"/>
      <c r="CE943" s="129"/>
      <c r="CF943" s="129"/>
      <c r="CG943" s="137"/>
      <c r="CH943" s="129">
        <f t="shared" si="1686"/>
        <v>144773</v>
      </c>
      <c r="CI943" s="46">
        <f t="shared" si="1695"/>
        <v>144754.62661322224</v>
      </c>
      <c r="CJ943" s="231">
        <f t="shared" si="1687"/>
        <v>218.25099829176227</v>
      </c>
      <c r="CK943" s="443">
        <v>0.82758620689655171</v>
      </c>
      <c r="CL943" s="231">
        <f>+CL928*CK943+CJ929*CK942+CJ930*CK941+CJ931*CK940+CJ932*CK939+CJ933*CK938+CJ934*CK937+CJ935*CK936+CJ936*CK935+CJ937*CK934+CJ938*CK933+CJ939*CK932+CJ940*CK931+CJ941*CK930+CJ942*CK929+CJ943</f>
        <v>11945.651321120064</v>
      </c>
      <c r="CM943" s="134">
        <f t="shared" si="1688"/>
        <v>4.1074528980344846E-3</v>
      </c>
      <c r="CN943" s="135">
        <f t="shared" si="1689"/>
        <v>1.422962936183845E-2</v>
      </c>
      <c r="CO943" s="135">
        <f t="shared" si="1698"/>
        <v>1.3847116401446416E-2</v>
      </c>
      <c r="CP943" s="134">
        <f>VLOOKUP($H943,RoR!$E:$F,2,FALSE)</f>
        <v>4.2350000000000006E-2</v>
      </c>
      <c r="CQ943" s="135">
        <v>1.7730000000000024E-2</v>
      </c>
      <c r="CR943" s="135">
        <f t="shared" si="1696"/>
        <v>2.4619999999999982E-2</v>
      </c>
      <c r="CS943" s="135">
        <f t="shared" si="1699"/>
        <v>1.7054825207087211E-2</v>
      </c>
      <c r="CT943" s="135">
        <f t="shared" si="1700"/>
        <v>5.3376742735721204E-2</v>
      </c>
      <c r="CU943" s="139">
        <f t="shared" si="1690"/>
        <v>0.84885500000000003</v>
      </c>
      <c r="CV943" s="335">
        <f t="shared" si="1691"/>
        <v>1.2109103018193925</v>
      </c>
      <c r="CW943" s="335">
        <f t="shared" si="1692"/>
        <v>0.38468122786304604</v>
      </c>
      <c r="CX943" s="335">
        <f t="shared" si="1693"/>
        <v>0.80969194503422559</v>
      </c>
      <c r="CY943" s="335">
        <f t="shared" si="1694"/>
        <v>0.37716621754800816</v>
      </c>
      <c r="CZ943" s="336">
        <f>INDEX('State Tax Lookup'!$D$7:$Z$91,MATCH(Calculation!$C943,'State Tax Lookup'!$B$7:$B$91,0),MATCH($H943,'State Tax Lookup'!$D$6:$Z$6,0))</f>
        <v>0.40849999999999997</v>
      </c>
      <c r="DA943" s="302">
        <v>0.37</v>
      </c>
      <c r="DB943" s="57">
        <f t="shared" si="1697"/>
        <v>16.156528994613204</v>
      </c>
      <c r="DC943" s="56">
        <f t="shared" si="1701"/>
        <v>-2.7914878040856766E-2</v>
      </c>
      <c r="DD943" s="303">
        <f>VLOOKUP($H943,RoR!$E:$F,2,FALSE)</f>
        <v>4.2350000000000006E-2</v>
      </c>
      <c r="DE943" s="304">
        <f>HLOOKUP($H943,'GDP-PI'!$D$8:$CQ$11,3,FALSE)</f>
        <v>1.7730000000000024E-2</v>
      </c>
      <c r="DF943" s="303">
        <f>VLOOKUP(H943,'HW Dx Data'!$E:$F,2,FALSE)</f>
        <v>663.24840548821396</v>
      </c>
      <c r="DG943" s="364">
        <f ca="1">VLOOKUP(CC943,'ECI - Input Price'!M$13:N$33,2,FALSE)</f>
        <v>126.8</v>
      </c>
      <c r="DH943" s="364"/>
      <c r="DI943" s="364"/>
      <c r="DJ943" s="56">
        <f t="shared" ca="1" si="1709"/>
        <v>1.5898586067798204E-2</v>
      </c>
      <c r="DK943" s="53">
        <f>HLOOKUP(H943,'GDP-PI'!$8:$9,2,FALSE)</f>
        <v>101.773</v>
      </c>
      <c r="DL943" s="355">
        <f t="shared" si="1702"/>
        <v>1.7574657016510519E-2</v>
      </c>
      <c r="EC943"/>
    </row>
    <row r="944" spans="1:133" s="126" customFormat="1" ht="21" customHeight="1" x14ac:dyDescent="0.4">
      <c r="A944" s="233" t="s">
        <v>238</v>
      </c>
      <c r="B944" s="126" t="s">
        <v>238</v>
      </c>
      <c r="C944" s="126">
        <v>4057095</v>
      </c>
      <c r="D944" s="127" t="s">
        <v>218</v>
      </c>
      <c r="E944" s="127" t="s">
        <v>15</v>
      </c>
      <c r="F944" s="144"/>
      <c r="G944" s="126" t="s">
        <v>170</v>
      </c>
      <c r="H944" s="128">
        <v>2014</v>
      </c>
      <c r="I944" s="129"/>
      <c r="J944" s="125">
        <f>IFERROR(INDEX('Labor Expenditures'!$E$7:$W$91,MATCH($C944,'Labor Expenditures'!$C$7:$C$91,0),MATCH($G944,'Labor Expenditures'!$E$5:$W$5,0)),"NA")</f>
        <v>105362.98046965661</v>
      </c>
      <c r="K944" s="125">
        <f t="shared" ca="1" si="1703"/>
        <v>814.24250749348232</v>
      </c>
      <c r="L944" s="47"/>
      <c r="M944" s="131">
        <f t="shared" ca="1" si="1710"/>
        <v>-0.17662189322840258</v>
      </c>
      <c r="N944" s="131"/>
      <c r="O944" s="131"/>
      <c r="P944" s="59">
        <f t="shared" ca="1" si="1712"/>
        <v>-8.0687375980342552E-3</v>
      </c>
      <c r="Q944" s="61"/>
      <c r="R944" s="387"/>
      <c r="S944" s="49">
        <f t="shared" ca="1" si="1717"/>
        <v>119.2725468164878</v>
      </c>
      <c r="T944" s="61">
        <f ca="1">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</f>
        <v>0.11332085847487126</v>
      </c>
      <c r="U944" s="61"/>
      <c r="V944" s="125">
        <f>IFERROR(INDEX('Non-Labor Expenditures'!$E$7:$AA$91,MATCH($C944,'Non-Labor Expenditures'!$C$7:$C$91,0),MATCH($G944,'Non-Labor Expenditures'!$E$5:$AA$5,0)),"NA")</f>
        <v>152585.27481029072</v>
      </c>
      <c r="W944" s="125">
        <f t="shared" si="1704"/>
        <v>1472.1629647774728</v>
      </c>
      <c r="X944" s="131">
        <f t="shared" si="1713"/>
        <v>-0.17457060506298408</v>
      </c>
      <c r="Y944" s="131">
        <f t="shared" si="1714"/>
        <v>-7.9750272111610305E-3</v>
      </c>
      <c r="Z944" s="131"/>
      <c r="AA944" s="131"/>
      <c r="AB944" s="131"/>
      <c r="AC944" s="125">
        <f t="shared" si="1684"/>
        <v>194741.21834476947</v>
      </c>
      <c r="AD944" s="129"/>
      <c r="AE944" s="133">
        <v>13106.329002901763</v>
      </c>
      <c r="AF944" s="134">
        <v>2.4303639214747937E-2</v>
      </c>
      <c r="AG944" s="59">
        <f t="shared" si="1705"/>
        <v>1.1102796143596177E-3</v>
      </c>
      <c r="AH944" s="134"/>
      <c r="AI944" s="134"/>
      <c r="AJ944" s="129">
        <f t="shared" si="1680"/>
        <v>452689.4736247168</v>
      </c>
      <c r="AK944" s="134">
        <f t="shared" si="1715"/>
        <v>-8.6931659309990986E-2</v>
      </c>
      <c r="AL944" s="129"/>
      <c r="AM944" s="129"/>
      <c r="AN944" s="129"/>
      <c r="AO944" s="129"/>
      <c r="AP944" s="133">
        <f t="shared" si="1716"/>
        <v>251.78818466048509</v>
      </c>
      <c r="AQ944" s="134">
        <f>+BB944/Outputs!$B$22</f>
        <v>4.9754244917127363E-2</v>
      </c>
      <c r="AR944" s="93">
        <f t="shared" si="1706"/>
        <v>0.23274890760327988</v>
      </c>
      <c r="AS944" s="93">
        <f t="shared" si="1707"/>
        <v>0.33706388970905282</v>
      </c>
      <c r="AT944" s="93">
        <f t="shared" si="1708"/>
        <v>0.4301872026876673</v>
      </c>
      <c r="AU944" s="93">
        <f t="shared" ca="1" si="1711"/>
        <v>-9.358350996895809E-2</v>
      </c>
      <c r="AV944" s="132">
        <f t="shared" ca="1" si="1719"/>
        <v>88.334819413918154</v>
      </c>
      <c r="AW944" s="134">
        <f t="shared" ca="1" si="1720"/>
        <v>-9.3583509968958034E-2</v>
      </c>
      <c r="AX944" s="56">
        <f>+AJ944/$AL$19</f>
        <v>4.5683677434031268E-2</v>
      </c>
      <c r="AY944" s="135">
        <f t="shared" ca="1" si="1718"/>
        <v>-4.275238882566328E-3</v>
      </c>
      <c r="AZ944" s="93"/>
      <c r="BA944" s="93"/>
      <c r="BB944" s="234">
        <f>IFERROR(INDEX('Total Customers'!$E$7:$AA$91,MATCH($C944,'Total Customers'!$C$7:$C$91,0),MATCH($G944,'Total Customers'!$E$5:$AA$5,0)),"NA")</f>
        <v>1797898</v>
      </c>
      <c r="BC944" s="269">
        <f t="shared" si="1639"/>
        <v>4.284156146678578E-3</v>
      </c>
      <c r="BD944" s="92"/>
      <c r="BE944" s="299" t="str">
        <f t="shared" si="1635"/>
        <v>PUBLIC SERVICE ELECTRIC AND GAS COMPANY</v>
      </c>
      <c r="BF944" s="300">
        <f t="shared" si="1636"/>
        <v>4057095</v>
      </c>
      <c r="BG944" s="231" t="str">
        <f t="shared" si="1637"/>
        <v>NJ</v>
      </c>
      <c r="BH944" s="231"/>
      <c r="BI944" s="231" t="str">
        <f t="shared" si="1638"/>
        <v>2014 Y</v>
      </c>
      <c r="BJ944" s="129"/>
      <c r="BK944" s="129"/>
      <c r="BL944" s="129">
        <f>INDEX('Dist. Plant Gas Additions'!$E$7:$AD$91,MATCH($C944,'Dist. Plant Gas Additions'!$C$7:$C$91,0),MATCH(Calculation!$G944,'Dist. Plant Gas Additions'!$E$5:$AD$5,0))</f>
        <v>277317</v>
      </c>
      <c r="BM944" s="129">
        <f>INDEX('Gen. Plant Additions'!$E$7:$AD$91,MATCH($C944,'Gen. Plant Additions'!$C$7:$C$91,0),MATCH(Calculation!$G944,'Gen. Plant Additions'!$E$5:$AD$5,0))</f>
        <v>7947</v>
      </c>
      <c r="BN944" s="301">
        <f t="shared" si="1685"/>
        <v>0.9833401560231213</v>
      </c>
      <c r="BO944" s="231">
        <f t="shared" si="1631"/>
        <v>7814.6042199157446</v>
      </c>
      <c r="BP944" s="231">
        <f t="shared" si="1632"/>
        <v>-132.39578008425542</v>
      </c>
      <c r="BQ944" s="129">
        <f>INDEX('Dist Plant Depreciation'!$D$7:$AC$94,MATCH($C944,'Dist Plant Depreciation'!$C$7:$C$94,0),MATCH(Calculation!$G944,'Dist Plant Depreciation'!$D$5:$AC$5,0))</f>
        <v>1984623</v>
      </c>
      <c r="BR944" s="129">
        <f>INDEX('Gen. Plant Depreciation'!$D$7:$AC$94,MATCH($C944,'Gen. Plant Depreciation'!$C$7:$C$94,0),MATCH(Calculation!$G944,'Gen. Plant Depreciation'!$D$5:$AC$5,0))</f>
        <v>46682</v>
      </c>
      <c r="BS944" s="129"/>
      <c r="BT944" s="129"/>
      <c r="BU944" s="129"/>
      <c r="BV944" s="129"/>
      <c r="BW944" s="129"/>
      <c r="BX944" s="137"/>
      <c r="BY944" s="129">
        <f>INDEX('Gross Dx Plant'!$D$7:$AC$91,MATCH($C944,'Gross Dx Plant'!$C$7:$C$91,0),MATCH(Calculation!$G944,'Gross Dx Plant'!$D$5:$AC$5,0))</f>
        <v>5488872</v>
      </c>
      <c r="BZ944" s="129">
        <f>INDEX('Gross Gen Plant'!$D$7:$AC$91,MATCH($C944,'Gross Gen Plant'!$C$7:$C$91,0),MATCH(Calculation!$G944,'Gross Gen Plant'!$D$5:$AC$5,0))</f>
        <v>92993</v>
      </c>
      <c r="CA944" s="129">
        <f t="shared" si="1595"/>
        <v>3550560</v>
      </c>
      <c r="CB944" s="129"/>
      <c r="CC944" s="133">
        <v>2014</v>
      </c>
      <c r="CD944" s="129"/>
      <c r="CE944" s="129"/>
      <c r="CF944" s="129"/>
      <c r="CG944" s="137"/>
      <c r="CH944" s="129">
        <f t="shared" si="1686"/>
        <v>285264</v>
      </c>
      <c r="CI944" s="46">
        <f t="shared" si="1695"/>
        <v>285131.60421991575</v>
      </c>
      <c r="CJ944" s="231">
        <f t="shared" si="1687"/>
        <v>416.57335060058813</v>
      </c>
      <c r="CK944" s="443">
        <v>0.81395348837209303</v>
      </c>
      <c r="CL944" s="231">
        <f>+CL928*CK944+CJ929*CK943+CJ930*CK942+CJ931*CK941+CJ932*CK940+CJ933*CK939+CJ934*CK938+CJ935*CK937+CJ936*CK936+CJ937*CK935+CJ938*CK934+CJ939*CK933+CJ940*CK932+CJ941*CK931+CJ942*CK930+CJ943*CK929+CJ944</f>
        <v>12186.954889732689</v>
      </c>
      <c r="CM944" s="134">
        <f t="shared" si="1688"/>
        <v>1.9998802362216208E-2</v>
      </c>
      <c r="CN944" s="135">
        <f t="shared" si="1689"/>
        <v>1.467226669156859E-2</v>
      </c>
      <c r="CO944" s="135">
        <f t="shared" si="1698"/>
        <v>1.4248399001520791E-2</v>
      </c>
      <c r="CP944" s="134">
        <f>VLOOKUP($H944,RoR!$E:$F,2,FALSE)</f>
        <v>4.1625000000000002E-2</v>
      </c>
      <c r="CQ944" s="135">
        <v>1.841352814597208E-2</v>
      </c>
      <c r="CR944" s="135">
        <f t="shared" si="1696"/>
        <v>2.3211471854027922E-2</v>
      </c>
      <c r="CS944" s="135">
        <f t="shared" si="1699"/>
        <v>1.6653542607012836E-2</v>
      </c>
      <c r="CT944" s="135">
        <f t="shared" si="1700"/>
        <v>3.9072621432650924E-2</v>
      </c>
      <c r="CU944" s="139">
        <f t="shared" si="1690"/>
        <v>0.84885500000000003</v>
      </c>
      <c r="CV944" s="335">
        <f t="shared" si="1691"/>
        <v>1.2320012320012319</v>
      </c>
      <c r="CW944" s="335">
        <f t="shared" si="1692"/>
        <v>0.37439939939939942</v>
      </c>
      <c r="CX944" s="335">
        <f t="shared" si="1693"/>
        <v>0.80432100613819935</v>
      </c>
      <c r="CY944" s="335">
        <f t="shared" si="1694"/>
        <v>0.37100152660040037</v>
      </c>
      <c r="CZ944" s="336">
        <f>INDEX('State Tax Lookup'!$D$7:$Z$91,MATCH(Calculation!$C944,'State Tax Lookup'!$B$7:$B$91,0),MATCH($H944,'State Tax Lookup'!$D$6:$Z$6,0))</f>
        <v>0.40849999999999997</v>
      </c>
      <c r="DA944" s="302">
        <v>0.37</v>
      </c>
      <c r="DB944" s="57">
        <f t="shared" si="1697"/>
        <v>16.302268759549722</v>
      </c>
      <c r="DC944" s="56">
        <f t="shared" si="1701"/>
        <v>8.9800457444587437E-3</v>
      </c>
      <c r="DD944" s="303">
        <f>VLOOKUP($H944,RoR!$E:$F,2,FALSE)</f>
        <v>4.1625000000000002E-2</v>
      </c>
      <c r="DE944" s="304">
        <f>HLOOKUP($H944,'GDP-PI'!$D$8:$CQ$11,3,FALSE)</f>
        <v>1.841352814597208E-2</v>
      </c>
      <c r="DF944" s="303">
        <f>VLOOKUP(H944,'HW Dx Data'!$E:$F,2,FALSE)</f>
        <v>684.46914285042885</v>
      </c>
      <c r="DG944" s="364">
        <f ca="1">VLOOKUP(CC944,'ECI - Input Price'!M$13:N$33,2,FALSE)</f>
        <v>129.4</v>
      </c>
      <c r="DH944" s="364"/>
      <c r="DI944" s="364"/>
      <c r="DJ944" s="56">
        <f t="shared" ca="1" si="1709"/>
        <v>2.0297340063674733E-2</v>
      </c>
      <c r="DK944" s="53">
        <f>HLOOKUP(H944,'GDP-PI'!$8:$9,2,FALSE)</f>
        <v>103.64700000000001</v>
      </c>
      <c r="DL944" s="355">
        <f t="shared" si="1702"/>
        <v>1.8246051898256087E-2</v>
      </c>
      <c r="EC944"/>
    </row>
    <row r="945" spans="1:133" s="126" customFormat="1" ht="21" customHeight="1" x14ac:dyDescent="0.4">
      <c r="A945" s="233" t="s">
        <v>238</v>
      </c>
      <c r="B945" s="126" t="s">
        <v>238</v>
      </c>
      <c r="C945" s="126">
        <v>4057095</v>
      </c>
      <c r="D945" s="127" t="s">
        <v>218</v>
      </c>
      <c r="E945" s="127" t="s">
        <v>15</v>
      </c>
      <c r="F945" s="144"/>
      <c r="G945" s="126" t="s">
        <v>171</v>
      </c>
      <c r="H945" s="128">
        <v>2015</v>
      </c>
      <c r="I945" s="129"/>
      <c r="J945" s="125">
        <f>IFERROR(INDEX('Labor Expenditures'!$E$7:$W$91,MATCH($C945,'Labor Expenditures'!$C$7:$C$91,0),MATCH($G945,'Labor Expenditures'!$E$5:$W$5,0)),"NA")</f>
        <v>107183.36932932511</v>
      </c>
      <c r="K945" s="125">
        <f t="shared" ca="1" si="1703"/>
        <v>802.87168036947651</v>
      </c>
      <c r="L945" s="47"/>
      <c r="M945" s="131">
        <f t="shared" ca="1" si="1710"/>
        <v>-1.4063341496370972E-2</v>
      </c>
      <c r="N945" s="131"/>
      <c r="O945" s="131"/>
      <c r="P945" s="59">
        <f t="shared" ca="1" si="1712"/>
        <v>-6.4153536717647579E-4</v>
      </c>
      <c r="Q945" s="61"/>
      <c r="R945" s="387"/>
      <c r="S945" s="49">
        <f t="shared" ca="1" si="1717"/>
        <v>118.81750375921538</v>
      </c>
      <c r="T945" s="61">
        <f ca="1">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</f>
        <v>-3.8224496171042929E-3</v>
      </c>
      <c r="U945" s="61"/>
      <c r="V945" s="125">
        <f>IFERROR(INDEX('Non-Labor Expenditures'!$E$7:$AA$91,MATCH($C945,'Non-Labor Expenditures'!$C$7:$C$91,0),MATCH($G945,'Non-Labor Expenditures'!$E$5:$AA$5,0)),"NA")</f>
        <v>155221.53788083006</v>
      </c>
      <c r="W945" s="125">
        <f t="shared" si="1704"/>
        <v>1483.4004327337805</v>
      </c>
      <c r="X945" s="131">
        <f t="shared" si="1713"/>
        <v>7.6043180916904474E-3</v>
      </c>
      <c r="Y945" s="131">
        <f t="shared" si="1714"/>
        <v>3.4689045987671026E-4</v>
      </c>
      <c r="Z945" s="131"/>
      <c r="AA945" s="131"/>
      <c r="AB945" s="131"/>
      <c r="AC945" s="125">
        <f t="shared" si="1684"/>
        <v>191971.839267812</v>
      </c>
      <c r="AD945" s="129"/>
      <c r="AE945" s="133">
        <v>13639.377709073071</v>
      </c>
      <c r="AF945" s="134">
        <v>3.9865785342715551E-2</v>
      </c>
      <c r="AG945" s="59">
        <f t="shared" si="1705"/>
        <v>1.8185799757630338E-3</v>
      </c>
      <c r="AH945" s="134"/>
      <c r="AI945" s="134"/>
      <c r="AJ945" s="129">
        <f t="shared" si="1680"/>
        <v>454376.74647796713</v>
      </c>
      <c r="AK945" s="134">
        <f t="shared" si="1715"/>
        <v>3.7202902322292361E-3</v>
      </c>
      <c r="AL945" s="129"/>
      <c r="AM945" s="129"/>
      <c r="AN945" s="129"/>
      <c r="AO945" s="129"/>
      <c r="AP945" s="133">
        <f t="shared" si="1716"/>
        <v>251.45782524223819</v>
      </c>
      <c r="AQ945" s="134">
        <f>+BB945/Outputs!$B$23</f>
        <v>4.959869134136851E-2</v>
      </c>
      <c r="AR945" s="93">
        <f t="shared" si="1706"/>
        <v>0.23589096528407505</v>
      </c>
      <c r="AS945" s="93">
        <f t="shared" si="1707"/>
        <v>0.34161417608626854</v>
      </c>
      <c r="AT945" s="93">
        <f t="shared" si="1708"/>
        <v>0.42249485862965652</v>
      </c>
      <c r="AU945" s="93">
        <f t="shared" ca="1" si="1711"/>
        <v>1.6281540672495366E-2</v>
      </c>
      <c r="AV945" s="132">
        <f t="shared" ca="1" si="1719"/>
        <v>89.784818446745163</v>
      </c>
      <c r="AW945" s="134">
        <f t="shared" ca="1" si="1720"/>
        <v>1.6281540672495386E-2</v>
      </c>
      <c r="AX945" s="56">
        <f>+AJ945/$AL$20</f>
        <v>4.5617563033794155E-2</v>
      </c>
      <c r="AY945" s="135">
        <f t="shared" ca="1" si="1718"/>
        <v>7.4272420791484154E-4</v>
      </c>
      <c r="AZ945" s="93"/>
      <c r="BA945" s="93"/>
      <c r="BB945" s="234">
        <f>IFERROR(INDEX('Total Customers'!$E$7:$AA$91,MATCH($C945,'Total Customers'!$C$7:$C$91,0),MATCH($G945,'Total Customers'!$E$5:$AA$5,0)),"NA")</f>
        <v>1806970</v>
      </c>
      <c r="BC945" s="269">
        <f t="shared" si="1639"/>
        <v>5.0332046287700476E-3</v>
      </c>
      <c r="BD945" s="92"/>
      <c r="BE945" s="299" t="str">
        <f t="shared" si="1635"/>
        <v>PUBLIC SERVICE ELECTRIC AND GAS COMPANY</v>
      </c>
      <c r="BF945" s="300">
        <f t="shared" si="1636"/>
        <v>4057095</v>
      </c>
      <c r="BG945" s="231" t="str">
        <f t="shared" si="1637"/>
        <v>NJ</v>
      </c>
      <c r="BH945" s="231"/>
      <c r="BI945" s="231" t="str">
        <f t="shared" si="1638"/>
        <v>2015 Y</v>
      </c>
      <c r="BJ945" s="129"/>
      <c r="BK945" s="129"/>
      <c r="BL945" s="129">
        <f>INDEX('Dist. Plant Gas Additions'!$E$7:$AD$91,MATCH($C945,'Dist. Plant Gas Additions'!$C$7:$C$91,0),MATCH(Calculation!$G945,'Dist. Plant Gas Additions'!$E$5:$AD$5,0))</f>
        <v>437196</v>
      </c>
      <c r="BM945" s="129">
        <f>INDEX('Gen. Plant Additions'!$E$7:$AD$91,MATCH($C945,'Gen. Plant Additions'!$C$7:$C$91,0),MATCH(Calculation!$G945,'Gen. Plant Additions'!$E$5:$AD$5,0))</f>
        <v>-4111</v>
      </c>
      <c r="BN945" s="301">
        <f t="shared" si="1685"/>
        <v>0.98614960353871262</v>
      </c>
      <c r="BO945" s="231">
        <f t="shared" si="1631"/>
        <v>-4054.0610201476475</v>
      </c>
      <c r="BP945" s="231">
        <f t="shared" si="1632"/>
        <v>56.938979852352531</v>
      </c>
      <c r="BQ945" s="129">
        <f>INDEX('Dist Plant Depreciation'!$D$7:$AC$94,MATCH($C945,'Dist Plant Depreciation'!$C$7:$C$94,0),MATCH(Calculation!$G945,'Dist Plant Depreciation'!$D$5:$AC$5,0))</f>
        <v>2043957</v>
      </c>
      <c r="BR945" s="129">
        <f>INDEX('Gen. Plant Depreciation'!$D$7:$AC$94,MATCH($C945,'Gen. Plant Depreciation'!$C$7:$C$94,0),MATCH(Calculation!$G945,'Gen. Plant Depreciation'!$D$5:$AC$5,0))</f>
        <v>46882</v>
      </c>
      <c r="BS945" s="129"/>
      <c r="BT945" s="129"/>
      <c r="BU945" s="129"/>
      <c r="BV945" s="129"/>
      <c r="BW945" s="129"/>
      <c r="BX945" s="137"/>
      <c r="BY945" s="129">
        <f>INDEX('Gross Dx Plant'!$D$7:$AC$91,MATCH($C945,'Gross Dx Plant'!$C$7:$C$91,0),MATCH(Calculation!$G945,'Gross Dx Plant'!$D$5:$AC$5,0))</f>
        <v>5878921</v>
      </c>
      <c r="BZ945" s="129">
        <f>INDEX('Gross Gen Plant'!$D$7:$AC$91,MATCH($C945,'Gross Gen Plant'!$C$7:$C$91,0),MATCH(Calculation!$G945,'Gross Gen Plant'!$D$5:$AC$5,0))</f>
        <v>82569</v>
      </c>
      <c r="CA945" s="129">
        <f t="shared" si="1595"/>
        <v>3870651</v>
      </c>
      <c r="CB945" s="129"/>
      <c r="CC945" s="133">
        <v>2015</v>
      </c>
      <c r="CD945" s="129"/>
      <c r="CE945" s="129"/>
      <c r="CF945" s="129"/>
      <c r="CG945" s="137"/>
      <c r="CH945" s="129">
        <f t="shared" si="1686"/>
        <v>433085</v>
      </c>
      <c r="CI945" s="46">
        <f t="shared" si="1695"/>
        <v>433141.93897985236</v>
      </c>
      <c r="CJ945" s="231">
        <f t="shared" si="1687"/>
        <v>641.10798932961438</v>
      </c>
      <c r="CK945" s="443">
        <v>0.8</v>
      </c>
      <c r="CL945" s="231">
        <f>+CL928*CK945+CJ929*CK944+CJ930*CK943+CJ931*CK942+CJ932*CK941+CJ933*CK940+CJ934*CK939+CJ935*CK938+CJ936*CK937+CJ937*CK936+CJ938*CK935+CJ939*CK934+CJ940*CK933+CJ941*CK932+CJ942*CK931+CJ943*CK930+CJ944*CK929+CJ945</f>
        <v>12644.670656019412</v>
      </c>
      <c r="CM945" s="134">
        <f t="shared" si="1688"/>
        <v>3.6869726063448821E-2</v>
      </c>
      <c r="CN945" s="135">
        <f t="shared" si="1689"/>
        <v>1.5048240081482235E-2</v>
      </c>
      <c r="CO945" s="135">
        <f t="shared" si="1698"/>
        <v>1.4650045378296424E-2</v>
      </c>
      <c r="CP945" s="134">
        <f>VLOOKUP($H945,RoR!$E:$F,2,FALSE)</f>
        <v>3.8866666666666674E-2</v>
      </c>
      <c r="CQ945" s="135">
        <v>9.5709475431029478E-3</v>
      </c>
      <c r="CR945" s="135">
        <f t="shared" si="1696"/>
        <v>2.9295719123563727E-2</v>
      </c>
      <c r="CS945" s="135">
        <f t="shared" si="1699"/>
        <v>1.6251896230237199E-2</v>
      </c>
      <c r="CT945" s="135">
        <f t="shared" si="1700"/>
        <v>3.5270373279175926E-3</v>
      </c>
      <c r="CU945" s="139">
        <f t="shared" si="1690"/>
        <v>0.84885500000000003</v>
      </c>
      <c r="CV945" s="335">
        <f t="shared" si="1691"/>
        <v>1.3194352816994324</v>
      </c>
      <c r="CW945" s="335">
        <f t="shared" si="1692"/>
        <v>0.33177530017152673</v>
      </c>
      <c r="CX945" s="335">
        <f t="shared" si="1693"/>
        <v>0.78242572977668579</v>
      </c>
      <c r="CY945" s="335">
        <f t="shared" si="1694"/>
        <v>0.34251158643433932</v>
      </c>
      <c r="CZ945" s="336">
        <f>INDEX('State Tax Lookup'!$D$7:$Z$91,MATCH(Calculation!$C945,'State Tax Lookup'!$B$7:$B$91,0),MATCH($H945,'State Tax Lookup'!$D$6:$Z$6,0))</f>
        <v>0.40849999999999997</v>
      </c>
      <c r="DA945" s="302">
        <v>0.37</v>
      </c>
      <c r="DB945" s="57">
        <f t="shared" si="1697"/>
        <v>15.752240080050278</v>
      </c>
      <c r="DC945" s="56">
        <f t="shared" si="1701"/>
        <v>-3.4321703366366661E-2</v>
      </c>
      <c r="DD945" s="303">
        <f>VLOOKUP($H945,RoR!$E:$F,2,FALSE)</f>
        <v>3.8866666666666674E-2</v>
      </c>
      <c r="DE945" s="304">
        <f>HLOOKUP($H945,'GDP-PI'!$D$8:$CQ$11,3,FALSE)</f>
        <v>9.5709475431029478E-3</v>
      </c>
      <c r="DF945" s="303">
        <f>VLOOKUP(H945,'HW Dx Data'!$E:$F,2,FALSE)</f>
        <v>675.61463308665782</v>
      </c>
      <c r="DG945" s="364">
        <f ca="1">VLOOKUP(CC945,'ECI - Input Price'!M$13:N$33,2,FALSE)</f>
        <v>133.5</v>
      </c>
      <c r="DH945" s="364"/>
      <c r="DI945" s="364"/>
      <c r="DJ945" s="56">
        <f t="shared" ca="1" si="1709"/>
        <v>3.1193095773504077E-2</v>
      </c>
      <c r="DK945" s="53">
        <f>HLOOKUP(H945,'GDP-PI'!$8:$9,2,FALSE)</f>
        <v>104.639</v>
      </c>
      <c r="DL945" s="355">
        <f t="shared" si="1702"/>
        <v>9.5254361854427965E-3</v>
      </c>
      <c r="EC945"/>
    </row>
    <row r="946" spans="1:133" s="126" customFormat="1" ht="21" customHeight="1" x14ac:dyDescent="0.4">
      <c r="A946" s="233" t="s">
        <v>238</v>
      </c>
      <c r="B946" s="126" t="s">
        <v>238</v>
      </c>
      <c r="C946" s="126">
        <v>4057095</v>
      </c>
      <c r="D946" s="127" t="s">
        <v>218</v>
      </c>
      <c r="E946" s="127" t="s">
        <v>15</v>
      </c>
      <c r="F946" s="144"/>
      <c r="G946" s="126" t="s">
        <v>172</v>
      </c>
      <c r="H946" s="128">
        <v>2016</v>
      </c>
      <c r="I946" s="129"/>
      <c r="J946" s="125">
        <f>IFERROR(INDEX('Labor Expenditures'!$E$7:$W$91,MATCH($C946,'Labor Expenditures'!$C$7:$C$91,0),MATCH($G946,'Labor Expenditures'!$E$5:$W$5,0)),"NA")</f>
        <v>110569.86613627597</v>
      </c>
      <c r="K946" s="125">
        <f t="shared" ca="1" si="1703"/>
        <v>807.37397689869283</v>
      </c>
      <c r="L946" s="47"/>
      <c r="M946" s="131">
        <f t="shared" ca="1" si="1710"/>
        <v>5.5920762668932641E-3</v>
      </c>
      <c r="N946" s="131"/>
      <c r="O946" s="131"/>
      <c r="P946" s="59">
        <f t="shared" ca="1" si="1712"/>
        <v>2.5241358752110018E-4</v>
      </c>
      <c r="Q946" s="61"/>
      <c r="R946" s="387"/>
      <c r="S946" s="49">
        <f t="shared" ca="1" si="1717"/>
        <v>294.39009517475284</v>
      </c>
      <c r="T946" s="61">
        <f ca="1">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</f>
        <v>0.90731700806535331</v>
      </c>
      <c r="U946" s="61"/>
      <c r="V946" s="125">
        <f>IFERROR(INDEX('Non-Labor Expenditures'!$E$7:$AA$91,MATCH($C946,'Non-Labor Expenditures'!$C$7:$C$91,0),MATCH($G946,'Non-Labor Expenditures'!$E$5:$AA$5,0)),"NA")</f>
        <v>160125.81776765024</v>
      </c>
      <c r="W946" s="125">
        <f t="shared" si="1704"/>
        <v>1514.3926171564106</v>
      </c>
      <c r="X946" s="131">
        <f t="shared" si="1713"/>
        <v>2.0677403768470978E-2</v>
      </c>
      <c r="Y946" s="131">
        <f t="shared" si="1714"/>
        <v>9.3333091623260152E-4</v>
      </c>
      <c r="Z946" s="131"/>
      <c r="AA946" s="131"/>
      <c r="AB946" s="131"/>
      <c r="AC946" s="125">
        <f t="shared" si="1684"/>
        <v>193435.10208025188</v>
      </c>
      <c r="AD946" s="129"/>
      <c r="AE946" s="133">
        <v>14377.974346057445</v>
      </c>
      <c r="AF946" s="134">
        <v>5.2736447437758613E-2</v>
      </c>
      <c r="AG946" s="59">
        <f t="shared" si="1705"/>
        <v>2.3804031375054668E-3</v>
      </c>
      <c r="AH946" s="134"/>
      <c r="AI946" s="134"/>
      <c r="AJ946" s="129">
        <f t="shared" si="1680"/>
        <v>464130.78598417807</v>
      </c>
      <c r="AK946" s="134">
        <f t="shared" si="1715"/>
        <v>2.1239686881302126E-2</v>
      </c>
      <c r="AL946" s="129"/>
      <c r="AM946" s="129"/>
      <c r="AN946" s="129"/>
      <c r="AO946" s="129"/>
      <c r="AP946" s="133">
        <f t="shared" si="1716"/>
        <v>255.5433065056416</v>
      </c>
      <c r="AQ946" s="134">
        <f>+BB946/Outputs!$B$24</f>
        <v>4.942263778425178E-2</v>
      </c>
      <c r="AR946" s="93">
        <f t="shared" si="1706"/>
        <v>0.23822997628096412</v>
      </c>
      <c r="AS946" s="93">
        <f t="shared" si="1707"/>
        <v>0.34500150087675679</v>
      </c>
      <c r="AT946" s="93">
        <f t="shared" si="1708"/>
        <v>0.41676852284227911</v>
      </c>
      <c r="AU946" s="93">
        <f t="shared" ca="1" si="1711"/>
        <v>3.0554259627359873E-2</v>
      </c>
      <c r="AV946" s="132">
        <f t="shared" ca="1" si="1719"/>
        <v>92.570467104874041</v>
      </c>
      <c r="AW946" s="134">
        <f t="shared" ca="1" si="1720"/>
        <v>3.0554259627359946E-2</v>
      </c>
      <c r="AX946" s="56">
        <f>+AJ946/$AL$21</f>
        <v>4.5137722640777068E-2</v>
      </c>
      <c r="AY946" s="135">
        <f t="shared" ca="1" si="1718"/>
        <v>1.3791496965540658E-3</v>
      </c>
      <c r="AZ946" s="93"/>
      <c r="BA946" s="93"/>
      <c r="BB946" s="234">
        <f>IFERROR(INDEX('Total Customers'!$E$7:$AA$91,MATCH($C946,'Total Customers'!$C$7:$C$91,0),MATCH($G946,'Total Customers'!$E$5:$AA$5,0)),"NA")</f>
        <v>1816251</v>
      </c>
      <c r="BC946" s="269">
        <f t="shared" si="1639"/>
        <v>5.1230771178585755E-3</v>
      </c>
      <c r="BD946" s="92"/>
      <c r="BE946" s="299" t="str">
        <f t="shared" si="1635"/>
        <v>PUBLIC SERVICE ELECTRIC AND GAS COMPANY</v>
      </c>
      <c r="BF946" s="300">
        <f t="shared" si="1636"/>
        <v>4057095</v>
      </c>
      <c r="BG946" s="231" t="str">
        <f t="shared" si="1637"/>
        <v>NJ</v>
      </c>
      <c r="BH946" s="231"/>
      <c r="BI946" s="231" t="str">
        <f t="shared" si="1638"/>
        <v>2016 Y</v>
      </c>
      <c r="BJ946" s="129"/>
      <c r="BK946" s="129"/>
      <c r="BL946" s="129">
        <f>INDEX('Dist. Plant Gas Additions'!$E$7:$AD$91,MATCH($C946,'Dist. Plant Gas Additions'!$C$7:$C$91,0),MATCH(Calculation!$G946,'Dist. Plant Gas Additions'!$E$5:$AD$5,0))</f>
        <v>566819</v>
      </c>
      <c r="BM946" s="129">
        <f>INDEX('Gen. Plant Additions'!$E$7:$AD$91,MATCH($C946,'Gen. Plant Additions'!$C$7:$C$91,0),MATCH(Calculation!$G946,'Gen. Plant Additions'!$E$5:$AD$5,0))</f>
        <v>6518</v>
      </c>
      <c r="BN946" s="301">
        <f t="shared" si="1685"/>
        <v>0.98541573067373112</v>
      </c>
      <c r="BO946" s="231">
        <f t="shared" si="1631"/>
        <v>6422.9397325313794</v>
      </c>
      <c r="BP946" s="231">
        <f t="shared" si="1632"/>
        <v>-95.060267468620623</v>
      </c>
      <c r="BQ946" s="129">
        <f>INDEX('Dist Plant Depreciation'!$D$7:$AC$94,MATCH($C946,'Dist Plant Depreciation'!$C$7:$C$94,0),MATCH(Calculation!$G946,'Dist Plant Depreciation'!$D$5:$AC$5,0))</f>
        <v>2065479</v>
      </c>
      <c r="BR946" s="129">
        <f>INDEX('Gen. Plant Depreciation'!$D$7:$AC$94,MATCH($C946,'Gen. Plant Depreciation'!$C$7:$C$94,0),MATCH(Calculation!$G946,'Gen. Plant Depreciation'!$D$5:$AC$5,0))</f>
        <v>48515</v>
      </c>
      <c r="BS946" s="129"/>
      <c r="BT946" s="129"/>
      <c r="BU946" s="129"/>
      <c r="BV946" s="129"/>
      <c r="BW946" s="129"/>
      <c r="BX946" s="137"/>
      <c r="BY946" s="129">
        <f>INDEX('Gross Dx Plant'!$D$7:$AC$91,MATCH($C946,'Gross Dx Plant'!$C$7:$C$91,0),MATCH(Calculation!$G946,'Gross Dx Plant'!$D$5:$AC$5,0))</f>
        <v>6380422</v>
      </c>
      <c r="BZ946" s="129">
        <f>INDEX('Gross Gen Plant'!$D$7:$AC$91,MATCH($C946,'Gross Gen Plant'!$C$7:$C$91,0),MATCH(Calculation!$G946,'Gross Gen Plant'!$D$5:$AC$5,0))</f>
        <v>94431</v>
      </c>
      <c r="CA946" s="129">
        <f t="shared" ref="CA946:CA1015" si="1721">IF(OR(BQ946="NA",BR946="NA"),"NA",(SUM(BY946:BZ946)-SUM(BQ946:BR946)))</f>
        <v>4360859</v>
      </c>
      <c r="CB946" s="129"/>
      <c r="CC946" s="133">
        <v>2016</v>
      </c>
      <c r="CD946" s="129"/>
      <c r="CE946" s="129"/>
      <c r="CF946" s="129"/>
      <c r="CG946" s="137"/>
      <c r="CH946" s="129">
        <f t="shared" si="1686"/>
        <v>573337</v>
      </c>
      <c r="CI946" s="46">
        <f t="shared" si="1695"/>
        <v>573241.93973253143</v>
      </c>
      <c r="CJ946" s="231">
        <f t="shared" si="1687"/>
        <v>853.72921454717618</v>
      </c>
      <c r="CK946" s="443">
        <v>0.7857142857142857</v>
      </c>
      <c r="CL946" s="231">
        <f>+CL928*CK946+CJ929*CK945+CJ930*CK944+CJ931*CK943+CJ932*CK942+CJ933*CK941+CJ934*CK940+CJ935*CK939+CJ936*CK938+CJ937*CK937+CJ938*CK936+CJ939*CK935+CJ940*CK934+CJ941*CK933+CJ942*CK932+CJ943*CK931+CJ944*CK930+CJ945*CK929+CJ946</f>
        <v>13304.440917695169</v>
      </c>
      <c r="CM946" s="134">
        <f t="shared" si="1688"/>
        <v>5.0862048689574106E-2</v>
      </c>
      <c r="CN946" s="135">
        <f t="shared" si="1689"/>
        <v>1.5339185823640827E-2</v>
      </c>
      <c r="CO946" s="135">
        <f t="shared" si="1698"/>
        <v>1.501989753223055E-2</v>
      </c>
      <c r="CP946" s="134">
        <f>VLOOKUP($H946,RoR!$E:$F,2,FALSE)</f>
        <v>3.6658333333333334E-2</v>
      </c>
      <c r="CQ946" s="135">
        <v>1.0483662879041455E-2</v>
      </c>
      <c r="CR946" s="135">
        <f t="shared" si="1696"/>
        <v>2.6174670454291879E-2</v>
      </c>
      <c r="CS946" s="135">
        <f t="shared" si="1699"/>
        <v>1.5882044076303073E-2</v>
      </c>
      <c r="CT946" s="135">
        <f t="shared" si="1700"/>
        <v>4.301363574220729E-3</v>
      </c>
      <c r="CU946" s="139">
        <f t="shared" si="1690"/>
        <v>0.84885500000000003</v>
      </c>
      <c r="CV946" s="335">
        <f t="shared" si="1691"/>
        <v>1.3989193348138562</v>
      </c>
      <c r="CW946" s="335">
        <f t="shared" si="1692"/>
        <v>0.29302682427824522</v>
      </c>
      <c r="CX946" s="335">
        <f t="shared" si="1693"/>
        <v>0.76309497491941802</v>
      </c>
      <c r="CY946" s="335">
        <f t="shared" si="1694"/>
        <v>0.31280857135128509</v>
      </c>
      <c r="CZ946" s="336">
        <f>INDEX('State Tax Lookup'!$D$7:$Z$91,MATCH(Calculation!$C946,'State Tax Lookup'!$B$7:$B$91,0),MATCH($H946,'State Tax Lookup'!$D$6:$Z$6,0))</f>
        <v>0.40849999999999997</v>
      </c>
      <c r="DA946" s="302">
        <v>0.37</v>
      </c>
      <c r="DB946" s="57">
        <f t="shared" si="1697"/>
        <v>15.297757240372913</v>
      </c>
      <c r="DC946" s="56">
        <f t="shared" si="1701"/>
        <v>-2.9276350405947869E-2</v>
      </c>
      <c r="DD946" s="303">
        <f>VLOOKUP($H946,RoR!$E:$F,2,FALSE)</f>
        <v>3.6658333333333334E-2</v>
      </c>
      <c r="DE946" s="304">
        <f>HLOOKUP($H946,'GDP-PI'!$D$8:$CQ$11,3,FALSE)</f>
        <v>1.0483662879041455E-2</v>
      </c>
      <c r="DF946" s="303">
        <f>VLOOKUP(H946,'HW Dx Data'!$E:$F,2,FALSE)</f>
        <v>671.45639385971219</v>
      </c>
      <c r="DG946" s="364">
        <f ca="1">VLOOKUP(CC946,'ECI - Input Price'!M$13:N$33,2,FALSE)</f>
        <v>136.94999999999999</v>
      </c>
      <c r="DH946" s="364"/>
      <c r="DI946" s="364"/>
      <c r="DJ946" s="56">
        <f t="shared" ca="1" si="1709"/>
        <v>2.5514417868782811E-2</v>
      </c>
      <c r="DK946" s="53">
        <f>HLOOKUP(H946,'GDP-PI'!$8:$9,2,FALSE)</f>
        <v>105.736</v>
      </c>
      <c r="DL946" s="355">
        <f t="shared" si="1702"/>
        <v>1.0429090367205095E-2</v>
      </c>
      <c r="EC946"/>
    </row>
    <row r="947" spans="1:133" s="126" customFormat="1" ht="21" customHeight="1" x14ac:dyDescent="0.4">
      <c r="A947" s="233" t="s">
        <v>238</v>
      </c>
      <c r="B947" s="126" t="s">
        <v>238</v>
      </c>
      <c r="C947" s="126">
        <v>4057095</v>
      </c>
      <c r="D947" s="127" t="s">
        <v>218</v>
      </c>
      <c r="E947" s="127" t="s">
        <v>15</v>
      </c>
      <c r="F947" s="144"/>
      <c r="G947" s="126" t="s">
        <v>173</v>
      </c>
      <c r="H947" s="128">
        <v>2017</v>
      </c>
      <c r="I947" s="129"/>
      <c r="J947" s="125">
        <f>IFERROR(INDEX('Labor Expenditures'!$E$7:$W$91,MATCH($C947,'Labor Expenditures'!$C$7:$C$91,0),MATCH($G947,'Labor Expenditures'!$E$5:$W$5,0)),"NA")</f>
        <v>110377.920821899</v>
      </c>
      <c r="K947" s="125">
        <f t="shared" ca="1" si="1703"/>
        <v>785.88765270131012</v>
      </c>
      <c r="L947" s="47"/>
      <c r="M947" s="131">
        <f t="shared" ca="1" si="1710"/>
        <v>-2.6973130438712075E-2</v>
      </c>
      <c r="N947" s="131"/>
      <c r="O947" s="131"/>
      <c r="P947" s="59">
        <f t="shared" ca="1" si="1712"/>
        <v>-1.1858802610496804E-3</v>
      </c>
      <c r="Q947" s="61"/>
      <c r="R947" s="387"/>
      <c r="S947" s="49">
        <f t="shared" ca="1" si="1717"/>
        <v>165.75161859010436</v>
      </c>
      <c r="T947" s="61">
        <f ca="1">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</f>
        <v>-0.57441534791345772</v>
      </c>
      <c r="U947" s="61"/>
      <c r="V947" s="125">
        <f>IFERROR(INDEX('Non-Labor Expenditures'!$E$7:$AA$91,MATCH($C947,'Non-Labor Expenditures'!$C$7:$C$91,0),MATCH($G947,'Non-Labor Expenditures'!$E$5:$AA$5,0)),"NA")</f>
        <v>159847.84510199286</v>
      </c>
      <c r="W947" s="125">
        <f t="shared" si="1704"/>
        <v>1483.4929151654542</v>
      </c>
      <c r="X947" s="131">
        <f t="shared" si="1713"/>
        <v>-2.0615060825291614E-2</v>
      </c>
      <c r="Y947" s="131">
        <f t="shared" si="1714"/>
        <v>-9.0634617915780809E-4</v>
      </c>
      <c r="Z947" s="131"/>
      <c r="AA947" s="131"/>
      <c r="AB947" s="131"/>
      <c r="AC947" s="125">
        <f t="shared" si="1684"/>
        <v>181698.57125596498</v>
      </c>
      <c r="AD947" s="129"/>
      <c r="AE947" s="133">
        <v>15302.234740509655</v>
      </c>
      <c r="AF947" s="134">
        <v>6.230140289330869E-2</v>
      </c>
      <c r="AG947" s="59">
        <f t="shared" si="1705"/>
        <v>2.7390963794414504E-3</v>
      </c>
      <c r="AH947" s="134"/>
      <c r="AI947" s="134"/>
      <c r="AJ947" s="129">
        <f t="shared" si="1680"/>
        <v>451924.33717985684</v>
      </c>
      <c r="AK947" s="134">
        <f t="shared" si="1715"/>
        <v>-2.6651608654376494E-2</v>
      </c>
      <c r="AL947" s="129"/>
      <c r="AM947" s="129"/>
      <c r="AN947" s="129"/>
      <c r="AO947" s="129"/>
      <c r="AP947" s="133">
        <f t="shared" si="1716"/>
        <v>246.72399256420638</v>
      </c>
      <c r="AQ947" s="134">
        <f>+BB947/Outputs!$B$25</f>
        <v>4.946854732668373E-2</v>
      </c>
      <c r="AR947" s="93">
        <f t="shared" si="1706"/>
        <v>0.24423982454826457</v>
      </c>
      <c r="AS947" s="93">
        <f t="shared" si="1707"/>
        <v>0.35370488365262925</v>
      </c>
      <c r="AT947" s="93">
        <f t="shared" si="1708"/>
        <v>0.40205529179910615</v>
      </c>
      <c r="AU947" s="93">
        <f t="shared" ca="1" si="1711"/>
        <v>1.1798138444004878E-2</v>
      </c>
      <c r="AV947" s="132">
        <f t="shared" ca="1" si="1719"/>
        <v>93.66909442653558</v>
      </c>
      <c r="AW947" s="134">
        <f t="shared" ca="1" si="1720"/>
        <v>1.179813844400497E-2</v>
      </c>
      <c r="AX947" s="56">
        <f>+AJ947/$AL$22</f>
        <v>4.3965243995101683E-2</v>
      </c>
      <c r="AY947" s="135">
        <f t="shared" ca="1" si="1718"/>
        <v>5.1870803537866776E-4</v>
      </c>
      <c r="AZ947" s="93"/>
      <c r="BA947" s="93"/>
      <c r="BB947" s="234">
        <f>IFERROR(INDEX('Total Customers'!$E$7:$AA$91,MATCH($C947,'Total Customers'!$C$7:$C$91,0),MATCH($G947,'Total Customers'!$E$5:$AA$5,0)),"NA")</f>
        <v>1831700</v>
      </c>
      <c r="BC947" s="269">
        <f t="shared" si="1639"/>
        <v>8.4700108968335918E-3</v>
      </c>
      <c r="BD947" s="92"/>
      <c r="BE947" s="299" t="str">
        <f t="shared" si="1635"/>
        <v>PUBLIC SERVICE ELECTRIC AND GAS COMPANY</v>
      </c>
      <c r="BF947" s="300">
        <f t="shared" si="1636"/>
        <v>4057095</v>
      </c>
      <c r="BG947" s="231" t="str">
        <f t="shared" si="1637"/>
        <v>NJ</v>
      </c>
      <c r="BH947" s="231"/>
      <c r="BI947" s="231" t="str">
        <f t="shared" si="1638"/>
        <v>2017 Y</v>
      </c>
      <c r="BJ947" s="129"/>
      <c r="BK947" s="129"/>
      <c r="BL947" s="129">
        <f>INDEX('Dist. Plant Gas Additions'!$E$7:$AD$91,MATCH($C947,'Dist. Plant Gas Additions'!$C$7:$C$91,0),MATCH(Calculation!$G947,'Dist. Plant Gas Additions'!$E$5:$AD$5,0))</f>
        <v>733366</v>
      </c>
      <c r="BM947" s="129">
        <f>INDEX('Gen. Plant Additions'!$E$7:$AD$91,MATCH($C947,'Gen. Plant Additions'!$C$7:$C$91,0),MATCH(Calculation!$G947,'Gen. Plant Additions'!$E$5:$AD$5,0))</f>
        <v>13423</v>
      </c>
      <c r="BN947" s="301">
        <f t="shared" si="1685"/>
        <v>0.98026461088595007</v>
      </c>
      <c r="BO947" s="231">
        <f t="shared" si="1631"/>
        <v>13158.091871922108</v>
      </c>
      <c r="BP947" s="231">
        <f t="shared" si="1632"/>
        <v>-264.90812807789189</v>
      </c>
      <c r="BQ947" s="129">
        <f>INDEX('Dist Plant Depreciation'!$D$7:$AC$94,MATCH($C947,'Dist Plant Depreciation'!$C$7:$C$94,0),MATCH(Calculation!$G947,'Dist Plant Depreciation'!$D$5:$AC$5,0))</f>
        <v>2086009</v>
      </c>
      <c r="BR947" s="129">
        <f>INDEX('Gen. Plant Depreciation'!$D$7:$AC$94,MATCH($C947,'Gen. Plant Depreciation'!$C$7:$C$94,0),MATCH(Calculation!$G947,'Gen. Plant Depreciation'!$D$5:$AC$5,0))</f>
        <v>55843</v>
      </c>
      <c r="BS947" s="129"/>
      <c r="BT947" s="129"/>
      <c r="BU947" s="129"/>
      <c r="BV947" s="129"/>
      <c r="BW947" s="129"/>
      <c r="BX947" s="137"/>
      <c r="BY947" s="129">
        <f>INDEX('Gross Dx Plant'!$D$7:$AC$91,MATCH($C947,'Gross Dx Plant'!$C$7:$C$91,0),MATCH(Calculation!$G947,'Gross Dx Plant'!$D$5:$AC$5,0))</f>
        <v>7043908</v>
      </c>
      <c r="BZ947" s="129">
        <f>INDEX('Gross Gen Plant'!$D$7:$AC$91,MATCH($C947,'Gross Gen Plant'!$C$7:$C$91,0),MATCH(Calculation!$G947,'Gross Gen Plant'!$D$5:$AC$5,0))</f>
        <v>141813</v>
      </c>
      <c r="CA947" s="129">
        <f t="shared" si="1721"/>
        <v>5043869</v>
      </c>
      <c r="CB947" s="129"/>
      <c r="CC947" s="133">
        <v>2017</v>
      </c>
      <c r="CD947" s="129"/>
      <c r="CE947" s="129"/>
      <c r="CF947" s="129"/>
      <c r="CG947" s="137"/>
      <c r="CH947" s="129">
        <f t="shared" si="1686"/>
        <v>746789</v>
      </c>
      <c r="CI947" s="46">
        <f t="shared" si="1695"/>
        <v>746524.09187192214</v>
      </c>
      <c r="CJ947" s="231">
        <f t="shared" si="1687"/>
        <v>1047.8581417837559</v>
      </c>
      <c r="CK947" s="443">
        <v>0.77108433734939763</v>
      </c>
      <c r="CL947" s="231">
        <f>+CL928*CK947+CJ929*CK946+CJ930*CK945+CJ931*CK944+CJ932*CK943+CJ933*CK942+CJ934*CK941+CJ935*CK940+CJ936*CK939+CJ937*CK938+CJ938*CK937+CJ939*CK936+CJ940*CK935+CJ941*CK934+CJ942*CK933+CJ943*CK932+CJ944*CK931+CJ945*CK930+CJ946*CK929+CJ947</f>
        <v>14145.393577130213</v>
      </c>
      <c r="CM947" s="134">
        <f t="shared" si="1688"/>
        <v>6.1291145756168293E-2</v>
      </c>
      <c r="CN947" s="135">
        <f t="shared" si="1689"/>
        <v>1.5551610445616166E-2</v>
      </c>
      <c r="CO947" s="135">
        <f t="shared" si="1698"/>
        <v>1.5313012116913077E-2</v>
      </c>
      <c r="CP947" s="134">
        <f>VLOOKUP($H947,RoR!$E:$F,2,FALSE)</f>
        <v>3.7433333333333339E-2</v>
      </c>
      <c r="CQ947" s="135">
        <v>1.9056896421275615E-2</v>
      </c>
      <c r="CR947" s="135">
        <f t="shared" si="1696"/>
        <v>1.8376436912057724E-2</v>
      </c>
      <c r="CS947" s="135">
        <f t="shared" si="1699"/>
        <v>1.5588929491620548E-2</v>
      </c>
      <c r="CT947" s="135">
        <f t="shared" si="1700"/>
        <v>1.3976271617800498E-2</v>
      </c>
      <c r="CU947" s="139">
        <f t="shared" si="1690"/>
        <v>0.90065499999999998</v>
      </c>
      <c r="CV947" s="335">
        <f t="shared" si="1691"/>
        <v>1.3699568463593395</v>
      </c>
      <c r="CW947" s="335">
        <f t="shared" si="1692"/>
        <v>0.30714603739982199</v>
      </c>
      <c r="CX947" s="335">
        <f t="shared" si="1693"/>
        <v>0.77007188472689425</v>
      </c>
      <c r="CY947" s="335">
        <f t="shared" si="1694"/>
        <v>0.32402839633793828</v>
      </c>
      <c r="CZ947" s="336">
        <f>INDEX('State Tax Lookup'!$D$7:$Z$91,MATCH(Calculation!$C947,'State Tax Lookup'!$B$7:$B$91,0),MATCH($H947,'State Tax Lookup'!$D$6:$Z$6,0))</f>
        <v>0.26849999999999996</v>
      </c>
      <c r="DA947" s="302">
        <v>0.37</v>
      </c>
      <c r="DB947" s="57">
        <f t="shared" si="1697"/>
        <v>13.656986594175656</v>
      </c>
      <c r="DC947" s="56">
        <f t="shared" si="1701"/>
        <v>-0.11345500296960861</v>
      </c>
      <c r="DD947" s="303">
        <f>VLOOKUP($H947,RoR!$E:$F,2,FALSE)</f>
        <v>3.7433333333333339E-2</v>
      </c>
      <c r="DE947" s="304">
        <f>HLOOKUP($H947,'GDP-PI'!$D$8:$CQ$11,3,FALSE)</f>
        <v>1.9056896421275615E-2</v>
      </c>
      <c r="DF947" s="303">
        <f>VLOOKUP(H947,'HW Dx Data'!$E:$F,2,FALSE)</f>
        <v>712.42858370229726</v>
      </c>
      <c r="DG947" s="364">
        <f ca="1">VLOOKUP(CC947,'ECI - Input Price'!M$13:N$33,2,FALSE)</f>
        <v>140.44999999999999</v>
      </c>
      <c r="DH947" s="364"/>
      <c r="DI947" s="364"/>
      <c r="DJ947" s="56">
        <f t="shared" ca="1" si="1709"/>
        <v>2.5235657841165486E-2</v>
      </c>
      <c r="DK947" s="53">
        <f>HLOOKUP(H947,'GDP-PI'!$8:$9,2,FALSE)</f>
        <v>107.751</v>
      </c>
      <c r="DL947" s="355">
        <f t="shared" si="1702"/>
        <v>1.8877588227745139E-2</v>
      </c>
      <c r="EC947"/>
    </row>
    <row r="948" spans="1:133" s="126" customFormat="1" ht="21" customHeight="1" x14ac:dyDescent="0.4">
      <c r="A948" s="233" t="s">
        <v>238</v>
      </c>
      <c r="B948" s="126" t="s">
        <v>238</v>
      </c>
      <c r="C948" s="126">
        <v>4057095</v>
      </c>
      <c r="D948" s="127" t="s">
        <v>218</v>
      </c>
      <c r="E948" s="127" t="s">
        <v>15</v>
      </c>
      <c r="F948" s="144"/>
      <c r="G948" s="126" t="s">
        <v>174</v>
      </c>
      <c r="H948" s="128">
        <v>2018</v>
      </c>
      <c r="I948" s="129"/>
      <c r="J948" s="125">
        <f>IFERROR(INDEX('Labor Expenditures'!$E$7:$W$91,MATCH($C948,'Labor Expenditures'!$C$7:$C$91,0),MATCH($G948,'Labor Expenditures'!$E$5:$W$5,0)),"NA")</f>
        <v>112702.82116461902</v>
      </c>
      <c r="K948" s="125">
        <f t="shared" ca="1" si="1703"/>
        <v>780.22029189767409</v>
      </c>
      <c r="L948" s="47"/>
      <c r="M948" s="131">
        <f t="shared" ca="1" si="1710"/>
        <v>-7.2375413995395535E-3</v>
      </c>
      <c r="N948" s="131"/>
      <c r="O948" s="131"/>
      <c r="P948" s="59">
        <f t="shared" ca="1" si="1712"/>
        <v>-3.1050431128760124E-4</v>
      </c>
      <c r="Q948" s="61"/>
      <c r="R948" s="387"/>
      <c r="S948" s="49">
        <f t="shared" ca="1" si="1717"/>
        <v>113.94319234837063</v>
      </c>
      <c r="T948" s="61">
        <f ca="1">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</f>
        <v>-0.37479038280593796</v>
      </c>
      <c r="U948" s="61"/>
      <c r="V948" s="125">
        <f>IFERROR(INDEX('Non-Labor Expenditures'!$E$7:$AA$91,MATCH($C948,'Non-Labor Expenditures'!$C$7:$C$91,0),MATCH($G948,'Non-Labor Expenditures'!$E$5:$AA$5,0)),"NA")</f>
        <v>163214.73502973781</v>
      </c>
      <c r="W948" s="125">
        <f t="shared" si="1704"/>
        <v>1479.4395952732712</v>
      </c>
      <c r="X948" s="131">
        <f t="shared" si="1713"/>
        <v>-2.7360207540563881E-3</v>
      </c>
      <c r="Y948" s="131">
        <f t="shared" si="1714"/>
        <v>-1.1738050161079696E-4</v>
      </c>
      <c r="Z948" s="131"/>
      <c r="AA948" s="131"/>
      <c r="AB948" s="131"/>
      <c r="AC948" s="125">
        <f t="shared" si="1684"/>
        <v>201492.58215992388</v>
      </c>
      <c r="AD948" s="129"/>
      <c r="AE948" s="133">
        <v>16216.965368507073</v>
      </c>
      <c r="AF948" s="134">
        <v>5.8059060025771846E-2</v>
      </c>
      <c r="AG948" s="59">
        <f t="shared" si="1705"/>
        <v>2.490844259413105E-3</v>
      </c>
      <c r="AH948" s="134"/>
      <c r="AI948" s="134"/>
      <c r="AJ948" s="129">
        <f t="shared" si="1680"/>
        <v>477410.13835428073</v>
      </c>
      <c r="AK948" s="134">
        <f t="shared" si="1715"/>
        <v>5.486118008201913E-2</v>
      </c>
      <c r="AL948" s="129"/>
      <c r="AM948" s="129"/>
      <c r="AN948" s="129"/>
      <c r="AO948" s="129"/>
      <c r="AP948" s="133">
        <f t="shared" si="1716"/>
        <v>258.59587607068318</v>
      </c>
      <c r="AQ948" s="134">
        <f>+BB948/Outputs!$B$26</f>
        <v>4.9422487912905023E-2</v>
      </c>
      <c r="AR948" s="93">
        <f t="shared" si="1706"/>
        <v>0.23607127731540445</v>
      </c>
      <c r="AS948" s="93">
        <f t="shared" si="1707"/>
        <v>0.34187530158527546</v>
      </c>
      <c r="AT948" s="93">
        <f t="shared" si="1708"/>
        <v>0.42205342109932004</v>
      </c>
      <c r="AU948" s="93">
        <f t="shared" ca="1" si="1711"/>
        <v>2.1233791961306623E-2</v>
      </c>
      <c r="AV948" s="132">
        <f t="shared" ca="1" si="1719"/>
        <v>95.679311224474986</v>
      </c>
      <c r="AW948" s="134">
        <f t="shared" ca="1" si="1720"/>
        <v>2.1233791961306588E-2</v>
      </c>
      <c r="AX948" s="56">
        <f>+AJ948/$AL$23</f>
        <v>4.290190468649413E-2</v>
      </c>
      <c r="AY948" s="135">
        <f t="shared" ca="1" si="1718"/>
        <v>9.1097011885682053E-4</v>
      </c>
      <c r="AZ948" s="93"/>
      <c r="BA948" s="93"/>
      <c r="BB948" s="234">
        <f>IFERROR(INDEX('Total Customers'!$E$7:$AA$91,MATCH($C948,'Total Customers'!$C$7:$C$91,0),MATCH($G948,'Total Customers'!$E$5:$AA$5,0)),"NA")</f>
        <v>1846163</v>
      </c>
      <c r="BC948" s="269">
        <f t="shared" si="1639"/>
        <v>7.8649338234155191E-3</v>
      </c>
      <c r="BD948" s="92"/>
      <c r="BE948" s="299" t="str">
        <f t="shared" si="1635"/>
        <v>PUBLIC SERVICE ELECTRIC AND GAS COMPANY</v>
      </c>
      <c r="BF948" s="300">
        <f t="shared" si="1636"/>
        <v>4057095</v>
      </c>
      <c r="BG948" s="231" t="str">
        <f t="shared" si="1637"/>
        <v>NJ</v>
      </c>
      <c r="BH948" s="231"/>
      <c r="BI948" s="231" t="str">
        <f t="shared" si="1638"/>
        <v>2018 Y</v>
      </c>
      <c r="BJ948" s="129"/>
      <c r="BK948" s="129"/>
      <c r="BL948" s="129">
        <f>INDEX('Dist. Plant Gas Additions'!$E$7:$AD$91,MATCH($C948,'Dist. Plant Gas Additions'!$C$7:$C$91,0),MATCH(Calculation!$G948,'Dist. Plant Gas Additions'!$E$5:$AD$5,0))</f>
        <v>764322</v>
      </c>
      <c r="BM948" s="129">
        <f>INDEX('Gen. Plant Additions'!$E$7:$AD$91,MATCH($C948,'Gen. Plant Additions'!$C$7:$C$91,0),MATCH(Calculation!$G948,'Gen. Plant Additions'!$E$5:$AD$5,0))</f>
        <v>27632</v>
      </c>
      <c r="BN948" s="301">
        <f t="shared" si="1685"/>
        <v>0.97694166399834326</v>
      </c>
      <c r="BO948" s="231">
        <f t="shared" si="1631"/>
        <v>26994.852059602221</v>
      </c>
      <c r="BP948" s="231">
        <f t="shared" si="1632"/>
        <v>-637.14794039777917</v>
      </c>
      <c r="BQ948" s="129">
        <f>INDEX('Dist Plant Depreciation'!$D$7:$AC$94,MATCH($C948,'Dist Plant Depreciation'!$C$7:$C$94,0),MATCH(Calculation!$G948,'Dist Plant Depreciation'!$D$5:$AC$5,0))</f>
        <v>2103981</v>
      </c>
      <c r="BR948" s="129">
        <f>INDEX('Gen. Plant Depreciation'!$D$7:$AC$94,MATCH($C948,'Gen. Plant Depreciation'!$C$7:$C$94,0),MATCH(Calculation!$G948,'Gen. Plant Depreciation'!$D$5:$AC$5,0))</f>
        <v>69907</v>
      </c>
      <c r="BS948" s="129"/>
      <c r="BT948" s="129"/>
      <c r="BU948" s="129"/>
      <c r="BV948" s="129"/>
      <c r="BW948" s="129"/>
      <c r="BX948" s="137"/>
      <c r="BY948" s="129">
        <f>INDEX('Gross Dx Plant'!$D$7:$AC$91,MATCH($C948,'Gross Dx Plant'!$C$7:$C$91,0),MATCH(Calculation!$G948,'Gross Dx Plant'!$D$5:$AC$5,0))</f>
        <v>7774068</v>
      </c>
      <c r="BZ948" s="129">
        <f>INDEX('Gross Gen Plant'!$D$7:$AC$91,MATCH($C948,'Gross Gen Plant'!$C$7:$C$91,0),MATCH(Calculation!$G948,'Gross Gen Plant'!$D$5:$AC$5,0))</f>
        <v>183488</v>
      </c>
      <c r="CA948" s="129">
        <f t="shared" si="1721"/>
        <v>5783668</v>
      </c>
      <c r="CB948" s="129"/>
      <c r="CC948" s="133">
        <v>2018</v>
      </c>
      <c r="CD948" s="129"/>
      <c r="CE948" s="129"/>
      <c r="CF948" s="129"/>
      <c r="CG948" s="137"/>
      <c r="CH948" s="129">
        <f t="shared" si="1686"/>
        <v>791954</v>
      </c>
      <c r="CI948" s="46">
        <f t="shared" si="1695"/>
        <v>791316.85205960227</v>
      </c>
      <c r="CJ948" s="231">
        <f t="shared" si="1687"/>
        <v>1047.9120363646894</v>
      </c>
      <c r="CK948" s="443">
        <v>0.75609756097560976</v>
      </c>
      <c r="CL948" s="231">
        <f>+CL928*CK948++CJ929*CK947+CJ930*CK946+CJ931*CK945+CJ932*CK944+CJ933*CK943+CJ934*CK942+CJ935*CK941+CJ936*CK940+CJ937*CK939+CJ938*CK938+CJ939*CK937+CJ940*CK936+CJ941*CK935+CJ942*CK934+CJ943*CK933+CJ944*CK932+CJ945*CK931+CJ946*CK930+CJ947*CK929+CJ948</f>
        <v>14971.203951796342</v>
      </c>
      <c r="CM948" s="134">
        <f t="shared" si="1688"/>
        <v>5.6739590662786069E-2</v>
      </c>
      <c r="CN948" s="135">
        <f t="shared" si="1689"/>
        <v>1.5701341958957341E-2</v>
      </c>
      <c r="CO948" s="135">
        <f t="shared" si="1698"/>
        <v>1.5530712742738111E-2</v>
      </c>
      <c r="CP948" s="134">
        <f>VLOOKUP($H948,RoR!$E:$F,2,FALSE)</f>
        <v>3.9299999999999995E-2</v>
      </c>
      <c r="CQ948" s="135">
        <v>2.386056741932796E-2</v>
      </c>
      <c r="CR948" s="135">
        <f t="shared" si="1696"/>
        <v>1.5439432580672034E-2</v>
      </c>
      <c r="CS948" s="135">
        <f t="shared" si="1699"/>
        <v>1.5371228865795514E-2</v>
      </c>
      <c r="CT948" s="135">
        <f t="shared" si="1700"/>
        <v>3.8270792163076606E-2</v>
      </c>
      <c r="CU948" s="139">
        <f t="shared" si="1690"/>
        <v>0.90065499999999998</v>
      </c>
      <c r="CV948" s="335">
        <f t="shared" si="1691"/>
        <v>1.3048868010700074</v>
      </c>
      <c r="CW948" s="335">
        <f t="shared" si="1692"/>
        <v>0.33886768447837151</v>
      </c>
      <c r="CX948" s="335">
        <f t="shared" si="1693"/>
        <v>0.78602506232557801</v>
      </c>
      <c r="CY948" s="335">
        <f t="shared" si="1694"/>
        <v>0.34756768162358759</v>
      </c>
      <c r="CZ948" s="336">
        <f>INDEX('State Tax Lookup'!$D$7:$Z$91,MATCH(Calculation!$C948,'State Tax Lookup'!$B$7:$B$91,0),MATCH($H948,'State Tax Lookup'!$D$6:$Z$6,0))</f>
        <v>0.26849999999999996</v>
      </c>
      <c r="DA948" s="302">
        <v>0.37</v>
      </c>
      <c r="DB948" s="57">
        <f t="shared" si="1697"/>
        <v>14.244395609160723</v>
      </c>
      <c r="DC948" s="56">
        <f t="shared" si="1701"/>
        <v>4.2112309682900202E-2</v>
      </c>
      <c r="DD948" s="303">
        <f>VLOOKUP($H948,RoR!$E:$F,2,FALSE)</f>
        <v>3.9299999999999995E-2</v>
      </c>
      <c r="DE948" s="304">
        <f>HLOOKUP($H948,'GDP-PI'!$D$8:$CQ$11,3,FALSE)</f>
        <v>2.386056741932796E-2</v>
      </c>
      <c r="DF948" s="303">
        <f>VLOOKUP(H948,'HW Dx Data'!$E:$F,2,FALSE)</f>
        <v>755.13671434174842</v>
      </c>
      <c r="DG948" s="364">
        <f ca="1">VLOOKUP(CC948,'ECI - Input Price'!M$13:N$33,2,FALSE)</f>
        <v>144.44999999999999</v>
      </c>
      <c r="DH948" s="364"/>
      <c r="DI948" s="364"/>
      <c r="DJ948" s="56">
        <f t="shared" ca="1" si="1709"/>
        <v>2.80818733619915E-2</v>
      </c>
      <c r="DK948" s="53">
        <f>HLOOKUP(H948,'GDP-PI'!$8:$9,2,FALSE)</f>
        <v>110.322</v>
      </c>
      <c r="DL948" s="355">
        <f t="shared" si="1702"/>
        <v>2.3580352716508712E-2</v>
      </c>
      <c r="EC948"/>
    </row>
    <row r="949" spans="1:133" s="126" customFormat="1" ht="21" customHeight="1" x14ac:dyDescent="0.4">
      <c r="A949" s="233" t="s">
        <v>238</v>
      </c>
      <c r="B949" s="126" t="s">
        <v>238</v>
      </c>
      <c r="C949" s="126">
        <v>4057095</v>
      </c>
      <c r="D949" s="127" t="s">
        <v>218</v>
      </c>
      <c r="E949" s="127" t="s">
        <v>15</v>
      </c>
      <c r="F949" s="144"/>
      <c r="G949" s="126" t="s">
        <v>175</v>
      </c>
      <c r="H949" s="128">
        <v>2019</v>
      </c>
      <c r="I949" s="129"/>
      <c r="J949" s="125">
        <f>IFERROR(INDEX('Labor Expenditures'!$E$7:$W$91,MATCH($C949,'Labor Expenditures'!$C$7:$C$91,0),MATCH($G949,'Labor Expenditures'!$E$5:$W$5,0)),"NA")</f>
        <v>100280.91321692055</v>
      </c>
      <c r="K949" s="125">
        <f t="shared" ca="1" si="1703"/>
        <v>669.99106876178757</v>
      </c>
      <c r="L949" s="47"/>
      <c r="M949" s="131">
        <f t="shared" ca="1" si="1710"/>
        <v>-0.15231192322902276</v>
      </c>
      <c r="N949" s="131"/>
      <c r="O949" s="131"/>
      <c r="P949" s="59">
        <f t="shared" ca="1" si="1712"/>
        <v>-6.1662013977823492E-3</v>
      </c>
      <c r="Q949" s="61"/>
      <c r="R949" s="387"/>
      <c r="S949" s="49">
        <f t="shared" ca="1" si="1717"/>
        <v>113.19218432067618</v>
      </c>
      <c r="T949" s="61">
        <f ca="1">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</f>
        <v>-6.6128911799221814E-3</v>
      </c>
      <c r="U949" s="61"/>
      <c r="V949" s="125">
        <f>IFERROR(INDEX('Non-Labor Expenditures'!$E$7:$AA$91,MATCH($C949,'Non-Labor Expenditures'!$C$7:$C$91,0),MATCH($G949,'Non-Labor Expenditures'!$E$5:$AA$5,0)),"NA")</f>
        <v>145225.49222909816</v>
      </c>
      <c r="W949" s="125">
        <f t="shared" si="1704"/>
        <v>1292.985026701848</v>
      </c>
      <c r="X949" s="131">
        <f t="shared" si="1713"/>
        <v>-0.13470984478125311</v>
      </c>
      <c r="Y949" s="131">
        <f t="shared" si="1714"/>
        <v>-5.4535982185466075E-3</v>
      </c>
      <c r="Z949" s="131"/>
      <c r="AA949" s="131"/>
      <c r="AB949" s="131"/>
      <c r="AC949" s="125">
        <f t="shared" si="1684"/>
        <v>215732.78337152355</v>
      </c>
      <c r="AD949" s="129"/>
      <c r="AE949" s="133">
        <v>16942.725268208163</v>
      </c>
      <c r="AF949" s="134">
        <v>4.3780614753275077E-2</v>
      </c>
      <c r="AG949" s="59">
        <f t="shared" si="1705"/>
        <v>1.7724159879557932E-3</v>
      </c>
      <c r="AH949" s="134"/>
      <c r="AI949" s="134"/>
      <c r="AJ949" s="129">
        <f t="shared" si="1680"/>
        <v>461239.18881754228</v>
      </c>
      <c r="AK949" s="134">
        <f t="shared" si="1715"/>
        <v>-3.445919408016912E-2</v>
      </c>
      <c r="AL949" s="129"/>
      <c r="AM949" s="129"/>
      <c r="AN949" s="129"/>
      <c r="AO949" s="129"/>
      <c r="AP949" s="133">
        <f t="shared" si="1716"/>
        <v>248.37719799050316</v>
      </c>
      <c r="AQ949" s="134">
        <f>+BB949/Outputs!$B$27</f>
        <v>4.9302901720092919E-2</v>
      </c>
      <c r="AR949" s="93">
        <f t="shared" si="1706"/>
        <v>0.2174162899601097</v>
      </c>
      <c r="AS949" s="93">
        <f t="shared" si="1707"/>
        <v>0.31485939562378923</v>
      </c>
      <c r="AT949" s="93">
        <f t="shared" si="1708"/>
        <v>0.46772431441610107</v>
      </c>
      <c r="AU949" s="93">
        <f t="shared" ca="1" si="1711"/>
        <v>-5.9292588200519317E-2</v>
      </c>
      <c r="AV949" s="132">
        <f t="shared" ca="1" si="1719"/>
        <v>90.171147485764095</v>
      </c>
      <c r="AW949" s="134">
        <f t="shared" ca="1" si="1720"/>
        <v>-5.9292588200519344E-2</v>
      </c>
      <c r="AX949" s="56">
        <f>+AJ949/$AL$24</f>
        <v>4.0484036095523417E-2</v>
      </c>
      <c r="AY949" s="135">
        <f t="shared" ca="1" si="1718"/>
        <v>-2.400403280906831E-3</v>
      </c>
      <c r="AZ949" s="93"/>
      <c r="BA949" s="93"/>
      <c r="BB949" s="234">
        <v>1857011</v>
      </c>
      <c r="BC949" s="269">
        <f t="shared" si="1639"/>
        <v>5.858774678154423E-3</v>
      </c>
      <c r="BD949" s="92"/>
      <c r="BE949" s="299" t="str">
        <f t="shared" si="1635"/>
        <v>PUBLIC SERVICE ELECTRIC AND GAS COMPANY</v>
      </c>
      <c r="BF949" s="300">
        <f t="shared" si="1636"/>
        <v>4057095</v>
      </c>
      <c r="BG949" s="231" t="str">
        <f t="shared" si="1637"/>
        <v>NJ</v>
      </c>
      <c r="BH949" s="231"/>
      <c r="BI949" s="231" t="str">
        <f t="shared" si="1638"/>
        <v>2019 Y</v>
      </c>
      <c r="BJ949" s="129"/>
      <c r="BK949" s="129"/>
      <c r="BL949" s="129">
        <f>INDEX('Dist. Plant Gas Additions'!$E$7:$AD$91,MATCH($C949,'Dist. Plant Gas Additions'!$C$7:$C$91,0),MATCH(Calculation!$G949,'Dist. Plant Gas Additions'!$E$5:$AD$5,0))</f>
        <v>663349</v>
      </c>
      <c r="BM949" s="129">
        <f>INDEX('Gen. Plant Additions'!$E$7:$AD$91,MATCH($C949,'Gen. Plant Additions'!$C$7:$C$91,0),MATCH(Calculation!$G949,'Gen. Plant Additions'!$E$5:$AD$5,0))</f>
        <v>9857</v>
      </c>
      <c r="BN949" s="301">
        <f t="shared" si="1685"/>
        <v>0.9776893875821977</v>
      </c>
      <c r="BO949" s="231">
        <f t="shared" si="1631"/>
        <v>9637.0842933977219</v>
      </c>
      <c r="BP949" s="231">
        <f t="shared" si="1632"/>
        <v>-219.91570660227808</v>
      </c>
      <c r="BQ949" s="129">
        <f>INDEX('Dist Plant Depreciation'!$D$7:$AC$94,MATCH($C949,'Dist Plant Depreciation'!$C$7:$C$94,0),MATCH(Calculation!$G949,'Dist Plant Depreciation'!$D$5:$AC$5,0))</f>
        <v>2127524</v>
      </c>
      <c r="BR949" s="129">
        <f>INDEX('Gen. Plant Depreciation'!$D$7:$AC$94,MATCH($C949,'Gen. Plant Depreciation'!$C$7:$C$94,0),MATCH(Calculation!$G949,'Gen. Plant Depreciation'!$D$5:$AC$5,0))</f>
        <v>82631</v>
      </c>
      <c r="BS949" s="129"/>
      <c r="BT949" s="129"/>
      <c r="BU949" s="129"/>
      <c r="BV949" s="129"/>
      <c r="BW949" s="129"/>
      <c r="BX949" s="137"/>
      <c r="BY949" s="129">
        <f>INDEX('Gross Dx Plant'!$D$7:$AC$91,MATCH($C949,'Gross Dx Plant'!$C$7:$C$91,0),MATCH(Calculation!$G949,'Gross Dx Plant'!$D$5:$AC$5,0))</f>
        <v>8347906</v>
      </c>
      <c r="BZ949" s="129">
        <f>INDEX('Gross Gen Plant'!$D$7:$AC$91,MATCH($C949,'Gross Gen Plant'!$C$7:$C$91,0),MATCH(Calculation!$G949,'Gross Gen Plant'!$D$5:$AC$5,0))</f>
        <v>190497</v>
      </c>
      <c r="CA949" s="129">
        <f t="shared" si="1721"/>
        <v>6328248</v>
      </c>
      <c r="CB949" s="129"/>
      <c r="CC949" s="133">
        <v>2019</v>
      </c>
      <c r="CD949" s="129"/>
      <c r="CE949" s="129"/>
      <c r="CF949" s="129"/>
      <c r="CG949" s="137"/>
      <c r="CH949" s="129">
        <f t="shared" si="1686"/>
        <v>673206</v>
      </c>
      <c r="CI949" s="46">
        <f t="shared" si="1695"/>
        <v>672986.08429339773</v>
      </c>
      <c r="CJ949" s="231">
        <f t="shared" si="1687"/>
        <v>870.0089136856385</v>
      </c>
      <c r="CK949" s="443">
        <v>0.7407407407407407</v>
      </c>
      <c r="CL949" s="231">
        <f>CL928*CK949+CJ929*CK948+CJ930*CK947+CJ931*CK946+CJ932*CK945+CJ933*CK944+CJ934*CK943+CJ935*CK942+CJ936*CK941+CJ937*CK940+CJ938*CK939+CJ939*CK938+CJ940*CK937+CJ941*CK936+CJ942*CK935+CJ943*CK934+CJ944*CK933+CJ945*CK932+CJ946*CK931+CJ947*CK930+CJ948*CK929+CJ949</f>
        <v>15603.535776464667</v>
      </c>
      <c r="CM949" s="134">
        <f t="shared" si="1688"/>
        <v>4.1368921411840308E-2</v>
      </c>
      <c r="CN949" s="135">
        <f t="shared" si="1689"/>
        <v>1.5875616268576431E-2</v>
      </c>
      <c r="CO949" s="135">
        <f t="shared" si="1698"/>
        <v>1.5709522891049977E-2</v>
      </c>
      <c r="CP949" s="134">
        <f>VLOOKUP($H949,RoR!$E:$F,2,FALSE)</f>
        <v>3.3875000000000009E-2</v>
      </c>
      <c r="CQ949" s="135">
        <v>1.8092492884465461E-2</v>
      </c>
      <c r="CR949" s="135">
        <f t="shared" si="1696"/>
        <v>1.5782507115534548E-2</v>
      </c>
      <c r="CS949" s="135">
        <f t="shared" si="1699"/>
        <v>1.5192418717483648E-2</v>
      </c>
      <c r="CT949" s="135">
        <f t="shared" si="1700"/>
        <v>4.8445665544254078E-2</v>
      </c>
      <c r="CU949" s="139">
        <f t="shared" si="1690"/>
        <v>0.90065499999999998</v>
      </c>
      <c r="CV949" s="335">
        <f t="shared" si="1691"/>
        <v>1.513861292459078</v>
      </c>
      <c r="CW949" s="335">
        <f t="shared" si="1692"/>
        <v>0.23699261992619944</v>
      </c>
      <c r="CX949" s="335">
        <f t="shared" si="1693"/>
        <v>0.73619765810468829</v>
      </c>
      <c r="CY949" s="335">
        <f t="shared" si="1694"/>
        <v>0.26412854465362851</v>
      </c>
      <c r="CZ949" s="336">
        <f>INDEX('State Tax Lookup'!$D$7:$Z$91,MATCH(Calculation!$C949,'State Tax Lookup'!$B$7:$B$91,0),MATCH($H949,'State Tax Lookup'!$D$6:$Z$6,0))</f>
        <v>0.26849999999999996</v>
      </c>
      <c r="DA949" s="302">
        <v>0.37</v>
      </c>
      <c r="DB949" s="57">
        <f t="shared" si="1697"/>
        <v>14.409848671231183</v>
      </c>
      <c r="DC949" s="56">
        <f t="shared" si="1701"/>
        <v>1.1548369536400073E-2</v>
      </c>
      <c r="DD949" s="303">
        <f>VLOOKUP($H949,RoR!$E:$F,2,FALSE)</f>
        <v>3.3875000000000009E-2</v>
      </c>
      <c r="DE949" s="304">
        <f>HLOOKUP($H949,'GDP-PI'!$D$8:$CQ$11,3,FALSE)</f>
        <v>1.8092492884465461E-2</v>
      </c>
      <c r="DF949" s="303">
        <f>VLOOKUP(H949,'HW Dx Data'!$E:$F,2,FALSE)</f>
        <v>773.53929793938721</v>
      </c>
      <c r="DG949" s="364">
        <f ca="1">VLOOKUP(CC949,'ECI - Input Price'!M$13:N$33,2,FALSE)</f>
        <v>149.67500000000001</v>
      </c>
      <c r="DH949" s="364"/>
      <c r="DI949" s="364"/>
      <c r="DJ949" s="56">
        <f t="shared" ca="1" si="1709"/>
        <v>3.5532849899171604E-2</v>
      </c>
      <c r="DK949" s="53">
        <f>HLOOKUP(H949,'GDP-PI'!$8:$9,2,FALSE)</f>
        <v>112.318</v>
      </c>
      <c r="DL949" s="355">
        <f t="shared" si="1702"/>
        <v>1.7930771451401852E-2</v>
      </c>
      <c r="EC949"/>
    </row>
    <row r="950" spans="1:133" s="126" customFormat="1" ht="21" customHeight="1" x14ac:dyDescent="0.4">
      <c r="A950" s="233" t="s">
        <v>238</v>
      </c>
      <c r="B950" s="126" t="s">
        <v>238</v>
      </c>
      <c r="C950" s="126">
        <v>4057095</v>
      </c>
      <c r="D950" s="126" t="s">
        <v>218</v>
      </c>
      <c r="E950" s="126" t="s">
        <v>15</v>
      </c>
      <c r="G950" s="127" t="s">
        <v>176</v>
      </c>
      <c r="H950" s="128">
        <v>2020</v>
      </c>
      <c r="I950" s="129"/>
      <c r="J950" s="125">
        <v>100281</v>
      </c>
      <c r="K950" s="125">
        <f t="shared" ca="1" si="1703"/>
        <v>654.78942213516154</v>
      </c>
      <c r="L950" s="47"/>
      <c r="M950" s="131">
        <f t="shared" ca="1" si="1710"/>
        <v>-2.2950691067970944E-2</v>
      </c>
      <c r="N950" s="131"/>
      <c r="O950" s="131"/>
      <c r="P950" s="59">
        <f t="shared" ca="1" si="1712"/>
        <v>-9.4729035695038705E-4</v>
      </c>
      <c r="Q950" s="61"/>
      <c r="R950" s="387"/>
      <c r="S950" s="49">
        <f t="shared" ca="1" si="1717"/>
        <v>114.91645431003285</v>
      </c>
      <c r="T950" s="61">
        <f ca="1">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</f>
        <v>1.5118259803167796E-2</v>
      </c>
      <c r="U950" s="61"/>
      <c r="V950" s="125">
        <v>145225</v>
      </c>
      <c r="W950" s="125">
        <f t="shared" si="1704"/>
        <v>1278.1303081242354</v>
      </c>
      <c r="X950" s="131">
        <f t="shared" si="1713"/>
        <v>-1.1555206149633353E-2</v>
      </c>
      <c r="Y950" s="131">
        <f t="shared" si="1714"/>
        <v>-4.7694142741511913E-4</v>
      </c>
      <c r="Z950" s="131"/>
      <c r="AA950" s="131"/>
      <c r="AB950" s="131"/>
      <c r="AC950" s="125">
        <f t="shared" si="1684"/>
        <v>233370.79390833073</v>
      </c>
      <c r="AD950" s="129"/>
      <c r="AE950" s="133">
        <v>17616.060202449549</v>
      </c>
      <c r="AF950" s="134">
        <v>3.8972443478684789E-2</v>
      </c>
      <c r="AG950" s="59">
        <f t="shared" si="1705"/>
        <v>1.6085885947754171E-3</v>
      </c>
      <c r="AH950" s="134"/>
      <c r="AI950" s="134"/>
      <c r="AJ950" s="129">
        <f t="shared" si="1680"/>
        <v>478876.79390833073</v>
      </c>
      <c r="AK950" s="134">
        <f t="shared" si="1715"/>
        <v>3.7526592900629804E-2</v>
      </c>
      <c r="AL950" s="129"/>
      <c r="AM950" s="129"/>
      <c r="AN950" s="129"/>
      <c r="AO950" s="129"/>
      <c r="AP950" s="133">
        <f t="shared" si="1716"/>
        <v>257.87504430955482</v>
      </c>
      <c r="AQ950" s="134">
        <f>+BB950/Outputs!$B$28</f>
        <v>4.8954745915697054E-2</v>
      </c>
      <c r="AR950" s="93">
        <f t="shared" si="1706"/>
        <v>0.20940876917747731</v>
      </c>
      <c r="AS950" s="93">
        <f t="shared" si="1707"/>
        <v>0.30326171960589882</v>
      </c>
      <c r="AT950" s="93">
        <f t="shared" si="1708"/>
        <v>0.48732951121662388</v>
      </c>
      <c r="AU950" s="93">
        <f t="shared" ca="1" si="1711"/>
        <v>1.0141167127158773E-2</v>
      </c>
      <c r="AV950" s="132">
        <f t="shared" ca="1" si="1719"/>
        <v>91.090240624160657</v>
      </c>
      <c r="AW950" s="134">
        <f t="shared" ca="1" si="1720"/>
        <v>1.0141167127158721E-2</v>
      </c>
      <c r="AX950" s="56">
        <f>+AJ950/$AL$25</f>
        <v>4.1275025407508846E-2</v>
      </c>
      <c r="AY950" s="135">
        <f t="shared" ca="1" si="1718"/>
        <v>4.1857693083526969E-4</v>
      </c>
      <c r="AZ950" s="93"/>
      <c r="BA950" s="93"/>
      <c r="BB950" s="234">
        <v>1857011</v>
      </c>
      <c r="BC950" s="269">
        <f t="shared" si="1639"/>
        <v>0</v>
      </c>
      <c r="BD950" s="92"/>
      <c r="BE950" s="299" t="str">
        <f t="shared" si="1635"/>
        <v>PUBLIC SERVICE ELECTRIC AND GAS COMPANY</v>
      </c>
      <c r="BF950" s="300">
        <f t="shared" si="1636"/>
        <v>4057095</v>
      </c>
      <c r="BG950" s="231" t="str">
        <f t="shared" si="1637"/>
        <v>NJ</v>
      </c>
      <c r="BH950" s="231"/>
      <c r="BI950" s="231" t="str">
        <f t="shared" si="1638"/>
        <v>2020 Y</v>
      </c>
      <c r="BJ950" s="129"/>
      <c r="BK950" s="129"/>
      <c r="BL950" s="169"/>
      <c r="BM950" s="169"/>
      <c r="BN950" s="301">
        <v>0.9776893875821977</v>
      </c>
      <c r="BO950" s="231">
        <f t="shared" si="1631"/>
        <v>0</v>
      </c>
      <c r="BP950" s="231">
        <f t="shared" si="1632"/>
        <v>0</v>
      </c>
      <c r="BQ950" s="129"/>
      <c r="BR950" s="129"/>
      <c r="BS950" s="129"/>
      <c r="BT950" s="129"/>
      <c r="BU950" s="129"/>
      <c r="BV950" s="129"/>
      <c r="BW950" s="129"/>
      <c r="BX950" s="137"/>
      <c r="BY950" s="129"/>
      <c r="BZ950" s="129"/>
      <c r="CA950" s="129">
        <f t="shared" si="1721"/>
        <v>0</v>
      </c>
      <c r="CB950" s="129"/>
      <c r="CC950" s="133">
        <v>2020</v>
      </c>
      <c r="CD950" s="129"/>
      <c r="CE950" s="129"/>
      <c r="CF950" s="129"/>
      <c r="CG950" s="137"/>
      <c r="CH950" s="129">
        <v>673206</v>
      </c>
      <c r="CI950" s="46">
        <f t="shared" si="1695"/>
        <v>673206</v>
      </c>
      <c r="CJ950" s="231">
        <f t="shared" si="1687"/>
        <v>827.97002200147153</v>
      </c>
      <c r="CK950" s="443">
        <v>0.72499999999999998</v>
      </c>
      <c r="CL950" s="231">
        <f>CL928*CK950+CJ929*CK949+CJ930*CK948+CJ931*CK947+CJ932*CK946+CJ933*CK945+CJ934*CK944+CJ935*CK943+CJ936*CK942+CJ937*CK941+CJ938*CK940+CJ939*CK939+CJ940*CK938+CJ941*CK937+CJ942*CK936+CJ943*CK935+CJ944*CK934+CJ945*CK933+CJ946*CK932+CJ947*CK931+CJ948*CK930+CJ949*CK929+CJ950</f>
        <v>16179.621449941018</v>
      </c>
      <c r="CM950" s="134">
        <f t="shared" si="1688"/>
        <v>3.6254974273687374E-2</v>
      </c>
      <c r="CN950" s="135">
        <f t="shared" si="1689"/>
        <v>1.6142773800348894E-2</v>
      </c>
      <c r="CO950" s="135">
        <f t="shared" si="1698"/>
        <v>1.5906577342627556E-2</v>
      </c>
      <c r="CP950" s="134">
        <f>VLOOKUP($H950,RoR!$E:$F,2,FALSE)</f>
        <v>2.4766666666666666E-2</v>
      </c>
      <c r="CQ950" s="135">
        <v>1.1618796630994188E-2</v>
      </c>
      <c r="CR950" s="135">
        <f t="shared" si="1696"/>
        <v>1.3147870035672478E-2</v>
      </c>
      <c r="CS950" s="135">
        <f t="shared" si="1699"/>
        <v>1.4995364265906069E-2</v>
      </c>
      <c r="CT950" s="135">
        <f t="shared" si="1700"/>
        <v>4.5144642961987357E-2</v>
      </c>
      <c r="CU950" s="139">
        <f t="shared" si="1690"/>
        <v>0.90065499999999998</v>
      </c>
      <c r="CV950" s="335">
        <f t="shared" si="1691"/>
        <v>2.0706077233668081</v>
      </c>
      <c r="CW950" s="335">
        <f t="shared" si="1692"/>
        <v>-3.4421265141318998E-2</v>
      </c>
      <c r="CX950" s="335">
        <f t="shared" si="1693"/>
        <v>0.62416226176410472</v>
      </c>
      <c r="CY950" s="335">
        <f t="shared" si="1694"/>
        <v>-4.4485877841158712E-2</v>
      </c>
      <c r="CZ950" s="336">
        <f>INDEX('State Tax Lookup'!$D$7:$Z$91,MATCH(Calculation!$C950,'State Tax Lookup'!$B$7:$B$91,0),MATCH($H950,'State Tax Lookup'!$D$6:$Z$6,0))</f>
        <v>0.26849999999999996</v>
      </c>
      <c r="DA950" s="302">
        <v>0.37</v>
      </c>
      <c r="DB950" s="57">
        <f t="shared" si="1697"/>
        <v>14.956276401168745</v>
      </c>
      <c r="DC950" s="56">
        <f t="shared" si="1701"/>
        <v>3.7219129592660931E-2</v>
      </c>
      <c r="DD950" s="303">
        <f>VLOOKUP($H950,RoR!$E:$F,2,FALSE)</f>
        <v>2.4766666666666666E-2</v>
      </c>
      <c r="DE950" s="304">
        <f>HLOOKUP($H950,'GDP-PI'!$D$8:$CQ$11,3,FALSE)</f>
        <v>1.1618796630994188E-2</v>
      </c>
      <c r="DF950" s="303">
        <f>VLOOKUP(H950,'HW Dx Data'!$E:$F,2,FALSE)</f>
        <v>813.080162458833</v>
      </c>
      <c r="DG950" s="364">
        <f ca="1">VLOOKUP(CC950,'ECI - Input Price'!M$13:N$33,2,FALSE)</f>
        <v>153.15</v>
      </c>
      <c r="DH950" s="364"/>
      <c r="DI950" s="364"/>
      <c r="DJ950" s="56">
        <f t="shared" ca="1" si="1709"/>
        <v>2.2951556467368479E-2</v>
      </c>
      <c r="DK950" s="53">
        <f>HLOOKUP(H950,'GDP-PI'!$8:$9,2,FALSE)</f>
        <v>113.623</v>
      </c>
      <c r="DL950" s="355">
        <f t="shared" si="1702"/>
        <v>1.1551816731392881E-2</v>
      </c>
      <c r="EC950"/>
    </row>
    <row r="951" spans="1:133" s="126" customFormat="1" ht="21" customHeight="1" x14ac:dyDescent="0.4">
      <c r="A951" s="233" t="s">
        <v>238</v>
      </c>
      <c r="B951" s="126" t="s">
        <v>238</v>
      </c>
      <c r="C951" s="126">
        <v>4057095</v>
      </c>
      <c r="D951" s="126" t="s">
        <v>218</v>
      </c>
      <c r="E951" s="126" t="s">
        <v>15</v>
      </c>
      <c r="G951" s="127" t="s">
        <v>177</v>
      </c>
      <c r="H951" s="128">
        <v>2021</v>
      </c>
      <c r="I951" s="129"/>
      <c r="J951" s="125">
        <v>78732.083915932992</v>
      </c>
      <c r="K951" s="125">
        <f t="shared" ca="1" si="1703"/>
        <v>500.68097879766606</v>
      </c>
      <c r="L951" s="47"/>
      <c r="M951" s="130">
        <f t="shared" ca="1" si="1710"/>
        <v>-0.26834456162737541</v>
      </c>
      <c r="N951" s="130"/>
      <c r="O951" s="130"/>
      <c r="P951" s="59">
        <f t="shared" ca="1" si="1712"/>
        <v>-1.1326094339733566E-2</v>
      </c>
      <c r="Q951" s="61"/>
      <c r="R951" s="387"/>
      <c r="S951" s="132">
        <f ca="1">+S950*EXP(T951)</f>
        <v>115.92007172275646</v>
      </c>
      <c r="T951" s="134">
        <f ca="1">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</f>
        <v>8.6955366534697126E-3</v>
      </c>
      <c r="U951" s="134"/>
      <c r="V951" s="125">
        <v>110983.78094173687</v>
      </c>
      <c r="W951" s="125">
        <f t="shared" si="1704"/>
        <v>936.65103335080494</v>
      </c>
      <c r="X951" s="131">
        <f t="shared" si="1713"/>
        <v>-0.31084280913058931</v>
      </c>
      <c r="Y951" s="131">
        <f t="shared" si="1714"/>
        <v>-1.3119829817641768E-2</v>
      </c>
      <c r="Z951" s="131"/>
      <c r="AA951" s="131"/>
      <c r="AB951" s="131"/>
      <c r="AC951" s="125">
        <f t="shared" si="1684"/>
        <v>352444.0513555198</v>
      </c>
      <c r="AD951" s="129"/>
      <c r="AE951" s="133">
        <v>18388.167219981122</v>
      </c>
      <c r="AF951" s="134"/>
      <c r="AG951" s="59">
        <f t="shared" si="1705"/>
        <v>0</v>
      </c>
      <c r="AH951" s="134"/>
      <c r="AI951" s="134"/>
      <c r="AJ951" s="129">
        <f t="shared" si="1680"/>
        <v>542159.91621318972</v>
      </c>
      <c r="AK951" s="134">
        <f t="shared" si="1715"/>
        <v>0.12411765718254145</v>
      </c>
      <c r="AL951" s="129"/>
      <c r="AM951" s="134"/>
      <c r="AN951" s="134"/>
      <c r="AO951" s="134"/>
      <c r="AP951" s="133">
        <f t="shared" si="1716"/>
        <v>288.27850986594206</v>
      </c>
      <c r="AQ951" s="134">
        <f>+BB951/Outputs!$B$29</f>
        <v>4.8714385711574125E-2</v>
      </c>
      <c r="AR951" s="93">
        <f t="shared" si="1706"/>
        <v>0.14521930072929576</v>
      </c>
      <c r="AS951" s="93">
        <f t="shared" si="1707"/>
        <v>0.20470672512442897</v>
      </c>
      <c r="AT951" s="93">
        <f t="shared" si="1708"/>
        <v>0.6500739741462751</v>
      </c>
      <c r="AU951" s="93">
        <f t="shared" ca="1" si="1711"/>
        <v>-0.12653042613478344</v>
      </c>
      <c r="AV951" s="132">
        <f t="shared" ca="1" si="1719"/>
        <v>80.263923155612247</v>
      </c>
      <c r="AW951" s="134">
        <f t="shared" ca="1" si="1720"/>
        <v>-0.12653042613478349</v>
      </c>
      <c r="AX951" s="56">
        <f>+AJ951/$AL$26</f>
        <v>4.2207281083121176E-2</v>
      </c>
      <c r="AY951" s="135">
        <f t="shared" ca="1" si="1718"/>
        <v>-5.3405052614379084E-3</v>
      </c>
      <c r="AZ951" s="93"/>
      <c r="BA951" s="93"/>
      <c r="BB951" s="234">
        <v>1880681</v>
      </c>
      <c r="BC951" s="269">
        <f t="shared" si="1639"/>
        <v>1.266573940789514E-2</v>
      </c>
      <c r="BD951" s="91"/>
      <c r="BE951" s="299" t="str">
        <f t="shared" si="1635"/>
        <v>PUBLIC SERVICE ELECTRIC AND GAS COMPANY</v>
      </c>
      <c r="BF951" s="300">
        <f t="shared" si="1636"/>
        <v>4057095</v>
      </c>
      <c r="BG951" s="231" t="str">
        <f t="shared" si="1637"/>
        <v>NJ</v>
      </c>
      <c r="BH951" s="231"/>
      <c r="BI951" s="231" t="str">
        <f t="shared" si="1638"/>
        <v>2021 Y</v>
      </c>
      <c r="BJ951" s="129"/>
      <c r="BK951" s="129"/>
      <c r="BL951" s="129">
        <f>INDEX('Dist. Plant Gas Additions'!$D$7:$AD$91,MATCH($C951,'Dist. Plant Gas Additions'!$C$7:$C$91,0),MATCH(Calculation!$G951,'Dist. Plant Gas Additions'!$D$5:$AD$5,0))</f>
        <v>646217.01100000006</v>
      </c>
      <c r="BM951" s="129">
        <f>INDEX('Gen. Plant Additions'!$D$7:$AD$91,MATCH($C951,'Gen. Plant Additions'!$C$7:$C$91,0),MATCH(Calculation!$G951,'Gen. Plant Additions'!$D$5:$AD$5,0))</f>
        <v>23903.339</v>
      </c>
      <c r="BN951" s="343">
        <v>0.9776893875821977</v>
      </c>
      <c r="BO951" s="231">
        <f t="shared" ref="BO951:BO1014" si="1722">+BN951*BM951</f>
        <v>23370.040868079661</v>
      </c>
      <c r="BP951" s="231">
        <f t="shared" ref="BP951:BP1014" si="1723">+BO951-BM951</f>
        <v>-533.29813192033907</v>
      </c>
      <c r="BQ951" s="129"/>
      <c r="BR951" s="129"/>
      <c r="BS951" s="137"/>
      <c r="BT951" s="137"/>
      <c r="BU951" s="333"/>
      <c r="BV951" s="93"/>
      <c r="BW951" s="334"/>
      <c r="BX951" s="334"/>
      <c r="BY951" s="129"/>
      <c r="BZ951" s="129"/>
      <c r="CA951" s="129"/>
      <c r="CB951" s="129"/>
      <c r="CC951" s="133">
        <v>2021</v>
      </c>
      <c r="CD951" s="129"/>
      <c r="CE951" s="129"/>
      <c r="CF951" s="129"/>
      <c r="CG951" s="137"/>
      <c r="CH951" s="129">
        <f>+BM951+BL951</f>
        <v>670120.35000000009</v>
      </c>
      <c r="CI951" s="46">
        <f t="shared" si="1695"/>
        <v>669587.0518680797</v>
      </c>
      <c r="CJ951" s="231">
        <f t="shared" si="1687"/>
        <v>717.65370334613704</v>
      </c>
      <c r="CK951" s="443">
        <v>0.70886075949367089</v>
      </c>
      <c r="CL951" s="129">
        <f>CL928*CK951+CJ929*CK950+CJ930*CK949+CJ931*CK948+CJ932*CK947+CJ933*CK946+CJ934*CK945+CJ935*CK944+CJ936*CK943+CJ937*CK942+CJ938*CK941+CJ939*CK940+CJ940*CK939+CJ941*CK938+CJ942*CK937+CJ933*CK936+CJ944*CK935+CJ945*CK934+CJ946*CK933+CJ947*CK932+CJ948*CK931+CJ949*CK930+CJ951+CJ950*CK929</f>
        <v>16839.639529104919</v>
      </c>
      <c r="CM951" s="134"/>
      <c r="CN951" s="135">
        <f t="shared" si="1689"/>
        <v>3.5622356407136952E-3</v>
      </c>
      <c r="CO951" s="135">
        <f t="shared" si="1698"/>
        <v>1.1860208569879674E-2</v>
      </c>
      <c r="CP951" s="134">
        <f>VLOOKUP($H951,RoR!$E:$F,2,FALSE)</f>
        <v>2.7033333333333336E-2</v>
      </c>
      <c r="CQ951" s="135"/>
      <c r="CR951" s="135"/>
      <c r="CS951" s="135">
        <f t="shared" si="1699"/>
        <v>1.9041733038653953E-2</v>
      </c>
      <c r="CT951" s="135">
        <f t="shared" si="1700"/>
        <v>7.433422950153494E-2</v>
      </c>
      <c r="CU951" s="139">
        <f t="shared" si="1690"/>
        <v>0.90065499999999998</v>
      </c>
      <c r="CV951" s="335">
        <f t="shared" si="1691"/>
        <v>1.8969932656739068</v>
      </c>
      <c r="CW951" s="335">
        <f t="shared" si="1692"/>
        <v>5.0215782983970621E-2</v>
      </c>
      <c r="CX951" s="335">
        <f t="shared" si="1693"/>
        <v>0.655952481704143</v>
      </c>
      <c r="CY951" s="335">
        <f t="shared" si="1694"/>
        <v>6.2485378865697057E-2</v>
      </c>
      <c r="CZ951" s="336">
        <f>CZ950</f>
        <v>0.26849999999999996</v>
      </c>
      <c r="DA951" s="302">
        <v>0.37</v>
      </c>
      <c r="DB951" s="141">
        <f t="shared" si="1697"/>
        <v>21.783207502472475</v>
      </c>
      <c r="DC951" s="135">
        <f>LN(DB952/DB950)</f>
        <v>0.21271399905932026</v>
      </c>
      <c r="DD951" s="336">
        <f>VLOOKUP($H951,RoR!$E:$F,2,FALSE)</f>
        <v>2.7033333333333336E-2</v>
      </c>
      <c r="DE951" s="342">
        <f>HLOOKUP($H951,'GDP-PI'!$D$8:$CR$11,3,FALSE)</f>
        <v>4.2834637353352578E-2</v>
      </c>
      <c r="DF951" s="336">
        <f>VLOOKUP(H951,'HW Dx Data'!$E:$F,2,FALSE)</f>
        <v>933.02249921662576</v>
      </c>
      <c r="DG951" s="364">
        <f ca="1">VLOOKUP(CC951,'ECI - Input Price'!M$13:N$33,2,FALSE)</f>
        <v>157.25</v>
      </c>
      <c r="DH951" s="364"/>
      <c r="DI951" s="364"/>
      <c r="DJ951" s="135">
        <f t="shared" ca="1" si="1709"/>
        <v>2.6419062301765574E-2</v>
      </c>
      <c r="DK951" s="137">
        <f>HLOOKUP(H951,'GDP-PI'!$8:$9,2,FALSE)</f>
        <v>118.49</v>
      </c>
      <c r="DL951" s="356">
        <f t="shared" si="1702"/>
        <v>4.194261824609434E-2</v>
      </c>
      <c r="EC951"/>
    </row>
    <row r="952" spans="1:133" s="126" customFormat="1" ht="21" customHeight="1" thickBot="1" x14ac:dyDescent="0.45">
      <c r="A952" s="235"/>
      <c r="B952" s="236"/>
      <c r="C952" s="236"/>
      <c r="D952" s="236"/>
      <c r="E952" s="236"/>
      <c r="F952" s="236"/>
      <c r="G952" s="237" t="s">
        <v>178</v>
      </c>
      <c r="H952" s="238"/>
      <c r="I952" s="239"/>
      <c r="J952" s="240">
        <v>89820.438665281428</v>
      </c>
      <c r="K952" s="240">
        <f t="shared" ca="1" si="1703"/>
        <v>552.57113912815396</v>
      </c>
      <c r="L952" s="47"/>
      <c r="M952" s="241">
        <f t="shared" ref="M952" ca="1" si="1724">LN(K952/K951)</f>
        <v>9.8613054311693829E-2</v>
      </c>
      <c r="N952" s="241"/>
      <c r="O952" s="241"/>
      <c r="P952" s="242">
        <f t="shared" ca="1" si="1712"/>
        <v>3.9347328097808611E-3</v>
      </c>
      <c r="Q952" s="61"/>
      <c r="R952" s="387"/>
      <c r="S952" s="206">
        <f ca="1">+S951*EXP(T952)</f>
        <v>115.22317377233381</v>
      </c>
      <c r="T952" s="243">
        <f ca="1">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</f>
        <v>-6.0300274888066092E-3</v>
      </c>
      <c r="U952" s="243"/>
      <c r="V952" s="239">
        <v>126614.35329925214</v>
      </c>
      <c r="W952" s="240">
        <f t="shared" si="1704"/>
        <v>995.00474105502656</v>
      </c>
      <c r="X952" s="244">
        <f t="shared" ref="X952" si="1725">LN(W952/W951)</f>
        <v>6.0436718879074709E-2</v>
      </c>
      <c r="Y952" s="244">
        <f t="shared" si="1714"/>
        <v>2.4114691746323722E-3</v>
      </c>
      <c r="Z952" s="206"/>
      <c r="AA952" s="243"/>
      <c r="AB952" s="243"/>
      <c r="AC952" s="240">
        <f t="shared" si="1684"/>
        <v>311556.48059357464</v>
      </c>
      <c r="AD952" s="243"/>
      <c r="AE952" s="245">
        <v>18643.991781065426</v>
      </c>
      <c r="AF952" s="243">
        <v>1.3816565799094779E-2</v>
      </c>
      <c r="AG952" s="242">
        <f t="shared" si="1705"/>
        <v>5.5129105520208637E-4</v>
      </c>
      <c r="AH952" s="206"/>
      <c r="AI952" s="243"/>
      <c r="AJ952" s="239">
        <f t="shared" si="1680"/>
        <v>527991.2725581082</v>
      </c>
      <c r="AK952" s="243">
        <f t="shared" si="1715"/>
        <v>-2.6481251961611395E-2</v>
      </c>
      <c r="AL952" s="239"/>
      <c r="AM952" s="243"/>
      <c r="AN952" s="243"/>
      <c r="AO952" s="243"/>
      <c r="AP952" s="416">
        <f t="shared" si="1716"/>
        <v>278.67498019850018</v>
      </c>
      <c r="AQ952" s="134">
        <f>+BB952/Outputs!$B$29</f>
        <v>4.907619217403069E-2</v>
      </c>
      <c r="AR952" s="207">
        <f t="shared" si="1706"/>
        <v>0.1701172790794496</v>
      </c>
      <c r="AS952" s="207">
        <f t="shared" si="1707"/>
        <v>0.23980387532886269</v>
      </c>
      <c r="AT952" s="207">
        <f t="shared" si="1708"/>
        <v>0.59007884559168777</v>
      </c>
      <c r="AU952" s="207"/>
      <c r="AV952" s="206"/>
      <c r="AW952" s="243"/>
      <c r="AX952" s="248">
        <f>+AJ952/$AL$27</f>
        <v>3.9900729545847446E-2</v>
      </c>
      <c r="AY952" s="249"/>
      <c r="AZ952" s="206"/>
      <c r="BA952" s="243"/>
      <c r="BB952" s="250">
        <v>1894649</v>
      </c>
      <c r="BC952" s="270">
        <f t="shared" si="1639"/>
        <v>7.3996518103497371E-3</v>
      </c>
      <c r="BD952" s="91"/>
      <c r="BE952" s="306">
        <f t="shared" si="1635"/>
        <v>0</v>
      </c>
      <c r="BF952" s="307">
        <f t="shared" si="1636"/>
        <v>0</v>
      </c>
      <c r="BG952" s="308">
        <f t="shared" si="1637"/>
        <v>0</v>
      </c>
      <c r="BH952" s="308"/>
      <c r="BI952" s="308" t="str">
        <f t="shared" si="1638"/>
        <v>2022Y</v>
      </c>
      <c r="BJ952" s="239"/>
      <c r="BK952" s="239"/>
      <c r="BL952" s="239"/>
      <c r="BM952" s="239"/>
      <c r="BN952" s="337">
        <v>0.9776893875821977</v>
      </c>
      <c r="BO952" s="308">
        <f t="shared" si="1722"/>
        <v>0</v>
      </c>
      <c r="BP952" s="308">
        <f t="shared" si="1723"/>
        <v>0</v>
      </c>
      <c r="BQ952" s="239"/>
      <c r="BR952" s="239"/>
      <c r="BS952" s="310"/>
      <c r="BT952" s="310"/>
      <c r="BU952" s="311"/>
      <c r="BV952" s="207"/>
      <c r="BW952" s="312"/>
      <c r="BX952" s="312"/>
      <c r="BY952" s="239"/>
      <c r="BZ952" s="239"/>
      <c r="CA952" s="239"/>
      <c r="CB952" s="239"/>
      <c r="CC952" s="245">
        <v>2022</v>
      </c>
      <c r="CD952" s="239"/>
      <c r="CE952" s="239"/>
      <c r="CF952" s="239"/>
      <c r="CG952" s="310"/>
      <c r="CH952" s="239">
        <v>890005</v>
      </c>
      <c r="CI952" s="313">
        <f t="shared" si="1695"/>
        <v>890005</v>
      </c>
      <c r="CJ952" s="308">
        <f t="shared" si="1687"/>
        <v>863.40353702428195</v>
      </c>
      <c r="CK952" s="443">
        <v>0.69230769230769229</v>
      </c>
      <c r="CL952" s="239">
        <f>+CL928*CK952+CJ929*CK951+CJ930*CK950+CJ931*CK949+CJ932*CK948+CJ933*CK947+CJ934*CK946+CJ935*CK945+CJ936*CK944+CJ937*CK943+CJ938*CK942+CJ939*CK941+CJ940*CK940+CJ941*CK939+CJ942*CK938+CJ943*CK937+CJ944*CK936+CJ945*CK935+CJ946*CK934+CJ947*CK933+CJ948*CK932+CJ949*CK931+CJ950*CK930+CJ951*CK929+CJ952*CK928</f>
        <v>17215.129211815482</v>
      </c>
      <c r="CM952" s="243">
        <f t="shared" ref="CM952" si="1726">LN(CL952/CL951)</f>
        <v>2.2052999581466583E-2</v>
      </c>
      <c r="CN952" s="249">
        <f t="shared" si="1689"/>
        <v>2.8974126997815489E-2</v>
      </c>
      <c r="CO952" s="249">
        <f t="shared" si="1698"/>
        <v>1.6226378812959363E-2</v>
      </c>
      <c r="CP952" s="243"/>
      <c r="CQ952" s="249"/>
      <c r="CR952" s="249"/>
      <c r="CS952" s="248">
        <f t="shared" si="1699"/>
        <v>1.4675562795574262E-2</v>
      </c>
      <c r="CT952" s="249">
        <f t="shared" si="1700"/>
        <v>0.10114668178709289</v>
      </c>
      <c r="CU952" s="314">
        <f t="shared" si="1690"/>
        <v>0.90065499999999998</v>
      </c>
      <c r="CV952" s="315">
        <f t="shared" si="1691"/>
        <v>1.2820512820512819</v>
      </c>
      <c r="CW952" s="315">
        <f t="shared" si="1692"/>
        <v>0.35000000000000003</v>
      </c>
      <c r="CX952" s="315">
        <f t="shared" si="1693"/>
        <v>0.79171095533705893</v>
      </c>
      <c r="CY952" s="315">
        <f t="shared" si="1694"/>
        <v>0.35525491585637264</v>
      </c>
      <c r="CZ952" s="316">
        <f>CZ951</f>
        <v>0.26849999999999996</v>
      </c>
      <c r="DA952" s="317">
        <v>0.37</v>
      </c>
      <c r="DB952" s="318">
        <f t="shared" si="1697"/>
        <v>18.501374691251176</v>
      </c>
      <c r="DC952" s="249">
        <f>LN(DB952/DB951)</f>
        <v>-0.16329433795253304</v>
      </c>
      <c r="DD952" s="316">
        <v>0.04</v>
      </c>
      <c r="DE952" s="319">
        <v>7.0000000000000001E-3</v>
      </c>
      <c r="DF952" s="316">
        <v>1030.81</v>
      </c>
      <c r="DG952" s="364">
        <f ca="1">VLOOKUP(CC952,'ECI - Input Price'!M$13:N$33,2,FALSE)</f>
        <v>162.55000000000001</v>
      </c>
      <c r="DH952" s="364"/>
      <c r="DI952" s="364"/>
      <c r="DJ952" s="249">
        <f t="shared" ca="1" si="1709"/>
        <v>3.3148751169364422E-2</v>
      </c>
      <c r="DK952" s="310">
        <v>127.25</v>
      </c>
      <c r="DL952" s="357">
        <f t="shared" si="1702"/>
        <v>7.1325086601983473E-2</v>
      </c>
      <c r="EC952"/>
    </row>
    <row r="953" spans="1:133" s="126" customFormat="1" ht="21" customHeight="1" thickBot="1" x14ac:dyDescent="0.45">
      <c r="A953" s="251" t="s">
        <v>239</v>
      </c>
      <c r="B953" s="265" t="s">
        <v>239</v>
      </c>
      <c r="C953" s="265">
        <v>4062485</v>
      </c>
      <c r="D953" s="252" t="s">
        <v>180</v>
      </c>
      <c r="E953" s="252"/>
      <c r="F953" s="266"/>
      <c r="G953" s="265" t="s">
        <v>150</v>
      </c>
      <c r="H953" s="253">
        <v>1998</v>
      </c>
      <c r="I953" s="254"/>
      <c r="J953" s="255"/>
      <c r="K953" s="255"/>
      <c r="L953" s="47"/>
      <c r="M953" s="255"/>
      <c r="N953" s="255"/>
      <c r="O953" s="255"/>
      <c r="P953" s="219"/>
      <c r="Q953" s="218"/>
      <c r="R953" s="385"/>
      <c r="S953" s="257"/>
      <c r="T953" s="258"/>
      <c r="U953" s="258"/>
      <c r="V953" s="259"/>
      <c r="W953" s="259"/>
      <c r="X953" s="259"/>
      <c r="Y953" s="255"/>
      <c r="Z953" s="259"/>
      <c r="AA953" s="259"/>
      <c r="AB953" s="259"/>
      <c r="AC953" s="255"/>
      <c r="AD953" s="254"/>
      <c r="AE953" s="260">
        <v>3855.379556170551</v>
      </c>
      <c r="AF953" s="256"/>
      <c r="AG953" s="225"/>
      <c r="AH953" s="256"/>
      <c r="AI953" s="256"/>
      <c r="AJ953" s="254">
        <f t="shared" si="1680"/>
        <v>0</v>
      </c>
      <c r="AK953" s="254"/>
      <c r="AL953" s="254"/>
      <c r="AM953" s="256"/>
      <c r="AN953" s="256"/>
      <c r="AO953" s="256"/>
      <c r="AP953" s="206">
        <f>+(AP950+AP951+AP952)/3</f>
        <v>274.94284479133233</v>
      </c>
      <c r="AQ953" s="256"/>
      <c r="AR953" s="261"/>
      <c r="AS953" s="261"/>
      <c r="AT953" s="261"/>
      <c r="AU953" s="261"/>
      <c r="AV953" s="261"/>
      <c r="AW953" s="256">
        <f ca="1">AVERAGE(AW962:AW976)</f>
        <v>1.5382874803859943E-2</v>
      </c>
      <c r="AX953" s="223"/>
      <c r="AY953" s="261"/>
      <c r="AZ953" s="261"/>
      <c r="BA953" s="261"/>
      <c r="BB953" s="262">
        <f>IFERROR(INDEX('Total Customers'!$E$7:$AA$91,MATCH($C953,'Total Customers'!$C$7:$C$91,0),MATCH($G953,'Total Customers'!$E$5:$AA$5,0)),"NA")</f>
        <v>532616</v>
      </c>
      <c r="BC953" s="268"/>
      <c r="BD953" s="92"/>
      <c r="BE953" s="320" t="str">
        <f t="shared" si="1635"/>
        <v>PUGET SOUND ENERGY, INC.</v>
      </c>
      <c r="BF953" s="321">
        <f t="shared" si="1636"/>
        <v>4062485</v>
      </c>
      <c r="BG953" s="322" t="str">
        <f t="shared" si="1637"/>
        <v>WA</v>
      </c>
      <c r="BH953" s="322"/>
      <c r="BI953" s="322" t="str">
        <f t="shared" si="1638"/>
        <v>1998 Y</v>
      </c>
      <c r="BJ953" s="254">
        <f>INDEX('Gross Dx Plant'!$D$7:$AC$91,MATCH($C953,'Gross Dx Plant'!$C$7:$C$91,0),MATCH(Calculation!$G953,'Gross Dx Plant'!$D$5:$AC$5,0))</f>
        <v>1041832</v>
      </c>
      <c r="BK953" s="254">
        <f>INDEX('Gross Gen Plant'!$D$7:$AC$91,MATCH($C953,'Gross Gen Plant'!$C$7:$C$91,0),MATCH(Calculation!$G953,'Gross Gen Plant'!$D$5:$AC$5,0))</f>
        <v>59948</v>
      </c>
      <c r="BL953" s="254">
        <f>INDEX('Dist. Plant Gas Additions'!$E$7:$AD$91,MATCH($C953,'Dist. Plant Gas Additions'!$C$7:$C$91,0),MATCH(Calculation!$G953,'Dist. Plant Gas Additions'!$E$5:$AD$5,0))</f>
        <v>84052</v>
      </c>
      <c r="BM953" s="254">
        <f>INDEX('Gen. Plant Additions'!$E$7:$AD$91,MATCH($C953,'Gen. Plant Additions'!$C$7:$C$91,0),MATCH(Calculation!$G953,'Gen. Plant Additions'!$E$5:$AD$5,0))</f>
        <v>9052</v>
      </c>
      <c r="BN953" s="338">
        <f>+(BY953/(BY953+BZ953))</f>
        <v>0.94558986367514386</v>
      </c>
      <c r="BO953" s="322">
        <f t="shared" si="1722"/>
        <v>8559.4794459874029</v>
      </c>
      <c r="BP953" s="322">
        <f t="shared" si="1723"/>
        <v>-492.52055401259713</v>
      </c>
      <c r="BQ953" s="254">
        <f>INDEX('Dist Plant Depreciation'!$D$7:$AC$94,MATCH($C953,'Dist Plant Depreciation'!$C$7:$C$94,0),MATCH(Calculation!$G953,'Dist Plant Depreciation'!$D$5:$AC$5,0))</f>
        <v>301426</v>
      </c>
      <c r="BR953" s="254">
        <f>INDEX('Gen. Plant Depreciation'!$D$7:$AC$94,MATCH($C953,'Gen. Plant Depreciation'!$C$7:$C$94,0),MATCH(Calculation!$G953,'Gen. Plant Depreciation'!$D$5:$AC$5,0))</f>
        <v>22649</v>
      </c>
      <c r="BS953" s="254"/>
      <c r="BT953" s="254"/>
      <c r="BU953" s="254"/>
      <c r="BV953" s="254"/>
      <c r="BW953" s="254"/>
      <c r="BX953" s="323"/>
      <c r="BY953" s="254">
        <f>INDEX('Gross Dx Plant'!$D$7:$AC$91,MATCH($C953,'Gross Dx Plant'!$C$7:$C$91,0),MATCH(Calculation!$G953,'Gross Dx Plant'!$D$5:$AC$5,0))</f>
        <v>1041832</v>
      </c>
      <c r="BZ953" s="254">
        <f>INDEX('Gross Gen Plant'!$D$7:$AC$91,MATCH($C953,'Gross Gen Plant'!$C$7:$C$91,0),MATCH(Calculation!$G953,'Gross Gen Plant'!$D$5:$AC$5,0))</f>
        <v>59948</v>
      </c>
      <c r="CA953" s="254">
        <f t="shared" si="1721"/>
        <v>777705</v>
      </c>
      <c r="CB953" s="254"/>
      <c r="CC953" s="260">
        <v>1998</v>
      </c>
      <c r="CD953" s="254">
        <f>BJ953+BK953</f>
        <v>1101780</v>
      </c>
      <c r="CE953" s="254">
        <f>301426+22649</f>
        <v>324075</v>
      </c>
      <c r="CF953" s="254">
        <f>+CD953-CE953</f>
        <v>777705</v>
      </c>
      <c r="CG953" s="254">
        <f>CF953/$BX$3</f>
        <v>3855.379556170551</v>
      </c>
      <c r="CH953" s="323"/>
      <c r="CI953" s="344"/>
      <c r="CJ953" s="344"/>
      <c r="CK953" s="443">
        <v>1</v>
      </c>
      <c r="CL953" s="254">
        <f>+CG953</f>
        <v>3855.379556170551</v>
      </c>
      <c r="CM953" s="256"/>
      <c r="CN953" s="325"/>
      <c r="CO953" s="325"/>
      <c r="CP953" s="256" t="e">
        <f>VLOOKUP($H953,RoR!$E:$F,2,FALSE)</f>
        <v>#N/A</v>
      </c>
      <c r="CQ953" s="325">
        <v>1.1028127770464469E-2</v>
      </c>
      <c r="CR953" s="325"/>
      <c r="CS953" s="325"/>
      <c r="CT953" s="325"/>
      <c r="CU953" s="327"/>
      <c r="CV953" s="331" t="e">
        <f>2/(DD953*39)</f>
        <v>#N/A</v>
      </c>
      <c r="CW953" s="328" t="e">
        <f>+(DD953*40-(1+DD953))/(DD953*40)</f>
        <v>#N/A</v>
      </c>
      <c r="CX953" s="328" t="e">
        <f>+(1-(1/(1+DD953)^40))</f>
        <v>#N/A</v>
      </c>
      <c r="CY953" s="328" t="e">
        <f>+CX953*CW953*CV953</f>
        <v>#N/A</v>
      </c>
      <c r="CZ953" s="329">
        <f>INDEX('State Tax Lookup'!$D$7:$Z$91,MATCH(Calculation!$C953,'State Tax Lookup'!$B$7:$B$91,0),MATCH($H953,'State Tax Lookup'!$D$6:$Z$6,0))</f>
        <v>0.35</v>
      </c>
      <c r="DA953" s="330">
        <v>0.37</v>
      </c>
      <c r="DB953" s="344"/>
      <c r="DC953" s="326"/>
      <c r="DD953" s="351" t="e">
        <f>VLOOKUP($H953,RoR!$E:$F,2,FALSE)</f>
        <v>#N/A</v>
      </c>
      <c r="DE953" s="354">
        <f>HLOOKUP($H953,'GDP-PI'!$D$8:$CQ$11,3,FALSE)</f>
        <v>1.1028127770464469E-2</v>
      </c>
      <c r="DF953" s="351">
        <f>VLOOKUP(H953,'HW Dx Data'!$E:$F,2,FALSE)</f>
        <v>329.24564746449528</v>
      </c>
      <c r="DG953" s="330"/>
      <c r="DH953" s="330"/>
      <c r="DI953" s="330"/>
      <c r="DJ953" s="326"/>
      <c r="DK953" s="344">
        <f>HLOOKUP(H953,'GDP-PI'!$8:$9,2,FALSE)</f>
        <v>75.266999999999996</v>
      </c>
      <c r="DL953" s="292"/>
      <c r="EC953"/>
    </row>
    <row r="954" spans="1:133" s="126" customFormat="1" ht="21" customHeight="1" x14ac:dyDescent="0.4">
      <c r="A954" s="233" t="s">
        <v>239</v>
      </c>
      <c r="B954" s="126" t="s">
        <v>239</v>
      </c>
      <c r="C954" s="126">
        <v>4062485</v>
      </c>
      <c r="D954" s="127" t="s">
        <v>180</v>
      </c>
      <c r="E954" s="127"/>
      <c r="F954" s="144"/>
      <c r="G954" s="126" t="s">
        <v>155</v>
      </c>
      <c r="H954" s="128">
        <v>1999</v>
      </c>
      <c r="I954" s="129"/>
      <c r="J954" s="125"/>
      <c r="K954" s="129"/>
      <c r="L954" s="47"/>
      <c r="M954" s="129"/>
      <c r="N954" s="129"/>
      <c r="O954" s="129"/>
      <c r="P954" s="47"/>
      <c r="Q954" s="47"/>
      <c r="R954" s="386"/>
      <c r="S954" s="119"/>
      <c r="T954" s="47"/>
      <c r="U954" s="46"/>
      <c r="V954" s="135"/>
      <c r="W954" s="135"/>
      <c r="X954" s="135"/>
      <c r="Y954" s="143"/>
      <c r="Z954" s="135"/>
      <c r="AA954" s="135"/>
      <c r="AB954" s="135"/>
      <c r="AC954" s="125">
        <f t="shared" ref="AC954:AC977" si="1727">+CL953*DB954</f>
        <v>0</v>
      </c>
      <c r="AD954" s="129"/>
      <c r="AE954" s="133">
        <v>4154.1289375070755</v>
      </c>
      <c r="AF954" s="134">
        <v>7.4633304014362009E-2</v>
      </c>
      <c r="AG954" s="61"/>
      <c r="AH954" s="134"/>
      <c r="AI954" s="134"/>
      <c r="AJ954" s="129">
        <f t="shared" si="1680"/>
        <v>0</v>
      </c>
      <c r="AK954" s="134"/>
      <c r="AL954" s="129"/>
      <c r="AM954" s="134"/>
      <c r="AN954" s="134"/>
      <c r="AO954" s="134"/>
      <c r="AP954" s="133"/>
      <c r="AQ954" s="134"/>
      <c r="AR954" s="93"/>
      <c r="AS954" s="93"/>
      <c r="AT954" s="93"/>
      <c r="AU954" s="93"/>
      <c r="AV954" s="93"/>
      <c r="AW954" s="134"/>
      <c r="AX954" s="62"/>
      <c r="AY954" s="93"/>
      <c r="AZ954" s="93"/>
      <c r="BA954" s="93"/>
      <c r="BB954" s="234">
        <f>IFERROR(INDEX('Total Customers'!$E$7:$AA$91,MATCH($C954,'Total Customers'!$C$7:$C$91,0),MATCH($G954,'Total Customers'!$E$5:$AA$5,0)),"NA")</f>
        <v>556703</v>
      </c>
      <c r="BC954" s="269">
        <f t="shared" si="1639"/>
        <v>4.4231169838412597E-2</v>
      </c>
      <c r="BD954" s="92"/>
      <c r="BE954" s="299" t="str">
        <f t="shared" si="1635"/>
        <v>PUGET SOUND ENERGY, INC.</v>
      </c>
      <c r="BF954" s="300">
        <f t="shared" si="1636"/>
        <v>4062485</v>
      </c>
      <c r="BG954" s="231" t="str">
        <f t="shared" si="1637"/>
        <v>WA</v>
      </c>
      <c r="BH954" s="231"/>
      <c r="BI954" s="231" t="str">
        <f t="shared" si="1638"/>
        <v>1999 Y</v>
      </c>
      <c r="BJ954" s="129"/>
      <c r="BK954" s="129"/>
      <c r="BL954" s="129">
        <f>INDEX('Dist. Plant Gas Additions'!$E$7:$AD$91,MATCH($C954,'Dist. Plant Gas Additions'!$C$7:$C$91,0),MATCH(Calculation!$G954,'Dist. Plant Gas Additions'!$E$5:$AD$5,0))</f>
        <v>105976</v>
      </c>
      <c r="BM954" s="129">
        <f>INDEX('Gen. Plant Additions'!$E$7:$AD$91,MATCH($C954,'Gen. Plant Additions'!$C$7:$C$91,0),MATCH(Calculation!$G954,'Gen. Plant Additions'!$E$5:$AD$5,0))</f>
        <v>634</v>
      </c>
      <c r="BN954" s="301">
        <f t="shared" ref="BN954:BN975" si="1728">+(BY954/(BY954+BZ954))</f>
        <v>0.95030957934124205</v>
      </c>
      <c r="BO954" s="231">
        <f t="shared" si="1722"/>
        <v>602.4962733023475</v>
      </c>
      <c r="BP954" s="231">
        <f t="shared" si="1723"/>
        <v>-31.503726697652496</v>
      </c>
      <c r="BQ954" s="129">
        <f>INDEX('Dist Plant Depreciation'!$D$7:$AC$94,MATCH($C954,'Dist Plant Depreciation'!$C$7:$C$94,0),MATCH(Calculation!$G954,'Dist Plant Depreciation'!$D$5:$AC$5,0))</f>
        <v>331377</v>
      </c>
      <c r="BR954" s="129">
        <f>INDEX('Gen. Plant Depreciation'!$D$7:$AC$94,MATCH($C954,'Gen. Plant Depreciation'!$C$7:$C$94,0),MATCH(Calculation!$G954,'Gen. Plant Depreciation'!$D$5:$AC$5,0))</f>
        <v>17355</v>
      </c>
      <c r="BS954" s="129"/>
      <c r="BT954" s="129"/>
      <c r="BU954" s="129"/>
      <c r="BV954" s="129"/>
      <c r="BW954" s="129"/>
      <c r="BX954" s="137"/>
      <c r="BY954" s="129">
        <f>INDEX('Gross Dx Plant'!$D$7:$AC$91,MATCH($C954,'Gross Dx Plant'!$C$7:$C$91,0),MATCH(Calculation!$G954,'Gross Dx Plant'!$D$5:$AC$5,0))</f>
        <v>1132712</v>
      </c>
      <c r="BZ954" s="129">
        <f>INDEX('Gross Gen Plant'!$D$7:$AC$91,MATCH($C954,'Gross Gen Plant'!$C$7:$C$91,0),MATCH(Calculation!$G954,'Gross Gen Plant'!$D$5:$AC$5,0))</f>
        <v>59228</v>
      </c>
      <c r="CA954" s="129">
        <f t="shared" si="1721"/>
        <v>843208</v>
      </c>
      <c r="CB954" s="129"/>
      <c r="CC954" s="133">
        <v>1999</v>
      </c>
      <c r="CD954" s="129"/>
      <c r="CE954" s="129"/>
      <c r="CF954" s="129"/>
      <c r="CG954" s="137"/>
      <c r="CH954" s="129">
        <f t="shared" ref="CH954:CH976" si="1729">+BM954+BL954</f>
        <v>106610</v>
      </c>
      <c r="CI954" s="46">
        <f>+CH954+BP954</f>
        <v>106578.49627330234</v>
      </c>
      <c r="CJ954" s="231">
        <f t="shared" ref="CJ954:CJ977" si="1730">+CI954/$DF954</f>
        <v>317.83642432104324</v>
      </c>
      <c r="CK954" s="443">
        <v>0.99009900990099009</v>
      </c>
      <c r="CL954" s="231">
        <f>+CL953*CK954+CJ954</f>
        <v>4135.0439056780242</v>
      </c>
      <c r="CM954" s="134">
        <f t="shared" ref="CM954:CM975" si="1731">LN(CL954/CL953)</f>
        <v>7.0028486160060896E-2</v>
      </c>
      <c r="CN954" s="135">
        <f t="shared" ref="CN954:CN977" si="1732">+(CL953-CL954+CJ954)/CL953</f>
        <v>9.9009900990099705E-3</v>
      </c>
      <c r="CO954" s="135"/>
      <c r="CP954" s="134">
        <f>VLOOKUP($H954,RoR!$E:$F,2,FALSE)</f>
        <v>7.0416666666666669E-2</v>
      </c>
      <c r="CQ954" s="135">
        <v>1.4335631817396832E-2</v>
      </c>
      <c r="CR954" s="135">
        <f>+CP954-CQ954</f>
        <v>5.6081034849269837E-2</v>
      </c>
      <c r="CS954" s="135"/>
      <c r="CT954" s="135"/>
      <c r="CU954" s="139">
        <f t="shared" ref="CU954:CU977" si="1733">1-CZ954*DA954</f>
        <v>0.87050000000000005</v>
      </c>
      <c r="CV954" s="335">
        <f t="shared" ref="CV954:CV977" si="1734">2/(DD954*39)</f>
        <v>0.72826581702321336</v>
      </c>
      <c r="CW954" s="335">
        <f t="shared" ref="CW954:CW977" si="1735">+(DD954*40-(1+DD954))/(DD954*40)</f>
        <v>0.61997041420118348</v>
      </c>
      <c r="CX954" s="335">
        <f t="shared" ref="CX954:CX977" si="1736">+(1-(1/(1+DD954)^40))</f>
        <v>0.93425155319585029</v>
      </c>
      <c r="CY954" s="335">
        <f t="shared" ref="CY954:CY977" si="1737">+CX954*CW954*CV954</f>
        <v>0.42181762214141483</v>
      </c>
      <c r="CZ954" s="336">
        <f>INDEX('State Tax Lookup'!$D$7:$Z$91,MATCH(Calculation!$C954,'State Tax Lookup'!$B$7:$B$91,0),MATCH($H954,'State Tax Lookup'!$D$6:$Z$6,0))</f>
        <v>0.35</v>
      </c>
      <c r="DA954" s="302">
        <v>0.37</v>
      </c>
      <c r="DB954" s="57"/>
      <c r="DC954" s="56"/>
      <c r="DD954" s="303">
        <f>VLOOKUP($H954,RoR!$E:$F,2,FALSE)</f>
        <v>7.0416666666666669E-2</v>
      </c>
      <c r="DE954" s="304">
        <f>HLOOKUP($H954,'GDP-PI'!$D$8:$CQ$11,3,FALSE)</f>
        <v>1.4335631817396832E-2</v>
      </c>
      <c r="DF954" s="303">
        <f>VLOOKUP(H954,'HW Dx Data'!$E:$F,2,FALSE)</f>
        <v>335.32499146683239</v>
      </c>
      <c r="DG954" s="364"/>
      <c r="DH954" s="364"/>
      <c r="DI954" s="364"/>
      <c r="DJ954" s="56"/>
      <c r="DK954" s="53">
        <f>HLOOKUP(H954,'GDP-PI'!$8:$9,2,FALSE)</f>
        <v>76.346000000000004</v>
      </c>
      <c r="DL954" s="298"/>
      <c r="EC954"/>
    </row>
    <row r="955" spans="1:133" s="126" customFormat="1" ht="21" customHeight="1" x14ac:dyDescent="0.4">
      <c r="A955" s="233" t="s">
        <v>239</v>
      </c>
      <c r="B955" s="126" t="s">
        <v>239</v>
      </c>
      <c r="C955" s="126">
        <v>4062485</v>
      </c>
      <c r="D955" s="127" t="s">
        <v>180</v>
      </c>
      <c r="E955" s="127"/>
      <c r="F955" s="144"/>
      <c r="G955" s="126" t="s">
        <v>156</v>
      </c>
      <c r="H955" s="128">
        <v>2000</v>
      </c>
      <c r="I955" s="129"/>
      <c r="J955" s="125"/>
      <c r="K955" s="125"/>
      <c r="L955" s="47"/>
      <c r="M955" s="125"/>
      <c r="N955" s="125"/>
      <c r="O955" s="125"/>
      <c r="P955" s="47"/>
      <c r="Q955" s="47"/>
      <c r="R955" s="386"/>
      <c r="S955" s="119"/>
      <c r="T955" s="47"/>
      <c r="U955" s="47"/>
      <c r="V955" s="125"/>
      <c r="W955" s="125"/>
      <c r="X955" s="125"/>
      <c r="Y955" s="125"/>
      <c r="Z955" s="125"/>
      <c r="AA955" s="125"/>
      <c r="AB955" s="125"/>
      <c r="AC955" s="125">
        <f t="shared" si="1727"/>
        <v>0</v>
      </c>
      <c r="AD955" s="129"/>
      <c r="AE955" s="133">
        <v>4387.6201902412176</v>
      </c>
      <c r="AF955" s="134">
        <v>5.4684217870387242E-2</v>
      </c>
      <c r="AG955" s="61"/>
      <c r="AH955" s="134"/>
      <c r="AI955" s="134"/>
      <c r="AJ955" s="129">
        <f t="shared" si="1680"/>
        <v>0</v>
      </c>
      <c r="AK955" s="134"/>
      <c r="AL955" s="129"/>
      <c r="AM955" s="129"/>
      <c r="AN955" s="129"/>
      <c r="AO955" s="129"/>
      <c r="AP955" s="133"/>
      <c r="AQ955" s="134"/>
      <c r="AR955" s="93"/>
      <c r="AS955" s="93"/>
      <c r="AT955" s="93"/>
      <c r="AU955" s="93"/>
      <c r="AV955" s="93"/>
      <c r="AW955" s="134"/>
      <c r="AX955" s="62"/>
      <c r="AY955" s="93"/>
      <c r="AZ955" s="93"/>
      <c r="BA955" s="93"/>
      <c r="BB955" s="234">
        <f>IFERROR(INDEX('Total Customers'!$E$7:$AA$91,MATCH($C955,'Total Customers'!$C$7:$C$91,0),MATCH($G955,'Total Customers'!$E$5:$AA$5,0)),"NA")</f>
        <v>580292</v>
      </c>
      <c r="BC955" s="269">
        <f t="shared" si="1639"/>
        <v>4.1499541054952127E-2</v>
      </c>
      <c r="BD955" s="92"/>
      <c r="BE955" s="299" t="str">
        <f t="shared" si="1635"/>
        <v>PUGET SOUND ENERGY, INC.</v>
      </c>
      <c r="BF955" s="300">
        <f t="shared" si="1636"/>
        <v>4062485</v>
      </c>
      <c r="BG955" s="231" t="str">
        <f t="shared" si="1637"/>
        <v>WA</v>
      </c>
      <c r="BH955" s="231"/>
      <c r="BI955" s="231" t="str">
        <f t="shared" si="1638"/>
        <v>2000 Y</v>
      </c>
      <c r="BJ955" s="129"/>
      <c r="BK955" s="129"/>
      <c r="BL955" s="129">
        <f>INDEX('Dist. Plant Gas Additions'!$E$7:$AD$91,MATCH($C955,'Dist. Plant Gas Additions'!$C$7:$C$91,0),MATCH(Calculation!$G955,'Dist. Plant Gas Additions'!$E$5:$AD$5,0))</f>
        <v>87479</v>
      </c>
      <c r="BM955" s="129">
        <f>INDEX('Gen. Plant Additions'!$E$7:$AD$91,MATCH($C955,'Gen. Plant Additions'!$C$7:$C$91,0),MATCH(Calculation!$G955,'Gen. Plant Additions'!$E$5:$AD$5,0))</f>
        <v>830</v>
      </c>
      <c r="BN955" s="301">
        <f t="shared" si="1728"/>
        <v>0.9539735304960536</v>
      </c>
      <c r="BO955" s="231">
        <f t="shared" si="1722"/>
        <v>791.79803031172446</v>
      </c>
      <c r="BP955" s="231">
        <f t="shared" si="1723"/>
        <v>-38.20196968827554</v>
      </c>
      <c r="BQ955" s="129">
        <f>INDEX('Dist Plant Depreciation'!$D$7:$AC$94,MATCH($C955,'Dist Plant Depreciation'!$C$7:$C$94,0),MATCH(Calculation!$G955,'Dist Plant Depreciation'!$D$5:$AC$5,0))</f>
        <v>364000</v>
      </c>
      <c r="BR955" s="129">
        <f>INDEX('Gen. Plant Depreciation'!$D$7:$AC$94,MATCH($C955,'Gen. Plant Depreciation'!$C$7:$C$94,0),MATCH(Calculation!$G955,'Gen. Plant Depreciation'!$D$5:$AC$5,0))</f>
        <v>18084</v>
      </c>
      <c r="BS955" s="129"/>
      <c r="BT955" s="129"/>
      <c r="BU955" s="129"/>
      <c r="BV955" s="129"/>
      <c r="BW955" s="129"/>
      <c r="BX955" s="137"/>
      <c r="BY955" s="129">
        <f>INDEX('Gross Dx Plant'!$D$7:$AC$91,MATCH($C955,'Gross Dx Plant'!$C$7:$C$91,0),MATCH(Calculation!$G955,'Gross Dx Plant'!$D$5:$AC$5,0))</f>
        <v>1213627</v>
      </c>
      <c r="BZ955" s="129">
        <f>INDEX('Gross Gen Plant'!$D$7:$AC$91,MATCH($C955,'Gross Gen Plant'!$C$7:$C$91,0),MATCH(Calculation!$G955,'Gross Gen Plant'!$D$5:$AC$5,0))</f>
        <v>58554</v>
      </c>
      <c r="CA955" s="129">
        <f t="shared" si="1721"/>
        <v>890097</v>
      </c>
      <c r="CB955" s="129"/>
      <c r="CC955" s="133">
        <v>2000</v>
      </c>
      <c r="CD955" s="129"/>
      <c r="CE955" s="129"/>
      <c r="CF955" s="129"/>
      <c r="CG955" s="137"/>
      <c r="CH955" s="129">
        <f t="shared" si="1729"/>
        <v>88309</v>
      </c>
      <c r="CI955" s="46">
        <f t="shared" ref="CI955:CI977" si="1738">+CH955+BP955</f>
        <v>88270.798030311722</v>
      </c>
      <c r="CJ955" s="231">
        <f t="shared" si="1730"/>
        <v>254.72499064515063</v>
      </c>
      <c r="CK955" s="443">
        <v>0.98</v>
      </c>
      <c r="CL955" s="231">
        <f>+CL953*CK955+CJ954*CK954+CJ955</f>
        <v>4347.6864847230263</v>
      </c>
      <c r="CM955" s="134">
        <f t="shared" si="1731"/>
        <v>5.0145914550483346E-2</v>
      </c>
      <c r="CN955" s="135">
        <f t="shared" si="1732"/>
        <v>1.0177016873354884E-2</v>
      </c>
      <c r="CO955" s="135"/>
      <c r="CP955" s="134">
        <f>VLOOKUP($H955,RoR!$E:$F,2,FALSE)</f>
        <v>7.6225000000000001E-2</v>
      </c>
      <c r="CQ955" s="135">
        <v>2.2568307442433211E-2</v>
      </c>
      <c r="CR955" s="135">
        <f t="shared" ref="CR955:CR975" si="1739">+CP955-CQ955</f>
        <v>5.365669255756679E-2</v>
      </c>
      <c r="CS955" s="135"/>
      <c r="CT955" s="135"/>
      <c r="CU955" s="139">
        <f t="shared" si="1733"/>
        <v>0.87050000000000005</v>
      </c>
      <c r="CV955" s="335">
        <f t="shared" si="1734"/>
        <v>0.67277207323124022</v>
      </c>
      <c r="CW955" s="335">
        <f t="shared" si="1735"/>
        <v>0.6470236142997704</v>
      </c>
      <c r="CX955" s="335">
        <f t="shared" si="1736"/>
        <v>0.94704866037543145</v>
      </c>
      <c r="CY955" s="335">
        <f t="shared" si="1737"/>
        <v>0.41224973107878493</v>
      </c>
      <c r="CZ955" s="336">
        <f>INDEX('State Tax Lookup'!$D$7:$Z$91,MATCH(Calculation!$C955,'State Tax Lookup'!$B$7:$B$91,0),MATCH($H955,'State Tax Lookup'!$D$6:$Z$6,0))</f>
        <v>0.35</v>
      </c>
      <c r="DA955" s="302">
        <v>0.37</v>
      </c>
      <c r="DB955" s="57"/>
      <c r="DC955" s="56"/>
      <c r="DD955" s="303">
        <f>VLOOKUP($H955,RoR!$E:$F,2,FALSE)</f>
        <v>7.6225000000000001E-2</v>
      </c>
      <c r="DE955" s="304">
        <f>HLOOKUP($H955,'GDP-PI'!$D$8:$CQ$11,3,FALSE)</f>
        <v>2.2568307442433211E-2</v>
      </c>
      <c r="DF955" s="303">
        <f>VLOOKUP(H955,'HW Dx Data'!$E:$F,2,FALSE)</f>
        <v>346.53371782150339</v>
      </c>
      <c r="DG955" s="364"/>
      <c r="DH955" s="364"/>
      <c r="DI955" s="364"/>
      <c r="DJ955" s="56"/>
      <c r="DK955" s="53">
        <f>HLOOKUP(H955,'GDP-PI'!$8:$9,2,FALSE)</f>
        <v>78.069000000000003</v>
      </c>
      <c r="DL955" s="298"/>
      <c r="EC955"/>
    </row>
    <row r="956" spans="1:133" s="126" customFormat="1" ht="21" customHeight="1" x14ac:dyDescent="0.4">
      <c r="A956" s="233" t="s">
        <v>239</v>
      </c>
      <c r="B956" s="126" t="s">
        <v>239</v>
      </c>
      <c r="C956" s="126">
        <v>4062485</v>
      </c>
      <c r="D956" s="127" t="s">
        <v>180</v>
      </c>
      <c r="E956" s="127"/>
      <c r="F956" s="144"/>
      <c r="G956" s="126" t="s">
        <v>157</v>
      </c>
      <c r="H956" s="128">
        <v>2001</v>
      </c>
      <c r="I956" s="129"/>
      <c r="J956" s="125"/>
      <c r="K956" s="125"/>
      <c r="L956" s="47"/>
      <c r="M956" s="125"/>
      <c r="N956" s="125"/>
      <c r="O956" s="125"/>
      <c r="P956" s="47"/>
      <c r="Q956" s="47"/>
      <c r="R956" s="386"/>
      <c r="S956" s="119"/>
      <c r="T956" s="47"/>
      <c r="U956" s="47"/>
      <c r="V956" s="125"/>
      <c r="W956" s="125"/>
      <c r="X956" s="125"/>
      <c r="Y956" s="125"/>
      <c r="Z956" s="125"/>
      <c r="AA956" s="125"/>
      <c r="AB956" s="125"/>
      <c r="AC956" s="125">
        <f t="shared" si="1727"/>
        <v>42908.541545105487</v>
      </c>
      <c r="AD956" s="129"/>
      <c r="AE956" s="133">
        <v>4706.7176614365571</v>
      </c>
      <c r="AF956" s="134">
        <v>7.0203795717177109E-2</v>
      </c>
      <c r="AG956" s="61"/>
      <c r="AH956" s="134"/>
      <c r="AI956" s="134"/>
      <c r="AJ956" s="129">
        <f t="shared" si="1680"/>
        <v>42908.541545105487</v>
      </c>
      <c r="AK956" s="134"/>
      <c r="AL956" s="129"/>
      <c r="AM956" s="129"/>
      <c r="AN956" s="129"/>
      <c r="AO956" s="129"/>
      <c r="AP956" s="133"/>
      <c r="AQ956" s="134"/>
      <c r="AR956" s="93"/>
      <c r="AS956" s="93"/>
      <c r="AT956" s="93"/>
      <c r="AU956" s="93"/>
      <c r="AV956" s="93"/>
      <c r="AW956" s="134"/>
      <c r="AX956" s="62"/>
      <c r="AY956" s="93"/>
      <c r="AZ956" s="93"/>
      <c r="BA956" s="93"/>
      <c r="BB956" s="234">
        <f>IFERROR(INDEX('Total Customers'!$E$7:$AA$91,MATCH($C956,'Total Customers'!$C$7:$C$91,0),MATCH($G956,'Total Customers'!$E$5:$AA$5,0)),"NA")</f>
        <v>597845</v>
      </c>
      <c r="BC956" s="269">
        <f t="shared" si="1639"/>
        <v>2.9800097900022329E-2</v>
      </c>
      <c r="BD956" s="92"/>
      <c r="BE956" s="299" t="str">
        <f t="shared" si="1635"/>
        <v>PUGET SOUND ENERGY, INC.</v>
      </c>
      <c r="BF956" s="300">
        <f t="shared" si="1636"/>
        <v>4062485</v>
      </c>
      <c r="BG956" s="231" t="str">
        <f t="shared" si="1637"/>
        <v>WA</v>
      </c>
      <c r="BH956" s="231"/>
      <c r="BI956" s="231" t="str">
        <f t="shared" si="1638"/>
        <v>2001 Y</v>
      </c>
      <c r="BJ956" s="129"/>
      <c r="BK956" s="129"/>
      <c r="BL956" s="129">
        <f>INDEX('Dist. Plant Gas Additions'!$E$7:$AD$91,MATCH($C956,'Dist. Plant Gas Additions'!$C$7:$C$91,0),MATCH(Calculation!$G956,'Dist. Plant Gas Additions'!$E$5:$AD$5,0))</f>
        <v>120053</v>
      </c>
      <c r="BM956" s="129">
        <f>INDEX('Gen. Plant Additions'!$E$7:$AD$91,MATCH($C956,'Gen. Plant Additions'!$C$7:$C$91,0),MATCH(Calculation!$G956,'Gen. Plant Additions'!$E$5:$AD$5,0))</f>
        <v>507</v>
      </c>
      <c r="BN956" s="301">
        <f t="shared" si="1728"/>
        <v>0.95867836270023299</v>
      </c>
      <c r="BO956" s="231">
        <f t="shared" si="1722"/>
        <v>486.04992988901813</v>
      </c>
      <c r="BP956" s="231">
        <f t="shared" si="1723"/>
        <v>-20.950070110981869</v>
      </c>
      <c r="BQ956" s="129">
        <f>INDEX('Dist Plant Depreciation'!$D$7:$AC$94,MATCH($C956,'Dist Plant Depreciation'!$C$7:$C$94,0),MATCH(Calculation!$G956,'Dist Plant Depreciation'!$D$5:$AC$5,0))</f>
        <v>397916</v>
      </c>
      <c r="BR956" s="129">
        <f>INDEX('Gen. Plant Depreciation'!$D$7:$AC$94,MATCH($C956,'Gen. Plant Depreciation'!$C$7:$C$94,0),MATCH(Calculation!$G956,'Gen. Plant Depreciation'!$D$5:$AC$5,0))</f>
        <v>19466</v>
      </c>
      <c r="BS956" s="129"/>
      <c r="BT956" s="129"/>
      <c r="BU956" s="129"/>
      <c r="BV956" s="129"/>
      <c r="BW956" s="129"/>
      <c r="BX956" s="137"/>
      <c r="BY956" s="129">
        <f>INDEX('Gross Dx Plant'!$D$7:$AC$91,MATCH($C956,'Gross Dx Plant'!$C$7:$C$91,0),MATCH(Calculation!$G956,'Gross Dx Plant'!$D$5:$AC$5,0))</f>
        <v>1322933</v>
      </c>
      <c r="BZ956" s="129">
        <f>INDEX('Gross Gen Plant'!$D$7:$AC$91,MATCH($C956,'Gross Gen Plant'!$C$7:$C$91,0),MATCH(Calculation!$G956,'Gross Gen Plant'!$D$5:$AC$5,0))</f>
        <v>57022</v>
      </c>
      <c r="CA956" s="129">
        <f t="shared" si="1721"/>
        <v>962573</v>
      </c>
      <c r="CB956" s="129"/>
      <c r="CC956" s="133">
        <v>2001</v>
      </c>
      <c r="CD956" s="129"/>
      <c r="CE956" s="129"/>
      <c r="CF956" s="129"/>
      <c r="CG956" s="137"/>
      <c r="CH956" s="129">
        <f t="shared" si="1729"/>
        <v>120560</v>
      </c>
      <c r="CI956" s="46">
        <f t="shared" si="1738"/>
        <v>120539.04992988902</v>
      </c>
      <c r="CJ956" s="231">
        <f t="shared" si="1730"/>
        <v>341.03817623507308</v>
      </c>
      <c r="CK956" s="443">
        <v>0.96969696969696972</v>
      </c>
      <c r="CL956" s="231">
        <f>+CL953*CK956+CJ954*CK955+CJ955*CK953+CJ956</f>
        <v>4645.7927353650775</v>
      </c>
      <c r="CM956" s="134">
        <f t="shared" si="1731"/>
        <v>6.6318160908171095E-2</v>
      </c>
      <c r="CN956" s="135">
        <f t="shared" si="1732"/>
        <v>9.8746599470492559E-3</v>
      </c>
      <c r="CO956" s="135">
        <f>+(CN956+CN955+CN954)/3</f>
        <v>9.98422230647137E-3</v>
      </c>
      <c r="CP956" s="134">
        <f>VLOOKUP($H956,RoR!$E:$F,2,FALSE)</f>
        <v>7.0824999999999999E-2</v>
      </c>
      <c r="CQ956" s="135">
        <v>2.2454495382290052E-2</v>
      </c>
      <c r="CR956" s="135">
        <f t="shared" si="1739"/>
        <v>4.8370504617709947E-2</v>
      </c>
      <c r="CS956" s="135">
        <f>+$CR$2-CO956</f>
        <v>2.0917719302062255E-2</v>
      </c>
      <c r="CT956" s="135">
        <f>+((DF954/DF953-1)+(DF955/DF954-1)+(DF956/DF955-1))/3</f>
        <v>2.3947275901631187E-2</v>
      </c>
      <c r="CU956" s="139">
        <f t="shared" si="1733"/>
        <v>0.87050000000000005</v>
      </c>
      <c r="CV956" s="335">
        <f t="shared" si="1734"/>
        <v>0.72406708481540816</v>
      </c>
      <c r="CW956" s="335">
        <f t="shared" si="1735"/>
        <v>0.62201729615248857</v>
      </c>
      <c r="CX956" s="335">
        <f t="shared" si="1736"/>
        <v>0.9352469954311422</v>
      </c>
      <c r="CY956" s="335">
        <f t="shared" si="1737"/>
        <v>0.42121864641655071</v>
      </c>
      <c r="CZ956" s="336">
        <f>INDEX('State Tax Lookup'!$D$7:$Z$91,MATCH(Calculation!$C956,'State Tax Lookup'!$B$7:$B$91,0),MATCH($H956,'State Tax Lookup'!$D$6:$Z$6,0))</f>
        <v>0.35</v>
      </c>
      <c r="DA956" s="302">
        <v>0.37</v>
      </c>
      <c r="DB956" s="57">
        <f t="shared" ref="DB956:DB977" si="1740">+(DF956*CS956-CT956)*CU956/(1-CZ956)</f>
        <v>9.8692814433327332</v>
      </c>
      <c r="DC956" s="56"/>
      <c r="DD956" s="303">
        <f>VLOOKUP($H956,RoR!$E:$F,2,FALSE)</f>
        <v>7.0824999999999999E-2</v>
      </c>
      <c r="DE956" s="304">
        <f>HLOOKUP($H956,'GDP-PI'!$D$8:$CQ$11,3,FALSE)</f>
        <v>2.2454495382290052E-2</v>
      </c>
      <c r="DF956" s="303">
        <f>VLOOKUP(H956,'HW Dx Data'!$E:$F,2,FALSE)</f>
        <v>353.44738017483138</v>
      </c>
      <c r="DG956" s="364"/>
      <c r="DH956" s="364"/>
      <c r="DI956" s="364"/>
      <c r="DJ956" s="56"/>
      <c r="DK956" s="53">
        <f>HLOOKUP(H956,'GDP-PI'!$8:$9,2,FALSE)</f>
        <v>79.822000000000003</v>
      </c>
      <c r="DL956" s="298"/>
      <c r="EC956"/>
    </row>
    <row r="957" spans="1:133" s="126" customFormat="1" ht="21" customHeight="1" x14ac:dyDescent="0.4">
      <c r="A957" s="233" t="s">
        <v>239</v>
      </c>
      <c r="B957" s="126" t="s">
        <v>239</v>
      </c>
      <c r="C957" s="126">
        <v>4062485</v>
      </c>
      <c r="D957" s="127" t="s">
        <v>180</v>
      </c>
      <c r="E957" s="127"/>
      <c r="F957" s="144"/>
      <c r="G957" s="126" t="s">
        <v>158</v>
      </c>
      <c r="H957" s="128">
        <v>2002</v>
      </c>
      <c r="I957" s="129"/>
      <c r="J957" s="125"/>
      <c r="K957" s="125"/>
      <c r="L957" s="47"/>
      <c r="M957" s="125"/>
      <c r="N957" s="125"/>
      <c r="O957" s="125"/>
      <c r="P957" s="47"/>
      <c r="Q957" s="47"/>
      <c r="R957" s="386"/>
      <c r="S957" s="119"/>
      <c r="T957" s="47"/>
      <c r="U957" s="47"/>
      <c r="V957" s="125"/>
      <c r="W957" s="125"/>
      <c r="X957" s="125"/>
      <c r="Y957" s="125"/>
      <c r="Z957" s="125"/>
      <c r="AA957" s="125"/>
      <c r="AB957" s="125"/>
      <c r="AC957" s="125">
        <f t="shared" si="1727"/>
        <v>45857.703616758154</v>
      </c>
      <c r="AD957" s="129"/>
      <c r="AE957" s="133">
        <v>4980.5860838123554</v>
      </c>
      <c r="AF957" s="134">
        <v>5.6556793703320112E-2</v>
      </c>
      <c r="AG957" s="61"/>
      <c r="AH957" s="134"/>
      <c r="AI957" s="134"/>
      <c r="AJ957" s="129">
        <f t="shared" si="1680"/>
        <v>45857.703616758154</v>
      </c>
      <c r="AK957" s="134"/>
      <c r="AL957" s="129"/>
      <c r="AM957" s="129"/>
      <c r="AN957" s="129"/>
      <c r="AO957" s="129"/>
      <c r="AP957" s="133"/>
      <c r="AQ957" s="134"/>
      <c r="AR957" s="93"/>
      <c r="AS957" s="93"/>
      <c r="AT957" s="93"/>
      <c r="AU957" s="93"/>
      <c r="AV957" s="93"/>
      <c r="AW957" s="134"/>
      <c r="AX957" s="62"/>
      <c r="AY957" s="93"/>
      <c r="AZ957" s="93"/>
      <c r="BA957" s="93"/>
      <c r="BB957" s="234">
        <f>IFERROR(INDEX('Total Customers'!$E$7:$AA$91,MATCH($C957,'Total Customers'!$C$7:$C$91,0),MATCH($G957,'Total Customers'!$E$5:$AA$5,0)),"NA")</f>
        <v>613540</v>
      </c>
      <c r="BC957" s="269">
        <f t="shared" si="1639"/>
        <v>2.5913938670776619E-2</v>
      </c>
      <c r="BD957" s="92"/>
      <c r="BE957" s="299" t="str">
        <f t="shared" si="1635"/>
        <v>PUGET SOUND ENERGY, INC.</v>
      </c>
      <c r="BF957" s="300">
        <f t="shared" si="1636"/>
        <v>4062485</v>
      </c>
      <c r="BG957" s="231" t="str">
        <f t="shared" si="1637"/>
        <v>WA</v>
      </c>
      <c r="BH957" s="231"/>
      <c r="BI957" s="231" t="str">
        <f t="shared" si="1638"/>
        <v>2002 Y</v>
      </c>
      <c r="BJ957" s="129"/>
      <c r="BK957" s="129"/>
      <c r="BL957" s="129">
        <f>INDEX('Dist. Plant Gas Additions'!$E$7:$AD$91,MATCH($C957,'Dist. Plant Gas Additions'!$C$7:$C$91,0),MATCH(Calculation!$G957,'Dist. Plant Gas Additions'!$E$5:$AD$5,0))</f>
        <v>108344</v>
      </c>
      <c r="BM957" s="129">
        <f>INDEX('Gen. Plant Additions'!$E$7:$AD$91,MATCH($C957,'Gen. Plant Additions'!$C$7:$C$91,0),MATCH(Calculation!$G957,'Gen. Plant Additions'!$E$5:$AD$5,0))</f>
        <v>359</v>
      </c>
      <c r="BN957" s="301">
        <f t="shared" si="1728"/>
        <v>0.96166364838576823</v>
      </c>
      <c r="BO957" s="231">
        <f t="shared" si="1722"/>
        <v>345.23724977049079</v>
      </c>
      <c r="BP957" s="231">
        <f t="shared" si="1723"/>
        <v>-13.762750229509209</v>
      </c>
      <c r="BQ957" s="129">
        <f>INDEX('Dist Plant Depreciation'!$D$7:$AC$94,MATCH($C957,'Dist Plant Depreciation'!$C$7:$C$94,0),MATCH(Calculation!$G957,'Dist Plant Depreciation'!$D$5:$AC$5,0))</f>
        <v>430524</v>
      </c>
      <c r="BR957" s="129">
        <f>INDEX('Gen. Plant Depreciation'!$D$7:$AC$94,MATCH($C957,'Gen. Plant Depreciation'!$C$7:$C$94,0),MATCH(Calculation!$G957,'Gen. Plant Depreciation'!$D$5:$AC$5,0))</f>
        <v>20762</v>
      </c>
      <c r="BS957" s="129"/>
      <c r="BT957" s="129"/>
      <c r="BU957" s="129"/>
      <c r="BV957" s="129"/>
      <c r="BW957" s="129"/>
      <c r="BX957" s="137"/>
      <c r="BY957" s="129">
        <f>INDEX('Gross Dx Plant'!$D$7:$AC$91,MATCH($C957,'Gross Dx Plant'!$C$7:$C$91,0),MATCH(Calculation!$G957,'Gross Dx Plant'!$D$5:$AC$5,0))</f>
        <v>1417297</v>
      </c>
      <c r="BZ957" s="129">
        <f>INDEX('Gross Gen Plant'!$D$7:$AC$91,MATCH($C957,'Gross Gen Plant'!$C$7:$C$91,0),MATCH(Calculation!$G957,'Gross Gen Plant'!$D$5:$AC$5,0))</f>
        <v>56500</v>
      </c>
      <c r="CA957" s="129">
        <f t="shared" si="1721"/>
        <v>1022511</v>
      </c>
      <c r="CB957" s="129"/>
      <c r="CC957" s="133">
        <v>2002</v>
      </c>
      <c r="CD957" s="129"/>
      <c r="CE957" s="129"/>
      <c r="CF957" s="129"/>
      <c r="CG957" s="137"/>
      <c r="CH957" s="129">
        <f t="shared" si="1729"/>
        <v>108703</v>
      </c>
      <c r="CI957" s="46">
        <f t="shared" si="1738"/>
        <v>108689.23724977049</v>
      </c>
      <c r="CJ957" s="231">
        <f t="shared" si="1730"/>
        <v>300.78812501774047</v>
      </c>
      <c r="CK957" s="443">
        <v>0.95918367346938771</v>
      </c>
      <c r="CL957" s="231">
        <f>+CL953*CK957+CJ954*CK956+CJ955*CK955+CJ956*CK954+CJ957</f>
        <v>4894.3023193086556</v>
      </c>
      <c r="CM957" s="134">
        <f t="shared" si="1731"/>
        <v>5.2109714633722118E-2</v>
      </c>
      <c r="CN957" s="135">
        <f t="shared" si="1732"/>
        <v>1.1252878475658958E-2</v>
      </c>
      <c r="CO957" s="135">
        <f t="shared" ref="CO957:CO977" si="1741">+(CN957+CN956+CN955)/3</f>
        <v>1.0434851765354365E-2</v>
      </c>
      <c r="CP957" s="134">
        <f>VLOOKUP($H957,RoR!$E:$F,2,FALSE)</f>
        <v>6.4916666666666664E-2</v>
      </c>
      <c r="CQ957" s="135">
        <v>1.5246423291824351E-2</v>
      </c>
      <c r="CR957" s="135">
        <f t="shared" si="1739"/>
        <v>4.9670243374842313E-2</v>
      </c>
      <c r="CS957" s="135">
        <f t="shared" ref="CS957:CS977" si="1742">+$CR$2-CO957</f>
        <v>2.046708984317926E-2</v>
      </c>
      <c r="CT957" s="135">
        <f t="shared" ref="CT957:CT977" si="1743">+((DF955/DF954-1)+(DF956/DF955-1)+(DF957/DF956-1))/3</f>
        <v>2.5243621214759093E-2</v>
      </c>
      <c r="CU957" s="139">
        <f t="shared" si="1733"/>
        <v>0.87050000000000005</v>
      </c>
      <c r="CV957" s="335">
        <f t="shared" si="1734"/>
        <v>0.78996741384417901</v>
      </c>
      <c r="CW957" s="335">
        <f t="shared" si="1735"/>
        <v>0.58989088575096271</v>
      </c>
      <c r="CX957" s="335">
        <f t="shared" si="1736"/>
        <v>0.91920675783645744</v>
      </c>
      <c r="CY957" s="335">
        <f t="shared" si="1737"/>
        <v>0.42834536472275586</v>
      </c>
      <c r="CZ957" s="336">
        <f>INDEX('State Tax Lookup'!$D$7:$Z$91,MATCH(Calculation!$C957,'State Tax Lookup'!$B$7:$B$91,0),MATCH($H957,'State Tax Lookup'!$D$6:$Z$6,0))</f>
        <v>0.35</v>
      </c>
      <c r="DA957" s="302">
        <v>0.37</v>
      </c>
      <c r="DB957" s="57">
        <f t="shared" si="1740"/>
        <v>9.8708027303233852</v>
      </c>
      <c r="DC957" s="56">
        <f t="shared" ref="DC957:DC975" si="1744">LN(DB957/DB956)</f>
        <v>1.5413176360152113E-4</v>
      </c>
      <c r="DD957" s="303">
        <f>VLOOKUP($H957,RoR!$E:$F,2,FALSE)</f>
        <v>6.4916666666666664E-2</v>
      </c>
      <c r="DE957" s="304">
        <f>HLOOKUP($H957,'GDP-PI'!$D$8:$CQ$11,3,FALSE)</f>
        <v>1.5246423291824351E-2</v>
      </c>
      <c r="DF957" s="303">
        <f>VLOOKUP(H957,'HW Dx Data'!$E:$F,2,FALSE)</f>
        <v>361.34816573413599</v>
      </c>
      <c r="DG957" s="364"/>
      <c r="DH957" s="364"/>
      <c r="DI957" s="364"/>
      <c r="DJ957" s="56"/>
      <c r="DK957" s="53">
        <f>HLOOKUP(H957,'GDP-PI'!$8:$9,2,FALSE)</f>
        <v>81.039000000000001</v>
      </c>
      <c r="DL957" s="355">
        <f>LN(DK957/DK956)</f>
        <v>1.513136459537477E-2</v>
      </c>
      <c r="EC957"/>
    </row>
    <row r="958" spans="1:133" s="126" customFormat="1" ht="21" customHeight="1" x14ac:dyDescent="0.4">
      <c r="A958" s="233" t="s">
        <v>239</v>
      </c>
      <c r="B958" s="126" t="s">
        <v>239</v>
      </c>
      <c r="C958" s="126">
        <v>4062485</v>
      </c>
      <c r="D958" s="127" t="s">
        <v>180</v>
      </c>
      <c r="E958" s="127"/>
      <c r="F958" s="144"/>
      <c r="G958" s="126" t="s">
        <v>159</v>
      </c>
      <c r="H958" s="128">
        <v>2003</v>
      </c>
      <c r="I958" s="129"/>
      <c r="J958" s="125"/>
      <c r="K958" s="125"/>
      <c r="L958" s="47"/>
      <c r="M958" s="125"/>
      <c r="N958" s="125"/>
      <c r="O958" s="125"/>
      <c r="P958" s="59"/>
      <c r="Q958" s="59"/>
      <c r="R958" s="386"/>
      <c r="S958" s="119"/>
      <c r="T958" s="59"/>
      <c r="U958" s="59"/>
      <c r="V958" s="125"/>
      <c r="W958" s="125"/>
      <c r="X958" s="125"/>
      <c r="Y958" s="125"/>
      <c r="Z958" s="125"/>
      <c r="AA958" s="125"/>
      <c r="AB958" s="125"/>
      <c r="AC958" s="125">
        <f t="shared" si="1727"/>
        <v>48743.203578736182</v>
      </c>
      <c r="AD958" s="129"/>
      <c r="AE958" s="133">
        <v>5211.7419135933196</v>
      </c>
      <c r="AF958" s="134">
        <v>4.536656868250364E-2</v>
      </c>
      <c r="AG958" s="61"/>
      <c r="AH958" s="134"/>
      <c r="AI958" s="134"/>
      <c r="AJ958" s="129">
        <f t="shared" si="1680"/>
        <v>48743.203578736182</v>
      </c>
      <c r="AK958" s="134"/>
      <c r="AL958" s="129"/>
      <c r="AM958" s="129"/>
      <c r="AN958" s="129"/>
      <c r="AO958" s="129"/>
      <c r="AP958" s="133"/>
      <c r="AQ958" s="134"/>
      <c r="AR958" s="93"/>
      <c r="AS958" s="93"/>
      <c r="AT958" s="93"/>
      <c r="AU958" s="93"/>
      <c r="AV958" s="93"/>
      <c r="AW958" s="134"/>
      <c r="AX958" s="62"/>
      <c r="AY958" s="93"/>
      <c r="AZ958" s="93"/>
      <c r="BA958" s="93"/>
      <c r="BB958" s="234">
        <f>IFERROR(INDEX('Total Customers'!$E$7:$AA$91,MATCH($C958,'Total Customers'!$C$7:$C$91,0),MATCH($G958,'Total Customers'!$E$5:$AA$5,0)),"NA")</f>
        <v>633678</v>
      </c>
      <c r="BC958" s="269">
        <f t="shared" si="1639"/>
        <v>3.2295477284331603E-2</v>
      </c>
      <c r="BD958" s="92"/>
      <c r="BE958" s="299" t="str">
        <f t="shared" si="1635"/>
        <v>PUGET SOUND ENERGY, INC.</v>
      </c>
      <c r="BF958" s="300">
        <f t="shared" si="1636"/>
        <v>4062485</v>
      </c>
      <c r="BG958" s="231" t="str">
        <f t="shared" si="1637"/>
        <v>WA</v>
      </c>
      <c r="BH958" s="231"/>
      <c r="BI958" s="231" t="str">
        <f t="shared" si="1638"/>
        <v>2003 Y</v>
      </c>
      <c r="BJ958" s="129"/>
      <c r="BK958" s="129"/>
      <c r="BL958" s="129">
        <f>INDEX('Dist. Plant Gas Additions'!$E$7:$AD$91,MATCH($C958,'Dist. Plant Gas Additions'!$C$7:$C$91,0),MATCH(Calculation!$G958,'Dist. Plant Gas Additions'!$E$5:$AD$5,0))</f>
        <v>94930</v>
      </c>
      <c r="BM958" s="129">
        <f>INDEX('Gen. Plant Additions'!$E$7:$AD$91,MATCH($C958,'Gen. Plant Additions'!$C$7:$C$91,0),MATCH(Calculation!$G958,'Gen. Plant Additions'!$E$5:$AD$5,0))</f>
        <v>758</v>
      </c>
      <c r="BN958" s="301">
        <f t="shared" si="1728"/>
        <v>0.96701519894846955</v>
      </c>
      <c r="BO958" s="231">
        <f t="shared" si="1722"/>
        <v>732.9975208029399</v>
      </c>
      <c r="BP958" s="231">
        <f t="shared" si="1723"/>
        <v>-25.002479197060097</v>
      </c>
      <c r="BQ958" s="129">
        <f>INDEX('Dist Plant Depreciation'!$D$7:$AC$94,MATCH($C958,'Dist Plant Depreciation'!$C$7:$C$94,0),MATCH(Calculation!$G958,'Dist Plant Depreciation'!$D$5:$AC$5,0))</f>
        <v>466465</v>
      </c>
      <c r="BR958" s="129">
        <f>INDEX('Gen. Plant Depreciation'!$D$7:$AC$94,MATCH($C958,'Gen. Plant Depreciation'!$C$7:$C$94,0),MATCH(Calculation!$G958,'Gen. Plant Depreciation'!$D$5:$AC$5,0))</f>
        <v>17541</v>
      </c>
      <c r="BS958" s="129"/>
      <c r="BT958" s="129"/>
      <c r="BU958" s="129"/>
      <c r="BV958" s="129"/>
      <c r="BW958" s="129"/>
      <c r="BX958" s="137"/>
      <c r="BY958" s="129">
        <f>INDEX('Gross Dx Plant'!$D$7:$AC$91,MATCH($C958,'Gross Dx Plant'!$C$7:$C$91,0),MATCH(Calculation!$G958,'Gross Dx Plant'!$D$5:$AC$5,0))</f>
        <v>1499359</v>
      </c>
      <c r="BZ958" s="129">
        <f>INDEX('Gross Gen Plant'!$D$7:$AC$91,MATCH($C958,'Gross Gen Plant'!$C$7:$C$91,0),MATCH(Calculation!$G958,'Gross Gen Plant'!$D$5:$AC$5,0))</f>
        <v>51143</v>
      </c>
      <c r="CA958" s="129">
        <f t="shared" si="1721"/>
        <v>1066496</v>
      </c>
      <c r="CB958" s="129"/>
      <c r="CC958" s="133">
        <v>2003</v>
      </c>
      <c r="CD958" s="129"/>
      <c r="CE958" s="129"/>
      <c r="CF958" s="129"/>
      <c r="CG958" s="137"/>
      <c r="CH958" s="129">
        <f t="shared" si="1729"/>
        <v>95688</v>
      </c>
      <c r="CI958" s="46">
        <f t="shared" si="1738"/>
        <v>95662.997520802935</v>
      </c>
      <c r="CJ958" s="231">
        <f t="shared" si="1730"/>
        <v>259.08571195522342</v>
      </c>
      <c r="CK958" s="443">
        <v>0.94845360824742264</v>
      </c>
      <c r="CL958" s="231">
        <f>+CL953*CK958+CJ954*CK957+CJ955*CK956+CJ956*CK955+CJ957*CK954+CJ958</f>
        <v>5099.6313612262666</v>
      </c>
      <c r="CM958" s="134">
        <f t="shared" si="1731"/>
        <v>4.1096518433663853E-2</v>
      </c>
      <c r="CN958" s="135">
        <f t="shared" si="1732"/>
        <v>1.0983520536836355E-2</v>
      </c>
      <c r="CO958" s="135">
        <f t="shared" si="1741"/>
        <v>1.0703686319848188E-2</v>
      </c>
      <c r="CP958" s="134">
        <f>VLOOKUP($H958,RoR!$E:$F,2,FALSE)</f>
        <v>5.6666666666666671E-2</v>
      </c>
      <c r="CQ958" s="135">
        <v>1.8855119140166909E-2</v>
      </c>
      <c r="CR958" s="135">
        <f t="shared" si="1739"/>
        <v>3.7811547526499761E-2</v>
      </c>
      <c r="CS958" s="135">
        <f t="shared" si="1742"/>
        <v>2.0198255288685435E-2</v>
      </c>
      <c r="CT958" s="135">
        <f t="shared" si="1743"/>
        <v>2.1375012817671957E-2</v>
      </c>
      <c r="CU958" s="139">
        <f t="shared" si="1733"/>
        <v>0.87050000000000005</v>
      </c>
      <c r="CV958" s="335">
        <f t="shared" si="1734"/>
        <v>0.90497737556561086</v>
      </c>
      <c r="CW958" s="335">
        <f t="shared" si="1735"/>
        <v>0.5338235294117647</v>
      </c>
      <c r="CX958" s="335">
        <f t="shared" si="1736"/>
        <v>0.88972433127405692</v>
      </c>
      <c r="CY958" s="335">
        <f t="shared" si="1737"/>
        <v>0.42982423775949252</v>
      </c>
      <c r="CZ958" s="336">
        <f>INDEX('State Tax Lookup'!$D$7:$Z$91,MATCH(Calculation!$C958,'State Tax Lookup'!$B$7:$B$91,0),MATCH($H958,'State Tax Lookup'!$D$6:$Z$6,0))</f>
        <v>0.35</v>
      </c>
      <c r="DA958" s="302">
        <v>0.37</v>
      </c>
      <c r="DB958" s="57">
        <f t="shared" si="1740"/>
        <v>9.9591730135749774</v>
      </c>
      <c r="DC958" s="56">
        <f t="shared" si="1744"/>
        <v>8.912856918854857E-3</v>
      </c>
      <c r="DD958" s="303">
        <f>VLOOKUP($H958,RoR!$E:$F,2,FALSE)</f>
        <v>5.6666666666666671E-2</v>
      </c>
      <c r="DE958" s="304">
        <f>HLOOKUP($H958,'GDP-PI'!$D$8:$CQ$11,3,FALSE)</f>
        <v>1.8855119140166909E-2</v>
      </c>
      <c r="DF958" s="303">
        <f>VLOOKUP(H958,'HW Dx Data'!$E:$F,2,FALSE)</f>
        <v>369.23301095560191</v>
      </c>
      <c r="DG958" s="364">
        <f ca="1">VLOOKUP(CC958,'ECI - Input Price'!M$13:N$33,2,FALSE)</f>
        <v>89.25</v>
      </c>
      <c r="DH958" s="364"/>
      <c r="DI958" s="364"/>
      <c r="DJ958" s="56"/>
      <c r="DK958" s="53">
        <f>HLOOKUP(H958,'GDP-PI'!$8:$9,2,FALSE)</f>
        <v>82.566999999999993</v>
      </c>
      <c r="DL958" s="355">
        <f t="shared" ref="DL958:DL977" si="1745">LN(DK958/DK957)</f>
        <v>1.8679564681853753E-2</v>
      </c>
      <c r="EC958"/>
    </row>
    <row r="959" spans="1:133" s="126" customFormat="1" ht="21" customHeight="1" x14ac:dyDescent="0.4">
      <c r="A959" s="233" t="s">
        <v>239</v>
      </c>
      <c r="B959" s="126" t="s">
        <v>239</v>
      </c>
      <c r="C959" s="126">
        <v>4062485</v>
      </c>
      <c r="D959" s="127" t="s">
        <v>180</v>
      </c>
      <c r="E959" s="127"/>
      <c r="F959" s="144"/>
      <c r="G959" s="126" t="s">
        <v>160</v>
      </c>
      <c r="H959" s="128">
        <v>2004</v>
      </c>
      <c r="I959" s="129"/>
      <c r="J959" s="125">
        <f>IFERROR(INDEX('Labor Expenditures'!$E$7:$W$91,MATCH($C959,'Labor Expenditures'!$C$7:$C$91,0),MATCH($G959,'Labor Expenditures'!$E$5:$W$5,0)),"NA")</f>
        <v>29285.790448583073</v>
      </c>
      <c r="K959" s="125">
        <f t="shared" ref="K959:K977" ca="1" si="1746">+J959/DG959</f>
        <v>310.39523527909989</v>
      </c>
      <c r="L959" s="47"/>
      <c r="M959" s="131"/>
      <c r="N959" s="131"/>
      <c r="O959" s="131"/>
      <c r="P959" s="59"/>
      <c r="Q959" s="59"/>
      <c r="R959" s="386"/>
      <c r="S959" s="119"/>
      <c r="T959" s="59"/>
      <c r="U959" s="59"/>
      <c r="V959" s="125">
        <f>IFERROR(INDEX('Non-Labor Expenditures'!$E$7:$AA$91,MATCH($C959,'Non-Labor Expenditures'!$C$7:$C$91,0),MATCH($G959,'Non-Labor Expenditures'!$E$5:$AA$5,0)),"NA")</f>
        <v>42411.294400698338</v>
      </c>
      <c r="W959" s="125">
        <f t="shared" ref="W959:W977" si="1747">+V959/DK959</f>
        <v>500.26297389297144</v>
      </c>
      <c r="X959" s="125"/>
      <c r="Y959" s="125"/>
      <c r="Z959" s="125"/>
      <c r="AA959" s="125"/>
      <c r="AB959" s="125"/>
      <c r="AC959" s="125">
        <f t="shared" si="1727"/>
        <v>55538.891655463158</v>
      </c>
      <c r="AD959" s="129"/>
      <c r="AE959" s="133">
        <v>5452.69356416955</v>
      </c>
      <c r="AF959" s="134">
        <v>4.5195578233526108E-2</v>
      </c>
      <c r="AG959" s="59">
        <f t="shared" ref="AG959:AG977" si="1748">+AF959*$AX959</f>
        <v>0</v>
      </c>
      <c r="AH959" s="134"/>
      <c r="AI959" s="134"/>
      <c r="AJ959" s="129">
        <f t="shared" si="1680"/>
        <v>127235.97650474457</v>
      </c>
      <c r="AK959" s="134"/>
      <c r="AL959" s="129"/>
      <c r="AM959" s="129"/>
      <c r="AN959" s="129"/>
      <c r="AO959" s="129"/>
      <c r="AP959" s="133"/>
      <c r="AQ959" s="134"/>
      <c r="AR959" s="93">
        <f t="shared" ref="AR959:AR977" si="1749">+J959/AJ959</f>
        <v>0.23016910195593163</v>
      </c>
      <c r="AS959" s="93">
        <f t="shared" ref="AS959:AS977" si="1750">+V959/AJ959</f>
        <v>0.33332784929046261</v>
      </c>
      <c r="AT959" s="93">
        <f t="shared" ref="AT959:AT977" si="1751">+AC959/AJ959</f>
        <v>0.43650304875360579</v>
      </c>
      <c r="AU959" s="93"/>
      <c r="AV959" s="93"/>
      <c r="AW959" s="134"/>
      <c r="AX959" s="62"/>
      <c r="AY959" s="93"/>
      <c r="AZ959" s="93"/>
      <c r="BA959" s="93"/>
      <c r="BB959" s="234">
        <f>IFERROR(INDEX('Total Customers'!$E$7:$AA$91,MATCH($C959,'Total Customers'!$C$7:$C$91,0),MATCH($G959,'Total Customers'!$E$5:$AA$5,0)),"NA")</f>
        <v>661739</v>
      </c>
      <c r="BC959" s="269">
        <f t="shared" si="1639"/>
        <v>4.3330279393547715E-2</v>
      </c>
      <c r="BD959" s="92"/>
      <c r="BE959" s="299" t="str">
        <f t="shared" si="1635"/>
        <v>PUGET SOUND ENERGY, INC.</v>
      </c>
      <c r="BF959" s="300">
        <f t="shared" si="1636"/>
        <v>4062485</v>
      </c>
      <c r="BG959" s="231" t="str">
        <f t="shared" si="1637"/>
        <v>WA</v>
      </c>
      <c r="BH959" s="231"/>
      <c r="BI959" s="231" t="str">
        <f t="shared" si="1638"/>
        <v>2004 Y</v>
      </c>
      <c r="BJ959" s="129"/>
      <c r="BK959" s="129"/>
      <c r="BL959" s="129">
        <f>INDEX('Dist. Plant Gas Additions'!$E$7:$AD$91,MATCH($C959,'Dist. Plant Gas Additions'!$C$7:$C$91,0),MATCH(Calculation!$G959,'Dist. Plant Gas Additions'!$E$5:$AD$5,0))</f>
        <v>112319</v>
      </c>
      <c r="BM959" s="129">
        <f>INDEX('Gen. Plant Additions'!$E$7:$AD$91,MATCH($C959,'Gen. Plant Additions'!$C$7:$C$91,0),MATCH(Calculation!$G959,'Gen. Plant Additions'!$E$5:$AD$5,0))</f>
        <v>171</v>
      </c>
      <c r="BN959" s="301">
        <f t="shared" si="1728"/>
        <v>0.96933059114734998</v>
      </c>
      <c r="BO959" s="231">
        <f t="shared" si="1722"/>
        <v>165.75553108619684</v>
      </c>
      <c r="BP959" s="231">
        <f t="shared" si="1723"/>
        <v>-5.2444689138031606</v>
      </c>
      <c r="BQ959" s="129">
        <f>INDEX('Dist Plant Depreciation'!$D$7:$AC$94,MATCH($C959,'Dist Plant Depreciation'!$C$7:$C$94,0),MATCH(Calculation!$G959,'Dist Plant Depreciation'!$D$5:$AC$5,0))</f>
        <v>503283</v>
      </c>
      <c r="BR959" s="129">
        <f>INDEX('Gen. Plant Depreciation'!$D$7:$AC$94,MATCH($C959,'Gen. Plant Depreciation'!$C$7:$C$94,0),MATCH(Calculation!$G959,'Gen. Plant Depreciation'!$D$5:$AC$5,0))</f>
        <v>19677</v>
      </c>
      <c r="BS959" s="129"/>
      <c r="BT959" s="129"/>
      <c r="BU959" s="129"/>
      <c r="BV959" s="129"/>
      <c r="BW959" s="129"/>
      <c r="BX959" s="137"/>
      <c r="BY959" s="129">
        <f>INDEX('Gross Dx Plant'!$D$7:$AC$91,MATCH($C959,'Gross Dx Plant'!$C$7:$C$91,0),MATCH(Calculation!$G959,'Gross Dx Plant'!$D$5:$AC$5,0))</f>
        <v>1597767</v>
      </c>
      <c r="BZ959" s="129">
        <f>INDEX('Gross Gen Plant'!$D$7:$AC$91,MATCH($C959,'Gross Gen Plant'!$C$7:$C$91,0),MATCH(Calculation!$G959,'Gross Gen Plant'!$D$5:$AC$5,0))</f>
        <v>50553</v>
      </c>
      <c r="CA959" s="129">
        <f t="shared" si="1721"/>
        <v>1125360</v>
      </c>
      <c r="CB959" s="129"/>
      <c r="CC959" s="133">
        <v>2004</v>
      </c>
      <c r="CD959" s="129"/>
      <c r="CE959" s="129"/>
      <c r="CF959" s="129"/>
      <c r="CG959" s="137"/>
      <c r="CH959" s="129">
        <f t="shared" si="1729"/>
        <v>112490</v>
      </c>
      <c r="CI959" s="46">
        <f t="shared" si="1738"/>
        <v>112484.75553108619</v>
      </c>
      <c r="CJ959" s="231">
        <f t="shared" si="1730"/>
        <v>271.12130206877026</v>
      </c>
      <c r="CK959" s="443">
        <v>0.9375</v>
      </c>
      <c r="CL959" s="231">
        <f>+CL953*CK959+CJ954*CK958+CJ955*CK957+CJ956*CK956+CJ957*CK955+CJ958*CK954+CJ959</f>
        <v>5313.317347159762</v>
      </c>
      <c r="CM959" s="134">
        <f t="shared" si="1731"/>
        <v>4.1048120993995012E-2</v>
      </c>
      <c r="CN959" s="135">
        <f t="shared" si="1732"/>
        <v>1.1262640780659061E-2</v>
      </c>
      <c r="CO959" s="135">
        <f t="shared" si="1741"/>
        <v>1.1166346597718124E-2</v>
      </c>
      <c r="CP959" s="134">
        <f>VLOOKUP($H959,RoR!$E:$F,2,FALSE)</f>
        <v>5.6283333333333331E-2</v>
      </c>
      <c r="CQ959" s="135">
        <v>2.6778252812867276E-2</v>
      </c>
      <c r="CR959" s="135">
        <f t="shared" si="1739"/>
        <v>2.9505080520466055E-2</v>
      </c>
      <c r="CS959" s="135">
        <f t="shared" si="1742"/>
        <v>1.9735595010815503E-2</v>
      </c>
      <c r="CT959" s="135">
        <f t="shared" si="1743"/>
        <v>5.5940039414565046E-2</v>
      </c>
      <c r="CU959" s="139">
        <f t="shared" si="1733"/>
        <v>0.87050000000000005</v>
      </c>
      <c r="CV959" s="335">
        <f t="shared" si="1734"/>
        <v>0.91114097628755619</v>
      </c>
      <c r="CW959" s="335">
        <f t="shared" si="1735"/>
        <v>0.53081877405981637</v>
      </c>
      <c r="CX959" s="335">
        <f t="shared" si="1736"/>
        <v>0.88811215519385678</v>
      </c>
      <c r="CY959" s="335">
        <f t="shared" si="1737"/>
        <v>0.42953609753547711</v>
      </c>
      <c r="CZ959" s="336">
        <f>INDEX('State Tax Lookup'!$D$7:$Z$91,MATCH(Calculation!$C959,'State Tax Lookup'!$B$7:$B$91,0),MATCH($H959,'State Tax Lookup'!$D$6:$Z$6,0))</f>
        <v>0.35</v>
      </c>
      <c r="DA959" s="302">
        <v>0.37</v>
      </c>
      <c r="DB959" s="57">
        <f t="shared" si="1740"/>
        <v>10.890765963543721</v>
      </c>
      <c r="DC959" s="56">
        <f t="shared" si="1744"/>
        <v>8.9421233501246852E-2</v>
      </c>
      <c r="DD959" s="303">
        <f>VLOOKUP($H959,RoR!$E:$F,2,FALSE)</f>
        <v>5.6283333333333331E-2</v>
      </c>
      <c r="DE959" s="304">
        <f>HLOOKUP($H959,'GDP-PI'!$D$8:$CQ$11,3,FALSE)</f>
        <v>2.6778252812867276E-2</v>
      </c>
      <c r="DF959" s="303">
        <f>VLOOKUP(H959,'HW Dx Data'!$E:$F,2,FALSE)</f>
        <v>414.88719135228365</v>
      </c>
      <c r="DG959" s="364">
        <f ca="1">VLOOKUP(CC959,'ECI - Input Price'!M$13:N$33,2,FALSE)</f>
        <v>94.35</v>
      </c>
      <c r="DH959" s="364"/>
      <c r="DI959" s="364"/>
      <c r="DJ959" s="56">
        <f t="shared" ref="DJ959:DJ977" ca="1" si="1752">LN(DG959/DG958)</f>
        <v>5.5569851154810786E-2</v>
      </c>
      <c r="DK959" s="53">
        <f>HLOOKUP(H959,'GDP-PI'!$8:$9,2,FALSE)</f>
        <v>84.778000000000006</v>
      </c>
      <c r="DL959" s="355">
        <f t="shared" si="1745"/>
        <v>2.6425990216022755E-2</v>
      </c>
      <c r="EC959"/>
    </row>
    <row r="960" spans="1:133" s="126" customFormat="1" ht="21" customHeight="1" x14ac:dyDescent="0.4">
      <c r="A960" s="233" t="s">
        <v>239</v>
      </c>
      <c r="B960" s="126" t="s">
        <v>239</v>
      </c>
      <c r="C960" s="126">
        <v>4062485</v>
      </c>
      <c r="D960" s="127" t="s">
        <v>180</v>
      </c>
      <c r="E960" s="127"/>
      <c r="F960" s="144"/>
      <c r="G960" s="126" t="s">
        <v>161</v>
      </c>
      <c r="H960" s="128">
        <v>2005</v>
      </c>
      <c r="I960" s="129"/>
      <c r="J960" s="125">
        <f>IFERROR(INDEX('Labor Expenditures'!$E$7:$W$91,MATCH($C960,'Labor Expenditures'!$C$7:$C$91,0),MATCH($G960,'Labor Expenditures'!$E$5:$W$5,0)),"NA")</f>
        <v>36812.328311604149</v>
      </c>
      <c r="K960" s="125">
        <f t="shared" ca="1" si="1746"/>
        <v>370.99852165889797</v>
      </c>
      <c r="L960" s="47"/>
      <c r="M960" s="131">
        <f t="shared" ref="M960:M976" ca="1" si="1753">LN(K960/K959)</f>
        <v>0.17835163992197478</v>
      </c>
      <c r="N960" s="131"/>
      <c r="O960" s="131"/>
      <c r="P960" s="59"/>
      <c r="Q960" s="61"/>
      <c r="R960" s="387"/>
      <c r="S960" s="49">
        <v>100</v>
      </c>
      <c r="T960" s="46"/>
      <c r="U960" s="46"/>
      <c r="V960" s="125">
        <f>IFERROR(INDEX('Non-Labor Expenditures'!$E$7:$AA$91,MATCH($C960,'Non-Labor Expenditures'!$C$7:$C$91,0),MATCH($G960,'Non-Labor Expenditures'!$E$5:$AA$5,0)),"NA")</f>
        <v>53311.126989715376</v>
      </c>
      <c r="W960" s="125">
        <f t="shared" si="1747"/>
        <v>609.91827873872091</v>
      </c>
      <c r="X960" s="131">
        <f>LN(W960/W959)</f>
        <v>0.19819107096581112</v>
      </c>
      <c r="Y960" s="131"/>
      <c r="Z960" s="131"/>
      <c r="AA960" s="131"/>
      <c r="AB960" s="131"/>
      <c r="AC960" s="125">
        <f t="shared" si="1727"/>
        <v>64916.331888394183</v>
      </c>
      <c r="AD960" s="129"/>
      <c r="AE960" s="133">
        <v>5681.0317633659824</v>
      </c>
      <c r="AF960" s="134">
        <v>4.1023146176418397E-2</v>
      </c>
      <c r="AG960" s="59">
        <f t="shared" si="1748"/>
        <v>0</v>
      </c>
      <c r="AH960" s="134"/>
      <c r="AI960" s="134"/>
      <c r="AJ960" s="129">
        <f t="shared" si="1680"/>
        <v>155039.78718971371</v>
      </c>
      <c r="AK960" s="134">
        <f>LN(AJ960/AJ959)</f>
        <v>0.19763833045336959</v>
      </c>
      <c r="AL960" s="129"/>
      <c r="AM960" s="129"/>
      <c r="AN960" s="129"/>
      <c r="AO960" s="129"/>
      <c r="AP960" s="133"/>
      <c r="AQ960" s="134"/>
      <c r="AR960" s="93">
        <f t="shared" si="1749"/>
        <v>0.23743794401987225</v>
      </c>
      <c r="AS960" s="93">
        <f t="shared" si="1750"/>
        <v>0.34385449023147502</v>
      </c>
      <c r="AT960" s="93">
        <f t="shared" si="1751"/>
        <v>0.41870756574865275</v>
      </c>
      <c r="AU960" s="93">
        <f t="shared" ref="AU960:AU976" ca="1" si="1754">+(((AR960+AR959)/2)*M960+((AS959+AS960)/2)*X960+((AT959+AT960)/2)*AF960)</f>
        <v>0.12634670332409598</v>
      </c>
      <c r="AV960" s="132">
        <v>100</v>
      </c>
      <c r="AW960" s="134"/>
      <c r="AX960" s="15"/>
      <c r="AY960" s="93"/>
      <c r="AZ960" s="93"/>
      <c r="BA960" s="93"/>
      <c r="BB960" s="234">
        <f>IFERROR(INDEX('Total Customers'!$E$7:$AA$91,MATCH($C960,'Total Customers'!$C$7:$C$91,0),MATCH($G960,'Total Customers'!$E$5:$AA$5,0)),"NA")</f>
        <v>682783</v>
      </c>
      <c r="BC960" s="269">
        <f t="shared" si="1639"/>
        <v>3.1305874751936788E-2</v>
      </c>
      <c r="BD960" s="92"/>
      <c r="BE960" s="299" t="str">
        <f t="shared" si="1635"/>
        <v>PUGET SOUND ENERGY, INC.</v>
      </c>
      <c r="BF960" s="300">
        <f t="shared" si="1636"/>
        <v>4062485</v>
      </c>
      <c r="BG960" s="231" t="str">
        <f t="shared" si="1637"/>
        <v>WA</v>
      </c>
      <c r="BH960" s="231"/>
      <c r="BI960" s="231" t="str">
        <f t="shared" si="1638"/>
        <v>2005 Y</v>
      </c>
      <c r="BJ960" s="129"/>
      <c r="BK960" s="129"/>
      <c r="BL960" s="129">
        <f>INDEX('Dist. Plant Gas Additions'!$E$7:$AD$91,MATCH($C960,'Dist. Plant Gas Additions'!$C$7:$C$91,0),MATCH(Calculation!$G960,'Dist. Plant Gas Additions'!$E$5:$AD$5,0))</f>
        <v>121279</v>
      </c>
      <c r="BM960" s="129">
        <f>INDEX('Gen. Plant Additions'!$E$7:$AD$91,MATCH($C960,'Gen. Plant Additions'!$C$7:$C$91,0),MATCH(Calculation!$G960,'Gen. Plant Additions'!$E$5:$AD$5,0))</f>
        <v>1112</v>
      </c>
      <c r="BN960" s="301">
        <f t="shared" si="1728"/>
        <v>0.97580939914976828</v>
      </c>
      <c r="BO960" s="231">
        <f t="shared" si="1722"/>
        <v>1085.1000518545422</v>
      </c>
      <c r="BP960" s="231">
        <f t="shared" si="1723"/>
        <v>-26.899948145457756</v>
      </c>
      <c r="BQ960" s="129">
        <f>INDEX('Dist Plant Depreciation'!$D$7:$AC$94,MATCH($C960,'Dist Plant Depreciation'!$C$7:$C$94,0),MATCH(Calculation!$G960,'Dist Plant Depreciation'!$D$5:$AC$5,0))</f>
        <v>542830</v>
      </c>
      <c r="BR960" s="129">
        <f>INDEX('Gen. Plant Depreciation'!$D$7:$AC$94,MATCH($C960,'Gen. Plant Depreciation'!$C$7:$C$94,0),MATCH(Calculation!$G960,'Gen. Plant Depreciation'!$D$5:$AC$5,0))</f>
        <v>19972</v>
      </c>
      <c r="BS960" s="129"/>
      <c r="BT960" s="129"/>
      <c r="BU960" s="129"/>
      <c r="BV960" s="129"/>
      <c r="BW960" s="129"/>
      <c r="BX960" s="137"/>
      <c r="BY960" s="129">
        <f>INDEX('Gross Dx Plant'!$D$7:$AC$91,MATCH($C960,'Gross Dx Plant'!$C$7:$C$91,0),MATCH(Calculation!$G960,'Gross Dx Plant'!$D$5:$AC$5,0))</f>
        <v>1708693</v>
      </c>
      <c r="BZ960" s="129">
        <f>INDEX('Gross Gen Plant'!$D$7:$AC$91,MATCH($C960,'Gross Gen Plant'!$C$7:$C$91,0),MATCH(Calculation!$G960,'Gross Gen Plant'!$D$5:$AC$5,0))</f>
        <v>42359</v>
      </c>
      <c r="CA960" s="129">
        <f t="shared" si="1721"/>
        <v>1188250</v>
      </c>
      <c r="CB960" s="129"/>
      <c r="CC960" s="133">
        <v>2005</v>
      </c>
      <c r="CD960" s="129"/>
      <c r="CE960" s="129"/>
      <c r="CF960" s="129"/>
      <c r="CG960" s="137"/>
      <c r="CH960" s="129">
        <f t="shared" si="1729"/>
        <v>122391</v>
      </c>
      <c r="CI960" s="46">
        <f t="shared" si="1738"/>
        <v>122364.10005185455</v>
      </c>
      <c r="CJ960" s="231">
        <f t="shared" si="1730"/>
        <v>260.79019501095877</v>
      </c>
      <c r="CK960" s="443">
        <v>0.9263157894736842</v>
      </c>
      <c r="CL960" s="231">
        <f>+CL953*CK960+CJ954*CK959+CJ955*CK958+CJ956*CK957+CJ957*CK956+CJ958*CK955+CJ959*CK954+CJ960</f>
        <v>5512.7881510774178</v>
      </c>
      <c r="CM960" s="134">
        <f t="shared" si="1731"/>
        <v>3.6854135711807914E-2</v>
      </c>
      <c r="CN960" s="135">
        <f t="shared" si="1732"/>
        <v>1.1540698039819011E-2</v>
      </c>
      <c r="CO960" s="135">
        <f t="shared" si="1741"/>
        <v>1.1262286452438144E-2</v>
      </c>
      <c r="CP960" s="134">
        <f>VLOOKUP($H960,RoR!$E:$F,2,FALSE)</f>
        <v>5.2350000000000001E-2</v>
      </c>
      <c r="CQ960" s="135">
        <v>3.1010403642454332E-2</v>
      </c>
      <c r="CR960" s="135">
        <f t="shared" si="1739"/>
        <v>2.1339596357545669E-2</v>
      </c>
      <c r="CS960" s="135">
        <f t="shared" si="1742"/>
        <v>1.9639655156095483E-2</v>
      </c>
      <c r="CT960" s="135">
        <f t="shared" si="1743"/>
        <v>9.2129610649277341E-2</v>
      </c>
      <c r="CU960" s="139">
        <f t="shared" si="1733"/>
        <v>0.87050000000000005</v>
      </c>
      <c r="CV960" s="335">
        <f t="shared" si="1734"/>
        <v>0.97959983346802826</v>
      </c>
      <c r="CW960" s="335">
        <f t="shared" si="1735"/>
        <v>0.49744508118433622</v>
      </c>
      <c r="CX960" s="335">
        <f t="shared" si="1736"/>
        <v>0.87010519444335932</v>
      </c>
      <c r="CY960" s="335">
        <f t="shared" si="1737"/>
        <v>0.42399975420741998</v>
      </c>
      <c r="CZ960" s="336">
        <f>INDEX('State Tax Lookup'!$D$7:$Z$91,MATCH(Calculation!$C960,'State Tax Lookup'!$B$7:$B$91,0),MATCH($H960,'State Tax Lookup'!$D$6:$Z$6,0))</f>
        <v>0.35</v>
      </c>
      <c r="DA960" s="302">
        <v>0.37</v>
      </c>
      <c r="DB960" s="57">
        <f t="shared" si="1740"/>
        <v>12.217665094499816</v>
      </c>
      <c r="DC960" s="56">
        <f t="shared" si="1744"/>
        <v>0.11496759213864595</v>
      </c>
      <c r="DD960" s="303">
        <f>VLOOKUP($H960,RoR!$E:$F,2,FALSE)</f>
        <v>5.2350000000000001E-2</v>
      </c>
      <c r="DE960" s="304">
        <f>HLOOKUP($H960,'GDP-PI'!$D$8:$CQ$11,3,FALSE)</f>
        <v>3.1010403642454332E-2</v>
      </c>
      <c r="DF960" s="303">
        <f>VLOOKUP(H960,'HW Dx Data'!$E:$F,2,FALSE)</f>
        <v>469.20514034936258</v>
      </c>
      <c r="DG960" s="364">
        <f ca="1">VLOOKUP(CC960,'ECI - Input Price'!M$13:N$33,2,FALSE)</f>
        <v>99.224999999999994</v>
      </c>
      <c r="DH960" s="364"/>
      <c r="DI960" s="364"/>
      <c r="DJ960" s="56">
        <f t="shared" ca="1" si="1752"/>
        <v>5.0378726854569796E-2</v>
      </c>
      <c r="DK960" s="53">
        <f>HLOOKUP(H960,'GDP-PI'!$8:$9,2,FALSE)</f>
        <v>87.406999999999996</v>
      </c>
      <c r="DL960" s="355">
        <f t="shared" si="1745"/>
        <v>3.0539295810733648E-2</v>
      </c>
      <c r="EC960"/>
    </row>
    <row r="961" spans="1:133" s="126" customFormat="1" ht="21" customHeight="1" x14ac:dyDescent="0.4">
      <c r="A961" s="233" t="s">
        <v>239</v>
      </c>
      <c r="B961" s="126" t="s">
        <v>239</v>
      </c>
      <c r="C961" s="126">
        <v>4062485</v>
      </c>
      <c r="D961" s="127" t="s">
        <v>180</v>
      </c>
      <c r="E961" s="127"/>
      <c r="F961" s="144"/>
      <c r="G961" s="126" t="s">
        <v>162</v>
      </c>
      <c r="H961" s="128">
        <v>2006</v>
      </c>
      <c r="I961" s="129"/>
      <c r="J961" s="125">
        <f>IFERROR(INDEX('Labor Expenditures'!$E$7:$W$91,MATCH($C961,'Labor Expenditures'!$C$7:$C$91,0),MATCH($G961,'Labor Expenditures'!$E$5:$W$5,0)),"NA")</f>
        <v>38645.970497647279</v>
      </c>
      <c r="K961" s="125">
        <f t="shared" ca="1" si="1746"/>
        <v>353.25384367136451</v>
      </c>
      <c r="L961" s="47"/>
      <c r="M961" s="131">
        <f t="shared" ca="1" si="1753"/>
        <v>-4.9011175465721639E-2</v>
      </c>
      <c r="N961" s="131"/>
      <c r="O961" s="131"/>
      <c r="P961" s="59">
        <f t="shared" ref="P961:P977" ca="1" si="1755">+M961*$AX961</f>
        <v>-1.0717833327041192E-3</v>
      </c>
      <c r="Q961" s="61"/>
      <c r="R961" s="387"/>
      <c r="S961" s="49">
        <f ca="1">+S960*EXP(T961)</f>
        <v>113.87809423345483</v>
      </c>
      <c r="T961" s="61">
        <f ca="1">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</f>
        <v>0.12995834141567134</v>
      </c>
      <c r="U961" s="61"/>
      <c r="V961" s="125">
        <f>IFERROR(INDEX('Non-Labor Expenditures'!$E$7:$AA$91,MATCH($C961,'Non-Labor Expenditures'!$C$7:$C$91,0),MATCH($G961,'Non-Labor Expenditures'!$E$5:$AA$5,0)),"NA")</f>
        <v>55966.583352225054</v>
      </c>
      <c r="W961" s="125">
        <f t="shared" si="1747"/>
        <v>621.34004654201055</v>
      </c>
      <c r="X961" s="131">
        <f t="shared" ref="X961:X976" si="1756">LN(W961/W960)</f>
        <v>1.8553532127575774E-2</v>
      </c>
      <c r="Y961" s="131">
        <f t="shared" ref="Y961:Y977" si="1757">+X961*AX961</f>
        <v>4.0573127063712057E-4</v>
      </c>
      <c r="Z961" s="131"/>
      <c r="AA961" s="131"/>
      <c r="AB961" s="131"/>
      <c r="AC961" s="125">
        <f t="shared" si="1727"/>
        <v>65316.690686201437</v>
      </c>
      <c r="AD961" s="129"/>
      <c r="AE961" s="133">
        <v>5976.3215858211861</v>
      </c>
      <c r="AF961" s="134">
        <v>5.0672394554173592E-2</v>
      </c>
      <c r="AG961" s="59">
        <f t="shared" si="1748"/>
        <v>1.1081111072178723E-3</v>
      </c>
      <c r="AH961" s="134"/>
      <c r="AI961" s="134"/>
      <c r="AJ961" s="129">
        <f t="shared" si="1680"/>
        <v>159929.24453607376</v>
      </c>
      <c r="AK961" s="134">
        <f t="shared" ref="AK961:AK977" si="1758">LN(AJ961/AJ960)</f>
        <v>3.1049720249309361E-2</v>
      </c>
      <c r="AL961" s="129"/>
      <c r="AM961" s="129"/>
      <c r="AN961" s="129"/>
      <c r="AO961" s="129"/>
      <c r="AP961" s="133">
        <f t="shared" ref="AP961:AP977" si="1759">+(AJ961*1000)/BB961</f>
        <v>227.41481969554707</v>
      </c>
      <c r="AQ961" s="134">
        <f>+BB961/Outputs!$B$14</f>
        <v>2.0277382297377484E-2</v>
      </c>
      <c r="AR961" s="93">
        <f t="shared" si="1749"/>
        <v>0.24164417589636186</v>
      </c>
      <c r="AS961" s="93">
        <f t="shared" si="1750"/>
        <v>0.34994589960437905</v>
      </c>
      <c r="AT961" s="93">
        <f t="shared" si="1751"/>
        <v>0.40840992449925911</v>
      </c>
      <c r="AU961" s="93">
        <f t="shared" ca="1" si="1754"/>
        <v>1.5652046894869848E-2</v>
      </c>
      <c r="AV961" s="132">
        <f ca="1">+AV960*EXP(AU961)</f>
        <v>101.57751817797048</v>
      </c>
      <c r="AW961" s="134">
        <f ca="1">LN(AV961/AV960)</f>
        <v>1.5652046894869778E-2</v>
      </c>
      <c r="AX961" s="56">
        <f>+AJ961/$AL$11</f>
        <v>2.1868141755827162E-2</v>
      </c>
      <c r="AY961" s="135">
        <f ca="1">+AX961*AW961</f>
        <v>3.4228118026586668E-4</v>
      </c>
      <c r="AZ961" s="93"/>
      <c r="BA961" s="93"/>
      <c r="BB961" s="234">
        <f>IFERROR(INDEX('Total Customers'!$E$7:$AA$91,MATCH($C961,'Total Customers'!$C$7:$C$91,0),MATCH($G961,'Total Customers'!$E$5:$AA$5,0)),"NA")</f>
        <v>703249</v>
      </c>
      <c r="BC961" s="269">
        <f t="shared" si="1639"/>
        <v>2.9533932270150103E-2</v>
      </c>
      <c r="BD961" s="92"/>
      <c r="BE961" s="299" t="str">
        <f t="shared" si="1635"/>
        <v>PUGET SOUND ENERGY, INC.</v>
      </c>
      <c r="BF961" s="300">
        <f t="shared" si="1636"/>
        <v>4062485</v>
      </c>
      <c r="BG961" s="231" t="str">
        <f t="shared" si="1637"/>
        <v>WA</v>
      </c>
      <c r="BH961" s="231"/>
      <c r="BI961" s="231" t="str">
        <f t="shared" si="1638"/>
        <v>2006 Y</v>
      </c>
      <c r="BJ961" s="129"/>
      <c r="BK961" s="129"/>
      <c r="BL961" s="129">
        <f>INDEX('Dist. Plant Gas Additions'!$E$7:$AD$91,MATCH($C961,'Dist. Plant Gas Additions'!$C$7:$C$91,0),MATCH(Calculation!$G961,'Dist. Plant Gas Additions'!$E$5:$AD$5,0))</f>
        <v>151290</v>
      </c>
      <c r="BM961" s="129">
        <f>INDEX('Gen. Plant Additions'!$E$7:$AD$91,MATCH($C961,'Gen. Plant Additions'!$C$7:$C$91,0),MATCH(Calculation!$G961,'Gen. Plant Additions'!$E$5:$AD$5,0))</f>
        <v>944</v>
      </c>
      <c r="BN961" s="301">
        <f t="shared" si="1728"/>
        <v>0.9789015643500325</v>
      </c>
      <c r="BO961" s="231">
        <f t="shared" si="1722"/>
        <v>924.08307674643072</v>
      </c>
      <c r="BP961" s="231">
        <f t="shared" si="1723"/>
        <v>-19.91692325356928</v>
      </c>
      <c r="BQ961" s="129">
        <f>INDEX('Dist Plant Depreciation'!$D$7:$AC$94,MATCH($C961,'Dist Plant Depreciation'!$C$7:$C$94,0),MATCH(Calculation!$G961,'Dist Plant Depreciation'!$D$5:$AC$5,0))</f>
        <v>619110</v>
      </c>
      <c r="BR961" s="129">
        <f>INDEX('Gen. Plant Depreciation'!$D$7:$AC$94,MATCH($C961,'Gen. Plant Depreciation'!$C$7:$C$94,0),MATCH(Calculation!$G961,'Gen. Plant Depreciation'!$D$5:$AC$5,0))</f>
        <v>18332</v>
      </c>
      <c r="BS961" s="129"/>
      <c r="BT961" s="129"/>
      <c r="BU961" s="129"/>
      <c r="BV961" s="129"/>
      <c r="BW961" s="129"/>
      <c r="BX961" s="137"/>
      <c r="BY961" s="129">
        <f>INDEX('Gross Dx Plant'!$D$7:$AC$91,MATCH($C961,'Gross Dx Plant'!$C$7:$C$91,0),MATCH(Calculation!$G961,'Gross Dx Plant'!$D$5:$AC$5,0))</f>
        <v>1994973</v>
      </c>
      <c r="BZ961" s="129">
        <f>INDEX('Gross Gen Plant'!$D$7:$AC$91,MATCH($C961,'Gross Gen Plant'!$C$7:$C$91,0),MATCH(Calculation!$G961,'Gross Gen Plant'!$D$5:$AC$5,0))</f>
        <v>42998</v>
      </c>
      <c r="CA961" s="129">
        <f t="shared" si="1721"/>
        <v>1400529</v>
      </c>
      <c r="CB961" s="134"/>
      <c r="CC961" s="133">
        <v>2006</v>
      </c>
      <c r="CD961" s="129"/>
      <c r="CE961" s="129"/>
      <c r="CF961" s="129"/>
      <c r="CG961" s="137"/>
      <c r="CH961" s="129">
        <f t="shared" si="1729"/>
        <v>152234</v>
      </c>
      <c r="CI961" s="46">
        <f t="shared" si="1738"/>
        <v>152214.08307674644</v>
      </c>
      <c r="CJ961" s="231">
        <f t="shared" si="1730"/>
        <v>330.12104274593702</v>
      </c>
      <c r="CK961" s="443">
        <v>0.91489361702127658</v>
      </c>
      <c r="CL961" s="231">
        <f>+CL953*CK961+CJ954*CK960+CJ955*CK959+CJ956*CK958+CJ957*CK957+CJ958*CK956+CJ959*CK955+CJ960*CK954+CJ961</f>
        <v>5777.7163340941197</v>
      </c>
      <c r="CM961" s="134">
        <f t="shared" si="1731"/>
        <v>4.6937994993842845E-2</v>
      </c>
      <c r="CN961" s="135">
        <f t="shared" si="1732"/>
        <v>1.1825750952627083E-2</v>
      </c>
      <c r="CO961" s="135">
        <f t="shared" si="1741"/>
        <v>1.1543029924368385E-2</v>
      </c>
      <c r="CP961" s="134">
        <f>VLOOKUP($H961,RoR!$E:$F,2,FALSE)</f>
        <v>5.5874999999999994E-2</v>
      </c>
      <c r="CQ961" s="135">
        <v>3.0512430354548314E-2</v>
      </c>
      <c r="CR961" s="135">
        <f t="shared" si="1739"/>
        <v>2.536256964545168E-2</v>
      </c>
      <c r="CS961" s="135">
        <f t="shared" si="1742"/>
        <v>1.9358911684165238E-2</v>
      </c>
      <c r="CT961" s="135">
        <f t="shared" si="1743"/>
        <v>7.9087823893859641E-2</v>
      </c>
      <c r="CU961" s="139">
        <f t="shared" si="1733"/>
        <v>0.87050000000000005</v>
      </c>
      <c r="CV961" s="335">
        <f t="shared" si="1734"/>
        <v>0.91779957551769631</v>
      </c>
      <c r="CW961" s="335">
        <f t="shared" si="1735"/>
        <v>0.52757270693512304</v>
      </c>
      <c r="CX961" s="335">
        <f t="shared" si="1736"/>
        <v>0.88636824549024895</v>
      </c>
      <c r="CY961" s="335">
        <f t="shared" si="1737"/>
        <v>0.42918482841932087</v>
      </c>
      <c r="CZ961" s="336">
        <f>INDEX('State Tax Lookup'!$D$7:$Z$91,MATCH(Calculation!$C961,'State Tax Lookup'!$B$7:$B$91,0),MATCH($H961,'State Tax Lookup'!$D$6:$Z$6,0))</f>
        <v>0.35</v>
      </c>
      <c r="DA961" s="302">
        <v>0.37</v>
      </c>
      <c r="DB961" s="57">
        <f t="shared" si="1740"/>
        <v>11.848213444123726</v>
      </c>
      <c r="DC961" s="56">
        <f t="shared" si="1744"/>
        <v>-3.0705771017484229E-2</v>
      </c>
      <c r="DD961" s="303">
        <f>VLOOKUP($H961,RoR!$E:$F,2,FALSE)</f>
        <v>5.5874999999999994E-2</v>
      </c>
      <c r="DE961" s="304">
        <f>HLOOKUP($H961,'GDP-PI'!$D$8:$CQ$11,3,FALSE)</f>
        <v>3.0512430354548314E-2</v>
      </c>
      <c r="DF961" s="303">
        <f>VLOOKUP(H961,'HW Dx Data'!$E:$F,2,FALSE)</f>
        <v>461.08567272971823</v>
      </c>
      <c r="DG961" s="364">
        <f ca="1">VLOOKUP(CC961,'ECI - Input Price'!M$13:N$33,2,FALSE)</f>
        <v>109.4</v>
      </c>
      <c r="DH961" s="364"/>
      <c r="DI961" s="364"/>
      <c r="DJ961" s="56">
        <f t="shared" ca="1" si="1752"/>
        <v>9.7620891318751846E-2</v>
      </c>
      <c r="DK961" s="53">
        <f>HLOOKUP(H961,'GDP-PI'!$8:$9,2,FALSE)</f>
        <v>90.073999999999998</v>
      </c>
      <c r="DL961" s="355">
        <f t="shared" si="1745"/>
        <v>3.005618372545445E-2</v>
      </c>
      <c r="EC961"/>
    </row>
    <row r="962" spans="1:133" s="126" customFormat="1" ht="21" customHeight="1" x14ac:dyDescent="0.4">
      <c r="A962" s="233" t="s">
        <v>239</v>
      </c>
      <c r="B962" s="126" t="s">
        <v>239</v>
      </c>
      <c r="C962" s="126">
        <v>4062485</v>
      </c>
      <c r="D962" s="127" t="s">
        <v>180</v>
      </c>
      <c r="E962" s="127"/>
      <c r="F962" s="144"/>
      <c r="G962" s="126" t="s">
        <v>163</v>
      </c>
      <c r="H962" s="128">
        <v>2007</v>
      </c>
      <c r="I962" s="129"/>
      <c r="J962" s="125">
        <f>IFERROR(INDEX('Labor Expenditures'!$E$7:$W$91,MATCH($C962,'Labor Expenditures'!$C$7:$C$91,0),MATCH($G962,'Labor Expenditures'!$E$5:$W$5,0)),"NA")</f>
        <v>41983.390814877821</v>
      </c>
      <c r="K962" s="125">
        <f t="shared" ca="1" si="1746"/>
        <v>401.65884539466947</v>
      </c>
      <c r="L962" s="47"/>
      <c r="M962" s="131">
        <f t="shared" ca="1" si="1753"/>
        <v>0.12841618263372812</v>
      </c>
      <c r="N962" s="131"/>
      <c r="O962" s="131"/>
      <c r="P962" s="59">
        <f t="shared" ca="1" si="1755"/>
        <v>2.9455197550579391E-3</v>
      </c>
      <c r="Q962" s="61"/>
      <c r="R962" s="387"/>
      <c r="S962" s="49">
        <f t="shared" ref="S962:S975" ca="1" si="1760">+S961*EXP(T962)</f>
        <v>120.60843461453288</v>
      </c>
      <c r="T962" s="61">
        <f ca="1">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</f>
        <v>5.7420693204358865E-2</v>
      </c>
      <c r="U962" s="61"/>
      <c r="V962" s="125">
        <f>IFERROR(INDEX('Non-Labor Expenditures'!$E$7:$AA$91,MATCH($C962,'Non-Labor Expenditures'!$C$7:$C$91,0),MATCH($G962,'Non-Labor Expenditures'!$E$5:$AA$5,0)),"NA")</f>
        <v>60799.791315706367</v>
      </c>
      <c r="W962" s="125">
        <f t="shared" si="1747"/>
        <v>657.30925334284382</v>
      </c>
      <c r="X962" s="131">
        <f t="shared" si="1756"/>
        <v>5.6276101938438128E-2</v>
      </c>
      <c r="Y962" s="131">
        <f t="shared" si="1757"/>
        <v>1.290821503938608E-3</v>
      </c>
      <c r="Z962" s="131"/>
      <c r="AA962" s="131"/>
      <c r="AB962" s="131"/>
      <c r="AC962" s="125">
        <f t="shared" si="1727"/>
        <v>73039.560991497987</v>
      </c>
      <c r="AD962" s="129"/>
      <c r="AE962" s="133">
        <v>6337.7128750859301</v>
      </c>
      <c r="AF962" s="134">
        <v>5.8712698839254347E-2</v>
      </c>
      <c r="AG962" s="59">
        <f t="shared" si="1748"/>
        <v>1.3467104437845903E-3</v>
      </c>
      <c r="AH962" s="134"/>
      <c r="AI962" s="134"/>
      <c r="AJ962" s="129">
        <f t="shared" si="1680"/>
        <v>175822.74312208217</v>
      </c>
      <c r="AK962" s="134">
        <f t="shared" si="1758"/>
        <v>9.4744850403253644E-2</v>
      </c>
      <c r="AL962" s="129"/>
      <c r="AM962" s="129"/>
      <c r="AN962" s="129"/>
      <c r="AO962" s="129"/>
      <c r="AP962" s="133">
        <f t="shared" si="1759"/>
        <v>243.52079301897939</v>
      </c>
      <c r="AQ962" s="134">
        <f>+BB962/Outputs!$B$15</f>
        <v>2.0661391280225136E-2</v>
      </c>
      <c r="AR962" s="93">
        <f t="shared" si="1749"/>
        <v>0.23878248097703</v>
      </c>
      <c r="AS962" s="93">
        <f t="shared" si="1750"/>
        <v>0.34580163087030302</v>
      </c>
      <c r="AT962" s="93">
        <f t="shared" si="1751"/>
        <v>0.415415888152667</v>
      </c>
      <c r="AU962" s="93">
        <f t="shared" ca="1" si="1754"/>
        <v>7.460877654690562E-2</v>
      </c>
      <c r="AV962" s="132">
        <f ca="1">+AV961*EXP(AU962)</f>
        <v>109.44597072287434</v>
      </c>
      <c r="AW962" s="134">
        <f ca="1">LN(AV962/AV961)</f>
        <v>7.4608776546905592E-2</v>
      </c>
      <c r="AX962" s="56">
        <f>+AJ962/$AL$12</f>
        <v>2.2937294152865648E-2</v>
      </c>
      <c r="AY962" s="135">
        <f t="shared" ref="AY962:AY976" ca="1" si="1761">+AX962*AW962</f>
        <v>1.7113234540417973E-3</v>
      </c>
      <c r="AZ962" s="93"/>
      <c r="BA962" s="93"/>
      <c r="BB962" s="234">
        <f>IFERROR(INDEX('Total Customers'!$E$7:$AA$91,MATCH($C962,'Total Customers'!$C$7:$C$91,0),MATCH($G962,'Total Customers'!$E$5:$AA$5,0)),"NA")</f>
        <v>722003</v>
      </c>
      <c r="BC962" s="269">
        <f t="shared" si="1639"/>
        <v>2.6318268609319993E-2</v>
      </c>
      <c r="BD962" s="92"/>
      <c r="BE962" s="299" t="str">
        <f t="shared" si="1635"/>
        <v>PUGET SOUND ENERGY, INC.</v>
      </c>
      <c r="BF962" s="300">
        <f t="shared" si="1636"/>
        <v>4062485</v>
      </c>
      <c r="BG962" s="231" t="str">
        <f t="shared" si="1637"/>
        <v>WA</v>
      </c>
      <c r="BH962" s="231"/>
      <c r="BI962" s="231" t="str">
        <f t="shared" si="1638"/>
        <v>2007 Y</v>
      </c>
      <c r="BJ962" s="129"/>
      <c r="BK962" s="129"/>
      <c r="BL962" s="129">
        <f>INDEX('Dist. Plant Gas Additions'!$E$7:$AD$91,MATCH($C962,'Dist. Plant Gas Additions'!$C$7:$C$91,0),MATCH(Calculation!$G962,'Dist. Plant Gas Additions'!$E$5:$AD$5,0))</f>
        <v>197844</v>
      </c>
      <c r="BM962" s="129">
        <f>INDEX('Gen. Plant Additions'!$E$7:$AD$91,MATCH($C962,'Gen. Plant Additions'!$C$7:$C$91,0),MATCH(Calculation!$G962,'Gen. Plant Additions'!$E$5:$AD$5,0))</f>
        <v>901</v>
      </c>
      <c r="BN962" s="301">
        <f t="shared" si="1728"/>
        <v>0.97835164581975198</v>
      </c>
      <c r="BO962" s="231">
        <f t="shared" si="1722"/>
        <v>881.49483288359659</v>
      </c>
      <c r="BP962" s="231">
        <f t="shared" si="1723"/>
        <v>-19.505167116403413</v>
      </c>
      <c r="BQ962" s="129">
        <f>INDEX('Dist Plant Depreciation'!$D$7:$AC$94,MATCH($C962,'Dist Plant Depreciation'!$C$7:$C$94,0),MATCH(Calculation!$G962,'Dist Plant Depreciation'!$D$5:$AC$5,0))</f>
        <v>656461</v>
      </c>
      <c r="BR962" s="129">
        <f>INDEX('Gen. Plant Depreciation'!$D$7:$AC$94,MATCH($C962,'Gen. Plant Depreciation'!$C$7:$C$94,0),MATCH(Calculation!$G962,'Gen. Plant Depreciation'!$D$5:$AC$5,0))</f>
        <v>23204</v>
      </c>
      <c r="BS962" s="129"/>
      <c r="BT962" s="129"/>
      <c r="BU962" s="129"/>
      <c r="BV962" s="129"/>
      <c r="BW962" s="129"/>
      <c r="BX962" s="137"/>
      <c r="BY962" s="129">
        <f>INDEX('Gross Dx Plant'!$D$7:$AC$91,MATCH($C962,'Gross Dx Plant'!$C$7:$C$91,0),MATCH(Calculation!$G962,'Gross Dx Plant'!$D$5:$AC$5,0))</f>
        <v>2165598</v>
      </c>
      <c r="BZ962" s="129">
        <f>INDEX('Gross Gen Plant'!$D$7:$AC$91,MATCH($C962,'Gross Gen Plant'!$C$7:$C$91,0),MATCH(Calculation!$G962,'Gross Gen Plant'!$D$5:$AC$5,0))</f>
        <v>47919</v>
      </c>
      <c r="CA962" s="129">
        <f t="shared" si="1721"/>
        <v>1533852</v>
      </c>
      <c r="CB962" s="129"/>
      <c r="CC962" s="133">
        <v>2007</v>
      </c>
      <c r="CD962" s="129"/>
      <c r="CE962" s="129"/>
      <c r="CF962" s="129"/>
      <c r="CG962" s="137"/>
      <c r="CH962" s="129">
        <f t="shared" si="1729"/>
        <v>198745</v>
      </c>
      <c r="CI962" s="46">
        <f t="shared" si="1738"/>
        <v>198725.49483288359</v>
      </c>
      <c r="CJ962" s="231">
        <f t="shared" si="1730"/>
        <v>399.0292977985161</v>
      </c>
      <c r="CK962" s="443">
        <v>0.90322580645161288</v>
      </c>
      <c r="CL962" s="231">
        <f>+CL953*CK962+CJ954*CK961+CJ955*CK960+CJ956*CK959+CJ957*CK958+CJ958*CK957+CJ959*CK956+CJ960*CK955+CJ961*CK954+CJ962</f>
        <v>6106.8999746394857</v>
      </c>
      <c r="CM962" s="134">
        <f t="shared" si="1731"/>
        <v>5.5410768597177619E-2</v>
      </c>
      <c r="CN962" s="135">
        <f t="shared" si="1732"/>
        <v>1.2088800005807336E-2</v>
      </c>
      <c r="CO962" s="135">
        <f t="shared" si="1741"/>
        <v>1.1818416332751144E-2</v>
      </c>
      <c r="CP962" s="134">
        <f>VLOOKUP($H962,RoR!$E:$F,2,FALSE)</f>
        <v>5.5558333333333321E-2</v>
      </c>
      <c r="CQ962" s="135">
        <v>2.691120634145272E-2</v>
      </c>
      <c r="CR962" s="135">
        <f t="shared" si="1739"/>
        <v>2.86471269918806E-2</v>
      </c>
      <c r="CS962" s="135">
        <f t="shared" si="1742"/>
        <v>1.9083525275782481E-2</v>
      </c>
      <c r="CT962" s="135">
        <f t="shared" si="1743"/>
        <v>6.4575155250632399E-2</v>
      </c>
      <c r="CU962" s="139">
        <f t="shared" si="1733"/>
        <v>0.87050000000000005</v>
      </c>
      <c r="CV962" s="335">
        <f t="shared" si="1734"/>
        <v>0.92303077153834634</v>
      </c>
      <c r="CW962" s="335">
        <f t="shared" si="1735"/>
        <v>0.52502249887505614</v>
      </c>
      <c r="CX962" s="335">
        <f t="shared" si="1736"/>
        <v>0.88499666072084604</v>
      </c>
      <c r="CY962" s="335">
        <f t="shared" si="1737"/>
        <v>0.42887993290280618</v>
      </c>
      <c r="CZ962" s="336">
        <f>INDEX('State Tax Lookup'!$D$7:$Z$91,MATCH(Calculation!$C962,'State Tax Lookup'!$B$7:$B$91,0),MATCH($H962,'State Tax Lookup'!$D$6:$Z$6,0))</f>
        <v>0.35</v>
      </c>
      <c r="DA962" s="302">
        <v>0.37</v>
      </c>
      <c r="DB962" s="57">
        <f t="shared" si="1740"/>
        <v>12.641596916154201</v>
      </c>
      <c r="DC962" s="56">
        <f t="shared" si="1744"/>
        <v>6.4815627035932633E-2</v>
      </c>
      <c r="DD962" s="303">
        <f>VLOOKUP($H962,RoR!$E:$F,2,FALSE)</f>
        <v>5.5558333333333321E-2</v>
      </c>
      <c r="DE962" s="304">
        <f>HLOOKUP($H962,'GDP-PI'!$D$8:$CQ$11,3,FALSE)</f>
        <v>2.691120634145272E-2</v>
      </c>
      <c r="DF962" s="303">
        <f>VLOOKUP(H962,'HW Dx Data'!$E:$F,2,FALSE)</f>
        <v>498.0223154772637</v>
      </c>
      <c r="DG962" s="364">
        <f ca="1">VLOOKUP(CC962,'ECI - Input Price'!M$13:N$33,2,FALSE)</f>
        <v>104.52499999999999</v>
      </c>
      <c r="DH962" s="364"/>
      <c r="DI962" s="364"/>
      <c r="DJ962" s="56">
        <f t="shared" ca="1" si="1752"/>
        <v>-4.5584612745252218E-2</v>
      </c>
      <c r="DK962" s="53">
        <f>HLOOKUP(H962,'GDP-PI'!$8:$9,2,FALSE)</f>
        <v>92.498000000000005</v>
      </c>
      <c r="DL962" s="355">
        <f t="shared" si="1745"/>
        <v>2.6555467950038037E-2</v>
      </c>
      <c r="EC962"/>
    </row>
    <row r="963" spans="1:133" s="126" customFormat="1" ht="21" customHeight="1" x14ac:dyDescent="0.4">
      <c r="A963" s="233" t="s">
        <v>239</v>
      </c>
      <c r="B963" s="126" t="s">
        <v>239</v>
      </c>
      <c r="C963" s="126">
        <v>4062485</v>
      </c>
      <c r="D963" s="127" t="s">
        <v>180</v>
      </c>
      <c r="E963" s="127"/>
      <c r="F963" s="144"/>
      <c r="G963" s="126" t="s">
        <v>164</v>
      </c>
      <c r="H963" s="128">
        <v>2008</v>
      </c>
      <c r="I963" s="129"/>
      <c r="J963" s="125">
        <f>IFERROR(INDEX('Labor Expenditures'!$E$7:$W$91,MATCH($C963,'Labor Expenditures'!$C$7:$C$91,0),MATCH($G963,'Labor Expenditures'!$E$5:$W$5,0)),"NA")</f>
        <v>47580.387288703183</v>
      </c>
      <c r="K963" s="125">
        <f t="shared" ca="1" si="1746"/>
        <v>440.96744475165133</v>
      </c>
      <c r="L963" s="47"/>
      <c r="M963" s="131">
        <f t="shared" ca="1" si="1753"/>
        <v>9.3367966276486802E-2</v>
      </c>
      <c r="N963" s="131"/>
      <c r="O963" s="131"/>
      <c r="P963" s="59">
        <f t="shared" ca="1" si="1755"/>
        <v>2.3503442624097639E-3</v>
      </c>
      <c r="Q963" s="61"/>
      <c r="R963" s="387"/>
      <c r="S963" s="49">
        <f t="shared" ca="1" si="1760"/>
        <v>113.14939632871467</v>
      </c>
      <c r="T963" s="61">
        <f ca="1">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</f>
        <v>-6.3840183684524418E-2</v>
      </c>
      <c r="U963" s="61"/>
      <c r="V963" s="125">
        <f>IFERROR(INDEX('Non-Labor Expenditures'!$E$7:$AA$91,MATCH($C963,'Non-Labor Expenditures'!$C$7:$C$91,0),MATCH($G963,'Non-Labor Expenditures'!$E$5:$AA$5,0)),"NA")</f>
        <v>68905.28758454835</v>
      </c>
      <c r="W963" s="125">
        <f t="shared" si="1747"/>
        <v>730.98200357027451</v>
      </c>
      <c r="X963" s="131">
        <f t="shared" si="1756"/>
        <v>0.10623422754991509</v>
      </c>
      <c r="Y963" s="131">
        <f t="shared" si="1757"/>
        <v>2.6742256166755103E-3</v>
      </c>
      <c r="Z963" s="131"/>
      <c r="AA963" s="131"/>
      <c r="AB963" s="131"/>
      <c r="AC963" s="125">
        <f t="shared" si="1727"/>
        <v>87155.567989447925</v>
      </c>
      <c r="AD963" s="129"/>
      <c r="AE963" s="133">
        <v>6592.9220926277712</v>
      </c>
      <c r="AF963" s="134">
        <v>3.9478705270868095E-2</v>
      </c>
      <c r="AG963" s="59">
        <f t="shared" si="1748"/>
        <v>9.9379425429466811E-4</v>
      </c>
      <c r="AH963" s="134"/>
      <c r="AI963" s="134"/>
      <c r="AJ963" s="129">
        <f t="shared" si="1680"/>
        <v>203641.24286269944</v>
      </c>
      <c r="AK963" s="134">
        <f t="shared" si="1758"/>
        <v>0.14688348607142612</v>
      </c>
      <c r="AL963" s="129"/>
      <c r="AM963" s="129"/>
      <c r="AN963" s="129"/>
      <c r="AO963" s="129"/>
      <c r="AP963" s="133">
        <f t="shared" si="1759"/>
        <v>275.99236548124139</v>
      </c>
      <c r="AQ963" s="134">
        <f>+BB963/Outputs!$B$16</f>
        <v>2.10020173124018E-2</v>
      </c>
      <c r="AR963" s="93">
        <f t="shared" si="1749"/>
        <v>0.23364808925657166</v>
      </c>
      <c r="AS963" s="93">
        <f t="shared" si="1750"/>
        <v>0.3383660726869861</v>
      </c>
      <c r="AT963" s="93">
        <f t="shared" si="1751"/>
        <v>0.42798583805644236</v>
      </c>
      <c r="AU963" s="93">
        <f t="shared" ca="1" si="1754"/>
        <v>7.5044158612755527E-2</v>
      </c>
      <c r="AV963" s="132">
        <f t="shared" ref="AV963:AV976" ca="1" si="1762">+AV962*EXP(AU963)</f>
        <v>117.97528673034789</v>
      </c>
      <c r="AW963" s="134">
        <f t="shared" ref="AW963:AW976" ca="1" si="1763">LN(AV963/AV962)</f>
        <v>7.5044158612755568E-2</v>
      </c>
      <c r="AX963" s="56">
        <f>+AJ963/$AL$13</f>
        <v>2.5172919108570748E-2</v>
      </c>
      <c r="AY963" s="135">
        <f t="shared" ca="1" si="1761"/>
        <v>1.8890805343296487E-3</v>
      </c>
      <c r="AZ963" s="93"/>
      <c r="BA963" s="93"/>
      <c r="BB963" s="234">
        <f>IFERROR(INDEX('Total Customers'!$E$7:$AA$91,MATCH($C963,'Total Customers'!$C$7:$C$91,0),MATCH($G963,'Total Customers'!$E$5:$AA$5,0)),"NA")</f>
        <v>737851</v>
      </c>
      <c r="BC963" s="269">
        <f t="shared" si="1639"/>
        <v>2.1712613188708013E-2</v>
      </c>
      <c r="BD963" s="92"/>
      <c r="BE963" s="299" t="str">
        <f t="shared" ref="BE963:BE1026" si="1764">A963</f>
        <v>PUGET SOUND ENERGY, INC.</v>
      </c>
      <c r="BF963" s="300">
        <f t="shared" ref="BF963:BF1026" si="1765">C963</f>
        <v>4062485</v>
      </c>
      <c r="BG963" s="231" t="str">
        <f t="shared" ref="BG963:BG1026" si="1766">D963</f>
        <v>WA</v>
      </c>
      <c r="BH963" s="231"/>
      <c r="BI963" s="231" t="str">
        <f t="shared" ref="BI963:BI1026" si="1767">G963</f>
        <v>2008 Y</v>
      </c>
      <c r="BJ963" s="129"/>
      <c r="BK963" s="129"/>
      <c r="BL963" s="129">
        <f>INDEX('Dist. Plant Gas Additions'!$E$7:$AD$91,MATCH($C963,'Dist. Plant Gas Additions'!$C$7:$C$91,0),MATCH(Calculation!$G963,'Dist. Plant Gas Additions'!$E$5:$AD$5,0))</f>
        <v>166450</v>
      </c>
      <c r="BM963" s="129">
        <f>INDEX('Gen. Plant Additions'!$E$7:$AD$91,MATCH($C963,'Gen. Plant Additions'!$C$7:$C$91,0),MATCH(Calculation!$G963,'Gen. Plant Additions'!$E$5:$AD$5,0))</f>
        <v>2315</v>
      </c>
      <c r="BN963" s="301">
        <f t="shared" si="1728"/>
        <v>0.97902276031138813</v>
      </c>
      <c r="BO963" s="231">
        <f t="shared" si="1722"/>
        <v>2266.4376901208634</v>
      </c>
      <c r="BP963" s="231">
        <f t="shared" si="1723"/>
        <v>-48.562309879136592</v>
      </c>
      <c r="BQ963" s="129">
        <f>INDEX('Dist Plant Depreciation'!$D$7:$AC$94,MATCH($C963,'Dist Plant Depreciation'!$C$7:$C$94,0),MATCH(Calculation!$G963,'Dist Plant Depreciation'!$D$5:$AC$5,0))</f>
        <v>716169</v>
      </c>
      <c r="BR963" s="129">
        <f>INDEX('Gen. Plant Depreciation'!$D$7:$AC$94,MATCH($C963,'Gen. Plant Depreciation'!$C$7:$C$94,0),MATCH(Calculation!$G963,'Gen. Plant Depreciation'!$D$5:$AC$5,0))</f>
        <v>25129</v>
      </c>
      <c r="BS963" s="129"/>
      <c r="BT963" s="129"/>
      <c r="BU963" s="129"/>
      <c r="BV963" s="129"/>
      <c r="BW963" s="129"/>
      <c r="BX963" s="137"/>
      <c r="BY963" s="129">
        <f>INDEX('Gross Dx Plant'!$D$7:$AC$91,MATCH($C963,'Gross Dx Plant'!$C$7:$C$91,0),MATCH(Calculation!$G963,'Gross Dx Plant'!$D$5:$AC$5,0))</f>
        <v>2321448</v>
      </c>
      <c r="BZ963" s="129">
        <f>INDEX('Gross Gen Plant'!$D$7:$AC$91,MATCH($C963,'Gross Gen Plant'!$C$7:$C$91,0),MATCH(Calculation!$G963,'Gross Gen Plant'!$D$5:$AC$5,0))</f>
        <v>49741</v>
      </c>
      <c r="CA963" s="129">
        <f t="shared" si="1721"/>
        <v>1629891</v>
      </c>
      <c r="CB963" s="129"/>
      <c r="CC963" s="133">
        <v>2008</v>
      </c>
      <c r="CD963" s="129"/>
      <c r="CE963" s="129"/>
      <c r="CF963" s="129"/>
      <c r="CG963" s="137"/>
      <c r="CH963" s="129">
        <f t="shared" si="1729"/>
        <v>168765</v>
      </c>
      <c r="CI963" s="46">
        <f t="shared" si="1738"/>
        <v>168716.43769012086</v>
      </c>
      <c r="CJ963" s="231">
        <f t="shared" si="1730"/>
        <v>296.05545279039086</v>
      </c>
      <c r="CK963" s="443">
        <v>0.89130434782608692</v>
      </c>
      <c r="CL963" s="231">
        <f>+CL953*CK963+CJ954*CK962+CJ955*CK961+CJ956*CK960+CJ957*CK959+CJ958*CK958+CJ959*CK957+CJ960*CK956+CJ961*CK955+CJ962*CK954+CJ963</f>
        <v>6327.6647583181602</v>
      </c>
      <c r="CM963" s="134">
        <f t="shared" si="1731"/>
        <v>3.5511976250093447E-2</v>
      </c>
      <c r="CN963" s="135">
        <f t="shared" si="1732"/>
        <v>1.2328787015405634E-2</v>
      </c>
      <c r="CO963" s="135">
        <f t="shared" si="1741"/>
        <v>1.2081112657946683E-2</v>
      </c>
      <c r="CP963" s="134">
        <f>VLOOKUP($H963,RoR!$E:$F,2,FALSE)</f>
        <v>5.6316666666666668E-2</v>
      </c>
      <c r="CQ963" s="135">
        <v>1.9092304698479889E-2</v>
      </c>
      <c r="CR963" s="135">
        <f t="shared" si="1739"/>
        <v>3.7224361968186778E-2</v>
      </c>
      <c r="CS963" s="135">
        <f t="shared" si="1742"/>
        <v>1.882082895058694E-2</v>
      </c>
      <c r="CT963" s="135">
        <f t="shared" si="1743"/>
        <v>6.9030581091053131E-2</v>
      </c>
      <c r="CU963" s="139">
        <f t="shared" si="1733"/>
        <v>0.87050000000000005</v>
      </c>
      <c r="CV963" s="335">
        <f t="shared" si="1734"/>
        <v>0.91060168006009956</v>
      </c>
      <c r="CW963" s="335">
        <f t="shared" si="1735"/>
        <v>0.53108168097070152</v>
      </c>
      <c r="CX963" s="335">
        <f t="shared" si="1736"/>
        <v>0.88825329850328805</v>
      </c>
      <c r="CY963" s="335">
        <f t="shared" si="1737"/>
        <v>0.4295627335323573</v>
      </c>
      <c r="CZ963" s="336">
        <f>INDEX('State Tax Lookup'!$D$7:$Z$91,MATCH(Calculation!$C963,'State Tax Lookup'!$B$7:$B$91,0),MATCH($H963,'State Tax Lookup'!$D$6:$Z$6,0))</f>
        <v>0.35</v>
      </c>
      <c r="DA963" s="302">
        <v>0.37</v>
      </c>
      <c r="DB963" s="57">
        <f t="shared" si="1740"/>
        <v>14.271654743222326</v>
      </c>
      <c r="DC963" s="56">
        <f t="shared" si="1744"/>
        <v>0.12128266530501577</v>
      </c>
      <c r="DD963" s="303">
        <f>VLOOKUP($H963,RoR!$E:$F,2,FALSE)</f>
        <v>5.6316666666666668E-2</v>
      </c>
      <c r="DE963" s="304">
        <f>HLOOKUP($H963,'GDP-PI'!$D$8:$CQ$11,3,FALSE)</f>
        <v>1.9092304698479889E-2</v>
      </c>
      <c r="DF963" s="303">
        <f>VLOOKUP(H963,'HW Dx Data'!$E:$F,2,FALSE)</f>
        <v>569.88120333515076</v>
      </c>
      <c r="DG963" s="364">
        <f ca="1">VLOOKUP(CC963,'ECI - Input Price'!M$13:N$33,2,FALSE)</f>
        <v>107.9</v>
      </c>
      <c r="DH963" s="364"/>
      <c r="DI963" s="364"/>
      <c r="DJ963" s="56">
        <f t="shared" ca="1" si="1752"/>
        <v>3.1778595021460486E-2</v>
      </c>
      <c r="DK963" s="53">
        <f>HLOOKUP(H963,'GDP-PI'!$8:$9,2,FALSE)</f>
        <v>94.263999999999996</v>
      </c>
      <c r="DL963" s="355">
        <f t="shared" si="1745"/>
        <v>1.8912333748032254E-2</v>
      </c>
      <c r="EC963"/>
    </row>
    <row r="964" spans="1:133" s="126" customFormat="1" ht="21" customHeight="1" x14ac:dyDescent="0.4">
      <c r="A964" s="233" t="s">
        <v>239</v>
      </c>
      <c r="B964" s="126" t="s">
        <v>239</v>
      </c>
      <c r="C964" s="126">
        <v>4062485</v>
      </c>
      <c r="D964" s="127" t="s">
        <v>180</v>
      </c>
      <c r="E964" s="127"/>
      <c r="F964" s="144"/>
      <c r="G964" s="126" t="s">
        <v>165</v>
      </c>
      <c r="H964" s="128">
        <v>2009</v>
      </c>
      <c r="I964" s="129"/>
      <c r="J964" s="125">
        <f>IFERROR(INDEX('Labor Expenditures'!$E$7:$W$91,MATCH($C964,'Labor Expenditures'!$C$7:$C$91,0),MATCH($G964,'Labor Expenditures'!$E$5:$W$5,0)),"NA")</f>
        <v>50419.576170937267</v>
      </c>
      <c r="K964" s="125">
        <f t="shared" ca="1" si="1746"/>
        <v>454.53753591108648</v>
      </c>
      <c r="L964" s="47"/>
      <c r="M964" s="131">
        <f t="shared" ca="1" si="1753"/>
        <v>3.0309446173426229E-2</v>
      </c>
      <c r="N964" s="131"/>
      <c r="O964" s="131"/>
      <c r="P964" s="59">
        <f t="shared" ca="1" si="1755"/>
        <v>7.5097342697020674E-4</v>
      </c>
      <c r="Q964" s="61"/>
      <c r="R964" s="387"/>
      <c r="S964" s="49">
        <f t="shared" ca="1" si="1760"/>
        <v>118.61230166534976</v>
      </c>
      <c r="T964" s="61">
        <f ca="1">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</f>
        <v>4.7151168252211627E-2</v>
      </c>
      <c r="U964" s="61"/>
      <c r="V964" s="125">
        <f>IFERROR(INDEX('Non-Labor Expenditures'!$E$7:$AA$91,MATCH($C964,'Non-Labor Expenditures'!$C$7:$C$91,0),MATCH($G964,'Non-Labor Expenditures'!$E$5:$AA$5,0)),"NA")</f>
        <v>73016.963373358914</v>
      </c>
      <c r="W964" s="125">
        <f t="shared" si="1747"/>
        <v>768.60770506383142</v>
      </c>
      <c r="X964" s="131">
        <f t="shared" si="1756"/>
        <v>5.0191862356000261E-2</v>
      </c>
      <c r="Y964" s="131">
        <f t="shared" si="1757"/>
        <v>1.2435976119071917E-3</v>
      </c>
      <c r="Z964" s="131"/>
      <c r="AA964" s="131"/>
      <c r="AB964" s="131"/>
      <c r="AC964" s="125">
        <f t="shared" si="1727"/>
        <v>86097.151675729896</v>
      </c>
      <c r="AD964" s="129"/>
      <c r="AE964" s="133">
        <v>6865.864911925536</v>
      </c>
      <c r="AF964" s="134">
        <v>4.0565356530010796E-2</v>
      </c>
      <c r="AG964" s="59">
        <f t="shared" si="1748"/>
        <v>1.005082858832284E-3</v>
      </c>
      <c r="AH964" s="134"/>
      <c r="AI964" s="134"/>
      <c r="AJ964" s="129">
        <f t="shared" si="1680"/>
        <v>209533.69122002608</v>
      </c>
      <c r="AK964" s="134">
        <f t="shared" si="1758"/>
        <v>2.8524711461703194E-2</v>
      </c>
      <c r="AL964" s="129"/>
      <c r="AM964" s="129"/>
      <c r="AN964" s="129"/>
      <c r="AO964" s="129"/>
      <c r="AP964" s="133">
        <f t="shared" si="1759"/>
        <v>280.67610125222507</v>
      </c>
      <c r="AQ964" s="134">
        <f>+BB964/Outputs!$B$17</f>
        <v>2.1222023450965299E-2</v>
      </c>
      <c r="AR964" s="93">
        <f t="shared" si="1749"/>
        <v>0.24062753764020189</v>
      </c>
      <c r="AS964" s="93">
        <f t="shared" si="1750"/>
        <v>0.34847361752762535</v>
      </c>
      <c r="AT964" s="93">
        <f t="shared" si="1751"/>
        <v>0.41089884483217276</v>
      </c>
      <c r="AU964" s="93">
        <f t="shared" ca="1" si="1754"/>
        <v>4.1439225512813545E-2</v>
      </c>
      <c r="AV964" s="132">
        <f t="shared" ca="1" si="1762"/>
        <v>122.96679917819</v>
      </c>
      <c r="AW964" s="134">
        <f t="shared" ca="1" si="1763"/>
        <v>4.143922551281351E-2</v>
      </c>
      <c r="AX964" s="56">
        <f>+AJ964/$AL$14</f>
        <v>2.4776877237322199E-2</v>
      </c>
      <c r="AY964" s="135">
        <f t="shared" ca="1" si="1761"/>
        <v>1.0267346033406904E-3</v>
      </c>
      <c r="AZ964" s="93"/>
      <c r="BA964" s="93"/>
      <c r="BB964" s="234">
        <f>IFERROR(INDEX('Total Customers'!$E$7:$AA$91,MATCH($C964,'Total Customers'!$C$7:$C$91,0),MATCH($G964,'Total Customers'!$E$5:$AA$5,0)),"NA")</f>
        <v>746532</v>
      </c>
      <c r="BC964" s="269">
        <f t="shared" ref="BC964:BC1027" si="1768">LN(BB964/BB963)</f>
        <v>1.1696575574257833E-2</v>
      </c>
      <c r="BD964" s="92"/>
      <c r="BE964" s="299" t="str">
        <f t="shared" si="1764"/>
        <v>PUGET SOUND ENERGY, INC.</v>
      </c>
      <c r="BF964" s="300">
        <f t="shared" si="1765"/>
        <v>4062485</v>
      </c>
      <c r="BG964" s="231" t="str">
        <f t="shared" si="1766"/>
        <v>WA</v>
      </c>
      <c r="BH964" s="231"/>
      <c r="BI964" s="231" t="str">
        <f t="shared" si="1767"/>
        <v>2009 Y</v>
      </c>
      <c r="BJ964" s="129"/>
      <c r="BK964" s="129"/>
      <c r="BL964" s="129">
        <f>INDEX('Dist. Plant Gas Additions'!$E$7:$AD$91,MATCH($C964,'Dist. Plant Gas Additions'!$C$7:$C$91,0),MATCH(Calculation!$G964,'Dist. Plant Gas Additions'!$E$5:$AD$5,0))</f>
        <v>172488</v>
      </c>
      <c r="BM964" s="129">
        <f>INDEX('Gen. Plant Additions'!$E$7:$AD$91,MATCH($C964,'Gen. Plant Additions'!$C$7:$C$91,0),MATCH(Calculation!$G964,'Gen. Plant Additions'!$E$5:$AD$5,0))</f>
        <v>2018</v>
      </c>
      <c r="BN964" s="301">
        <f t="shared" si="1728"/>
        <v>0.99108495862070611</v>
      </c>
      <c r="BO964" s="231">
        <f t="shared" si="1722"/>
        <v>2000.009446496585</v>
      </c>
      <c r="BP964" s="231">
        <f t="shared" si="1723"/>
        <v>-17.990553503414958</v>
      </c>
      <c r="BQ964" s="129">
        <f>INDEX('Dist Plant Depreciation'!$D$7:$AC$94,MATCH($C964,'Dist Plant Depreciation'!$C$7:$C$94,0),MATCH(Calculation!$G964,'Dist Plant Depreciation'!$D$5:$AC$5,0))</f>
        <v>786975</v>
      </c>
      <c r="BR964" s="129">
        <f>INDEX('Gen. Plant Depreciation'!$D$7:$AC$94,MATCH($C964,'Gen. Plant Depreciation'!$C$7:$C$94,0),MATCH(Calculation!$G964,'Gen. Plant Depreciation'!$D$5:$AC$5,0))</f>
        <v>-2004</v>
      </c>
      <c r="BS964" s="129"/>
      <c r="BT964" s="129"/>
      <c r="BU964" s="129"/>
      <c r="BV964" s="129"/>
      <c r="BW964" s="129"/>
      <c r="BX964" s="137"/>
      <c r="BY964" s="129">
        <f>INDEX('Gross Dx Plant'!$D$7:$AC$91,MATCH($C964,'Gross Dx Plant'!$C$7:$C$91,0),MATCH(Calculation!$G964,'Gross Dx Plant'!$D$5:$AC$5,0))</f>
        <v>2483982</v>
      </c>
      <c r="BZ964" s="129">
        <f>INDEX('Gross Gen Plant'!$D$7:$AC$91,MATCH($C964,'Gross Gen Plant'!$C$7:$C$91,0),MATCH(Calculation!$G964,'Gross Gen Plant'!$D$5:$AC$5,0))</f>
        <v>22344</v>
      </c>
      <c r="CA964" s="129">
        <f t="shared" si="1721"/>
        <v>1721355</v>
      </c>
      <c r="CB964" s="129"/>
      <c r="CC964" s="133">
        <v>2009</v>
      </c>
      <c r="CD964" s="129"/>
      <c r="CE964" s="129"/>
      <c r="CF964" s="129"/>
      <c r="CG964" s="137"/>
      <c r="CH964" s="129">
        <f t="shared" si="1729"/>
        <v>174506</v>
      </c>
      <c r="CI964" s="46">
        <f t="shared" si="1738"/>
        <v>174488.00944649658</v>
      </c>
      <c r="CJ964" s="231">
        <f t="shared" si="1730"/>
        <v>316.70927463426762</v>
      </c>
      <c r="CK964" s="443">
        <v>0.87912087912087911</v>
      </c>
      <c r="CL964" s="231">
        <f>+CL953*CK964+CJ954*CK963+CJ955*CK962+CJ956*CK961+CJ957*CK960+CJ958*CK959+CJ959*CK958+CJ960*CK957+CJ961*CK956+CJ962*CK955+CJ963*CK954+CJ964</f>
        <v>6564.5303782247747</v>
      </c>
      <c r="CM964" s="134">
        <f t="shared" si="1731"/>
        <v>3.6749719481588505E-2</v>
      </c>
      <c r="CN964" s="135">
        <f t="shared" si="1732"/>
        <v>1.2618186610264558E-2</v>
      </c>
      <c r="CO964" s="135">
        <f t="shared" si="1741"/>
        <v>1.2345257877159177E-2</v>
      </c>
      <c r="CP964" s="134">
        <f>VLOOKUP($H964,RoR!$E:$F,2,FALSE)</f>
        <v>5.3133333333333324E-2</v>
      </c>
      <c r="CQ964" s="135">
        <v>7.7972502758210105E-3</v>
      </c>
      <c r="CR964" s="135">
        <f t="shared" si="1739"/>
        <v>4.5336083057512314E-2</v>
      </c>
      <c r="CS964" s="135">
        <f t="shared" si="1742"/>
        <v>1.8556683731374448E-2</v>
      </c>
      <c r="CT964" s="135">
        <f t="shared" si="1743"/>
        <v>6.3720160300892073E-2</v>
      </c>
      <c r="CU964" s="139">
        <f t="shared" si="1733"/>
        <v>0.87050000000000005</v>
      </c>
      <c r="CV964" s="335">
        <f t="shared" si="1734"/>
        <v>0.96515780330083989</v>
      </c>
      <c r="CW964" s="335">
        <f t="shared" si="1735"/>
        <v>0.50448557089084056</v>
      </c>
      <c r="CX964" s="335">
        <f t="shared" si="1736"/>
        <v>0.87391435735465484</v>
      </c>
      <c r="CY964" s="335">
        <f t="shared" si="1737"/>
        <v>0.42551605393279146</v>
      </c>
      <c r="CZ964" s="336">
        <f>INDEX('State Tax Lookup'!$D$7:$Z$91,MATCH(Calculation!$C964,'State Tax Lookup'!$B$7:$B$91,0),MATCH($H964,'State Tax Lookup'!$D$6:$Z$6,0))</f>
        <v>0.35</v>
      </c>
      <c r="DA964" s="302">
        <v>0.37</v>
      </c>
      <c r="DB964" s="57">
        <f t="shared" si="1740"/>
        <v>13.606465412465024</v>
      </c>
      <c r="DC964" s="56">
        <f t="shared" si="1744"/>
        <v>-4.7730306595495271E-2</v>
      </c>
      <c r="DD964" s="303">
        <f>VLOOKUP($H964,RoR!$E:$F,2,FALSE)</f>
        <v>5.3133333333333324E-2</v>
      </c>
      <c r="DE964" s="304">
        <f>HLOOKUP($H964,'GDP-PI'!$D$8:$CQ$11,3,FALSE)</f>
        <v>7.7972502758210105E-3</v>
      </c>
      <c r="DF964" s="303">
        <f>VLOOKUP(H964,'HW Dx Data'!$E:$F,2,FALSE)</f>
        <v>550.94063679692806</v>
      </c>
      <c r="DG964" s="364">
        <f ca="1">VLOOKUP(CC964,'ECI - Input Price'!M$13:N$33,2,FALSE)</f>
        <v>110.925</v>
      </c>
      <c r="DH964" s="364"/>
      <c r="DI964" s="364"/>
      <c r="DJ964" s="56">
        <f t="shared" ca="1" si="1752"/>
        <v>2.7649425000884052E-2</v>
      </c>
      <c r="DK964" s="53">
        <f>HLOOKUP(H964,'GDP-PI'!$8:$9,2,FALSE)</f>
        <v>94.998999999999995</v>
      </c>
      <c r="DL964" s="355">
        <f t="shared" si="1745"/>
        <v>7.7670088183096342E-3</v>
      </c>
      <c r="EC964"/>
    </row>
    <row r="965" spans="1:133" s="126" customFormat="1" ht="21" customHeight="1" x14ac:dyDescent="0.4">
      <c r="A965" s="233" t="s">
        <v>239</v>
      </c>
      <c r="B965" s="126" t="s">
        <v>239</v>
      </c>
      <c r="C965" s="126">
        <v>4062485</v>
      </c>
      <c r="D965" s="127" t="s">
        <v>180</v>
      </c>
      <c r="E965" s="127"/>
      <c r="F965" s="144"/>
      <c r="G965" s="126" t="s">
        <v>166</v>
      </c>
      <c r="H965" s="128">
        <v>2010</v>
      </c>
      <c r="I965" s="129"/>
      <c r="J965" s="125">
        <f>IFERROR(INDEX('Labor Expenditures'!$E$7:$W$91,MATCH($C965,'Labor Expenditures'!$C$7:$C$91,0),MATCH($G965,'Labor Expenditures'!$E$5:$W$5,0)),"NA")</f>
        <v>48293.572472294953</v>
      </c>
      <c r="K965" s="125">
        <f t="shared" ca="1" si="1746"/>
        <v>413.03033972456666</v>
      </c>
      <c r="L965" s="47"/>
      <c r="M965" s="131">
        <f t="shared" ca="1" si="1753"/>
        <v>-9.575944540483837E-2</v>
      </c>
      <c r="N965" s="131"/>
      <c r="O965" s="131"/>
      <c r="P965" s="59">
        <f t="shared" ca="1" si="1755"/>
        <v>-2.2988145898787836E-3</v>
      </c>
      <c r="Q965" s="61"/>
      <c r="R965" s="387"/>
      <c r="S965" s="49">
        <f t="shared" ca="1" si="1760"/>
        <v>97.907360482754626</v>
      </c>
      <c r="T965" s="61">
        <f ca="1">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</f>
        <v>-0.19183847478056562</v>
      </c>
      <c r="U965" s="61"/>
      <c r="V965" s="125">
        <f>IFERROR(INDEX('Non-Labor Expenditures'!$E$7:$AA$91,MATCH($C965,'Non-Labor Expenditures'!$C$7:$C$91,0),MATCH($G965,'Non-Labor Expenditures'!$E$5:$AA$5,0)),"NA")</f>
        <v>69938.112935007332</v>
      </c>
      <c r="W965" s="125">
        <f t="shared" si="1747"/>
        <v>727.69577183205877</v>
      </c>
      <c r="X965" s="131">
        <f t="shared" si="1756"/>
        <v>-5.4697637865012062E-2</v>
      </c>
      <c r="Y965" s="131">
        <f t="shared" si="1757"/>
        <v>-1.3130791163671752E-3</v>
      </c>
      <c r="Z965" s="131"/>
      <c r="AA965" s="131"/>
      <c r="AB965" s="131"/>
      <c r="AC965" s="125">
        <f t="shared" si="1727"/>
        <v>91042.985116949392</v>
      </c>
      <c r="AD965" s="129"/>
      <c r="AE965" s="133">
        <v>7047.1337137596802</v>
      </c>
      <c r="AF965" s="134">
        <v>2.6058948818682471E-2</v>
      </c>
      <c r="AG965" s="59">
        <f t="shared" si="1748"/>
        <v>6.2557475649566564E-4</v>
      </c>
      <c r="AH965" s="134"/>
      <c r="AI965" s="134"/>
      <c r="AJ965" s="129">
        <f t="shared" si="1680"/>
        <v>209274.67052425168</v>
      </c>
      <c r="AK965" s="134">
        <f t="shared" si="1758"/>
        <v>-1.2369415344110123E-3</v>
      </c>
      <c r="AL965" s="129"/>
      <c r="AM965" s="129"/>
      <c r="AN965" s="129"/>
      <c r="AO965" s="129"/>
      <c r="AP965" s="133">
        <f t="shared" si="1759"/>
        <v>278.73149237857683</v>
      </c>
      <c r="AQ965" s="134">
        <f>+BB965/Outputs!$B$18</f>
        <v>2.1226884648612845E-2</v>
      </c>
      <c r="AR965" s="93">
        <f t="shared" si="1749"/>
        <v>0.23076644847326844</v>
      </c>
      <c r="AS965" s="93">
        <f t="shared" si="1750"/>
        <v>0.33419291861650591</v>
      </c>
      <c r="AT965" s="93">
        <f t="shared" si="1751"/>
        <v>0.43504063291022566</v>
      </c>
      <c r="AU965" s="93">
        <f t="shared" ca="1" si="1754"/>
        <v>-3.021819004989186E-2</v>
      </c>
      <c r="AV965" s="132">
        <f t="shared" ca="1" si="1762"/>
        <v>119.30654669574103</v>
      </c>
      <c r="AW965" s="134">
        <f t="shared" ca="1" si="1763"/>
        <v>-3.0218190049891902E-2</v>
      </c>
      <c r="AX965" s="56">
        <f>+AJ965/$AL$15</f>
        <v>2.4006139343854562E-2</v>
      </c>
      <c r="AY965" s="135">
        <f t="shared" ca="1" si="1761"/>
        <v>-7.2542208105678442E-4</v>
      </c>
      <c r="AZ965" s="93"/>
      <c r="BA965" s="93"/>
      <c r="BB965" s="234">
        <f>IFERROR(INDEX('Total Customers'!$E$7:$AA$91,MATCH($C965,'Total Customers'!$C$7:$C$91,0),MATCH($G965,'Total Customers'!$E$5:$AA$5,0)),"NA")</f>
        <v>750811</v>
      </c>
      <c r="BC965" s="269">
        <f t="shared" si="1768"/>
        <v>5.7154728721067281E-3</v>
      </c>
      <c r="BD965" s="92"/>
      <c r="BE965" s="299" t="str">
        <f t="shared" si="1764"/>
        <v>PUGET SOUND ENERGY, INC.</v>
      </c>
      <c r="BF965" s="300">
        <f t="shared" si="1765"/>
        <v>4062485</v>
      </c>
      <c r="BG965" s="231" t="str">
        <f t="shared" si="1766"/>
        <v>WA</v>
      </c>
      <c r="BH965" s="231"/>
      <c r="BI965" s="231" t="str">
        <f t="shared" si="1767"/>
        <v>2010 Y</v>
      </c>
      <c r="BJ965" s="129"/>
      <c r="BK965" s="129"/>
      <c r="BL965" s="129">
        <f>INDEX('Dist. Plant Gas Additions'!$E$7:$AD$91,MATCH($C965,'Dist. Plant Gas Additions'!$C$7:$C$91,0),MATCH(Calculation!$G965,'Dist. Plant Gas Additions'!$E$5:$AD$5,0))</f>
        <v>124742</v>
      </c>
      <c r="BM965" s="129">
        <f>INDEX('Gen. Plant Additions'!$E$7:$AD$91,MATCH($C965,'Gen. Plant Additions'!$C$7:$C$91,0),MATCH(Calculation!$G965,'Gen. Plant Additions'!$E$5:$AD$5,0))</f>
        <v>5076</v>
      </c>
      <c r="BN965" s="301">
        <f t="shared" si="1728"/>
        <v>0.98776328366214428</v>
      </c>
      <c r="BO965" s="231">
        <f t="shared" si="1722"/>
        <v>5013.8864278690444</v>
      </c>
      <c r="BP965" s="231">
        <f t="shared" si="1723"/>
        <v>-62.113572130955617</v>
      </c>
      <c r="BQ965" s="129">
        <f>INDEX('Dist Plant Depreciation'!$D$7:$AC$94,MATCH($C965,'Dist Plant Depreciation'!$C$7:$C$94,0),MATCH(Calculation!$G965,'Dist Plant Depreciation'!$D$5:$AC$5,0))</f>
        <v>851599</v>
      </c>
      <c r="BR965" s="129">
        <f>INDEX('Gen. Plant Depreciation'!$D$7:$AC$94,MATCH($C965,'Gen. Plant Depreciation'!$C$7:$C$94,0),MATCH(Calculation!$G965,'Gen. Plant Depreciation'!$D$5:$AC$5,0))</f>
        <v>5752</v>
      </c>
      <c r="BS965" s="129"/>
      <c r="BT965" s="129"/>
      <c r="BU965" s="129"/>
      <c r="BV965" s="129"/>
      <c r="BW965" s="129"/>
      <c r="BX965" s="137"/>
      <c r="BY965" s="129">
        <f>INDEX('Gross Dx Plant'!$D$7:$AC$91,MATCH($C965,'Gross Dx Plant'!$C$7:$C$91,0),MATCH(Calculation!$G965,'Gross Dx Plant'!$D$5:$AC$5,0))</f>
        <v>2585583</v>
      </c>
      <c r="BZ965" s="129">
        <f>INDEX('Gross Gen Plant'!$D$7:$AC$91,MATCH($C965,'Gross Gen Plant'!$C$7:$C$91,0),MATCH(Calculation!$G965,'Gross Gen Plant'!$D$5:$AC$5,0))</f>
        <v>32031</v>
      </c>
      <c r="CA965" s="129">
        <f t="shared" si="1721"/>
        <v>1760263</v>
      </c>
      <c r="CB965" s="129"/>
      <c r="CC965" s="133">
        <v>2010</v>
      </c>
      <c r="CD965" s="129"/>
      <c r="CE965" s="129"/>
      <c r="CF965" s="129"/>
      <c r="CG965" s="137"/>
      <c r="CH965" s="129">
        <f t="shared" si="1729"/>
        <v>129818</v>
      </c>
      <c r="CI965" s="46">
        <f t="shared" si="1738"/>
        <v>129755.88642786905</v>
      </c>
      <c r="CJ965" s="231">
        <f t="shared" si="1730"/>
        <v>228.04618684206301</v>
      </c>
      <c r="CK965" s="443">
        <v>0.8666666666666667</v>
      </c>
      <c r="CL965" s="231">
        <f>+CL953*CK965+CJ954*CK964+CJ955*CK963+CJ956*CK962+CJ957*CK961+CJ958*CK960+CJ959*CK959+CJ960*CK958+CJ961*CK957+CJ962*CK956+CJ963*CK955+CJ964*CK954+CJ965</f>
        <v>6707.8637876630573</v>
      </c>
      <c r="CM965" s="134">
        <f t="shared" si="1731"/>
        <v>2.1599566767353751E-2</v>
      </c>
      <c r="CN965" s="135">
        <f t="shared" si="1732"/>
        <v>1.2904621126407065E-2</v>
      </c>
      <c r="CO965" s="135">
        <f t="shared" si="1741"/>
        <v>1.261719825069242E-2</v>
      </c>
      <c r="CP965" s="134">
        <f>VLOOKUP($H965,RoR!$E:$F,2,FALSE)</f>
        <v>4.9433333333333322E-2</v>
      </c>
      <c r="CQ965" s="135">
        <v>1.1684333519300205E-2</v>
      </c>
      <c r="CR965" s="135">
        <f t="shared" si="1739"/>
        <v>3.7748999814033117E-2</v>
      </c>
      <c r="CS965" s="135">
        <f t="shared" si="1742"/>
        <v>1.8284743357841207E-2</v>
      </c>
      <c r="CT965" s="135">
        <f t="shared" si="1743"/>
        <v>4.7937530248493419E-2</v>
      </c>
      <c r="CU965" s="139">
        <f t="shared" si="1733"/>
        <v>0.87050000000000005</v>
      </c>
      <c r="CV965" s="335">
        <f t="shared" si="1734"/>
        <v>1.037398205301105</v>
      </c>
      <c r="CW965" s="335">
        <f t="shared" si="1735"/>
        <v>0.46926837491571133</v>
      </c>
      <c r="CX965" s="335">
        <f t="shared" si="1736"/>
        <v>0.8548537519972772</v>
      </c>
      <c r="CY965" s="335">
        <f t="shared" si="1737"/>
        <v>0.41615833911547367</v>
      </c>
      <c r="CZ965" s="336">
        <f>INDEX('State Tax Lookup'!$D$7:$Z$91,MATCH(Calculation!$C965,'State Tax Lookup'!$B$7:$B$91,0),MATCH($H965,'State Tax Lookup'!$D$6:$Z$6,0))</f>
        <v>0.35</v>
      </c>
      <c r="DA965" s="302">
        <v>0.37</v>
      </c>
      <c r="DB965" s="57">
        <f t="shared" si="1740"/>
        <v>13.868925859334642</v>
      </c>
      <c r="DC965" s="56">
        <f t="shared" si="1744"/>
        <v>1.9105710125282956E-2</v>
      </c>
      <c r="DD965" s="303">
        <f>VLOOKUP($H965,RoR!$E:$F,2,FALSE)</f>
        <v>4.9433333333333322E-2</v>
      </c>
      <c r="DE965" s="304">
        <f>HLOOKUP($H965,'GDP-PI'!$D$8:$CQ$11,3,FALSE)</f>
        <v>1.1684333519300205E-2</v>
      </c>
      <c r="DF965" s="303">
        <f>VLOOKUP(H965,'HW Dx Data'!$E:$F,2,FALSE)</f>
        <v>568.98950262971744</v>
      </c>
      <c r="DG965" s="364">
        <f ca="1">VLOOKUP(CC965,'ECI - Input Price'!M$13:N$33,2,FALSE)</f>
        <v>116.925</v>
      </c>
      <c r="DH965" s="364"/>
      <c r="DI965" s="364"/>
      <c r="DJ965" s="56">
        <f t="shared" ca="1" si="1752"/>
        <v>5.2678406346976722E-2</v>
      </c>
      <c r="DK965" s="53">
        <f>HLOOKUP(H965,'GDP-PI'!$8:$9,2,FALSE)</f>
        <v>96.108999999999995</v>
      </c>
      <c r="DL965" s="355">
        <f t="shared" si="1745"/>
        <v>1.1616598807150427E-2</v>
      </c>
      <c r="EC965"/>
    </row>
    <row r="966" spans="1:133" s="126" customFormat="1" ht="21" customHeight="1" x14ac:dyDescent="0.4">
      <c r="A966" s="233" t="s">
        <v>239</v>
      </c>
      <c r="B966" s="126" t="s">
        <v>239</v>
      </c>
      <c r="C966" s="126">
        <v>4062485</v>
      </c>
      <c r="D966" s="127" t="s">
        <v>180</v>
      </c>
      <c r="E966" s="127"/>
      <c r="F966" s="144"/>
      <c r="G966" s="126" t="s">
        <v>167</v>
      </c>
      <c r="H966" s="128">
        <v>2011</v>
      </c>
      <c r="I966" s="129"/>
      <c r="J966" s="125">
        <f>IFERROR(INDEX('Labor Expenditures'!$E$7:$W$91,MATCH($C966,'Labor Expenditures'!$C$7:$C$91,0),MATCH($G966,'Labor Expenditures'!$E$5:$W$5,0)),"NA")</f>
        <v>49530.455168260625</v>
      </c>
      <c r="K966" s="125">
        <f t="shared" ca="1" si="1746"/>
        <v>409.76591659367631</v>
      </c>
      <c r="L966" s="47"/>
      <c r="M966" s="131">
        <f t="shared" ca="1" si="1753"/>
        <v>-7.9349905502203583E-3</v>
      </c>
      <c r="N966" s="131"/>
      <c r="O966" s="131"/>
      <c r="P966" s="59">
        <f t="shared" ca="1" si="1755"/>
        <v>-1.9226155711742234E-4</v>
      </c>
      <c r="Q966" s="61"/>
      <c r="R966" s="387"/>
      <c r="S966" s="49">
        <f t="shared" ca="1" si="1760"/>
        <v>118.76285288762413</v>
      </c>
      <c r="T966" s="61">
        <f ca="1">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</f>
        <v>0.19310694150569041</v>
      </c>
      <c r="U966" s="61"/>
      <c r="V966" s="125">
        <f>IFERROR(INDEX('Non-Labor Expenditures'!$E$7:$AA$91,MATCH($C966,'Non-Labor Expenditures'!$C$7:$C$91,0),MATCH($G966,'Non-Labor Expenditures'!$E$5:$AA$5,0)),"NA")</f>
        <v>71729.350096586757</v>
      </c>
      <c r="W966" s="125">
        <f t="shared" si="1747"/>
        <v>731.09660486573262</v>
      </c>
      <c r="X966" s="131">
        <f t="shared" si="1756"/>
        <v>4.6625403984390384E-3</v>
      </c>
      <c r="Y966" s="131">
        <f t="shared" si="1757"/>
        <v>1.1297143600276652E-4</v>
      </c>
      <c r="Z966" s="131"/>
      <c r="AA966" s="131"/>
      <c r="AB966" s="131"/>
      <c r="AC966" s="125">
        <f t="shared" si="1727"/>
        <v>98567.541556589626</v>
      </c>
      <c r="AD966" s="129"/>
      <c r="AE966" s="133">
        <v>7174.8927875287663</v>
      </c>
      <c r="AF966" s="134">
        <v>1.7966850299454426E-2</v>
      </c>
      <c r="AG966" s="59">
        <f t="shared" si="1748"/>
        <v>4.3532939241784039E-4</v>
      </c>
      <c r="AH966" s="134"/>
      <c r="AI966" s="134"/>
      <c r="AJ966" s="129">
        <f t="shared" si="1680"/>
        <v>219827.34682143701</v>
      </c>
      <c r="AK966" s="134">
        <f t="shared" si="1758"/>
        <v>4.9194848892980932E-2</v>
      </c>
      <c r="AL966" s="129"/>
      <c r="AM966" s="129"/>
      <c r="AN966" s="129"/>
      <c r="AO966" s="129"/>
      <c r="AP966" s="133">
        <f t="shared" si="1759"/>
        <v>290.50370197002161</v>
      </c>
      <c r="AQ966" s="134">
        <f>+BB966/Outputs!$B$19</f>
        <v>2.1290464764905564E-2</v>
      </c>
      <c r="AR966" s="93">
        <f t="shared" si="1749"/>
        <v>0.2253152571071769</v>
      </c>
      <c r="AS966" s="93">
        <f t="shared" si="1750"/>
        <v>0.32629857537630025</v>
      </c>
      <c r="AT966" s="93">
        <f t="shared" si="1751"/>
        <v>0.44838616751652288</v>
      </c>
      <c r="AU966" s="93">
        <f t="shared" ca="1" si="1754"/>
        <v>7.6664806617254937E-3</v>
      </c>
      <c r="AV966" s="132">
        <f t="shared" ca="1" si="1762"/>
        <v>120.2247231225698</v>
      </c>
      <c r="AW966" s="134">
        <f t="shared" ca="1" si="1763"/>
        <v>7.6664806617253948E-3</v>
      </c>
      <c r="AX966" s="56">
        <f>+AJ966/$AL$16</f>
        <v>2.422958866814065E-2</v>
      </c>
      <c r="AY966" s="135">
        <f t="shared" ca="1" si="1761"/>
        <v>1.8575567296586106E-4</v>
      </c>
      <c r="AZ966" s="93"/>
      <c r="BA966" s="93"/>
      <c r="BB966" s="234">
        <f>IFERROR(INDEX('Total Customers'!$E$7:$AA$91,MATCH($C966,'Total Customers'!$C$7:$C$91,0),MATCH($G966,'Total Customers'!$E$5:$AA$5,0)),"NA")</f>
        <v>756711</v>
      </c>
      <c r="BC966" s="269">
        <f t="shared" si="1768"/>
        <v>7.8274547554435317E-3</v>
      </c>
      <c r="BD966" s="92"/>
      <c r="BE966" s="299" t="str">
        <f t="shared" si="1764"/>
        <v>PUGET SOUND ENERGY, INC.</v>
      </c>
      <c r="BF966" s="300">
        <f t="shared" si="1765"/>
        <v>4062485</v>
      </c>
      <c r="BG966" s="231" t="str">
        <f t="shared" si="1766"/>
        <v>WA</v>
      </c>
      <c r="BH966" s="231"/>
      <c r="BI966" s="231" t="str">
        <f t="shared" si="1767"/>
        <v>2011 Y</v>
      </c>
      <c r="BJ966" s="129"/>
      <c r="BK966" s="129"/>
      <c r="BL966" s="129">
        <f>INDEX('Dist. Plant Gas Additions'!$E$7:$AD$91,MATCH($C966,'Dist. Plant Gas Additions'!$C$7:$C$91,0),MATCH(Calculation!$G966,'Dist. Plant Gas Additions'!$E$5:$AD$5,0))</f>
        <v>107466</v>
      </c>
      <c r="BM966" s="129">
        <f>INDEX('Gen. Plant Additions'!$E$7:$AD$91,MATCH($C966,'Gen. Plant Additions'!$C$7:$C$91,0),MATCH(Calculation!$G966,'Gen. Plant Additions'!$E$5:$AD$5,0))</f>
        <v>1046</v>
      </c>
      <c r="BN966" s="301">
        <f t="shared" si="1728"/>
        <v>0.98799048961031044</v>
      </c>
      <c r="BO966" s="231">
        <f t="shared" si="1722"/>
        <v>1033.4380521323847</v>
      </c>
      <c r="BP966" s="231">
        <f t="shared" si="1723"/>
        <v>-12.561947867615345</v>
      </c>
      <c r="BQ966" s="129">
        <f>INDEX('Dist Plant Depreciation'!$D$7:$AC$94,MATCH($C966,'Dist Plant Depreciation'!$C$7:$C$94,0),MATCH(Calculation!$G966,'Dist Plant Depreciation'!$D$5:$AC$5,0))</f>
        <v>922399</v>
      </c>
      <c r="BR966" s="129">
        <f>INDEX('Gen. Plant Depreciation'!$D$7:$AC$94,MATCH($C966,'Gen. Plant Depreciation'!$C$7:$C$94,0),MATCH(Calculation!$G966,'Gen. Plant Depreciation'!$D$5:$AC$5,0))</f>
        <v>8239</v>
      </c>
      <c r="BS966" s="129"/>
      <c r="BT966" s="129"/>
      <c r="BU966" s="129"/>
      <c r="BV966" s="129"/>
      <c r="BW966" s="129"/>
      <c r="BX966" s="137"/>
      <c r="BY966" s="129">
        <f>INDEX('Gross Dx Plant'!$D$7:$AC$91,MATCH($C966,'Gross Dx Plant'!$C$7:$C$91,0),MATCH(Calculation!$G966,'Gross Dx Plant'!$D$5:$AC$5,0))</f>
        <v>2691047</v>
      </c>
      <c r="BZ966" s="129">
        <f>INDEX('Gross Gen Plant'!$D$7:$AC$91,MATCH($C966,'Gross Gen Plant'!$C$7:$C$91,0),MATCH(Calculation!$G966,'Gross Gen Plant'!$D$5:$AC$5,0))</f>
        <v>32711</v>
      </c>
      <c r="CA966" s="129">
        <f t="shared" si="1721"/>
        <v>1793120</v>
      </c>
      <c r="CB966" s="129"/>
      <c r="CC966" s="133">
        <v>2011</v>
      </c>
      <c r="CD966" s="129"/>
      <c r="CE966" s="129"/>
      <c r="CF966" s="129"/>
      <c r="CG966" s="137"/>
      <c r="CH966" s="129">
        <f t="shared" si="1729"/>
        <v>108512</v>
      </c>
      <c r="CI966" s="46">
        <f t="shared" si="1738"/>
        <v>108499.43805213239</v>
      </c>
      <c r="CJ966" s="231">
        <f t="shared" si="1730"/>
        <v>177.39939438630142</v>
      </c>
      <c r="CK966" s="443">
        <v>0.8539325842696629</v>
      </c>
      <c r="CL966" s="231">
        <f>+CL953*CK966+CJ954*CK965+CJ955*CK964+CJ956*CK963+CJ957*CK962+CJ958*CK961+CJ959*CK960+CJ960*CK959+CJ961*CK958+CJ962*CK957+CJ963*CK956+CJ964*CK955+CJ965*CK954+CJ966</f>
        <v>6796.4392854270309</v>
      </c>
      <c r="CM966" s="134">
        <f t="shared" si="1731"/>
        <v>1.311830274045081E-2</v>
      </c>
      <c r="CN966" s="135">
        <f t="shared" si="1732"/>
        <v>1.3241756158747687E-2</v>
      </c>
      <c r="CO966" s="135">
        <f t="shared" si="1741"/>
        <v>1.2921521298473104E-2</v>
      </c>
      <c r="CP966" s="134">
        <f>VLOOKUP($H966,RoR!$E:$F,2,FALSE)</f>
        <v>4.6391666666666664E-2</v>
      </c>
      <c r="CQ966" s="135">
        <v>2.0840920205183799E-2</v>
      </c>
      <c r="CR966" s="135">
        <f t="shared" si="1739"/>
        <v>2.5550746461482865E-2</v>
      </c>
      <c r="CS966" s="135">
        <f t="shared" si="1742"/>
        <v>1.7980420310060523E-2</v>
      </c>
      <c r="CT966" s="135">
        <f t="shared" si="1743"/>
        <v>2.4810540821321614E-2</v>
      </c>
      <c r="CU966" s="139">
        <f t="shared" si="1733"/>
        <v>0.87050000000000005</v>
      </c>
      <c r="CV966" s="335">
        <f t="shared" si="1734"/>
        <v>1.1054151524782025</v>
      </c>
      <c r="CW966" s="335">
        <f t="shared" si="1735"/>
        <v>0.43611011316687626</v>
      </c>
      <c r="CX966" s="335">
        <f t="shared" si="1736"/>
        <v>0.83698442246886229</v>
      </c>
      <c r="CY966" s="335">
        <f t="shared" si="1737"/>
        <v>0.40349573304423936</v>
      </c>
      <c r="CZ966" s="336">
        <f>INDEX('State Tax Lookup'!$D$7:$Z$91,MATCH(Calculation!$C966,'State Tax Lookup'!$B$7:$B$91,0),MATCH($H966,'State Tax Lookup'!$D$6:$Z$6,0))</f>
        <v>0.35</v>
      </c>
      <c r="DA966" s="302">
        <v>0.37</v>
      </c>
      <c r="DB966" s="57">
        <f t="shared" si="1740"/>
        <v>14.694326640602437</v>
      </c>
      <c r="DC966" s="56">
        <f t="shared" si="1744"/>
        <v>5.781068859659122E-2</v>
      </c>
      <c r="DD966" s="303">
        <f>VLOOKUP($H966,RoR!$E:$F,2,FALSE)</f>
        <v>4.6391666666666664E-2</v>
      </c>
      <c r="DE966" s="304">
        <f>HLOOKUP($H966,'GDP-PI'!$D$8:$CQ$11,3,FALSE)</f>
        <v>2.0840920205183799E-2</v>
      </c>
      <c r="DF966" s="303">
        <f>VLOOKUP(H966,'HW Dx Data'!$E:$F,2,FALSE)</f>
        <v>611.61109612283201</v>
      </c>
      <c r="DG966" s="364">
        <f ca="1">VLOOKUP(CC966,'ECI - Input Price'!M$13:N$33,2,FALSE)</f>
        <v>120.875</v>
      </c>
      <c r="DH966" s="364"/>
      <c r="DI966" s="364"/>
      <c r="DJ966" s="56">
        <f t="shared" ca="1" si="1752"/>
        <v>3.3224250161508609E-2</v>
      </c>
      <c r="DK966" s="53">
        <f>HLOOKUP(H966,'GDP-PI'!$8:$9,2,FALSE)</f>
        <v>98.111999999999995</v>
      </c>
      <c r="DL966" s="355">
        <f t="shared" si="1745"/>
        <v>2.0626719212849295E-2</v>
      </c>
      <c r="EC966"/>
    </row>
    <row r="967" spans="1:133" s="126" customFormat="1" ht="21" customHeight="1" x14ac:dyDescent="0.4">
      <c r="A967" s="233" t="s">
        <v>239</v>
      </c>
      <c r="B967" s="126" t="s">
        <v>239</v>
      </c>
      <c r="C967" s="126">
        <v>4062485</v>
      </c>
      <c r="D967" s="127" t="s">
        <v>180</v>
      </c>
      <c r="E967" s="127"/>
      <c r="F967" s="144"/>
      <c r="G967" s="126" t="s">
        <v>168</v>
      </c>
      <c r="H967" s="128">
        <v>2012</v>
      </c>
      <c r="I967" s="129"/>
      <c r="J967" s="125">
        <f>IFERROR(INDEX('Labor Expenditures'!$E$7:$W$91,MATCH($C967,'Labor Expenditures'!$C$7:$C$91,0),MATCH($G967,'Labor Expenditures'!$E$5:$W$5,0)),"NA")</f>
        <v>49455.197310477233</v>
      </c>
      <c r="K967" s="125">
        <f t="shared" ca="1" si="1746"/>
        <v>396.27561947497782</v>
      </c>
      <c r="L967" s="47"/>
      <c r="M967" s="131">
        <f t="shared" ca="1" si="1753"/>
        <v>-3.3476083587551525E-2</v>
      </c>
      <c r="N967" s="131"/>
      <c r="O967" s="131"/>
      <c r="P967" s="59">
        <f t="shared" ca="1" si="1755"/>
        <v>-8.1267103767532569E-4</v>
      </c>
      <c r="Q967" s="61"/>
      <c r="R967" s="387"/>
      <c r="S967" s="49">
        <f t="shared" ca="1" si="1760"/>
        <v>117.66217979570926</v>
      </c>
      <c r="T967" s="61">
        <f ca="1">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</f>
        <v>-9.3110364105877426E-3</v>
      </c>
      <c r="U967" s="61"/>
      <c r="V967" s="125">
        <f>IFERROR(INDEX('Non-Labor Expenditures'!$E$7:$AA$91,MATCH($C967,'Non-Labor Expenditures'!$C$7:$C$91,0),MATCH($G967,'Non-Labor Expenditures'!$E$5:$AA$5,0)),"NA")</f>
        <v>71620.362662287487</v>
      </c>
      <c r="W967" s="125">
        <f t="shared" si="1747"/>
        <v>716.20362662287482</v>
      </c>
      <c r="X967" s="131">
        <f t="shared" si="1756"/>
        <v>-2.0581084164425171E-2</v>
      </c>
      <c r="Y967" s="131">
        <f t="shared" si="1757"/>
        <v>-4.9962986203697514E-4</v>
      </c>
      <c r="Z967" s="131"/>
      <c r="AA967" s="131"/>
      <c r="AB967" s="131"/>
      <c r="AC967" s="125">
        <f t="shared" si="1727"/>
        <v>106837.85428410649</v>
      </c>
      <c r="AD967" s="129"/>
      <c r="AE967" s="133">
        <v>7352.5438282308614</v>
      </c>
      <c r="AF967" s="134">
        <v>2.4458533395960456E-2</v>
      </c>
      <c r="AG967" s="59">
        <f t="shared" si="1748"/>
        <v>5.9375947198026446E-4</v>
      </c>
      <c r="AH967" s="134"/>
      <c r="AI967" s="134"/>
      <c r="AJ967" s="129">
        <f t="shared" si="1680"/>
        <v>227913.41425687121</v>
      </c>
      <c r="AK967" s="134">
        <f t="shared" si="1758"/>
        <v>3.612334372490178E-2</v>
      </c>
      <c r="AL967" s="129"/>
      <c r="AM967" s="129"/>
      <c r="AN967" s="129"/>
      <c r="AO967" s="129"/>
      <c r="AP967" s="133">
        <f t="shared" si="1759"/>
        <v>298.45075885952588</v>
      </c>
      <c r="AQ967" s="134">
        <f>+BB967/Outputs!$B$20</f>
        <v>2.1382870893918555E-2</v>
      </c>
      <c r="AR967" s="93">
        <f t="shared" si="1749"/>
        <v>0.2169911651393123</v>
      </c>
      <c r="AS967" s="93">
        <f t="shared" si="1750"/>
        <v>0.31424373548091084</v>
      </c>
      <c r="AT967" s="93">
        <f t="shared" si="1751"/>
        <v>0.4687650993797769</v>
      </c>
      <c r="AU967" s="93">
        <f t="shared" ca="1" si="1754"/>
        <v>-2.7787835412656971E-3</v>
      </c>
      <c r="AV967" s="132">
        <f t="shared" ca="1" si="1762"/>
        <v>119.89110837695669</v>
      </c>
      <c r="AW967" s="134">
        <f t="shared" ca="1" si="1763"/>
        <v>-2.7787835412657015E-3</v>
      </c>
      <c r="AX967" s="56">
        <f>+AJ967/$AL$17</f>
        <v>2.4276168254566282E-2</v>
      </c>
      <c r="AY967" s="135">
        <f t="shared" ca="1" si="1761"/>
        <v>-6.7458216790785698E-5</v>
      </c>
      <c r="AZ967" s="93"/>
      <c r="BA967" s="93"/>
      <c r="BB967" s="234">
        <f>IFERROR(INDEX('Total Customers'!$E$7:$AA$91,MATCH($C967,'Total Customers'!$C$7:$C$91,0),MATCH($G967,'Total Customers'!$E$5:$AA$5,0)),"NA")</f>
        <v>763655</v>
      </c>
      <c r="BC967" s="269">
        <f t="shared" si="1768"/>
        <v>9.1347060977841621E-3</v>
      </c>
      <c r="BD967" s="92"/>
      <c r="BE967" s="299" t="str">
        <f t="shared" si="1764"/>
        <v>PUGET SOUND ENERGY, INC.</v>
      </c>
      <c r="BF967" s="300">
        <f t="shared" si="1765"/>
        <v>4062485</v>
      </c>
      <c r="BG967" s="231" t="str">
        <f t="shared" si="1766"/>
        <v>WA</v>
      </c>
      <c r="BH967" s="231"/>
      <c r="BI967" s="231" t="str">
        <f t="shared" si="1767"/>
        <v>2012 Y</v>
      </c>
      <c r="BJ967" s="129"/>
      <c r="BK967" s="129"/>
      <c r="BL967" s="129">
        <f>INDEX('Dist. Plant Gas Additions'!$E$7:$AD$91,MATCH($C967,'Dist. Plant Gas Additions'!$C$7:$C$91,0),MATCH(Calculation!$G967,'Dist. Plant Gas Additions'!$E$5:$AD$5,0))</f>
        <v>151987</v>
      </c>
      <c r="BM967" s="129">
        <f>INDEX('Gen. Plant Additions'!$E$7:$AD$91,MATCH($C967,'Gen. Plant Additions'!$C$7:$C$91,0),MATCH(Calculation!$G967,'Gen. Plant Additions'!$E$5:$AD$5,0))</f>
        <v>1835</v>
      </c>
      <c r="BN967" s="301">
        <f t="shared" si="1728"/>
        <v>0.98788264838412609</v>
      </c>
      <c r="BO967" s="231">
        <f t="shared" si="1722"/>
        <v>1812.7646597848714</v>
      </c>
      <c r="BP967" s="231">
        <f t="shared" si="1723"/>
        <v>-22.235340215128645</v>
      </c>
      <c r="BQ967" s="129">
        <f>INDEX('Dist Plant Depreciation'!$D$7:$AC$94,MATCH($C967,'Dist Plant Depreciation'!$C$7:$C$94,0),MATCH(Calculation!$G967,'Dist Plant Depreciation'!$D$5:$AC$5,0))</f>
        <v>994151</v>
      </c>
      <c r="BR967" s="129">
        <f>INDEX('Gen. Plant Depreciation'!$D$7:$AC$94,MATCH($C967,'Gen. Plant Depreciation'!$C$7:$C$94,0),MATCH(Calculation!$G967,'Gen. Plant Depreciation'!$D$5:$AC$5,0))</f>
        <v>11316</v>
      </c>
      <c r="BS967" s="129"/>
      <c r="BT967" s="129"/>
      <c r="BU967" s="129"/>
      <c r="BV967" s="129"/>
      <c r="BW967" s="129"/>
      <c r="BX967" s="137"/>
      <c r="BY967" s="129">
        <f>INDEX('Gross Dx Plant'!$D$7:$AC$91,MATCH($C967,'Gross Dx Plant'!$C$7:$C$91,0),MATCH(Calculation!$G967,'Gross Dx Plant'!$D$5:$AC$5,0))</f>
        <v>2828799</v>
      </c>
      <c r="BZ967" s="129">
        <f>INDEX('Gross Gen Plant'!$D$7:$AC$91,MATCH($C967,'Gross Gen Plant'!$C$7:$C$91,0),MATCH(Calculation!$G967,'Gross Gen Plant'!$D$5:$AC$5,0))</f>
        <v>34698</v>
      </c>
      <c r="CA967" s="129">
        <f t="shared" si="1721"/>
        <v>1858030</v>
      </c>
      <c r="CB967" s="129"/>
      <c r="CC967" s="133">
        <v>2012</v>
      </c>
      <c r="CD967" s="129"/>
      <c r="CE967" s="129"/>
      <c r="CF967" s="129"/>
      <c r="CG967" s="137"/>
      <c r="CH967" s="129">
        <f t="shared" si="1729"/>
        <v>153822</v>
      </c>
      <c r="CI967" s="46">
        <f t="shared" si="1738"/>
        <v>153799.76465978488</v>
      </c>
      <c r="CJ967" s="231">
        <f t="shared" si="1730"/>
        <v>229.9227419145931</v>
      </c>
      <c r="CK967" s="443">
        <v>0.84090909090909094</v>
      </c>
      <c r="CL967" s="231">
        <f>+CL953*CK967+CJ954*CK966+CJ955*CK965+CJ956*CK964+CJ957*CK963+CJ958*CK962+CJ959*CK961+CJ960*CK960+CJ961*CK959+CJ962*CK958+CJ963*CK957+CJ964*CK956+CJ965*CK955+CJ966*CK954+CJ967</f>
        <v>6933.8217308248477</v>
      </c>
      <c r="CM967" s="134">
        <f t="shared" si="1731"/>
        <v>2.0012296962521135E-2</v>
      </c>
      <c r="CN967" s="135">
        <f t="shared" si="1732"/>
        <v>1.3615996940515867E-2</v>
      </c>
      <c r="CO967" s="135">
        <f t="shared" si="1741"/>
        <v>1.3254124741890206E-2</v>
      </c>
      <c r="CP967" s="134">
        <f>VLOOKUP($H967,RoR!$E:$F,2,FALSE)</f>
        <v>3.6733333333333333E-2</v>
      </c>
      <c r="CQ967" s="135">
        <v>1.924331376386168E-2</v>
      </c>
      <c r="CR967" s="135">
        <f t="shared" si="1739"/>
        <v>1.7490019569471653E-2</v>
      </c>
      <c r="CS967" s="135">
        <f t="shared" si="1742"/>
        <v>1.764781686664342E-2</v>
      </c>
      <c r="CT967" s="135">
        <f t="shared" si="1743"/>
        <v>6.7122682943869583E-2</v>
      </c>
      <c r="CU967" s="139">
        <f t="shared" si="1733"/>
        <v>0.87050000000000005</v>
      </c>
      <c r="CV967" s="335">
        <f t="shared" si="1734"/>
        <v>1.3960631020522127</v>
      </c>
      <c r="CW967" s="335">
        <f t="shared" si="1735"/>
        <v>0.29441923774954631</v>
      </c>
      <c r="CX967" s="335">
        <f t="shared" si="1736"/>
        <v>0.76377954189366437</v>
      </c>
      <c r="CY967" s="335">
        <f t="shared" si="1737"/>
        <v>0.31393465103033691</v>
      </c>
      <c r="CZ967" s="336">
        <f>INDEX('State Tax Lookup'!$D$7:$Z$91,MATCH(Calculation!$C967,'State Tax Lookup'!$B$7:$B$91,0),MATCH($H967,'State Tax Lookup'!$D$6:$Z$6,0))</f>
        <v>0.35</v>
      </c>
      <c r="DA967" s="302">
        <v>0.37</v>
      </c>
      <c r="DB967" s="57">
        <f t="shared" si="1740"/>
        <v>15.719680526417548</v>
      </c>
      <c r="DC967" s="56">
        <f t="shared" si="1744"/>
        <v>6.7451987574142072E-2</v>
      </c>
      <c r="DD967" s="303">
        <f>VLOOKUP($H967,RoR!$E:$F,2,FALSE)</f>
        <v>3.6733333333333333E-2</v>
      </c>
      <c r="DE967" s="304">
        <f>HLOOKUP($H967,'GDP-PI'!$D$8:$CQ$11,3,FALSE)</f>
        <v>1.924331376386168E-2</v>
      </c>
      <c r="DF967" s="303">
        <f>VLOOKUP(H967,'HW Dx Data'!$E:$F,2,FALSE)</f>
        <v>668.91932211262167</v>
      </c>
      <c r="DG967" s="364">
        <f ca="1">VLOOKUP(CC967,'ECI - Input Price'!M$13:N$33,2,FALSE)</f>
        <v>124.80000000000001</v>
      </c>
      <c r="DH967" s="364"/>
      <c r="DI967" s="364"/>
      <c r="DJ967" s="56">
        <f t="shared" ca="1" si="1752"/>
        <v>3.1955502161869064E-2</v>
      </c>
      <c r="DK967" s="53">
        <f>HLOOKUP(H967,'GDP-PI'!$8:$9,2,FALSE)</f>
        <v>100</v>
      </c>
      <c r="DL967" s="355">
        <f t="shared" si="1745"/>
        <v>1.9060502738742411E-2</v>
      </c>
      <c r="EC967"/>
    </row>
    <row r="968" spans="1:133" s="126" customFormat="1" ht="21" customHeight="1" x14ac:dyDescent="0.4">
      <c r="A968" s="233" t="s">
        <v>239</v>
      </c>
      <c r="B968" s="126" t="s">
        <v>239</v>
      </c>
      <c r="C968" s="126">
        <v>4062485</v>
      </c>
      <c r="D968" s="127" t="s">
        <v>180</v>
      </c>
      <c r="E968" s="127"/>
      <c r="F968" s="144"/>
      <c r="G968" s="126" t="s">
        <v>169</v>
      </c>
      <c r="H968" s="128">
        <v>2013</v>
      </c>
      <c r="I968" s="129"/>
      <c r="J968" s="125">
        <f>IFERROR(INDEX('Labor Expenditures'!$E$7:$W$91,MATCH($C968,'Labor Expenditures'!$C$7:$C$91,0),MATCH($G968,'Labor Expenditures'!$E$5:$W$5,0)),"NA")</f>
        <v>49499.123490012826</v>
      </c>
      <c r="K968" s="125">
        <f t="shared" ca="1" si="1746"/>
        <v>390.37163635656805</v>
      </c>
      <c r="L968" s="47"/>
      <c r="M968" s="131">
        <f t="shared" ca="1" si="1753"/>
        <v>-1.5010778803487205E-2</v>
      </c>
      <c r="N968" s="131"/>
      <c r="O968" s="131"/>
      <c r="P968" s="59">
        <f t="shared" ca="1" si="1755"/>
        <v>-3.504694330518316E-4</v>
      </c>
      <c r="Q968" s="61"/>
      <c r="R968" s="387"/>
      <c r="S968" s="49">
        <f t="shared" ca="1" si="1760"/>
        <v>107.63294838996534</v>
      </c>
      <c r="T968" s="61">
        <f ca="1">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</f>
        <v>-8.909082283327513E-2</v>
      </c>
      <c r="U968" s="61"/>
      <c r="V968" s="125">
        <f>IFERROR(INDEX('Non-Labor Expenditures'!$E$7:$AA$91,MATCH($C968,'Non-Labor Expenditures'!$C$7:$C$91,0),MATCH($G968,'Non-Labor Expenditures'!$E$5:$AA$5,0)),"NA")</f>
        <v>71683.975974533649</v>
      </c>
      <c r="W968" s="125">
        <f t="shared" si="1747"/>
        <v>704.35160577494673</v>
      </c>
      <c r="X968" s="131">
        <f t="shared" si="1756"/>
        <v>-1.6686849752199657E-2</v>
      </c>
      <c r="Y968" s="131">
        <f t="shared" si="1757"/>
        <v>-3.8960208851494685E-4</v>
      </c>
      <c r="Z968" s="131"/>
      <c r="AA968" s="131"/>
      <c r="AB968" s="131"/>
      <c r="AC968" s="125">
        <f t="shared" si="1727"/>
        <v>106005.00342119673</v>
      </c>
      <c r="AD968" s="129"/>
      <c r="AE968" s="133">
        <v>7513.1737272469236</v>
      </c>
      <c r="AF968" s="134">
        <v>2.16116242464745E-2</v>
      </c>
      <c r="AG968" s="59">
        <f t="shared" si="1748"/>
        <v>5.0458499163491392E-4</v>
      </c>
      <c r="AH968" s="134"/>
      <c r="AI968" s="134"/>
      <c r="AJ968" s="129">
        <f t="shared" si="1680"/>
        <v>227188.1028857432</v>
      </c>
      <c r="AK968" s="134">
        <f t="shared" si="1758"/>
        <v>-3.1874733785903081E-3</v>
      </c>
      <c r="AL968" s="129"/>
      <c r="AM968" s="129"/>
      <c r="AN968" s="129"/>
      <c r="AO968" s="129"/>
      <c r="AP968" s="133">
        <f t="shared" si="1759"/>
        <v>293.75809316930531</v>
      </c>
      <c r="AQ968" s="134">
        <f>+BB968/Outputs!$B$21</f>
        <v>2.1517301314166706E-2</v>
      </c>
      <c r="AR968" s="93">
        <f t="shared" si="1749"/>
        <v>0.21787726936963239</v>
      </c>
      <c r="AS968" s="93">
        <f t="shared" si="1750"/>
        <v>0.31552697990785528</v>
      </c>
      <c r="AT968" s="93">
        <f t="shared" si="1751"/>
        <v>0.46659575072251236</v>
      </c>
      <c r="AU968" s="93">
        <f t="shared" ca="1" si="1754"/>
        <v>1.5890320211067351E-3</v>
      </c>
      <c r="AV968" s="132">
        <f t="shared" ca="1" si="1762"/>
        <v>120.08177063130846</v>
      </c>
      <c r="AW968" s="134">
        <f t="shared" ca="1" si="1763"/>
        <v>1.5890320211066689E-3</v>
      </c>
      <c r="AX968" s="56">
        <f>+AJ968/$AL$18</f>
        <v>2.3347851409975667E-2</v>
      </c>
      <c r="AY968" s="135">
        <f t="shared" ca="1" si="1761"/>
        <v>3.7100483514491826E-5</v>
      </c>
      <c r="AZ968" s="93"/>
      <c r="BA968" s="93"/>
      <c r="BB968" s="234">
        <f>IFERROR(INDEX('Total Customers'!$E$7:$AA$91,MATCH($C968,'Total Customers'!$C$7:$C$91,0),MATCH($G968,'Total Customers'!$E$5:$AA$5,0)),"NA")</f>
        <v>773385</v>
      </c>
      <c r="BC968" s="269">
        <f t="shared" si="1768"/>
        <v>1.2660867608213989E-2</v>
      </c>
      <c r="BD968" s="92"/>
      <c r="BE968" s="299" t="str">
        <f t="shared" si="1764"/>
        <v>PUGET SOUND ENERGY, INC.</v>
      </c>
      <c r="BF968" s="300">
        <f t="shared" si="1765"/>
        <v>4062485</v>
      </c>
      <c r="BG968" s="231" t="str">
        <f t="shared" si="1766"/>
        <v>WA</v>
      </c>
      <c r="BH968" s="231"/>
      <c r="BI968" s="231" t="str">
        <f t="shared" si="1767"/>
        <v>2013 Y</v>
      </c>
      <c r="BJ968" s="129"/>
      <c r="BK968" s="129"/>
      <c r="BL968" s="129">
        <f>INDEX('Dist. Plant Gas Additions'!$E$7:$AD$91,MATCH($C968,'Dist. Plant Gas Additions'!$C$7:$C$91,0),MATCH(Calculation!$G968,'Dist. Plant Gas Additions'!$E$5:$AD$5,0))</f>
        <v>128154</v>
      </c>
      <c r="BM968" s="129">
        <f>INDEX('Gen. Plant Additions'!$E$7:$AD$91,MATCH($C968,'Gen. Plant Additions'!$C$7:$C$91,0),MATCH(Calculation!$G968,'Gen. Plant Additions'!$E$5:$AD$5,0))</f>
        <v>15083</v>
      </c>
      <c r="BN968" s="301">
        <f t="shared" si="1728"/>
        <v>0.98789012444507673</v>
      </c>
      <c r="BO968" s="231">
        <f t="shared" si="1722"/>
        <v>14900.346747005093</v>
      </c>
      <c r="BP968" s="231">
        <f t="shared" si="1723"/>
        <v>-182.65325299490723</v>
      </c>
      <c r="BQ968" s="129">
        <f>INDEX('Dist Plant Depreciation'!$D$7:$AC$94,MATCH($C968,'Dist Plant Depreciation'!$C$7:$C$94,0),MATCH(Calculation!$G968,'Dist Plant Depreciation'!$D$5:$AC$5,0))</f>
        <v>1069057</v>
      </c>
      <c r="BR968" s="129">
        <f>INDEX('Gen. Plant Depreciation'!$D$7:$AC$94,MATCH($C968,'Gen. Plant Depreciation'!$C$7:$C$94,0),MATCH(Calculation!$G968,'Gen. Plant Depreciation'!$D$5:$AC$5,0))</f>
        <v>17238</v>
      </c>
      <c r="BS968" s="129"/>
      <c r="BT968" s="129"/>
      <c r="BU968" s="129"/>
      <c r="BV968" s="129"/>
      <c r="BW968" s="129"/>
      <c r="BX968" s="137"/>
      <c r="BY968" s="129">
        <f>INDEX('Gross Dx Plant'!$D$7:$AC$91,MATCH($C968,'Gross Dx Plant'!$C$7:$C$91,0),MATCH(Calculation!$G968,'Gross Dx Plant'!$D$5:$AC$5,0))</f>
        <v>2958072</v>
      </c>
      <c r="BZ968" s="129">
        <f>INDEX('Gross Gen Plant'!$D$7:$AC$91,MATCH($C968,'Gross Gen Plant'!$C$7:$C$91,0),MATCH(Calculation!$G968,'Gross Gen Plant'!$D$5:$AC$5,0))</f>
        <v>36261</v>
      </c>
      <c r="CA968" s="129">
        <f t="shared" si="1721"/>
        <v>1908038</v>
      </c>
      <c r="CB968" s="129"/>
      <c r="CC968" s="133">
        <v>2013</v>
      </c>
      <c r="CD968" s="129"/>
      <c r="CE968" s="129"/>
      <c r="CF968" s="129"/>
      <c r="CG968" s="137"/>
      <c r="CH968" s="129">
        <f t="shared" si="1729"/>
        <v>143237</v>
      </c>
      <c r="CI968" s="46">
        <f t="shared" si="1738"/>
        <v>143054.3467470051</v>
      </c>
      <c r="CJ968" s="231">
        <f t="shared" si="1730"/>
        <v>215.68743409447546</v>
      </c>
      <c r="CK968" s="443">
        <v>0.82758620689655171</v>
      </c>
      <c r="CL968" s="231">
        <f>+CL953*CK968+CJ954*CK967+CJ955*CK966+CJ956*CK965+CJ957*CK964+CJ958*CK963+CJ959*CK962+CJ960*CK961+CJ961*CK960+CJ962*CK959+CJ963*CK958+CJ964*CK957+CJ965*CK956+CJ966*CK955+CJ967*CK954+CJ968</f>
        <v>7052.6315995124605</v>
      </c>
      <c r="CM968" s="134">
        <f t="shared" si="1731"/>
        <v>1.6989686196280135E-2</v>
      </c>
      <c r="CN968" s="135">
        <f t="shared" si="1732"/>
        <v>1.3971741583171344E-2</v>
      </c>
      <c r="CO968" s="135">
        <f t="shared" si="1741"/>
        <v>1.3609831560811634E-2</v>
      </c>
      <c r="CP968" s="134">
        <f>VLOOKUP($H968,RoR!$E:$F,2,FALSE)</f>
        <v>4.2350000000000006E-2</v>
      </c>
      <c r="CQ968" s="135">
        <v>1.7730000000000024E-2</v>
      </c>
      <c r="CR968" s="135">
        <f t="shared" si="1739"/>
        <v>2.4619999999999982E-2</v>
      </c>
      <c r="CS968" s="135">
        <f t="shared" si="1742"/>
        <v>1.7292110047721992E-2</v>
      </c>
      <c r="CT968" s="135">
        <f t="shared" si="1743"/>
        <v>5.3376742735721204E-2</v>
      </c>
      <c r="CU968" s="139">
        <f t="shared" si="1733"/>
        <v>0.87050000000000005</v>
      </c>
      <c r="CV968" s="335">
        <f t="shared" si="1734"/>
        <v>1.2109103018193925</v>
      </c>
      <c r="CW968" s="335">
        <f t="shared" si="1735"/>
        <v>0.38468122786304604</v>
      </c>
      <c r="CX968" s="335">
        <f t="shared" si="1736"/>
        <v>0.80969194503422559</v>
      </c>
      <c r="CY968" s="335">
        <f t="shared" si="1737"/>
        <v>0.37716621754800816</v>
      </c>
      <c r="CZ968" s="336">
        <f>INDEX('State Tax Lookup'!$D$7:$Z$91,MATCH(Calculation!$C968,'State Tax Lookup'!$B$7:$B$91,0),MATCH($H968,'State Tax Lookup'!$D$6:$Z$6,0))</f>
        <v>0.35</v>
      </c>
      <c r="DA968" s="302">
        <v>0.37</v>
      </c>
      <c r="DB968" s="57">
        <f t="shared" si="1740"/>
        <v>15.288106261795452</v>
      </c>
      <c r="DC968" s="56">
        <f t="shared" si="1744"/>
        <v>-2.7838306466866733E-2</v>
      </c>
      <c r="DD968" s="303">
        <f>VLOOKUP($H968,RoR!$E:$F,2,FALSE)</f>
        <v>4.2350000000000006E-2</v>
      </c>
      <c r="DE968" s="304">
        <f>HLOOKUP($H968,'GDP-PI'!$D$8:$CQ$11,3,FALSE)</f>
        <v>1.7730000000000024E-2</v>
      </c>
      <c r="DF968" s="303">
        <f>VLOOKUP(H968,'HW Dx Data'!$E:$F,2,FALSE)</f>
        <v>663.24840548821396</v>
      </c>
      <c r="DG968" s="364">
        <f ca="1">VLOOKUP(CC968,'ECI - Input Price'!M$13:N$33,2,FALSE)</f>
        <v>126.8</v>
      </c>
      <c r="DH968" s="364"/>
      <c r="DI968" s="364"/>
      <c r="DJ968" s="56">
        <f t="shared" ca="1" si="1752"/>
        <v>1.5898586067798204E-2</v>
      </c>
      <c r="DK968" s="53">
        <f>HLOOKUP(H968,'GDP-PI'!$8:$9,2,FALSE)</f>
        <v>101.773</v>
      </c>
      <c r="DL968" s="355">
        <f t="shared" si="1745"/>
        <v>1.7574657016510519E-2</v>
      </c>
      <c r="EC968"/>
    </row>
    <row r="969" spans="1:133" s="126" customFormat="1" ht="21" customHeight="1" x14ac:dyDescent="0.4">
      <c r="A969" s="233" t="s">
        <v>239</v>
      </c>
      <c r="B969" s="126" t="s">
        <v>239</v>
      </c>
      <c r="C969" s="126">
        <v>4062485</v>
      </c>
      <c r="D969" s="127" t="s">
        <v>180</v>
      </c>
      <c r="E969" s="127"/>
      <c r="F969" s="144"/>
      <c r="G969" s="126" t="s">
        <v>170</v>
      </c>
      <c r="H969" s="128">
        <v>2014</v>
      </c>
      <c r="I969" s="129"/>
      <c r="J969" s="125">
        <f>IFERROR(INDEX('Labor Expenditures'!$E$7:$W$91,MATCH($C969,'Labor Expenditures'!$C$7:$C$91,0),MATCH($G969,'Labor Expenditures'!$E$5:$W$5,0)),"NA")</f>
        <v>50041.924708629333</v>
      </c>
      <c r="K969" s="125">
        <f t="shared" ca="1" si="1746"/>
        <v>386.72275663546623</v>
      </c>
      <c r="L969" s="47"/>
      <c r="M969" s="131">
        <f t="shared" ca="1" si="1753"/>
        <v>-9.3911539481976846E-3</v>
      </c>
      <c r="N969" s="131"/>
      <c r="O969" s="131"/>
      <c r="P969" s="59">
        <f t="shared" ca="1" si="1755"/>
        <v>-2.1944534894655085E-4</v>
      </c>
      <c r="Q969" s="61"/>
      <c r="R969" s="387"/>
      <c r="S969" s="49">
        <f t="shared" ca="1" si="1760"/>
        <v>121.52456321544238</v>
      </c>
      <c r="T969" s="61">
        <f ca="1">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</f>
        <v>0.12138959607290552</v>
      </c>
      <c r="U969" s="61"/>
      <c r="V969" s="125">
        <f>IFERROR(INDEX('Non-Labor Expenditures'!$E$7:$AA$91,MATCH($C969,'Non-Labor Expenditures'!$C$7:$C$91,0),MATCH($G969,'Non-Labor Expenditures'!$E$5:$AA$5,0)),"NA")</f>
        <v>72470.05352037352</v>
      </c>
      <c r="W969" s="125">
        <f t="shared" si="1747"/>
        <v>699.20068617879451</v>
      </c>
      <c r="X969" s="131">
        <f t="shared" si="1756"/>
        <v>-7.3398657827787829E-3</v>
      </c>
      <c r="Y969" s="131">
        <f t="shared" si="1757"/>
        <v>-1.715124059095909E-4</v>
      </c>
      <c r="Z969" s="131"/>
      <c r="AA969" s="131"/>
      <c r="AB969" s="131"/>
      <c r="AC969" s="125">
        <f t="shared" si="1727"/>
        <v>109039.07471922232</v>
      </c>
      <c r="AD969" s="129"/>
      <c r="AE969" s="133">
        <v>7695.6252162546398</v>
      </c>
      <c r="AF969" s="134">
        <v>2.3994036994205187E-2</v>
      </c>
      <c r="AG969" s="59">
        <f t="shared" si="1748"/>
        <v>5.6067442295952552E-4</v>
      </c>
      <c r="AH969" s="134"/>
      <c r="AI969" s="134"/>
      <c r="AJ969" s="129">
        <f t="shared" si="1680"/>
        <v>231551.05294822517</v>
      </c>
      <c r="AK969" s="134">
        <f t="shared" si="1758"/>
        <v>1.9022058890004658E-2</v>
      </c>
      <c r="AL969" s="129"/>
      <c r="AM969" s="129"/>
      <c r="AN969" s="129"/>
      <c r="AO969" s="129"/>
      <c r="AP969" s="133">
        <f t="shared" si="1759"/>
        <v>296.24807826418373</v>
      </c>
      <c r="AQ969" s="134">
        <f>+BB969/Outputs!$B$22</f>
        <v>2.1629989508951983E-2</v>
      </c>
      <c r="AR969" s="93">
        <f t="shared" si="1749"/>
        <v>0.21611616130209829</v>
      </c>
      <c r="AS969" s="93">
        <f t="shared" si="1750"/>
        <v>0.31297656649645134</v>
      </c>
      <c r="AT969" s="93">
        <f t="shared" si="1751"/>
        <v>0.4709072722014504</v>
      </c>
      <c r="AU969" s="93">
        <f t="shared" ca="1" si="1754"/>
        <v>6.9028257098319931E-3</v>
      </c>
      <c r="AV969" s="132">
        <f t="shared" ca="1" si="1762"/>
        <v>120.91354164732913</v>
      </c>
      <c r="AW969" s="134">
        <f t="shared" ca="1" si="1763"/>
        <v>6.902825709832059E-3</v>
      </c>
      <c r="AX969" s="56">
        <f>+AJ969/$AL$19</f>
        <v>2.3367240081147427E-2</v>
      </c>
      <c r="AY969" s="135">
        <f t="shared" ca="1" si="1761"/>
        <v>1.6129998559996262E-4</v>
      </c>
      <c r="AZ969" s="93"/>
      <c r="BA969" s="93"/>
      <c r="BB969" s="234">
        <f>IFERROR(INDEX('Total Customers'!$E$7:$AA$91,MATCH($C969,'Total Customers'!$C$7:$C$91,0),MATCH($G969,'Total Customers'!$E$5:$AA$5,0)),"NA")</f>
        <v>781612</v>
      </c>
      <c r="BC969" s="269">
        <f t="shared" si="1768"/>
        <v>1.0581469627154642E-2</v>
      </c>
      <c r="BD969" s="92"/>
      <c r="BE969" s="299" t="str">
        <f t="shared" si="1764"/>
        <v>PUGET SOUND ENERGY, INC.</v>
      </c>
      <c r="BF969" s="300">
        <f t="shared" si="1765"/>
        <v>4062485</v>
      </c>
      <c r="BG969" s="231" t="str">
        <f t="shared" si="1766"/>
        <v>WA</v>
      </c>
      <c r="BH969" s="231"/>
      <c r="BI969" s="231" t="str">
        <f t="shared" si="1767"/>
        <v>2014 Y</v>
      </c>
      <c r="BJ969" s="129"/>
      <c r="BK969" s="129"/>
      <c r="BL969" s="129">
        <f>INDEX('Dist. Plant Gas Additions'!$E$7:$AD$91,MATCH($C969,'Dist. Plant Gas Additions'!$C$7:$C$91,0),MATCH(Calculation!$G969,'Dist. Plant Gas Additions'!$E$5:$AD$5,0))</f>
        <v>164006</v>
      </c>
      <c r="BM969" s="129">
        <f>INDEX('Gen. Plant Additions'!$E$7:$AD$91,MATCH($C969,'Gen. Plant Additions'!$C$7:$C$91,0),MATCH(Calculation!$G969,'Gen. Plant Additions'!$E$5:$AD$5,0))</f>
        <v>870</v>
      </c>
      <c r="BN969" s="301">
        <f t="shared" si="1728"/>
        <v>0.98962180825437607</v>
      </c>
      <c r="BO969" s="231">
        <f t="shared" si="1722"/>
        <v>860.97097318130716</v>
      </c>
      <c r="BP969" s="231">
        <f t="shared" si="1723"/>
        <v>-9.0290268186928415</v>
      </c>
      <c r="BQ969" s="129">
        <f>INDEX('Dist Plant Depreciation'!$D$7:$AC$94,MATCH($C969,'Dist Plant Depreciation'!$C$7:$C$94,0),MATCH(Calculation!$G969,'Dist Plant Depreciation'!$D$5:$AC$5,0))</f>
        <v>1150266</v>
      </c>
      <c r="BR969" s="129">
        <f>INDEX('Gen. Plant Depreciation'!$D$7:$AC$94,MATCH($C969,'Gen. Plant Depreciation'!$C$7:$C$94,0),MATCH(Calculation!$G969,'Gen. Plant Depreciation'!$D$5:$AC$5,0))</f>
        <v>14420</v>
      </c>
      <c r="BS969" s="129"/>
      <c r="BT969" s="129"/>
      <c r="BU969" s="129"/>
      <c r="BV969" s="129"/>
      <c r="BW969" s="129"/>
      <c r="BX969" s="137"/>
      <c r="BY969" s="129">
        <f>INDEX('Gross Dx Plant'!$D$7:$AC$91,MATCH($C969,'Gross Dx Plant'!$C$7:$C$91,0),MATCH(Calculation!$G969,'Gross Dx Plant'!$D$5:$AC$5,0))</f>
        <v>3105837</v>
      </c>
      <c r="BZ969" s="129">
        <f>INDEX('Gross Gen Plant'!$D$7:$AC$91,MATCH($C969,'Gross Gen Plant'!$C$7:$C$91,0),MATCH(Calculation!$G969,'Gross Gen Plant'!$D$5:$AC$5,0))</f>
        <v>32571</v>
      </c>
      <c r="CA969" s="129">
        <f t="shared" si="1721"/>
        <v>1973722</v>
      </c>
      <c r="CB969" s="129"/>
      <c r="CC969" s="133">
        <v>2014</v>
      </c>
      <c r="CD969" s="129"/>
      <c r="CE969" s="129"/>
      <c r="CF969" s="129"/>
      <c r="CG969" s="137"/>
      <c r="CH969" s="129">
        <f t="shared" si="1729"/>
        <v>164876</v>
      </c>
      <c r="CI969" s="46">
        <f t="shared" si="1738"/>
        <v>164866.97097318131</v>
      </c>
      <c r="CJ969" s="231">
        <f t="shared" si="1730"/>
        <v>240.86837616463342</v>
      </c>
      <c r="CK969" s="443">
        <v>0.81395348837209303</v>
      </c>
      <c r="CL969" s="231">
        <f>+CL953*CK969+CJ954*CK968+CJ955*CK967+CJ956*CK966+CJ957*CK965+CJ958*CK964+CJ959*CK963+CJ960*CK962+CJ961*CK961+CJ962*CK960+CJ963*CK959+CJ964*CK958+CJ965*CK957+CJ966*CK956+CJ967*CK955+CJ968*CK954+CJ969</f>
        <v>7192.3108088261497</v>
      </c>
      <c r="CM969" s="134">
        <f t="shared" si="1731"/>
        <v>1.9611688445320508E-2</v>
      </c>
      <c r="CN969" s="135">
        <f t="shared" si="1732"/>
        <v>1.4347717645983285E-2</v>
      </c>
      <c r="CO969" s="135">
        <f t="shared" si="1741"/>
        <v>1.3978485389890166E-2</v>
      </c>
      <c r="CP969" s="134">
        <f>VLOOKUP($H969,RoR!$E:$F,2,FALSE)</f>
        <v>4.1625000000000002E-2</v>
      </c>
      <c r="CQ969" s="135">
        <v>1.841352814597208E-2</v>
      </c>
      <c r="CR969" s="135">
        <f t="shared" si="1739"/>
        <v>2.3211471854027922E-2</v>
      </c>
      <c r="CS969" s="135">
        <f t="shared" si="1742"/>
        <v>1.6923456218643461E-2</v>
      </c>
      <c r="CT969" s="135">
        <f t="shared" si="1743"/>
        <v>3.9072621432650924E-2</v>
      </c>
      <c r="CU969" s="139">
        <f t="shared" si="1733"/>
        <v>0.87050000000000005</v>
      </c>
      <c r="CV969" s="335">
        <f t="shared" si="1734"/>
        <v>1.2320012320012319</v>
      </c>
      <c r="CW969" s="335">
        <f t="shared" si="1735"/>
        <v>0.37439939939939942</v>
      </c>
      <c r="CX969" s="335">
        <f t="shared" si="1736"/>
        <v>0.80432100613819935</v>
      </c>
      <c r="CY969" s="335">
        <f t="shared" si="1737"/>
        <v>0.37100152660040037</v>
      </c>
      <c r="CZ969" s="336">
        <f>INDEX('State Tax Lookup'!$D$7:$Z$91,MATCH(Calculation!$C969,'State Tax Lookup'!$B$7:$B$91,0),MATCH($H969,'State Tax Lookup'!$D$6:$Z$6,0))</f>
        <v>0.35</v>
      </c>
      <c r="DA969" s="302">
        <v>0.37</v>
      </c>
      <c r="DB969" s="57">
        <f t="shared" si="1740"/>
        <v>15.460764280777129</v>
      </c>
      <c r="DC969" s="56">
        <f t="shared" si="1744"/>
        <v>1.1230320370692416E-2</v>
      </c>
      <c r="DD969" s="303">
        <f>VLOOKUP($H969,RoR!$E:$F,2,FALSE)</f>
        <v>4.1625000000000002E-2</v>
      </c>
      <c r="DE969" s="304">
        <f>HLOOKUP($H969,'GDP-PI'!$D$8:$CQ$11,3,FALSE)</f>
        <v>1.841352814597208E-2</v>
      </c>
      <c r="DF969" s="303">
        <f>VLOOKUP(H969,'HW Dx Data'!$E:$F,2,FALSE)</f>
        <v>684.46914285042885</v>
      </c>
      <c r="DG969" s="364">
        <f ca="1">VLOOKUP(CC969,'ECI - Input Price'!M$13:N$33,2,FALSE)</f>
        <v>129.4</v>
      </c>
      <c r="DH969" s="364"/>
      <c r="DI969" s="364"/>
      <c r="DJ969" s="56">
        <f t="shared" ca="1" si="1752"/>
        <v>2.0297340063674733E-2</v>
      </c>
      <c r="DK969" s="53">
        <f>HLOOKUP(H969,'GDP-PI'!$8:$9,2,FALSE)</f>
        <v>103.64700000000001</v>
      </c>
      <c r="DL969" s="355">
        <f t="shared" si="1745"/>
        <v>1.8246051898256087E-2</v>
      </c>
      <c r="EC969"/>
    </row>
    <row r="970" spans="1:133" s="126" customFormat="1" ht="21" customHeight="1" x14ac:dyDescent="0.4">
      <c r="A970" s="233" t="s">
        <v>239</v>
      </c>
      <c r="B970" s="126" t="s">
        <v>239</v>
      </c>
      <c r="C970" s="126">
        <v>4062485</v>
      </c>
      <c r="D970" s="127" t="s">
        <v>180</v>
      </c>
      <c r="E970" s="127"/>
      <c r="F970" s="144"/>
      <c r="G970" s="126" t="s">
        <v>171</v>
      </c>
      <c r="H970" s="128">
        <v>2015</v>
      </c>
      <c r="I970" s="129"/>
      <c r="J970" s="125">
        <f>IFERROR(INDEX('Labor Expenditures'!$E$7:$W$91,MATCH($C970,'Labor Expenditures'!$C$7:$C$91,0),MATCH($G970,'Labor Expenditures'!$E$5:$W$5,0)),"NA")</f>
        <v>47658.008707612207</v>
      </c>
      <c r="K970" s="125">
        <f t="shared" ca="1" si="1746"/>
        <v>356.9888292705034</v>
      </c>
      <c r="L970" s="47"/>
      <c r="M970" s="131">
        <f t="shared" ca="1" si="1753"/>
        <v>-8.0003554444949374E-2</v>
      </c>
      <c r="N970" s="131"/>
      <c r="O970" s="131"/>
      <c r="P970" s="59">
        <f t="shared" ca="1" si="1755"/>
        <v>-1.8022237890235287E-3</v>
      </c>
      <c r="Q970" s="61"/>
      <c r="R970" s="387"/>
      <c r="S970" s="49">
        <f t="shared" ca="1" si="1760"/>
        <v>121.1386181550881</v>
      </c>
      <c r="T970" s="61">
        <f ca="1">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</f>
        <v>-3.1809142499278176E-3</v>
      </c>
      <c r="U970" s="61"/>
      <c r="V970" s="125">
        <f>IFERROR(INDEX('Non-Labor Expenditures'!$E$7:$AA$91,MATCH($C970,'Non-Labor Expenditures'!$C$7:$C$91,0),MATCH($G970,'Non-Labor Expenditures'!$E$5:$AA$5,0)),"NA")</f>
        <v>69017.69789680987</v>
      </c>
      <c r="W970" s="125">
        <f t="shared" si="1747"/>
        <v>659.57910431875189</v>
      </c>
      <c r="X970" s="131">
        <f t="shared" si="1756"/>
        <v>-5.8335894856887754E-2</v>
      </c>
      <c r="Y970" s="131">
        <f t="shared" si="1757"/>
        <v>-1.3141208311863396E-3</v>
      </c>
      <c r="Z970" s="131"/>
      <c r="AA970" s="131"/>
      <c r="AB970" s="131"/>
      <c r="AC970" s="125">
        <f t="shared" si="1727"/>
        <v>107703.93611448328</v>
      </c>
      <c r="AD970" s="129"/>
      <c r="AE970" s="133">
        <v>7857.4020870625409</v>
      </c>
      <c r="AF970" s="134">
        <v>2.0804014865789682E-2</v>
      </c>
      <c r="AG970" s="59">
        <f t="shared" si="1748"/>
        <v>4.686478089435971E-4</v>
      </c>
      <c r="AH970" s="134"/>
      <c r="AI970" s="134"/>
      <c r="AJ970" s="129">
        <f t="shared" si="1680"/>
        <v>224379.64271890535</v>
      </c>
      <c r="AK970" s="134">
        <f t="shared" si="1758"/>
        <v>-3.1460929494833388E-2</v>
      </c>
      <c r="AL970" s="129"/>
      <c r="AM970" s="129"/>
      <c r="AN970" s="129"/>
      <c r="AO970" s="129"/>
      <c r="AP970" s="133">
        <f t="shared" si="1759"/>
        <v>282.23392915449858</v>
      </c>
      <c r="AQ970" s="134">
        <f>+BB970/Outputs!$B$23</f>
        <v>2.1821947458660302E-2</v>
      </c>
      <c r="AR970" s="93">
        <f t="shared" si="1749"/>
        <v>0.21239898651285591</v>
      </c>
      <c r="AS970" s="93">
        <f t="shared" si="1750"/>
        <v>0.3075934031291454</v>
      </c>
      <c r="AT970" s="93">
        <f t="shared" si="1751"/>
        <v>0.48000761035799872</v>
      </c>
      <c r="AU970" s="93">
        <f t="shared" ca="1" si="1754"/>
        <v>-2.5350696052626315E-2</v>
      </c>
      <c r="AV970" s="132">
        <f t="shared" ca="1" si="1762"/>
        <v>117.88682597240198</v>
      </c>
      <c r="AW970" s="134">
        <f t="shared" ca="1" si="1763"/>
        <v>-2.5350696052626371E-2</v>
      </c>
      <c r="AX970" s="56">
        <f>+AJ970/$AL$20</f>
        <v>2.2526796484569234E-2</v>
      </c>
      <c r="AY970" s="135">
        <f t="shared" ca="1" si="1761"/>
        <v>-5.7106997071968693E-4</v>
      </c>
      <c r="AZ970" s="93"/>
      <c r="BA970" s="93"/>
      <c r="BB970" s="234">
        <f>IFERROR(INDEX('Total Customers'!$E$7:$AA$91,MATCH($C970,'Total Customers'!$C$7:$C$91,0),MATCH($G970,'Total Customers'!$E$5:$AA$5,0)),"NA")</f>
        <v>795013</v>
      </c>
      <c r="BC970" s="269">
        <f t="shared" si="1768"/>
        <v>1.7000012989377547E-2</v>
      </c>
      <c r="BD970" s="92"/>
      <c r="BE970" s="299" t="str">
        <f t="shared" si="1764"/>
        <v>PUGET SOUND ENERGY, INC.</v>
      </c>
      <c r="BF970" s="300">
        <f t="shared" si="1765"/>
        <v>4062485</v>
      </c>
      <c r="BG970" s="231" t="str">
        <f t="shared" si="1766"/>
        <v>WA</v>
      </c>
      <c r="BH970" s="231"/>
      <c r="BI970" s="231" t="str">
        <f t="shared" si="1767"/>
        <v>2015 Y</v>
      </c>
      <c r="BJ970" s="129"/>
      <c r="BK970" s="129"/>
      <c r="BL970" s="129">
        <f>INDEX('Dist. Plant Gas Additions'!$E$7:$AD$91,MATCH($C970,'Dist. Plant Gas Additions'!$C$7:$C$91,0),MATCH(Calculation!$G970,'Dist. Plant Gas Additions'!$E$5:$AD$5,0))</f>
        <v>150535</v>
      </c>
      <c r="BM970" s="129">
        <f>INDEX('Gen. Plant Additions'!$E$7:$AD$91,MATCH($C970,'Gen. Plant Additions'!$C$7:$C$91,0),MATCH(Calculation!$G970,'Gen. Plant Additions'!$E$5:$AD$5,0))</f>
        <v>515</v>
      </c>
      <c r="BN970" s="301">
        <f t="shared" si="1728"/>
        <v>0.98995524371054744</v>
      </c>
      <c r="BO970" s="231">
        <f t="shared" si="1722"/>
        <v>509.82695051093191</v>
      </c>
      <c r="BP970" s="231">
        <f t="shared" si="1723"/>
        <v>-5.1730494890680916</v>
      </c>
      <c r="BQ970" s="129">
        <f>INDEX('Dist Plant Depreciation'!$D$7:$AC$94,MATCH($C970,'Dist Plant Depreciation'!$C$7:$C$94,0),MATCH(Calculation!$G970,'Dist Plant Depreciation'!$D$5:$AC$5,0))</f>
        <v>1226432</v>
      </c>
      <c r="BR970" s="129">
        <f>INDEX('Gen. Plant Depreciation'!$D$7:$AC$94,MATCH($C970,'Gen. Plant Depreciation'!$C$7:$C$94,0),MATCH(Calculation!$G970,'Gen. Plant Depreciation'!$D$5:$AC$5,0))</f>
        <v>15623</v>
      </c>
      <c r="BS970" s="129"/>
      <c r="BT970" s="129"/>
      <c r="BU970" s="129"/>
      <c r="BV970" s="129"/>
      <c r="BW970" s="129"/>
      <c r="BX970" s="137"/>
      <c r="BY970" s="129">
        <f>INDEX('Gross Dx Plant'!$D$7:$AC$91,MATCH($C970,'Gross Dx Plant'!$C$7:$C$91,0),MATCH(Calculation!$G970,'Gross Dx Plant'!$D$5:$AC$5,0))</f>
        <v>3233768</v>
      </c>
      <c r="BZ970" s="129">
        <f>INDEX('Gross Gen Plant'!$D$7:$AC$91,MATCH($C970,'Gross Gen Plant'!$C$7:$C$91,0),MATCH(Calculation!$G970,'Gross Gen Plant'!$D$5:$AC$5,0))</f>
        <v>32812</v>
      </c>
      <c r="CA970" s="129">
        <f t="shared" si="1721"/>
        <v>2024525</v>
      </c>
      <c r="CB970" s="129"/>
      <c r="CC970" s="133">
        <v>2015</v>
      </c>
      <c r="CD970" s="129"/>
      <c r="CE970" s="129"/>
      <c r="CF970" s="129"/>
      <c r="CG970" s="137"/>
      <c r="CH970" s="129">
        <f t="shared" si="1729"/>
        <v>151050</v>
      </c>
      <c r="CI970" s="46">
        <f t="shared" si="1738"/>
        <v>151044.82695051093</v>
      </c>
      <c r="CJ970" s="231">
        <f t="shared" si="1730"/>
        <v>223.5665415659183</v>
      </c>
      <c r="CK970" s="443">
        <v>0.8</v>
      </c>
      <c r="CL970" s="231">
        <f>+CL953*CK970+CJ954*CK969+CJ955*CK968+CJ956*CK967+CJ957*CK966+CJ958*CK965+CJ959*CK964+CJ960*CK963+CJ961*CK962+CJ962*CK961+CJ963*CK960+CJ964*CK959+CJ965*CK958+CJ966*CK957+CJ967*CK956+CJ968*CK955+CJ969*CK954+CJ970</f>
        <v>7310.0102396201919</v>
      </c>
      <c r="CM970" s="134">
        <f t="shared" si="1731"/>
        <v>1.6232162383804784E-2</v>
      </c>
      <c r="CN970" s="135">
        <f t="shared" si="1732"/>
        <v>1.4719484959126032E-2</v>
      </c>
      <c r="CO970" s="135">
        <f t="shared" si="1741"/>
        <v>1.4346314729426888E-2</v>
      </c>
      <c r="CP970" s="134">
        <f>VLOOKUP($H970,RoR!$E:$F,2,FALSE)</f>
        <v>3.8866666666666674E-2</v>
      </c>
      <c r="CQ970" s="135">
        <v>9.5709475431029478E-3</v>
      </c>
      <c r="CR970" s="135">
        <f t="shared" si="1739"/>
        <v>2.9295719123563727E-2</v>
      </c>
      <c r="CS970" s="135">
        <f t="shared" si="1742"/>
        <v>1.6555626879106736E-2</v>
      </c>
      <c r="CT970" s="135">
        <f t="shared" si="1743"/>
        <v>3.5270373279175926E-3</v>
      </c>
      <c r="CU970" s="139">
        <f t="shared" si="1733"/>
        <v>0.87050000000000005</v>
      </c>
      <c r="CV970" s="335">
        <f t="shared" si="1734"/>
        <v>1.3194352816994324</v>
      </c>
      <c r="CW970" s="335">
        <f t="shared" si="1735"/>
        <v>0.33177530017152673</v>
      </c>
      <c r="CX970" s="335">
        <f t="shared" si="1736"/>
        <v>0.78242572977668579</v>
      </c>
      <c r="CY970" s="335">
        <f t="shared" si="1737"/>
        <v>0.34251158643433932</v>
      </c>
      <c r="CZ970" s="336">
        <f>INDEX('State Tax Lookup'!$D$7:$Z$91,MATCH(Calculation!$C970,'State Tax Lookup'!$B$7:$B$91,0),MATCH($H970,'State Tax Lookup'!$D$6:$Z$6,0))</f>
        <v>0.35</v>
      </c>
      <c r="DA970" s="302">
        <v>0.37</v>
      </c>
      <c r="DB970" s="57">
        <f t="shared" si="1740"/>
        <v>14.974872329253738</v>
      </c>
      <c r="DC970" s="56">
        <f t="shared" si="1744"/>
        <v>-3.1931859578635771E-2</v>
      </c>
      <c r="DD970" s="303">
        <f>VLOOKUP($H970,RoR!$E:$F,2,FALSE)</f>
        <v>3.8866666666666674E-2</v>
      </c>
      <c r="DE970" s="304">
        <f>HLOOKUP($H970,'GDP-PI'!$D$8:$CQ$11,3,FALSE)</f>
        <v>9.5709475431029478E-3</v>
      </c>
      <c r="DF970" s="303">
        <f>VLOOKUP(H970,'HW Dx Data'!$E:$F,2,FALSE)</f>
        <v>675.61463308665782</v>
      </c>
      <c r="DG970" s="364">
        <f ca="1">VLOOKUP(CC970,'ECI - Input Price'!M$13:N$33,2,FALSE)</f>
        <v>133.5</v>
      </c>
      <c r="DH970" s="364"/>
      <c r="DI970" s="364"/>
      <c r="DJ970" s="56">
        <f t="shared" ca="1" si="1752"/>
        <v>3.1193095773504077E-2</v>
      </c>
      <c r="DK970" s="53">
        <f>HLOOKUP(H970,'GDP-PI'!$8:$9,2,FALSE)</f>
        <v>104.639</v>
      </c>
      <c r="DL970" s="355">
        <f t="shared" si="1745"/>
        <v>9.5254361854427965E-3</v>
      </c>
      <c r="EC970"/>
    </row>
    <row r="971" spans="1:133" s="126" customFormat="1" ht="21" customHeight="1" x14ac:dyDescent="0.4">
      <c r="A971" s="233" t="s">
        <v>239</v>
      </c>
      <c r="B971" s="126" t="s">
        <v>239</v>
      </c>
      <c r="C971" s="126">
        <v>4062485</v>
      </c>
      <c r="D971" s="127" t="s">
        <v>180</v>
      </c>
      <c r="E971" s="127"/>
      <c r="F971" s="144"/>
      <c r="G971" s="126" t="s">
        <v>172</v>
      </c>
      <c r="H971" s="128">
        <v>2016</v>
      </c>
      <c r="I971" s="129"/>
      <c r="J971" s="125">
        <f>IFERROR(INDEX('Labor Expenditures'!$E$7:$W$91,MATCH($C971,'Labor Expenditures'!$C$7:$C$91,0),MATCH($G971,'Labor Expenditures'!$E$5:$W$5,0)),"NA")</f>
        <v>52118.769135927461</v>
      </c>
      <c r="K971" s="125">
        <f t="shared" ca="1" si="1746"/>
        <v>380.56786517654228</v>
      </c>
      <c r="L971" s="47"/>
      <c r="M971" s="131">
        <f t="shared" ca="1" si="1753"/>
        <v>6.3960028555014078E-2</v>
      </c>
      <c r="N971" s="131"/>
      <c r="O971" s="131"/>
      <c r="P971" s="59">
        <f t="shared" ca="1" si="1755"/>
        <v>1.4547517649497633E-3</v>
      </c>
      <c r="Q971" s="61"/>
      <c r="R971" s="387"/>
      <c r="S971" s="49">
        <f t="shared" ca="1" si="1760"/>
        <v>300.06529139441665</v>
      </c>
      <c r="T971" s="61">
        <f ca="1">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</f>
        <v>0.90706459447783216</v>
      </c>
      <c r="U971" s="61"/>
      <c r="V971" s="125">
        <f>IFERROR(INDEX('Non-Labor Expenditures'!$E$7:$AA$91,MATCH($C971,'Non-Labor Expenditures'!$C$7:$C$91,0),MATCH($G971,'Non-Labor Expenditures'!$E$5:$AA$5,0)),"NA")</f>
        <v>75477.712152133361</v>
      </c>
      <c r="W971" s="125">
        <f t="shared" si="1747"/>
        <v>713.8317332992865</v>
      </c>
      <c r="X971" s="131">
        <f t="shared" si="1756"/>
        <v>7.904535605659159E-2</v>
      </c>
      <c r="Y971" s="131">
        <f t="shared" si="1757"/>
        <v>1.7978630377799361E-3</v>
      </c>
      <c r="Z971" s="131"/>
      <c r="AA971" s="131"/>
      <c r="AB971" s="131"/>
      <c r="AC971" s="125">
        <f t="shared" si="1727"/>
        <v>106276.99794920246</v>
      </c>
      <c r="AD971" s="129"/>
      <c r="AE971" s="133">
        <v>8087.0091816551585</v>
      </c>
      <c r="AF971" s="134">
        <v>2.8802940941124282E-2</v>
      </c>
      <c r="AG971" s="59">
        <f t="shared" si="1748"/>
        <v>6.551142974209874E-4</v>
      </c>
      <c r="AH971" s="134"/>
      <c r="AI971" s="134"/>
      <c r="AJ971" s="129">
        <f t="shared" si="1680"/>
        <v>233873.47923726327</v>
      </c>
      <c r="AK971" s="134">
        <f t="shared" si="1758"/>
        <v>4.1440831301628539E-2</v>
      </c>
      <c r="AL971" s="129"/>
      <c r="AM971" s="129"/>
      <c r="AN971" s="129"/>
      <c r="AO971" s="129"/>
      <c r="AP971" s="133">
        <f t="shared" si="1759"/>
        <v>289.59575727818867</v>
      </c>
      <c r="AQ971" s="134">
        <f>+BB971/Outputs!$B$24</f>
        <v>2.1975503582727696E-2</v>
      </c>
      <c r="AR971" s="93">
        <f t="shared" si="1749"/>
        <v>0.22285027488325548</v>
      </c>
      <c r="AS971" s="93">
        <f t="shared" si="1750"/>
        <v>0.32272882072088932</v>
      </c>
      <c r="AT971" s="93">
        <f t="shared" si="1751"/>
        <v>0.45442090439585531</v>
      </c>
      <c r="AU971" s="93">
        <f t="shared" ca="1" si="1754"/>
        <v>5.2288444563105219E-2</v>
      </c>
      <c r="AV971" s="132">
        <f t="shared" ca="1" si="1762"/>
        <v>124.21494680042224</v>
      </c>
      <c r="AW971" s="134">
        <f t="shared" ca="1" si="1763"/>
        <v>5.2288444563105302E-2</v>
      </c>
      <c r="AX971" s="56">
        <f>+AJ971/$AL$21</f>
        <v>2.2744701617800005E-2</v>
      </c>
      <c r="AY971" s="135">
        <f t="shared" ca="1" si="1761"/>
        <v>1.189285069646707E-3</v>
      </c>
      <c r="AZ971" s="93"/>
      <c r="BA971" s="93"/>
      <c r="BB971" s="234">
        <f>IFERROR(INDEX('Total Customers'!$E$7:$AA$91,MATCH($C971,'Total Customers'!$C$7:$C$91,0),MATCH($G971,'Total Customers'!$E$5:$AA$5,0)),"NA")</f>
        <v>807586</v>
      </c>
      <c r="BC971" s="269">
        <f t="shared" si="1768"/>
        <v>1.5691084252017977E-2</v>
      </c>
      <c r="BD971" s="92"/>
      <c r="BE971" s="299" t="str">
        <f t="shared" si="1764"/>
        <v>PUGET SOUND ENERGY, INC.</v>
      </c>
      <c r="BF971" s="300">
        <f t="shared" si="1765"/>
        <v>4062485</v>
      </c>
      <c r="BG971" s="231" t="str">
        <f t="shared" si="1766"/>
        <v>WA</v>
      </c>
      <c r="BH971" s="231"/>
      <c r="BI971" s="231" t="str">
        <f t="shared" si="1767"/>
        <v>2016 Y</v>
      </c>
      <c r="BJ971" s="129"/>
      <c r="BK971" s="129"/>
      <c r="BL971" s="129">
        <f>INDEX('Dist. Plant Gas Additions'!$E$7:$AD$91,MATCH($C971,'Dist. Plant Gas Additions'!$C$7:$C$91,0),MATCH(Calculation!$G971,'Dist. Plant Gas Additions'!$E$5:$AD$5,0))</f>
        <v>196495</v>
      </c>
      <c r="BM971" s="129">
        <f>INDEX('Gen. Plant Additions'!$E$7:$AD$91,MATCH($C971,'Gen. Plant Additions'!$C$7:$C$91,0),MATCH(Calculation!$G971,'Gen. Plant Additions'!$E$5:$AD$5,0))</f>
        <v>1481</v>
      </c>
      <c r="BN971" s="301">
        <f t="shared" si="1728"/>
        <v>0.99002428888945537</v>
      </c>
      <c r="BO971" s="231">
        <f t="shared" si="1722"/>
        <v>1466.2259718452833</v>
      </c>
      <c r="BP971" s="231">
        <f t="shared" si="1723"/>
        <v>-14.774028154716689</v>
      </c>
      <c r="BQ971" s="129">
        <f>INDEX('Dist Plant Depreciation'!$D$7:$AC$94,MATCH($C971,'Dist Plant Depreciation'!$C$7:$C$94,0),MATCH(Calculation!$G971,'Dist Plant Depreciation'!$D$5:$AC$5,0))</f>
        <v>1311631</v>
      </c>
      <c r="BR971" s="129">
        <f>INDEX('Gen. Plant Depreciation'!$D$7:$AC$94,MATCH($C971,'Gen. Plant Depreciation'!$C$7:$C$94,0),MATCH(Calculation!$G971,'Gen. Plant Depreciation'!$D$5:$AC$5,0))</f>
        <v>17253</v>
      </c>
      <c r="BS971" s="129"/>
      <c r="BT971" s="129"/>
      <c r="BU971" s="129"/>
      <c r="BV971" s="129"/>
      <c r="BW971" s="129"/>
      <c r="BX971" s="137"/>
      <c r="BY971" s="129">
        <f>INDEX('Gross Dx Plant'!$D$7:$AC$91,MATCH($C971,'Gross Dx Plant'!$C$7:$C$91,0),MATCH(Calculation!$G971,'Gross Dx Plant'!$D$5:$AC$5,0))</f>
        <v>3417350</v>
      </c>
      <c r="BZ971" s="129">
        <f>INDEX('Gross Gen Plant'!$D$7:$AC$91,MATCH($C971,'Gross Gen Plant'!$C$7:$C$91,0),MATCH(Calculation!$G971,'Gross Gen Plant'!$D$5:$AC$5,0))</f>
        <v>34434</v>
      </c>
      <c r="CA971" s="129">
        <f t="shared" si="1721"/>
        <v>2122900</v>
      </c>
      <c r="CB971" s="129"/>
      <c r="CC971" s="133">
        <v>2016</v>
      </c>
      <c r="CD971" s="129"/>
      <c r="CE971" s="129"/>
      <c r="CF971" s="129"/>
      <c r="CG971" s="137"/>
      <c r="CH971" s="129">
        <f t="shared" si="1729"/>
        <v>197976</v>
      </c>
      <c r="CI971" s="46">
        <f t="shared" si="1738"/>
        <v>197961.22597184527</v>
      </c>
      <c r="CJ971" s="231">
        <f t="shared" si="1730"/>
        <v>294.82365166546532</v>
      </c>
      <c r="CK971" s="443">
        <v>0.7857142857142857</v>
      </c>
      <c r="CL971" s="231">
        <f>+CL953*CK971+CJ954*CK970+CJ955*CK969+CJ956*CK968+CJ957*CK967+CJ958*CK966+CJ959*CK965+CJ960*CK964+CJ961*CK963+CJ962*CK962+CJ963*CK961+CJ964*CK960+CJ965*CK959+CJ966*CK958+CJ967*CK957+CJ968*CK956+CJ969*CK955+CJ970*CK954+CJ971</f>
        <v>7494.3334048270381</v>
      </c>
      <c r="CM971" s="134">
        <f t="shared" si="1731"/>
        <v>2.4902514420915144E-2</v>
      </c>
      <c r="CN971" s="135">
        <f t="shared" si="1732"/>
        <v>1.5116324442297971E-2</v>
      </c>
      <c r="CO971" s="135">
        <f t="shared" si="1741"/>
        <v>1.4727842349135762E-2</v>
      </c>
      <c r="CP971" s="134">
        <f>VLOOKUP($H971,RoR!$E:$F,2,FALSE)</f>
        <v>3.6658333333333334E-2</v>
      </c>
      <c r="CQ971" s="135">
        <v>1.0483662879041455E-2</v>
      </c>
      <c r="CR971" s="135">
        <f t="shared" si="1739"/>
        <v>2.6174670454291879E-2</v>
      </c>
      <c r="CS971" s="135">
        <f t="shared" si="1742"/>
        <v>1.6174099259397862E-2</v>
      </c>
      <c r="CT971" s="135">
        <f t="shared" si="1743"/>
        <v>4.301363574220729E-3</v>
      </c>
      <c r="CU971" s="139">
        <f t="shared" si="1733"/>
        <v>0.87050000000000005</v>
      </c>
      <c r="CV971" s="335">
        <f t="shared" si="1734"/>
        <v>1.3989193348138562</v>
      </c>
      <c r="CW971" s="335">
        <f t="shared" si="1735"/>
        <v>0.29302682427824522</v>
      </c>
      <c r="CX971" s="335">
        <f t="shared" si="1736"/>
        <v>0.76309497491941802</v>
      </c>
      <c r="CY971" s="335">
        <f t="shared" si="1737"/>
        <v>0.31280857135128509</v>
      </c>
      <c r="CZ971" s="336">
        <f>INDEX('State Tax Lookup'!$D$7:$Z$91,MATCH(Calculation!$C971,'State Tax Lookup'!$B$7:$B$91,0),MATCH($H971,'State Tax Lookup'!$D$6:$Z$6,0))</f>
        <v>0.35</v>
      </c>
      <c r="DA971" s="302">
        <v>0.37</v>
      </c>
      <c r="DB971" s="57">
        <f t="shared" si="1740"/>
        <v>14.538556645677739</v>
      </c>
      <c r="DC971" s="56">
        <f t="shared" si="1744"/>
        <v>-2.9569419029863153E-2</v>
      </c>
      <c r="DD971" s="303">
        <f>VLOOKUP($H971,RoR!$E:$F,2,FALSE)</f>
        <v>3.6658333333333334E-2</v>
      </c>
      <c r="DE971" s="304">
        <f>HLOOKUP($H971,'GDP-PI'!$D$8:$CQ$11,3,FALSE)</f>
        <v>1.0483662879041455E-2</v>
      </c>
      <c r="DF971" s="303">
        <f>VLOOKUP(H971,'HW Dx Data'!$E:$F,2,FALSE)</f>
        <v>671.45639385971219</v>
      </c>
      <c r="DG971" s="364">
        <f ca="1">VLOOKUP(CC971,'ECI - Input Price'!M$13:N$33,2,FALSE)</f>
        <v>136.94999999999999</v>
      </c>
      <c r="DH971" s="364"/>
      <c r="DI971" s="364"/>
      <c r="DJ971" s="56">
        <f t="shared" ca="1" si="1752"/>
        <v>2.5514417868782811E-2</v>
      </c>
      <c r="DK971" s="53">
        <f>HLOOKUP(H971,'GDP-PI'!$8:$9,2,FALSE)</f>
        <v>105.736</v>
      </c>
      <c r="DL971" s="355">
        <f t="shared" si="1745"/>
        <v>1.0429090367205095E-2</v>
      </c>
      <c r="EC971"/>
    </row>
    <row r="972" spans="1:133" s="126" customFormat="1" ht="21" customHeight="1" x14ac:dyDescent="0.4">
      <c r="A972" s="233" t="s">
        <v>239</v>
      </c>
      <c r="B972" s="126" t="s">
        <v>239</v>
      </c>
      <c r="C972" s="126">
        <v>4062485</v>
      </c>
      <c r="D972" s="127" t="s">
        <v>180</v>
      </c>
      <c r="E972" s="127"/>
      <c r="F972" s="144"/>
      <c r="G972" s="126" t="s">
        <v>173</v>
      </c>
      <c r="H972" s="128">
        <v>2017</v>
      </c>
      <c r="I972" s="129"/>
      <c r="J972" s="125">
        <f>IFERROR(INDEX('Labor Expenditures'!$E$7:$W$91,MATCH($C972,'Labor Expenditures'!$C$7:$C$91,0),MATCH($G972,'Labor Expenditures'!$E$5:$W$5,0)),"NA")</f>
        <v>57034.913531540733</v>
      </c>
      <c r="K972" s="125">
        <f t="shared" ca="1" si="1746"/>
        <v>406.08695999673006</v>
      </c>
      <c r="L972" s="47"/>
      <c r="M972" s="131">
        <f t="shared" ca="1" si="1753"/>
        <v>6.4902804564717323E-2</v>
      </c>
      <c r="N972" s="131"/>
      <c r="O972" s="131"/>
      <c r="P972" s="59">
        <f t="shared" ca="1" si="1755"/>
        <v>1.5026646462996832E-3</v>
      </c>
      <c r="Q972" s="61"/>
      <c r="R972" s="387"/>
      <c r="S972" s="49">
        <f t="shared" ca="1" si="1760"/>
        <v>169.14741643595192</v>
      </c>
      <c r="T972" s="61">
        <f ca="1">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</f>
        <v>-0.57322946765240812</v>
      </c>
      <c r="U972" s="61"/>
      <c r="V972" s="125">
        <f>IFERROR(INDEX('Non-Labor Expenditures'!$E$7:$AA$91,MATCH($C972,'Non-Labor Expenditures'!$C$7:$C$91,0),MATCH($G972,'Non-Labor Expenditures'!$E$5:$AA$5,0)),"NA")</f>
        <v>82597.207446097178</v>
      </c>
      <c r="W972" s="125">
        <f t="shared" si="1747"/>
        <v>766.55629596103211</v>
      </c>
      <c r="X972" s="131">
        <f t="shared" si="1756"/>
        <v>7.1260874178137812E-2</v>
      </c>
      <c r="Y972" s="131">
        <f t="shared" si="1757"/>
        <v>1.6498700943673784E-3</v>
      </c>
      <c r="Z972" s="131"/>
      <c r="AA972" s="131"/>
      <c r="AB972" s="131"/>
      <c r="AC972" s="125">
        <f t="shared" si="1727"/>
        <v>98355.762635744613</v>
      </c>
      <c r="AD972" s="129"/>
      <c r="AE972" s="133">
        <v>8356.2371085907143</v>
      </c>
      <c r="AF972" s="134">
        <v>3.2749249667413237E-2</v>
      </c>
      <c r="AG972" s="59">
        <f t="shared" si="1748"/>
        <v>7.5822824603816663E-4</v>
      </c>
      <c r="AH972" s="134"/>
      <c r="AI972" s="134"/>
      <c r="AJ972" s="129">
        <f t="shared" si="1680"/>
        <v>237987.88361338252</v>
      </c>
      <c r="AK972" s="134">
        <f t="shared" si="1758"/>
        <v>1.7439481074567491E-2</v>
      </c>
      <c r="AL972" s="129"/>
      <c r="AM972" s="129"/>
      <c r="AN972" s="129"/>
      <c r="AO972" s="129"/>
      <c r="AP972" s="133">
        <f t="shared" si="1759"/>
        <v>290.46433162143796</v>
      </c>
      <c r="AQ972" s="134">
        <f>+BB972/Outputs!$B$25</f>
        <v>2.2127729263774494E-2</v>
      </c>
      <c r="AR972" s="93">
        <f t="shared" si="1749"/>
        <v>0.23965469445577081</v>
      </c>
      <c r="AS972" s="93">
        <f t="shared" si="1750"/>
        <v>0.34706475889452626</v>
      </c>
      <c r="AT972" s="93">
        <f t="shared" si="1751"/>
        <v>0.41328054664970293</v>
      </c>
      <c r="AU972" s="93">
        <f t="shared" ca="1" si="1754"/>
        <v>5.3082258547293898E-2</v>
      </c>
      <c r="AV972" s="132">
        <f t="shared" ca="1" si="1762"/>
        <v>130.98669660551997</v>
      </c>
      <c r="AW972" s="134">
        <f t="shared" ca="1" si="1763"/>
        <v>5.3082258547293981E-2</v>
      </c>
      <c r="AX972" s="56">
        <f>+AJ972/$AL$22</f>
        <v>2.3152537958530173E-2</v>
      </c>
      <c r="AY972" s="135">
        <f t="shared" ca="1" si="1761"/>
        <v>1.2289890059407366E-3</v>
      </c>
      <c r="AZ972" s="93"/>
      <c r="BA972" s="93"/>
      <c r="BB972" s="234">
        <f>IFERROR(INDEX('Total Customers'!$E$7:$AA$91,MATCH($C972,'Total Customers'!$C$7:$C$91,0),MATCH($G972,'Total Customers'!$E$5:$AA$5,0)),"NA")</f>
        <v>819336</v>
      </c>
      <c r="BC972" s="269">
        <f t="shared" si="1768"/>
        <v>1.4444705157262509E-2</v>
      </c>
      <c r="BD972" s="92"/>
      <c r="BE972" s="299" t="str">
        <f t="shared" si="1764"/>
        <v>PUGET SOUND ENERGY, INC.</v>
      </c>
      <c r="BF972" s="300">
        <f t="shared" si="1765"/>
        <v>4062485</v>
      </c>
      <c r="BG972" s="231" t="str">
        <f t="shared" si="1766"/>
        <v>WA</v>
      </c>
      <c r="BH972" s="231"/>
      <c r="BI972" s="231" t="str">
        <f t="shared" si="1767"/>
        <v>2017 Y</v>
      </c>
      <c r="BJ972" s="129"/>
      <c r="BK972" s="129"/>
      <c r="BL972" s="129">
        <f>INDEX('Dist. Plant Gas Additions'!$E$7:$AD$91,MATCH($C972,'Dist. Plant Gas Additions'!$C$7:$C$91,0),MATCH(Calculation!$G972,'Dist. Plant Gas Additions'!$E$5:$AD$5,0))</f>
        <v>239404</v>
      </c>
      <c r="BM972" s="129">
        <f>INDEX('Gen. Plant Additions'!$E$7:$AD$91,MATCH($C972,'Gen. Plant Additions'!$C$7:$C$91,0),MATCH(Calculation!$G972,'Gen. Plant Additions'!$E$5:$AD$5,0))</f>
        <v>1704</v>
      </c>
      <c r="BN972" s="301">
        <f t="shared" si="1728"/>
        <v>0.99346074885291458</v>
      </c>
      <c r="BO972" s="231">
        <f t="shared" si="1722"/>
        <v>1692.8571160453664</v>
      </c>
      <c r="BP972" s="231">
        <f t="shared" si="1723"/>
        <v>-11.142883954633589</v>
      </c>
      <c r="BQ972" s="129">
        <f>INDEX('Dist Plant Depreciation'!$D$7:$AC$94,MATCH($C972,'Dist Plant Depreciation'!$C$7:$C$94,0),MATCH(Calculation!$G972,'Dist Plant Depreciation'!$D$5:$AC$5,0))</f>
        <v>1393434</v>
      </c>
      <c r="BR972" s="129">
        <f>INDEX('Gen. Plant Depreciation'!$D$7:$AC$94,MATCH($C972,'Gen. Plant Depreciation'!$C$7:$C$94,0),MATCH(Calculation!$G972,'Gen. Plant Depreciation'!$D$5:$AC$5,0))</f>
        <v>6937</v>
      </c>
      <c r="BS972" s="129"/>
      <c r="BT972" s="129"/>
      <c r="BU972" s="129"/>
      <c r="BV972" s="129"/>
      <c r="BW972" s="129"/>
      <c r="BX972" s="137"/>
      <c r="BY972" s="129">
        <f>INDEX('Gross Dx Plant'!$D$7:$AC$91,MATCH($C972,'Gross Dx Plant'!$C$7:$C$91,0),MATCH(Calculation!$G972,'Gross Dx Plant'!$D$5:$AC$5,0))</f>
        <v>3620622</v>
      </c>
      <c r="BZ972" s="129">
        <f>INDEX('Gross Gen Plant'!$D$7:$AC$91,MATCH($C972,'Gross Gen Plant'!$C$7:$C$91,0),MATCH(Calculation!$G972,'Gross Gen Plant'!$D$5:$AC$5,0))</f>
        <v>23832</v>
      </c>
      <c r="CA972" s="129">
        <f t="shared" si="1721"/>
        <v>2244083</v>
      </c>
      <c r="CB972" s="129"/>
      <c r="CC972" s="133">
        <v>2017</v>
      </c>
      <c r="CD972" s="129"/>
      <c r="CE972" s="129"/>
      <c r="CF972" s="129"/>
      <c r="CG972" s="137"/>
      <c r="CH972" s="129">
        <f t="shared" si="1729"/>
        <v>241108</v>
      </c>
      <c r="CI972" s="46">
        <f t="shared" si="1738"/>
        <v>241096.85711604537</v>
      </c>
      <c r="CJ972" s="231">
        <f t="shared" si="1730"/>
        <v>338.41547438078732</v>
      </c>
      <c r="CK972" s="443">
        <v>0.77108433734939763</v>
      </c>
      <c r="CL972" s="231">
        <f>+CL953*CK972+CJ954*CK971+CJ955*CK970+CJ956*CK969+CJ957*CK968+CJ958*CK967+CJ959*CK966+CJ960*CK965+CJ961*CK964+CJ962*CK963+CJ963*CK962+CJ964*CK961+CJ965*CK960+CJ966*CK959+CJ967*CK958+CJ968*CK957+CJ969*CK956+CJ970*CK955+CJ971*CK954+CJ972</f>
        <v>7716.7810610835559</v>
      </c>
      <c r="CM972" s="134">
        <f t="shared" si="1731"/>
        <v>2.9250127134279161E-2</v>
      </c>
      <c r="CN972" s="135">
        <f t="shared" si="1732"/>
        <v>1.5474067119775536E-2</v>
      </c>
      <c r="CO972" s="135">
        <f t="shared" si="1741"/>
        <v>1.510329217373318E-2</v>
      </c>
      <c r="CP972" s="134">
        <f>VLOOKUP($H972,RoR!$E:$F,2,FALSE)</f>
        <v>3.7433333333333339E-2</v>
      </c>
      <c r="CQ972" s="135">
        <v>1.9056896421275615E-2</v>
      </c>
      <c r="CR972" s="135">
        <f t="shared" si="1739"/>
        <v>1.8376436912057724E-2</v>
      </c>
      <c r="CS972" s="135">
        <f t="shared" si="1742"/>
        <v>1.5798649434800444E-2</v>
      </c>
      <c r="CT972" s="135">
        <f t="shared" si="1743"/>
        <v>1.3976271617800498E-2</v>
      </c>
      <c r="CU972" s="139">
        <f t="shared" si="1733"/>
        <v>0.92230000000000001</v>
      </c>
      <c r="CV972" s="335">
        <f t="shared" si="1734"/>
        <v>1.3699568463593395</v>
      </c>
      <c r="CW972" s="335">
        <f t="shared" si="1735"/>
        <v>0.30714603739982199</v>
      </c>
      <c r="CX972" s="335">
        <f t="shared" si="1736"/>
        <v>0.77007188472689425</v>
      </c>
      <c r="CY972" s="335">
        <f t="shared" si="1737"/>
        <v>0.32402839633793828</v>
      </c>
      <c r="CZ972" s="336">
        <f>INDEX('State Tax Lookup'!$D$7:$Z$91,MATCH(Calculation!$C972,'State Tax Lookup'!$B$7:$B$91,0),MATCH($H972,'State Tax Lookup'!$D$6:$Z$6,0))</f>
        <v>0.20999999999999996</v>
      </c>
      <c r="DA972" s="302">
        <v>0.37</v>
      </c>
      <c r="DB972" s="57">
        <f t="shared" si="1740"/>
        <v>13.124017483982563</v>
      </c>
      <c r="DC972" s="56">
        <f t="shared" si="1744"/>
        <v>-0.102360252030475</v>
      </c>
      <c r="DD972" s="303">
        <f>VLOOKUP($H972,RoR!$E:$F,2,FALSE)</f>
        <v>3.7433333333333339E-2</v>
      </c>
      <c r="DE972" s="304">
        <f>HLOOKUP($H972,'GDP-PI'!$D$8:$CQ$11,3,FALSE)</f>
        <v>1.9056896421275615E-2</v>
      </c>
      <c r="DF972" s="303">
        <f>VLOOKUP(H972,'HW Dx Data'!$E:$F,2,FALSE)</f>
        <v>712.42858370229726</v>
      </c>
      <c r="DG972" s="364">
        <f ca="1">VLOOKUP(CC972,'ECI - Input Price'!M$13:N$33,2,FALSE)</f>
        <v>140.44999999999999</v>
      </c>
      <c r="DH972" s="364"/>
      <c r="DI972" s="364"/>
      <c r="DJ972" s="56">
        <f t="shared" ca="1" si="1752"/>
        <v>2.5235657841165486E-2</v>
      </c>
      <c r="DK972" s="53">
        <f>HLOOKUP(H972,'GDP-PI'!$8:$9,2,FALSE)</f>
        <v>107.751</v>
      </c>
      <c r="DL972" s="355">
        <f t="shared" si="1745"/>
        <v>1.8877588227745139E-2</v>
      </c>
      <c r="EC972"/>
    </row>
    <row r="973" spans="1:133" s="126" customFormat="1" ht="21" customHeight="1" x14ac:dyDescent="0.4">
      <c r="A973" s="233" t="s">
        <v>239</v>
      </c>
      <c r="B973" s="126" t="s">
        <v>239</v>
      </c>
      <c r="C973" s="126">
        <v>4062485</v>
      </c>
      <c r="D973" s="127" t="s">
        <v>180</v>
      </c>
      <c r="E973" s="127"/>
      <c r="F973" s="144"/>
      <c r="G973" s="126" t="s">
        <v>174</v>
      </c>
      <c r="H973" s="128">
        <v>2018</v>
      </c>
      <c r="I973" s="129"/>
      <c r="J973" s="125">
        <f>IFERROR(INDEX('Labor Expenditures'!$E$7:$W$91,MATCH($C973,'Labor Expenditures'!$C$7:$C$91,0),MATCH($G973,'Labor Expenditures'!$E$5:$W$5,0)),"NA")</f>
        <v>56161.598646500046</v>
      </c>
      <c r="K973" s="125">
        <f t="shared" ca="1" si="1746"/>
        <v>388.79611385600589</v>
      </c>
      <c r="L973" s="47"/>
      <c r="M973" s="131">
        <f t="shared" ca="1" si="1753"/>
        <v>-4.351224654098762E-2</v>
      </c>
      <c r="N973" s="131"/>
      <c r="O973" s="131"/>
      <c r="P973" s="59">
        <f t="shared" ca="1" si="1755"/>
        <v>-9.4685927856881535E-4</v>
      </c>
      <c r="Q973" s="61"/>
      <c r="R973" s="387"/>
      <c r="S973" s="49">
        <f t="shared" ca="1" si="1760"/>
        <v>116.31368737155701</v>
      </c>
      <c r="T973" s="61">
        <f ca="1">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</f>
        <v>-0.37447987849465036</v>
      </c>
      <c r="U973" s="61"/>
      <c r="V973" s="125">
        <f>IFERROR(INDEX('Non-Labor Expenditures'!$E$7:$AA$91,MATCH($C973,'Non-Labor Expenditures'!$C$7:$C$91,0),MATCH($G973,'Non-Labor Expenditures'!$E$5:$AA$5,0)),"NA")</f>
        <v>81332.48437983742</v>
      </c>
      <c r="W973" s="125">
        <f t="shared" si="1747"/>
        <v>737.22815376658707</v>
      </c>
      <c r="X973" s="131">
        <f t="shared" si="1756"/>
        <v>-3.9010725895504653E-2</v>
      </c>
      <c r="Y973" s="131">
        <f t="shared" si="1757"/>
        <v>-8.4890279666596476E-4</v>
      </c>
      <c r="Z973" s="131"/>
      <c r="AA973" s="131"/>
      <c r="AB973" s="131"/>
      <c r="AC973" s="125">
        <f t="shared" si="1727"/>
        <v>104658.43900708373</v>
      </c>
      <c r="AD973" s="129"/>
      <c r="AE973" s="133">
        <v>8604.3665969508056</v>
      </c>
      <c r="AF973" s="134">
        <v>2.9261599092357756E-2</v>
      </c>
      <c r="AG973" s="59">
        <f t="shared" si="1748"/>
        <v>6.3675444981358797E-4</v>
      </c>
      <c r="AH973" s="134"/>
      <c r="AI973" s="134"/>
      <c r="AJ973" s="129">
        <f t="shared" si="1680"/>
        <v>242152.52203342121</v>
      </c>
      <c r="AK973" s="134">
        <f t="shared" si="1758"/>
        <v>1.7348020776934626E-2</v>
      </c>
      <c r="AL973" s="129"/>
      <c r="AM973" s="129"/>
      <c r="AN973" s="129"/>
      <c r="AO973" s="129"/>
      <c r="AP973" s="133">
        <f t="shared" si="1759"/>
        <v>291.47575839291125</v>
      </c>
      <c r="AQ973" s="134">
        <f>+BB973/Outputs!$B$26</f>
        <v>2.2240324354226116E-2</v>
      </c>
      <c r="AR973" s="93">
        <f t="shared" si="1749"/>
        <v>0.23192654850296698</v>
      </c>
      <c r="AS973" s="93">
        <f t="shared" si="1750"/>
        <v>0.33587296013630674</v>
      </c>
      <c r="AT973" s="93">
        <f t="shared" si="1751"/>
        <v>0.43220049136072619</v>
      </c>
      <c r="AU973" s="93">
        <f t="shared" ca="1" si="1754"/>
        <v>-1.1210664147043654E-2</v>
      </c>
      <c r="AV973" s="132">
        <f t="shared" ca="1" si="1762"/>
        <v>129.5264492072246</v>
      </c>
      <c r="AW973" s="134">
        <f t="shared" ca="1" si="1763"/>
        <v>-1.121066414704368E-2</v>
      </c>
      <c r="AX973" s="56">
        <f>+AJ973/$AL$23</f>
        <v>2.1760753669128389E-2</v>
      </c>
      <c r="AY973" s="135">
        <f t="shared" ca="1" si="1761"/>
        <v>-2.4395250097114683E-4</v>
      </c>
      <c r="AZ973" s="93"/>
      <c r="BA973" s="93"/>
      <c r="BB973" s="234">
        <f>IFERROR(INDEX('Total Customers'!$E$7:$AA$91,MATCH($C973,'Total Customers'!$C$7:$C$91,0),MATCH($G973,'Total Customers'!$E$5:$AA$5,0)),"NA")</f>
        <v>830781</v>
      </c>
      <c r="BC973" s="269">
        <f t="shared" si="1768"/>
        <v>1.3871966085920237E-2</v>
      </c>
      <c r="BD973" s="92"/>
      <c r="BE973" s="299" t="str">
        <f t="shared" si="1764"/>
        <v>PUGET SOUND ENERGY, INC.</v>
      </c>
      <c r="BF973" s="300">
        <f t="shared" si="1765"/>
        <v>4062485</v>
      </c>
      <c r="BG973" s="231" t="str">
        <f t="shared" si="1766"/>
        <v>WA</v>
      </c>
      <c r="BH973" s="231"/>
      <c r="BI973" s="231" t="str">
        <f t="shared" si="1767"/>
        <v>2018 Y</v>
      </c>
      <c r="BJ973" s="129"/>
      <c r="BK973" s="129"/>
      <c r="BL973" s="129">
        <f>INDEX('Dist. Plant Gas Additions'!$E$7:$AD$91,MATCH($C973,'Dist. Plant Gas Additions'!$C$7:$C$91,0),MATCH(Calculation!$G973,'Dist. Plant Gas Additions'!$E$5:$AD$5,0))</f>
        <v>242041</v>
      </c>
      <c r="BM973" s="129">
        <f>INDEX('Gen. Plant Additions'!$E$7:$AD$91,MATCH($C973,'Gen. Plant Additions'!$C$7:$C$91,0),MATCH(Calculation!$G973,'Gen. Plant Additions'!$E$5:$AD$5,0))</f>
        <v>891</v>
      </c>
      <c r="BN973" s="301">
        <f t="shared" si="1728"/>
        <v>0.99336946844034679</v>
      </c>
      <c r="BO973" s="231">
        <f t="shared" si="1722"/>
        <v>885.09219638034904</v>
      </c>
      <c r="BP973" s="231">
        <f t="shared" si="1723"/>
        <v>-5.9078036196509629</v>
      </c>
      <c r="BQ973" s="129">
        <f>INDEX('Dist Plant Depreciation'!$D$7:$AC$94,MATCH($C973,'Dist Plant Depreciation'!$C$7:$C$94,0),MATCH(Calculation!$G973,'Dist Plant Depreciation'!$D$5:$AC$5,0))</f>
        <v>1473933</v>
      </c>
      <c r="BR973" s="129">
        <f>INDEX('Gen. Plant Depreciation'!$D$7:$AC$94,MATCH($C973,'Gen. Plant Depreciation'!$C$7:$C$94,0),MATCH(Calculation!$G973,'Gen. Plant Depreciation'!$D$5:$AC$5,0))</f>
        <v>8385</v>
      </c>
      <c r="BS973" s="129"/>
      <c r="BT973" s="129"/>
      <c r="BU973" s="129"/>
      <c r="BV973" s="129"/>
      <c r="BW973" s="129"/>
      <c r="BX973" s="137"/>
      <c r="BY973" s="129">
        <f>INDEX('Gross Dx Plant'!$D$7:$AC$91,MATCH($C973,'Gross Dx Plant'!$C$7:$C$91,0),MATCH(Calculation!$G973,'Gross Dx Plant'!$D$5:$AC$5,0))</f>
        <v>3850309</v>
      </c>
      <c r="BZ973" s="129">
        <f>INDEX('Gross Gen Plant'!$D$7:$AC$91,MATCH($C973,'Gross Gen Plant'!$C$7:$C$91,0),MATCH(Calculation!$G973,'Gross Gen Plant'!$D$5:$AC$5,0))</f>
        <v>25700</v>
      </c>
      <c r="CA973" s="129">
        <f t="shared" si="1721"/>
        <v>2393691</v>
      </c>
      <c r="CB973" s="129"/>
      <c r="CC973" s="133">
        <v>2018</v>
      </c>
      <c r="CD973" s="129"/>
      <c r="CE973" s="129"/>
      <c r="CF973" s="129"/>
      <c r="CG973" s="137"/>
      <c r="CH973" s="129">
        <f t="shared" si="1729"/>
        <v>242932</v>
      </c>
      <c r="CI973" s="46">
        <f t="shared" si="1738"/>
        <v>242926.09219638034</v>
      </c>
      <c r="CJ973" s="231">
        <f t="shared" si="1730"/>
        <v>321.69816085308298</v>
      </c>
      <c r="CK973" s="443">
        <v>0.75609756097560976</v>
      </c>
      <c r="CL973" s="231">
        <f>+CL953*CK973++CJ954*CK972+CJ955*CK971+CJ956*CK970+CJ957*CK969+CJ958*CK968+CJ959*CK967+CJ960*CK966+CJ961*CK965+CJ962*CK964+CJ963*CK963+CJ964*CK962+CJ965*CK961+CJ966*CK960+CJ967*CK959+CJ968*CK958+CJ969*CK957+CJ970*CK956+CJ971*CK955+CJ972*CK954+CJ973</f>
        <v>7916.464617685353</v>
      </c>
      <c r="CM973" s="134">
        <f t="shared" si="1731"/>
        <v>2.554740342552593E-2</v>
      </c>
      <c r="CN973" s="135">
        <f t="shared" si="1732"/>
        <v>1.5811593368459918E-2</v>
      </c>
      <c r="CO973" s="135">
        <f t="shared" si="1741"/>
        <v>1.5467328310177808E-2</v>
      </c>
      <c r="CP973" s="134">
        <f>VLOOKUP($H973,RoR!$E:$F,2,FALSE)</f>
        <v>3.9299999999999995E-2</v>
      </c>
      <c r="CQ973" s="135">
        <v>2.386056741932796E-2</v>
      </c>
      <c r="CR973" s="135">
        <f t="shared" si="1739"/>
        <v>1.5439432580672034E-2</v>
      </c>
      <c r="CS973" s="135">
        <f t="shared" si="1742"/>
        <v>1.5434613298355817E-2</v>
      </c>
      <c r="CT973" s="135">
        <f t="shared" si="1743"/>
        <v>3.8270792163076606E-2</v>
      </c>
      <c r="CU973" s="139">
        <f t="shared" si="1733"/>
        <v>0.92230000000000001</v>
      </c>
      <c r="CV973" s="335">
        <f t="shared" si="1734"/>
        <v>1.3048868010700074</v>
      </c>
      <c r="CW973" s="335">
        <f t="shared" si="1735"/>
        <v>0.33886768447837151</v>
      </c>
      <c r="CX973" s="335">
        <f t="shared" si="1736"/>
        <v>0.78602506232557801</v>
      </c>
      <c r="CY973" s="335">
        <f t="shared" si="1737"/>
        <v>0.34756768162358759</v>
      </c>
      <c r="CZ973" s="336">
        <f>INDEX('State Tax Lookup'!$D$7:$Z$91,MATCH(Calculation!$C973,'State Tax Lookup'!$B$7:$B$91,0),MATCH($H973,'State Tax Lookup'!$D$6:$Z$6,0))</f>
        <v>0.20999999999999996</v>
      </c>
      <c r="DA973" s="302">
        <v>0.37</v>
      </c>
      <c r="DB973" s="57">
        <f t="shared" si="1740"/>
        <v>13.562447629217571</v>
      </c>
      <c r="DC973" s="56">
        <f t="shared" si="1744"/>
        <v>3.2860822540616848E-2</v>
      </c>
      <c r="DD973" s="303">
        <f>VLOOKUP($H973,RoR!$E:$F,2,FALSE)</f>
        <v>3.9299999999999995E-2</v>
      </c>
      <c r="DE973" s="304">
        <f>HLOOKUP($H973,'GDP-PI'!$D$8:$CQ$11,3,FALSE)</f>
        <v>2.386056741932796E-2</v>
      </c>
      <c r="DF973" s="303">
        <f>VLOOKUP(H973,'HW Dx Data'!$E:$F,2,FALSE)</f>
        <v>755.13671434174842</v>
      </c>
      <c r="DG973" s="364">
        <f ca="1">VLOOKUP(CC973,'ECI - Input Price'!M$13:N$33,2,FALSE)</f>
        <v>144.44999999999999</v>
      </c>
      <c r="DH973" s="364"/>
      <c r="DI973" s="364"/>
      <c r="DJ973" s="56">
        <f t="shared" ca="1" si="1752"/>
        <v>2.80818733619915E-2</v>
      </c>
      <c r="DK973" s="53">
        <f>HLOOKUP(H973,'GDP-PI'!$8:$9,2,FALSE)</f>
        <v>110.322</v>
      </c>
      <c r="DL973" s="355">
        <f t="shared" si="1745"/>
        <v>2.3580352716508712E-2</v>
      </c>
      <c r="EC973"/>
    </row>
    <row r="974" spans="1:133" s="126" customFormat="1" ht="21" customHeight="1" x14ac:dyDescent="0.4">
      <c r="A974" s="233" t="s">
        <v>239</v>
      </c>
      <c r="B974" s="126" t="s">
        <v>239</v>
      </c>
      <c r="C974" s="126">
        <v>4062485</v>
      </c>
      <c r="D974" s="127" t="s">
        <v>180</v>
      </c>
      <c r="E974" s="127"/>
      <c r="F974" s="144"/>
      <c r="G974" s="126" t="s">
        <v>175</v>
      </c>
      <c r="H974" s="128">
        <v>2019</v>
      </c>
      <c r="I974" s="129"/>
      <c r="J974" s="125">
        <f>IFERROR(INDEX('Labor Expenditures'!$E$7:$W$91,MATCH($C974,'Labor Expenditures'!$C$7:$C$91,0),MATCH($G974,'Labor Expenditures'!$E$5:$W$5,0)),"NA")</f>
        <v>55165.422305825727</v>
      </c>
      <c r="K974" s="125">
        <f t="shared" ca="1" si="1746"/>
        <v>368.56804613880558</v>
      </c>
      <c r="L974" s="47"/>
      <c r="M974" s="131">
        <f t="shared" ca="1" si="1753"/>
        <v>-5.3429725634545053E-2</v>
      </c>
      <c r="N974" s="131"/>
      <c r="O974" s="131"/>
      <c r="P974" s="59">
        <f t="shared" ca="1" si="1755"/>
        <v>-1.1368990502330406E-3</v>
      </c>
      <c r="Q974" s="61"/>
      <c r="R974" s="387"/>
      <c r="S974" s="49">
        <f t="shared" ca="1" si="1760"/>
        <v>116.26174283829496</v>
      </c>
      <c r="T974" s="61">
        <f ca="1">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</f>
        <v>-4.4668978213983392E-4</v>
      </c>
      <c r="U974" s="61"/>
      <c r="V974" s="125">
        <f>IFERROR(INDEX('Non-Labor Expenditures'!$E$7:$AA$91,MATCH($C974,'Non-Labor Expenditures'!$C$7:$C$91,0),MATCH($G974,'Non-Labor Expenditures'!$E$5:$AA$5,0)),"NA")</f>
        <v>79889.834978465602</v>
      </c>
      <c r="W974" s="125">
        <f t="shared" si="1747"/>
        <v>711.28256360036323</v>
      </c>
      <c r="X974" s="131">
        <f t="shared" si="1756"/>
        <v>-3.5827647186775398E-2</v>
      </c>
      <c r="Y974" s="131">
        <f t="shared" si="1757"/>
        <v>-7.6235499200081659E-4</v>
      </c>
      <c r="Z974" s="131"/>
      <c r="AA974" s="131"/>
      <c r="AB974" s="131"/>
      <c r="AC974" s="125">
        <f t="shared" si="1727"/>
        <v>107371.94852854039</v>
      </c>
      <c r="AD974" s="129"/>
      <c r="AE974" s="133">
        <v>8877.2045133321099</v>
      </c>
      <c r="AF974" s="134">
        <v>3.1216882152072162E-2</v>
      </c>
      <c r="AG974" s="59">
        <f t="shared" si="1748"/>
        <v>6.6424529133238155E-4</v>
      </c>
      <c r="AH974" s="134"/>
      <c r="AI974" s="134"/>
      <c r="AJ974" s="129">
        <f t="shared" si="1680"/>
        <v>242427.2058128317</v>
      </c>
      <c r="AK974" s="134">
        <f t="shared" si="1758"/>
        <v>1.1336991336870757E-3</v>
      </c>
      <c r="AL974" s="129"/>
      <c r="AM974" s="129"/>
      <c r="AN974" s="129"/>
      <c r="AO974" s="129"/>
      <c r="AP974" s="133">
        <f t="shared" si="1759"/>
        <v>288.11436501661069</v>
      </c>
      <c r="AQ974" s="134">
        <f>+BB974/Outputs!$B$27</f>
        <v>2.233955140041315E-2</v>
      </c>
      <c r="AR974" s="93">
        <f t="shared" si="1749"/>
        <v>0.22755458538930129</v>
      </c>
      <c r="AS974" s="93">
        <f t="shared" si="1750"/>
        <v>0.32954154097764643</v>
      </c>
      <c r="AT974" s="93">
        <f t="shared" si="1751"/>
        <v>0.44290387363305239</v>
      </c>
      <c r="AU974" s="93">
        <f t="shared" ca="1" si="1754"/>
        <v>-1.0536078532106849E-2</v>
      </c>
      <c r="AV974" s="132">
        <f t="shared" ca="1" si="1762"/>
        <v>128.1689124813733</v>
      </c>
      <c r="AW974" s="134">
        <f t="shared" ca="1" si="1763"/>
        <v>-1.0536078532106825E-2</v>
      </c>
      <c r="AX974" s="56">
        <f>+AJ974/$AL$24</f>
        <v>2.1278399556257072E-2</v>
      </c>
      <c r="AY974" s="135">
        <f t="shared" ca="1" si="1761"/>
        <v>-2.2419088876227152E-4</v>
      </c>
      <c r="AZ974" s="93"/>
      <c r="BA974" s="93"/>
      <c r="BB974" s="234">
        <v>841427</v>
      </c>
      <c r="BC974" s="269">
        <f t="shared" si="1768"/>
        <v>1.2733037799324285E-2</v>
      </c>
      <c r="BD974" s="92"/>
      <c r="BE974" s="299" t="str">
        <f t="shared" si="1764"/>
        <v>PUGET SOUND ENERGY, INC.</v>
      </c>
      <c r="BF974" s="300">
        <f t="shared" si="1765"/>
        <v>4062485</v>
      </c>
      <c r="BG974" s="231" t="str">
        <f t="shared" si="1766"/>
        <v>WA</v>
      </c>
      <c r="BH974" s="231"/>
      <c r="BI974" s="231" t="str">
        <f t="shared" si="1767"/>
        <v>2019 Y</v>
      </c>
      <c r="BJ974" s="129"/>
      <c r="BK974" s="129"/>
      <c r="BL974" s="129">
        <f>INDEX('Dist. Plant Gas Additions'!$E$7:$AD$91,MATCH($C974,'Dist. Plant Gas Additions'!$C$7:$C$91,0),MATCH(Calculation!$G974,'Dist. Plant Gas Additions'!$E$5:$AD$5,0))</f>
        <v>271692</v>
      </c>
      <c r="BM974" s="129">
        <f>INDEX('Gen. Plant Additions'!$E$7:$AD$91,MATCH($C974,'Gen. Plant Additions'!$C$7:$C$91,0),MATCH(Calculation!$G974,'Gen. Plant Additions'!$E$5:$AD$5,0))</f>
        <v>-244</v>
      </c>
      <c r="BN974" s="301">
        <f t="shared" si="1728"/>
        <v>0.98998094764544531</v>
      </c>
      <c r="BO974" s="231">
        <f t="shared" si="1722"/>
        <v>-241.55535122548866</v>
      </c>
      <c r="BP974" s="231">
        <f t="shared" si="1723"/>
        <v>2.4446487745113359</v>
      </c>
      <c r="BQ974" s="129">
        <f>INDEX('Dist Plant Depreciation'!$D$7:$AC$94,MATCH($C974,'Dist Plant Depreciation'!$C$7:$C$94,0),MATCH(Calculation!$G974,'Dist Plant Depreciation'!$D$5:$AC$5,0))</f>
        <v>1553327</v>
      </c>
      <c r="BR974" s="129">
        <f>INDEX('Gen. Plant Depreciation'!$D$7:$AC$94,MATCH($C974,'Gen. Plant Depreciation'!$C$7:$C$94,0),MATCH(Calculation!$G974,'Gen. Plant Depreciation'!$D$5:$AC$5,0))</f>
        <v>13286</v>
      </c>
      <c r="BS974" s="129"/>
      <c r="BT974" s="129"/>
      <c r="BU974" s="129"/>
      <c r="BV974" s="129"/>
      <c r="BW974" s="129"/>
      <c r="BX974" s="137"/>
      <c r="BY974" s="129">
        <f>INDEX('Gross Dx Plant'!$D$7:$AC$91,MATCH($C974,'Gross Dx Plant'!$C$7:$C$91,0),MATCH(Calculation!$G974,'Gross Dx Plant'!$D$5:$AC$5,0))</f>
        <v>4093494</v>
      </c>
      <c r="BZ974" s="129">
        <f>INDEX('Gross Gen Plant'!$D$7:$AC$91,MATCH($C974,'Gross Gen Plant'!$C$7:$C$91,0),MATCH(Calculation!$G974,'Gross Gen Plant'!$D$5:$AC$5,0))</f>
        <v>41428</v>
      </c>
      <c r="CA974" s="129">
        <f t="shared" si="1721"/>
        <v>2568309</v>
      </c>
      <c r="CB974" s="129"/>
      <c r="CC974" s="133">
        <v>2019</v>
      </c>
      <c r="CD974" s="129"/>
      <c r="CE974" s="129"/>
      <c r="CF974" s="129"/>
      <c r="CG974" s="137"/>
      <c r="CH974" s="129">
        <f t="shared" si="1729"/>
        <v>271448</v>
      </c>
      <c r="CI974" s="46">
        <f t="shared" si="1738"/>
        <v>271450.44464877452</v>
      </c>
      <c r="CJ974" s="231">
        <f t="shared" si="1730"/>
        <v>350.92004423289785</v>
      </c>
      <c r="CK974" s="443">
        <v>0.7407407407407407</v>
      </c>
      <c r="CL974" s="231">
        <f>CL953*CK974+CJ954*CK973+CJ955*CK972+CJ956*CK971+CJ957*CK970+CJ958*CK969+CJ959*CK968+CJ960*CK967+CJ961*CK966+CJ962*CK965+CJ963*CK964+CJ964*CK963+CJ965*CK962+CJ966*CK961+CJ967*CK960+CJ968*CK959+CJ969*CK958+CJ970*CK957+CJ971*CK956+CJ972*CK955+CJ973*CK954+CJ974</f>
        <v>8139.3262846189627</v>
      </c>
      <c r="CM974" s="134">
        <f t="shared" si="1731"/>
        <v>2.7762691061564333E-2</v>
      </c>
      <c r="CN974" s="135">
        <f t="shared" si="1732"/>
        <v>1.6176207876077178E-2</v>
      </c>
      <c r="CO974" s="135">
        <f t="shared" si="1741"/>
        <v>1.582062278810421E-2</v>
      </c>
      <c r="CP974" s="134">
        <f>VLOOKUP($H974,RoR!$E:$F,2,FALSE)</f>
        <v>3.3875000000000009E-2</v>
      </c>
      <c r="CQ974" s="135">
        <v>1.8092492884465461E-2</v>
      </c>
      <c r="CR974" s="135">
        <f t="shared" si="1739"/>
        <v>1.5782507115534548E-2</v>
      </c>
      <c r="CS974" s="135">
        <f t="shared" si="1742"/>
        <v>1.5081318820429415E-2</v>
      </c>
      <c r="CT974" s="135">
        <f t="shared" si="1743"/>
        <v>4.8445665544254078E-2</v>
      </c>
      <c r="CU974" s="139">
        <f t="shared" si="1733"/>
        <v>0.92230000000000001</v>
      </c>
      <c r="CV974" s="335">
        <f t="shared" si="1734"/>
        <v>1.513861292459078</v>
      </c>
      <c r="CW974" s="335">
        <f t="shared" si="1735"/>
        <v>0.23699261992619944</v>
      </c>
      <c r="CX974" s="335">
        <f t="shared" si="1736"/>
        <v>0.73619765810468829</v>
      </c>
      <c r="CY974" s="335">
        <f t="shared" si="1737"/>
        <v>0.26412854465362851</v>
      </c>
      <c r="CZ974" s="336">
        <f>INDEX('State Tax Lookup'!$D$7:$Z$91,MATCH(Calculation!$C974,'State Tax Lookup'!$B$7:$B$91,0),MATCH($H974,'State Tax Lookup'!$D$6:$Z$6,0))</f>
        <v>0.20999999999999996</v>
      </c>
      <c r="DA974" s="302">
        <v>0.37</v>
      </c>
      <c r="DB974" s="57">
        <f t="shared" si="1740"/>
        <v>13.563118603305806</v>
      </c>
      <c r="DC974" s="56">
        <f t="shared" si="1744"/>
        <v>4.9471711124617594E-5</v>
      </c>
      <c r="DD974" s="303">
        <f>VLOOKUP($H974,RoR!$E:$F,2,FALSE)</f>
        <v>3.3875000000000009E-2</v>
      </c>
      <c r="DE974" s="304">
        <f>HLOOKUP($H974,'GDP-PI'!$D$8:$CQ$11,3,FALSE)</f>
        <v>1.8092492884465461E-2</v>
      </c>
      <c r="DF974" s="303">
        <f>VLOOKUP(H974,'HW Dx Data'!$E:$F,2,FALSE)</f>
        <v>773.53929793938721</v>
      </c>
      <c r="DG974" s="364">
        <f ca="1">VLOOKUP(CC974,'ECI - Input Price'!M$13:N$33,2,FALSE)</f>
        <v>149.67500000000001</v>
      </c>
      <c r="DH974" s="364"/>
      <c r="DI974" s="364"/>
      <c r="DJ974" s="56">
        <f t="shared" ca="1" si="1752"/>
        <v>3.5532849899171604E-2</v>
      </c>
      <c r="DK974" s="53">
        <f>HLOOKUP(H974,'GDP-PI'!$8:$9,2,FALSE)</f>
        <v>112.318</v>
      </c>
      <c r="DL974" s="355">
        <f t="shared" si="1745"/>
        <v>1.7930771451401852E-2</v>
      </c>
      <c r="EC974"/>
    </row>
    <row r="975" spans="1:133" s="126" customFormat="1" ht="21" customHeight="1" x14ac:dyDescent="0.4">
      <c r="A975" s="233" t="s">
        <v>239</v>
      </c>
      <c r="B975" s="126" t="s">
        <v>239</v>
      </c>
      <c r="C975" s="126">
        <v>4062485</v>
      </c>
      <c r="D975" s="126" t="s">
        <v>180</v>
      </c>
      <c r="G975" s="127" t="s">
        <v>176</v>
      </c>
      <c r="H975" s="128">
        <v>2020</v>
      </c>
      <c r="I975" s="129"/>
      <c r="J975" s="125">
        <f>IFERROR(INDEX('Labor Expenditures'!$E$7:$W$91,MATCH($C975,'Labor Expenditures'!$C$7:$C$91,0),MATCH($G975,'Labor Expenditures'!$E$5:$W$5,0)),"NA")</f>
        <v>55415.354671556692</v>
      </c>
      <c r="K975" s="125">
        <f t="shared" ca="1" si="1746"/>
        <v>361.83711832554155</v>
      </c>
      <c r="L975" s="47"/>
      <c r="M975" s="131">
        <f t="shared" ca="1" si="1753"/>
        <v>-1.8431190484245904E-2</v>
      </c>
      <c r="N975" s="131"/>
      <c r="O975" s="131"/>
      <c r="P975" s="59">
        <f t="shared" ca="1" si="1755"/>
        <v>-3.9562037245752718E-4</v>
      </c>
      <c r="Q975" s="61"/>
      <c r="R975" s="387"/>
      <c r="S975" s="49">
        <f t="shared" ca="1" si="1760"/>
        <v>118.14463605929113</v>
      </c>
      <c r="T975" s="61">
        <f ca="1">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</f>
        <v>1.6065550160118184E-2</v>
      </c>
      <c r="U975" s="61"/>
      <c r="V975" s="125">
        <f>IFERROR(INDEX('Non-Labor Expenditures'!$E$7:$AA$91,MATCH($C975,'Non-Labor Expenditures'!$C$7:$C$91,0),MATCH($G975,'Non-Labor Expenditures'!$E$5:$AA$5,0)),"NA")</f>
        <v>80251.78372497081</v>
      </c>
      <c r="W975" s="125">
        <f t="shared" si="1747"/>
        <v>706.2987575136267</v>
      </c>
      <c r="X975" s="131">
        <f t="shared" si="1756"/>
        <v>-7.0314507482703075E-3</v>
      </c>
      <c r="Y975" s="131">
        <f t="shared" si="1757"/>
        <v>-1.5092813273918435E-4</v>
      </c>
      <c r="Z975" s="131"/>
      <c r="AA975" s="131"/>
      <c r="AB975" s="131"/>
      <c r="AC975" s="125">
        <f t="shared" si="1727"/>
        <v>113368.61529063607</v>
      </c>
      <c r="AD975" s="129"/>
      <c r="AE975" s="133">
        <v>9141.2709348320295</v>
      </c>
      <c r="AF975" s="134">
        <v>2.9312727365479751E-2</v>
      </c>
      <c r="AG975" s="59">
        <f t="shared" si="1748"/>
        <v>6.2918953216773278E-4</v>
      </c>
      <c r="AH975" s="134"/>
      <c r="AI975" s="134"/>
      <c r="AJ975" s="129">
        <f t="shared" si="1680"/>
        <v>249035.75368716358</v>
      </c>
      <c r="AK975" s="134">
        <f t="shared" si="1758"/>
        <v>2.6894992163142228E-2</v>
      </c>
      <c r="AL975" s="129"/>
      <c r="AM975" s="129"/>
      <c r="AN975" s="129"/>
      <c r="AO975" s="129"/>
      <c r="AP975" s="133">
        <f t="shared" si="1759"/>
        <v>292.73527563377326</v>
      </c>
      <c r="AQ975" s="134">
        <f>+BB975/Outputs!$B$28</f>
        <v>2.2426782310606561E-2</v>
      </c>
      <c r="AR975" s="93">
        <f t="shared" si="1749"/>
        <v>0.22251967378615423</v>
      </c>
      <c r="AS975" s="93">
        <f t="shared" si="1750"/>
        <v>0.32225004858451917</v>
      </c>
      <c r="AT975" s="93">
        <f t="shared" si="1751"/>
        <v>0.45523027762932655</v>
      </c>
      <c r="AU975" s="93">
        <f t="shared" ca="1" si="1754"/>
        <v>6.7241583252594011E-3</v>
      </c>
      <c r="AV975" s="132">
        <f t="shared" ca="1" si="1762"/>
        <v>129.03364458086133</v>
      </c>
      <c r="AW975" s="134">
        <f t="shared" ca="1" si="1763"/>
        <v>6.7241583252593187E-3</v>
      </c>
      <c r="AX975" s="56">
        <f>+AJ975/$AL$25</f>
        <v>2.1464721597646362E-2</v>
      </c>
      <c r="AY975" s="135">
        <f t="shared" ca="1" si="1761"/>
        <v>1.4433218643018729E-4</v>
      </c>
      <c r="AZ975" s="93"/>
      <c r="BA975" s="93"/>
      <c r="BB975" s="234">
        <v>850720</v>
      </c>
      <c r="BC975" s="269">
        <f t="shared" si="1768"/>
        <v>1.0983789739609361E-2</v>
      </c>
      <c r="BD975" s="92"/>
      <c r="BE975" s="299" t="str">
        <f t="shared" si="1764"/>
        <v>PUGET SOUND ENERGY, INC.</v>
      </c>
      <c r="BF975" s="300">
        <f t="shared" si="1765"/>
        <v>4062485</v>
      </c>
      <c r="BG975" s="231" t="str">
        <f t="shared" si="1766"/>
        <v>WA</v>
      </c>
      <c r="BH975" s="231"/>
      <c r="BI975" s="231" t="str">
        <f t="shared" si="1767"/>
        <v>2020 Y</v>
      </c>
      <c r="BJ975" s="129"/>
      <c r="BK975" s="129"/>
      <c r="BL975" s="129">
        <f>INDEX('Dist. Plant Gas Additions'!$E$7:$AD$91,MATCH($C975,'Dist. Plant Gas Additions'!$C$7:$C$91,0),MATCH(Calculation!$G975,'Dist. Plant Gas Additions'!$E$5:$AD$5,0))</f>
        <v>280663</v>
      </c>
      <c r="BM975" s="129">
        <f>INDEX('Gen. Plant Additions'!$E$7:$AD$91,MATCH($C975,'Gen. Plant Additions'!$C$7:$C$91,0),MATCH(Calculation!$G975,'Gen. Plant Additions'!$E$5:$AD$5,0))</f>
        <v>1491</v>
      </c>
      <c r="BN975" s="301">
        <f t="shared" si="1728"/>
        <v>0.9905426882345979</v>
      </c>
      <c r="BO975" s="231">
        <f t="shared" si="1722"/>
        <v>1476.8991481577855</v>
      </c>
      <c r="BP975" s="231">
        <f t="shared" si="1723"/>
        <v>-14.100851842214524</v>
      </c>
      <c r="BQ975" s="129">
        <f>INDEX('Dist Plant Depreciation'!$D$7:$AC$94,MATCH($C975,'Dist Plant Depreciation'!$C$7:$C$94,0),MATCH(Calculation!$G975,'Dist Plant Depreciation'!$D$5:$AC$5,0))</f>
        <v>1639878</v>
      </c>
      <c r="BR975" s="129">
        <f>INDEX('Gen. Plant Depreciation'!$D$7:$AC$94,MATCH($C975,'Gen. Plant Depreciation'!$C$7:$C$94,0),MATCH(Calculation!$G975,'Gen. Plant Depreciation'!$D$5:$AC$5,0))</f>
        <v>13976</v>
      </c>
      <c r="BS975" s="129"/>
      <c r="BT975" s="129"/>
      <c r="BU975" s="129"/>
      <c r="BV975" s="129"/>
      <c r="BW975" s="129"/>
      <c r="BX975" s="137"/>
      <c r="BY975" s="129">
        <f>INDEX('Gross Dx Plant'!$D$7:$AC$91,MATCH($C975,'Gross Dx Plant'!$C$7:$C$91,0),MATCH(Calculation!$G975,'Gross Dx Plant'!$D$5:$AC$5,0))</f>
        <v>4343497</v>
      </c>
      <c r="BZ975" s="129">
        <f>INDEX('Gross Gen Plant'!$D$7:$AC$91,MATCH($C975,'Gross Gen Plant'!$C$7:$C$91,0),MATCH(Calculation!$G975,'Gross Gen Plant'!$D$5:$AC$5,0))</f>
        <v>41470</v>
      </c>
      <c r="CA975" s="129">
        <f t="shared" si="1721"/>
        <v>2731113</v>
      </c>
      <c r="CB975" s="129"/>
      <c r="CC975" s="133">
        <v>2020</v>
      </c>
      <c r="CD975" s="129"/>
      <c r="CE975" s="129"/>
      <c r="CF975" s="129"/>
      <c r="CG975" s="137"/>
      <c r="CH975" s="129">
        <f t="shared" si="1729"/>
        <v>282154</v>
      </c>
      <c r="CI975" s="46">
        <f t="shared" si="1738"/>
        <v>282139.8991481578</v>
      </c>
      <c r="CJ975" s="231">
        <f t="shared" si="1730"/>
        <v>347.0013316951916</v>
      </c>
      <c r="CK975" s="443">
        <v>0.72499999999999998</v>
      </c>
      <c r="CL975" s="231">
        <f>CL953*CK975+CJ954*CK974+CJ955*CK973+CJ956*CK972+CJ957*CK971+CJ958*CK970+CJ959*CK969+CJ960*CK968+CJ961*CK967+CJ962*CK966+CJ963*CK965+CJ964*CK964+CJ965*CK963+CJ966*CK962+CJ967*CK961+CJ968*CK960+CJ969*CK959+CJ970*CK958+CJ971*CK957+CJ972*CK956+CJ973*CK955+CJ974*CK954+CJ975</f>
        <v>8351.7703351798864</v>
      </c>
      <c r="CM975" s="134">
        <f t="shared" si="1731"/>
        <v>2.5766122007889389E-2</v>
      </c>
      <c r="CN975" s="135">
        <f t="shared" si="1732"/>
        <v>1.6531746784564143E-2</v>
      </c>
      <c r="CO975" s="135">
        <f t="shared" si="1741"/>
        <v>1.6173182676367078E-2</v>
      </c>
      <c r="CP975" s="134">
        <f>VLOOKUP($H975,RoR!$E:$F,2,FALSE)</f>
        <v>2.4766666666666666E-2</v>
      </c>
      <c r="CQ975" s="135">
        <v>1.1618796630994188E-2</v>
      </c>
      <c r="CR975" s="135">
        <f t="shared" si="1739"/>
        <v>1.3147870035672478E-2</v>
      </c>
      <c r="CS975" s="135">
        <f t="shared" si="1742"/>
        <v>1.4728758932166547E-2</v>
      </c>
      <c r="CT975" s="135">
        <f t="shared" si="1743"/>
        <v>4.5144642961987357E-2</v>
      </c>
      <c r="CU975" s="139">
        <f t="shared" si="1733"/>
        <v>0.92230000000000001</v>
      </c>
      <c r="CV975" s="335">
        <f t="shared" si="1734"/>
        <v>2.0706077233668081</v>
      </c>
      <c r="CW975" s="335">
        <f t="shared" si="1735"/>
        <v>-3.4421265141318998E-2</v>
      </c>
      <c r="CX975" s="335">
        <f t="shared" si="1736"/>
        <v>0.62416226176410472</v>
      </c>
      <c r="CY975" s="335">
        <f t="shared" si="1737"/>
        <v>-4.4485877841158712E-2</v>
      </c>
      <c r="CZ975" s="336">
        <f>INDEX('State Tax Lookup'!$D$7:$Z$91,MATCH(Calculation!$C975,'State Tax Lookup'!$B$7:$B$91,0),MATCH($H975,'State Tax Lookup'!$D$6:$Z$6,0))</f>
        <v>0.20999999999999996</v>
      </c>
      <c r="DA975" s="302">
        <v>0.37</v>
      </c>
      <c r="DB975" s="57">
        <f t="shared" si="1740"/>
        <v>13.928501122368182</v>
      </c>
      <c r="DC975" s="56">
        <f t="shared" si="1744"/>
        <v>2.6582939746732166E-2</v>
      </c>
      <c r="DD975" s="303">
        <f>VLOOKUP($H975,RoR!$E:$F,2,FALSE)</f>
        <v>2.4766666666666666E-2</v>
      </c>
      <c r="DE975" s="304">
        <f>HLOOKUP($H975,'GDP-PI'!$D$8:$CQ$11,3,FALSE)</f>
        <v>1.1618796630994188E-2</v>
      </c>
      <c r="DF975" s="303">
        <f>VLOOKUP(H975,'HW Dx Data'!$E:$F,2,FALSE)</f>
        <v>813.080162458833</v>
      </c>
      <c r="DG975" s="364">
        <f ca="1">VLOOKUP(CC975,'ECI - Input Price'!M$13:N$33,2,FALSE)</f>
        <v>153.15</v>
      </c>
      <c r="DH975" s="364"/>
      <c r="DI975" s="364"/>
      <c r="DJ975" s="56">
        <f t="shared" ca="1" si="1752"/>
        <v>2.2951556467368479E-2</v>
      </c>
      <c r="DK975" s="53">
        <f>HLOOKUP(H975,'GDP-PI'!$8:$9,2,FALSE)</f>
        <v>113.623</v>
      </c>
      <c r="DL975" s="355">
        <f t="shared" si="1745"/>
        <v>1.1551816731392881E-2</v>
      </c>
      <c r="EC975"/>
    </row>
    <row r="976" spans="1:133" s="126" customFormat="1" ht="21" customHeight="1" x14ac:dyDescent="0.4">
      <c r="A976" s="233" t="s">
        <v>239</v>
      </c>
      <c r="B976" s="126" t="s">
        <v>239</v>
      </c>
      <c r="C976" s="126">
        <v>4062485</v>
      </c>
      <c r="D976" s="126" t="s">
        <v>180</v>
      </c>
      <c r="G976" s="127" t="s">
        <v>177</v>
      </c>
      <c r="H976" s="128">
        <v>2021</v>
      </c>
      <c r="I976" s="129"/>
      <c r="J976" s="125">
        <v>57387.705671384698</v>
      </c>
      <c r="K976" s="125">
        <f t="shared" ca="1" si="1746"/>
        <v>364.9456640469615</v>
      </c>
      <c r="L976" s="47"/>
      <c r="M976" s="130">
        <f t="shared" ca="1" si="1753"/>
        <v>8.5543156849233869E-3</v>
      </c>
      <c r="N976" s="130"/>
      <c r="O976" s="130"/>
      <c r="P976" s="59">
        <f t="shared" ca="1" si="1755"/>
        <v>1.8823181676929875E-4</v>
      </c>
      <c r="Q976" s="61"/>
      <c r="R976" s="387"/>
      <c r="S976" s="132">
        <f ca="1">+S975*EXP(T976)</f>
        <v>120.53392326493839</v>
      </c>
      <c r="T976" s="134">
        <f ca="1">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</f>
        <v>2.0021630993203275E-2</v>
      </c>
      <c r="U976" s="134"/>
      <c r="V976" s="125">
        <v>80895.92245243385</v>
      </c>
      <c r="W976" s="125">
        <f t="shared" si="1747"/>
        <v>682.72362606493255</v>
      </c>
      <c r="X976" s="131">
        <f t="shared" si="1756"/>
        <v>-3.3948186635928537E-2</v>
      </c>
      <c r="Y976" s="131">
        <f t="shared" si="1757"/>
        <v>-7.4700643299456255E-4</v>
      </c>
      <c r="Z976" s="131"/>
      <c r="AA976" s="131"/>
      <c r="AB976" s="131"/>
      <c r="AC976" s="125">
        <f t="shared" si="1727"/>
        <v>144365.59079277804</v>
      </c>
      <c r="AD976" s="129"/>
      <c r="AE976" s="133">
        <v>9335.4176590405223</v>
      </c>
      <c r="AF976" s="134"/>
      <c r="AG976" s="59">
        <f t="shared" si="1748"/>
        <v>0</v>
      </c>
      <c r="AH976" s="134"/>
      <c r="AI976" s="134"/>
      <c r="AJ976" s="129">
        <f t="shared" si="1680"/>
        <v>282649.21891659661</v>
      </c>
      <c r="AK976" s="134">
        <f t="shared" si="1758"/>
        <v>0.12661014442593277</v>
      </c>
      <c r="AL976" s="129"/>
      <c r="AM976" s="134"/>
      <c r="AN976" s="134"/>
      <c r="AO976" s="134"/>
      <c r="AP976" s="133">
        <f t="shared" si="1759"/>
        <v>328.49457940792547</v>
      </c>
      <c r="AQ976" s="134">
        <f>+BB976/Outputs!$B$29</f>
        <v>2.2287516390549711E-2</v>
      </c>
      <c r="AR976" s="93">
        <f t="shared" si="1749"/>
        <v>0.20303507609663168</v>
      </c>
      <c r="AS976" s="93">
        <f t="shared" si="1750"/>
        <v>0.28620607112416752</v>
      </c>
      <c r="AT976" s="93">
        <f t="shared" si="1751"/>
        <v>0.51075885277920063</v>
      </c>
      <c r="AU976" s="93">
        <f t="shared" ca="1" si="1754"/>
        <v>-8.5078261199637017E-3</v>
      </c>
      <c r="AV976" s="132">
        <f t="shared" ca="1" si="1762"/>
        <v>127.94050548155865</v>
      </c>
      <c r="AW976" s="134">
        <f t="shared" ca="1" si="1763"/>
        <v>-8.5078261199637555E-3</v>
      </c>
      <c r="AX976" s="56">
        <f>+AJ976/$AL$26</f>
        <v>2.2004310303984833E-2</v>
      </c>
      <c r="AY976" s="135">
        <f t="shared" ca="1" si="1761"/>
        <v>-1.8720884595602977E-4</v>
      </c>
      <c r="AZ976" s="93"/>
      <c r="BA976" s="93"/>
      <c r="BB976" s="234">
        <v>860438</v>
      </c>
      <c r="BC976" s="269">
        <f t="shared" si="1768"/>
        <v>1.1358512166695936E-2</v>
      </c>
      <c r="BD976" s="91"/>
      <c r="BE976" s="299" t="str">
        <f t="shared" si="1764"/>
        <v>PUGET SOUND ENERGY, INC.</v>
      </c>
      <c r="BF976" s="300">
        <f t="shared" si="1765"/>
        <v>4062485</v>
      </c>
      <c r="BG976" s="231" t="str">
        <f t="shared" si="1766"/>
        <v>WA</v>
      </c>
      <c r="BH976" s="231"/>
      <c r="BI976" s="231" t="str">
        <f t="shared" si="1767"/>
        <v>2021 Y</v>
      </c>
      <c r="BJ976" s="129"/>
      <c r="BK976" s="129"/>
      <c r="BL976" s="129">
        <f>INDEX('Dist. Plant Gas Additions'!$D$7:$AD$91,MATCH($C976,'Dist. Plant Gas Additions'!$C$7:$C$91,0),MATCH(Calculation!$G976,'Dist. Plant Gas Additions'!$D$5:$AD$5,0))</f>
        <v>223517</v>
      </c>
      <c r="BM976" s="129">
        <f>INDEX('Gen. Plant Additions'!$D$7:$AD$91,MATCH($C976,'Gen. Plant Additions'!$C$7:$C$91,0),MATCH(Calculation!$G976,'Gen. Plant Additions'!$D$5:$AD$5,0))</f>
        <v>1275</v>
      </c>
      <c r="BN976" s="343">
        <v>0.9905426882345979</v>
      </c>
      <c r="BO976" s="231">
        <f t="shared" si="1722"/>
        <v>1262.9419274991124</v>
      </c>
      <c r="BP976" s="231">
        <f t="shared" si="1723"/>
        <v>-12.058072500887647</v>
      </c>
      <c r="BQ976" s="129"/>
      <c r="BR976" s="129"/>
      <c r="BS976" s="137"/>
      <c r="BT976" s="137"/>
      <c r="BU976" s="333"/>
      <c r="BV976" s="93"/>
      <c r="BW976" s="334"/>
      <c r="BX976" s="334"/>
      <c r="BY976" s="129"/>
      <c r="BZ976" s="129"/>
      <c r="CA976" s="129"/>
      <c r="CB976" s="129"/>
      <c r="CC976" s="133">
        <v>2021</v>
      </c>
      <c r="CD976" s="129"/>
      <c r="CE976" s="129"/>
      <c r="CF976" s="129"/>
      <c r="CG976" s="137"/>
      <c r="CH976" s="129">
        <f t="shared" si="1729"/>
        <v>224792</v>
      </c>
      <c r="CI976" s="46">
        <f t="shared" si="1738"/>
        <v>224779.94192749911</v>
      </c>
      <c r="CJ976" s="231">
        <f t="shared" si="1730"/>
        <v>240.9158858615161</v>
      </c>
      <c r="CK976" s="443">
        <v>0.70886075949367089</v>
      </c>
      <c r="CL976" s="129">
        <f>CL953*CK976+CJ954*CK975+CJ955*CK974+CJ956*CK973+CJ957*CK972+CJ958*CK971+CJ959*CK970+CJ960*CK969+CJ961*CK968+CJ962*CK967+CJ963*CK966+CJ964*CK965+CJ965*CK964+CJ966*CK963+CJ967*CK962+CJ958*CK961+CJ969*CK960+CJ970*CK959+CJ971*CK958+CJ972*CK957+CJ973*CK956+CJ974*CK955+CJ976+CJ975*CK954</f>
        <v>8491.1951787504404</v>
      </c>
      <c r="CM976" s="134"/>
      <c r="CN976" s="135">
        <f t="shared" si="1732"/>
        <v>1.2152039414141303E-2</v>
      </c>
      <c r="CO976" s="135">
        <f t="shared" si="1741"/>
        <v>1.4953331358260874E-2</v>
      </c>
      <c r="CP976" s="134">
        <f>VLOOKUP($H976,RoR!$E:$F,2,FALSE)</f>
        <v>2.7033333333333336E-2</v>
      </c>
      <c r="CQ976" s="135"/>
      <c r="CR976" s="135"/>
      <c r="CS976" s="135">
        <f t="shared" si="1742"/>
        <v>1.5948610250272749E-2</v>
      </c>
      <c r="CT976" s="135">
        <f t="shared" si="1743"/>
        <v>7.433422950153494E-2</v>
      </c>
      <c r="CU976" s="139">
        <f t="shared" si="1733"/>
        <v>0.92230000000000001</v>
      </c>
      <c r="CV976" s="335">
        <f t="shared" si="1734"/>
        <v>1.8969932656739068</v>
      </c>
      <c r="CW976" s="335">
        <f t="shared" si="1735"/>
        <v>5.0215782983970621E-2</v>
      </c>
      <c r="CX976" s="335">
        <f t="shared" si="1736"/>
        <v>0.655952481704143</v>
      </c>
      <c r="CY976" s="335">
        <f t="shared" si="1737"/>
        <v>6.2485378865697057E-2</v>
      </c>
      <c r="CZ976" s="336">
        <f>CZ975</f>
        <v>0.20999999999999996</v>
      </c>
      <c r="DA976" s="302">
        <v>0.37</v>
      </c>
      <c r="DB976" s="141">
        <f t="shared" si="1740"/>
        <v>17.285627477646461</v>
      </c>
      <c r="DC976" s="135">
        <f>LN(DB977/DB975)</f>
        <v>0.18417077637728005</v>
      </c>
      <c r="DD976" s="336">
        <f>VLOOKUP($H976,RoR!$E:$F,2,FALSE)</f>
        <v>2.7033333333333336E-2</v>
      </c>
      <c r="DE976" s="342">
        <f>HLOOKUP($H976,'GDP-PI'!$D$8:$CR$11,3,FALSE)</f>
        <v>4.2834637353352578E-2</v>
      </c>
      <c r="DF976" s="336">
        <f>VLOOKUP(H976,'HW Dx Data'!$E:$F,2,FALSE)</f>
        <v>933.02249921662576</v>
      </c>
      <c r="DG976" s="364">
        <f ca="1">VLOOKUP(CC976,'ECI - Input Price'!M$13:N$33,2,FALSE)</f>
        <v>157.25</v>
      </c>
      <c r="DH976" s="364"/>
      <c r="DI976" s="364"/>
      <c r="DJ976" s="135">
        <f t="shared" ca="1" si="1752"/>
        <v>2.6419062301765574E-2</v>
      </c>
      <c r="DK976" s="137">
        <f>HLOOKUP(H976,'GDP-PI'!$8:$9,2,FALSE)</f>
        <v>118.49</v>
      </c>
      <c r="DL976" s="356">
        <f t="shared" si="1745"/>
        <v>4.194261824609434E-2</v>
      </c>
      <c r="EC976"/>
    </row>
    <row r="977" spans="1:133" s="126" customFormat="1" ht="21" customHeight="1" thickBot="1" x14ac:dyDescent="0.45">
      <c r="A977" s="235"/>
      <c r="B977" s="236"/>
      <c r="C977" s="236"/>
      <c r="D977" s="236"/>
      <c r="E977" s="236"/>
      <c r="F977" s="236"/>
      <c r="G977" s="237" t="s">
        <v>178</v>
      </c>
      <c r="H977" s="238"/>
      <c r="I977" s="239"/>
      <c r="J977" s="240">
        <v>59406.6883621136</v>
      </c>
      <c r="K977" s="240">
        <f t="shared" ca="1" si="1746"/>
        <v>365.46716925323653</v>
      </c>
      <c r="L977" s="47"/>
      <c r="M977" s="241">
        <f t="shared" ref="M977" ca="1" si="1769">LN(K977/K976)</f>
        <v>1.427974074704951E-3</v>
      </c>
      <c r="N977" s="241"/>
      <c r="O977" s="241"/>
      <c r="P977" s="242">
        <f t="shared" ca="1" si="1755"/>
        <v>3.0791389267087914E-5</v>
      </c>
      <c r="Q977" s="61"/>
      <c r="R977" s="387"/>
      <c r="S977" s="206">
        <f ca="1">+S976*EXP(T977)</f>
        <v>119.33879607902922</v>
      </c>
      <c r="T977" s="243">
        <f ca="1">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</f>
        <v>-9.9647602985874686E-3</v>
      </c>
      <c r="U977" s="243"/>
      <c r="V977" s="239">
        <v>83741.958293581818</v>
      </c>
      <c r="W977" s="240">
        <f t="shared" si="1747"/>
        <v>658.09004552913018</v>
      </c>
      <c r="X977" s="244">
        <f t="shared" ref="X977" si="1770">LN(W977/W976)</f>
        <v>-3.674836135791431E-2</v>
      </c>
      <c r="Y977" s="244">
        <f t="shared" si="1757"/>
        <v>-7.9240451177865323E-4</v>
      </c>
      <c r="Z977" s="206"/>
      <c r="AA977" s="243"/>
      <c r="AB977" s="243"/>
      <c r="AC977" s="240">
        <f t="shared" si="1727"/>
        <v>142186.23650482119</v>
      </c>
      <c r="AD977" s="243"/>
      <c r="AE977" s="245">
        <v>9419.3282761652281</v>
      </c>
      <c r="AF977" s="243">
        <v>8.9482605967590462E-3</v>
      </c>
      <c r="AG977" s="242">
        <f t="shared" si="1748"/>
        <v>1.9295124482920478E-4</v>
      </c>
      <c r="AH977" s="206"/>
      <c r="AI977" s="243"/>
      <c r="AJ977" s="239">
        <f t="shared" si="1680"/>
        <v>285334.88316051662</v>
      </c>
      <c r="AK977" s="243">
        <f t="shared" si="1758"/>
        <v>9.4568994084196101E-3</v>
      </c>
      <c r="AL977" s="239"/>
      <c r="AM977" s="243"/>
      <c r="AN977" s="243"/>
      <c r="AO977" s="243"/>
      <c r="AP977" s="245">
        <f t="shared" si="1759"/>
        <v>328.1476508748575</v>
      </c>
      <c r="AQ977" s="243"/>
      <c r="AR977" s="207">
        <f t="shared" si="1749"/>
        <v>0.20819987974864629</v>
      </c>
      <c r="AS977" s="207">
        <f t="shared" si="1750"/>
        <v>0.2934865774770074</v>
      </c>
      <c r="AT977" s="207">
        <f t="shared" si="1751"/>
        <v>0.49831354277434625</v>
      </c>
      <c r="AU977" s="207"/>
      <c r="AV977" s="206"/>
      <c r="AW977" s="243"/>
      <c r="AX977" s="248">
        <f>+AJ977/$AL$27</f>
        <v>2.156298900135848E-2</v>
      </c>
      <c r="AY977" s="249"/>
      <c r="AZ977" s="206"/>
      <c r="BA977" s="243"/>
      <c r="BB977" s="250">
        <v>869532</v>
      </c>
      <c r="BC977" s="270">
        <f t="shared" si="1768"/>
        <v>1.0513573954615366E-2</v>
      </c>
      <c r="BD977" s="91"/>
      <c r="BE977" s="306">
        <f t="shared" si="1764"/>
        <v>0</v>
      </c>
      <c r="BF977" s="307">
        <f t="shared" si="1765"/>
        <v>0</v>
      </c>
      <c r="BG977" s="308">
        <f t="shared" si="1766"/>
        <v>0</v>
      </c>
      <c r="BH977" s="308"/>
      <c r="BI977" s="308" t="str">
        <f t="shared" si="1767"/>
        <v>2022Y</v>
      </c>
      <c r="BJ977" s="239"/>
      <c r="BK977" s="239"/>
      <c r="BL977" s="239"/>
      <c r="BM977" s="239"/>
      <c r="BN977" s="337">
        <v>0.9905426882345979</v>
      </c>
      <c r="BO977" s="308">
        <f t="shared" si="1722"/>
        <v>0</v>
      </c>
      <c r="BP977" s="308">
        <f t="shared" si="1723"/>
        <v>0</v>
      </c>
      <c r="BQ977" s="239"/>
      <c r="BR977" s="239"/>
      <c r="BS977" s="310"/>
      <c r="BT977" s="310"/>
      <c r="BU977" s="311"/>
      <c r="BV977" s="207"/>
      <c r="BW977" s="312"/>
      <c r="BX977" s="312"/>
      <c r="BY977" s="239"/>
      <c r="BZ977" s="239"/>
      <c r="CA977" s="239"/>
      <c r="CB977" s="239"/>
      <c r="CC977" s="245">
        <v>2022</v>
      </c>
      <c r="CD977" s="239"/>
      <c r="CE977" s="239"/>
      <c r="CF977" s="239"/>
      <c r="CG977" s="310"/>
      <c r="CH977" s="239">
        <v>208889</v>
      </c>
      <c r="CI977" s="313">
        <f t="shared" si="1738"/>
        <v>208889</v>
      </c>
      <c r="CJ977" s="308">
        <f t="shared" si="1730"/>
        <v>202.64549237977903</v>
      </c>
      <c r="CK977" s="443">
        <v>0.69230769230769229</v>
      </c>
      <c r="CL977" s="239">
        <f>+CL953*CK977+CJ954*CK976+CJ955*CK975+CJ956*CK974+CJ957*CK973+CJ958*CK972+CJ959*CK971+CJ960*CK970+CJ961*CK969+CJ962*CK968+CJ963*CK967+CJ964*CK966+CJ965*CK965+CJ966*CK964+CJ967*CK963+CJ968*CK962+CJ969*CK961+CJ970*CK960+CJ971*CK959+CJ972*CK958+CJ973*CK957+CJ974*CK956+CJ975*CK955+CJ976*CK954+CJ977*CK953</f>
        <v>8507.1666784155987</v>
      </c>
      <c r="CM977" s="243">
        <f t="shared" ref="CM977" si="1771">LN(CL977/CL976)</f>
        <v>1.8791815940157127E-3</v>
      </c>
      <c r="CN977" s="249">
        <f t="shared" si="1732"/>
        <v>2.1984419011092805E-2</v>
      </c>
      <c r="CO977" s="249">
        <f t="shared" si="1741"/>
        <v>1.6889401736599415E-2</v>
      </c>
      <c r="CP977" s="243"/>
      <c r="CQ977" s="249"/>
      <c r="CR977" s="249"/>
      <c r="CS977" s="248">
        <f t="shared" si="1742"/>
        <v>1.401253987193421E-2</v>
      </c>
      <c r="CT977" s="249">
        <f t="shared" si="1743"/>
        <v>0.10114668178709289</v>
      </c>
      <c r="CU977" s="314">
        <f t="shared" si="1733"/>
        <v>0.92230000000000001</v>
      </c>
      <c r="CV977" s="315">
        <f t="shared" si="1734"/>
        <v>1.2820512820512819</v>
      </c>
      <c r="CW977" s="315">
        <f t="shared" si="1735"/>
        <v>0.35000000000000003</v>
      </c>
      <c r="CX977" s="315">
        <f t="shared" si="1736"/>
        <v>0.79171095533705893</v>
      </c>
      <c r="CY977" s="315">
        <f t="shared" si="1737"/>
        <v>0.35525491585637264</v>
      </c>
      <c r="CZ977" s="316">
        <f>CZ976</f>
        <v>0.20999999999999996</v>
      </c>
      <c r="DA977" s="317">
        <v>0.37</v>
      </c>
      <c r="DB977" s="318">
        <f t="shared" si="1740"/>
        <v>16.745138170966555</v>
      </c>
      <c r="DC977" s="249">
        <f>LN(DB977/DB976)</f>
        <v>-3.1767416886300227E-2</v>
      </c>
      <c r="DD977" s="316">
        <v>0.04</v>
      </c>
      <c r="DE977" s="319">
        <v>7.0000000000000001E-3</v>
      </c>
      <c r="DF977" s="316">
        <v>1030.81</v>
      </c>
      <c r="DG977" s="364">
        <f ca="1">VLOOKUP(CC977,'ECI - Input Price'!M$13:N$33,2,FALSE)</f>
        <v>162.55000000000001</v>
      </c>
      <c r="DH977" s="364"/>
      <c r="DI977" s="364"/>
      <c r="DJ977" s="249">
        <f t="shared" ca="1" si="1752"/>
        <v>3.3148751169364422E-2</v>
      </c>
      <c r="DK977" s="310">
        <v>127.25</v>
      </c>
      <c r="DL977" s="357">
        <f t="shared" si="1745"/>
        <v>7.1325086601983473E-2</v>
      </c>
      <c r="EC977"/>
    </row>
    <row r="978" spans="1:133" s="126" customFormat="1" ht="21" customHeight="1" x14ac:dyDescent="0.4">
      <c r="A978" s="251" t="s">
        <v>240</v>
      </c>
      <c r="B978" s="265" t="s">
        <v>240</v>
      </c>
      <c r="C978" s="265">
        <v>4057140</v>
      </c>
      <c r="D978" s="252" t="s">
        <v>241</v>
      </c>
      <c r="E978" s="252"/>
      <c r="F978" s="266"/>
      <c r="G978" s="265" t="s">
        <v>150</v>
      </c>
      <c r="H978" s="253">
        <v>1998</v>
      </c>
      <c r="I978" s="254"/>
      <c r="J978" s="255"/>
      <c r="K978" s="255"/>
      <c r="L978" s="47"/>
      <c r="M978" s="255"/>
      <c r="N978" s="255"/>
      <c r="O978" s="255"/>
      <c r="P978" s="219"/>
      <c r="Q978" s="218"/>
      <c r="R978" s="385"/>
      <c r="S978" s="257"/>
      <c r="T978" s="258"/>
      <c r="U978" s="258"/>
      <c r="V978" s="259"/>
      <c r="W978" s="259"/>
      <c r="X978" s="259"/>
      <c r="Y978" s="255"/>
      <c r="Z978" s="259"/>
      <c r="AA978" s="259"/>
      <c r="AB978" s="259"/>
      <c r="AC978" s="255"/>
      <c r="AD978" s="254"/>
      <c r="AE978" s="260">
        <v>2430.2516564017628</v>
      </c>
      <c r="AF978" s="256"/>
      <c r="AG978" s="225"/>
      <c r="AH978" s="256"/>
      <c r="AI978" s="256"/>
      <c r="AJ978" s="254">
        <f t="shared" si="1680"/>
        <v>0</v>
      </c>
      <c r="AK978" s="254"/>
      <c r="AL978" s="254"/>
      <c r="AM978" s="256"/>
      <c r="AN978" s="256"/>
      <c r="AO978" s="256"/>
      <c r="AP978" s="226">
        <f>+(AP975+AP976+AP977)/3</f>
        <v>316.45916863885208</v>
      </c>
      <c r="AQ978" s="256"/>
      <c r="AR978" s="261"/>
      <c r="AS978" s="261"/>
      <c r="AT978" s="261"/>
      <c r="AU978" s="261"/>
      <c r="AV978" s="261"/>
      <c r="AW978" s="256">
        <f ca="1">AVERAGE(AW987:AW1001)</f>
        <v>2.3246716482665341E-3</v>
      </c>
      <c r="AX978" s="223"/>
      <c r="AY978" s="261"/>
      <c r="AZ978" s="261"/>
      <c r="BA978" s="261"/>
      <c r="BB978" s="262">
        <f>IFERROR(INDEX('Total Customers'!$E$7:$AA$91,MATCH($C978,'Total Customers'!$C$7:$C$91,0),MATCH($G978,'Total Customers'!$E$5:$AA$5,0)),"NA")</f>
        <v>648444</v>
      </c>
      <c r="BC978" s="268"/>
      <c r="BD978" s="92"/>
      <c r="BE978" s="320" t="str">
        <f t="shared" si="1764"/>
        <v>QUESTAR GAS COMPANY</v>
      </c>
      <c r="BF978" s="321">
        <f t="shared" si="1765"/>
        <v>4057140</v>
      </c>
      <c r="BG978" s="322" t="str">
        <f t="shared" si="1766"/>
        <v>UT</v>
      </c>
      <c r="BH978" s="322"/>
      <c r="BI978" s="322" t="str">
        <f t="shared" si="1767"/>
        <v>1998 Y</v>
      </c>
      <c r="BJ978" s="254">
        <f>INDEX('Gross Dx Plant'!$D$7:$AC$91,MATCH($C978,'Gross Dx Plant'!$C$7:$C$91,0),MATCH(Calculation!$G978,'Gross Dx Plant'!$D$5:$AC$5,0))</f>
        <v>685710</v>
      </c>
      <c r="BK978" s="254">
        <f>INDEX('Gross Gen Plant'!$D$7:$AC$91,MATCH($C978,'Gross Gen Plant'!$C$7:$C$91,0),MATCH(Calculation!$G978,'Gross Gen Plant'!$D$5:$AC$5,0))</f>
        <v>113485</v>
      </c>
      <c r="BL978" s="254">
        <f>INDEX('Dist. Plant Gas Additions'!$E$7:$AD$91,MATCH($C978,'Dist. Plant Gas Additions'!$C$7:$C$91,0),MATCH(Calculation!$G978,'Dist. Plant Gas Additions'!$E$5:$AD$5,0))</f>
        <v>49562</v>
      </c>
      <c r="BM978" s="254">
        <f>INDEX('Gen. Plant Additions'!$E$7:$AD$91,MATCH($C978,'Gen. Plant Additions'!$C$7:$C$91,0),MATCH(Calculation!$G978,'Gen. Plant Additions'!$E$5:$AD$5,0))</f>
        <v>22050</v>
      </c>
      <c r="BN978" s="338">
        <f>+(BY978/(BY978+BZ978))</f>
        <v>0.8580008633687648</v>
      </c>
      <c r="BO978" s="322">
        <f t="shared" si="1722"/>
        <v>18918.919037281263</v>
      </c>
      <c r="BP978" s="322">
        <f t="shared" si="1723"/>
        <v>-3131.0809627187373</v>
      </c>
      <c r="BQ978" s="254">
        <f>INDEX('Dist Plant Depreciation'!$D$7:$AC$94,MATCH($C978,'Dist Plant Depreciation'!$C$7:$C$94,0),MATCH(Calculation!$G978,'Dist Plant Depreciation'!$D$5:$AC$5,0))</f>
        <v>249659</v>
      </c>
      <c r="BR978" s="254">
        <f>INDEX('Gen. Plant Depreciation'!$D$7:$AC$94,MATCH($C978,'Gen. Plant Depreciation'!$C$7:$C$94,0),MATCH(Calculation!$G978,'Gen. Plant Depreciation'!$D$5:$AC$5,0))</f>
        <v>59307</v>
      </c>
      <c r="BS978" s="254"/>
      <c r="BT978" s="254"/>
      <c r="BU978" s="254"/>
      <c r="BV978" s="254"/>
      <c r="BW978" s="254"/>
      <c r="BX978" s="323"/>
      <c r="BY978" s="254">
        <f>INDEX('Gross Dx Plant'!$D$7:$AC$91,MATCH($C978,'Gross Dx Plant'!$C$7:$C$91,0),MATCH(Calculation!$G978,'Gross Dx Plant'!$D$5:$AC$5,0))</f>
        <v>685710</v>
      </c>
      <c r="BZ978" s="254">
        <f>INDEX('Gross Gen Plant'!$D$7:$AC$91,MATCH($C978,'Gross Gen Plant'!$C$7:$C$91,0),MATCH(Calculation!$G978,'Gross Gen Plant'!$D$5:$AC$5,0))</f>
        <v>113485</v>
      </c>
      <c r="CA978" s="254">
        <f t="shared" si="1721"/>
        <v>490229</v>
      </c>
      <c r="CB978" s="254"/>
      <c r="CC978" s="260">
        <v>1998</v>
      </c>
      <c r="CD978" s="254">
        <f>BJ978+BK978</f>
        <v>799195</v>
      </c>
      <c r="CE978" s="254">
        <f>249659+59307</f>
        <v>308966</v>
      </c>
      <c r="CF978" s="254">
        <f>+CD978-CE978</f>
        <v>490229</v>
      </c>
      <c r="CG978" s="254">
        <f>CF978/$BX$3</f>
        <v>2430.2516564017628</v>
      </c>
      <c r="CH978" s="323"/>
      <c r="CI978" s="344"/>
      <c r="CJ978" s="344"/>
      <c r="CK978" s="443">
        <v>1</v>
      </c>
      <c r="CL978" s="254">
        <f>+CG978</f>
        <v>2430.2516564017628</v>
      </c>
      <c r="CM978" s="256"/>
      <c r="CN978" s="325"/>
      <c r="CO978" s="325"/>
      <c r="CP978" s="256" t="e">
        <f>VLOOKUP($H978,RoR!$E:$F,2,FALSE)</f>
        <v>#N/A</v>
      </c>
      <c r="CQ978" s="325">
        <v>1.1028127770464469E-2</v>
      </c>
      <c r="CR978" s="325"/>
      <c r="CS978" s="325"/>
      <c r="CT978" s="325"/>
      <c r="CU978" s="327"/>
      <c r="CV978" s="331" t="e">
        <f>2/(DD978*39)</f>
        <v>#N/A</v>
      </c>
      <c r="CW978" s="328" t="e">
        <f>+(DD978*40-(1+DD978))/(DD978*40)</f>
        <v>#N/A</v>
      </c>
      <c r="CX978" s="328" t="e">
        <f>+(1-(1/(1+DD978)^40))</f>
        <v>#N/A</v>
      </c>
      <c r="CY978" s="328" t="e">
        <f>+CX978*CW978*CV978</f>
        <v>#N/A</v>
      </c>
      <c r="CZ978" s="329">
        <f>INDEX('State Tax Lookup'!$D$7:$Z$91,MATCH(Calculation!$C978,'State Tax Lookup'!$B$7:$B$91,0),MATCH($H978,'State Tax Lookup'!$D$6:$Z$6,0))</f>
        <v>0.35</v>
      </c>
      <c r="DA978" s="330">
        <v>0.37</v>
      </c>
      <c r="DB978" s="344"/>
      <c r="DC978" s="326"/>
      <c r="DD978" s="351" t="e">
        <f>VLOOKUP($H978,RoR!$E:$F,2,FALSE)</f>
        <v>#N/A</v>
      </c>
      <c r="DE978" s="354">
        <f>HLOOKUP($H978,'GDP-PI'!$D$8:$CQ$11,3,FALSE)</f>
        <v>1.1028127770464469E-2</v>
      </c>
      <c r="DF978" s="351">
        <f>VLOOKUP(H978,'HW Dx Data'!$E:$F,2,FALSE)</f>
        <v>329.24564746449528</v>
      </c>
      <c r="DG978" s="330"/>
      <c r="DH978" s="330"/>
      <c r="DI978" s="330"/>
      <c r="DJ978" s="326"/>
      <c r="DK978" s="344">
        <f>HLOOKUP(H978,'GDP-PI'!$8:$9,2,FALSE)</f>
        <v>75.266999999999996</v>
      </c>
      <c r="DL978" s="292"/>
      <c r="EC978"/>
    </row>
    <row r="979" spans="1:133" s="126" customFormat="1" ht="21" customHeight="1" x14ac:dyDescent="0.4">
      <c r="A979" s="233" t="s">
        <v>240</v>
      </c>
      <c r="B979" s="126" t="s">
        <v>240</v>
      </c>
      <c r="C979" s="126">
        <v>4057140</v>
      </c>
      <c r="D979" s="127" t="s">
        <v>241</v>
      </c>
      <c r="E979" s="127"/>
      <c r="F979" s="144"/>
      <c r="G979" s="126" t="s">
        <v>155</v>
      </c>
      <c r="H979" s="128">
        <v>1999</v>
      </c>
      <c r="I979" s="129"/>
      <c r="J979" s="125"/>
      <c r="K979" s="129"/>
      <c r="L979" s="47"/>
      <c r="M979" s="129"/>
      <c r="N979" s="129"/>
      <c r="O979" s="129"/>
      <c r="P979" s="47"/>
      <c r="Q979" s="47"/>
      <c r="R979" s="386"/>
      <c r="S979" s="119"/>
      <c r="T979" s="47"/>
      <c r="U979" s="46"/>
      <c r="V979" s="135"/>
      <c r="W979" s="135"/>
      <c r="X979" s="135"/>
      <c r="Y979" s="143"/>
      <c r="Z979" s="135"/>
      <c r="AA979" s="135"/>
      <c r="AB979" s="135"/>
      <c r="AC979" s="125">
        <f t="shared" ref="AC979:AC1002" si="1772">+CL978*DB979</f>
        <v>0</v>
      </c>
      <c r="AD979" s="129"/>
      <c r="AE979" s="133">
        <v>2566.0144307935871</v>
      </c>
      <c r="AF979" s="134">
        <v>5.435907572997839E-2</v>
      </c>
      <c r="AG979" s="61"/>
      <c r="AH979" s="134"/>
      <c r="AI979" s="134"/>
      <c r="AJ979" s="129">
        <f t="shared" si="1680"/>
        <v>0</v>
      </c>
      <c r="AK979" s="134"/>
      <c r="AL979" s="129"/>
      <c r="AM979" s="134"/>
      <c r="AN979" s="134"/>
      <c r="AO979" s="134"/>
      <c r="AP979" s="133"/>
      <c r="AQ979" s="134"/>
      <c r="AR979" s="93"/>
      <c r="AS979" s="93"/>
      <c r="AT979" s="93"/>
      <c r="AU979" s="93"/>
      <c r="AV979" s="93"/>
      <c r="AW979" s="134"/>
      <c r="AX979" s="62"/>
      <c r="AY979" s="93"/>
      <c r="AZ979" s="93"/>
      <c r="BA979" s="93"/>
      <c r="BB979" s="234">
        <f>IFERROR(INDEX('Total Customers'!$E$7:$AA$91,MATCH($C979,'Total Customers'!$C$7:$C$91,0),MATCH($G979,'Total Customers'!$E$5:$AA$5,0)),"NA")</f>
        <v>671274</v>
      </c>
      <c r="BC979" s="269">
        <f t="shared" si="1768"/>
        <v>3.4601752468590381E-2</v>
      </c>
      <c r="BD979" s="92"/>
      <c r="BE979" s="299" t="str">
        <f t="shared" si="1764"/>
        <v>QUESTAR GAS COMPANY</v>
      </c>
      <c r="BF979" s="300">
        <f t="shared" si="1765"/>
        <v>4057140</v>
      </c>
      <c r="BG979" s="231" t="str">
        <f t="shared" si="1766"/>
        <v>UT</v>
      </c>
      <c r="BH979" s="231"/>
      <c r="BI979" s="231" t="str">
        <f t="shared" si="1767"/>
        <v>1999 Y</v>
      </c>
      <c r="BJ979" s="129"/>
      <c r="BK979" s="129"/>
      <c r="BL979" s="129">
        <f>INDEX('Dist. Plant Gas Additions'!$E$7:$AD$91,MATCH($C979,'Dist. Plant Gas Additions'!$C$7:$C$91,0),MATCH(Calculation!$G979,'Dist. Plant Gas Additions'!$E$5:$AD$5,0))</f>
        <v>40107</v>
      </c>
      <c r="BM979" s="129">
        <f>INDEX('Gen. Plant Additions'!$E$7:$AD$91,MATCH($C979,'Gen. Plant Additions'!$C$7:$C$91,0),MATCH(Calculation!$G979,'Gen. Plant Additions'!$E$5:$AD$5,0))</f>
        <v>9472</v>
      </c>
      <c r="BN979" s="301">
        <f t="shared" ref="BN979:BN1000" si="1773">+(BY979/(BY979+BZ979))</f>
        <v>0.85834393639111328</v>
      </c>
      <c r="BO979" s="231">
        <f t="shared" si="1722"/>
        <v>8130.233765496625</v>
      </c>
      <c r="BP979" s="231">
        <f t="shared" si="1723"/>
        <v>-1341.766234503375</v>
      </c>
      <c r="BQ979" s="129">
        <f>INDEX('Dist Plant Depreciation'!$D$7:$AC$94,MATCH($C979,'Dist Plant Depreciation'!$C$7:$C$94,0),MATCH(Calculation!$G979,'Dist Plant Depreciation'!$D$5:$AC$5,0))</f>
        <v>271133</v>
      </c>
      <c r="BR979" s="129">
        <f>INDEX('Gen. Plant Depreciation'!$D$7:$AC$94,MATCH($C979,'Gen. Plant Depreciation'!$C$7:$C$94,0),MATCH(Calculation!$G979,'Gen. Plant Depreciation'!$D$5:$AC$5,0))</f>
        <v>73735</v>
      </c>
      <c r="BS979" s="129"/>
      <c r="BT979" s="129"/>
      <c r="BU979" s="129"/>
      <c r="BV979" s="129"/>
      <c r="BW979" s="129"/>
      <c r="BX979" s="137"/>
      <c r="BY979" s="129">
        <f>INDEX('Gross Dx Plant'!$D$7:$AC$91,MATCH($C979,'Gross Dx Plant'!$C$7:$C$91,0),MATCH(Calculation!$G979,'Gross Dx Plant'!$D$5:$AC$5,0))</f>
        <v>725874</v>
      </c>
      <c r="BZ979" s="129">
        <f>INDEX('Gross Gen Plant'!$D$7:$AC$91,MATCH($C979,'Gross Gen Plant'!$C$7:$C$91,0),MATCH(Calculation!$G979,'Gross Gen Plant'!$D$5:$AC$5,0))</f>
        <v>119794</v>
      </c>
      <c r="CA979" s="129">
        <f t="shared" si="1721"/>
        <v>500800</v>
      </c>
      <c r="CB979" s="129"/>
      <c r="CC979" s="133">
        <v>1999</v>
      </c>
      <c r="CD979" s="129"/>
      <c r="CE979" s="129"/>
      <c r="CF979" s="129"/>
      <c r="CG979" s="137"/>
      <c r="CH979" s="129">
        <f t="shared" ref="CH979:CH1001" si="1774">+BM979+BL979</f>
        <v>49579</v>
      </c>
      <c r="CI979" s="46">
        <f>+CH979+BP979</f>
        <v>48237.233765496625</v>
      </c>
      <c r="CJ979" s="231">
        <f t="shared" ref="CJ979:CJ1002" si="1775">+CI979/$DF979</f>
        <v>143.8521881548094</v>
      </c>
      <c r="CK979" s="443">
        <v>0.99009900990099009</v>
      </c>
      <c r="CL979" s="231">
        <f>+CL978*CK979+CJ979</f>
        <v>2550.0419469684362</v>
      </c>
      <c r="CM979" s="134">
        <f t="shared" ref="CM979:CM1000" si="1776">LN(CL979/CL978)</f>
        <v>4.8114994531078065E-2</v>
      </c>
      <c r="CN979" s="135">
        <f t="shared" ref="CN979:CN1002" si="1777">+(CL978-CL979+CJ979)/CL978</f>
        <v>9.900990099009823E-3</v>
      </c>
      <c r="CO979" s="135"/>
      <c r="CP979" s="134">
        <f>VLOOKUP($H979,RoR!$E:$F,2,FALSE)</f>
        <v>7.0416666666666669E-2</v>
      </c>
      <c r="CQ979" s="135">
        <v>1.4335631817396832E-2</v>
      </c>
      <c r="CR979" s="135">
        <f>+CP979-CQ979</f>
        <v>5.6081034849269837E-2</v>
      </c>
      <c r="CS979" s="135"/>
      <c r="CT979" s="135"/>
      <c r="CU979" s="139">
        <f t="shared" ref="CU979:CU1002" si="1778">1-CZ979*DA979</f>
        <v>0.87050000000000005</v>
      </c>
      <c r="CV979" s="335">
        <f t="shared" ref="CV979:CV1002" si="1779">2/(DD979*39)</f>
        <v>0.72826581702321336</v>
      </c>
      <c r="CW979" s="335">
        <f t="shared" ref="CW979:CW1002" si="1780">+(DD979*40-(1+DD979))/(DD979*40)</f>
        <v>0.61997041420118348</v>
      </c>
      <c r="CX979" s="335">
        <f t="shared" ref="CX979:CX1002" si="1781">+(1-(1/(1+DD979)^40))</f>
        <v>0.93425155319585029</v>
      </c>
      <c r="CY979" s="335">
        <f t="shared" ref="CY979:CY1002" si="1782">+CX979*CW979*CV979</f>
        <v>0.42181762214141483</v>
      </c>
      <c r="CZ979" s="336">
        <f>INDEX('State Tax Lookup'!$D$7:$Z$91,MATCH(Calculation!$C979,'State Tax Lookup'!$B$7:$B$91,0),MATCH($H979,'State Tax Lookup'!$D$6:$Z$6,0))</f>
        <v>0.35</v>
      </c>
      <c r="DA979" s="302">
        <v>0.37</v>
      </c>
      <c r="DB979" s="57"/>
      <c r="DC979" s="56"/>
      <c r="DD979" s="303">
        <f>VLOOKUP($H979,RoR!$E:$F,2,FALSE)</f>
        <v>7.0416666666666669E-2</v>
      </c>
      <c r="DE979" s="304">
        <f>HLOOKUP($H979,'GDP-PI'!$D$8:$CQ$11,3,FALSE)</f>
        <v>1.4335631817396832E-2</v>
      </c>
      <c r="DF979" s="303">
        <f>VLOOKUP(H979,'HW Dx Data'!$E:$F,2,FALSE)</f>
        <v>335.32499146683239</v>
      </c>
      <c r="DG979" s="364"/>
      <c r="DH979" s="364"/>
      <c r="DI979" s="364"/>
      <c r="DJ979" s="56"/>
      <c r="DK979" s="53">
        <f>HLOOKUP(H979,'GDP-PI'!$8:$9,2,FALSE)</f>
        <v>76.346000000000004</v>
      </c>
      <c r="DL979" s="298"/>
      <c r="EC979"/>
    </row>
    <row r="980" spans="1:133" s="126" customFormat="1" ht="21" customHeight="1" x14ac:dyDescent="0.4">
      <c r="A980" s="233" t="s">
        <v>240</v>
      </c>
      <c r="B980" s="126" t="s">
        <v>240</v>
      </c>
      <c r="C980" s="126">
        <v>4057140</v>
      </c>
      <c r="D980" s="127" t="s">
        <v>241</v>
      </c>
      <c r="E980" s="127"/>
      <c r="F980" s="144"/>
      <c r="G980" s="126" t="s">
        <v>156</v>
      </c>
      <c r="H980" s="128">
        <v>2000</v>
      </c>
      <c r="I980" s="129"/>
      <c r="J980" s="125"/>
      <c r="K980" s="125"/>
      <c r="L980" s="47"/>
      <c r="M980" s="125"/>
      <c r="N980" s="125"/>
      <c r="O980" s="125"/>
      <c r="P980" s="47"/>
      <c r="Q980" s="47"/>
      <c r="R980" s="386"/>
      <c r="S980" s="119"/>
      <c r="T980" s="47"/>
      <c r="U980" s="47"/>
      <c r="V980" s="125"/>
      <c r="W980" s="125"/>
      <c r="X980" s="125"/>
      <c r="Y980" s="125"/>
      <c r="Z980" s="125"/>
      <c r="AA980" s="125"/>
      <c r="AB980" s="125"/>
      <c r="AC980" s="125">
        <f t="shared" si="1772"/>
        <v>0</v>
      </c>
      <c r="AD980" s="129"/>
      <c r="AE980" s="133">
        <v>2868.7533873116708</v>
      </c>
      <c r="AF980" s="134">
        <v>0.11152368556277686</v>
      </c>
      <c r="AG980" s="61"/>
      <c r="AH980" s="134"/>
      <c r="AI980" s="134"/>
      <c r="AJ980" s="129">
        <f t="shared" si="1680"/>
        <v>0</v>
      </c>
      <c r="AK980" s="134"/>
      <c r="AL980" s="129"/>
      <c r="AM980" s="129"/>
      <c r="AN980" s="129"/>
      <c r="AO980" s="129"/>
      <c r="AP980" s="133"/>
      <c r="AQ980" s="134"/>
      <c r="AR980" s="93"/>
      <c r="AS980" s="93"/>
      <c r="AT980" s="93"/>
      <c r="AU980" s="93"/>
      <c r="AV980" s="93"/>
      <c r="AW980" s="134"/>
      <c r="AX980" s="62"/>
      <c r="AY980" s="93"/>
      <c r="AZ980" s="93"/>
      <c r="BA980" s="93"/>
      <c r="BB980" s="234">
        <f>IFERROR(INDEX('Total Customers'!$E$7:$AA$91,MATCH($C980,'Total Customers'!$C$7:$C$91,0),MATCH($G980,'Total Customers'!$E$5:$AA$5,0)),"NA")</f>
        <v>706007</v>
      </c>
      <c r="BC980" s="269">
        <f t="shared" si="1768"/>
        <v>5.044775308440029E-2</v>
      </c>
      <c r="BD980" s="92"/>
      <c r="BE980" s="299" t="str">
        <f t="shared" si="1764"/>
        <v>QUESTAR GAS COMPANY</v>
      </c>
      <c r="BF980" s="300">
        <f t="shared" si="1765"/>
        <v>4057140</v>
      </c>
      <c r="BG980" s="231" t="str">
        <f t="shared" si="1766"/>
        <v>UT</v>
      </c>
      <c r="BH980" s="231"/>
      <c r="BI980" s="231" t="str">
        <f t="shared" si="1767"/>
        <v>2000 Y</v>
      </c>
      <c r="BJ980" s="129"/>
      <c r="BK980" s="129"/>
      <c r="BL980" s="129">
        <f>INDEX('Dist. Plant Gas Additions'!$E$7:$AD$91,MATCH($C980,'Dist. Plant Gas Additions'!$C$7:$C$91,0),MATCH(Calculation!$G980,'Dist. Plant Gas Additions'!$E$5:$AD$5,0))</f>
        <v>95334</v>
      </c>
      <c r="BM980" s="129">
        <f>INDEX('Gen. Plant Additions'!$E$7:$AD$91,MATCH($C980,'Gen. Plant Additions'!$C$7:$C$91,0),MATCH(Calculation!$G980,'Gen. Plant Additions'!$E$5:$AD$5,0))</f>
        <v>14147</v>
      </c>
      <c r="BN980" s="301">
        <f t="shared" si="1773"/>
        <v>0.86816683436905906</v>
      </c>
      <c r="BO980" s="231">
        <f t="shared" si="1722"/>
        <v>12281.956205819079</v>
      </c>
      <c r="BP980" s="231">
        <f t="shared" si="1723"/>
        <v>-1865.0437941809214</v>
      </c>
      <c r="BQ980" s="129">
        <f>INDEX('Dist Plant Depreciation'!$D$7:$AC$94,MATCH($C980,'Dist Plant Depreciation'!$C$7:$C$94,0),MATCH(Calculation!$G980,'Dist Plant Depreciation'!$D$5:$AC$5,0))</f>
        <v>292616</v>
      </c>
      <c r="BR980" s="129">
        <f>INDEX('Gen. Plant Depreciation'!$D$7:$AC$94,MATCH($C980,'Gen. Plant Depreciation'!$C$7:$C$94,0),MATCH(Calculation!$G980,'Gen. Plant Depreciation'!$D$5:$AC$5,0))</f>
        <v>75710</v>
      </c>
      <c r="BS980" s="129"/>
      <c r="BT980" s="129"/>
      <c r="BU980" s="129"/>
      <c r="BV980" s="129"/>
      <c r="BW980" s="129"/>
      <c r="BX980" s="137"/>
      <c r="BY980" s="129">
        <f>INDEX('Gross Dx Plant'!$D$7:$AC$91,MATCH($C980,'Gross Dx Plant'!$C$7:$C$91,0),MATCH(Calculation!$G980,'Gross Dx Plant'!$D$5:$AC$5,0))</f>
        <v>818802</v>
      </c>
      <c r="BZ980" s="129">
        <f>INDEX('Gross Gen Plant'!$D$7:$AC$91,MATCH($C980,'Gross Gen Plant'!$C$7:$C$91,0),MATCH(Calculation!$G980,'Gross Gen Plant'!$D$5:$AC$5,0))</f>
        <v>124337</v>
      </c>
      <c r="CA980" s="129">
        <f t="shared" si="1721"/>
        <v>574813</v>
      </c>
      <c r="CB980" s="129"/>
      <c r="CC980" s="133">
        <v>2000</v>
      </c>
      <c r="CD980" s="129"/>
      <c r="CE980" s="129"/>
      <c r="CF980" s="129"/>
      <c r="CG980" s="137"/>
      <c r="CH980" s="129">
        <f t="shared" si="1774"/>
        <v>109481</v>
      </c>
      <c r="CI980" s="46">
        <f t="shared" ref="CI980:CI1002" si="1783">+CH980+BP980</f>
        <v>107615.95620581908</v>
      </c>
      <c r="CJ980" s="231">
        <f t="shared" si="1775"/>
        <v>310.54974067848474</v>
      </c>
      <c r="CK980" s="443">
        <v>0.98</v>
      </c>
      <c r="CL980" s="231">
        <f>+CL978*CK980+CJ979*CK979+CJ980</f>
        <v>2834.6242730163799</v>
      </c>
      <c r="CM980" s="134">
        <f t="shared" si="1776"/>
        <v>0.10579958800616242</v>
      </c>
      <c r="CN980" s="135">
        <f t="shared" si="1777"/>
        <v>1.0183132344709781E-2</v>
      </c>
      <c r="CO980" s="135"/>
      <c r="CP980" s="134">
        <f>VLOOKUP($H980,RoR!$E:$F,2,FALSE)</f>
        <v>7.6225000000000001E-2</v>
      </c>
      <c r="CQ980" s="135">
        <v>2.2568307442433211E-2</v>
      </c>
      <c r="CR980" s="135">
        <f t="shared" ref="CR980:CR1000" si="1784">+CP980-CQ980</f>
        <v>5.365669255756679E-2</v>
      </c>
      <c r="CS980" s="135"/>
      <c r="CT980" s="135"/>
      <c r="CU980" s="139">
        <f t="shared" si="1778"/>
        <v>0.87050000000000005</v>
      </c>
      <c r="CV980" s="335">
        <f t="shared" si="1779"/>
        <v>0.67277207323124022</v>
      </c>
      <c r="CW980" s="335">
        <f t="shared" si="1780"/>
        <v>0.6470236142997704</v>
      </c>
      <c r="CX980" s="335">
        <f t="shared" si="1781"/>
        <v>0.94704866037543145</v>
      </c>
      <c r="CY980" s="335">
        <f t="shared" si="1782"/>
        <v>0.41224973107878493</v>
      </c>
      <c r="CZ980" s="336">
        <f>INDEX('State Tax Lookup'!$D$7:$Z$91,MATCH(Calculation!$C980,'State Tax Lookup'!$B$7:$B$91,0),MATCH($H980,'State Tax Lookup'!$D$6:$Z$6,0))</f>
        <v>0.35</v>
      </c>
      <c r="DA980" s="302">
        <v>0.37</v>
      </c>
      <c r="DB980" s="57"/>
      <c r="DC980" s="56"/>
      <c r="DD980" s="303">
        <f>VLOOKUP($H980,RoR!$E:$F,2,FALSE)</f>
        <v>7.6225000000000001E-2</v>
      </c>
      <c r="DE980" s="304">
        <f>HLOOKUP($H980,'GDP-PI'!$D$8:$CQ$11,3,FALSE)</f>
        <v>2.2568307442433211E-2</v>
      </c>
      <c r="DF980" s="303">
        <f>VLOOKUP(H980,'HW Dx Data'!$E:$F,2,FALSE)</f>
        <v>346.53371782150339</v>
      </c>
      <c r="DG980" s="364"/>
      <c r="DH980" s="364"/>
      <c r="DI980" s="364"/>
      <c r="DJ980" s="56"/>
      <c r="DK980" s="53">
        <f>HLOOKUP(H980,'GDP-PI'!$8:$9,2,FALSE)</f>
        <v>78.069000000000003</v>
      </c>
      <c r="DL980" s="298"/>
      <c r="EC980"/>
    </row>
    <row r="981" spans="1:133" s="126" customFormat="1" ht="21" customHeight="1" x14ac:dyDescent="0.4">
      <c r="A981" s="233" t="s">
        <v>240</v>
      </c>
      <c r="B981" s="126" t="s">
        <v>240</v>
      </c>
      <c r="C981" s="126">
        <v>4057140</v>
      </c>
      <c r="D981" s="127" t="s">
        <v>241</v>
      </c>
      <c r="E981" s="127"/>
      <c r="F981" s="144"/>
      <c r="G981" s="126" t="s">
        <v>157</v>
      </c>
      <c r="H981" s="128">
        <v>2001</v>
      </c>
      <c r="I981" s="129"/>
      <c r="J981" s="125"/>
      <c r="K981" s="125"/>
      <c r="L981" s="47"/>
      <c r="M981" s="125"/>
      <c r="N981" s="125"/>
      <c r="O981" s="125"/>
      <c r="P981" s="47"/>
      <c r="Q981" s="47"/>
      <c r="R981" s="386"/>
      <c r="S981" s="119"/>
      <c r="T981" s="47"/>
      <c r="U981" s="47"/>
      <c r="V981" s="125"/>
      <c r="W981" s="125"/>
      <c r="X981" s="125"/>
      <c r="Y981" s="125"/>
      <c r="Z981" s="125"/>
      <c r="AA981" s="125"/>
      <c r="AB981" s="125"/>
      <c r="AC981" s="125">
        <f t="shared" si="1772"/>
        <v>28209.521820494218</v>
      </c>
      <c r="AD981" s="129"/>
      <c r="AE981" s="133">
        <v>3068.5983864350897</v>
      </c>
      <c r="AF981" s="134">
        <v>6.7343330109602167E-2</v>
      </c>
      <c r="AG981" s="61"/>
      <c r="AH981" s="134"/>
      <c r="AI981" s="134"/>
      <c r="AJ981" s="129">
        <f t="shared" si="1680"/>
        <v>28209.521820494218</v>
      </c>
      <c r="AK981" s="134"/>
      <c r="AL981" s="129"/>
      <c r="AM981" s="129"/>
      <c r="AN981" s="129"/>
      <c r="AO981" s="129"/>
      <c r="AP981" s="133"/>
      <c r="AQ981" s="134"/>
      <c r="AR981" s="93"/>
      <c r="AS981" s="93"/>
      <c r="AT981" s="93"/>
      <c r="AU981" s="93"/>
      <c r="AV981" s="93"/>
      <c r="AW981" s="134"/>
      <c r="AX981" s="62"/>
      <c r="AY981" s="93"/>
      <c r="AZ981" s="93"/>
      <c r="BA981" s="93"/>
      <c r="BB981" s="234">
        <f>IFERROR(INDEX('Total Customers'!$E$7:$AA$91,MATCH($C981,'Total Customers'!$C$7:$C$91,0),MATCH($G981,'Total Customers'!$E$5:$AA$5,0)),"NA")</f>
        <v>732756</v>
      </c>
      <c r="BC981" s="269">
        <f t="shared" si="1768"/>
        <v>3.7187615430852049E-2</v>
      </c>
      <c r="BD981" s="92"/>
      <c r="BE981" s="299" t="str">
        <f t="shared" si="1764"/>
        <v>QUESTAR GAS COMPANY</v>
      </c>
      <c r="BF981" s="300">
        <f t="shared" si="1765"/>
        <v>4057140</v>
      </c>
      <c r="BG981" s="231" t="str">
        <f t="shared" si="1766"/>
        <v>UT</v>
      </c>
      <c r="BH981" s="231"/>
      <c r="BI981" s="231" t="str">
        <f t="shared" si="1767"/>
        <v>2001 Y</v>
      </c>
      <c r="BJ981" s="129"/>
      <c r="BK981" s="129"/>
      <c r="BL981" s="129">
        <f>INDEX('Dist. Plant Gas Additions'!$E$7:$AD$91,MATCH($C981,'Dist. Plant Gas Additions'!$C$7:$C$91,0),MATCH(Calculation!$G981,'Dist. Plant Gas Additions'!$E$5:$AD$5,0))</f>
        <v>56613</v>
      </c>
      <c r="BM981" s="129">
        <f>INDEX('Gen. Plant Additions'!$E$7:$AD$91,MATCH($C981,'Gen. Plant Additions'!$C$7:$C$91,0),MATCH(Calculation!$G981,'Gen. Plant Additions'!$E$5:$AD$5,0))</f>
        <v>18828</v>
      </c>
      <c r="BN981" s="301">
        <f t="shared" si="1773"/>
        <v>0.86412520420703509</v>
      </c>
      <c r="BO981" s="231">
        <f t="shared" si="1722"/>
        <v>16269.749344810056</v>
      </c>
      <c r="BP981" s="231">
        <f t="shared" si="1723"/>
        <v>-2558.2506551899442</v>
      </c>
      <c r="BQ981" s="129">
        <f>INDEX('Dist Plant Depreciation'!$D$7:$AC$94,MATCH($C981,'Dist Plant Depreciation'!$C$7:$C$94,0),MATCH(Calculation!$G981,'Dist Plant Depreciation'!$D$5:$AC$5,0))</f>
        <v>84751</v>
      </c>
      <c r="BR981" s="129">
        <f>INDEX('Gen. Plant Depreciation'!$D$7:$AC$94,MATCH($C981,'Gen. Plant Depreciation'!$C$7:$C$94,0),MATCH(Calculation!$G981,'Gen. Plant Depreciation'!$D$5:$AC$5,0))</f>
        <v>323836</v>
      </c>
      <c r="BS981" s="129"/>
      <c r="BT981" s="129"/>
      <c r="BU981" s="129"/>
      <c r="BV981" s="129"/>
      <c r="BW981" s="129"/>
      <c r="BX981" s="137"/>
      <c r="BY981" s="129">
        <f>INDEX('Gross Dx Plant'!$D$7:$AC$91,MATCH($C981,'Gross Dx Plant'!$C$7:$C$91,0),MATCH(Calculation!$G981,'Gross Dx Plant'!$D$5:$AC$5,0))</f>
        <v>875415</v>
      </c>
      <c r="BZ981" s="129">
        <f>INDEX('Gross Gen Plant'!$D$7:$AC$91,MATCH($C981,'Gross Gen Plant'!$C$7:$C$91,0),MATCH(Calculation!$G981,'Gross Gen Plant'!$D$5:$AC$5,0))</f>
        <v>137650</v>
      </c>
      <c r="CA981" s="129">
        <f t="shared" si="1721"/>
        <v>604478</v>
      </c>
      <c r="CB981" s="129"/>
      <c r="CC981" s="133">
        <v>2001</v>
      </c>
      <c r="CD981" s="129"/>
      <c r="CE981" s="129"/>
      <c r="CF981" s="129"/>
      <c r="CG981" s="137"/>
      <c r="CH981" s="129">
        <f t="shared" si="1774"/>
        <v>75441</v>
      </c>
      <c r="CI981" s="46">
        <f t="shared" si="1783"/>
        <v>72882.749344810058</v>
      </c>
      <c r="CJ981" s="231">
        <f t="shared" si="1775"/>
        <v>206.20537435801302</v>
      </c>
      <c r="CK981" s="443">
        <v>0.96969696969696972</v>
      </c>
      <c r="CL981" s="231">
        <f>+CL978*CK981+CJ979*CK980+CJ980*CK978+CJ981</f>
        <v>3014.3379262420417</v>
      </c>
      <c r="CM981" s="134">
        <f t="shared" si="1776"/>
        <v>6.14708159460466E-2</v>
      </c>
      <c r="CN981" s="135">
        <f t="shared" si="1777"/>
        <v>9.3457610536019468E-3</v>
      </c>
      <c r="CO981" s="135">
        <f>+(CN981+CN980+CN979)/3</f>
        <v>9.8099611657738502E-3</v>
      </c>
      <c r="CP981" s="134">
        <f>VLOOKUP($H981,RoR!$E:$F,2,FALSE)</f>
        <v>7.0824999999999999E-2</v>
      </c>
      <c r="CQ981" s="135">
        <v>2.2454495382290052E-2</v>
      </c>
      <c r="CR981" s="135">
        <f t="shared" si="1784"/>
        <v>4.8370504617709947E-2</v>
      </c>
      <c r="CS981" s="135">
        <f>+$CR$2-CO981</f>
        <v>2.1091980442759777E-2</v>
      </c>
      <c r="CT981" s="135">
        <f>+((DF979/DF978-1)+(DF980/DF979-1)+(DF981/DF980-1))/3</f>
        <v>2.3947275901631187E-2</v>
      </c>
      <c r="CU981" s="139">
        <f t="shared" si="1778"/>
        <v>0.87050000000000005</v>
      </c>
      <c r="CV981" s="335">
        <f t="shared" si="1779"/>
        <v>0.72406708481540816</v>
      </c>
      <c r="CW981" s="335">
        <f t="shared" si="1780"/>
        <v>0.62201729615248857</v>
      </c>
      <c r="CX981" s="335">
        <f t="shared" si="1781"/>
        <v>0.9352469954311422</v>
      </c>
      <c r="CY981" s="335">
        <f t="shared" si="1782"/>
        <v>0.42121864641655071</v>
      </c>
      <c r="CZ981" s="336">
        <f>INDEX('State Tax Lookup'!$D$7:$Z$91,MATCH(Calculation!$C981,'State Tax Lookup'!$B$7:$B$91,0),MATCH($H981,'State Tax Lookup'!$D$6:$Z$6,0))</f>
        <v>0.35</v>
      </c>
      <c r="DA981" s="302">
        <v>0.37</v>
      </c>
      <c r="DB981" s="57">
        <f t="shared" ref="DB981:DB1002" si="1785">+(DF981*CS981-CT981)*CU981/(1-CZ981)</f>
        <v>9.9517675372460932</v>
      </c>
      <c r="DC981" s="56"/>
      <c r="DD981" s="303">
        <f>VLOOKUP($H981,RoR!$E:$F,2,FALSE)</f>
        <v>7.0824999999999999E-2</v>
      </c>
      <c r="DE981" s="304">
        <f>HLOOKUP($H981,'GDP-PI'!$D$8:$CQ$11,3,FALSE)</f>
        <v>2.2454495382290052E-2</v>
      </c>
      <c r="DF981" s="303">
        <f>VLOOKUP(H981,'HW Dx Data'!$E:$F,2,FALSE)</f>
        <v>353.44738017483138</v>
      </c>
      <c r="DG981" s="364"/>
      <c r="DH981" s="364"/>
      <c r="DI981" s="364"/>
      <c r="DJ981" s="56"/>
      <c r="DK981" s="53">
        <f>HLOOKUP(H981,'GDP-PI'!$8:$9,2,FALSE)</f>
        <v>79.822000000000003</v>
      </c>
      <c r="DL981" s="298"/>
      <c r="EC981"/>
    </row>
    <row r="982" spans="1:133" s="126" customFormat="1" ht="21" customHeight="1" x14ac:dyDescent="0.4">
      <c r="A982" s="233" t="s">
        <v>240</v>
      </c>
      <c r="B982" s="126" t="s">
        <v>240</v>
      </c>
      <c r="C982" s="126">
        <v>4057140</v>
      </c>
      <c r="D982" s="127" t="s">
        <v>241</v>
      </c>
      <c r="E982" s="127"/>
      <c r="F982" s="144"/>
      <c r="G982" s="126" t="s">
        <v>158</v>
      </c>
      <c r="H982" s="128">
        <v>2002</v>
      </c>
      <c r="I982" s="129"/>
      <c r="J982" s="125"/>
      <c r="K982" s="125"/>
      <c r="L982" s="47"/>
      <c r="M982" s="125"/>
      <c r="N982" s="125"/>
      <c r="O982" s="125"/>
      <c r="P982" s="47"/>
      <c r="Q982" s="47"/>
      <c r="R982" s="386"/>
      <c r="S982" s="119"/>
      <c r="T982" s="47"/>
      <c r="U982" s="47"/>
      <c r="V982" s="125"/>
      <c r="W982" s="125"/>
      <c r="X982" s="125"/>
      <c r="Y982" s="125"/>
      <c r="Z982" s="125"/>
      <c r="AA982" s="125"/>
      <c r="AB982" s="125"/>
      <c r="AC982" s="125">
        <f t="shared" si="1772"/>
        <v>29787.991192918118</v>
      </c>
      <c r="AD982" s="129"/>
      <c r="AE982" s="133">
        <v>3296.3398701488386</v>
      </c>
      <c r="AF982" s="134">
        <v>7.1591816976495942E-2</v>
      </c>
      <c r="AG982" s="61"/>
      <c r="AH982" s="134"/>
      <c r="AI982" s="134"/>
      <c r="AJ982" s="129">
        <f t="shared" si="1680"/>
        <v>29787.991192918118</v>
      </c>
      <c r="AK982" s="134"/>
      <c r="AL982" s="129"/>
      <c r="AM982" s="129"/>
      <c r="AN982" s="129"/>
      <c r="AO982" s="129"/>
      <c r="AP982" s="133"/>
      <c r="AQ982" s="134"/>
      <c r="AR982" s="93"/>
      <c r="AS982" s="93"/>
      <c r="AT982" s="93"/>
      <c r="AU982" s="93"/>
      <c r="AV982" s="93"/>
      <c r="AW982" s="134"/>
      <c r="AX982" s="62"/>
      <c r="AY982" s="93"/>
      <c r="AZ982" s="93"/>
      <c r="BA982" s="93"/>
      <c r="BB982" s="234">
        <f>IFERROR(INDEX('Total Customers'!$E$7:$AA$91,MATCH($C982,'Total Customers'!$C$7:$C$91,0),MATCH($G982,'Total Customers'!$E$5:$AA$5,0)),"NA")</f>
        <v>735847</v>
      </c>
      <c r="BC982" s="269">
        <f t="shared" si="1768"/>
        <v>4.2094487948560891E-3</v>
      </c>
      <c r="BD982" s="92"/>
      <c r="BE982" s="299" t="str">
        <f t="shared" si="1764"/>
        <v>QUESTAR GAS COMPANY</v>
      </c>
      <c r="BF982" s="300">
        <f t="shared" si="1765"/>
        <v>4057140</v>
      </c>
      <c r="BG982" s="231" t="str">
        <f t="shared" si="1766"/>
        <v>UT</v>
      </c>
      <c r="BH982" s="231"/>
      <c r="BI982" s="231" t="str">
        <f t="shared" si="1767"/>
        <v>2002 Y</v>
      </c>
      <c r="BJ982" s="129"/>
      <c r="BK982" s="129"/>
      <c r="BL982" s="129">
        <f>INDEX('Dist. Plant Gas Additions'!$E$7:$AD$91,MATCH($C982,'Dist. Plant Gas Additions'!$C$7:$C$91,0),MATCH(Calculation!$G982,'Dist. Plant Gas Additions'!$E$5:$AD$5,0))</f>
        <v>78626</v>
      </c>
      <c r="BM982" s="129">
        <f>INDEX('Gen. Plant Additions'!$E$7:$AD$91,MATCH($C982,'Gen. Plant Additions'!$C$7:$C$91,0),MATCH(Calculation!$G982,'Gen. Plant Additions'!$E$5:$AD$5,0))</f>
        <v>10272</v>
      </c>
      <c r="BN982" s="301">
        <f t="shared" si="1773"/>
        <v>0.86842544542027988</v>
      </c>
      <c r="BO982" s="231">
        <f t="shared" si="1722"/>
        <v>8920.4661753571145</v>
      </c>
      <c r="BP982" s="231">
        <f t="shared" si="1723"/>
        <v>-1351.5338246428855</v>
      </c>
      <c r="BQ982" s="129"/>
      <c r="BR982" s="129"/>
      <c r="BS982" s="129"/>
      <c r="BT982" s="129"/>
      <c r="BU982" s="129"/>
      <c r="BV982" s="129"/>
      <c r="BW982" s="129"/>
      <c r="BX982" s="137"/>
      <c r="BY982" s="129">
        <f>INDEX('Gross Dx Plant'!$D$7:$AC$91,MATCH($C982,'Gross Dx Plant'!$C$7:$C$91,0),MATCH(Calculation!$G982,'Gross Dx Plant'!$D$5:$AC$5,0))</f>
        <v>941645</v>
      </c>
      <c r="BZ982" s="129">
        <f>INDEX('Gross Gen Plant'!$D$7:$AC$91,MATCH($C982,'Gross Gen Plant'!$C$7:$C$91,0),MATCH(Calculation!$G982,'Gross Gen Plant'!$D$5:$AC$5,0))</f>
        <v>142668</v>
      </c>
      <c r="CA982" s="129">
        <f t="shared" si="1721"/>
        <v>1084313</v>
      </c>
      <c r="CB982" s="129"/>
      <c r="CC982" s="133">
        <v>2002</v>
      </c>
      <c r="CD982" s="129"/>
      <c r="CE982" s="129"/>
      <c r="CF982" s="129"/>
      <c r="CG982" s="137"/>
      <c r="CH982" s="129">
        <f t="shared" si="1774"/>
        <v>88898</v>
      </c>
      <c r="CI982" s="46">
        <f t="shared" si="1783"/>
        <v>87546.466175357113</v>
      </c>
      <c r="CJ982" s="231">
        <f t="shared" si="1775"/>
        <v>242.27732275184684</v>
      </c>
      <c r="CK982" s="443">
        <v>0.95918367346938771</v>
      </c>
      <c r="CL982" s="231">
        <f>+CL978*CK982+CJ979*CK981+CJ980*CK980+CJ981*CK979+CJ982</f>
        <v>3221.3305477853978</v>
      </c>
      <c r="CM982" s="134">
        <f t="shared" si="1776"/>
        <v>6.6414275026247402E-2</v>
      </c>
      <c r="CN982" s="135">
        <f t="shared" si="1777"/>
        <v>1.1705622286509851E-2</v>
      </c>
      <c r="CO982" s="135">
        <f t="shared" ref="CO982:CO1002" si="1786">+(CN982+CN981+CN980)/3</f>
        <v>1.041150522827386E-2</v>
      </c>
      <c r="CP982" s="134">
        <f>VLOOKUP($H982,RoR!$E:$F,2,FALSE)</f>
        <v>6.4916666666666664E-2</v>
      </c>
      <c r="CQ982" s="135">
        <v>1.5246423291824351E-2</v>
      </c>
      <c r="CR982" s="135">
        <f t="shared" si="1784"/>
        <v>4.9670243374842313E-2</v>
      </c>
      <c r="CS982" s="135">
        <f t="shared" ref="CS982:CS1002" si="1787">+$CR$2-CO982</f>
        <v>2.0490436380259765E-2</v>
      </c>
      <c r="CT982" s="135">
        <f t="shared" ref="CT982:CT1002" si="1788">+((DF980/DF979-1)+(DF981/DF980-1)+(DF982/DF981-1))/3</f>
        <v>2.5243621214759093E-2</v>
      </c>
      <c r="CU982" s="139">
        <f t="shared" si="1778"/>
        <v>0.87050000000000005</v>
      </c>
      <c r="CV982" s="335">
        <f t="shared" si="1779"/>
        <v>0.78996741384417901</v>
      </c>
      <c r="CW982" s="335">
        <f t="shared" si="1780"/>
        <v>0.58989088575096271</v>
      </c>
      <c r="CX982" s="335">
        <f t="shared" si="1781"/>
        <v>0.91920675783645744</v>
      </c>
      <c r="CY982" s="335">
        <f t="shared" si="1782"/>
        <v>0.42834536472275586</v>
      </c>
      <c r="CZ982" s="336">
        <f>INDEX('State Tax Lookup'!$D$7:$Z$91,MATCH(Calculation!$C982,'State Tax Lookup'!$B$7:$B$91,0),MATCH($H982,'State Tax Lookup'!$D$6:$Z$6,0))</f>
        <v>0.35</v>
      </c>
      <c r="DA982" s="302">
        <v>0.37</v>
      </c>
      <c r="DB982" s="57">
        <f t="shared" si="1785"/>
        <v>9.882100786906344</v>
      </c>
      <c r="DC982" s="56">
        <f t="shared" ref="DC982:DC1000" si="1789">LN(DB982/DB981)</f>
        <v>-7.0250579174754796E-3</v>
      </c>
      <c r="DD982" s="303">
        <f>VLOOKUP($H982,RoR!$E:$F,2,FALSE)</f>
        <v>6.4916666666666664E-2</v>
      </c>
      <c r="DE982" s="304">
        <f>HLOOKUP($H982,'GDP-PI'!$D$8:$CQ$11,3,FALSE)</f>
        <v>1.5246423291824351E-2</v>
      </c>
      <c r="DF982" s="303">
        <f>VLOOKUP(H982,'HW Dx Data'!$E:$F,2,FALSE)</f>
        <v>361.34816573413599</v>
      </c>
      <c r="DG982" s="364"/>
      <c r="DH982" s="364"/>
      <c r="DI982" s="364"/>
      <c r="DJ982" s="56"/>
      <c r="DK982" s="53">
        <f>HLOOKUP(H982,'GDP-PI'!$8:$9,2,FALSE)</f>
        <v>81.039000000000001</v>
      </c>
      <c r="DL982" s="355">
        <f>LN(DK982/DK981)</f>
        <v>1.513136459537477E-2</v>
      </c>
      <c r="EC982"/>
    </row>
    <row r="983" spans="1:133" s="126" customFormat="1" ht="21" customHeight="1" x14ac:dyDescent="0.4">
      <c r="A983" s="233" t="s">
        <v>240</v>
      </c>
      <c r="B983" s="126" t="s">
        <v>240</v>
      </c>
      <c r="C983" s="126">
        <v>4057140</v>
      </c>
      <c r="D983" s="127" t="s">
        <v>241</v>
      </c>
      <c r="E983" s="127"/>
      <c r="F983" s="144"/>
      <c r="G983" s="126" t="s">
        <v>159</v>
      </c>
      <c r="H983" s="128">
        <v>2003</v>
      </c>
      <c r="I983" s="129"/>
      <c r="J983" s="125"/>
      <c r="K983" s="125"/>
      <c r="L983" s="47"/>
      <c r="M983" s="125"/>
      <c r="N983" s="125"/>
      <c r="O983" s="125"/>
      <c r="P983" s="59"/>
      <c r="Q983" s="59"/>
      <c r="R983" s="386"/>
      <c r="S983" s="119"/>
      <c r="T983" s="59"/>
      <c r="U983" s="59"/>
      <c r="V983" s="125"/>
      <c r="W983" s="125"/>
      <c r="X983" s="125"/>
      <c r="Y983" s="125"/>
      <c r="Z983" s="125"/>
      <c r="AA983" s="125"/>
      <c r="AB983" s="125"/>
      <c r="AC983" s="125">
        <f t="shared" si="1772"/>
        <v>32140.614652806256</v>
      </c>
      <c r="AD983" s="129"/>
      <c r="AE983" s="133">
        <v>3458.930383188112</v>
      </c>
      <c r="AF983" s="134">
        <v>4.8146680795429553E-2</v>
      </c>
      <c r="AG983" s="61"/>
      <c r="AH983" s="134"/>
      <c r="AI983" s="134"/>
      <c r="AJ983" s="129">
        <f t="shared" si="1680"/>
        <v>32140.614652806256</v>
      </c>
      <c r="AK983" s="134"/>
      <c r="AL983" s="129"/>
      <c r="AM983" s="129"/>
      <c r="AN983" s="129"/>
      <c r="AO983" s="129"/>
      <c r="AP983" s="133"/>
      <c r="AQ983" s="134"/>
      <c r="AR983" s="93"/>
      <c r="AS983" s="93"/>
      <c r="AT983" s="93"/>
      <c r="AU983" s="93"/>
      <c r="AV983" s="93"/>
      <c r="AW983" s="134"/>
      <c r="AX983" s="62"/>
      <c r="AY983" s="93"/>
      <c r="AZ983" s="93"/>
      <c r="BA983" s="93"/>
      <c r="BB983" s="234">
        <f>IFERROR(INDEX('Total Customers'!$E$7:$AA$91,MATCH($C983,'Total Customers'!$C$7:$C$91,0),MATCH($G983,'Total Customers'!$E$5:$AA$5,0)),"NA")</f>
        <v>755075</v>
      </c>
      <c r="BC983" s="269">
        <f t="shared" si="1768"/>
        <v>2.5794865379740611E-2</v>
      </c>
      <c r="BD983" s="92"/>
      <c r="BE983" s="299" t="str">
        <f t="shared" si="1764"/>
        <v>QUESTAR GAS COMPANY</v>
      </c>
      <c r="BF983" s="300">
        <f t="shared" si="1765"/>
        <v>4057140</v>
      </c>
      <c r="BG983" s="231" t="str">
        <f t="shared" si="1766"/>
        <v>UT</v>
      </c>
      <c r="BH983" s="231"/>
      <c r="BI983" s="231" t="str">
        <f t="shared" si="1767"/>
        <v>2003 Y</v>
      </c>
      <c r="BJ983" s="129"/>
      <c r="BK983" s="129"/>
      <c r="BL983" s="129">
        <f>INDEX('Dist. Plant Gas Additions'!$E$7:$AD$91,MATCH($C983,'Dist. Plant Gas Additions'!$C$7:$C$91,0),MATCH(Calculation!$G983,'Dist. Plant Gas Additions'!$E$5:$AD$5,0))</f>
        <v>63959</v>
      </c>
      <c r="BM983" s="129">
        <f>INDEX('Gen. Plant Additions'!$E$7:$AD$91,MATCH($C983,'Gen. Plant Additions'!$C$7:$C$91,0),MATCH(Calculation!$G983,'Gen. Plant Additions'!$E$5:$AD$5,0))</f>
        <v>2889</v>
      </c>
      <c r="BN983" s="301">
        <f t="shared" si="1773"/>
        <v>0.8786183746804872</v>
      </c>
      <c r="BO983" s="231">
        <f t="shared" si="1722"/>
        <v>2538.3284844519276</v>
      </c>
      <c r="BP983" s="231">
        <f t="shared" si="1723"/>
        <v>-350.67151554807242</v>
      </c>
      <c r="BQ983" s="129">
        <f>INDEX('Dist Plant Depreciation'!$D$7:$AC$94,MATCH($C983,'Dist Plant Depreciation'!$C$7:$C$94,0),MATCH(Calculation!$G983,'Dist Plant Depreciation'!$D$5:$AC$5,0))</f>
        <v>351229</v>
      </c>
      <c r="BR983" s="129">
        <f>INDEX('Gen. Plant Depreciation'!$D$7:$AC$94,MATCH($C983,'Gen. Plant Depreciation'!$C$7:$C$94,0),MATCH(Calculation!$G983,'Gen. Plant Depreciation'!$D$5:$AC$5,0))</f>
        <v>103509</v>
      </c>
      <c r="BS983" s="129"/>
      <c r="BT983" s="129"/>
      <c r="BU983" s="129"/>
      <c r="BV983" s="129"/>
      <c r="BW983" s="129"/>
      <c r="BX983" s="137"/>
      <c r="BY983" s="129">
        <f>INDEX('Gross Dx Plant'!$D$7:$AC$91,MATCH($C983,'Gross Dx Plant'!$C$7:$C$91,0),MATCH(Calculation!$G983,'Gross Dx Plant'!$D$5:$AC$5,0))</f>
        <v>990984</v>
      </c>
      <c r="BZ983" s="129">
        <f>INDEX('Gross Gen Plant'!$D$7:$AC$91,MATCH($C983,'Gross Gen Plant'!$C$7:$C$91,0),MATCH(Calculation!$G983,'Gross Gen Plant'!$D$5:$AC$5,0))</f>
        <v>136905</v>
      </c>
      <c r="CA983" s="129">
        <f t="shared" si="1721"/>
        <v>673151</v>
      </c>
      <c r="CB983" s="129"/>
      <c r="CC983" s="133">
        <v>2003</v>
      </c>
      <c r="CD983" s="129"/>
      <c r="CE983" s="129"/>
      <c r="CF983" s="129"/>
      <c r="CG983" s="137"/>
      <c r="CH983" s="129">
        <f t="shared" si="1774"/>
        <v>66848</v>
      </c>
      <c r="CI983" s="46">
        <f t="shared" si="1783"/>
        <v>66497.328484451922</v>
      </c>
      <c r="CJ983" s="231">
        <f t="shared" si="1775"/>
        <v>180.09583788933713</v>
      </c>
      <c r="CK983" s="443">
        <v>0.94845360824742264</v>
      </c>
      <c r="CL983" s="231">
        <f>+CL978*CK983+CJ979*CK982+CJ980*CK981+CJ981*CK980+CJ982*CK979+CJ983</f>
        <v>3366.1564073488294</v>
      </c>
      <c r="CM983" s="134">
        <f t="shared" si="1776"/>
        <v>4.3977073713743528E-2</v>
      </c>
      <c r="CN983" s="135">
        <f t="shared" si="1777"/>
        <v>1.094888518974031E-2</v>
      </c>
      <c r="CO983" s="135">
        <f t="shared" si="1786"/>
        <v>1.0666756176617368E-2</v>
      </c>
      <c r="CP983" s="134">
        <f>VLOOKUP($H983,RoR!$E:$F,2,FALSE)</f>
        <v>5.6666666666666671E-2</v>
      </c>
      <c r="CQ983" s="135">
        <v>1.8855119140166909E-2</v>
      </c>
      <c r="CR983" s="135">
        <f t="shared" si="1784"/>
        <v>3.7811547526499761E-2</v>
      </c>
      <c r="CS983" s="135">
        <f t="shared" si="1787"/>
        <v>2.0235185431916256E-2</v>
      </c>
      <c r="CT983" s="135">
        <f t="shared" si="1788"/>
        <v>2.1375012817671957E-2</v>
      </c>
      <c r="CU983" s="139">
        <f t="shared" si="1778"/>
        <v>0.87050000000000005</v>
      </c>
      <c r="CV983" s="335">
        <f t="shared" si="1779"/>
        <v>0.90497737556561086</v>
      </c>
      <c r="CW983" s="335">
        <f t="shared" si="1780"/>
        <v>0.5338235294117647</v>
      </c>
      <c r="CX983" s="335">
        <f t="shared" si="1781"/>
        <v>0.88972433127405692</v>
      </c>
      <c r="CY983" s="335">
        <f t="shared" si="1782"/>
        <v>0.42982423775949252</v>
      </c>
      <c r="CZ983" s="336">
        <f>INDEX('State Tax Lookup'!$D$7:$Z$91,MATCH(Calculation!$C983,'State Tax Lookup'!$B$7:$B$91,0),MATCH($H983,'State Tax Lookup'!$D$6:$Z$6,0))</f>
        <v>0.35</v>
      </c>
      <c r="DA983" s="302">
        <v>0.37</v>
      </c>
      <c r="DB983" s="57">
        <f t="shared" si="1785"/>
        <v>9.977434533969916</v>
      </c>
      <c r="DC983" s="56">
        <f t="shared" si="1789"/>
        <v>9.6008771422973968E-3</v>
      </c>
      <c r="DD983" s="303">
        <f>VLOOKUP($H983,RoR!$E:$F,2,FALSE)</f>
        <v>5.6666666666666671E-2</v>
      </c>
      <c r="DE983" s="304">
        <f>HLOOKUP($H983,'GDP-PI'!$D$8:$CQ$11,3,FALSE)</f>
        <v>1.8855119140166909E-2</v>
      </c>
      <c r="DF983" s="303">
        <f>VLOOKUP(H983,'HW Dx Data'!$E:$F,2,FALSE)</f>
        <v>369.23301095560191</v>
      </c>
      <c r="DG983" s="364">
        <f ca="1">VLOOKUP(CC983,'ECI - Input Price'!M$13:N$33,2,FALSE)</f>
        <v>89.25</v>
      </c>
      <c r="DH983" s="364"/>
      <c r="DI983" s="364"/>
      <c r="DJ983" s="56"/>
      <c r="DK983" s="53">
        <f>HLOOKUP(H983,'GDP-PI'!$8:$9,2,FALSE)</f>
        <v>82.566999999999993</v>
      </c>
      <c r="DL983" s="355">
        <f t="shared" ref="DL983:DL1002" si="1790">LN(DK983/DK982)</f>
        <v>1.8679564681853753E-2</v>
      </c>
      <c r="EC983"/>
    </row>
    <row r="984" spans="1:133" s="126" customFormat="1" ht="21" customHeight="1" x14ac:dyDescent="0.4">
      <c r="A984" s="233" t="s">
        <v>240</v>
      </c>
      <c r="B984" s="126" t="s">
        <v>240</v>
      </c>
      <c r="C984" s="126">
        <v>4057140</v>
      </c>
      <c r="D984" s="127" t="s">
        <v>241</v>
      </c>
      <c r="E984" s="127"/>
      <c r="F984" s="144"/>
      <c r="G984" s="126" t="s">
        <v>160</v>
      </c>
      <c r="H984" s="128">
        <v>2004</v>
      </c>
      <c r="I984" s="129"/>
      <c r="J984" s="125">
        <f>IFERROR(INDEX('Labor Expenditures'!$E$7:$W$91,MATCH($C984,'Labor Expenditures'!$C$7:$C$91,0),MATCH($G984,'Labor Expenditures'!$E$5:$W$5,0)),"NA")</f>
        <v>38594.186062693007</v>
      </c>
      <c r="K984" s="125">
        <f t="shared" ref="K984:K1002" ca="1" si="1791">+J984/DG984</f>
        <v>409.05337639314263</v>
      </c>
      <c r="L984" s="47"/>
      <c r="M984" s="131"/>
      <c r="N984" s="131"/>
      <c r="O984" s="131"/>
      <c r="P984" s="59"/>
      <c r="Q984" s="59"/>
      <c r="R984" s="386"/>
      <c r="S984" s="119"/>
      <c r="T984" s="59"/>
      <c r="U984" s="59"/>
      <c r="V984" s="125">
        <f>IFERROR(INDEX('Non-Labor Expenditures'!$E$7:$AA$91,MATCH($C984,'Non-Labor Expenditures'!$C$7:$C$91,0),MATCH($G984,'Non-Labor Expenditures'!$E$5:$AA$5,0)),"NA")</f>
        <v>55891.589818412984</v>
      </c>
      <c r="W984" s="125">
        <f t="shared" ref="W984:W1002" si="1792">+V984/DK984</f>
        <v>659.26997355933122</v>
      </c>
      <c r="X984" s="125"/>
      <c r="Y984" s="125"/>
      <c r="Z984" s="125"/>
      <c r="AA984" s="125"/>
      <c r="AB984" s="125"/>
      <c r="AC984" s="125">
        <f t="shared" si="1772"/>
        <v>36423.22969510578</v>
      </c>
      <c r="AD984" s="129"/>
      <c r="AE984" s="133">
        <v>3638.0346851349314</v>
      </c>
      <c r="AF984" s="134">
        <v>5.0484210702445423E-2</v>
      </c>
      <c r="AG984" s="59">
        <f t="shared" ref="AG984:AG1002" si="1793">+AF984*$AX984</f>
        <v>0</v>
      </c>
      <c r="AH984" s="134"/>
      <c r="AI984" s="134"/>
      <c r="AJ984" s="129">
        <f t="shared" si="1680"/>
        <v>130909.00557621177</v>
      </c>
      <c r="AK984" s="134"/>
      <c r="AL984" s="129"/>
      <c r="AM984" s="129"/>
      <c r="AN984" s="129"/>
      <c r="AO984" s="129"/>
      <c r="AP984" s="133"/>
      <c r="AQ984" s="134"/>
      <c r="AR984" s="93">
        <f t="shared" ref="AR984:AR1002" si="1794">+J984/AJ984</f>
        <v>0.29481689126592969</v>
      </c>
      <c r="AS984" s="93">
        <f t="shared" ref="AS984:AS1002" si="1795">+V984/AJ984</f>
        <v>0.42694992275282678</v>
      </c>
      <c r="AT984" s="93">
        <f t="shared" ref="AT984:AT1002" si="1796">+AC984/AJ984</f>
        <v>0.27823318598124358</v>
      </c>
      <c r="AU984" s="93"/>
      <c r="AV984" s="93"/>
      <c r="AW984" s="134"/>
      <c r="AX984" s="62"/>
      <c r="AY984" s="93"/>
      <c r="AZ984" s="93"/>
      <c r="BA984" s="93"/>
      <c r="BB984" s="234">
        <f>IFERROR(INDEX('Total Customers'!$E$7:$AA$91,MATCH($C984,'Total Customers'!$C$7:$C$91,0),MATCH($G984,'Total Customers'!$E$5:$AA$5,0)),"NA")</f>
        <v>777555</v>
      </c>
      <c r="BC984" s="269">
        <f t="shared" si="1768"/>
        <v>2.9337299037602824E-2</v>
      </c>
      <c r="BD984" s="92"/>
      <c r="BE984" s="299" t="str">
        <f t="shared" si="1764"/>
        <v>QUESTAR GAS COMPANY</v>
      </c>
      <c r="BF984" s="300">
        <f t="shared" si="1765"/>
        <v>4057140</v>
      </c>
      <c r="BG984" s="231" t="str">
        <f t="shared" si="1766"/>
        <v>UT</v>
      </c>
      <c r="BH984" s="231"/>
      <c r="BI984" s="231" t="str">
        <f t="shared" si="1767"/>
        <v>2004 Y</v>
      </c>
      <c r="BJ984" s="129"/>
      <c r="BK984" s="129"/>
      <c r="BL984" s="129">
        <f>INDEX('Dist. Plant Gas Additions'!$E$7:$AD$91,MATCH($C984,'Dist. Plant Gas Additions'!$C$7:$C$91,0),MATCH(Calculation!$G984,'Dist. Plant Gas Additions'!$E$5:$AD$5,0))</f>
        <v>57921</v>
      </c>
      <c r="BM984" s="129">
        <f>INDEX('Gen. Plant Additions'!$E$7:$AD$91,MATCH($C984,'Gen. Plant Additions'!$C$7:$C$91,0),MATCH(Calculation!$G984,'Gen. Plant Additions'!$E$5:$AD$5,0))</f>
        <v>24662</v>
      </c>
      <c r="BN984" s="301">
        <f t="shared" si="1773"/>
        <v>0.86663373447718905</v>
      </c>
      <c r="BO984" s="231">
        <f t="shared" si="1722"/>
        <v>21372.921159676436</v>
      </c>
      <c r="BP984" s="231">
        <f t="shared" si="1723"/>
        <v>-3289.0788403235638</v>
      </c>
      <c r="BQ984" s="129">
        <f>INDEX('Dist Plant Depreciation'!$D$7:$AC$94,MATCH($C984,'Dist Plant Depreciation'!$C$7:$C$94,0),MATCH(Calculation!$G984,'Dist Plant Depreciation'!$D$5:$AC$5,0))</f>
        <v>382038</v>
      </c>
      <c r="BR984" s="129">
        <f>INDEX('Gen. Plant Depreciation'!$D$7:$AC$94,MATCH($C984,'Gen. Plant Depreciation'!$C$7:$C$94,0),MATCH(Calculation!$G984,'Gen. Plant Depreciation'!$D$5:$AC$5,0))</f>
        <v>111043</v>
      </c>
      <c r="BS984" s="129"/>
      <c r="BT984" s="129"/>
      <c r="BU984" s="129"/>
      <c r="BV984" s="129"/>
      <c r="BW984" s="129"/>
      <c r="BX984" s="137"/>
      <c r="BY984" s="129">
        <f>INDEX('Gross Dx Plant'!$D$7:$AC$91,MATCH($C984,'Gross Dx Plant'!$C$7:$C$91,0),MATCH(Calculation!$G984,'Gross Dx Plant'!$D$5:$AC$5,0))</f>
        <v>1047365</v>
      </c>
      <c r="BZ984" s="129">
        <f>INDEX('Gross Gen Plant'!$D$7:$AC$91,MATCH($C984,'Gross Gen Plant'!$C$7:$C$91,0),MATCH(Calculation!$G984,'Gross Gen Plant'!$D$5:$AC$5,0))</f>
        <v>161179</v>
      </c>
      <c r="CA984" s="129">
        <f t="shared" si="1721"/>
        <v>715463</v>
      </c>
      <c r="CB984" s="129"/>
      <c r="CC984" s="133">
        <v>2004</v>
      </c>
      <c r="CD984" s="129"/>
      <c r="CE984" s="129"/>
      <c r="CF984" s="129"/>
      <c r="CG984" s="137"/>
      <c r="CH984" s="129">
        <f t="shared" si="1774"/>
        <v>82583</v>
      </c>
      <c r="CI984" s="46">
        <f t="shared" si="1783"/>
        <v>79293.921159676436</v>
      </c>
      <c r="CJ984" s="231">
        <f t="shared" si="1775"/>
        <v>191.12164176779177</v>
      </c>
      <c r="CK984" s="443">
        <v>0.9375</v>
      </c>
      <c r="CL984" s="231">
        <f>+CL978*CK984+CJ979*CK983+CJ980*CK982+CJ981*CK981+CJ982*CK980+CJ983*CK979+CJ984</f>
        <v>3519.4951513416413</v>
      </c>
      <c r="CM984" s="134">
        <f t="shared" si="1776"/>
        <v>4.4545994890867441E-2</v>
      </c>
      <c r="CN984" s="135">
        <f t="shared" si="1777"/>
        <v>1.1224344089446956E-2</v>
      </c>
      <c r="CO984" s="135">
        <f t="shared" si="1786"/>
        <v>1.1292950521899039E-2</v>
      </c>
      <c r="CP984" s="134">
        <f>VLOOKUP($H984,RoR!$E:$F,2,FALSE)</f>
        <v>5.6283333333333331E-2</v>
      </c>
      <c r="CQ984" s="135">
        <v>2.6778252812867276E-2</v>
      </c>
      <c r="CR984" s="135">
        <f t="shared" si="1784"/>
        <v>2.9505080520466055E-2</v>
      </c>
      <c r="CS984" s="135">
        <f t="shared" si="1787"/>
        <v>1.9608991086634588E-2</v>
      </c>
      <c r="CT984" s="135">
        <f t="shared" si="1788"/>
        <v>5.5940039414565046E-2</v>
      </c>
      <c r="CU984" s="139">
        <f t="shared" si="1778"/>
        <v>0.87050000000000005</v>
      </c>
      <c r="CV984" s="335">
        <f t="shared" si="1779"/>
        <v>0.91114097628755619</v>
      </c>
      <c r="CW984" s="335">
        <f t="shared" si="1780"/>
        <v>0.53081877405981637</v>
      </c>
      <c r="CX984" s="335">
        <f t="shared" si="1781"/>
        <v>0.88811215519385678</v>
      </c>
      <c r="CY984" s="335">
        <f t="shared" si="1782"/>
        <v>0.42953609753547711</v>
      </c>
      <c r="CZ984" s="336">
        <f>INDEX('State Tax Lookup'!$D$7:$Z$91,MATCH(Calculation!$C984,'State Tax Lookup'!$B$7:$B$91,0),MATCH($H984,'State Tax Lookup'!$D$6:$Z$6,0))</f>
        <v>0.35</v>
      </c>
      <c r="DA984" s="302">
        <v>0.37</v>
      </c>
      <c r="DB984" s="57">
        <f t="shared" si="1785"/>
        <v>10.820421064092075</v>
      </c>
      <c r="DC984" s="56">
        <f t="shared" si="1789"/>
        <v>8.1109191458477975E-2</v>
      </c>
      <c r="DD984" s="303">
        <f>VLOOKUP($H984,RoR!$E:$F,2,FALSE)</f>
        <v>5.6283333333333331E-2</v>
      </c>
      <c r="DE984" s="304">
        <f>HLOOKUP($H984,'GDP-PI'!$D$8:$CQ$11,3,FALSE)</f>
        <v>2.6778252812867276E-2</v>
      </c>
      <c r="DF984" s="303">
        <f>VLOOKUP(H984,'HW Dx Data'!$E:$F,2,FALSE)</f>
        <v>414.88719135228365</v>
      </c>
      <c r="DG984" s="364">
        <f ca="1">VLOOKUP(CC984,'ECI - Input Price'!M$13:N$33,2,FALSE)</f>
        <v>94.35</v>
      </c>
      <c r="DH984" s="364"/>
      <c r="DI984" s="364"/>
      <c r="DJ984" s="56">
        <f t="shared" ref="DJ984:DJ1002" ca="1" si="1797">LN(DG984/DG983)</f>
        <v>5.5569851154810786E-2</v>
      </c>
      <c r="DK984" s="53">
        <f>HLOOKUP(H984,'GDP-PI'!$8:$9,2,FALSE)</f>
        <v>84.778000000000006</v>
      </c>
      <c r="DL984" s="355">
        <f t="shared" si="1790"/>
        <v>2.6425990216022755E-2</v>
      </c>
      <c r="EC984"/>
    </row>
    <row r="985" spans="1:133" s="126" customFormat="1" ht="21" customHeight="1" x14ac:dyDescent="0.4">
      <c r="A985" s="233" t="s">
        <v>240</v>
      </c>
      <c r="B985" s="126" t="s">
        <v>240</v>
      </c>
      <c r="C985" s="126">
        <v>4057140</v>
      </c>
      <c r="D985" s="127" t="s">
        <v>241</v>
      </c>
      <c r="E985" s="127"/>
      <c r="F985" s="144"/>
      <c r="G985" s="126" t="s">
        <v>161</v>
      </c>
      <c r="H985" s="128">
        <v>2005</v>
      </c>
      <c r="I985" s="129"/>
      <c r="J985" s="125">
        <f>IFERROR(INDEX('Labor Expenditures'!$E$7:$W$91,MATCH($C985,'Labor Expenditures'!$C$7:$C$91,0),MATCH($G985,'Labor Expenditures'!$E$5:$W$5,0)),"NA")</f>
        <v>39519.039650879458</v>
      </c>
      <c r="K985" s="125">
        <f t="shared" ca="1" si="1791"/>
        <v>398.27704359666876</v>
      </c>
      <c r="L985" s="47"/>
      <c r="M985" s="131">
        <f t="shared" ref="M985:M1001" ca="1" si="1798">LN(K985/K984)</f>
        <v>-2.6697799591104479E-2</v>
      </c>
      <c r="N985" s="131"/>
      <c r="O985" s="131"/>
      <c r="P985" s="59"/>
      <c r="Q985" s="61"/>
      <c r="R985" s="387"/>
      <c r="S985" s="49">
        <v>100</v>
      </c>
      <c r="T985" s="46"/>
      <c r="U985" s="46"/>
      <c r="V985" s="125">
        <f>IFERROR(INDEX('Non-Labor Expenditures'!$E$7:$AA$91,MATCH($C985,'Non-Labor Expenditures'!$C$7:$C$91,0),MATCH($G985,'Non-Labor Expenditures'!$E$5:$AA$5,0)),"NA")</f>
        <v>57230.950552929724</v>
      </c>
      <c r="W985" s="125">
        <f t="shared" si="1792"/>
        <v>654.76392683571942</v>
      </c>
      <c r="X985" s="131">
        <f>LN(W985/W984)</f>
        <v>-6.8583685472684078E-3</v>
      </c>
      <c r="Y985" s="131"/>
      <c r="Z985" s="131"/>
      <c r="AA985" s="131"/>
      <c r="AB985" s="131"/>
      <c r="AC985" s="125">
        <f t="shared" si="1772"/>
        <v>43086.011732617684</v>
      </c>
      <c r="AD985" s="129"/>
      <c r="AE985" s="133">
        <v>3757.7420973410672</v>
      </c>
      <c r="AF985" s="134">
        <v>3.2374656827300258E-2</v>
      </c>
      <c r="AG985" s="59">
        <f t="shared" si="1793"/>
        <v>0</v>
      </c>
      <c r="AH985" s="134"/>
      <c r="AI985" s="134"/>
      <c r="AJ985" s="129">
        <f t="shared" si="1680"/>
        <v>139836.00193642685</v>
      </c>
      <c r="AK985" s="134">
        <f>LN(AJ985/AJ984)</f>
        <v>6.5967853303887519E-2</v>
      </c>
      <c r="AL985" s="129"/>
      <c r="AM985" s="129"/>
      <c r="AN985" s="129"/>
      <c r="AO985" s="129"/>
      <c r="AP985" s="133"/>
      <c r="AQ985" s="134"/>
      <c r="AR985" s="93">
        <f t="shared" si="1794"/>
        <v>0.28260990806105757</v>
      </c>
      <c r="AS985" s="93">
        <f t="shared" si="1795"/>
        <v>0.40927193112220434</v>
      </c>
      <c r="AT985" s="93">
        <f t="shared" si="1796"/>
        <v>0.30811816081673821</v>
      </c>
      <c r="AU985" s="93">
        <f t="shared" ref="AU985:AU1001" ca="1" si="1799">+(((AR985+AR984)/2)*M985+((AS984+AS985)/2)*X985+((AT984+AT985)/2)*AF985)</f>
        <v>-1.0841094976549101E-3</v>
      </c>
      <c r="AV985" s="132">
        <v>100</v>
      </c>
      <c r="AW985" s="134"/>
      <c r="AX985" s="15"/>
      <c r="AY985" s="93"/>
      <c r="AZ985" s="93"/>
      <c r="BA985" s="93"/>
      <c r="BB985" s="234">
        <f>IFERROR(INDEX('Total Customers'!$E$7:$AA$91,MATCH($C985,'Total Customers'!$C$7:$C$91,0),MATCH($G985,'Total Customers'!$E$5:$AA$5,0)),"NA")</f>
        <v>824463</v>
      </c>
      <c r="BC985" s="269">
        <f t="shared" si="1768"/>
        <v>5.8577884209173869E-2</v>
      </c>
      <c r="BD985" s="92"/>
      <c r="BE985" s="299" t="str">
        <f t="shared" si="1764"/>
        <v>QUESTAR GAS COMPANY</v>
      </c>
      <c r="BF985" s="300">
        <f t="shared" si="1765"/>
        <v>4057140</v>
      </c>
      <c r="BG985" s="231" t="str">
        <f t="shared" si="1766"/>
        <v>UT</v>
      </c>
      <c r="BH985" s="231"/>
      <c r="BI985" s="231" t="str">
        <f t="shared" si="1767"/>
        <v>2005 Y</v>
      </c>
      <c r="BJ985" s="129"/>
      <c r="BK985" s="129"/>
      <c r="BL985" s="129">
        <f>INDEX('Dist. Plant Gas Additions'!$E$7:$AD$91,MATCH($C985,'Dist. Plant Gas Additions'!$C$7:$C$91,0),MATCH(Calculation!$G985,'Dist. Plant Gas Additions'!$E$5:$AD$5,0))</f>
        <v>58907</v>
      </c>
      <c r="BM985" s="129">
        <f>INDEX('Gen. Plant Additions'!$E$7:$AD$91,MATCH($C985,'Gen. Plant Additions'!$C$7:$C$91,0),MATCH(Calculation!$G985,'Gen. Plant Additions'!$E$5:$AD$5,0))</f>
        <v>7386</v>
      </c>
      <c r="BN985" s="301">
        <f t="shared" si="1773"/>
        <v>0.86745990541770701</v>
      </c>
      <c r="BO985" s="231">
        <f t="shared" si="1722"/>
        <v>6407.0588614151839</v>
      </c>
      <c r="BP985" s="231">
        <f t="shared" si="1723"/>
        <v>-978.94113858481614</v>
      </c>
      <c r="BQ985" s="129">
        <f>INDEX('Dist Plant Depreciation'!$D$7:$AC$94,MATCH($C985,'Dist Plant Depreciation'!$C$7:$C$94,0),MATCH(Calculation!$G985,'Dist Plant Depreciation'!$D$5:$AC$5,0))</f>
        <v>413998</v>
      </c>
      <c r="BR985" s="129">
        <f>INDEX('Gen. Plant Depreciation'!$D$7:$AC$94,MATCH($C985,'Gen. Plant Depreciation'!$C$7:$C$94,0),MATCH(Calculation!$G985,'Gen. Plant Depreciation'!$D$5:$AC$5,0))</f>
        <v>122399</v>
      </c>
      <c r="BS985" s="129"/>
      <c r="BT985" s="129"/>
      <c r="BU985" s="129"/>
      <c r="BV985" s="129"/>
      <c r="BW985" s="129"/>
      <c r="BX985" s="137"/>
      <c r="BY985" s="129">
        <f>INDEX('Gross Dx Plant'!$D$7:$AC$91,MATCH($C985,'Gross Dx Plant'!$C$7:$C$91,0),MATCH(Calculation!$G985,'Gross Dx Plant'!$D$5:$AC$5,0))</f>
        <v>1104430</v>
      </c>
      <c r="BZ985" s="129">
        <f>INDEX('Gross Gen Plant'!$D$7:$AC$91,MATCH($C985,'Gross Gen Plant'!$C$7:$C$91,0),MATCH(Calculation!$G985,'Gross Gen Plant'!$D$5:$AC$5,0))</f>
        <v>168747</v>
      </c>
      <c r="CA985" s="129">
        <f t="shared" si="1721"/>
        <v>736780</v>
      </c>
      <c r="CB985" s="129"/>
      <c r="CC985" s="133">
        <v>2005</v>
      </c>
      <c r="CD985" s="129"/>
      <c r="CE985" s="129"/>
      <c r="CF985" s="129"/>
      <c r="CG985" s="137"/>
      <c r="CH985" s="129">
        <f t="shared" si="1774"/>
        <v>66293</v>
      </c>
      <c r="CI985" s="46">
        <f t="shared" si="1783"/>
        <v>65314.058861415186</v>
      </c>
      <c r="CJ985" s="231">
        <f t="shared" si="1775"/>
        <v>139.20149897075592</v>
      </c>
      <c r="CK985" s="443">
        <v>0.9263157894736842</v>
      </c>
      <c r="CL985" s="231">
        <f>+CL978*CK985+CJ979*CK984+CJ980*CK983+CJ981*CK982+CJ982*CK981+CJ983*CK980+CJ984*CK979+CJ985</f>
        <v>3618.2331127533303</v>
      </c>
      <c r="CM985" s="134">
        <f t="shared" si="1776"/>
        <v>2.7668259873504592E-2</v>
      </c>
      <c r="CN985" s="135">
        <f t="shared" si="1777"/>
        <v>1.1496972099433679E-2</v>
      </c>
      <c r="CO985" s="135">
        <f t="shared" si="1786"/>
        <v>1.1223400459540315E-2</v>
      </c>
      <c r="CP985" s="134">
        <f>VLOOKUP($H985,RoR!$E:$F,2,FALSE)</f>
        <v>5.2350000000000001E-2</v>
      </c>
      <c r="CQ985" s="135">
        <v>3.1010403642454332E-2</v>
      </c>
      <c r="CR985" s="135">
        <f t="shared" si="1784"/>
        <v>2.1339596357545669E-2</v>
      </c>
      <c r="CS985" s="135">
        <f t="shared" si="1787"/>
        <v>1.9678541148993312E-2</v>
      </c>
      <c r="CT985" s="135">
        <f t="shared" si="1788"/>
        <v>9.2129610649277341E-2</v>
      </c>
      <c r="CU985" s="139">
        <f t="shared" si="1778"/>
        <v>0.87050000000000005</v>
      </c>
      <c r="CV985" s="335">
        <f t="shared" si="1779"/>
        <v>0.97959983346802826</v>
      </c>
      <c r="CW985" s="335">
        <f t="shared" si="1780"/>
        <v>0.49744508118433622</v>
      </c>
      <c r="CX985" s="335">
        <f t="shared" si="1781"/>
        <v>0.87010519444335932</v>
      </c>
      <c r="CY985" s="335">
        <f t="shared" si="1782"/>
        <v>0.42399975420741998</v>
      </c>
      <c r="CZ985" s="336">
        <f>INDEX('State Tax Lookup'!$D$7:$Z$91,MATCH(Calculation!$C985,'State Tax Lookup'!$B$7:$B$91,0),MATCH($H985,'State Tax Lookup'!$D$6:$Z$6,0))</f>
        <v>0.35</v>
      </c>
      <c r="DA985" s="302">
        <v>0.37</v>
      </c>
      <c r="DB985" s="57">
        <f t="shared" si="1785"/>
        <v>12.242100039885885</v>
      </c>
      <c r="DC985" s="56">
        <f t="shared" si="1789"/>
        <v>0.12344564624188717</v>
      </c>
      <c r="DD985" s="303">
        <f>VLOOKUP($H985,RoR!$E:$F,2,FALSE)</f>
        <v>5.2350000000000001E-2</v>
      </c>
      <c r="DE985" s="304">
        <f>HLOOKUP($H985,'GDP-PI'!$D$8:$CQ$11,3,FALSE)</f>
        <v>3.1010403642454332E-2</v>
      </c>
      <c r="DF985" s="303">
        <f>VLOOKUP(H985,'HW Dx Data'!$E:$F,2,FALSE)</f>
        <v>469.20514034936258</v>
      </c>
      <c r="DG985" s="364">
        <f ca="1">VLOOKUP(CC985,'ECI - Input Price'!M$13:N$33,2,FALSE)</f>
        <v>99.224999999999994</v>
      </c>
      <c r="DH985" s="364"/>
      <c r="DI985" s="364"/>
      <c r="DJ985" s="56">
        <f t="shared" ca="1" si="1797"/>
        <v>5.0378726854569796E-2</v>
      </c>
      <c r="DK985" s="53">
        <f>HLOOKUP(H985,'GDP-PI'!$8:$9,2,FALSE)</f>
        <v>87.406999999999996</v>
      </c>
      <c r="DL985" s="355">
        <f t="shared" si="1790"/>
        <v>3.0539295810733648E-2</v>
      </c>
      <c r="EC985"/>
    </row>
    <row r="986" spans="1:133" s="126" customFormat="1" ht="21" customHeight="1" x14ac:dyDescent="0.4">
      <c r="A986" s="233" t="s">
        <v>240</v>
      </c>
      <c r="B986" s="126" t="s">
        <v>240</v>
      </c>
      <c r="C986" s="126">
        <v>4057140</v>
      </c>
      <c r="D986" s="127" t="s">
        <v>241</v>
      </c>
      <c r="E986" s="127"/>
      <c r="F986" s="144"/>
      <c r="G986" s="126" t="s">
        <v>162</v>
      </c>
      <c r="H986" s="128">
        <v>2006</v>
      </c>
      <c r="I986" s="129"/>
      <c r="J986" s="125">
        <f>IFERROR(INDEX('Labor Expenditures'!$E$7:$W$91,MATCH($C986,'Labor Expenditures'!$C$7:$C$91,0),MATCH($G986,'Labor Expenditures'!$E$5:$W$5,0)),"NA")</f>
        <v>42436.26928527133</v>
      </c>
      <c r="K986" s="125">
        <f t="shared" ca="1" si="1791"/>
        <v>387.90008487450939</v>
      </c>
      <c r="L986" s="47"/>
      <c r="M986" s="131">
        <f t="shared" ca="1" si="1798"/>
        <v>-2.6400059314393529E-2</v>
      </c>
      <c r="N986" s="131"/>
      <c r="O986" s="131"/>
      <c r="P986" s="59">
        <f t="shared" ref="P986:P1002" ca="1" si="1800">+M986*$AX986</f>
        <v>-5.3007814054920608E-4</v>
      </c>
      <c r="Q986" s="61"/>
      <c r="R986" s="387"/>
      <c r="S986" s="49">
        <f ca="1">+S985*EXP(T986)</f>
        <v>114.00021230718242</v>
      </c>
      <c r="T986" s="61">
        <f ca="1">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</f>
        <v>0.13103012474837547</v>
      </c>
      <c r="U986" s="61"/>
      <c r="V986" s="125">
        <f>IFERROR(INDEX('Non-Labor Expenditures'!$E$7:$AA$91,MATCH($C986,'Non-Labor Expenditures'!$C$7:$C$91,0),MATCH($G986,'Non-Labor Expenditures'!$E$5:$AA$5,0)),"NA")</f>
        <v>61455.64392686668</v>
      </c>
      <c r="W986" s="125">
        <f t="shared" si="1792"/>
        <v>682.27950270740371</v>
      </c>
      <c r="X986" s="131">
        <f t="shared" ref="X986:X1001" si="1801">LN(W986/W985)</f>
        <v>4.1164648278903704E-2</v>
      </c>
      <c r="Y986" s="131">
        <f t="shared" ref="Y986:Y1002" si="1802">+X986*AX986</f>
        <v>8.2653148450112176E-4</v>
      </c>
      <c r="Z986" s="131"/>
      <c r="AA986" s="131"/>
      <c r="AB986" s="131"/>
      <c r="AC986" s="125">
        <f t="shared" si="1772"/>
        <v>42950.325757298015</v>
      </c>
      <c r="AD986" s="129"/>
      <c r="AE986" s="133">
        <v>3919.5199334856002</v>
      </c>
      <c r="AF986" s="134">
        <v>4.2150909355721244E-2</v>
      </c>
      <c r="AG986" s="59">
        <f t="shared" si="1793"/>
        <v>8.4633429749747242E-4</v>
      </c>
      <c r="AH986" s="134"/>
      <c r="AI986" s="134"/>
      <c r="AJ986" s="129">
        <f t="shared" si="1680"/>
        <v>146842.23896943603</v>
      </c>
      <c r="AK986" s="134">
        <f t="shared" ref="AK986:AK1002" si="1803">LN(AJ986/AJ985)</f>
        <v>4.8888484966134203E-2</v>
      </c>
      <c r="AL986" s="129"/>
      <c r="AM986" s="129"/>
      <c r="AN986" s="129"/>
      <c r="AO986" s="129"/>
      <c r="AP986" s="133">
        <f t="shared" ref="AP986:AP1002" si="1804">+(AJ986*1000)/BB986</f>
        <v>175.60807010993398</v>
      </c>
      <c r="AQ986" s="134">
        <f>+BB986/Outputs!$B$14</f>
        <v>2.4110670808477466E-2</v>
      </c>
      <c r="AR986" s="93">
        <f t="shared" si="1794"/>
        <v>0.28899225170561504</v>
      </c>
      <c r="AS986" s="93">
        <f t="shared" si="1795"/>
        <v>0.41851475677688454</v>
      </c>
      <c r="AT986" s="93">
        <f t="shared" si="1796"/>
        <v>0.29249299151750036</v>
      </c>
      <c r="AU986" s="93">
        <f t="shared" ca="1" si="1799"/>
        <v>2.2150761587662399E-2</v>
      </c>
      <c r="AV986" s="132">
        <f ca="1">+AV985*EXP(AU986)</f>
        <v>102.23979111842651</v>
      </c>
      <c r="AW986" s="134">
        <f ca="1">LN(AV986/AV985)</f>
        <v>2.2150761587662424E-2</v>
      </c>
      <c r="AX986" s="56">
        <f>+AJ986/$AL$11</f>
        <v>2.007867233314143E-2</v>
      </c>
      <c r="AY986" s="135">
        <f ca="1">+AX986*AW986</f>
        <v>4.4475788384820946E-4</v>
      </c>
      <c r="AZ986" s="93"/>
      <c r="BA986" s="93"/>
      <c r="BB986" s="234">
        <f>IFERROR(INDEX('Total Customers'!$E$7:$AA$91,MATCH($C986,'Total Customers'!$C$7:$C$91,0),MATCH($G986,'Total Customers'!$E$5:$AA$5,0)),"NA")</f>
        <v>836193</v>
      </c>
      <c r="BC986" s="269">
        <f t="shared" si="1768"/>
        <v>1.4127182373886143E-2</v>
      </c>
      <c r="BD986" s="92"/>
      <c r="BE986" s="299" t="str">
        <f t="shared" si="1764"/>
        <v>QUESTAR GAS COMPANY</v>
      </c>
      <c r="BF986" s="300">
        <f t="shared" si="1765"/>
        <v>4057140</v>
      </c>
      <c r="BG986" s="231" t="str">
        <f t="shared" si="1766"/>
        <v>UT</v>
      </c>
      <c r="BH986" s="231"/>
      <c r="BI986" s="231" t="str">
        <f t="shared" si="1767"/>
        <v>2006 Y</v>
      </c>
      <c r="BJ986" s="129"/>
      <c r="BK986" s="129"/>
      <c r="BL986" s="129">
        <f>INDEX('Dist. Plant Gas Additions'!$E$7:$AD$91,MATCH($C986,'Dist. Plant Gas Additions'!$C$7:$C$91,0),MATCH(Calculation!$G986,'Dist. Plant Gas Additions'!$E$5:$AD$5,0))</f>
        <v>74190</v>
      </c>
      <c r="BM986" s="129">
        <f>INDEX('Gen. Plant Additions'!$E$7:$AD$91,MATCH($C986,'Gen. Plant Additions'!$C$7:$C$91,0),MATCH(Calculation!$G986,'Gen. Plant Additions'!$E$5:$AD$5,0))</f>
        <v>11004</v>
      </c>
      <c r="BN986" s="301">
        <f t="shared" si="1773"/>
        <v>0.90575618155392834</v>
      </c>
      <c r="BO986" s="231">
        <f t="shared" si="1722"/>
        <v>9966.941021819428</v>
      </c>
      <c r="BP986" s="231">
        <f t="shared" si="1723"/>
        <v>-1037.058978180572</v>
      </c>
      <c r="BQ986" s="129">
        <f>INDEX('Dist Plant Depreciation'!$D$7:$AC$94,MATCH($C986,'Dist Plant Depreciation'!$C$7:$C$94,0),MATCH(Calculation!$G986,'Dist Plant Depreciation'!$D$5:$AC$5,0))</f>
        <v>440179</v>
      </c>
      <c r="BR986" s="129">
        <f>INDEX('Gen. Plant Depreciation'!$D$7:$AC$94,MATCH($C986,'Gen. Plant Depreciation'!$C$7:$C$94,0),MATCH(Calculation!$G986,'Gen. Plant Depreciation'!$D$5:$AC$5,0))</f>
        <v>77516</v>
      </c>
      <c r="BS986" s="129"/>
      <c r="BT986" s="129"/>
      <c r="BU986" s="129"/>
      <c r="BV986" s="129"/>
      <c r="BW986" s="129"/>
      <c r="BX986" s="137"/>
      <c r="BY986" s="129">
        <f>INDEX('Gross Dx Plant'!$D$7:$AC$91,MATCH($C986,'Gross Dx Plant'!$C$7:$C$91,0),MATCH(Calculation!$G986,'Gross Dx Plant'!$D$5:$AC$5,0))</f>
        <v>1174110</v>
      </c>
      <c r="BZ986" s="129">
        <f>INDEX('Gross Gen Plant'!$D$7:$AC$91,MATCH($C986,'Gross Gen Plant'!$C$7:$C$91,0),MATCH(Calculation!$G986,'Gross Gen Plant'!$D$5:$AC$5,0))</f>
        <v>122166</v>
      </c>
      <c r="CA986" s="129">
        <f t="shared" si="1721"/>
        <v>778581</v>
      </c>
      <c r="CB986" s="134"/>
      <c r="CC986" s="133">
        <v>2006</v>
      </c>
      <c r="CD986" s="129"/>
      <c r="CE986" s="129"/>
      <c r="CF986" s="129"/>
      <c r="CG986" s="137"/>
      <c r="CH986" s="129">
        <f t="shared" si="1774"/>
        <v>85194</v>
      </c>
      <c r="CI986" s="46">
        <f t="shared" si="1783"/>
        <v>84156.941021819424</v>
      </c>
      <c r="CJ986" s="231">
        <f t="shared" si="1775"/>
        <v>182.5190978578747</v>
      </c>
      <c r="CK986" s="443">
        <v>0.91489361702127658</v>
      </c>
      <c r="CL986" s="231">
        <f>+CL978*CK986+CJ979*CK985+CJ980*CK984+CJ981*CK983+CJ982*CK982+CJ983*CK981+CJ984*CK980+CJ985*CK979+CJ986</f>
        <v>3758.059308461206</v>
      </c>
      <c r="CM986" s="134">
        <f t="shared" si="1776"/>
        <v>3.7916866505141741E-2</v>
      </c>
      <c r="CN986" s="135">
        <f t="shared" si="1777"/>
        <v>1.1799378541840653E-2</v>
      </c>
      <c r="CO986" s="135">
        <f t="shared" si="1786"/>
        <v>1.1506898243573762E-2</v>
      </c>
      <c r="CP986" s="134">
        <f>VLOOKUP($H986,RoR!$E:$F,2,FALSE)</f>
        <v>5.5874999999999994E-2</v>
      </c>
      <c r="CQ986" s="135">
        <v>3.0512430354548314E-2</v>
      </c>
      <c r="CR986" s="135">
        <f t="shared" si="1784"/>
        <v>2.536256964545168E-2</v>
      </c>
      <c r="CS986" s="135">
        <f t="shared" si="1787"/>
        <v>1.9395043364959862E-2</v>
      </c>
      <c r="CT986" s="135">
        <f t="shared" si="1788"/>
        <v>7.9087823893859641E-2</v>
      </c>
      <c r="CU986" s="139">
        <f t="shared" si="1778"/>
        <v>0.87050000000000005</v>
      </c>
      <c r="CV986" s="335">
        <f t="shared" si="1779"/>
        <v>0.91779957551769631</v>
      </c>
      <c r="CW986" s="335">
        <f t="shared" si="1780"/>
        <v>0.52757270693512304</v>
      </c>
      <c r="CX986" s="335">
        <f t="shared" si="1781"/>
        <v>0.88636824549024895</v>
      </c>
      <c r="CY986" s="335">
        <f t="shared" si="1782"/>
        <v>0.42918482841932087</v>
      </c>
      <c r="CZ986" s="336">
        <f>INDEX('State Tax Lookup'!$D$7:$Z$91,MATCH(Calculation!$C986,'State Tax Lookup'!$B$7:$B$91,0),MATCH($H986,'State Tax Lookup'!$D$6:$Z$6,0))</f>
        <v>0.35</v>
      </c>
      <c r="DA986" s="302">
        <v>0.37</v>
      </c>
      <c r="DB986" s="57">
        <f t="shared" si="1785"/>
        <v>11.870524761356391</v>
      </c>
      <c r="DC986" s="56">
        <f t="shared" si="1789"/>
        <v>-3.0822417564777004E-2</v>
      </c>
      <c r="DD986" s="303">
        <f>VLOOKUP($H986,RoR!$E:$F,2,FALSE)</f>
        <v>5.5874999999999994E-2</v>
      </c>
      <c r="DE986" s="304">
        <f>HLOOKUP($H986,'GDP-PI'!$D$8:$CQ$11,3,FALSE)</f>
        <v>3.0512430354548314E-2</v>
      </c>
      <c r="DF986" s="303">
        <f>VLOOKUP(H986,'HW Dx Data'!$E:$F,2,FALSE)</f>
        <v>461.08567272971823</v>
      </c>
      <c r="DG986" s="364">
        <f ca="1">VLOOKUP(CC986,'ECI - Input Price'!M$13:N$33,2,FALSE)</f>
        <v>109.4</v>
      </c>
      <c r="DH986" s="364"/>
      <c r="DI986" s="364"/>
      <c r="DJ986" s="56">
        <f t="shared" ca="1" si="1797"/>
        <v>9.7620891318751846E-2</v>
      </c>
      <c r="DK986" s="53">
        <f>HLOOKUP(H986,'GDP-PI'!$8:$9,2,FALSE)</f>
        <v>90.073999999999998</v>
      </c>
      <c r="DL986" s="355">
        <f t="shared" si="1790"/>
        <v>3.005618372545445E-2</v>
      </c>
      <c r="EC986"/>
    </row>
    <row r="987" spans="1:133" s="126" customFormat="1" ht="21" customHeight="1" x14ac:dyDescent="0.4">
      <c r="A987" s="233" t="s">
        <v>240</v>
      </c>
      <c r="B987" s="126" t="s">
        <v>240</v>
      </c>
      <c r="C987" s="126">
        <v>4057140</v>
      </c>
      <c r="D987" s="127" t="s">
        <v>241</v>
      </c>
      <c r="E987" s="127"/>
      <c r="F987" s="144"/>
      <c r="G987" s="126" t="s">
        <v>163</v>
      </c>
      <c r="H987" s="128">
        <v>2007</v>
      </c>
      <c r="I987" s="129"/>
      <c r="J987" s="125">
        <f>IFERROR(INDEX('Labor Expenditures'!$E$7:$W$91,MATCH($C987,'Labor Expenditures'!$C$7:$C$91,0),MATCH($G987,'Labor Expenditures'!$E$5:$W$5,0)),"NA")</f>
        <v>44663.039698294117</v>
      </c>
      <c r="K987" s="125">
        <f t="shared" ca="1" si="1791"/>
        <v>427.29528532211549</v>
      </c>
      <c r="L987" s="47"/>
      <c r="M987" s="131">
        <f t="shared" ca="1" si="1798"/>
        <v>9.6727515689861723E-2</v>
      </c>
      <c r="N987" s="131"/>
      <c r="O987" s="131"/>
      <c r="P987" s="59">
        <f t="shared" ca="1" si="1800"/>
        <v>1.9800794986502652E-3</v>
      </c>
      <c r="Q987" s="61"/>
      <c r="R987" s="387"/>
      <c r="S987" s="49">
        <f t="shared" ref="S987:S1000" ca="1" si="1805">+S986*EXP(T987)</f>
        <v>120.38265778694158</v>
      </c>
      <c r="T987" s="61">
        <f ca="1">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</f>
        <v>5.4475173449300932E-2</v>
      </c>
      <c r="U987" s="61"/>
      <c r="V987" s="125">
        <f>IFERROR(INDEX('Non-Labor Expenditures'!$E$7:$AA$91,MATCH($C987,'Non-Labor Expenditures'!$C$7:$C$91,0),MATCH($G987,'Non-Labor Expenditures'!$E$5:$AA$5,0)),"NA")</f>
        <v>64680.423388267329</v>
      </c>
      <c r="W987" s="125">
        <f t="shared" si="1792"/>
        <v>699.26293961239514</v>
      </c>
      <c r="X987" s="131">
        <f t="shared" si="1801"/>
        <v>2.4587434994571486E-2</v>
      </c>
      <c r="Y987" s="131">
        <f t="shared" si="1802"/>
        <v>5.0332188943264585E-4</v>
      </c>
      <c r="Z987" s="131"/>
      <c r="AA987" s="131"/>
      <c r="AB987" s="131"/>
      <c r="AC987" s="125">
        <f t="shared" si="1772"/>
        <v>47571.898130148977</v>
      </c>
      <c r="AD987" s="129"/>
      <c r="AE987" s="133">
        <v>4150.8913185326082</v>
      </c>
      <c r="AF987" s="134">
        <v>5.7353906376412703E-2</v>
      </c>
      <c r="AG987" s="59">
        <f t="shared" si="1793"/>
        <v>1.1740743404138167E-3</v>
      </c>
      <c r="AH987" s="134"/>
      <c r="AI987" s="134"/>
      <c r="AJ987" s="129">
        <f t="shared" si="1680"/>
        <v>156915.36121671041</v>
      </c>
      <c r="AK987" s="134">
        <f t="shared" si="1803"/>
        <v>6.6347753257760059E-2</v>
      </c>
      <c r="AL987" s="129"/>
      <c r="AM987" s="129"/>
      <c r="AN987" s="129"/>
      <c r="AO987" s="129"/>
      <c r="AP987" s="133">
        <f t="shared" si="1804"/>
        <v>181.8709679557229</v>
      </c>
      <c r="AQ987" s="134">
        <f>+BB987/Outputs!$B$15</f>
        <v>2.469008828816191E-2</v>
      </c>
      <c r="AR987" s="93">
        <f t="shared" si="1794"/>
        <v>0.28463140480307425</v>
      </c>
      <c r="AS987" s="93">
        <f t="shared" si="1795"/>
        <v>0.41219943596815495</v>
      </c>
      <c r="AT987" s="93">
        <f t="shared" si="1796"/>
        <v>0.30316915922877086</v>
      </c>
      <c r="AU987" s="93">
        <f t="shared" ca="1" si="1799"/>
        <v>5.5036936837040473E-2</v>
      </c>
      <c r="AV987" s="132">
        <f ca="1">+AV986*EXP(AU987)</f>
        <v>108.02448176154607</v>
      </c>
      <c r="AW987" s="134">
        <f ca="1">LN(AV987/AV986)</f>
        <v>5.5036936837040383E-2</v>
      </c>
      <c r="AX987" s="56">
        <f>+AJ987/$AL$12</f>
        <v>2.0470695277639627E-2</v>
      </c>
      <c r="AY987" s="135">
        <f t="shared" ref="AY987:AY1001" ca="1" si="1806">+AX987*AW987</f>
        <v>1.1266443630057531E-3</v>
      </c>
      <c r="AZ987" s="93"/>
      <c r="BA987" s="93"/>
      <c r="BB987" s="234">
        <f>IFERROR(INDEX('Total Customers'!$E$7:$AA$91,MATCH($C987,'Total Customers'!$C$7:$C$91,0),MATCH($G987,'Total Customers'!$E$5:$AA$5,0)),"NA")</f>
        <v>862784</v>
      </c>
      <c r="BC987" s="269">
        <f t="shared" si="1768"/>
        <v>3.13049223842344E-2</v>
      </c>
      <c r="BD987" s="92"/>
      <c r="BE987" s="299" t="str">
        <f t="shared" si="1764"/>
        <v>QUESTAR GAS COMPANY</v>
      </c>
      <c r="BF987" s="300">
        <f t="shared" si="1765"/>
        <v>4057140</v>
      </c>
      <c r="BG987" s="231" t="str">
        <f t="shared" si="1766"/>
        <v>UT</v>
      </c>
      <c r="BH987" s="231"/>
      <c r="BI987" s="231" t="str">
        <f t="shared" si="1767"/>
        <v>2007 Y</v>
      </c>
      <c r="BJ987" s="129"/>
      <c r="BK987" s="129"/>
      <c r="BL987" s="129">
        <f>INDEX('Dist. Plant Gas Additions'!$E$7:$AD$91,MATCH($C987,'Dist. Plant Gas Additions'!$C$7:$C$91,0),MATCH(Calculation!$G987,'Dist. Plant Gas Additions'!$E$5:$AD$5,0))</f>
        <v>117447</v>
      </c>
      <c r="BM987" s="129">
        <f>INDEX('Gen. Plant Additions'!$E$7:$AD$91,MATCH($C987,'Gen. Plant Additions'!$C$7:$C$91,0),MATCH(Calculation!$G987,'Gen. Plant Additions'!$E$5:$AD$5,0))</f>
        <v>10069</v>
      </c>
      <c r="BN987" s="301">
        <f t="shared" si="1773"/>
        <v>0.91151884581160736</v>
      </c>
      <c r="BO987" s="231">
        <f t="shared" si="1722"/>
        <v>9178.0832584770742</v>
      </c>
      <c r="BP987" s="231">
        <f t="shared" si="1723"/>
        <v>-890.9167415229258</v>
      </c>
      <c r="BQ987" s="129">
        <f>INDEX('Dist Plant Depreciation'!$D$7:$AC$94,MATCH($C987,'Dist Plant Depreciation'!$C$7:$C$94,0),MATCH(Calculation!$G987,'Dist Plant Depreciation'!$D$5:$AC$5,0))</f>
        <v>470582</v>
      </c>
      <c r="BR987" s="129">
        <f>INDEX('Gen. Plant Depreciation'!$D$7:$AC$94,MATCH($C987,'Gen. Plant Depreciation'!$C$7:$C$94,0),MATCH(Calculation!$G987,'Gen. Plant Depreciation'!$D$5:$AC$5,0))</f>
        <v>82689</v>
      </c>
      <c r="BS987" s="129"/>
      <c r="BT987" s="129"/>
      <c r="BU987" s="129"/>
      <c r="BV987" s="129"/>
      <c r="BW987" s="129"/>
      <c r="BX987" s="137"/>
      <c r="BY987" s="129">
        <f>INDEX('Gross Dx Plant'!$D$7:$AC$91,MATCH($C987,'Gross Dx Plant'!$C$7:$C$91,0),MATCH(Calculation!$G987,'Gross Dx Plant'!$D$5:$AC$5,0))</f>
        <v>1293798</v>
      </c>
      <c r="BZ987" s="129">
        <f>INDEX('Gross Gen Plant'!$D$7:$AC$91,MATCH($C987,'Gross Gen Plant'!$C$7:$C$91,0),MATCH(Calculation!$G987,'Gross Gen Plant'!$D$5:$AC$5,0))</f>
        <v>125589</v>
      </c>
      <c r="CA987" s="129">
        <f t="shared" si="1721"/>
        <v>866116</v>
      </c>
      <c r="CB987" s="129"/>
      <c r="CC987" s="133">
        <v>2007</v>
      </c>
      <c r="CD987" s="129"/>
      <c r="CE987" s="129"/>
      <c r="CF987" s="129"/>
      <c r="CG987" s="137"/>
      <c r="CH987" s="129">
        <f t="shared" si="1774"/>
        <v>127516</v>
      </c>
      <c r="CI987" s="46">
        <f t="shared" si="1783"/>
        <v>126625.08325847707</v>
      </c>
      <c r="CJ987" s="231">
        <f t="shared" si="1775"/>
        <v>254.25584220484174</v>
      </c>
      <c r="CK987" s="443">
        <v>0.90322580645161288</v>
      </c>
      <c r="CL987" s="231">
        <f>+CL978*CK987+CJ979*CK986+CJ980*CK985+CJ981*CK984+CJ982*CK983+CJ983*CK982+CJ984*CK981+CJ985*CK980+CJ986*CK979+CJ987</f>
        <v>3966.9092821020845</v>
      </c>
      <c r="CM987" s="134">
        <f t="shared" si="1776"/>
        <v>5.4084590345811395E-2</v>
      </c>
      <c r="CN987" s="135">
        <f t="shared" si="1777"/>
        <v>1.2082265030179997E-2</v>
      </c>
      <c r="CO987" s="135">
        <f t="shared" si="1786"/>
        <v>1.1792871890484778E-2</v>
      </c>
      <c r="CP987" s="134">
        <f>VLOOKUP($H987,RoR!$E:$F,2,FALSE)</f>
        <v>5.5558333333333321E-2</v>
      </c>
      <c r="CQ987" s="135">
        <v>2.691120634145272E-2</v>
      </c>
      <c r="CR987" s="135">
        <f t="shared" si="1784"/>
        <v>2.86471269918806E-2</v>
      </c>
      <c r="CS987" s="135">
        <f t="shared" si="1787"/>
        <v>1.9109069718048849E-2</v>
      </c>
      <c r="CT987" s="135">
        <f t="shared" si="1788"/>
        <v>6.4575155250632399E-2</v>
      </c>
      <c r="CU987" s="139">
        <f t="shared" si="1778"/>
        <v>0.87050000000000005</v>
      </c>
      <c r="CV987" s="335">
        <f t="shared" si="1779"/>
        <v>0.92303077153834634</v>
      </c>
      <c r="CW987" s="335">
        <f t="shared" si="1780"/>
        <v>0.52502249887505614</v>
      </c>
      <c r="CX987" s="335">
        <f t="shared" si="1781"/>
        <v>0.88499666072084604</v>
      </c>
      <c r="CY987" s="335">
        <f t="shared" si="1782"/>
        <v>0.42887993290280618</v>
      </c>
      <c r="CZ987" s="336">
        <f>INDEX('State Tax Lookup'!$D$7:$Z$91,MATCH(Calculation!$C987,'State Tax Lookup'!$B$7:$B$91,0),MATCH($H987,'State Tax Lookup'!$D$6:$Z$6,0))</f>
        <v>0.35</v>
      </c>
      <c r="DA987" s="302">
        <v>0.37</v>
      </c>
      <c r="DB987" s="57">
        <f t="shared" si="1785"/>
        <v>12.658634211291361</v>
      </c>
      <c r="DC987" s="56">
        <f t="shared" si="1789"/>
        <v>6.4281112003120575E-2</v>
      </c>
      <c r="DD987" s="303">
        <f>VLOOKUP($H987,RoR!$E:$F,2,FALSE)</f>
        <v>5.5558333333333321E-2</v>
      </c>
      <c r="DE987" s="304">
        <f>HLOOKUP($H987,'GDP-PI'!$D$8:$CQ$11,3,FALSE)</f>
        <v>2.691120634145272E-2</v>
      </c>
      <c r="DF987" s="303">
        <f>VLOOKUP(H987,'HW Dx Data'!$E:$F,2,FALSE)</f>
        <v>498.0223154772637</v>
      </c>
      <c r="DG987" s="364">
        <f ca="1">VLOOKUP(CC987,'ECI - Input Price'!M$13:N$33,2,FALSE)</f>
        <v>104.52499999999999</v>
      </c>
      <c r="DH987" s="364"/>
      <c r="DI987" s="364"/>
      <c r="DJ987" s="56">
        <f t="shared" ca="1" si="1797"/>
        <v>-4.5584612745252218E-2</v>
      </c>
      <c r="DK987" s="53">
        <f>HLOOKUP(H987,'GDP-PI'!$8:$9,2,FALSE)</f>
        <v>92.498000000000005</v>
      </c>
      <c r="DL987" s="355">
        <f t="shared" si="1790"/>
        <v>2.6555467950038037E-2</v>
      </c>
      <c r="EC987"/>
    </row>
    <row r="988" spans="1:133" s="126" customFormat="1" ht="21" customHeight="1" x14ac:dyDescent="0.4">
      <c r="A988" s="233" t="s">
        <v>240</v>
      </c>
      <c r="B988" s="126" t="s">
        <v>240</v>
      </c>
      <c r="C988" s="126">
        <v>4057140</v>
      </c>
      <c r="D988" s="127" t="s">
        <v>241</v>
      </c>
      <c r="E988" s="127"/>
      <c r="F988" s="144"/>
      <c r="G988" s="126" t="s">
        <v>164</v>
      </c>
      <c r="H988" s="128">
        <v>2008</v>
      </c>
      <c r="I988" s="129"/>
      <c r="J988" s="125">
        <f>IFERROR(INDEX('Labor Expenditures'!$E$7:$W$91,MATCH($C988,'Labor Expenditures'!$C$7:$C$91,0),MATCH($G988,'Labor Expenditures'!$E$5:$W$5,0)),"NA")</f>
        <v>43050.29255494431</v>
      </c>
      <c r="K988" s="125">
        <f t="shared" ca="1" si="1791"/>
        <v>398.983248887343</v>
      </c>
      <c r="L988" s="47"/>
      <c r="M988" s="131">
        <f t="shared" ca="1" si="1798"/>
        <v>-6.8555875670812963E-2</v>
      </c>
      <c r="N988" s="131"/>
      <c r="O988" s="131"/>
      <c r="P988" s="59">
        <f t="shared" ca="1" si="1800"/>
        <v>-1.3732537118625789E-3</v>
      </c>
      <c r="Q988" s="61"/>
      <c r="R988" s="387"/>
      <c r="S988" s="49">
        <f t="shared" ca="1" si="1805"/>
        <v>112.6724521836357</v>
      </c>
      <c r="T988" s="61">
        <f ca="1">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</f>
        <v>-6.6190527946934183E-2</v>
      </c>
      <c r="U988" s="61"/>
      <c r="V988" s="125">
        <f>IFERROR(INDEX('Non-Labor Expenditures'!$E$7:$AA$91,MATCH($C988,'Non-Labor Expenditures'!$C$7:$C$91,0),MATCH($G988,'Non-Labor Expenditures'!$E$5:$AA$5,0)),"NA")</f>
        <v>62344.864305080519</v>
      </c>
      <c r="W988" s="125">
        <f t="shared" si="1792"/>
        <v>661.38572843376608</v>
      </c>
      <c r="X988" s="131">
        <f t="shared" si="1801"/>
        <v>-5.56896143973847E-2</v>
      </c>
      <c r="Y988" s="131">
        <f t="shared" si="1802"/>
        <v>-1.1155275741881188E-3</v>
      </c>
      <c r="Z988" s="131"/>
      <c r="AA988" s="131"/>
      <c r="AB988" s="131"/>
      <c r="AC988" s="125">
        <f t="shared" si="1772"/>
        <v>56650.82171510224</v>
      </c>
      <c r="AD988" s="129"/>
      <c r="AE988" s="133">
        <v>4355.4251787176172</v>
      </c>
      <c r="AF988" s="134">
        <v>4.809914882282617E-2</v>
      </c>
      <c r="AG988" s="59">
        <f t="shared" si="1793"/>
        <v>9.6348174408189796E-4</v>
      </c>
      <c r="AH988" s="134"/>
      <c r="AI988" s="134"/>
      <c r="AJ988" s="129">
        <f t="shared" si="1680"/>
        <v>162045.97857512708</v>
      </c>
      <c r="AK988" s="134">
        <f t="shared" si="1803"/>
        <v>3.2173553877690136E-2</v>
      </c>
      <c r="AL988" s="129"/>
      <c r="AM988" s="129"/>
      <c r="AN988" s="129"/>
      <c r="AO988" s="129"/>
      <c r="AP988" s="133">
        <f t="shared" si="1804"/>
        <v>183.81479740183116</v>
      </c>
      <c r="AQ988" s="134">
        <f>+BB988/Outputs!$B$16</f>
        <v>2.5092858051461178E-2</v>
      </c>
      <c r="AR988" s="93">
        <f t="shared" si="1794"/>
        <v>0.26566714542061598</v>
      </c>
      <c r="AS988" s="93">
        <f t="shared" si="1795"/>
        <v>0.38473564634728935</v>
      </c>
      <c r="AT988" s="93">
        <f t="shared" si="1796"/>
        <v>0.34959720823209456</v>
      </c>
      <c r="AU988" s="93">
        <f t="shared" ca="1" si="1799"/>
        <v>-2.5354849884911625E-2</v>
      </c>
      <c r="AV988" s="132">
        <f t="shared" ref="AV988:AV1001" ca="1" si="1807">+AV987*EXP(AU988)</f>
        <v>105.31996839344892</v>
      </c>
      <c r="AW988" s="134">
        <f t="shared" ref="AW988:AW1001" ca="1" si="1808">LN(AV988/AV987)</f>
        <v>-2.5354849884911639E-2</v>
      </c>
      <c r="AX988" s="56">
        <f>+AJ988/$AL$13</f>
        <v>2.003115996149735E-2</v>
      </c>
      <c r="AY988" s="135">
        <f t="shared" ca="1" si="1806"/>
        <v>-5.0788705384441769E-4</v>
      </c>
      <c r="AZ988" s="93"/>
      <c r="BA988" s="93"/>
      <c r="BB988" s="234">
        <f>IFERROR(INDEX('Total Customers'!$E$7:$AA$91,MATCH($C988,'Total Customers'!$C$7:$C$91,0),MATCH($G988,'Total Customers'!$E$5:$AA$5,0)),"NA")</f>
        <v>881572</v>
      </c>
      <c r="BC988" s="269">
        <f t="shared" si="1768"/>
        <v>2.1542307390106093E-2</v>
      </c>
      <c r="BD988" s="92"/>
      <c r="BE988" s="299" t="str">
        <f t="shared" si="1764"/>
        <v>QUESTAR GAS COMPANY</v>
      </c>
      <c r="BF988" s="300">
        <f t="shared" si="1765"/>
        <v>4057140</v>
      </c>
      <c r="BG988" s="231" t="str">
        <f t="shared" si="1766"/>
        <v>UT</v>
      </c>
      <c r="BH988" s="231"/>
      <c r="BI988" s="231" t="str">
        <f t="shared" si="1767"/>
        <v>2008 Y</v>
      </c>
      <c r="BJ988" s="129"/>
      <c r="BK988" s="129"/>
      <c r="BL988" s="129">
        <f>INDEX('Dist. Plant Gas Additions'!$E$7:$AD$91,MATCH($C988,'Dist. Plant Gas Additions'!$C$7:$C$91,0),MATCH(Calculation!$G988,'Dist. Plant Gas Additions'!$E$5:$AD$5,0))</f>
        <v>122491</v>
      </c>
      <c r="BM988" s="129">
        <f>INDEX('Gen. Plant Additions'!$E$7:$AD$91,MATCH($C988,'Gen. Plant Additions'!$C$7:$C$91,0),MATCH(Calculation!$G988,'Gen. Plant Additions'!$E$5:$AD$5,0))</f>
        <v>9329</v>
      </c>
      <c r="BN988" s="301">
        <f t="shared" si="1773"/>
        <v>0.88679576754554335</v>
      </c>
      <c r="BO988" s="231">
        <f t="shared" si="1722"/>
        <v>8272.9177154323734</v>
      </c>
      <c r="BP988" s="231">
        <f t="shared" si="1723"/>
        <v>-1056.0822845676266</v>
      </c>
      <c r="BQ988" s="129">
        <f>INDEX('Dist Plant Depreciation'!$D$7:$AC$94,MATCH($C988,'Dist Plant Depreciation'!$C$7:$C$94,0),MATCH(Calculation!$G988,'Dist Plant Depreciation'!$D$5:$AC$5,0))</f>
        <v>451920</v>
      </c>
      <c r="BR988" s="129">
        <f>INDEX('Gen. Plant Depreciation'!$D$7:$AC$94,MATCH($C988,'Gen. Plant Depreciation'!$C$7:$C$94,0),MATCH(Calculation!$G988,'Gen. Plant Depreciation'!$D$5:$AC$5,0))</f>
        <v>130646</v>
      </c>
      <c r="BS988" s="129"/>
      <c r="BT988" s="129"/>
      <c r="BU988" s="129"/>
      <c r="BV988" s="129"/>
      <c r="BW988" s="129"/>
      <c r="BX988" s="137"/>
      <c r="BY988" s="129">
        <f>INDEX('Gross Dx Plant'!$D$7:$AC$91,MATCH($C988,'Gross Dx Plant'!$C$7:$C$91,0),MATCH(Calculation!$G988,'Gross Dx Plant'!$D$5:$AC$5,0))</f>
        <v>1362904</v>
      </c>
      <c r="BZ988" s="129">
        <f>INDEX('Gross Gen Plant'!$D$7:$AC$91,MATCH($C988,'Gross Gen Plant'!$C$7:$C$91,0),MATCH(Calculation!$G988,'Gross Gen Plant'!$D$5:$AC$5,0))</f>
        <v>173982</v>
      </c>
      <c r="CA988" s="129">
        <f t="shared" si="1721"/>
        <v>954320</v>
      </c>
      <c r="CB988" s="129"/>
      <c r="CC988" s="133">
        <v>2008</v>
      </c>
      <c r="CD988" s="129"/>
      <c r="CE988" s="129"/>
      <c r="CF988" s="129"/>
      <c r="CG988" s="137"/>
      <c r="CH988" s="129">
        <f t="shared" si="1774"/>
        <v>131820</v>
      </c>
      <c r="CI988" s="46">
        <f t="shared" si="1783"/>
        <v>130763.91771543237</v>
      </c>
      <c r="CJ988" s="231">
        <f t="shared" si="1775"/>
        <v>229.45820453483054</v>
      </c>
      <c r="CK988" s="443">
        <v>0.89130434782608692</v>
      </c>
      <c r="CL988" s="231">
        <f>+CL978*CK988+CJ979*CK987+CJ980*CK986+CJ981*CK985+CJ982*CK984+CJ983*CK983+CJ984*CK982+CJ985*CK981+CJ986*CK980+CJ987*CK979+CJ988</f>
        <v>4147.4730915549089</v>
      </c>
      <c r="CM988" s="134">
        <f t="shared" si="1776"/>
        <v>4.4511982056280118E-2</v>
      </c>
      <c r="CN988" s="135">
        <f t="shared" si="1777"/>
        <v>1.2325564212574259E-2</v>
      </c>
      <c r="CO988" s="135">
        <f t="shared" si="1786"/>
        <v>1.2069069261531637E-2</v>
      </c>
      <c r="CP988" s="134">
        <f>VLOOKUP($H988,RoR!$E:$F,2,FALSE)</f>
        <v>5.6316666666666668E-2</v>
      </c>
      <c r="CQ988" s="135">
        <v>1.9092304698479889E-2</v>
      </c>
      <c r="CR988" s="135">
        <f t="shared" si="1784"/>
        <v>3.7224361968186778E-2</v>
      </c>
      <c r="CS988" s="135">
        <f t="shared" si="1787"/>
        <v>1.883287234700199E-2</v>
      </c>
      <c r="CT988" s="135">
        <f t="shared" si="1788"/>
        <v>6.9030581091053131E-2</v>
      </c>
      <c r="CU988" s="139">
        <f t="shared" si="1778"/>
        <v>0.87050000000000005</v>
      </c>
      <c r="CV988" s="335">
        <f t="shared" si="1779"/>
        <v>0.91060168006009956</v>
      </c>
      <c r="CW988" s="335">
        <f t="shared" si="1780"/>
        <v>0.53108168097070152</v>
      </c>
      <c r="CX988" s="335">
        <f t="shared" si="1781"/>
        <v>0.88825329850328805</v>
      </c>
      <c r="CY988" s="335">
        <f t="shared" si="1782"/>
        <v>0.4295627335323573</v>
      </c>
      <c r="CZ988" s="336">
        <f>INDEX('State Tax Lookup'!$D$7:$Z$91,MATCH(Calculation!$C988,'State Tax Lookup'!$B$7:$B$91,0),MATCH($H988,'State Tax Lookup'!$D$6:$Z$6,0))</f>
        <v>0.35</v>
      </c>
      <c r="DA988" s="302">
        <v>0.37</v>
      </c>
      <c r="DB988" s="57">
        <f t="shared" si="1785"/>
        <v>14.28084629278003</v>
      </c>
      <c r="DC988" s="56">
        <f t="shared" si="1789"/>
        <v>0.12057969066381458</v>
      </c>
      <c r="DD988" s="303">
        <f>VLOOKUP($H988,RoR!$E:$F,2,FALSE)</f>
        <v>5.6316666666666668E-2</v>
      </c>
      <c r="DE988" s="304">
        <f>HLOOKUP($H988,'GDP-PI'!$D$8:$CQ$11,3,FALSE)</f>
        <v>1.9092304698479889E-2</v>
      </c>
      <c r="DF988" s="303">
        <f>VLOOKUP(H988,'HW Dx Data'!$E:$F,2,FALSE)</f>
        <v>569.88120333515076</v>
      </c>
      <c r="DG988" s="364">
        <f ca="1">VLOOKUP(CC988,'ECI - Input Price'!M$13:N$33,2,FALSE)</f>
        <v>107.9</v>
      </c>
      <c r="DH988" s="364"/>
      <c r="DI988" s="364"/>
      <c r="DJ988" s="56">
        <f t="shared" ca="1" si="1797"/>
        <v>3.1778595021460486E-2</v>
      </c>
      <c r="DK988" s="53">
        <f>HLOOKUP(H988,'GDP-PI'!$8:$9,2,FALSE)</f>
        <v>94.263999999999996</v>
      </c>
      <c r="DL988" s="355">
        <f t="shared" si="1790"/>
        <v>1.8912333748032254E-2</v>
      </c>
      <c r="EC988"/>
    </row>
    <row r="989" spans="1:133" s="126" customFormat="1" ht="21" customHeight="1" x14ac:dyDescent="0.4">
      <c r="A989" s="233" t="s">
        <v>240</v>
      </c>
      <c r="B989" s="126" t="s">
        <v>240</v>
      </c>
      <c r="C989" s="126">
        <v>4057140</v>
      </c>
      <c r="D989" s="127" t="s">
        <v>241</v>
      </c>
      <c r="E989" s="127"/>
      <c r="F989" s="144"/>
      <c r="G989" s="126" t="s">
        <v>165</v>
      </c>
      <c r="H989" s="128">
        <v>2009</v>
      </c>
      <c r="I989" s="129"/>
      <c r="J989" s="125">
        <f>IFERROR(INDEX('Labor Expenditures'!$E$7:$W$91,MATCH($C989,'Labor Expenditures'!$C$7:$C$91,0),MATCH($G989,'Labor Expenditures'!$E$5:$W$5,0)),"NA")</f>
        <v>44753.948582870224</v>
      </c>
      <c r="K989" s="125">
        <f t="shared" ca="1" si="1791"/>
        <v>403.46133498192677</v>
      </c>
      <c r="L989" s="47"/>
      <c r="M989" s="131">
        <f t="shared" ca="1" si="1798"/>
        <v>1.1161225764063467E-2</v>
      </c>
      <c r="N989" s="131"/>
      <c r="O989" s="131"/>
      <c r="P989" s="59">
        <f t="shared" ca="1" si="1800"/>
        <v>2.1913325451007384E-4</v>
      </c>
      <c r="Q989" s="61"/>
      <c r="R989" s="387"/>
      <c r="S989" s="49">
        <f t="shared" ca="1" si="1805"/>
        <v>118.02366451121507</v>
      </c>
      <c r="T989" s="61">
        <f ca="1">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</f>
        <v>4.6400194825241423E-2</v>
      </c>
      <c r="U989" s="61"/>
      <c r="V989" s="125">
        <f>IFERROR(INDEX('Non-Labor Expenditures'!$E$7:$AA$91,MATCH($C989,'Non-Labor Expenditures'!$C$7:$C$91,0),MATCH($G989,'Non-Labor Expenditures'!$E$5:$AA$5,0)),"NA")</f>
        <v>64812.076432571041</v>
      </c>
      <c r="W989" s="125">
        <f t="shared" si="1792"/>
        <v>682.23956496985272</v>
      </c>
      <c r="X989" s="131">
        <f t="shared" si="1801"/>
        <v>3.1043641946637793E-2</v>
      </c>
      <c r="Y989" s="131">
        <f t="shared" si="1802"/>
        <v>6.0949347638099619E-4</v>
      </c>
      <c r="Z989" s="131"/>
      <c r="AA989" s="131"/>
      <c r="AB989" s="131"/>
      <c r="AC989" s="125">
        <f t="shared" si="1772"/>
        <v>56470.521088246882</v>
      </c>
      <c r="AD989" s="129"/>
      <c r="AE989" s="133">
        <v>4455.8351505819819</v>
      </c>
      <c r="AF989" s="134">
        <v>2.279227145393058E-2</v>
      </c>
      <c r="AG989" s="59">
        <f t="shared" si="1793"/>
        <v>4.4749069026612869E-4</v>
      </c>
      <c r="AH989" s="134"/>
      <c r="AI989" s="134"/>
      <c r="AJ989" s="129">
        <f t="shared" si="1680"/>
        <v>166036.54610368813</v>
      </c>
      <c r="AK989" s="134">
        <f t="shared" si="1803"/>
        <v>2.4327808048072146E-2</v>
      </c>
      <c r="AL989" s="129"/>
      <c r="AM989" s="129"/>
      <c r="AN989" s="129"/>
      <c r="AO989" s="129"/>
      <c r="AP989" s="133">
        <f t="shared" si="1804"/>
        <v>186.27557343272738</v>
      </c>
      <c r="AQ989" s="134">
        <f>+BB989/Outputs!$B$17</f>
        <v>2.5338805812737387E-2</v>
      </c>
      <c r="AR989" s="93">
        <f t="shared" si="1794"/>
        <v>0.26954275810412148</v>
      </c>
      <c r="AS989" s="93">
        <f t="shared" si="1795"/>
        <v>0.39034825737760503</v>
      </c>
      <c r="AT989" s="93">
        <f t="shared" si="1796"/>
        <v>0.34010898451827354</v>
      </c>
      <c r="AU989" s="93">
        <f t="shared" ca="1" si="1799"/>
        <v>2.287749825943174E-2</v>
      </c>
      <c r="AV989" s="132">
        <f t="shared" ca="1" si="1807"/>
        <v>107.75719835025839</v>
      </c>
      <c r="AW989" s="134">
        <f t="shared" ca="1" si="1808"/>
        <v>2.2877498259431646E-2</v>
      </c>
      <c r="AX989" s="56">
        <f>+AJ989/$AL$14</f>
        <v>1.9633439833788829E-2</v>
      </c>
      <c r="AY989" s="135">
        <f t="shared" ca="1" si="1806"/>
        <v>4.4916398562415985E-4</v>
      </c>
      <c r="AZ989" s="93"/>
      <c r="BA989" s="93"/>
      <c r="BB989" s="234">
        <f>IFERROR(INDEX('Total Customers'!$E$7:$AA$91,MATCH($C989,'Total Customers'!$C$7:$C$91,0),MATCH($G989,'Total Customers'!$E$5:$AA$5,0)),"NA")</f>
        <v>891349</v>
      </c>
      <c r="BC989" s="269">
        <f t="shared" si="1768"/>
        <v>1.1029368044779444E-2</v>
      </c>
      <c r="BD989" s="92"/>
      <c r="BE989" s="299" t="str">
        <f t="shared" si="1764"/>
        <v>QUESTAR GAS COMPANY</v>
      </c>
      <c r="BF989" s="300">
        <f t="shared" si="1765"/>
        <v>4057140</v>
      </c>
      <c r="BG989" s="231" t="str">
        <f t="shared" si="1766"/>
        <v>UT</v>
      </c>
      <c r="BH989" s="231"/>
      <c r="BI989" s="231" t="str">
        <f t="shared" si="1767"/>
        <v>2009 Y</v>
      </c>
      <c r="BJ989" s="129"/>
      <c r="BK989" s="129"/>
      <c r="BL989" s="129">
        <f>INDEX('Dist. Plant Gas Additions'!$E$7:$AD$91,MATCH($C989,'Dist. Plant Gas Additions'!$C$7:$C$91,0),MATCH(Calculation!$G989,'Dist. Plant Gas Additions'!$E$5:$AD$5,0))</f>
        <v>54532</v>
      </c>
      <c r="BM989" s="129">
        <f>INDEX('Gen. Plant Additions'!$E$7:$AD$91,MATCH($C989,'Gen. Plant Additions'!$C$7:$C$91,0),MATCH(Calculation!$G989,'Gen. Plant Additions'!$E$5:$AD$5,0))</f>
        <v>16677</v>
      </c>
      <c r="BN989" s="301">
        <f t="shared" si="1773"/>
        <v>0.88535697828177595</v>
      </c>
      <c r="BO989" s="231">
        <f t="shared" si="1722"/>
        <v>14765.098326805177</v>
      </c>
      <c r="BP989" s="231">
        <f t="shared" si="1723"/>
        <v>-1911.9016731948232</v>
      </c>
      <c r="BQ989" s="129">
        <f>INDEX('Dist Plant Depreciation'!$D$7:$AC$94,MATCH($C989,'Dist Plant Depreciation'!$C$7:$C$94,0),MATCH(Calculation!$G989,'Dist Plant Depreciation'!$D$5:$AC$5,0))</f>
        <v>482581</v>
      </c>
      <c r="BR989" s="129">
        <f>INDEX('Gen. Plant Depreciation'!$D$7:$AC$94,MATCH($C989,'Gen. Plant Depreciation'!$C$7:$C$94,0),MATCH(Calculation!$G989,'Gen. Plant Depreciation'!$D$5:$AC$5,0))</f>
        <v>133855</v>
      </c>
      <c r="BS989" s="129"/>
      <c r="BT989" s="129"/>
      <c r="BU989" s="129"/>
      <c r="BV989" s="129"/>
      <c r="BW989" s="129"/>
      <c r="BX989" s="137"/>
      <c r="BY989" s="129">
        <f>INDEX('Gross Dx Plant'!$D$7:$AC$91,MATCH($C989,'Gross Dx Plant'!$C$7:$C$91,0),MATCH(Calculation!$G989,'Gross Dx Plant'!$D$5:$AC$5,0))</f>
        <v>1414078</v>
      </c>
      <c r="BZ989" s="129">
        <f>INDEX('Gross Gen Plant'!$D$7:$AC$91,MATCH($C989,'Gross Gen Plant'!$C$7:$C$91,0),MATCH(Calculation!$G989,'Gross Gen Plant'!$D$5:$AC$5,0))</f>
        <v>183106</v>
      </c>
      <c r="CA989" s="129">
        <f t="shared" si="1721"/>
        <v>980748</v>
      </c>
      <c r="CB989" s="129"/>
      <c r="CC989" s="133">
        <v>2009</v>
      </c>
      <c r="CD989" s="129"/>
      <c r="CE989" s="129"/>
      <c r="CF989" s="129"/>
      <c r="CG989" s="137"/>
      <c r="CH989" s="129">
        <f t="shared" si="1774"/>
        <v>71209</v>
      </c>
      <c r="CI989" s="46">
        <f t="shared" si="1783"/>
        <v>69297.098326805179</v>
      </c>
      <c r="CJ989" s="231">
        <f t="shared" si="1775"/>
        <v>125.77960981365672</v>
      </c>
      <c r="CK989" s="443">
        <v>0.87912087912087911</v>
      </c>
      <c r="CL989" s="231">
        <f>+CL978*CK989+CJ979*CK988+CJ980*CK987+CJ981*CK986+CJ982*CK985+CJ983*CK984+CJ984*CK983+CJ985*CK982+CJ986*CK981+CJ987*CK980+CJ988*CK979+CJ989</f>
        <v>4221.0334399752128</v>
      </c>
      <c r="CM989" s="134">
        <f t="shared" si="1776"/>
        <v>1.7580733866016118E-2</v>
      </c>
      <c r="CN989" s="135">
        <f t="shared" si="1777"/>
        <v>1.2590620901117311E-2</v>
      </c>
      <c r="CO989" s="135">
        <f t="shared" si="1786"/>
        <v>1.2332816714623857E-2</v>
      </c>
      <c r="CP989" s="134">
        <f>VLOOKUP($H989,RoR!$E:$F,2,FALSE)</f>
        <v>5.3133333333333324E-2</v>
      </c>
      <c r="CQ989" s="135">
        <v>7.7972502758210105E-3</v>
      </c>
      <c r="CR989" s="135">
        <f t="shared" si="1784"/>
        <v>4.5336083057512314E-2</v>
      </c>
      <c r="CS989" s="135">
        <f t="shared" si="1787"/>
        <v>1.8569124893909768E-2</v>
      </c>
      <c r="CT989" s="135">
        <f t="shared" si="1788"/>
        <v>6.3720160300892073E-2</v>
      </c>
      <c r="CU989" s="139">
        <f t="shared" si="1778"/>
        <v>0.87050000000000005</v>
      </c>
      <c r="CV989" s="335">
        <f t="shared" si="1779"/>
        <v>0.96515780330083989</v>
      </c>
      <c r="CW989" s="335">
        <f t="shared" si="1780"/>
        <v>0.50448557089084056</v>
      </c>
      <c r="CX989" s="335">
        <f t="shared" si="1781"/>
        <v>0.87391435735465484</v>
      </c>
      <c r="CY989" s="335">
        <f t="shared" si="1782"/>
        <v>0.42551605393279146</v>
      </c>
      <c r="CZ989" s="336">
        <f>INDEX('State Tax Lookup'!$D$7:$Z$91,MATCH(Calculation!$C989,'State Tax Lookup'!$B$7:$B$91,0),MATCH($H989,'State Tax Lookup'!$D$6:$Z$6,0))</f>
        <v>0.35</v>
      </c>
      <c r="DA989" s="302">
        <v>0.37</v>
      </c>
      <c r="DB989" s="57">
        <f t="shared" si="1785"/>
        <v>13.61564495818725</v>
      </c>
      <c r="DC989" s="56">
        <f t="shared" si="1789"/>
        <v>-4.7699723203390672E-2</v>
      </c>
      <c r="DD989" s="303">
        <f>VLOOKUP($H989,RoR!$E:$F,2,FALSE)</f>
        <v>5.3133333333333324E-2</v>
      </c>
      <c r="DE989" s="304">
        <f>HLOOKUP($H989,'GDP-PI'!$D$8:$CQ$11,3,FALSE)</f>
        <v>7.7972502758210105E-3</v>
      </c>
      <c r="DF989" s="303">
        <f>VLOOKUP(H989,'HW Dx Data'!$E:$F,2,FALSE)</f>
        <v>550.94063679692806</v>
      </c>
      <c r="DG989" s="364">
        <f ca="1">VLOOKUP(CC989,'ECI - Input Price'!M$13:N$33,2,FALSE)</f>
        <v>110.925</v>
      </c>
      <c r="DH989" s="364"/>
      <c r="DI989" s="364"/>
      <c r="DJ989" s="56">
        <f t="shared" ca="1" si="1797"/>
        <v>2.7649425000884052E-2</v>
      </c>
      <c r="DK989" s="53">
        <f>HLOOKUP(H989,'GDP-PI'!$8:$9,2,FALSE)</f>
        <v>94.998999999999995</v>
      </c>
      <c r="DL989" s="355">
        <f t="shared" si="1790"/>
        <v>7.7670088183096342E-3</v>
      </c>
      <c r="EC989"/>
    </row>
    <row r="990" spans="1:133" s="126" customFormat="1" ht="21" customHeight="1" x14ac:dyDescent="0.4">
      <c r="A990" s="233" t="s">
        <v>240</v>
      </c>
      <c r="B990" s="126" t="s">
        <v>240</v>
      </c>
      <c r="C990" s="126">
        <v>4057140</v>
      </c>
      <c r="D990" s="127" t="s">
        <v>241</v>
      </c>
      <c r="E990" s="127"/>
      <c r="F990" s="144"/>
      <c r="G990" s="126" t="s">
        <v>166</v>
      </c>
      <c r="H990" s="128">
        <v>2010</v>
      </c>
      <c r="I990" s="129"/>
      <c r="J990" s="125">
        <f>IFERROR(INDEX('Labor Expenditures'!$E$7:$W$91,MATCH($C990,'Labor Expenditures'!$C$7:$C$91,0),MATCH($G990,'Labor Expenditures'!$E$5:$W$5,0)),"NA")</f>
        <v>46723.778410027815</v>
      </c>
      <c r="K990" s="125">
        <f t="shared" ca="1" si="1791"/>
        <v>399.60469027177948</v>
      </c>
      <c r="L990" s="47"/>
      <c r="M990" s="131">
        <f t="shared" ca="1" si="1798"/>
        <v>-9.604874911757301E-3</v>
      </c>
      <c r="N990" s="131"/>
      <c r="O990" s="131"/>
      <c r="P990" s="59">
        <f t="shared" ca="1" si="1800"/>
        <v>-1.9053254776975817E-4</v>
      </c>
      <c r="Q990" s="61"/>
      <c r="R990" s="387"/>
      <c r="S990" s="49">
        <f t="shared" ca="1" si="1805"/>
        <v>97.645687241466192</v>
      </c>
      <c r="T990" s="61">
        <f ca="1">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</f>
        <v>-0.18953966019068683</v>
      </c>
      <c r="U990" s="61"/>
      <c r="V990" s="125">
        <f>IFERROR(INDEX('Non-Labor Expenditures'!$E$7:$AA$91,MATCH($C990,'Non-Labor Expenditures'!$C$7:$C$91,0),MATCH($G990,'Non-Labor Expenditures'!$E$5:$AA$5,0)),"NA")</f>
        <v>67664.757935757138</v>
      </c>
      <c r="W990" s="125">
        <f t="shared" si="1792"/>
        <v>704.04184764961803</v>
      </c>
      <c r="X990" s="131">
        <f t="shared" si="1801"/>
        <v>3.1456932628068923E-2</v>
      </c>
      <c r="Y990" s="131">
        <f t="shared" si="1802"/>
        <v>6.2401328218349768E-4</v>
      </c>
      <c r="Z990" s="131"/>
      <c r="AA990" s="131"/>
      <c r="AB990" s="131"/>
      <c r="AC990" s="125">
        <f t="shared" si="1772"/>
        <v>58542.046727487861</v>
      </c>
      <c r="AD990" s="129"/>
      <c r="AE990" s="133">
        <v>4594.2313850877645</v>
      </c>
      <c r="AF990" s="134">
        <v>3.0586962791982801E-2</v>
      </c>
      <c r="AG990" s="59">
        <f t="shared" si="1793"/>
        <v>6.0675563220104721E-4</v>
      </c>
      <c r="AH990" s="134"/>
      <c r="AI990" s="134"/>
      <c r="AJ990" s="129">
        <f t="shared" ref="AJ990:AJ1053" si="1809">+J990+V990+AC990</f>
        <v>172930.58307327284</v>
      </c>
      <c r="AK990" s="134">
        <f t="shared" si="1803"/>
        <v>4.0682338685544092E-2</v>
      </c>
      <c r="AL990" s="129"/>
      <c r="AM990" s="129"/>
      <c r="AN990" s="129"/>
      <c r="AO990" s="129"/>
      <c r="AP990" s="133">
        <f t="shared" si="1804"/>
        <v>191.32113594483405</v>
      </c>
      <c r="AQ990" s="134">
        <f>+BB990/Outputs!$B$18</f>
        <v>2.5554329370040641E-2</v>
      </c>
      <c r="AR990" s="93">
        <f t="shared" si="1794"/>
        <v>0.27018805800377349</v>
      </c>
      <c r="AS990" s="93">
        <f t="shared" si="1795"/>
        <v>0.39128277215769719</v>
      </c>
      <c r="AT990" s="93">
        <f t="shared" si="1796"/>
        <v>0.33852916983852921</v>
      </c>
      <c r="AU990" s="93">
        <f t="shared" ca="1" si="1799"/>
        <v>2.0080573818947272E-2</v>
      </c>
      <c r="AV990" s="132">
        <f t="shared" ca="1" si="1807"/>
        <v>109.94289631661212</v>
      </c>
      <c r="AW990" s="134">
        <f t="shared" ca="1" si="1808"/>
        <v>2.0080573818947355E-2</v>
      </c>
      <c r="AX990" s="56">
        <f>+AJ990/$AL$15</f>
        <v>1.9837067064405783E-2</v>
      </c>
      <c r="AY990" s="135">
        <f t="shared" ca="1" si="1806"/>
        <v>3.9833968953820962E-4</v>
      </c>
      <c r="AZ990" s="93"/>
      <c r="BA990" s="93"/>
      <c r="BB990" s="234">
        <f>IFERROR(INDEX('Total Customers'!$E$7:$AA$91,MATCH($C990,'Total Customers'!$C$7:$C$91,0),MATCH($G990,'Total Customers'!$E$5:$AA$5,0)),"NA")</f>
        <v>903876</v>
      </c>
      <c r="BC990" s="269">
        <f t="shared" si="1768"/>
        <v>1.3956137338689192E-2</v>
      </c>
      <c r="BD990" s="92"/>
      <c r="BE990" s="299" t="str">
        <f t="shared" si="1764"/>
        <v>QUESTAR GAS COMPANY</v>
      </c>
      <c r="BF990" s="300">
        <f t="shared" si="1765"/>
        <v>4057140</v>
      </c>
      <c r="BG990" s="231" t="str">
        <f t="shared" si="1766"/>
        <v>UT</v>
      </c>
      <c r="BH990" s="231"/>
      <c r="BI990" s="231" t="str">
        <f t="shared" si="1767"/>
        <v>2010 Y</v>
      </c>
      <c r="BJ990" s="129"/>
      <c r="BK990" s="129"/>
      <c r="BL990" s="129">
        <f>INDEX('Dist. Plant Gas Additions'!$E$7:$AD$91,MATCH($C990,'Dist. Plant Gas Additions'!$C$7:$C$91,0),MATCH(Calculation!$G990,'Dist. Plant Gas Additions'!$E$5:$AD$5,0))</f>
        <v>78057</v>
      </c>
      <c r="BM990" s="129">
        <f>INDEX('Gen. Plant Additions'!$E$7:$AD$91,MATCH($C990,'Gen. Plant Additions'!$C$7:$C$91,0),MATCH(Calculation!$G990,'Gen. Plant Additions'!$E$5:$AD$5,0))</f>
        <v>18030</v>
      </c>
      <c r="BN990" s="301">
        <f t="shared" si="1773"/>
        <v>0.88783237565926987</v>
      </c>
      <c r="BO990" s="231">
        <f t="shared" si="1722"/>
        <v>16007.617733136636</v>
      </c>
      <c r="BP990" s="231">
        <f t="shared" si="1723"/>
        <v>-2022.3822668633638</v>
      </c>
      <c r="BQ990" s="129">
        <f>INDEX('Dist Plant Depreciation'!$D$7:$AC$94,MATCH($C990,'Dist Plant Depreciation'!$C$7:$C$94,0),MATCH(Calculation!$G990,'Dist Plant Depreciation'!$D$5:$AC$5,0))</f>
        <v>610228</v>
      </c>
      <c r="BR990" s="129">
        <f>INDEX('Gen. Plant Depreciation'!$D$7:$AC$94,MATCH($C990,'Gen. Plant Depreciation'!$C$7:$C$94,0),MATCH(Calculation!$G990,'Gen. Plant Depreciation'!$D$5:$AC$5,0))</f>
        <v>77124</v>
      </c>
      <c r="BS990" s="129"/>
      <c r="BT990" s="129"/>
      <c r="BU990" s="129"/>
      <c r="BV990" s="129"/>
      <c r="BW990" s="129"/>
      <c r="BX990" s="137"/>
      <c r="BY990" s="129">
        <f>INDEX('Gross Dx Plant'!$D$7:$AC$91,MATCH($C990,'Gross Dx Plant'!$C$7:$C$91,0),MATCH(Calculation!$G990,'Gross Dx Plant'!$D$5:$AC$5,0))</f>
        <v>1490113</v>
      </c>
      <c r="BZ990" s="129">
        <f>INDEX('Gross Gen Plant'!$D$7:$AC$91,MATCH($C990,'Gross Gen Plant'!$C$7:$C$91,0),MATCH(Calculation!$G990,'Gross Gen Plant'!$D$5:$AC$5,0))</f>
        <v>188259</v>
      </c>
      <c r="CA990" s="129">
        <f t="shared" si="1721"/>
        <v>991020</v>
      </c>
      <c r="CB990" s="129"/>
      <c r="CC990" s="133">
        <v>2010</v>
      </c>
      <c r="CD990" s="129"/>
      <c r="CE990" s="129"/>
      <c r="CF990" s="129"/>
      <c r="CG990" s="137"/>
      <c r="CH990" s="129">
        <f t="shared" si="1774"/>
        <v>96087</v>
      </c>
      <c r="CI990" s="46">
        <f t="shared" si="1783"/>
        <v>94064.617733136634</v>
      </c>
      <c r="CJ990" s="231">
        <f t="shared" si="1775"/>
        <v>165.31872257466105</v>
      </c>
      <c r="CK990" s="443">
        <v>0.8666666666666667</v>
      </c>
      <c r="CL990" s="231">
        <f>+CL978*CK990+CJ979*CK989+CJ980*CK988+CJ981*CK987+CJ982*CK986+CJ983*CK985+CJ984*CK984+CJ985*CK983+CJ986*CK982+CJ987*CK981+CJ988*CK980+CJ989*CK979+CJ990</f>
        <v>4331.7547001172225</v>
      </c>
      <c r="CM990" s="134">
        <f t="shared" si="1776"/>
        <v>2.5892713390719187E-2</v>
      </c>
      <c r="CN990" s="135">
        <f t="shared" si="1777"/>
        <v>1.293461973449137E-2</v>
      </c>
      <c r="CO990" s="135">
        <f t="shared" si="1786"/>
        <v>1.2616934949394315E-2</v>
      </c>
      <c r="CP990" s="134">
        <f>VLOOKUP($H990,RoR!$E:$F,2,FALSE)</f>
        <v>4.9433333333333322E-2</v>
      </c>
      <c r="CQ990" s="135">
        <v>1.1684333519300205E-2</v>
      </c>
      <c r="CR990" s="135">
        <f t="shared" si="1784"/>
        <v>3.7748999814033117E-2</v>
      </c>
      <c r="CS990" s="135">
        <f t="shared" si="1787"/>
        <v>1.8285006659139312E-2</v>
      </c>
      <c r="CT990" s="135">
        <f t="shared" si="1788"/>
        <v>4.7937530248493419E-2</v>
      </c>
      <c r="CU990" s="139">
        <f t="shared" si="1778"/>
        <v>0.87050000000000005</v>
      </c>
      <c r="CV990" s="335">
        <f t="shared" si="1779"/>
        <v>1.037398205301105</v>
      </c>
      <c r="CW990" s="335">
        <f t="shared" si="1780"/>
        <v>0.46926837491571133</v>
      </c>
      <c r="CX990" s="335">
        <f t="shared" si="1781"/>
        <v>0.8548537519972772</v>
      </c>
      <c r="CY990" s="335">
        <f t="shared" si="1782"/>
        <v>0.41615833911547367</v>
      </c>
      <c r="CZ990" s="336">
        <f>INDEX('State Tax Lookup'!$D$7:$Z$91,MATCH(Calculation!$C990,'State Tax Lookup'!$B$7:$B$91,0),MATCH($H990,'State Tax Lookup'!$D$6:$Z$6,0))</f>
        <v>0.35</v>
      </c>
      <c r="DA990" s="302">
        <v>0.37</v>
      </c>
      <c r="DB990" s="57">
        <f t="shared" si="1785"/>
        <v>13.869126497095849</v>
      </c>
      <c r="DC990" s="56">
        <f t="shared" si="1789"/>
        <v>1.844575833228802E-2</v>
      </c>
      <c r="DD990" s="303">
        <f>VLOOKUP($H990,RoR!$E:$F,2,FALSE)</f>
        <v>4.9433333333333322E-2</v>
      </c>
      <c r="DE990" s="304">
        <f>HLOOKUP($H990,'GDP-PI'!$D$8:$CQ$11,3,FALSE)</f>
        <v>1.1684333519300205E-2</v>
      </c>
      <c r="DF990" s="303">
        <f>VLOOKUP(H990,'HW Dx Data'!$E:$F,2,FALSE)</f>
        <v>568.98950262971744</v>
      </c>
      <c r="DG990" s="364">
        <f ca="1">VLOOKUP(CC990,'ECI - Input Price'!M$13:N$33,2,FALSE)</f>
        <v>116.925</v>
      </c>
      <c r="DH990" s="364"/>
      <c r="DI990" s="364"/>
      <c r="DJ990" s="56">
        <f t="shared" ca="1" si="1797"/>
        <v>5.2678406346976722E-2</v>
      </c>
      <c r="DK990" s="53">
        <f>HLOOKUP(H990,'GDP-PI'!$8:$9,2,FALSE)</f>
        <v>96.108999999999995</v>
      </c>
      <c r="DL990" s="355">
        <f t="shared" si="1790"/>
        <v>1.1616598807150427E-2</v>
      </c>
      <c r="EC990"/>
    </row>
    <row r="991" spans="1:133" s="126" customFormat="1" ht="21" customHeight="1" x14ac:dyDescent="0.4">
      <c r="A991" s="233" t="s">
        <v>240</v>
      </c>
      <c r="B991" s="126" t="s">
        <v>240</v>
      </c>
      <c r="C991" s="126">
        <v>4057140</v>
      </c>
      <c r="D991" s="127" t="s">
        <v>241</v>
      </c>
      <c r="E991" s="127"/>
      <c r="F991" s="144"/>
      <c r="G991" s="126" t="s">
        <v>167</v>
      </c>
      <c r="H991" s="128">
        <v>2011</v>
      </c>
      <c r="I991" s="129"/>
      <c r="J991" s="125">
        <f>IFERROR(INDEX('Labor Expenditures'!$E$7:$W$91,MATCH($C991,'Labor Expenditures'!$C$7:$C$91,0),MATCH($G991,'Labor Expenditures'!$E$5:$W$5,0)),"NA")</f>
        <v>47705.903929846296</v>
      </c>
      <c r="K991" s="125">
        <f t="shared" ca="1" si="1791"/>
        <v>394.67138721692902</v>
      </c>
      <c r="L991" s="47"/>
      <c r="M991" s="131">
        <f t="shared" ca="1" si="1798"/>
        <v>-1.2422296564364943E-2</v>
      </c>
      <c r="N991" s="131"/>
      <c r="O991" s="131"/>
      <c r="P991" s="59">
        <f t="shared" ca="1" si="1800"/>
        <v>-2.4703530531741289E-4</v>
      </c>
      <c r="Q991" s="61"/>
      <c r="R991" s="387"/>
      <c r="S991" s="49">
        <f t="shared" ca="1" si="1805"/>
        <v>118.46821466694254</v>
      </c>
      <c r="T991" s="61">
        <f ca="1">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</f>
        <v>0.19329920306280785</v>
      </c>
      <c r="U991" s="61"/>
      <c r="V991" s="125">
        <f>IFERROR(INDEX('Non-Labor Expenditures'!$E$7:$AA$91,MATCH($C991,'Non-Labor Expenditures'!$C$7:$C$91,0),MATCH($G991,'Non-Labor Expenditures'!$E$5:$AA$5,0)),"NA")</f>
        <v>69087.059124198364</v>
      </c>
      <c r="W991" s="125">
        <f t="shared" si="1792"/>
        <v>704.16523079947785</v>
      </c>
      <c r="X991" s="131">
        <f t="shared" si="1801"/>
        <v>1.7523438429436794E-4</v>
      </c>
      <c r="Y991" s="131">
        <f t="shared" si="1802"/>
        <v>3.4847887749233665E-6</v>
      </c>
      <c r="Z991" s="131"/>
      <c r="AA991" s="131"/>
      <c r="AB991" s="131"/>
      <c r="AC991" s="125">
        <f t="shared" si="1772"/>
        <v>63630.414664138443</v>
      </c>
      <c r="AD991" s="129"/>
      <c r="AE991" s="133">
        <v>4763.5224847424197</v>
      </c>
      <c r="AF991" s="134">
        <v>3.6185942567787087E-2</v>
      </c>
      <c r="AG991" s="59">
        <f t="shared" si="1793"/>
        <v>7.1960972144836607E-4</v>
      </c>
      <c r="AH991" s="134"/>
      <c r="AI991" s="134"/>
      <c r="AJ991" s="129">
        <f t="shared" si="1809"/>
        <v>180423.3777181831</v>
      </c>
      <c r="AK991" s="134">
        <f t="shared" si="1803"/>
        <v>4.2415927408789134E-2</v>
      </c>
      <c r="AL991" s="129"/>
      <c r="AM991" s="129"/>
      <c r="AN991" s="129"/>
      <c r="AO991" s="129"/>
      <c r="AP991" s="133">
        <f t="shared" si="1804"/>
        <v>197.52142481439125</v>
      </c>
      <c r="AQ991" s="134">
        <f>+BB991/Outputs!$B$19</f>
        <v>2.570003378233043E-2</v>
      </c>
      <c r="AR991" s="93">
        <f t="shared" si="1794"/>
        <v>0.26441087919527673</v>
      </c>
      <c r="AS991" s="93">
        <f t="shared" si="1795"/>
        <v>0.38291633821483301</v>
      </c>
      <c r="AT991" s="93">
        <f t="shared" si="1796"/>
        <v>0.35267278258989027</v>
      </c>
      <c r="AU991" s="93">
        <f t="shared" ca="1" si="1799"/>
        <v>9.2532569584317763E-3</v>
      </c>
      <c r="AV991" s="132">
        <f t="shared" ca="1" si="1807"/>
        <v>110.96494754574734</v>
      </c>
      <c r="AW991" s="134">
        <f t="shared" ca="1" si="1808"/>
        <v>9.2532569584318335E-3</v>
      </c>
      <c r="AX991" s="56">
        <f>+AJ991/$AL$16</f>
        <v>1.9886444027271695E-2</v>
      </c>
      <c r="AY991" s="135">
        <f t="shared" ca="1" si="1806"/>
        <v>1.8401437657381697E-4</v>
      </c>
      <c r="AZ991" s="93"/>
      <c r="BA991" s="93"/>
      <c r="BB991" s="234">
        <f>IFERROR(INDEX('Total Customers'!$E$7:$AA$91,MATCH($C991,'Total Customers'!$C$7:$C$91,0),MATCH($G991,'Total Customers'!$E$5:$AA$5,0)),"NA")</f>
        <v>913437</v>
      </c>
      <c r="BC991" s="269">
        <f t="shared" si="1768"/>
        <v>1.0522225080415644E-2</v>
      </c>
      <c r="BD991" s="92"/>
      <c r="BE991" s="299" t="str">
        <f t="shared" si="1764"/>
        <v>QUESTAR GAS COMPANY</v>
      </c>
      <c r="BF991" s="300">
        <f t="shared" si="1765"/>
        <v>4057140</v>
      </c>
      <c r="BG991" s="231" t="str">
        <f t="shared" si="1766"/>
        <v>UT</v>
      </c>
      <c r="BH991" s="231"/>
      <c r="BI991" s="231" t="str">
        <f t="shared" si="1767"/>
        <v>2011 Y</v>
      </c>
      <c r="BJ991" s="129"/>
      <c r="BK991" s="129"/>
      <c r="BL991" s="129">
        <f>INDEX('Dist. Plant Gas Additions'!$E$7:$AD$91,MATCH($C991,'Dist. Plant Gas Additions'!$C$7:$C$91,0),MATCH(Calculation!$G991,'Dist. Plant Gas Additions'!$E$5:$AD$5,0))</f>
        <v>98619</v>
      </c>
      <c r="BM991" s="129">
        <f>INDEX('Gen. Plant Additions'!$E$7:$AD$91,MATCH($C991,'Gen. Plant Additions'!$C$7:$C$91,0),MATCH(Calculation!$G991,'Gen. Plant Additions'!$E$5:$AD$5,0))</f>
        <v>24727</v>
      </c>
      <c r="BN991" s="301">
        <f t="shared" si="1773"/>
        <v>0.88772943901729195</v>
      </c>
      <c r="BO991" s="231">
        <f t="shared" si="1722"/>
        <v>21950.88583858058</v>
      </c>
      <c r="BP991" s="231">
        <f t="shared" si="1723"/>
        <v>-2776.1141614194203</v>
      </c>
      <c r="BQ991" s="129">
        <f>INDEX('Dist Plant Depreciation'!$D$7:$AC$94,MATCH($C991,'Dist Plant Depreciation'!$C$7:$C$94,0),MATCH(Calculation!$G991,'Dist Plant Depreciation'!$D$5:$AC$5,0))</f>
        <v>543446</v>
      </c>
      <c r="BR991" s="129">
        <f>INDEX('Gen. Plant Depreciation'!$D$7:$AC$94,MATCH($C991,'Gen. Plant Depreciation'!$C$7:$C$94,0),MATCH(Calculation!$G991,'Gen. Plant Depreciation'!$D$5:$AC$5,0))</f>
        <v>131572</v>
      </c>
      <c r="BS991" s="129"/>
      <c r="BT991" s="129"/>
      <c r="BU991" s="129"/>
      <c r="BV991" s="129"/>
      <c r="BW991" s="129"/>
      <c r="BX991" s="137"/>
      <c r="BY991" s="129">
        <f>INDEX('Gross Dx Plant'!$D$7:$AC$91,MATCH($C991,'Gross Dx Plant'!$C$7:$C$91,0),MATCH(Calculation!$G991,'Gross Dx Plant'!$D$5:$AC$5,0))</f>
        <v>1583103</v>
      </c>
      <c r="BZ991" s="129">
        <f>INDEX('Gross Gen Plant'!$D$7:$AC$91,MATCH($C991,'Gross Gen Plant'!$C$7:$C$91,0),MATCH(Calculation!$G991,'Gross Gen Plant'!$D$5:$AC$5,0))</f>
        <v>200214</v>
      </c>
      <c r="CA991" s="129">
        <f t="shared" si="1721"/>
        <v>1108299</v>
      </c>
      <c r="CB991" s="129"/>
      <c r="CC991" s="133">
        <v>2011</v>
      </c>
      <c r="CD991" s="129"/>
      <c r="CE991" s="129"/>
      <c r="CF991" s="129"/>
      <c r="CG991" s="137"/>
      <c r="CH991" s="129">
        <f t="shared" si="1774"/>
        <v>123346</v>
      </c>
      <c r="CI991" s="46">
        <f t="shared" si="1783"/>
        <v>120569.88583858058</v>
      </c>
      <c r="CJ991" s="231">
        <f t="shared" si="1775"/>
        <v>197.13488947945135</v>
      </c>
      <c r="CK991" s="443">
        <v>0.8539325842696629</v>
      </c>
      <c r="CL991" s="231">
        <f>+CL978*CK991+CJ979*CK990+CJ980*CK989+CJ981*CK988+CJ982*CK987+CJ983*CK986+CJ984*CK985+CJ985*CK984+CJ986*CK983+CJ987*CK982+CJ988*CK981+CJ989*CK980+CJ990*CK979+CJ991</f>
        <v>4471.4602299633989</v>
      </c>
      <c r="CM991" s="134">
        <f t="shared" si="1776"/>
        <v>3.1742326202114673E-2</v>
      </c>
      <c r="CN991" s="135">
        <f t="shared" si="1777"/>
        <v>1.3257758947366249E-2</v>
      </c>
      <c r="CO991" s="135">
        <f t="shared" si="1786"/>
        <v>1.292766652765831E-2</v>
      </c>
      <c r="CP991" s="134">
        <f>VLOOKUP($H991,RoR!$E:$F,2,FALSE)</f>
        <v>4.6391666666666664E-2</v>
      </c>
      <c r="CQ991" s="135">
        <v>2.0840920205183799E-2</v>
      </c>
      <c r="CR991" s="135">
        <f t="shared" si="1784"/>
        <v>2.5550746461482865E-2</v>
      </c>
      <c r="CS991" s="135">
        <f t="shared" si="1787"/>
        <v>1.7974275080875315E-2</v>
      </c>
      <c r="CT991" s="135">
        <f t="shared" si="1788"/>
        <v>2.4810540821321614E-2</v>
      </c>
      <c r="CU991" s="139">
        <f t="shared" si="1778"/>
        <v>0.87050000000000005</v>
      </c>
      <c r="CV991" s="335">
        <f t="shared" si="1779"/>
        <v>1.1054151524782025</v>
      </c>
      <c r="CW991" s="335">
        <f t="shared" si="1780"/>
        <v>0.43611011316687626</v>
      </c>
      <c r="CX991" s="335">
        <f t="shared" si="1781"/>
        <v>0.83698442246886229</v>
      </c>
      <c r="CY991" s="335">
        <f t="shared" si="1782"/>
        <v>0.40349573304423936</v>
      </c>
      <c r="CZ991" s="336">
        <f>INDEX('State Tax Lookup'!$D$7:$Z$91,MATCH(Calculation!$C991,'State Tax Lookup'!$B$7:$B$91,0),MATCH($H991,'State Tax Lookup'!$D$6:$Z$6,0))</f>
        <v>0.35</v>
      </c>
      <c r="DA991" s="302">
        <v>0.37</v>
      </c>
      <c r="DB991" s="57">
        <f t="shared" si="1785"/>
        <v>14.689293154669292</v>
      </c>
      <c r="DC991" s="56">
        <f t="shared" si="1789"/>
        <v>5.7453617094206412E-2</v>
      </c>
      <c r="DD991" s="303">
        <f>VLOOKUP($H991,RoR!$E:$F,2,FALSE)</f>
        <v>4.6391666666666664E-2</v>
      </c>
      <c r="DE991" s="304">
        <f>HLOOKUP($H991,'GDP-PI'!$D$8:$CQ$11,3,FALSE)</f>
        <v>2.0840920205183799E-2</v>
      </c>
      <c r="DF991" s="303">
        <f>VLOOKUP(H991,'HW Dx Data'!$E:$F,2,FALSE)</f>
        <v>611.61109612283201</v>
      </c>
      <c r="DG991" s="364">
        <f ca="1">VLOOKUP(CC991,'ECI - Input Price'!M$13:N$33,2,FALSE)</f>
        <v>120.875</v>
      </c>
      <c r="DH991" s="364"/>
      <c r="DI991" s="364"/>
      <c r="DJ991" s="56">
        <f t="shared" ca="1" si="1797"/>
        <v>3.3224250161508609E-2</v>
      </c>
      <c r="DK991" s="53">
        <f>HLOOKUP(H991,'GDP-PI'!$8:$9,2,FALSE)</f>
        <v>98.111999999999995</v>
      </c>
      <c r="DL991" s="355">
        <f t="shared" si="1790"/>
        <v>2.0626719212849295E-2</v>
      </c>
      <c r="EC991"/>
    </row>
    <row r="992" spans="1:133" s="126" customFormat="1" ht="21" customHeight="1" x14ac:dyDescent="0.4">
      <c r="A992" s="233" t="s">
        <v>240</v>
      </c>
      <c r="B992" s="126" t="s">
        <v>240</v>
      </c>
      <c r="C992" s="126">
        <v>4057140</v>
      </c>
      <c r="D992" s="127" t="s">
        <v>241</v>
      </c>
      <c r="E992" s="127"/>
      <c r="F992" s="144"/>
      <c r="G992" s="126" t="s">
        <v>168</v>
      </c>
      <c r="H992" s="128">
        <v>2012</v>
      </c>
      <c r="I992" s="129"/>
      <c r="J992" s="125">
        <f>IFERROR(INDEX('Labor Expenditures'!$E$7:$W$91,MATCH($C992,'Labor Expenditures'!$C$7:$C$91,0),MATCH($G992,'Labor Expenditures'!$E$5:$W$5,0)),"NA")</f>
        <v>50686.796149408685</v>
      </c>
      <c r="K992" s="125">
        <f t="shared" ca="1" si="1791"/>
        <v>406.14419991513364</v>
      </c>
      <c r="L992" s="47"/>
      <c r="M992" s="131">
        <f t="shared" ca="1" si="1798"/>
        <v>2.8654781189762352E-2</v>
      </c>
      <c r="N992" s="131"/>
      <c r="O992" s="131"/>
      <c r="P992" s="59">
        <f t="shared" ca="1" si="1800"/>
        <v>5.933073756843989E-4</v>
      </c>
      <c r="Q992" s="61"/>
      <c r="R992" s="387"/>
      <c r="S992" s="49">
        <f t="shared" ca="1" si="1805"/>
        <v>117.46569441898541</v>
      </c>
      <c r="T992" s="61">
        <f ca="1">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</f>
        <v>-8.498365372912417E-3</v>
      </c>
      <c r="U992" s="61"/>
      <c r="V992" s="125">
        <f>IFERROR(INDEX('Non-Labor Expenditures'!$E$7:$AA$91,MATCH($C992,'Non-Labor Expenditures'!$C$7:$C$91,0),MATCH($G992,'Non-Labor Expenditures'!$E$5:$AA$5,0)),"NA")</f>
        <v>73403.947811992984</v>
      </c>
      <c r="W992" s="125">
        <f t="shared" si="1792"/>
        <v>734.03947811992987</v>
      </c>
      <c r="X992" s="131">
        <f t="shared" si="1801"/>
        <v>4.1549780612888963E-2</v>
      </c>
      <c r="Y992" s="131">
        <f t="shared" si="1802"/>
        <v>8.6030289788090045E-4</v>
      </c>
      <c r="Z992" s="131"/>
      <c r="AA992" s="131"/>
      <c r="AB992" s="131"/>
      <c r="AC992" s="125">
        <f t="shared" si="1772"/>
        <v>70298.575370188395</v>
      </c>
      <c r="AD992" s="129"/>
      <c r="AE992" s="133">
        <v>4956.045240076427</v>
      </c>
      <c r="AF992" s="134">
        <v>3.9620679701758837E-2</v>
      </c>
      <c r="AG992" s="59">
        <f t="shared" si="1793"/>
        <v>8.203601814653265E-4</v>
      </c>
      <c r="AH992" s="134"/>
      <c r="AI992" s="134"/>
      <c r="AJ992" s="129">
        <f t="shared" si="1809"/>
        <v>194389.31933159006</v>
      </c>
      <c r="AK992" s="134">
        <f t="shared" si="1803"/>
        <v>7.4556761336101646E-2</v>
      </c>
      <c r="AL992" s="129"/>
      <c r="AM992" s="129"/>
      <c r="AN992" s="129"/>
      <c r="AO992" s="129"/>
      <c r="AP992" s="133">
        <f t="shared" si="1804"/>
        <v>210.30726598687028</v>
      </c>
      <c r="AQ992" s="134">
        <f>+BB992/Outputs!$B$20</f>
        <v>2.5881350582172256E-2</v>
      </c>
      <c r="AR992" s="93">
        <f t="shared" si="1794"/>
        <v>0.26074887408266989</v>
      </c>
      <c r="AS992" s="93">
        <f t="shared" si="1795"/>
        <v>0.3776130708435696</v>
      </c>
      <c r="AT992" s="93">
        <f t="shared" si="1796"/>
        <v>0.36163805507376057</v>
      </c>
      <c r="AU992" s="93">
        <f t="shared" ca="1" si="1799"/>
        <v>3.7474824411221214E-2</v>
      </c>
      <c r="AV992" s="132">
        <f t="shared" ca="1" si="1807"/>
        <v>115.20223947683435</v>
      </c>
      <c r="AW992" s="134">
        <f t="shared" ca="1" si="1808"/>
        <v>3.7474824411221234E-2</v>
      </c>
      <c r="AX992" s="56">
        <f>+AJ992/$AL$17</f>
        <v>2.0705353558811087E-2</v>
      </c>
      <c r="AY992" s="135">
        <f t="shared" ca="1" si="1806"/>
        <v>7.7592948898870019E-4</v>
      </c>
      <c r="AZ992" s="93"/>
      <c r="BA992" s="93"/>
      <c r="BB992" s="234">
        <f>IFERROR(INDEX('Total Customers'!$E$7:$AA$91,MATCH($C992,'Total Customers'!$C$7:$C$91,0),MATCH($G992,'Total Customers'!$E$5:$AA$5,0)),"NA")</f>
        <v>924311</v>
      </c>
      <c r="BC992" s="269">
        <f t="shared" si="1768"/>
        <v>1.1834187175304212E-2</v>
      </c>
      <c r="BD992" s="92"/>
      <c r="BE992" s="299" t="str">
        <f t="shared" si="1764"/>
        <v>QUESTAR GAS COMPANY</v>
      </c>
      <c r="BF992" s="300">
        <f t="shared" si="1765"/>
        <v>4057140</v>
      </c>
      <c r="BG992" s="231" t="str">
        <f t="shared" si="1766"/>
        <v>UT</v>
      </c>
      <c r="BH992" s="231"/>
      <c r="BI992" s="231" t="str">
        <f t="shared" si="1767"/>
        <v>2012 Y</v>
      </c>
      <c r="BJ992" s="129"/>
      <c r="BK992" s="129"/>
      <c r="BL992" s="129">
        <f>INDEX('Dist. Plant Gas Additions'!$E$7:$AD$91,MATCH($C992,'Dist. Plant Gas Additions'!$C$7:$C$91,0),MATCH(Calculation!$G992,'Dist. Plant Gas Additions'!$E$5:$AD$5,0))</f>
        <v>125343</v>
      </c>
      <c r="BM992" s="129">
        <f>INDEX('Gen. Plant Additions'!$E$7:$AD$91,MATCH($C992,'Gen. Plant Additions'!$C$7:$C$91,0),MATCH(Calculation!$G992,'Gen. Plant Additions'!$E$5:$AD$5,0))</f>
        <v>26540</v>
      </c>
      <c r="BN992" s="301">
        <f t="shared" si="1773"/>
        <v>0.89454186401780911</v>
      </c>
      <c r="BO992" s="231">
        <f t="shared" si="1722"/>
        <v>23741.141071032653</v>
      </c>
      <c r="BP992" s="231">
        <f t="shared" si="1723"/>
        <v>-2798.8589289673473</v>
      </c>
      <c r="BQ992" s="129">
        <f>INDEX('Dist Plant Depreciation'!$D$7:$AC$94,MATCH($C992,'Dist Plant Depreciation'!$C$7:$C$94,0),MATCH(Calculation!$G992,'Dist Plant Depreciation'!$D$5:$AC$5,0))</f>
        <v>561919</v>
      </c>
      <c r="BR992" s="129">
        <f>INDEX('Gen. Plant Depreciation'!$D$7:$AC$94,MATCH($C992,'Gen. Plant Depreciation'!$C$7:$C$94,0),MATCH(Calculation!$G992,'Gen. Plant Depreciation'!$D$5:$AC$5,0))</f>
        <v>127494</v>
      </c>
      <c r="BS992" s="129"/>
      <c r="BT992" s="129"/>
      <c r="BU992" s="129"/>
      <c r="BV992" s="129"/>
      <c r="BW992" s="129"/>
      <c r="BX992" s="137"/>
      <c r="BY992" s="129">
        <f>INDEX('Gross Dx Plant'!$D$7:$AC$91,MATCH($C992,'Gross Dx Plant'!$C$7:$C$91,0),MATCH(Calculation!$G992,'Gross Dx Plant'!$D$5:$AC$5,0))</f>
        <v>1690524</v>
      </c>
      <c r="BZ992" s="129">
        <f>INDEX('Gross Gen Plant'!$D$7:$AC$91,MATCH($C992,'Gross Gen Plant'!$C$7:$C$91,0),MATCH(Calculation!$G992,'Gross Gen Plant'!$D$5:$AC$5,0))</f>
        <v>199297</v>
      </c>
      <c r="CA992" s="129">
        <f t="shared" si="1721"/>
        <v>1200408</v>
      </c>
      <c r="CB992" s="129"/>
      <c r="CC992" s="133">
        <v>2012</v>
      </c>
      <c r="CD992" s="129"/>
      <c r="CE992" s="129"/>
      <c r="CF992" s="129"/>
      <c r="CG992" s="137"/>
      <c r="CH992" s="129">
        <f t="shared" si="1774"/>
        <v>151883</v>
      </c>
      <c r="CI992" s="46">
        <f t="shared" si="1783"/>
        <v>149084.14107103265</v>
      </c>
      <c r="CJ992" s="231">
        <f t="shared" si="1775"/>
        <v>222.87312706140114</v>
      </c>
      <c r="CK992" s="443">
        <v>0.84090909090909094</v>
      </c>
      <c r="CL992" s="231">
        <f>+CL978*CK992+CJ979*CK991+CJ980*CK990+CJ981*CK989+CJ982*CK988+CJ983*CK987+CJ984*CK986+CJ985*CK985+CJ986*CK984+CJ987*CK983+CJ988*CK982+CJ989*CK981+CJ990*CK980+CJ991*CK979+CJ992</f>
        <v>4633.6846258230644</v>
      </c>
      <c r="CM992" s="134">
        <f t="shared" si="1776"/>
        <v>3.5637338468183392E-2</v>
      </c>
      <c r="CN992" s="135">
        <f t="shared" si="1777"/>
        <v>1.3563517974581669E-2</v>
      </c>
      <c r="CO992" s="135">
        <f t="shared" si="1786"/>
        <v>1.325196555214643E-2</v>
      </c>
      <c r="CP992" s="134">
        <f>VLOOKUP($H992,RoR!$E:$F,2,FALSE)</f>
        <v>3.6733333333333333E-2</v>
      </c>
      <c r="CQ992" s="135">
        <v>1.924331376386168E-2</v>
      </c>
      <c r="CR992" s="135">
        <f t="shared" si="1784"/>
        <v>1.7490019569471653E-2</v>
      </c>
      <c r="CS992" s="135">
        <f t="shared" si="1787"/>
        <v>1.7649976056387195E-2</v>
      </c>
      <c r="CT992" s="135">
        <f t="shared" si="1788"/>
        <v>6.7122682943869583E-2</v>
      </c>
      <c r="CU992" s="139">
        <f t="shared" si="1778"/>
        <v>0.87050000000000005</v>
      </c>
      <c r="CV992" s="335">
        <f t="shared" si="1779"/>
        <v>1.3960631020522127</v>
      </c>
      <c r="CW992" s="335">
        <f t="shared" si="1780"/>
        <v>0.29441923774954631</v>
      </c>
      <c r="CX992" s="335">
        <f t="shared" si="1781"/>
        <v>0.76377954189366437</v>
      </c>
      <c r="CY992" s="335">
        <f t="shared" si="1782"/>
        <v>0.31393465103033691</v>
      </c>
      <c r="CZ992" s="336">
        <f>INDEX('State Tax Lookup'!$D$7:$Z$91,MATCH(Calculation!$C992,'State Tax Lookup'!$B$7:$B$91,0),MATCH($H992,'State Tax Lookup'!$D$6:$Z$6,0))</f>
        <v>0.35</v>
      </c>
      <c r="DA992" s="302">
        <v>0.37</v>
      </c>
      <c r="DB992" s="57">
        <f t="shared" si="1785"/>
        <v>15.721614809210507</v>
      </c>
      <c r="DC992" s="56">
        <f t="shared" si="1789"/>
        <v>6.7917633378840297E-2</v>
      </c>
      <c r="DD992" s="303">
        <f>VLOOKUP($H992,RoR!$E:$F,2,FALSE)</f>
        <v>3.6733333333333333E-2</v>
      </c>
      <c r="DE992" s="304">
        <f>HLOOKUP($H992,'GDP-PI'!$D$8:$CQ$11,3,FALSE)</f>
        <v>1.924331376386168E-2</v>
      </c>
      <c r="DF992" s="303">
        <f>VLOOKUP(H992,'HW Dx Data'!$E:$F,2,FALSE)</f>
        <v>668.91932211262167</v>
      </c>
      <c r="DG992" s="364">
        <f ca="1">VLOOKUP(CC992,'ECI - Input Price'!M$13:N$33,2,FALSE)</f>
        <v>124.80000000000001</v>
      </c>
      <c r="DH992" s="364"/>
      <c r="DI992" s="364"/>
      <c r="DJ992" s="56">
        <f t="shared" ca="1" si="1797"/>
        <v>3.1955502161869064E-2</v>
      </c>
      <c r="DK992" s="53">
        <f>HLOOKUP(H992,'GDP-PI'!$8:$9,2,FALSE)</f>
        <v>100</v>
      </c>
      <c r="DL992" s="355">
        <f t="shared" si="1790"/>
        <v>1.9060502738742411E-2</v>
      </c>
      <c r="EC992"/>
    </row>
    <row r="993" spans="1:133" s="126" customFormat="1" ht="21" customHeight="1" x14ac:dyDescent="0.4">
      <c r="A993" s="233" t="s">
        <v>240</v>
      </c>
      <c r="B993" s="126" t="s">
        <v>240</v>
      </c>
      <c r="C993" s="126">
        <v>4057140</v>
      </c>
      <c r="D993" s="127" t="s">
        <v>241</v>
      </c>
      <c r="E993" s="127"/>
      <c r="F993" s="144"/>
      <c r="G993" s="126" t="s">
        <v>169</v>
      </c>
      <c r="H993" s="128">
        <v>2013</v>
      </c>
      <c r="I993" s="129"/>
      <c r="J993" s="125">
        <f>IFERROR(INDEX('Labor Expenditures'!$E$7:$W$91,MATCH($C993,'Labor Expenditures'!$C$7:$C$91,0),MATCH($G993,'Labor Expenditures'!$E$5:$W$5,0)),"NA")</f>
        <v>51306.774178427455</v>
      </c>
      <c r="K993" s="125">
        <f t="shared" ca="1" si="1791"/>
        <v>404.62755661220393</v>
      </c>
      <c r="L993" s="47"/>
      <c r="M993" s="131">
        <f t="shared" ca="1" si="1798"/>
        <v>-3.7412380481676921E-3</v>
      </c>
      <c r="N993" s="131"/>
      <c r="O993" s="131"/>
      <c r="P993" s="59">
        <f t="shared" ca="1" si="1800"/>
        <v>-7.5611431608491262E-5</v>
      </c>
      <c r="Q993" s="61"/>
      <c r="R993" s="387"/>
      <c r="S993" s="49">
        <f t="shared" ca="1" si="1805"/>
        <v>107.4908766036671</v>
      </c>
      <c r="T993" s="61">
        <f ca="1">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</f>
        <v>-8.8740353400223307E-2</v>
      </c>
      <c r="U993" s="61"/>
      <c r="V993" s="125">
        <f>IFERROR(INDEX('Non-Labor Expenditures'!$E$7:$AA$91,MATCH($C993,'Non-Labor Expenditures'!$C$7:$C$91,0),MATCH($G993,'Non-Labor Expenditures'!$E$5:$AA$5,0)),"NA")</f>
        <v>74301.791793935161</v>
      </c>
      <c r="W993" s="125">
        <f t="shared" si="1792"/>
        <v>730.07371104256697</v>
      </c>
      <c r="X993" s="131">
        <f t="shared" si="1801"/>
        <v>-5.4173089968799501E-3</v>
      </c>
      <c r="Y993" s="131">
        <f t="shared" si="1802"/>
        <v>-1.0948527825441728E-4</v>
      </c>
      <c r="Z993" s="131"/>
      <c r="AA993" s="131"/>
      <c r="AB993" s="131"/>
      <c r="AC993" s="125">
        <f t="shared" si="1772"/>
        <v>71049.055797902387</v>
      </c>
      <c r="AD993" s="129"/>
      <c r="AE993" s="133">
        <v>5214.1439921459114</v>
      </c>
      <c r="AF993" s="134">
        <v>5.0766839505353517E-2</v>
      </c>
      <c r="AG993" s="59">
        <f t="shared" si="1793"/>
        <v>1.0260115405161827E-3</v>
      </c>
      <c r="AH993" s="134"/>
      <c r="AI993" s="134"/>
      <c r="AJ993" s="129">
        <f t="shared" si="1809"/>
        <v>196657.62177026499</v>
      </c>
      <c r="AK993" s="134">
        <f t="shared" si="1803"/>
        <v>1.1601307368324454E-2</v>
      </c>
      <c r="AL993" s="129"/>
      <c r="AM993" s="129"/>
      <c r="AN993" s="129"/>
      <c r="AO993" s="129"/>
      <c r="AP993" s="133">
        <f t="shared" si="1804"/>
        <v>209.56471240743917</v>
      </c>
      <c r="AQ993" s="134">
        <f>+BB993/Outputs!$B$21</f>
        <v>2.6108666092860836E-2</v>
      </c>
      <c r="AR993" s="93">
        <f t="shared" si="1794"/>
        <v>0.26089390137324003</v>
      </c>
      <c r="AS993" s="93">
        <f t="shared" si="1795"/>
        <v>0.37782309744767661</v>
      </c>
      <c r="AT993" s="93">
        <f t="shared" si="1796"/>
        <v>0.36128300117908341</v>
      </c>
      <c r="AU993" s="93">
        <f t="shared" ca="1" si="1799"/>
        <v>1.532819814384432E-2</v>
      </c>
      <c r="AV993" s="132">
        <f t="shared" ca="1" si="1807"/>
        <v>116.98168523828757</v>
      </c>
      <c r="AW993" s="134">
        <f t="shared" ca="1" si="1808"/>
        <v>1.5328198143844301E-2</v>
      </c>
      <c r="AX993" s="56">
        <f>+AJ993/$AL$18</f>
        <v>2.0210270139191678E-2</v>
      </c>
      <c r="AY993" s="135">
        <f t="shared" ca="1" si="1806"/>
        <v>3.0978702523414979E-4</v>
      </c>
      <c r="AZ993" s="93"/>
      <c r="BA993" s="93"/>
      <c r="BB993" s="234">
        <f>IFERROR(INDEX('Total Customers'!$E$7:$AA$91,MATCH($C993,'Total Customers'!$C$7:$C$91,0),MATCH($G993,'Total Customers'!$E$5:$AA$5,0)),"NA")</f>
        <v>938410</v>
      </c>
      <c r="BC993" s="269">
        <f t="shared" si="1768"/>
        <v>1.5138358621080313E-2</v>
      </c>
      <c r="BD993" s="92"/>
      <c r="BE993" s="299" t="str">
        <f t="shared" si="1764"/>
        <v>QUESTAR GAS COMPANY</v>
      </c>
      <c r="BF993" s="300">
        <f t="shared" si="1765"/>
        <v>4057140</v>
      </c>
      <c r="BG993" s="231" t="str">
        <f t="shared" si="1766"/>
        <v>UT</v>
      </c>
      <c r="BH993" s="231"/>
      <c r="BI993" s="231" t="str">
        <f t="shared" si="1767"/>
        <v>2013 Y</v>
      </c>
      <c r="BJ993" s="129"/>
      <c r="BK993" s="129"/>
      <c r="BL993" s="129">
        <f>INDEX('Dist. Plant Gas Additions'!$E$7:$AD$91,MATCH($C993,'Dist. Plant Gas Additions'!$C$7:$C$91,0),MATCH(Calculation!$G993,'Dist. Plant Gas Additions'!$E$5:$AD$5,0))</f>
        <v>179458</v>
      </c>
      <c r="BM993" s="129">
        <f>INDEX('Gen. Plant Additions'!$E$7:$AD$91,MATCH($C993,'Gen. Plant Additions'!$C$7:$C$91,0),MATCH(Calculation!$G993,'Gen. Plant Additions'!$E$5:$AD$5,0))</f>
        <v>16203</v>
      </c>
      <c r="BN993" s="301">
        <f t="shared" si="1773"/>
        <v>0.8991007056121012</v>
      </c>
      <c r="BO993" s="231">
        <f t="shared" si="1722"/>
        <v>14568.128733032876</v>
      </c>
      <c r="BP993" s="231">
        <f t="shared" si="1723"/>
        <v>-1634.871266967124</v>
      </c>
      <c r="BQ993" s="129">
        <f>INDEX('Dist Plant Depreciation'!$D$7:$AC$94,MATCH($C993,'Dist Plant Depreciation'!$C$7:$C$94,0),MATCH(Calculation!$G993,'Dist Plant Depreciation'!$D$5:$AC$5,0))</f>
        <v>565922</v>
      </c>
      <c r="BR993" s="129">
        <f>INDEX('Gen. Plant Depreciation'!$D$7:$AC$94,MATCH($C993,'Gen. Plant Depreciation'!$C$7:$C$94,0),MATCH(Calculation!$G993,'Gen. Plant Depreciation'!$D$5:$AC$5,0))</f>
        <v>105395</v>
      </c>
      <c r="BS993" s="129"/>
      <c r="BT993" s="129"/>
      <c r="BU993" s="129"/>
      <c r="BV993" s="129"/>
      <c r="BW993" s="129"/>
      <c r="BX993" s="137"/>
      <c r="BY993" s="129">
        <f>INDEX('Gross Dx Plant'!$D$7:$AC$91,MATCH($C993,'Gross Dx Plant'!$C$7:$C$91,0),MATCH(Calculation!$G993,'Gross Dx Plant'!$D$5:$AC$5,0))</f>
        <v>1861499</v>
      </c>
      <c r="BZ993" s="129">
        <f>INDEX('Gross Gen Plant'!$D$7:$AC$91,MATCH($C993,'Gross Gen Plant'!$C$7:$C$91,0),MATCH(Calculation!$G993,'Gross Gen Plant'!$D$5:$AC$5,0))</f>
        <v>208902</v>
      </c>
      <c r="CA993" s="129">
        <f t="shared" si="1721"/>
        <v>1399084</v>
      </c>
      <c r="CB993" s="129"/>
      <c r="CC993" s="133">
        <v>2013</v>
      </c>
      <c r="CD993" s="129"/>
      <c r="CE993" s="129"/>
      <c r="CF993" s="129"/>
      <c r="CG993" s="137"/>
      <c r="CH993" s="129">
        <f t="shared" si="1774"/>
        <v>195661</v>
      </c>
      <c r="CI993" s="46">
        <f t="shared" si="1783"/>
        <v>194026.12873303288</v>
      </c>
      <c r="CJ993" s="231">
        <f t="shared" si="1775"/>
        <v>292.53915595954004</v>
      </c>
      <c r="CK993" s="443">
        <v>0.82758620689655171</v>
      </c>
      <c r="CL993" s="231">
        <f>+CL978*CK993+CJ979*CK992+CJ980*CK991+CJ981*CK990+CJ982*CK989+CJ983*CK988+CJ984*CK987+CJ985*CK986+CJ986*CK985+CJ987*CK984+CJ988*CK983+CJ989*CK982+CJ990*CK981+CJ991*CK980+CJ992*CK979+CJ993</f>
        <v>4862.0193070628002</v>
      </c>
      <c r="CM993" s="134">
        <f t="shared" si="1776"/>
        <v>4.8101479781131433E-2</v>
      </c>
      <c r="CN993" s="135">
        <f t="shared" si="1777"/>
        <v>1.3856030331024057E-2</v>
      </c>
      <c r="CO993" s="135">
        <f t="shared" si="1786"/>
        <v>1.3559102417657324E-2</v>
      </c>
      <c r="CP993" s="134">
        <f>VLOOKUP($H993,RoR!$E:$F,2,FALSE)</f>
        <v>4.2350000000000006E-2</v>
      </c>
      <c r="CQ993" s="135">
        <v>1.7730000000000024E-2</v>
      </c>
      <c r="CR993" s="135">
        <f t="shared" si="1784"/>
        <v>2.4619999999999982E-2</v>
      </c>
      <c r="CS993" s="135">
        <f t="shared" si="1787"/>
        <v>1.73428391908763E-2</v>
      </c>
      <c r="CT993" s="135">
        <f t="shared" si="1788"/>
        <v>5.3376742735721204E-2</v>
      </c>
      <c r="CU993" s="139">
        <f t="shared" si="1778"/>
        <v>0.87050000000000005</v>
      </c>
      <c r="CV993" s="335">
        <f t="shared" si="1779"/>
        <v>1.2109103018193925</v>
      </c>
      <c r="CW993" s="335">
        <f t="shared" si="1780"/>
        <v>0.38468122786304604</v>
      </c>
      <c r="CX993" s="335">
        <f t="shared" si="1781"/>
        <v>0.80969194503422559</v>
      </c>
      <c r="CY993" s="335">
        <f t="shared" si="1782"/>
        <v>0.37716621754800816</v>
      </c>
      <c r="CZ993" s="336">
        <f>INDEX('State Tax Lookup'!$D$7:$Z$91,MATCH(Calculation!$C993,'State Tax Lookup'!$B$7:$B$91,0),MATCH($H993,'State Tax Lookup'!$D$6:$Z$6,0))</f>
        <v>0.35</v>
      </c>
      <c r="DA993" s="302">
        <v>0.37</v>
      </c>
      <c r="DB993" s="57">
        <f t="shared" si="1785"/>
        <v>15.333166051472958</v>
      </c>
      <c r="DC993" s="56">
        <f t="shared" si="1789"/>
        <v>-2.5018306882683101E-2</v>
      </c>
      <c r="DD993" s="303">
        <f>VLOOKUP($H993,RoR!$E:$F,2,FALSE)</f>
        <v>4.2350000000000006E-2</v>
      </c>
      <c r="DE993" s="304">
        <f>HLOOKUP($H993,'GDP-PI'!$D$8:$CQ$11,3,FALSE)</f>
        <v>1.7730000000000024E-2</v>
      </c>
      <c r="DF993" s="303">
        <f>VLOOKUP(H993,'HW Dx Data'!$E:$F,2,FALSE)</f>
        <v>663.24840548821396</v>
      </c>
      <c r="DG993" s="364">
        <f ca="1">VLOOKUP(CC993,'ECI - Input Price'!M$13:N$33,2,FALSE)</f>
        <v>126.8</v>
      </c>
      <c r="DH993" s="364"/>
      <c r="DI993" s="364"/>
      <c r="DJ993" s="56">
        <f t="shared" ca="1" si="1797"/>
        <v>1.5898586067798204E-2</v>
      </c>
      <c r="DK993" s="53">
        <f>HLOOKUP(H993,'GDP-PI'!$8:$9,2,FALSE)</f>
        <v>101.773</v>
      </c>
      <c r="DL993" s="355">
        <f t="shared" si="1790"/>
        <v>1.7574657016510519E-2</v>
      </c>
      <c r="EC993"/>
    </row>
    <row r="994" spans="1:133" s="126" customFormat="1" ht="21" customHeight="1" x14ac:dyDescent="0.4">
      <c r="A994" s="233" t="s">
        <v>240</v>
      </c>
      <c r="B994" s="126" t="s">
        <v>240</v>
      </c>
      <c r="C994" s="126">
        <v>4057140</v>
      </c>
      <c r="D994" s="127" t="s">
        <v>241</v>
      </c>
      <c r="E994" s="127"/>
      <c r="F994" s="144"/>
      <c r="G994" s="126" t="s">
        <v>170</v>
      </c>
      <c r="H994" s="128">
        <v>2014</v>
      </c>
      <c r="I994" s="129"/>
      <c r="J994" s="125">
        <f>IFERROR(INDEX('Labor Expenditures'!$E$7:$W$91,MATCH($C994,'Labor Expenditures'!$C$7:$C$91,0),MATCH($G994,'Labor Expenditures'!$E$5:$W$5,0)),"NA")</f>
        <v>51640.880172767131</v>
      </c>
      <c r="K994" s="125">
        <f t="shared" ca="1" si="1791"/>
        <v>399.07944492092059</v>
      </c>
      <c r="L994" s="47"/>
      <c r="M994" s="131">
        <f t="shared" ca="1" si="1798"/>
        <v>-1.3806523552032761E-2</v>
      </c>
      <c r="N994" s="131"/>
      <c r="O994" s="131"/>
      <c r="P994" s="59">
        <f t="shared" ca="1" si="1800"/>
        <v>-2.8175257699407217E-4</v>
      </c>
      <c r="Q994" s="61"/>
      <c r="R994" s="387"/>
      <c r="S994" s="49">
        <f t="shared" ca="1" si="1805"/>
        <v>121.39079069760768</v>
      </c>
      <c r="T994" s="61">
        <f ca="1">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</f>
        <v>0.12160904142185207</v>
      </c>
      <c r="U994" s="61"/>
      <c r="V994" s="125">
        <f>IFERROR(INDEX('Non-Labor Expenditures'!$E$7:$AA$91,MATCH($C994,'Non-Labor Expenditures'!$C$7:$C$91,0),MATCH($G994,'Non-Labor Expenditures'!$E$5:$AA$5,0)),"NA")</f>
        <v>74785.639676130988</v>
      </c>
      <c r="W994" s="125">
        <f t="shared" si="1792"/>
        <v>721.54176846537757</v>
      </c>
      <c r="X994" s="131">
        <f t="shared" si="1801"/>
        <v>-1.1755235386614139E-2</v>
      </c>
      <c r="Y994" s="131">
        <f t="shared" si="1802"/>
        <v>-2.3989151583801848E-4</v>
      </c>
      <c r="Z994" s="131"/>
      <c r="AA994" s="131"/>
      <c r="AB994" s="131"/>
      <c r="AC994" s="125">
        <f t="shared" si="1772"/>
        <v>75792.917850589496</v>
      </c>
      <c r="AD994" s="129"/>
      <c r="AE994" s="133">
        <v>5456.9467629430874</v>
      </c>
      <c r="AF994" s="134">
        <v>4.5514500844182862E-2</v>
      </c>
      <c r="AG994" s="59">
        <f t="shared" si="1793"/>
        <v>9.2882381688034121E-4</v>
      </c>
      <c r="AH994" s="134"/>
      <c r="AI994" s="134"/>
      <c r="AJ994" s="129">
        <f t="shared" si="1809"/>
        <v>202219.43769948761</v>
      </c>
      <c r="AK994" s="134">
        <f t="shared" si="1803"/>
        <v>2.7889176846516664E-2</v>
      </c>
      <c r="AL994" s="129"/>
      <c r="AM994" s="129"/>
      <c r="AN994" s="129"/>
      <c r="AO994" s="129"/>
      <c r="AP994" s="133">
        <f t="shared" si="1804"/>
        <v>212.01539710743975</v>
      </c>
      <c r="AQ994" s="134">
        <f>+BB994/Outputs!$B$22</f>
        <v>2.6394934409502881E-2</v>
      </c>
      <c r="AR994" s="93">
        <f t="shared" si="1794"/>
        <v>0.25537050621963026</v>
      </c>
      <c r="AS994" s="93">
        <f t="shared" si="1795"/>
        <v>0.36982418963733715</v>
      </c>
      <c r="AT994" s="93">
        <f t="shared" si="1796"/>
        <v>0.37480530414303265</v>
      </c>
      <c r="AU994" s="93">
        <f t="shared" ca="1" si="1799"/>
        <v>8.7930526228107847E-3</v>
      </c>
      <c r="AV994" s="132">
        <f t="shared" ca="1" si="1807"/>
        <v>118.01484701863862</v>
      </c>
      <c r="AW994" s="134">
        <f t="shared" ca="1" si="1808"/>
        <v>8.7930526228106841E-3</v>
      </c>
      <c r="AX994" s="56">
        <f>+AJ994/$AL$19</f>
        <v>2.0407206487008035E-2</v>
      </c>
      <c r="AY994" s="135">
        <f t="shared" ca="1" si="1806"/>
        <v>1.794416405248252E-4</v>
      </c>
      <c r="AZ994" s="93"/>
      <c r="BA994" s="93"/>
      <c r="BB994" s="234">
        <f>IFERROR(INDEX('Total Customers'!$E$7:$AA$91,MATCH($C994,'Total Customers'!$C$7:$C$91,0),MATCH($G994,'Total Customers'!$E$5:$AA$5,0)),"NA")</f>
        <v>953796</v>
      </c>
      <c r="BC994" s="269">
        <f t="shared" si="1768"/>
        <v>1.6262858385045723E-2</v>
      </c>
      <c r="BD994" s="92"/>
      <c r="BE994" s="299" t="str">
        <f t="shared" si="1764"/>
        <v>QUESTAR GAS COMPANY</v>
      </c>
      <c r="BF994" s="300">
        <f t="shared" si="1765"/>
        <v>4057140</v>
      </c>
      <c r="BG994" s="231" t="str">
        <f t="shared" si="1766"/>
        <v>UT</v>
      </c>
      <c r="BH994" s="231"/>
      <c r="BI994" s="231" t="str">
        <f t="shared" si="1767"/>
        <v>2014 Y</v>
      </c>
      <c r="BJ994" s="129"/>
      <c r="BK994" s="129"/>
      <c r="BL994" s="129">
        <f>INDEX('Dist. Plant Gas Additions'!$E$7:$AD$91,MATCH($C994,'Dist. Plant Gas Additions'!$C$7:$C$91,0),MATCH(Calculation!$G994,'Dist. Plant Gas Additions'!$E$5:$AD$5,0))</f>
        <v>172069</v>
      </c>
      <c r="BM994" s="129">
        <f>INDEX('Gen. Plant Additions'!$E$7:$AD$91,MATCH($C994,'Gen. Plant Additions'!$C$7:$C$91,0),MATCH(Calculation!$G994,'Gen. Plant Additions'!$E$5:$AD$5,0))</f>
        <v>21307</v>
      </c>
      <c r="BN994" s="301">
        <f t="shared" si="1773"/>
        <v>0.89875550643998958</v>
      </c>
      <c r="BO994" s="231">
        <f t="shared" si="1722"/>
        <v>19149.783575716858</v>
      </c>
      <c r="BP994" s="231">
        <f t="shared" si="1723"/>
        <v>-2157.2164242831423</v>
      </c>
      <c r="BQ994" s="129">
        <f>INDEX('Dist Plant Depreciation'!$D$7:$AC$94,MATCH($C994,'Dist Plant Depreciation'!$C$7:$C$94,0),MATCH(Calculation!$G994,'Dist Plant Depreciation'!$D$5:$AC$5,0))</f>
        <v>575781</v>
      </c>
      <c r="BR994" s="129">
        <f>INDEX('Gen. Plant Depreciation'!$D$7:$AC$94,MATCH($C994,'Gen. Plant Depreciation'!$C$7:$C$94,0),MATCH(Calculation!$G994,'Gen. Plant Depreciation'!$D$5:$AC$5,0))</f>
        <v>130905</v>
      </c>
      <c r="BS994" s="129"/>
      <c r="BT994" s="129"/>
      <c r="BU994" s="129"/>
      <c r="BV994" s="129"/>
      <c r="BW994" s="129"/>
      <c r="BX994" s="137"/>
      <c r="BY994" s="129">
        <f>INDEX('Gross Dx Plant'!$D$7:$AC$91,MATCH($C994,'Gross Dx Plant'!$C$7:$C$91,0),MATCH(Calculation!$G994,'Gross Dx Plant'!$D$5:$AC$5,0))</f>
        <v>2003921</v>
      </c>
      <c r="BZ994" s="129">
        <f>INDEX('Gross Gen Plant'!$D$7:$AC$91,MATCH($C994,'Gross Gen Plant'!$C$7:$C$91,0),MATCH(Calculation!$G994,'Gross Gen Plant'!$D$5:$AC$5,0))</f>
        <v>225741</v>
      </c>
      <c r="CA994" s="129">
        <f t="shared" si="1721"/>
        <v>1522976</v>
      </c>
      <c r="CB994" s="129"/>
      <c r="CC994" s="133">
        <v>2014</v>
      </c>
      <c r="CD994" s="129"/>
      <c r="CE994" s="129"/>
      <c r="CF994" s="129"/>
      <c r="CG994" s="137"/>
      <c r="CH994" s="129">
        <f t="shared" si="1774"/>
        <v>193376</v>
      </c>
      <c r="CI994" s="46">
        <f t="shared" si="1783"/>
        <v>191218.78357571687</v>
      </c>
      <c r="CJ994" s="231">
        <f t="shared" si="1775"/>
        <v>279.36801179874703</v>
      </c>
      <c r="CK994" s="443">
        <v>0.81395348837209303</v>
      </c>
      <c r="CL994" s="231">
        <f>+CL978*CK994+CJ979*CK993+CJ980*CK992+CJ981*CK991+CJ982*CK990+CJ983*CK989+CJ984*CK988+CJ985*CK987+CJ986*CK986+CJ987*CK985+CJ988*CK984+CJ989*CK983+CJ990*CK982+CJ991*CK981+CJ992*CK980+CJ993*CK979+CJ994</f>
        <v>5072.8475958108675</v>
      </c>
      <c r="CM994" s="134">
        <f t="shared" si="1776"/>
        <v>4.2448469013329958E-2</v>
      </c>
      <c r="CN994" s="135">
        <f t="shared" si="1777"/>
        <v>1.4096966449951299E-2</v>
      </c>
      <c r="CO994" s="135">
        <f t="shared" si="1786"/>
        <v>1.3838838251852342E-2</v>
      </c>
      <c r="CP994" s="134">
        <f>VLOOKUP($H994,RoR!$E:$F,2,FALSE)</f>
        <v>4.1625000000000002E-2</v>
      </c>
      <c r="CQ994" s="135">
        <v>1.841352814597208E-2</v>
      </c>
      <c r="CR994" s="135">
        <f t="shared" si="1784"/>
        <v>2.3211471854027922E-2</v>
      </c>
      <c r="CS994" s="135">
        <f t="shared" si="1787"/>
        <v>1.7063103356681285E-2</v>
      </c>
      <c r="CT994" s="135">
        <f t="shared" si="1788"/>
        <v>3.9072621432650924E-2</v>
      </c>
      <c r="CU994" s="139">
        <f t="shared" si="1778"/>
        <v>0.87050000000000005</v>
      </c>
      <c r="CV994" s="335">
        <f t="shared" si="1779"/>
        <v>1.2320012320012319</v>
      </c>
      <c r="CW994" s="335">
        <f t="shared" si="1780"/>
        <v>0.37439939939939942</v>
      </c>
      <c r="CX994" s="335">
        <f t="shared" si="1781"/>
        <v>0.80432100613819935</v>
      </c>
      <c r="CY994" s="335">
        <f t="shared" si="1782"/>
        <v>0.37100152660040037</v>
      </c>
      <c r="CZ994" s="336">
        <f>INDEX('State Tax Lookup'!$D$7:$Z$91,MATCH(Calculation!$C994,'State Tax Lookup'!$B$7:$B$91,0),MATCH($H994,'State Tax Lookup'!$D$6:$Z$6,0))</f>
        <v>0.35</v>
      </c>
      <c r="DA994" s="302">
        <v>0.37</v>
      </c>
      <c r="DB994" s="57">
        <f t="shared" si="1785"/>
        <v>15.588773524714124</v>
      </c>
      <c r="DC994" s="56">
        <f t="shared" si="1789"/>
        <v>1.6532811259529268E-2</v>
      </c>
      <c r="DD994" s="303">
        <f>VLOOKUP($H994,RoR!$E:$F,2,FALSE)</f>
        <v>4.1625000000000002E-2</v>
      </c>
      <c r="DE994" s="304">
        <f>HLOOKUP($H994,'GDP-PI'!$D$8:$CQ$11,3,FALSE)</f>
        <v>1.841352814597208E-2</v>
      </c>
      <c r="DF994" s="303">
        <f>VLOOKUP(H994,'HW Dx Data'!$E:$F,2,FALSE)</f>
        <v>684.46914285042885</v>
      </c>
      <c r="DG994" s="364">
        <f ca="1">VLOOKUP(CC994,'ECI - Input Price'!M$13:N$33,2,FALSE)</f>
        <v>129.4</v>
      </c>
      <c r="DH994" s="364"/>
      <c r="DI994" s="364"/>
      <c r="DJ994" s="56">
        <f t="shared" ca="1" si="1797"/>
        <v>2.0297340063674733E-2</v>
      </c>
      <c r="DK994" s="53">
        <f>HLOOKUP(H994,'GDP-PI'!$8:$9,2,FALSE)</f>
        <v>103.64700000000001</v>
      </c>
      <c r="DL994" s="355">
        <f t="shared" si="1790"/>
        <v>1.8246051898256087E-2</v>
      </c>
      <c r="EC994"/>
    </row>
    <row r="995" spans="1:133" s="126" customFormat="1" ht="21" customHeight="1" x14ac:dyDescent="0.4">
      <c r="A995" s="233" t="s">
        <v>240</v>
      </c>
      <c r="B995" s="126" t="s">
        <v>240</v>
      </c>
      <c r="C995" s="126">
        <v>4057140</v>
      </c>
      <c r="D995" s="127" t="s">
        <v>241</v>
      </c>
      <c r="E995" s="127"/>
      <c r="F995" s="144"/>
      <c r="G995" s="126" t="s">
        <v>171</v>
      </c>
      <c r="H995" s="128">
        <v>2015</v>
      </c>
      <c r="I995" s="129"/>
      <c r="J995" s="125">
        <f>IFERROR(INDEX('Labor Expenditures'!$E$7:$W$91,MATCH($C995,'Labor Expenditures'!$C$7:$C$91,0),MATCH($G995,'Labor Expenditures'!$E$5:$W$5,0)),"NA")</f>
        <v>51846.644693590046</v>
      </c>
      <c r="K995" s="125">
        <f t="shared" ca="1" si="1791"/>
        <v>388.36437972726628</v>
      </c>
      <c r="L995" s="47"/>
      <c r="M995" s="131">
        <f t="shared" ca="1" si="1798"/>
        <v>-2.7216485216005993E-2</v>
      </c>
      <c r="N995" s="131"/>
      <c r="O995" s="131"/>
      <c r="P995" s="59">
        <f t="shared" ca="1" si="1800"/>
        <v>-5.5742686786175997E-4</v>
      </c>
      <c r="Q995" s="61"/>
      <c r="R995" s="387"/>
      <c r="S995" s="49">
        <f t="shared" ca="1" si="1805"/>
        <v>121.22354568847206</v>
      </c>
      <c r="T995" s="61">
        <f ca="1">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</f>
        <v>-1.3786904609042901E-3</v>
      </c>
      <c r="U995" s="61"/>
      <c r="V995" s="125">
        <f>IFERROR(INDEX('Non-Labor Expenditures'!$E$7:$AA$91,MATCH($C995,'Non-Labor Expenditures'!$C$7:$C$91,0),MATCH($G995,'Non-Labor Expenditures'!$E$5:$AA$5,0)),"NA")</f>
        <v>75083.625133793845</v>
      </c>
      <c r="W995" s="125">
        <f t="shared" si="1792"/>
        <v>717.54914643482687</v>
      </c>
      <c r="X995" s="131">
        <f t="shared" si="1801"/>
        <v>-5.5488256279448553E-3</v>
      </c>
      <c r="Y995" s="131">
        <f t="shared" si="1802"/>
        <v>-1.1364672791317431E-4</v>
      </c>
      <c r="Z995" s="131"/>
      <c r="AA995" s="131"/>
      <c r="AB995" s="131"/>
      <c r="AC995" s="125">
        <f t="shared" si="1772"/>
        <v>77074.29037572346</v>
      </c>
      <c r="AD995" s="129"/>
      <c r="AE995" s="133">
        <v>5752.1909181781703</v>
      </c>
      <c r="AF995" s="134">
        <v>5.2691379064938572E-2</v>
      </c>
      <c r="AG995" s="59">
        <f t="shared" si="1793"/>
        <v>1.0791838168071758E-3</v>
      </c>
      <c r="AH995" s="134"/>
      <c r="AI995" s="134"/>
      <c r="AJ995" s="129">
        <f t="shared" si="1809"/>
        <v>204004.56020310736</v>
      </c>
      <c r="AK995" s="134">
        <f t="shared" si="1803"/>
        <v>8.7889145092705668E-3</v>
      </c>
      <c r="AL995" s="129"/>
      <c r="AM995" s="129"/>
      <c r="AN995" s="129"/>
      <c r="AO995" s="129"/>
      <c r="AP995" s="133">
        <f t="shared" si="1804"/>
        <v>208.61601726474453</v>
      </c>
      <c r="AQ995" s="134">
        <f>+BB995/Outputs!$B$23</f>
        <v>2.6841791656346016E-2</v>
      </c>
      <c r="AR995" s="93">
        <f t="shared" si="1794"/>
        <v>0.25414453795528597</v>
      </c>
      <c r="AS995" s="93">
        <f t="shared" si="1795"/>
        <v>0.36804875861128022</v>
      </c>
      <c r="AT995" s="93">
        <f t="shared" si="1796"/>
        <v>0.3778067034334337</v>
      </c>
      <c r="AU995" s="93">
        <f t="shared" ca="1" si="1799"/>
        <v>1.0847313793753805E-2</v>
      </c>
      <c r="AV995" s="132">
        <f t="shared" ca="1" si="1807"/>
        <v>119.30195933158105</v>
      </c>
      <c r="AW995" s="134">
        <f t="shared" ca="1" si="1808"/>
        <v>1.0847313793753763E-2</v>
      </c>
      <c r="AX995" s="56">
        <f>+AJ995/$AL$20</f>
        <v>2.0481221709478404E-2</v>
      </c>
      <c r="AY995" s="135">
        <f t="shared" ca="1" si="1806"/>
        <v>2.2216623876215413E-4</v>
      </c>
      <c r="AZ995" s="93"/>
      <c r="BA995" s="93"/>
      <c r="BB995" s="234">
        <f>IFERROR(INDEX('Total Customers'!$E$7:$AA$91,MATCH($C995,'Total Customers'!$C$7:$C$91,0),MATCH($G995,'Total Customers'!$E$5:$AA$5,0)),"NA")</f>
        <v>977895</v>
      </c>
      <c r="BC995" s="269">
        <f t="shared" si="1768"/>
        <v>2.4952490203899363E-2</v>
      </c>
      <c r="BD995" s="92"/>
      <c r="BE995" s="299" t="str">
        <f t="shared" si="1764"/>
        <v>QUESTAR GAS COMPANY</v>
      </c>
      <c r="BF995" s="300">
        <f t="shared" si="1765"/>
        <v>4057140</v>
      </c>
      <c r="BG995" s="231" t="str">
        <f t="shared" si="1766"/>
        <v>UT</v>
      </c>
      <c r="BH995" s="231"/>
      <c r="BI995" s="231" t="str">
        <f t="shared" si="1767"/>
        <v>2015 Y</v>
      </c>
      <c r="BJ995" s="129"/>
      <c r="BK995" s="129"/>
      <c r="BL995" s="129">
        <f>INDEX('Dist. Plant Gas Additions'!$E$7:$AD$91,MATCH($C995,'Dist. Plant Gas Additions'!$C$7:$C$91,0),MATCH(Calculation!$G995,'Dist. Plant Gas Additions'!$E$5:$AD$5,0))</f>
        <v>203899</v>
      </c>
      <c r="BM995" s="129">
        <f>INDEX('Gen. Plant Additions'!$E$7:$AD$91,MATCH($C995,'Gen. Plant Additions'!$C$7:$C$91,0),MATCH(Calculation!$G995,'Gen. Plant Additions'!$E$5:$AD$5,0))</f>
        <v>24344</v>
      </c>
      <c r="BN995" s="301">
        <f t="shared" si="1773"/>
        <v>0.90098801989984456</v>
      </c>
      <c r="BO995" s="231">
        <f t="shared" si="1722"/>
        <v>21933.652356441817</v>
      </c>
      <c r="BP995" s="231">
        <f t="shared" si="1723"/>
        <v>-2410.3476435581833</v>
      </c>
      <c r="BQ995" s="129">
        <f>INDEX('Dist Plant Depreciation'!$D$7:$AC$94,MATCH($C995,'Dist Plant Depreciation'!$C$7:$C$94,0),MATCH(Calculation!$G995,'Dist Plant Depreciation'!$D$5:$AC$5,0))</f>
        <v>673339</v>
      </c>
      <c r="BR995" s="129">
        <f>INDEX('Gen. Plant Depreciation'!$D$7:$AC$94,MATCH($C995,'Gen. Plant Depreciation'!$C$7:$C$94,0),MATCH(Calculation!$G995,'Gen. Plant Depreciation'!$D$5:$AC$5,0))</f>
        <v>132819</v>
      </c>
      <c r="BS995" s="129"/>
      <c r="BT995" s="129"/>
      <c r="BU995" s="129"/>
      <c r="BV995" s="129"/>
      <c r="BW995" s="129"/>
      <c r="BX995" s="137"/>
      <c r="BY995" s="129">
        <f>INDEX('Gross Dx Plant'!$D$7:$AC$91,MATCH($C995,'Gross Dx Plant'!$C$7:$C$91,0),MATCH(Calculation!$G995,'Gross Dx Plant'!$D$5:$AC$5,0))</f>
        <v>2196798</v>
      </c>
      <c r="BZ995" s="129">
        <f>INDEX('Gross Gen Plant'!$D$7:$AC$91,MATCH($C995,'Gross Gen Plant'!$C$7:$C$91,0),MATCH(Calculation!$G995,'Gross Gen Plant'!$D$5:$AC$5,0))</f>
        <v>241412</v>
      </c>
      <c r="CA995" s="129">
        <f t="shared" si="1721"/>
        <v>1632052</v>
      </c>
      <c r="CB995" s="129"/>
      <c r="CC995" s="133">
        <v>2015</v>
      </c>
      <c r="CD995" s="129"/>
      <c r="CE995" s="129"/>
      <c r="CF995" s="129"/>
      <c r="CG995" s="137"/>
      <c r="CH995" s="129">
        <f t="shared" si="1774"/>
        <v>228243</v>
      </c>
      <c r="CI995" s="46">
        <f t="shared" si="1783"/>
        <v>225832.65235644183</v>
      </c>
      <c r="CJ995" s="231">
        <f t="shared" si="1775"/>
        <v>334.26252377733118</v>
      </c>
      <c r="CK995" s="443">
        <v>0.8</v>
      </c>
      <c r="CL995" s="231">
        <f>+CL978*CK995+CJ979*CK994+CJ980*CK993+CJ981*CK992+CJ982*CK991+CJ983*CK990+CJ984*CK989+CJ985*CK988+CJ986*CK987+CJ987*CK986+CJ988*CK985+CJ989*CK984+CJ990*CK983+CJ991*CK982+CJ992*CK981+CJ993*CK980+CJ994*CK979+CJ995</f>
        <v>5334.2585975276452</v>
      </c>
      <c r="CM995" s="134">
        <f t="shared" si="1776"/>
        <v>5.0247589649087127E-2</v>
      </c>
      <c r="CN995" s="135">
        <f t="shared" si="1777"/>
        <v>1.4361070519980512E-2</v>
      </c>
      <c r="CO995" s="135">
        <f t="shared" si="1786"/>
        <v>1.4104689100318623E-2</v>
      </c>
      <c r="CP995" s="134">
        <f>VLOOKUP($H995,RoR!$E:$F,2,FALSE)</f>
        <v>3.8866666666666674E-2</v>
      </c>
      <c r="CQ995" s="135">
        <v>9.5709475431029478E-3</v>
      </c>
      <c r="CR995" s="135">
        <f t="shared" si="1784"/>
        <v>2.9295719123563727E-2</v>
      </c>
      <c r="CS995" s="135">
        <f t="shared" si="1787"/>
        <v>1.6797252508215003E-2</v>
      </c>
      <c r="CT995" s="135">
        <f t="shared" si="1788"/>
        <v>3.5270373279175926E-3</v>
      </c>
      <c r="CU995" s="139">
        <f t="shared" si="1778"/>
        <v>0.87050000000000005</v>
      </c>
      <c r="CV995" s="335">
        <f t="shared" si="1779"/>
        <v>1.3194352816994324</v>
      </c>
      <c r="CW995" s="335">
        <f t="shared" si="1780"/>
        <v>0.33177530017152673</v>
      </c>
      <c r="CX995" s="335">
        <f t="shared" si="1781"/>
        <v>0.78242572977668579</v>
      </c>
      <c r="CY995" s="335">
        <f t="shared" si="1782"/>
        <v>0.34251158643433932</v>
      </c>
      <c r="CZ995" s="336">
        <f>INDEX('State Tax Lookup'!$D$7:$Z$91,MATCH(Calculation!$C995,'State Tax Lookup'!$B$7:$B$91,0),MATCH($H995,'State Tax Lookup'!$D$6:$Z$6,0))</f>
        <v>0.35</v>
      </c>
      <c r="DA995" s="302">
        <v>0.37</v>
      </c>
      <c r="DB995" s="57">
        <f t="shared" si="1785"/>
        <v>15.193496141963939</v>
      </c>
      <c r="DC995" s="56">
        <f t="shared" si="1789"/>
        <v>-2.5683558448413902E-2</v>
      </c>
      <c r="DD995" s="303">
        <f>VLOOKUP($H995,RoR!$E:$F,2,FALSE)</f>
        <v>3.8866666666666674E-2</v>
      </c>
      <c r="DE995" s="304">
        <f>HLOOKUP($H995,'GDP-PI'!$D$8:$CQ$11,3,FALSE)</f>
        <v>9.5709475431029478E-3</v>
      </c>
      <c r="DF995" s="303">
        <f>VLOOKUP(H995,'HW Dx Data'!$E:$F,2,FALSE)</f>
        <v>675.61463308665782</v>
      </c>
      <c r="DG995" s="364">
        <f ca="1">VLOOKUP(CC995,'ECI - Input Price'!M$13:N$33,2,FALSE)</f>
        <v>133.5</v>
      </c>
      <c r="DH995" s="364"/>
      <c r="DI995" s="364"/>
      <c r="DJ995" s="56">
        <f t="shared" ca="1" si="1797"/>
        <v>3.1193095773504077E-2</v>
      </c>
      <c r="DK995" s="53">
        <f>HLOOKUP(H995,'GDP-PI'!$8:$9,2,FALSE)</f>
        <v>104.639</v>
      </c>
      <c r="DL995" s="355">
        <f t="shared" si="1790"/>
        <v>9.5254361854427965E-3</v>
      </c>
      <c r="EC995"/>
    </row>
    <row r="996" spans="1:133" s="126" customFormat="1" ht="21" customHeight="1" x14ac:dyDescent="0.4">
      <c r="A996" s="233" t="s">
        <v>240</v>
      </c>
      <c r="B996" s="126" t="s">
        <v>240</v>
      </c>
      <c r="C996" s="126">
        <v>4057140</v>
      </c>
      <c r="D996" s="127" t="s">
        <v>241</v>
      </c>
      <c r="E996" s="127"/>
      <c r="F996" s="144"/>
      <c r="G996" s="126" t="s">
        <v>172</v>
      </c>
      <c r="H996" s="128">
        <v>2016</v>
      </c>
      <c r="I996" s="129"/>
      <c r="J996" s="125">
        <f>IFERROR(INDEX('Labor Expenditures'!$E$7:$W$91,MATCH($C996,'Labor Expenditures'!$C$7:$C$91,0),MATCH($G996,'Labor Expenditures'!$E$5:$W$5,0)),"NA")</f>
        <v>49842.600182397393</v>
      </c>
      <c r="K996" s="125">
        <f t="shared" ca="1" si="1791"/>
        <v>363.94742739976192</v>
      </c>
      <c r="L996" s="47"/>
      <c r="M996" s="131">
        <f t="shared" ca="1" si="1798"/>
        <v>-6.4934594946314386E-2</v>
      </c>
      <c r="N996" s="131"/>
      <c r="O996" s="131"/>
      <c r="P996" s="59">
        <f t="shared" ca="1" si="1800"/>
        <v>-1.2718183198946905E-3</v>
      </c>
      <c r="Q996" s="61"/>
      <c r="R996" s="387"/>
      <c r="S996" s="49">
        <f t="shared" ca="1" si="1805"/>
        <v>299.83915139008485</v>
      </c>
      <c r="T996" s="61">
        <f ca="1">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</f>
        <v>0.90560984271288236</v>
      </c>
      <c r="U996" s="61"/>
      <c r="V996" s="125">
        <f>IFERROR(INDEX('Non-Labor Expenditures'!$E$7:$AA$91,MATCH($C996,'Non-Labor Expenditures'!$C$7:$C$91,0),MATCH($G996,'Non-Labor Expenditures'!$E$5:$AA$5,0)),"NA")</f>
        <v>72181.394377703473</v>
      </c>
      <c r="W996" s="125">
        <f t="shared" si="1792"/>
        <v>682.65675245614989</v>
      </c>
      <c r="X996" s="131">
        <f t="shared" si="1801"/>
        <v>-4.9849267444736611E-2</v>
      </c>
      <c r="Y996" s="131">
        <f t="shared" si="1802"/>
        <v>-9.7635492485880946E-4</v>
      </c>
      <c r="Z996" s="131"/>
      <c r="AA996" s="131"/>
      <c r="AB996" s="131"/>
      <c r="AC996" s="125">
        <f t="shared" si="1772"/>
        <v>79371.46416181828</v>
      </c>
      <c r="AD996" s="129"/>
      <c r="AE996" s="133">
        <v>6054.0642706538374</v>
      </c>
      <c r="AF996" s="134">
        <v>5.1149015288321602E-2</v>
      </c>
      <c r="AG996" s="59">
        <f t="shared" si="1793"/>
        <v>1.0018119731407258E-3</v>
      </c>
      <c r="AH996" s="134"/>
      <c r="AI996" s="134"/>
      <c r="AJ996" s="129">
        <f t="shared" si="1809"/>
        <v>201395.45872191916</v>
      </c>
      <c r="AK996" s="134">
        <f t="shared" si="1803"/>
        <v>-1.2871916051482482E-2</v>
      </c>
      <c r="AL996" s="129"/>
      <c r="AM996" s="129"/>
      <c r="AN996" s="129"/>
      <c r="AO996" s="129"/>
      <c r="AP996" s="133">
        <f t="shared" si="1804"/>
        <v>201.56013335086681</v>
      </c>
      <c r="AQ996" s="134">
        <f>+BB996/Outputs!$B$24</f>
        <v>2.7189116200999779E-2</v>
      </c>
      <c r="AR996" s="93">
        <f t="shared" si="1794"/>
        <v>0.247486216912262</v>
      </c>
      <c r="AS996" s="93">
        <f t="shared" si="1795"/>
        <v>0.35840626613815252</v>
      </c>
      <c r="AT996" s="93">
        <f t="shared" si="1796"/>
        <v>0.3941075169495854</v>
      </c>
      <c r="AU996" s="93">
        <f t="shared" ca="1" si="1799"/>
        <v>-1.4651894217800734E-2</v>
      </c>
      <c r="AV996" s="132">
        <f t="shared" ca="1" si="1807"/>
        <v>117.56670308231548</v>
      </c>
      <c r="AW996" s="134">
        <f t="shared" ca="1" si="1808"/>
        <v>-1.4651894217800748E-2</v>
      </c>
      <c r="AX996" s="56">
        <f>+AJ996/$AL$21</f>
        <v>1.9586143887494557E-2</v>
      </c>
      <c r="AY996" s="135">
        <f t="shared" ca="1" si="1806"/>
        <v>-2.8697410837419499E-4</v>
      </c>
      <c r="AZ996" s="93"/>
      <c r="BA996" s="93"/>
      <c r="BB996" s="234">
        <f>IFERROR(INDEX('Total Customers'!$E$7:$AA$91,MATCH($C996,'Total Customers'!$C$7:$C$91,0),MATCH($G996,'Total Customers'!$E$5:$AA$5,0)),"NA")</f>
        <v>999183</v>
      </c>
      <c r="BC996" s="269">
        <f t="shared" si="1768"/>
        <v>2.1535642747827079E-2</v>
      </c>
      <c r="BD996" s="92"/>
      <c r="BE996" s="299" t="str">
        <f t="shared" si="1764"/>
        <v>QUESTAR GAS COMPANY</v>
      </c>
      <c r="BF996" s="300">
        <f t="shared" si="1765"/>
        <v>4057140</v>
      </c>
      <c r="BG996" s="231" t="str">
        <f t="shared" si="1766"/>
        <v>UT</v>
      </c>
      <c r="BH996" s="231"/>
      <c r="BI996" s="231" t="str">
        <f t="shared" si="1767"/>
        <v>2016 Y</v>
      </c>
      <c r="BJ996" s="129"/>
      <c r="BK996" s="129"/>
      <c r="BL996" s="129">
        <f>INDEX('Dist. Plant Gas Additions'!$E$7:$AD$91,MATCH($C996,'Dist. Plant Gas Additions'!$C$7:$C$91,0),MATCH(Calculation!$G996,'Dist. Plant Gas Additions'!$E$5:$AD$5,0))</f>
        <v>200009</v>
      </c>
      <c r="BM996" s="129">
        <f>INDEX('Gen. Plant Additions'!$E$7:$AD$91,MATCH($C996,'Gen. Plant Additions'!$C$7:$C$91,0),MATCH(Calculation!$G996,'Gen. Plant Additions'!$E$5:$AD$5,0))</f>
        <v>33476</v>
      </c>
      <c r="BN996" s="301">
        <f t="shared" si="1773"/>
        <v>0.89426630766233928</v>
      </c>
      <c r="BO996" s="231">
        <f t="shared" si="1722"/>
        <v>29936.458915304469</v>
      </c>
      <c r="BP996" s="231">
        <f t="shared" si="1723"/>
        <v>-3539.541084695531</v>
      </c>
      <c r="BQ996" s="129">
        <f>INDEX('Dist Plant Depreciation'!$D$7:$AC$94,MATCH($C996,'Dist Plant Depreciation'!$C$7:$C$94,0),MATCH(Calculation!$G996,'Dist Plant Depreciation'!$D$5:$AC$5,0))</f>
        <v>511866</v>
      </c>
      <c r="BR996" s="129">
        <f>INDEX('Gen. Plant Depreciation'!$D$7:$AC$94,MATCH($C996,'Gen. Plant Depreciation'!$C$7:$C$94,0),MATCH(Calculation!$G996,'Gen. Plant Depreciation'!$D$5:$AC$5,0))</f>
        <v>149721</v>
      </c>
      <c r="BS996" s="129"/>
      <c r="BT996" s="129"/>
      <c r="BU996" s="129"/>
      <c r="BV996" s="129"/>
      <c r="BW996" s="129"/>
      <c r="BX996" s="137"/>
      <c r="BY996" s="129">
        <f>INDEX('Gross Dx Plant'!$D$7:$AC$91,MATCH($C996,'Gross Dx Plant'!$C$7:$C$91,0),MATCH(Calculation!$G996,'Gross Dx Plant'!$D$5:$AC$5,0))</f>
        <v>2456089</v>
      </c>
      <c r="BZ996" s="129">
        <f>INDEX('Gross Gen Plant'!$D$7:$AC$91,MATCH($C996,'Gross Gen Plant'!$C$7:$C$91,0),MATCH(Calculation!$G996,'Gross Gen Plant'!$D$5:$AC$5,0))</f>
        <v>290396</v>
      </c>
      <c r="CA996" s="129">
        <f t="shared" si="1721"/>
        <v>2084898</v>
      </c>
      <c r="CB996" s="129"/>
      <c r="CC996" s="133">
        <v>2016</v>
      </c>
      <c r="CD996" s="129"/>
      <c r="CE996" s="129"/>
      <c r="CF996" s="129"/>
      <c r="CG996" s="137"/>
      <c r="CH996" s="129">
        <f t="shared" si="1774"/>
        <v>233485</v>
      </c>
      <c r="CI996" s="46">
        <f t="shared" si="1783"/>
        <v>229945.45891530448</v>
      </c>
      <c r="CJ996" s="231">
        <f t="shared" si="1775"/>
        <v>342.45776943684467</v>
      </c>
      <c r="CK996" s="443">
        <v>0.7857142857142857</v>
      </c>
      <c r="CL996" s="231">
        <f>+CL978*CK996+CJ979*CK995+CJ980*CK994+CJ981*CK993+CJ982*CK992+CJ983*CK991+CJ984*CK990+CJ985*CK989+CJ986*CK988+CJ987*CK987+CJ988*CK986+CJ989*CK985+CJ990*CK984+CJ991*CK983+CJ992*CK982+CJ993*CK981+CJ994*CK980+CJ995*CK979+CJ996</f>
        <v>5598.9011721649294</v>
      </c>
      <c r="CM996" s="134">
        <f t="shared" si="1776"/>
        <v>4.8420453670354691E-2</v>
      </c>
      <c r="CN996" s="135">
        <f t="shared" si="1777"/>
        <v>1.4587818227565245E-2</v>
      </c>
      <c r="CO996" s="135">
        <f t="shared" si="1786"/>
        <v>1.4348618399165685E-2</v>
      </c>
      <c r="CP996" s="134">
        <f>VLOOKUP($H996,RoR!$E:$F,2,FALSE)</f>
        <v>3.6658333333333334E-2</v>
      </c>
      <c r="CQ996" s="135">
        <v>1.0483662879041455E-2</v>
      </c>
      <c r="CR996" s="135">
        <f t="shared" si="1784"/>
        <v>2.6174670454291879E-2</v>
      </c>
      <c r="CS996" s="135">
        <f t="shared" si="1787"/>
        <v>1.6553323209367941E-2</v>
      </c>
      <c r="CT996" s="135">
        <f t="shared" si="1788"/>
        <v>4.301363574220729E-3</v>
      </c>
      <c r="CU996" s="139">
        <f t="shared" si="1778"/>
        <v>0.87050000000000005</v>
      </c>
      <c r="CV996" s="335">
        <f t="shared" si="1779"/>
        <v>1.3989193348138562</v>
      </c>
      <c r="CW996" s="335">
        <f t="shared" si="1780"/>
        <v>0.29302682427824522</v>
      </c>
      <c r="CX996" s="335">
        <f t="shared" si="1781"/>
        <v>0.76309497491941802</v>
      </c>
      <c r="CY996" s="335">
        <f t="shared" si="1782"/>
        <v>0.31280857135128509</v>
      </c>
      <c r="CZ996" s="336">
        <f>INDEX('State Tax Lookup'!$D$7:$Z$91,MATCH(Calculation!$C996,'State Tax Lookup'!$B$7:$B$91,0),MATCH($H996,'State Tax Lookup'!$D$6:$Z$6,0))</f>
        <v>0.35</v>
      </c>
      <c r="DA996" s="302">
        <v>0.37</v>
      </c>
      <c r="DB996" s="57">
        <f t="shared" si="1785"/>
        <v>14.879568118164697</v>
      </c>
      <c r="DC996" s="56">
        <f t="shared" si="1789"/>
        <v>-2.0878446219199761E-2</v>
      </c>
      <c r="DD996" s="303">
        <f>VLOOKUP($H996,RoR!$E:$F,2,FALSE)</f>
        <v>3.6658333333333334E-2</v>
      </c>
      <c r="DE996" s="304">
        <f>HLOOKUP($H996,'GDP-PI'!$D$8:$CQ$11,3,FALSE)</f>
        <v>1.0483662879041455E-2</v>
      </c>
      <c r="DF996" s="303">
        <f>VLOOKUP(H996,'HW Dx Data'!$E:$F,2,FALSE)</f>
        <v>671.45639385971219</v>
      </c>
      <c r="DG996" s="364">
        <f ca="1">VLOOKUP(CC996,'ECI - Input Price'!M$13:N$33,2,FALSE)</f>
        <v>136.94999999999999</v>
      </c>
      <c r="DH996" s="364"/>
      <c r="DI996" s="364"/>
      <c r="DJ996" s="56">
        <f t="shared" ca="1" si="1797"/>
        <v>2.5514417868782811E-2</v>
      </c>
      <c r="DK996" s="53">
        <f>HLOOKUP(H996,'GDP-PI'!$8:$9,2,FALSE)</f>
        <v>105.736</v>
      </c>
      <c r="DL996" s="355">
        <f t="shared" si="1790"/>
        <v>1.0429090367205095E-2</v>
      </c>
      <c r="EC996"/>
    </row>
    <row r="997" spans="1:133" s="126" customFormat="1" ht="21" customHeight="1" x14ac:dyDescent="0.4">
      <c r="A997" s="233" t="s">
        <v>240</v>
      </c>
      <c r="B997" s="126" t="s">
        <v>240</v>
      </c>
      <c r="C997" s="126">
        <v>4057140</v>
      </c>
      <c r="D997" s="127" t="s">
        <v>241</v>
      </c>
      <c r="E997" s="127"/>
      <c r="F997" s="144"/>
      <c r="G997" s="126" t="s">
        <v>173</v>
      </c>
      <c r="H997" s="128">
        <v>2017</v>
      </c>
      <c r="I997" s="129"/>
      <c r="J997" s="125">
        <f>IFERROR(INDEX('Labor Expenditures'!$E$7:$W$91,MATCH($C997,'Labor Expenditures'!$C$7:$C$91,0),MATCH($G997,'Labor Expenditures'!$E$5:$W$5,0)),"NA")</f>
        <v>44155.087796901942</v>
      </c>
      <c r="K997" s="125">
        <f t="shared" ca="1" si="1791"/>
        <v>314.3829675820715</v>
      </c>
      <c r="L997" s="47"/>
      <c r="M997" s="131">
        <f t="shared" ca="1" si="1798"/>
        <v>-0.14639754225496868</v>
      </c>
      <c r="N997" s="131"/>
      <c r="O997" s="131"/>
      <c r="P997" s="59">
        <f t="shared" ca="1" si="1800"/>
        <v>-2.6694783630926921E-3</v>
      </c>
      <c r="Q997" s="61"/>
      <c r="R997" s="387"/>
      <c r="S997" s="49">
        <f t="shared" ca="1" si="1805"/>
        <v>168.76615129294225</v>
      </c>
      <c r="T997" s="61">
        <f ca="1">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</f>
        <v>-0.57473213229870779</v>
      </c>
      <c r="U997" s="61"/>
      <c r="V997" s="125">
        <f>IFERROR(INDEX('Non-Labor Expenditures'!$E$7:$AA$91,MATCH($C997,'Non-Labor Expenditures'!$C$7:$C$91,0),MATCH($G997,'Non-Labor Expenditures'!$E$5:$AA$5,0)),"NA")</f>
        <v>63944.814162722927</v>
      </c>
      <c r="W997" s="125">
        <f t="shared" si="1792"/>
        <v>593.44984420305082</v>
      </c>
      <c r="X997" s="131">
        <f t="shared" si="1801"/>
        <v>-0.14003947264154806</v>
      </c>
      <c r="Y997" s="131">
        <f t="shared" si="1802"/>
        <v>-2.5535424737148263E-3</v>
      </c>
      <c r="Z997" s="131"/>
      <c r="AA997" s="131"/>
      <c r="AB997" s="131"/>
      <c r="AC997" s="125">
        <f t="shared" si="1772"/>
        <v>79334.308594759845</v>
      </c>
      <c r="AD997" s="129"/>
      <c r="AE997" s="133">
        <v>6281.9691766086289</v>
      </c>
      <c r="AF997" s="134">
        <v>3.6953667710947428E-2</v>
      </c>
      <c r="AG997" s="59">
        <f t="shared" si="1793"/>
        <v>6.7382973014318596E-4</v>
      </c>
      <c r="AH997" s="134"/>
      <c r="AI997" s="134"/>
      <c r="AJ997" s="129">
        <f t="shared" si="1809"/>
        <v>187434.21055438471</v>
      </c>
      <c r="AK997" s="134">
        <f t="shared" si="1803"/>
        <v>-7.1842524684258072E-2</v>
      </c>
      <c r="AL997" s="129"/>
      <c r="AM997" s="129"/>
      <c r="AN997" s="129"/>
      <c r="AO997" s="129"/>
      <c r="AP997" s="133">
        <f t="shared" si="1804"/>
        <v>189.15094452691096</v>
      </c>
      <c r="AQ997" s="134">
        <f>+BB997/Outputs!$B$25</f>
        <v>2.676179002628528E-2</v>
      </c>
      <c r="AR997" s="93">
        <f t="shared" si="1794"/>
        <v>0.23557645995521284</v>
      </c>
      <c r="AS997" s="93">
        <f t="shared" si="1795"/>
        <v>0.34115871362858335</v>
      </c>
      <c r="AT997" s="93">
        <f t="shared" si="1796"/>
        <v>0.42326482641620383</v>
      </c>
      <c r="AU997" s="93">
        <f t="shared" ca="1" si="1799"/>
        <v>-6.9240496760337777E-2</v>
      </c>
      <c r="AV997" s="132">
        <f t="shared" ca="1" si="1807"/>
        <v>109.70175458621856</v>
      </c>
      <c r="AW997" s="134">
        <f t="shared" ca="1" si="1808"/>
        <v>-6.9240496760337625E-2</v>
      </c>
      <c r="AX997" s="56">
        <f>+AJ997/$AL$22</f>
        <v>1.8234447942052735E-2</v>
      </c>
      <c r="AY997" s="135">
        <f t="shared" ca="1" si="1806"/>
        <v>-1.2625622336582475E-3</v>
      </c>
      <c r="AZ997" s="93"/>
      <c r="BA997" s="93"/>
      <c r="BB997" s="234">
        <f>IFERROR(INDEX('Total Customers'!$E$7:$AA$91,MATCH($C997,'Total Customers'!$C$7:$C$91,0),MATCH($G997,'Total Customers'!$E$5:$AA$5,0)),"NA")</f>
        <v>990924</v>
      </c>
      <c r="BC997" s="269">
        <f t="shared" si="1768"/>
        <v>-8.3001038785099502E-3</v>
      </c>
      <c r="BD997" s="92"/>
      <c r="BE997" s="299" t="str">
        <f t="shared" si="1764"/>
        <v>QUESTAR GAS COMPANY</v>
      </c>
      <c r="BF997" s="300">
        <f t="shared" si="1765"/>
        <v>4057140</v>
      </c>
      <c r="BG997" s="231" t="str">
        <f t="shared" si="1766"/>
        <v>UT</v>
      </c>
      <c r="BH997" s="231"/>
      <c r="BI997" s="231" t="str">
        <f t="shared" si="1767"/>
        <v>2017 Y</v>
      </c>
      <c r="BJ997" s="129"/>
      <c r="BK997" s="129"/>
      <c r="BL997" s="129">
        <f>INDEX('Dist. Plant Gas Additions'!$E$7:$AD$91,MATCH($C997,'Dist. Plant Gas Additions'!$C$7:$C$91,0),MATCH(Calculation!$G997,'Dist. Plant Gas Additions'!$E$5:$AD$5,0))</f>
        <v>185269</v>
      </c>
      <c r="BM997" s="129">
        <f>INDEX('Gen. Plant Additions'!$E$7:$AD$91,MATCH($C997,'Gen. Plant Additions'!$C$7:$C$91,0),MATCH(Calculation!$G997,'Gen. Plant Additions'!$E$5:$AD$5,0))</f>
        <v>12232</v>
      </c>
      <c r="BN997" s="301">
        <f t="shared" si="1773"/>
        <v>0.90744424310008365</v>
      </c>
      <c r="BO997" s="231">
        <f t="shared" si="1722"/>
        <v>11099.857981600224</v>
      </c>
      <c r="BP997" s="231">
        <f t="shared" si="1723"/>
        <v>-1132.1420183997761</v>
      </c>
      <c r="BQ997" s="129">
        <f>INDEX('Dist Plant Depreciation'!$D$7:$AC$94,MATCH($C997,'Dist Plant Depreciation'!$C$7:$C$94,0),MATCH(Calculation!$G997,'Dist Plant Depreciation'!$D$5:$AC$5,0))</f>
        <v>540355</v>
      </c>
      <c r="BR997" s="129">
        <f>INDEX('Gen. Plant Depreciation'!$D$7:$AC$94,MATCH($C997,'Gen. Plant Depreciation'!$C$7:$C$94,0),MATCH(Calculation!$G997,'Gen. Plant Depreciation'!$D$5:$AC$5,0))</f>
        <v>128845</v>
      </c>
      <c r="BS997" s="129"/>
      <c r="BT997" s="129"/>
      <c r="BU997" s="129"/>
      <c r="BV997" s="129"/>
      <c r="BW997" s="129"/>
      <c r="BX997" s="137"/>
      <c r="BY997" s="129">
        <f>INDEX('Gross Dx Plant'!$D$7:$AC$91,MATCH($C997,'Gross Dx Plant'!$C$7:$C$91,0),MATCH(Calculation!$G997,'Gross Dx Plant'!$D$5:$AC$5,0))</f>
        <v>2604002</v>
      </c>
      <c r="BZ997" s="129">
        <f>INDEX('Gross Gen Plant'!$D$7:$AC$91,MATCH($C997,'Gross Gen Plant'!$C$7:$C$91,0),MATCH(Calculation!$G997,'Gross Gen Plant'!$D$5:$AC$5,0))</f>
        <v>265598</v>
      </c>
      <c r="CA997" s="129">
        <f t="shared" si="1721"/>
        <v>2200400</v>
      </c>
      <c r="CB997" s="129"/>
      <c r="CC997" s="133">
        <v>2017</v>
      </c>
      <c r="CD997" s="129"/>
      <c r="CE997" s="129"/>
      <c r="CF997" s="129"/>
      <c r="CG997" s="137"/>
      <c r="CH997" s="129">
        <f t="shared" si="1774"/>
        <v>197501</v>
      </c>
      <c r="CI997" s="46">
        <f t="shared" si="1783"/>
        <v>196368.85798160022</v>
      </c>
      <c r="CJ997" s="231">
        <f t="shared" si="1775"/>
        <v>275.63304234808317</v>
      </c>
      <c r="CK997" s="443">
        <v>0.77108433734939763</v>
      </c>
      <c r="CL997" s="231">
        <f>+CL978*CK997+CJ979*CK996+CJ980*CK995+CJ981*CK994+CJ982*CK993+CJ983*CK992+CJ984*CK991+CJ985*CK990+CJ986*CK989+CJ987*CK988+CJ988*CK987+CJ989*CK986+CJ990*CK985+CJ991*CK984+CJ992*CK983+CJ993*CK982+CJ994*CK981+CJ995*CK980+CJ996*CK979+CJ997</f>
        <v>5791.5508337550627</v>
      </c>
      <c r="CM997" s="134">
        <f t="shared" si="1776"/>
        <v>3.3829743424237516E-2</v>
      </c>
      <c r="CN997" s="135">
        <f t="shared" si="1777"/>
        <v>1.4821369087653078E-2</v>
      </c>
      <c r="CO997" s="135">
        <f t="shared" si="1786"/>
        <v>1.4590085945066278E-2</v>
      </c>
      <c r="CP997" s="134">
        <f>VLOOKUP($H997,RoR!$E:$F,2,FALSE)</f>
        <v>3.7433333333333339E-2</v>
      </c>
      <c r="CQ997" s="135">
        <v>1.9056896421275615E-2</v>
      </c>
      <c r="CR997" s="135">
        <f t="shared" si="1784"/>
        <v>1.8376436912057724E-2</v>
      </c>
      <c r="CS997" s="135">
        <f t="shared" si="1787"/>
        <v>1.6311855663467347E-2</v>
      </c>
      <c r="CT997" s="135">
        <f t="shared" si="1788"/>
        <v>1.3976271617800498E-2</v>
      </c>
      <c r="CU997" s="139">
        <f t="shared" si="1778"/>
        <v>0.90398500000000004</v>
      </c>
      <c r="CV997" s="335">
        <f t="shared" si="1779"/>
        <v>1.3699568463593395</v>
      </c>
      <c r="CW997" s="335">
        <f t="shared" si="1780"/>
        <v>0.30714603739982199</v>
      </c>
      <c r="CX997" s="335">
        <f t="shared" si="1781"/>
        <v>0.77007188472689425</v>
      </c>
      <c r="CY997" s="335">
        <f t="shared" si="1782"/>
        <v>0.32402839633793828</v>
      </c>
      <c r="CZ997" s="336">
        <f>INDEX('State Tax Lookup'!$D$7:$Z$91,MATCH(Calculation!$C997,'State Tax Lookup'!$B$7:$B$91,0),MATCH($H997,'State Tax Lookup'!$D$6:$Z$6,0))</f>
        <v>0.25950000000000001</v>
      </c>
      <c r="DA997" s="302">
        <v>0.37</v>
      </c>
      <c r="DB997" s="57">
        <f t="shared" si="1785"/>
        <v>14.169621173020921</v>
      </c>
      <c r="DC997" s="56">
        <f t="shared" si="1789"/>
        <v>-4.8888685759104961E-2</v>
      </c>
      <c r="DD997" s="303">
        <f>VLOOKUP($H997,RoR!$E:$F,2,FALSE)</f>
        <v>3.7433333333333339E-2</v>
      </c>
      <c r="DE997" s="304">
        <f>HLOOKUP($H997,'GDP-PI'!$D$8:$CQ$11,3,FALSE)</f>
        <v>1.9056896421275615E-2</v>
      </c>
      <c r="DF997" s="303">
        <f>VLOOKUP(H997,'HW Dx Data'!$E:$F,2,FALSE)</f>
        <v>712.42858370229726</v>
      </c>
      <c r="DG997" s="364">
        <f ca="1">VLOOKUP(CC997,'ECI - Input Price'!M$13:N$33,2,FALSE)</f>
        <v>140.44999999999999</v>
      </c>
      <c r="DH997" s="364"/>
      <c r="DI997" s="364"/>
      <c r="DJ997" s="56">
        <f t="shared" ca="1" si="1797"/>
        <v>2.5235657841165486E-2</v>
      </c>
      <c r="DK997" s="53">
        <f>HLOOKUP(H997,'GDP-PI'!$8:$9,2,FALSE)</f>
        <v>107.751</v>
      </c>
      <c r="DL997" s="355">
        <f t="shared" si="1790"/>
        <v>1.8877588227745139E-2</v>
      </c>
      <c r="EC997"/>
    </row>
    <row r="998" spans="1:133" s="126" customFormat="1" ht="21" customHeight="1" x14ac:dyDescent="0.4">
      <c r="A998" s="233" t="s">
        <v>240</v>
      </c>
      <c r="B998" s="126" t="s">
        <v>240</v>
      </c>
      <c r="C998" s="126">
        <v>4057140</v>
      </c>
      <c r="D998" s="127" t="s">
        <v>241</v>
      </c>
      <c r="E998" s="127"/>
      <c r="F998" s="144"/>
      <c r="G998" s="126" t="s">
        <v>174</v>
      </c>
      <c r="H998" s="128">
        <v>2018</v>
      </c>
      <c r="I998" s="129"/>
      <c r="J998" s="125">
        <f>IFERROR(INDEX('Labor Expenditures'!$E$7:$W$91,MATCH($C998,'Labor Expenditures'!$C$7:$C$91,0),MATCH($G998,'Labor Expenditures'!$E$5:$W$5,0)),"NA")</f>
        <v>44495.271406249842</v>
      </c>
      <c r="K998" s="125">
        <f t="shared" ca="1" si="1791"/>
        <v>308.03233926098886</v>
      </c>
      <c r="L998" s="47"/>
      <c r="M998" s="131">
        <f t="shared" ca="1" si="1798"/>
        <v>-2.0407109667963667E-2</v>
      </c>
      <c r="N998" s="131"/>
      <c r="O998" s="131"/>
      <c r="P998" s="59">
        <f t="shared" ca="1" si="1800"/>
        <v>-3.5647338934660644E-4</v>
      </c>
      <c r="Q998" s="61"/>
      <c r="R998" s="387"/>
      <c r="S998" s="49">
        <f t="shared" ca="1" si="1805"/>
        <v>116.16144808811671</v>
      </c>
      <c r="T998" s="61">
        <f ca="1">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</f>
        <v>-0.37353301921608156</v>
      </c>
      <c r="U998" s="61"/>
      <c r="V998" s="125">
        <f>IFERROR(INDEX('Non-Labor Expenditures'!$E$7:$AA$91,MATCH($C998,'Non-Labor Expenditures'!$C$7:$C$91,0),MATCH($G998,'Non-Labor Expenditures'!$E$5:$AA$5,0)),"NA")</f>
        <v>64437.463566592574</v>
      </c>
      <c r="W998" s="125">
        <f t="shared" si="1792"/>
        <v>584.08534622824618</v>
      </c>
      <c r="X998" s="131">
        <f t="shared" si="1801"/>
        <v>-1.5905589022480709E-2</v>
      </c>
      <c r="Y998" s="131">
        <f t="shared" si="1802"/>
        <v>-2.7784038605422218E-4</v>
      </c>
      <c r="Z998" s="131"/>
      <c r="AA998" s="131"/>
      <c r="AB998" s="131"/>
      <c r="AC998" s="125">
        <f t="shared" si="1772"/>
        <v>85451.339387825996</v>
      </c>
      <c r="AD998" s="129"/>
      <c r="AE998" s="133">
        <v>6411.6622047951068</v>
      </c>
      <c r="AF998" s="134">
        <v>2.0435057153345097E-2</v>
      </c>
      <c r="AG998" s="59">
        <f t="shared" si="1793"/>
        <v>3.5696157875704862E-4</v>
      </c>
      <c r="AH998" s="134"/>
      <c r="AI998" s="134"/>
      <c r="AJ998" s="129">
        <f t="shared" si="1809"/>
        <v>194384.07436066843</v>
      </c>
      <c r="AK998" s="134">
        <f t="shared" si="1803"/>
        <v>3.6408059862093854E-2</v>
      </c>
      <c r="AL998" s="129"/>
      <c r="AM998" s="129"/>
      <c r="AN998" s="129"/>
      <c r="AO998" s="129"/>
      <c r="AP998" s="133">
        <f t="shared" si="1804"/>
        <v>185.8201797371236</v>
      </c>
      <c r="AQ998" s="134">
        <f>+BB998/Outputs!$B$26</f>
        <v>2.8004148124161885E-2</v>
      </c>
      <c r="AR998" s="93">
        <f t="shared" si="1794"/>
        <v>0.22890389324637489</v>
      </c>
      <c r="AS998" s="93">
        <f t="shared" si="1795"/>
        <v>0.33149559077063373</v>
      </c>
      <c r="AT998" s="93">
        <f t="shared" si="1796"/>
        <v>0.43960051598299132</v>
      </c>
      <c r="AU998" s="93">
        <f t="shared" ca="1" si="1799"/>
        <v>-1.2724809194038216E-3</v>
      </c>
      <c r="AV998" s="132">
        <f t="shared" ca="1" si="1807"/>
        <v>109.56224997398499</v>
      </c>
      <c r="AW998" s="134">
        <f t="shared" ca="1" si="1808"/>
        <v>-1.2724809194039715E-3</v>
      </c>
      <c r="AX998" s="56">
        <f>+AJ998/$AL$23</f>
        <v>1.746809789071797E-2</v>
      </c>
      <c r="AY998" s="135">
        <f t="shared" ca="1" si="1806"/>
        <v>-2.2227821264219377E-5</v>
      </c>
      <c r="AZ998" s="93"/>
      <c r="BA998" s="93"/>
      <c r="BB998" s="234">
        <f>IFERROR(INDEX('Total Customers'!$E$7:$AA$91,MATCH($C998,'Total Customers'!$C$7:$C$91,0),MATCH($G998,'Total Customers'!$E$5:$AA$5,0)),"NA")</f>
        <v>1046087</v>
      </c>
      <c r="BC998" s="269">
        <f t="shared" si="1768"/>
        <v>5.4173973985042992E-2</v>
      </c>
      <c r="BD998" s="92"/>
      <c r="BE998" s="299" t="str">
        <f t="shared" si="1764"/>
        <v>QUESTAR GAS COMPANY</v>
      </c>
      <c r="BF998" s="300">
        <f t="shared" si="1765"/>
        <v>4057140</v>
      </c>
      <c r="BG998" s="231" t="str">
        <f t="shared" si="1766"/>
        <v>UT</v>
      </c>
      <c r="BH998" s="231"/>
      <c r="BI998" s="231" t="str">
        <f t="shared" si="1767"/>
        <v>2018 Y</v>
      </c>
      <c r="BJ998" s="129"/>
      <c r="BK998" s="129"/>
      <c r="BL998" s="129">
        <f>INDEX('Dist. Plant Gas Additions'!$E$7:$AD$91,MATCH($C998,'Dist. Plant Gas Additions'!$C$7:$C$91,0),MATCH(Calculation!$G998,'Dist. Plant Gas Additions'!$E$5:$AD$5,0))</f>
        <v>132274</v>
      </c>
      <c r="BM998" s="129">
        <f>INDEX('Gen. Plant Additions'!$E$7:$AD$91,MATCH($C998,'Gen. Plant Additions'!$C$7:$C$91,0),MATCH(Calculation!$G998,'Gen. Plant Additions'!$E$5:$AD$5,0))</f>
        <v>5368</v>
      </c>
      <c r="BN998" s="301">
        <f t="shared" si="1773"/>
        <v>0.91250620088945622</v>
      </c>
      <c r="BO998" s="231">
        <f t="shared" si="1722"/>
        <v>4898.3332863746009</v>
      </c>
      <c r="BP998" s="231">
        <f t="shared" si="1723"/>
        <v>-469.6667136253991</v>
      </c>
      <c r="BQ998" s="129">
        <f>INDEX('Dist Plant Depreciation'!$D$7:$AC$94,MATCH($C998,'Dist Plant Depreciation'!$C$7:$C$94,0),MATCH(Calculation!$G998,'Dist Plant Depreciation'!$D$5:$AC$5,0))</f>
        <v>589325</v>
      </c>
      <c r="BR998" s="129">
        <f>INDEX('Gen. Plant Depreciation'!$D$7:$AC$94,MATCH($C998,'Gen. Plant Depreciation'!$C$7:$C$94,0),MATCH(Calculation!$G998,'Gen. Plant Depreciation'!$D$5:$AC$5,0))</f>
        <v>134553</v>
      </c>
      <c r="BS998" s="129"/>
      <c r="BT998" s="129"/>
      <c r="BU998" s="129"/>
      <c r="BV998" s="129"/>
      <c r="BW998" s="129"/>
      <c r="BX998" s="137"/>
      <c r="BY998" s="129">
        <f>INDEX('Gross Dx Plant'!$D$7:$AC$91,MATCH($C998,'Gross Dx Plant'!$C$7:$C$91,0),MATCH(Calculation!$G998,'Gross Dx Plant'!$D$5:$AC$5,0))</f>
        <v>2733447</v>
      </c>
      <c r="BZ998" s="129">
        <f>INDEX('Gross Gen Plant'!$D$7:$AC$91,MATCH($C998,'Gross Gen Plant'!$C$7:$C$91,0),MATCH(Calculation!$G998,'Gross Gen Plant'!$D$5:$AC$5,0))</f>
        <v>262091</v>
      </c>
      <c r="CA998" s="129">
        <f t="shared" si="1721"/>
        <v>2271660</v>
      </c>
      <c r="CB998" s="129"/>
      <c r="CC998" s="133">
        <v>2018</v>
      </c>
      <c r="CD998" s="129"/>
      <c r="CE998" s="129"/>
      <c r="CF998" s="129"/>
      <c r="CG998" s="137"/>
      <c r="CH998" s="129">
        <f t="shared" si="1774"/>
        <v>137642</v>
      </c>
      <c r="CI998" s="46">
        <f t="shared" si="1783"/>
        <v>137172.3332863746</v>
      </c>
      <c r="CJ998" s="231">
        <f t="shared" si="1775"/>
        <v>181.65231630400532</v>
      </c>
      <c r="CK998" s="443">
        <v>0.75609756097560976</v>
      </c>
      <c r="CL998" s="231">
        <f>+CL978*CK998++CJ979*CK997+CJ980*CK996+CJ981*CK995+CJ982*CK994+CJ983*CK993+CJ984*CK992+CJ985*CK991+CJ986*CK990+CJ987*CK989+CJ988*CK988+CJ989*CK987+CJ990*CK986+CJ991*CK985+CJ992*CK984+CJ993*CK983+CJ994*CK982+CJ995*CK981+CJ996*CK980+CJ997*CK979+CJ998</f>
        <v>5885.5835383264375</v>
      </c>
      <c r="CM998" s="134">
        <f t="shared" si="1776"/>
        <v>1.6105790035850241E-2</v>
      </c>
      <c r="CN998" s="135">
        <f t="shared" si="1777"/>
        <v>1.5128868630825899E-2</v>
      </c>
      <c r="CO998" s="135">
        <f t="shared" si="1786"/>
        <v>1.4846018648681408E-2</v>
      </c>
      <c r="CP998" s="134">
        <f>VLOOKUP($H998,RoR!$E:$F,2,FALSE)</f>
        <v>3.9299999999999995E-2</v>
      </c>
      <c r="CQ998" s="135">
        <v>2.386056741932796E-2</v>
      </c>
      <c r="CR998" s="135">
        <f t="shared" si="1784"/>
        <v>1.5439432580672034E-2</v>
      </c>
      <c r="CS998" s="135">
        <f t="shared" si="1787"/>
        <v>1.6055922959852219E-2</v>
      </c>
      <c r="CT998" s="135">
        <f t="shared" si="1788"/>
        <v>3.8270792163076606E-2</v>
      </c>
      <c r="CU998" s="139">
        <f t="shared" si="1778"/>
        <v>0.90398500000000004</v>
      </c>
      <c r="CV998" s="335">
        <f t="shared" si="1779"/>
        <v>1.3048868010700074</v>
      </c>
      <c r="CW998" s="335">
        <f t="shared" si="1780"/>
        <v>0.33886768447837151</v>
      </c>
      <c r="CX998" s="335">
        <f t="shared" si="1781"/>
        <v>0.78602506232557801</v>
      </c>
      <c r="CY998" s="335">
        <f t="shared" si="1782"/>
        <v>0.34756768162358759</v>
      </c>
      <c r="CZ998" s="336">
        <f>INDEX('State Tax Lookup'!$D$7:$Z$91,MATCH(Calculation!$C998,'State Tax Lookup'!$B$7:$B$91,0),MATCH($H998,'State Tax Lookup'!$D$6:$Z$6,0))</f>
        <v>0.25950000000000001</v>
      </c>
      <c r="DA998" s="302">
        <v>0.37</v>
      </c>
      <c r="DB998" s="57">
        <f t="shared" si="1785"/>
        <v>14.754483184329056</v>
      </c>
      <c r="DC998" s="56">
        <f t="shared" si="1789"/>
        <v>4.0446662396532489E-2</v>
      </c>
      <c r="DD998" s="303">
        <f>VLOOKUP($H998,RoR!$E:$F,2,FALSE)</f>
        <v>3.9299999999999995E-2</v>
      </c>
      <c r="DE998" s="304">
        <f>HLOOKUP($H998,'GDP-PI'!$D$8:$CQ$11,3,FALSE)</f>
        <v>2.386056741932796E-2</v>
      </c>
      <c r="DF998" s="303">
        <f>VLOOKUP(H998,'HW Dx Data'!$E:$F,2,FALSE)</f>
        <v>755.13671434174842</v>
      </c>
      <c r="DG998" s="364">
        <f ca="1">VLOOKUP(CC998,'ECI - Input Price'!M$13:N$33,2,FALSE)</f>
        <v>144.44999999999999</v>
      </c>
      <c r="DH998" s="364"/>
      <c r="DI998" s="364"/>
      <c r="DJ998" s="56">
        <f t="shared" ca="1" si="1797"/>
        <v>2.80818733619915E-2</v>
      </c>
      <c r="DK998" s="53">
        <f>HLOOKUP(H998,'GDP-PI'!$8:$9,2,FALSE)</f>
        <v>110.322</v>
      </c>
      <c r="DL998" s="355">
        <f t="shared" si="1790"/>
        <v>2.3580352716508712E-2</v>
      </c>
      <c r="EC998"/>
    </row>
    <row r="999" spans="1:133" s="126" customFormat="1" ht="21" customHeight="1" x14ac:dyDescent="0.4">
      <c r="A999" s="233" t="s">
        <v>240</v>
      </c>
      <c r="B999" s="126" t="s">
        <v>240</v>
      </c>
      <c r="C999" s="126">
        <v>4057140</v>
      </c>
      <c r="D999" s="127" t="s">
        <v>241</v>
      </c>
      <c r="E999" s="127"/>
      <c r="F999" s="144"/>
      <c r="G999" s="126" t="s">
        <v>175</v>
      </c>
      <c r="H999" s="128">
        <v>2019</v>
      </c>
      <c r="I999" s="129"/>
      <c r="J999" s="125">
        <f>IFERROR(INDEX('Labor Expenditures'!$E$7:$W$91,MATCH($C999,'Labor Expenditures'!$C$7:$C$91,0),MATCH($G999,'Labor Expenditures'!$E$5:$W$5,0)),"NA")</f>
        <v>49969.194560959957</v>
      </c>
      <c r="K999" s="125">
        <f t="shared" ca="1" si="1791"/>
        <v>333.8513082409217</v>
      </c>
      <c r="L999" s="47"/>
      <c r="M999" s="131">
        <f t="shared" ca="1" si="1798"/>
        <v>8.0490933882733914E-2</v>
      </c>
      <c r="N999" s="131"/>
      <c r="O999" s="131"/>
      <c r="P999" s="59">
        <f t="shared" ca="1" si="1800"/>
        <v>1.4798320777894541E-3</v>
      </c>
      <c r="Q999" s="61"/>
      <c r="R999" s="387"/>
      <c r="S999" s="49">
        <f t="shared" ca="1" si="1805"/>
        <v>116.24165147155755</v>
      </c>
      <c r="T999" s="61">
        <f ca="1">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</f>
        <v>6.9020926809320801E-4</v>
      </c>
      <c r="U999" s="61"/>
      <c r="V999" s="125">
        <f>IFERROR(INDEX('Non-Labor Expenditures'!$E$7:$AA$91,MATCH($C999,'Non-Labor Expenditures'!$C$7:$C$91,0),MATCH($G999,'Non-Labor Expenditures'!$E$5:$AA$5,0)),"NA")</f>
        <v>72364.726682430453</v>
      </c>
      <c r="W999" s="125">
        <f t="shared" si="1792"/>
        <v>644.28432381657842</v>
      </c>
      <c r="X999" s="131">
        <f t="shared" si="1801"/>
        <v>9.8093012330503354E-2</v>
      </c>
      <c r="Y999" s="131">
        <f t="shared" si="1802"/>
        <v>1.8034476586538126E-3</v>
      </c>
      <c r="Z999" s="131"/>
      <c r="AA999" s="131"/>
      <c r="AB999" s="131"/>
      <c r="AC999" s="125">
        <f t="shared" si="1772"/>
        <v>87129.342963037081</v>
      </c>
      <c r="AD999" s="129"/>
      <c r="AE999" s="133">
        <v>6365.7503815239052</v>
      </c>
      <c r="AF999" s="134">
        <v>-7.1864347422895295E-3</v>
      </c>
      <c r="AG999" s="59">
        <f t="shared" si="1793"/>
        <v>-1.3212316149883662E-4</v>
      </c>
      <c r="AH999" s="134"/>
      <c r="AI999" s="134"/>
      <c r="AJ999" s="129">
        <f t="shared" si="1809"/>
        <v>209463.2642064275</v>
      </c>
      <c r="AK999" s="134">
        <f t="shared" si="1803"/>
        <v>7.4712407479097076E-2</v>
      </c>
      <c r="AL999" s="129"/>
      <c r="AM999" s="129"/>
      <c r="AN999" s="129"/>
      <c r="AO999" s="129"/>
      <c r="AP999" s="133">
        <f t="shared" si="1804"/>
        <v>195.27005990242009</v>
      </c>
      <c r="AQ999" s="134">
        <f>+BB999/Outputs!$B$27</f>
        <v>2.8479359105367641E-2</v>
      </c>
      <c r="AR999" s="93">
        <f t="shared" si="1794"/>
        <v>0.23855827297580434</v>
      </c>
      <c r="AS999" s="93">
        <f t="shared" si="1795"/>
        <v>0.34547693580824995</v>
      </c>
      <c r="AT999" s="93">
        <f t="shared" si="1796"/>
        <v>0.41596479121594565</v>
      </c>
      <c r="AU999" s="93">
        <f t="shared" ca="1" si="1799"/>
        <v>4.8942138231615702E-2</v>
      </c>
      <c r="AV999" s="132">
        <f t="shared" ca="1" si="1807"/>
        <v>115.05784695244435</v>
      </c>
      <c r="AW999" s="134">
        <f t="shared" ca="1" si="1808"/>
        <v>4.8942138231615716E-2</v>
      </c>
      <c r="AX999" s="56">
        <f>+AJ999/$AL$24</f>
        <v>1.8385077752301894E-2</v>
      </c>
      <c r="AY999" s="135">
        <f t="shared" ca="1" si="1806"/>
        <v>8.998050167521621E-4</v>
      </c>
      <c r="AZ999" s="93"/>
      <c r="BA999" s="93"/>
      <c r="BB999" s="234">
        <v>1072685</v>
      </c>
      <c r="BC999" s="269">
        <f t="shared" si="1768"/>
        <v>2.5108314936977912E-2</v>
      </c>
      <c r="BD999" s="92"/>
      <c r="BE999" s="299" t="str">
        <f t="shared" si="1764"/>
        <v>QUESTAR GAS COMPANY</v>
      </c>
      <c r="BF999" s="300">
        <f t="shared" si="1765"/>
        <v>4057140</v>
      </c>
      <c r="BG999" s="231" t="str">
        <f t="shared" si="1766"/>
        <v>UT</v>
      </c>
      <c r="BH999" s="231"/>
      <c r="BI999" s="231" t="str">
        <f t="shared" si="1767"/>
        <v>2019 Y</v>
      </c>
      <c r="BJ999" s="129"/>
      <c r="BK999" s="129"/>
      <c r="BL999" s="129">
        <f>INDEX('Dist. Plant Gas Additions'!$E$7:$AD$91,MATCH($C999,'Dist. Plant Gas Additions'!$C$7:$C$91,0),MATCH(Calculation!$G999,'Dist. Plant Gas Additions'!$E$5:$AD$5,0))</f>
        <v>4678</v>
      </c>
      <c r="BM999" s="129">
        <f>INDEX('Gen. Plant Additions'!$E$7:$AD$91,MATCH($C999,'Gen. Plant Additions'!$C$7:$C$91,0),MATCH(Calculation!$G999,'Gen. Plant Additions'!$E$5:$AD$5,0))</f>
        <v>2759</v>
      </c>
      <c r="BN999" s="301">
        <f t="shared" si="1773"/>
        <v>0.91502118610222993</v>
      </c>
      <c r="BO999" s="231">
        <f t="shared" si="1722"/>
        <v>2524.5434524560524</v>
      </c>
      <c r="BP999" s="231">
        <f t="shared" si="1723"/>
        <v>-234.45654754394764</v>
      </c>
      <c r="BQ999" s="129">
        <f>INDEX('Dist Plant Depreciation'!$D$7:$AC$94,MATCH($C999,'Dist Plant Depreciation'!$C$7:$C$94,0),MATCH(Calculation!$G999,'Dist Plant Depreciation'!$D$5:$AC$5,0))</f>
        <v>610409</v>
      </c>
      <c r="BR999" s="129">
        <f>INDEX('Gen. Plant Depreciation'!$D$7:$AC$94,MATCH($C999,'Gen. Plant Depreciation'!$C$7:$C$94,0),MATCH(Calculation!$G999,'Gen. Plant Depreciation'!$D$5:$AC$5,0))</f>
        <v>129855</v>
      </c>
      <c r="BS999" s="129"/>
      <c r="BT999" s="129"/>
      <c r="BU999" s="129"/>
      <c r="BV999" s="129"/>
      <c r="BW999" s="129"/>
      <c r="BX999" s="137"/>
      <c r="BY999" s="129">
        <f>INDEX('Gross Dx Plant'!$D$7:$AC$91,MATCH($C999,'Gross Dx Plant'!$C$7:$C$91,0),MATCH(Calculation!$G999,'Gross Dx Plant'!$D$5:$AC$5,0))</f>
        <v>2806682</v>
      </c>
      <c r="BZ999" s="129">
        <f>INDEX('Gross Gen Plant'!$D$7:$AC$91,MATCH($C999,'Gross Gen Plant'!$C$7:$C$91,0),MATCH(Calculation!$G999,'Gross Gen Plant'!$D$5:$AC$5,0))</f>
        <v>260659</v>
      </c>
      <c r="CA999" s="129">
        <f t="shared" si="1721"/>
        <v>2327077</v>
      </c>
      <c r="CB999" s="129"/>
      <c r="CC999" s="133">
        <v>2019</v>
      </c>
      <c r="CD999" s="129"/>
      <c r="CE999" s="129"/>
      <c r="CF999" s="129"/>
      <c r="CG999" s="137"/>
      <c r="CH999" s="129">
        <f t="shared" si="1774"/>
        <v>7437</v>
      </c>
      <c r="CI999" s="46">
        <f t="shared" si="1783"/>
        <v>7202.5434524560524</v>
      </c>
      <c r="CJ999" s="231">
        <f t="shared" si="1775"/>
        <v>9.3111539021258967</v>
      </c>
      <c r="CK999" s="443">
        <v>0.7407407407407407</v>
      </c>
      <c r="CL999" s="231">
        <f>CL978*CK999+CJ979*CK998+CJ980*CK997+CJ981*CK996+CJ982*CK995+CJ983*CK994+CJ984*CK993+CJ985*CK992+CJ986*CK991+CJ987*CK990+CJ988*CK989+CJ989*CK988+CJ990*CK987+CJ991*CK986+CJ992*CK985+CJ993*CK984+CJ994*CK983+CJ995*CK982+CJ996*CK981+CJ997*CK980+CJ998*CK979+CJ999</f>
        <v>5803.4479375668534</v>
      </c>
      <c r="CM999" s="134">
        <f t="shared" si="1776"/>
        <v>-1.4053679773232059E-2</v>
      </c>
      <c r="CN999" s="135">
        <f t="shared" si="1777"/>
        <v>1.5537415120559627E-2</v>
      </c>
      <c r="CO999" s="135">
        <f t="shared" si="1786"/>
        <v>1.5162550946346201E-2</v>
      </c>
      <c r="CP999" s="134">
        <f>VLOOKUP($H999,RoR!$E:$F,2,FALSE)</f>
        <v>3.3875000000000009E-2</v>
      </c>
      <c r="CQ999" s="135">
        <v>1.8092492884465461E-2</v>
      </c>
      <c r="CR999" s="135">
        <f t="shared" si="1784"/>
        <v>1.5782507115534548E-2</v>
      </c>
      <c r="CS999" s="135">
        <f t="shared" si="1787"/>
        <v>1.5739390662187422E-2</v>
      </c>
      <c r="CT999" s="135">
        <f t="shared" si="1788"/>
        <v>4.8445665544254078E-2</v>
      </c>
      <c r="CU999" s="139">
        <f t="shared" si="1778"/>
        <v>0.90398500000000004</v>
      </c>
      <c r="CV999" s="335">
        <f t="shared" si="1779"/>
        <v>1.513861292459078</v>
      </c>
      <c r="CW999" s="335">
        <f t="shared" si="1780"/>
        <v>0.23699261992619944</v>
      </c>
      <c r="CX999" s="335">
        <f t="shared" si="1781"/>
        <v>0.73619765810468829</v>
      </c>
      <c r="CY999" s="335">
        <f t="shared" si="1782"/>
        <v>0.26412854465362851</v>
      </c>
      <c r="CZ999" s="336">
        <f>INDEX('State Tax Lookup'!$D$7:$Z$91,MATCH(Calculation!$C999,'State Tax Lookup'!$B$7:$B$91,0),MATCH($H999,'State Tax Lookup'!$D$6:$Z$6,0))</f>
        <v>0.25950000000000001</v>
      </c>
      <c r="DA999" s="302">
        <v>0.37</v>
      </c>
      <c r="DB999" s="57">
        <f t="shared" si="1785"/>
        <v>14.803858002466185</v>
      </c>
      <c r="DC999" s="56">
        <f t="shared" si="1789"/>
        <v>3.3408413380642474E-3</v>
      </c>
      <c r="DD999" s="303">
        <f>VLOOKUP($H999,RoR!$E:$F,2,FALSE)</f>
        <v>3.3875000000000009E-2</v>
      </c>
      <c r="DE999" s="304">
        <f>HLOOKUP($H999,'GDP-PI'!$D$8:$CQ$11,3,FALSE)</f>
        <v>1.8092492884465461E-2</v>
      </c>
      <c r="DF999" s="303">
        <f>VLOOKUP(H999,'HW Dx Data'!$E:$F,2,FALSE)</f>
        <v>773.53929793938721</v>
      </c>
      <c r="DG999" s="364">
        <f ca="1">VLOOKUP(CC999,'ECI - Input Price'!M$13:N$33,2,FALSE)</f>
        <v>149.67500000000001</v>
      </c>
      <c r="DH999" s="364"/>
      <c r="DI999" s="364"/>
      <c r="DJ999" s="56">
        <f t="shared" ca="1" si="1797"/>
        <v>3.5532849899171604E-2</v>
      </c>
      <c r="DK999" s="53">
        <f>HLOOKUP(H999,'GDP-PI'!$8:$9,2,FALSE)</f>
        <v>112.318</v>
      </c>
      <c r="DL999" s="355">
        <f t="shared" si="1790"/>
        <v>1.7930771451401852E-2</v>
      </c>
      <c r="EC999"/>
    </row>
    <row r="1000" spans="1:133" s="126" customFormat="1" ht="21" customHeight="1" x14ac:dyDescent="0.4">
      <c r="A1000" s="233" t="s">
        <v>240</v>
      </c>
      <c r="B1000" s="126" t="s">
        <v>240</v>
      </c>
      <c r="C1000" s="126">
        <v>4057140</v>
      </c>
      <c r="D1000" s="126" t="s">
        <v>241</v>
      </c>
      <c r="G1000" s="127" t="s">
        <v>176</v>
      </c>
      <c r="H1000" s="128">
        <v>2020</v>
      </c>
      <c r="I1000" s="129"/>
      <c r="J1000" s="125">
        <f>IFERROR(INDEX('Labor Expenditures'!$E$7:$W$91,MATCH($C1000,'Labor Expenditures'!$C$7:$C$91,0),MATCH($G1000,'Labor Expenditures'!$E$5:$W$5,0)),"NA")</f>
        <v>42555.324452538393</v>
      </c>
      <c r="K1000" s="125">
        <f t="shared" ca="1" si="1791"/>
        <v>277.86695692156962</v>
      </c>
      <c r="L1000" s="47"/>
      <c r="M1000" s="131">
        <f t="shared" ca="1" si="1798"/>
        <v>-0.18355328203122814</v>
      </c>
      <c r="N1000" s="131"/>
      <c r="O1000" s="131"/>
      <c r="P1000" s="59">
        <f t="shared" ca="1" si="1800"/>
        <v>-3.0374937759636111E-3</v>
      </c>
      <c r="Q1000" s="61"/>
      <c r="R1000" s="387"/>
      <c r="S1000" s="49">
        <f t="shared" ca="1" si="1805"/>
        <v>118.17096089993474</v>
      </c>
      <c r="T1000" s="61">
        <f ca="1">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</f>
        <v>1.6461170532575713E-2</v>
      </c>
      <c r="U1000" s="61"/>
      <c r="V1000" s="125">
        <f>IFERROR(INDEX('Non-Labor Expenditures'!$E$7:$AA$91,MATCH($C1000,'Non-Labor Expenditures'!$C$7:$C$91,0),MATCH($G1000,'Non-Labor Expenditures'!$E$5:$AA$5,0)),"NA")</f>
        <v>61628.05804550735</v>
      </c>
      <c r="W1000" s="125">
        <f t="shared" si="1792"/>
        <v>542.39069594630791</v>
      </c>
      <c r="X1000" s="131">
        <f t="shared" si="1801"/>
        <v>-0.17215354229525243</v>
      </c>
      <c r="Y1000" s="131">
        <f t="shared" si="1802"/>
        <v>-2.8488475250633399E-3</v>
      </c>
      <c r="Z1000" s="131"/>
      <c r="AA1000" s="131"/>
      <c r="AB1000" s="131"/>
      <c r="AC1000" s="125">
        <f t="shared" si="1772"/>
        <v>87811.514141435095</v>
      </c>
      <c r="AD1000" s="129"/>
      <c r="AE1000" s="133">
        <v>6311.2785641851724</v>
      </c>
      <c r="AF1000" s="134">
        <v>-8.593835798350883E-3</v>
      </c>
      <c r="AG1000" s="59">
        <f t="shared" si="1793"/>
        <v>-1.4221332607227923E-4</v>
      </c>
      <c r="AH1000" s="134"/>
      <c r="AI1000" s="134"/>
      <c r="AJ1000" s="129">
        <f t="shared" si="1809"/>
        <v>191994.89663948084</v>
      </c>
      <c r="AK1000" s="134">
        <f t="shared" si="1803"/>
        <v>-8.7079582464798869E-2</v>
      </c>
      <c r="AL1000" s="129"/>
      <c r="AM1000" s="129"/>
      <c r="AN1000" s="129"/>
      <c r="AO1000" s="129"/>
      <c r="AP1000" s="133">
        <f t="shared" si="1804"/>
        <v>178.98534671360261</v>
      </c>
      <c r="AQ1000" s="134">
        <f>+BB1000/Outputs!$B$28</f>
        <v>2.827825016792011E-2</v>
      </c>
      <c r="AR1000" s="93">
        <f t="shared" si="1794"/>
        <v>0.22164820626689269</v>
      </c>
      <c r="AS1000" s="93">
        <f t="shared" si="1795"/>
        <v>0.32098800084894796</v>
      </c>
      <c r="AT1000" s="93">
        <f t="shared" si="1796"/>
        <v>0.45736379288415935</v>
      </c>
      <c r="AU1000" s="93">
        <f t="shared" ca="1" si="1799"/>
        <v>-0.10335597589395677</v>
      </c>
      <c r="AV1000" s="132">
        <f t="shared" ca="1" si="1807"/>
        <v>103.75984466810202</v>
      </c>
      <c r="AW1000" s="134">
        <f t="shared" ca="1" si="1808"/>
        <v>-0.1033559758939568</v>
      </c>
      <c r="AX1000" s="56">
        <f>+AJ1000/$AL$25</f>
        <v>1.654829454614077E-2</v>
      </c>
      <c r="AY1000" s="135">
        <f t="shared" ca="1" si="1806"/>
        <v>-1.7103651321970221E-3</v>
      </c>
      <c r="AZ1000" s="93"/>
      <c r="BA1000" s="93"/>
      <c r="BB1000" s="234">
        <v>1072685</v>
      </c>
      <c r="BC1000" s="269">
        <f t="shared" si="1768"/>
        <v>0</v>
      </c>
      <c r="BD1000" s="92"/>
      <c r="BE1000" s="299" t="str">
        <f t="shared" si="1764"/>
        <v>QUESTAR GAS COMPANY</v>
      </c>
      <c r="BF1000" s="300">
        <f t="shared" si="1765"/>
        <v>4057140</v>
      </c>
      <c r="BG1000" s="231" t="str">
        <f t="shared" si="1766"/>
        <v>UT</v>
      </c>
      <c r="BH1000" s="231"/>
      <c r="BI1000" s="231" t="str">
        <f t="shared" si="1767"/>
        <v>2020 Y</v>
      </c>
      <c r="BJ1000" s="129"/>
      <c r="BK1000" s="129"/>
      <c r="BL1000" s="129">
        <f>INDEX('Dist. Plant Gas Additions'!$E$7:$AD$91,MATCH($C1000,'Dist. Plant Gas Additions'!$C$7:$C$91,0),MATCH(Calculation!$G1000,'Dist. Plant Gas Additions'!$E$5:$AD$5,0))</f>
        <v>1732</v>
      </c>
      <c r="BM1000" s="129">
        <f>INDEX('Gen. Plant Additions'!$E$7:$AD$91,MATCH($C1000,'Gen. Plant Additions'!$C$7:$C$91,0),MATCH(Calculation!$G1000,'Gen. Plant Additions'!$E$5:$AD$5,0))</f>
        <v>943</v>
      </c>
      <c r="BN1000" s="301">
        <f t="shared" si="1773"/>
        <v>0.91576871530857129</v>
      </c>
      <c r="BO1000" s="231">
        <f t="shared" si="1722"/>
        <v>863.5698985359827</v>
      </c>
      <c r="BP1000" s="231">
        <f t="shared" si="1723"/>
        <v>-79.430101464017298</v>
      </c>
      <c r="BQ1000" s="129">
        <f>INDEX('Dist Plant Depreciation'!$D$7:$AC$94,MATCH($C1000,'Dist Plant Depreciation'!$C$7:$C$94,0),MATCH(Calculation!$G1000,'Dist Plant Depreciation'!$D$5:$AC$5,0))</f>
        <v>646656</v>
      </c>
      <c r="BR1000" s="129">
        <f>INDEX('Gen. Plant Depreciation'!$D$7:$AC$94,MATCH($C1000,'Gen. Plant Depreciation'!$C$7:$C$94,0),MATCH(Calculation!$G1000,'Gen. Plant Depreciation'!$D$5:$AC$5,0))</f>
        <v>133468</v>
      </c>
      <c r="BS1000" s="129"/>
      <c r="BT1000" s="129"/>
      <c r="BU1000" s="129"/>
      <c r="BV1000" s="129"/>
      <c r="BW1000" s="129"/>
      <c r="BX1000" s="137"/>
      <c r="BY1000" s="129">
        <f>INDEX('Gross Dx Plant'!$D$7:$AC$91,MATCH($C1000,'Gross Dx Plant'!$C$7:$C$91,0),MATCH(Calculation!$G1000,'Gross Dx Plant'!$D$5:$AC$5,0))</f>
        <v>2908845</v>
      </c>
      <c r="BZ1000" s="129">
        <f>INDEX('Gross Gen Plant'!$D$7:$AC$91,MATCH($C1000,'Gross Gen Plant'!$C$7:$C$91,0),MATCH(Calculation!$G1000,'Gross Gen Plant'!$D$5:$AC$5,0))</f>
        <v>267552</v>
      </c>
      <c r="CA1000" s="129">
        <f t="shared" si="1721"/>
        <v>2396273</v>
      </c>
      <c r="CB1000" s="129"/>
      <c r="CC1000" s="133">
        <v>2020</v>
      </c>
      <c r="CD1000" s="129"/>
      <c r="CE1000" s="129"/>
      <c r="CF1000" s="129"/>
      <c r="CG1000" s="137"/>
      <c r="CH1000" s="129">
        <f t="shared" si="1774"/>
        <v>2675</v>
      </c>
      <c r="CI1000" s="46">
        <f t="shared" si="1783"/>
        <v>2595.5698985359827</v>
      </c>
      <c r="CJ1000" s="231">
        <f t="shared" si="1775"/>
        <v>3.1922681408026587</v>
      </c>
      <c r="CK1000" s="443">
        <v>0.72499999999999998</v>
      </c>
      <c r="CL1000" s="231">
        <f>CL978*CK1000+CJ979*CK999+CJ980*CK998+CJ981*CK997+CJ982*CK996+CJ983*CK995+CJ984*CK994+CJ985*CK993+CJ986*CK992+CJ987*CK991+CJ988*CK990+CJ989*CK989+CJ990*CK988+CJ991*CK987+CJ992*CK986+CJ993*CK985+CJ994*CK984+CJ995*CK983+CJ996*CK982+CJ997*CK981+CJ998*CK980+CJ999*CK979+CJ1000</f>
        <v>5712.9650238811437</v>
      </c>
      <c r="CM1000" s="134">
        <f t="shared" si="1776"/>
        <v>-1.5714055392889444E-2</v>
      </c>
      <c r="CN1000" s="135">
        <f t="shared" si="1777"/>
        <v>1.6141297868829771E-2</v>
      </c>
      <c r="CO1000" s="135">
        <f t="shared" si="1786"/>
        <v>1.5602527206738432E-2</v>
      </c>
      <c r="CP1000" s="134">
        <f>VLOOKUP($H1000,RoR!$E:$F,2,FALSE)</f>
        <v>2.4766666666666666E-2</v>
      </c>
      <c r="CQ1000" s="135">
        <v>1.1618796630994188E-2</v>
      </c>
      <c r="CR1000" s="135">
        <f t="shared" si="1784"/>
        <v>1.3147870035672478E-2</v>
      </c>
      <c r="CS1000" s="135">
        <f t="shared" si="1787"/>
        <v>1.5299414401795193E-2</v>
      </c>
      <c r="CT1000" s="135">
        <f t="shared" si="1788"/>
        <v>4.5144642961987357E-2</v>
      </c>
      <c r="CU1000" s="139">
        <f t="shared" si="1778"/>
        <v>0.90398500000000004</v>
      </c>
      <c r="CV1000" s="335">
        <f t="shared" si="1779"/>
        <v>2.0706077233668081</v>
      </c>
      <c r="CW1000" s="335">
        <f t="shared" si="1780"/>
        <v>-3.4421265141318998E-2</v>
      </c>
      <c r="CX1000" s="335">
        <f t="shared" si="1781"/>
        <v>0.62416226176410472</v>
      </c>
      <c r="CY1000" s="335">
        <f t="shared" si="1782"/>
        <v>-4.4485877841158712E-2</v>
      </c>
      <c r="CZ1000" s="336">
        <f>INDEX('State Tax Lookup'!$D$7:$Z$91,MATCH(Calculation!$C1000,'State Tax Lookup'!$B$7:$B$91,0),MATCH($H1000,'State Tax Lookup'!$D$6:$Z$6,0))</f>
        <v>0.25950000000000001</v>
      </c>
      <c r="DA1000" s="302">
        <v>0.37</v>
      </c>
      <c r="DB1000" s="57">
        <f t="shared" si="1785"/>
        <v>15.130921322308071</v>
      </c>
      <c r="DC1000" s="56">
        <f t="shared" si="1789"/>
        <v>2.185259704542639E-2</v>
      </c>
      <c r="DD1000" s="303">
        <f>VLOOKUP($H1000,RoR!$E:$F,2,FALSE)</f>
        <v>2.4766666666666666E-2</v>
      </c>
      <c r="DE1000" s="304">
        <f>HLOOKUP($H1000,'GDP-PI'!$D$8:$CQ$11,3,FALSE)</f>
        <v>1.1618796630994188E-2</v>
      </c>
      <c r="DF1000" s="303">
        <f>VLOOKUP(H1000,'HW Dx Data'!$E:$F,2,FALSE)</f>
        <v>813.080162458833</v>
      </c>
      <c r="DG1000" s="364">
        <f ca="1">VLOOKUP(CC1000,'ECI - Input Price'!M$13:N$33,2,FALSE)</f>
        <v>153.15</v>
      </c>
      <c r="DH1000" s="364"/>
      <c r="DI1000" s="364"/>
      <c r="DJ1000" s="56">
        <f t="shared" ca="1" si="1797"/>
        <v>2.2951556467368479E-2</v>
      </c>
      <c r="DK1000" s="53">
        <f>HLOOKUP(H1000,'GDP-PI'!$8:$9,2,FALSE)</f>
        <v>113.623</v>
      </c>
      <c r="DL1000" s="355">
        <f t="shared" si="1790"/>
        <v>1.1551816731392881E-2</v>
      </c>
      <c r="EC1000"/>
    </row>
    <row r="1001" spans="1:133" s="126" customFormat="1" ht="21" customHeight="1" x14ac:dyDescent="0.4">
      <c r="A1001" s="233" t="s">
        <v>240</v>
      </c>
      <c r="B1001" s="126" t="s">
        <v>240</v>
      </c>
      <c r="C1001" s="126">
        <v>4057140</v>
      </c>
      <c r="D1001" s="126" t="s">
        <v>241</v>
      </c>
      <c r="G1001" s="127" t="s">
        <v>177</v>
      </c>
      <c r="H1001" s="128">
        <v>2021</v>
      </c>
      <c r="I1001" s="129"/>
      <c r="J1001" s="125">
        <v>46318.310113393214</v>
      </c>
      <c r="K1001" s="125">
        <f t="shared" ca="1" si="1791"/>
        <v>294.55205159550536</v>
      </c>
      <c r="L1001" s="47"/>
      <c r="M1001" s="130">
        <f t="shared" ca="1" si="1798"/>
        <v>5.8313306215503437E-2</v>
      </c>
      <c r="N1001" s="130"/>
      <c r="O1001" s="130"/>
      <c r="P1001" s="59">
        <f t="shared" ca="1" si="1800"/>
        <v>7.6260687533903518E-4</v>
      </c>
      <c r="Q1001" s="61"/>
      <c r="R1001" s="387"/>
      <c r="S1001" s="132">
        <f ca="1">+S1000*EXP(T1001)</f>
        <v>120.53808924451305</v>
      </c>
      <c r="T1001" s="134">
        <f ca="1">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</f>
        <v>1.983339917643398E-2</v>
      </c>
      <c r="U1001" s="134"/>
      <c r="V1001" s="125">
        <v>65292.075702012131</v>
      </c>
      <c r="W1001" s="125">
        <f t="shared" si="1792"/>
        <v>551.03448140781609</v>
      </c>
      <c r="X1001" s="131">
        <f t="shared" si="1801"/>
        <v>1.5810803894651358E-2</v>
      </c>
      <c r="Y1001" s="131">
        <f t="shared" si="1802"/>
        <v>2.0676975011738708E-4</v>
      </c>
      <c r="Z1001" s="131"/>
      <c r="AA1001" s="131"/>
      <c r="AB1001" s="131"/>
      <c r="AC1001" s="125">
        <f t="shared" si="1772"/>
        <v>56375.610617495877</v>
      </c>
      <c r="AD1001" s="129"/>
      <c r="AE1001" s="133">
        <v>6447.4112826908204</v>
      </c>
      <c r="AF1001" s="134"/>
      <c r="AG1001" s="59">
        <f t="shared" si="1793"/>
        <v>0</v>
      </c>
      <c r="AH1001" s="134"/>
      <c r="AI1001" s="134"/>
      <c r="AJ1001" s="129">
        <f t="shared" si="1809"/>
        <v>167985.99643290121</v>
      </c>
      <c r="AK1001" s="134">
        <f t="shared" si="1803"/>
        <v>-0.13358817030881318</v>
      </c>
      <c r="AL1001" s="129"/>
      <c r="AM1001" s="134"/>
      <c r="AN1001" s="134"/>
      <c r="AO1001" s="134"/>
      <c r="AP1001" s="133">
        <f t="shared" si="1804"/>
        <v>148.93431842054508</v>
      </c>
      <c r="AQ1001" s="134">
        <f>+BB1001/Outputs!$B$29</f>
        <v>2.9215975453465361E-2</v>
      </c>
      <c r="AR1001" s="93">
        <f t="shared" si="1794"/>
        <v>0.27572720998737638</v>
      </c>
      <c r="AS1001" s="93">
        <f t="shared" si="1795"/>
        <v>0.38867570564485593</v>
      </c>
      <c r="AT1001" s="93">
        <f t="shared" si="1796"/>
        <v>0.33559708436776775</v>
      </c>
      <c r="AU1001" s="93">
        <f t="shared" ca="1" si="1799"/>
        <v>2.0111979323311813E-2</v>
      </c>
      <c r="AV1001" s="132">
        <f t="shared" ca="1" si="1807"/>
        <v>105.86778691077167</v>
      </c>
      <c r="AW1001" s="134">
        <f t="shared" ca="1" si="1808"/>
        <v>2.0111979323311883E-2</v>
      </c>
      <c r="AX1001" s="56">
        <f>+AJ1001/$AL$26</f>
        <v>1.3077750599849973E-2</v>
      </c>
      <c r="AY1001" s="135">
        <f t="shared" ca="1" si="1806"/>
        <v>2.6301944965961219E-4</v>
      </c>
      <c r="AZ1001" s="93"/>
      <c r="BA1001" s="93"/>
      <c r="BB1001" s="234">
        <v>1127920</v>
      </c>
      <c r="BC1001" s="269">
        <f t="shared" si="1768"/>
        <v>5.0210377457848669E-2</v>
      </c>
      <c r="BD1001" s="91"/>
      <c r="BE1001" s="299" t="str">
        <f t="shared" si="1764"/>
        <v>QUESTAR GAS COMPANY</v>
      </c>
      <c r="BF1001" s="300">
        <f t="shared" si="1765"/>
        <v>4057140</v>
      </c>
      <c r="BG1001" s="231" t="str">
        <f t="shared" si="1766"/>
        <v>UT</v>
      </c>
      <c r="BH1001" s="231"/>
      <c r="BI1001" s="231" t="str">
        <f t="shared" si="1767"/>
        <v>2021 Y</v>
      </c>
      <c r="BJ1001" s="129"/>
      <c r="BK1001" s="129"/>
      <c r="BL1001" s="129">
        <f>INDEX('Dist. Plant Gas Additions'!$D$7:$AD$91,MATCH($C1001,'Dist. Plant Gas Additions'!$C$7:$C$91,0),MATCH(Calculation!$G1001,'Dist. Plant Gas Additions'!$D$5:$AD$5,0))</f>
        <v>263420</v>
      </c>
      <c r="BM1001" s="129">
        <f>INDEX('Gen. Plant Additions'!$D$7:$AD$91,MATCH($C1001,'Gen. Plant Additions'!$C$7:$C$91,0),MATCH(Calculation!$G1001,'Gen. Plant Additions'!$D$5:$AD$5,0))</f>
        <v>21271</v>
      </c>
      <c r="BN1001" s="301">
        <v>0.91576871530857129</v>
      </c>
      <c r="BO1001" s="231">
        <f t="shared" si="1722"/>
        <v>19479.316343328621</v>
      </c>
      <c r="BP1001" s="231">
        <f t="shared" si="1723"/>
        <v>-1791.6836566713791</v>
      </c>
      <c r="BQ1001" s="129"/>
      <c r="BR1001" s="129"/>
      <c r="BS1001" s="137"/>
      <c r="BT1001" s="137"/>
      <c r="BU1001" s="333"/>
      <c r="BV1001" s="93"/>
      <c r="BW1001" s="334"/>
      <c r="BX1001" s="334"/>
      <c r="BY1001" s="129"/>
      <c r="BZ1001" s="129"/>
      <c r="CA1001" s="129"/>
      <c r="CB1001" s="129"/>
      <c r="CC1001" s="133">
        <v>2021</v>
      </c>
      <c r="CD1001" s="129"/>
      <c r="CE1001" s="129"/>
      <c r="CF1001" s="129"/>
      <c r="CG1001" s="137"/>
      <c r="CH1001" s="129">
        <f t="shared" si="1774"/>
        <v>284691</v>
      </c>
      <c r="CI1001" s="46">
        <f t="shared" si="1783"/>
        <v>282899.31634332862</v>
      </c>
      <c r="CJ1001" s="231">
        <f t="shared" si="1775"/>
        <v>303.20738951188582</v>
      </c>
      <c r="CK1001" s="443">
        <v>0.70886075949367089</v>
      </c>
      <c r="CL1001" s="129">
        <f>CL978*CK1001+CJ979*CK1000+CJ980*CK999+CJ981*CK998+CJ982*CK997+CJ983*CK996+CJ984*CK995+CJ985*CK994+CJ986*CK993+CJ987*CK992+CJ988*CK991+CJ989*CK990+CJ990*CK989+CJ991*CK988+CJ992*CK987+CJ983*CK986+CJ994*CK985+CJ995*CK984+CJ996*CK983+CJ997*CK982+CJ998*CK981+CJ999*CK980+CJ1001+CJ1000*CK979</f>
        <v>5817.377684672444</v>
      </c>
      <c r="CM1001" s="134"/>
      <c r="CN1001" s="135">
        <f t="shared" si="1777"/>
        <v>3.4797119865007123E-2</v>
      </c>
      <c r="CO1001" s="135">
        <f t="shared" si="1786"/>
        <v>2.2158610951465509E-2</v>
      </c>
      <c r="CP1001" s="134">
        <f>VLOOKUP($H1001,RoR!$E:$F,2,FALSE)</f>
        <v>2.7033333333333336E-2</v>
      </c>
      <c r="CQ1001" s="135"/>
      <c r="CR1001" s="135"/>
      <c r="CS1001" s="135">
        <f t="shared" si="1787"/>
        <v>8.7433306570681157E-3</v>
      </c>
      <c r="CT1001" s="135">
        <f t="shared" si="1788"/>
        <v>7.433422950153494E-2</v>
      </c>
      <c r="CU1001" s="139">
        <f t="shared" si="1778"/>
        <v>0.90398500000000004</v>
      </c>
      <c r="CV1001" s="335">
        <f t="shared" si="1779"/>
        <v>1.8969932656739068</v>
      </c>
      <c r="CW1001" s="335">
        <f t="shared" si="1780"/>
        <v>5.0215782983970621E-2</v>
      </c>
      <c r="CX1001" s="335">
        <f t="shared" si="1781"/>
        <v>0.655952481704143</v>
      </c>
      <c r="CY1001" s="335">
        <f t="shared" si="1782"/>
        <v>6.2485378865697057E-2</v>
      </c>
      <c r="CZ1001" s="336">
        <f>CZ1000</f>
        <v>0.25950000000000001</v>
      </c>
      <c r="DA1001" s="302">
        <v>0.37</v>
      </c>
      <c r="DB1001" s="141">
        <f t="shared" si="1785"/>
        <v>9.8680125612245924</v>
      </c>
      <c r="DC1001" s="135">
        <f>LN(DB1002/DB1000)</f>
        <v>0.14636214237181025</v>
      </c>
      <c r="DD1001" s="336">
        <f>VLOOKUP($H1001,RoR!$E:$F,2,FALSE)</f>
        <v>2.7033333333333336E-2</v>
      </c>
      <c r="DE1001" s="342">
        <f>HLOOKUP($H1001,'GDP-PI'!$D$8:$CR$11,3,FALSE)</f>
        <v>4.2834637353352578E-2</v>
      </c>
      <c r="DF1001" s="336">
        <f>VLOOKUP(H1001,'HW Dx Data'!$E:$F,2,FALSE)</f>
        <v>933.02249921662576</v>
      </c>
      <c r="DG1001" s="364">
        <f ca="1">VLOOKUP(CC1001,'ECI - Input Price'!M$13:N$33,2,FALSE)</f>
        <v>157.25</v>
      </c>
      <c r="DH1001" s="364"/>
      <c r="DI1001" s="364"/>
      <c r="DJ1001" s="135">
        <f t="shared" ca="1" si="1797"/>
        <v>2.6419062301765574E-2</v>
      </c>
      <c r="DK1001" s="137">
        <f>HLOOKUP(H1001,'GDP-PI'!$8:$9,2,FALSE)</f>
        <v>118.49</v>
      </c>
      <c r="DL1001" s="356">
        <f t="shared" si="1790"/>
        <v>4.194261824609434E-2</v>
      </c>
      <c r="EC1001"/>
    </row>
    <row r="1002" spans="1:133" s="126" customFormat="1" ht="21" customHeight="1" thickBot="1" x14ac:dyDescent="0.45">
      <c r="A1002" s="235"/>
      <c r="B1002" s="236"/>
      <c r="C1002" s="236"/>
      <c r="D1002" s="236"/>
      <c r="E1002" s="236"/>
      <c r="F1002" s="236"/>
      <c r="G1002" s="237" t="s">
        <v>178</v>
      </c>
      <c r="H1002" s="238"/>
      <c r="I1002" s="239"/>
      <c r="J1002" s="240">
        <v>48194.482397909647</v>
      </c>
      <c r="K1002" s="240">
        <f t="shared" ca="1" si="1791"/>
        <v>296.49020238640202</v>
      </c>
      <c r="L1002" s="47"/>
      <c r="M1002" s="241">
        <f t="shared" ref="M1002" ca="1" si="1810">LN(K1002/K1001)</f>
        <v>6.5584405344866316E-3</v>
      </c>
      <c r="N1002" s="241"/>
      <c r="O1002" s="241"/>
      <c r="P1002" s="242">
        <f t="shared" ca="1" si="1800"/>
        <v>1.0806011168121182E-4</v>
      </c>
      <c r="Q1002" s="61"/>
      <c r="R1002" s="387"/>
      <c r="S1002" s="206">
        <f ca="1">+S1001*EXP(T1002)</f>
        <v>119.33924607400955</v>
      </c>
      <c r="T1002" s="243">
        <f ca="1">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</f>
        <v>-9.9955516878545547E-3</v>
      </c>
      <c r="U1002" s="243"/>
      <c r="V1002" s="239">
        <v>67936.800488619629</v>
      </c>
      <c r="W1002" s="240">
        <f t="shared" si="1792"/>
        <v>533.88448321115618</v>
      </c>
      <c r="X1002" s="244">
        <f t="shared" ref="X1002" si="1811">LN(W1002/W1001)</f>
        <v>-3.1617894898132465E-2</v>
      </c>
      <c r="Y1002" s="244">
        <f t="shared" si="1802"/>
        <v>-5.2095208241214187E-4</v>
      </c>
      <c r="Z1002" s="206"/>
      <c r="AA1002" s="243"/>
      <c r="AB1002" s="243"/>
      <c r="AC1002" s="240">
        <f t="shared" si="1772"/>
        <v>101895.94572353546</v>
      </c>
      <c r="AD1002" s="243"/>
      <c r="AE1002" s="245">
        <v>6768.3987609055848</v>
      </c>
      <c r="AF1002" s="243">
        <v>4.8585840418011818E-2</v>
      </c>
      <c r="AG1002" s="242">
        <f t="shared" si="1793"/>
        <v>8.0052434936148369E-4</v>
      </c>
      <c r="AH1002" s="206"/>
      <c r="AI1002" s="243"/>
      <c r="AJ1002" s="239">
        <f t="shared" si="1809"/>
        <v>218027.22861006475</v>
      </c>
      <c r="AK1002" s="243">
        <f t="shared" si="1803"/>
        <v>0.2607393355075196</v>
      </c>
      <c r="AL1002" s="239"/>
      <c r="AM1002" s="243"/>
      <c r="AN1002" s="243"/>
      <c r="AO1002" s="243"/>
      <c r="AP1002" s="245">
        <f t="shared" si="1804"/>
        <v>188.55593583850623</v>
      </c>
      <c r="AQ1002" s="243"/>
      <c r="AR1002" s="207">
        <f t="shared" si="1794"/>
        <v>0.22104799801911004</v>
      </c>
      <c r="AS1002" s="207">
        <f t="shared" si="1795"/>
        <v>0.31159778034019131</v>
      </c>
      <c r="AT1002" s="207">
        <f t="shared" si="1796"/>
        <v>0.46735422164069862</v>
      </c>
      <c r="AU1002" s="207"/>
      <c r="AV1002" s="206"/>
      <c r="AW1002" s="243"/>
      <c r="AX1002" s="248">
        <f>+AJ1002/$AL$27</f>
        <v>1.6476494848583746E-2</v>
      </c>
      <c r="AY1002" s="249"/>
      <c r="AZ1002" s="206"/>
      <c r="BA1002" s="243"/>
      <c r="BB1002" s="250">
        <v>1156300</v>
      </c>
      <c r="BC1002" s="270">
        <f t="shared" si="1768"/>
        <v>2.4850023577810382E-2</v>
      </c>
      <c r="BD1002" s="91"/>
      <c r="BE1002" s="306">
        <f t="shared" si="1764"/>
        <v>0</v>
      </c>
      <c r="BF1002" s="307">
        <f t="shared" si="1765"/>
        <v>0</v>
      </c>
      <c r="BG1002" s="308">
        <f t="shared" si="1766"/>
        <v>0</v>
      </c>
      <c r="BH1002" s="308"/>
      <c r="BI1002" s="308" t="str">
        <f t="shared" si="1767"/>
        <v>2022Y</v>
      </c>
      <c r="BJ1002" s="239"/>
      <c r="BK1002" s="239"/>
      <c r="BL1002" s="239"/>
      <c r="BM1002" s="239"/>
      <c r="BN1002" s="309">
        <v>0.91576871530857129</v>
      </c>
      <c r="BO1002" s="308">
        <f t="shared" si="1722"/>
        <v>0</v>
      </c>
      <c r="BP1002" s="308">
        <f t="shared" si="1723"/>
        <v>0</v>
      </c>
      <c r="BQ1002" s="239"/>
      <c r="BR1002" s="239"/>
      <c r="BS1002" s="310"/>
      <c r="BT1002" s="310"/>
      <c r="BU1002" s="311"/>
      <c r="BV1002" s="207"/>
      <c r="BW1002" s="312"/>
      <c r="BX1002" s="312"/>
      <c r="BY1002" s="239"/>
      <c r="BZ1002" s="239"/>
      <c r="CA1002" s="239"/>
      <c r="CB1002" s="239"/>
      <c r="CC1002" s="245">
        <v>2022</v>
      </c>
      <c r="CD1002" s="239"/>
      <c r="CE1002" s="239"/>
      <c r="CF1002" s="239"/>
      <c r="CG1002" s="310"/>
      <c r="CH1002" s="239">
        <v>468556</v>
      </c>
      <c r="CI1002" s="313">
        <f t="shared" si="1783"/>
        <v>468556</v>
      </c>
      <c r="CJ1002" s="308">
        <f t="shared" si="1775"/>
        <v>454.55127521075661</v>
      </c>
      <c r="CK1002" s="443">
        <v>0.69230769230769229</v>
      </c>
      <c r="CL1002" s="239">
        <f>+CL978*CK1002+CJ979*CK1001+CJ980*CK1000+CJ981*CK999+CJ982*CK998+CJ983*CK997+CJ984*CK996+CJ985*CK995+CJ986*CK994+CJ987*CK993+CJ988*CK992+CJ989*CK991+CJ990*CK990+CJ991*CK989+CJ992*CK988+CJ993*CK987+CJ994*CK986+CJ995*CK985+CJ996*CK984+CJ997*CK983+CJ998*CK982+CJ999*CK981+CJ1000*CK980+CJ1001*CK979+CJ1002*CK978</f>
        <v>6273.5846994956728</v>
      </c>
      <c r="CM1002" s="243">
        <f t="shared" ref="CM1002" si="1812">LN(CL1002/CL1001)</f>
        <v>7.5498323119008795E-2</v>
      </c>
      <c r="CN1002" s="249">
        <f t="shared" si="1777"/>
        <v>-2.8461958329345792E-4</v>
      </c>
      <c r="CO1002" s="249">
        <f t="shared" si="1786"/>
        <v>1.6884599383514481E-2</v>
      </c>
      <c r="CP1002" s="243"/>
      <c r="CQ1002" s="249"/>
      <c r="CR1002" s="249"/>
      <c r="CS1002" s="248">
        <f t="shared" si="1787"/>
        <v>1.4017342225019144E-2</v>
      </c>
      <c r="CT1002" s="249">
        <f t="shared" si="1788"/>
        <v>0.10114668178709289</v>
      </c>
      <c r="CU1002" s="314">
        <f t="shared" si="1778"/>
        <v>0.90398500000000004</v>
      </c>
      <c r="CV1002" s="315">
        <f t="shared" si="1779"/>
        <v>1.2820512820512819</v>
      </c>
      <c r="CW1002" s="315">
        <f t="shared" si="1780"/>
        <v>0.35000000000000003</v>
      </c>
      <c r="CX1002" s="315">
        <f t="shared" si="1781"/>
        <v>0.79171095533705893</v>
      </c>
      <c r="CY1002" s="315">
        <f t="shared" si="1782"/>
        <v>0.35525491585637264</v>
      </c>
      <c r="CZ1002" s="316">
        <f>CZ1001</f>
        <v>0.25950000000000001</v>
      </c>
      <c r="DA1002" s="317">
        <v>0.37</v>
      </c>
      <c r="DB1002" s="318">
        <f t="shared" si="1785"/>
        <v>17.515786535918007</v>
      </c>
      <c r="DC1002" s="249">
        <f>LN(DB1002/DB1001)</f>
        <v>0.57380409046820158</v>
      </c>
      <c r="DD1002" s="316">
        <v>0.04</v>
      </c>
      <c r="DE1002" s="319">
        <v>7.0000000000000001E-3</v>
      </c>
      <c r="DF1002" s="316">
        <v>1030.81</v>
      </c>
      <c r="DG1002" s="364">
        <f ca="1">VLOOKUP(CC1002,'ECI - Input Price'!M$13:N$33,2,FALSE)</f>
        <v>162.55000000000001</v>
      </c>
      <c r="DH1002" s="364"/>
      <c r="DI1002" s="364"/>
      <c r="DJ1002" s="249">
        <f t="shared" ca="1" si="1797"/>
        <v>3.3148751169364422E-2</v>
      </c>
      <c r="DK1002" s="310">
        <v>127.25</v>
      </c>
      <c r="DL1002" s="357">
        <f t="shared" si="1790"/>
        <v>7.1325086601983473E-2</v>
      </c>
      <c r="EC1002"/>
    </row>
    <row r="1003" spans="1:133" s="126" customFormat="1" ht="21" customHeight="1" x14ac:dyDescent="0.4">
      <c r="A1003" s="251" t="s">
        <v>242</v>
      </c>
      <c r="B1003" s="265" t="s">
        <v>243</v>
      </c>
      <c r="C1003" s="265">
        <v>4057096</v>
      </c>
      <c r="D1003" s="252" t="s">
        <v>194</v>
      </c>
      <c r="E1003" s="252" t="s">
        <v>15</v>
      </c>
      <c r="F1003" s="266"/>
      <c r="G1003" s="265" t="s">
        <v>150</v>
      </c>
      <c r="H1003" s="253">
        <v>1998</v>
      </c>
      <c r="I1003" s="254"/>
      <c r="J1003" s="255"/>
      <c r="K1003" s="255"/>
      <c r="L1003" s="47"/>
      <c r="M1003" s="255"/>
      <c r="N1003" s="255"/>
      <c r="O1003" s="255"/>
      <c r="P1003" s="219"/>
      <c r="Q1003" s="218"/>
      <c r="R1003" s="385"/>
      <c r="S1003" s="257"/>
      <c r="T1003" s="258"/>
      <c r="U1003" s="258"/>
      <c r="V1003" s="259"/>
      <c r="W1003" s="259"/>
      <c r="X1003" s="259"/>
      <c r="Y1003" s="255"/>
      <c r="Z1003" s="259"/>
      <c r="AA1003" s="259"/>
      <c r="AB1003" s="259"/>
      <c r="AC1003" s="255"/>
      <c r="AD1003" s="254"/>
      <c r="AE1003" s="260">
        <v>1382.6282772447589</v>
      </c>
      <c r="AF1003" s="256"/>
      <c r="AG1003" s="225"/>
      <c r="AH1003" s="256"/>
      <c r="AI1003" s="256"/>
      <c r="AJ1003" s="254">
        <f t="shared" si="1809"/>
        <v>0</v>
      </c>
      <c r="AK1003" s="254"/>
      <c r="AL1003" s="254"/>
      <c r="AM1003" s="256"/>
      <c r="AN1003" s="256"/>
      <c r="AO1003" s="256"/>
      <c r="AP1003" s="226">
        <f>+(AP1000+AP1001+AP1002)/3</f>
        <v>172.15853365755129</v>
      </c>
      <c r="AQ1003" s="256"/>
      <c r="AR1003" s="261"/>
      <c r="AS1003" s="261"/>
      <c r="AT1003" s="261"/>
      <c r="AU1003" s="261"/>
      <c r="AV1003" s="261"/>
      <c r="AW1003" s="256">
        <f ca="1">AVERAGE(AW1012:AW1026)</f>
        <v>1.2003147159670506E-2</v>
      </c>
      <c r="AX1003" s="223"/>
      <c r="AY1003" s="261"/>
      <c r="AZ1003" s="261"/>
      <c r="BA1003" s="261"/>
      <c r="BB1003" s="262">
        <f>IFERROR(INDEX('Total Customers'!$E$7:$AA$91,MATCH($C1003,'Total Customers'!$C$7:$C$91,0),MATCH($G1003,'Total Customers'!$E$5:$AA$5,0)),"NA")</f>
        <v>288204</v>
      </c>
      <c r="BC1003" s="268"/>
      <c r="BD1003" s="92"/>
      <c r="BE1003" s="320" t="str">
        <f t="shared" si="1764"/>
        <v>ROCHESTER GAS AND ELECTRIC CORPORATION</v>
      </c>
      <c r="BF1003" s="321">
        <f t="shared" si="1765"/>
        <v>4057096</v>
      </c>
      <c r="BG1003" s="322" t="str">
        <f t="shared" si="1766"/>
        <v>NY</v>
      </c>
      <c r="BH1003" s="322"/>
      <c r="BI1003" s="322" t="str">
        <f t="shared" si="1767"/>
        <v>1998 Y</v>
      </c>
      <c r="BJ1003" s="254">
        <f>INDEX('Gross Dx Plant'!$D$7:$AC$91,MATCH($C1003,'Gross Dx Plant'!$C$7:$C$91,0),MATCH(Calculation!$G1003,'Gross Dx Plant'!$D$5:$AC$5,0))</f>
        <v>431742</v>
      </c>
      <c r="BK1003" s="254">
        <f>INDEX('Gross Gen Plant'!$D$7:$AC$91,MATCH($C1003,'Gross Gen Plant'!$C$7:$C$91,0),MATCH(Calculation!$G1003,'Gross Gen Plant'!$D$5:$AC$5,0))</f>
        <v>3497</v>
      </c>
      <c r="BL1003" s="254">
        <f>INDEX('Dist. Plant Gas Additions'!$E$7:$AD$91,MATCH($C1003,'Dist. Plant Gas Additions'!$C$7:$C$91,0),MATCH(Calculation!$G1003,'Dist. Plant Gas Additions'!$E$5:$AD$5,0))</f>
        <v>20438</v>
      </c>
      <c r="BM1003" s="254">
        <f>INDEX('Gen. Plant Additions'!$E$7:$AD$91,MATCH($C1003,'Gen. Plant Additions'!$C$7:$C$91,0),MATCH(Calculation!$G1003,'Gen. Plant Additions'!$E$5:$AD$5,0))</f>
        <v>243</v>
      </c>
      <c r="BN1003" s="338">
        <f>+(BY1003/(BY1003+BZ1003))</f>
        <v>0.99196533398891185</v>
      </c>
      <c r="BO1003" s="322">
        <f t="shared" si="1722"/>
        <v>241.04757615930558</v>
      </c>
      <c r="BP1003" s="322">
        <f t="shared" si="1723"/>
        <v>-1.9524238406944221</v>
      </c>
      <c r="BQ1003" s="254">
        <f>INDEX('Dist Plant Depreciation'!$D$7:$AC$94,MATCH($C1003,'Dist Plant Depreciation'!$C$7:$C$94,0),MATCH(Calculation!$G1003,'Dist Plant Depreciation'!$D$5:$AC$5,0))</f>
        <v>154687</v>
      </c>
      <c r="BR1003" s="254">
        <f>INDEX('Gen. Plant Depreciation'!$D$7:$AC$94,MATCH($C1003,'Gen. Plant Depreciation'!$C$7:$C$94,0),MATCH(Calculation!$G1003,'Gen. Plant Depreciation'!$D$5:$AC$5,0))</f>
        <v>1649</v>
      </c>
      <c r="BS1003" s="254"/>
      <c r="BT1003" s="254"/>
      <c r="BU1003" s="254"/>
      <c r="BV1003" s="254"/>
      <c r="BW1003" s="254"/>
      <c r="BX1003" s="323"/>
      <c r="BY1003" s="254">
        <f>INDEX('Gross Dx Plant'!$D$7:$AC$91,MATCH($C1003,'Gross Dx Plant'!$C$7:$C$91,0),MATCH(Calculation!$G1003,'Gross Dx Plant'!$D$5:$AC$5,0))</f>
        <v>431742</v>
      </c>
      <c r="BZ1003" s="254">
        <f>INDEX('Gross Gen Plant'!$D$7:$AC$91,MATCH($C1003,'Gross Gen Plant'!$C$7:$C$91,0),MATCH(Calculation!$G1003,'Gross Gen Plant'!$D$5:$AC$5,0))</f>
        <v>3497</v>
      </c>
      <c r="CA1003" s="254">
        <f t="shared" si="1721"/>
        <v>278903</v>
      </c>
      <c r="CB1003" s="254"/>
      <c r="CC1003" s="260">
        <v>1998</v>
      </c>
      <c r="CD1003" s="254">
        <f>BJ1003+BK1003</f>
        <v>435239</v>
      </c>
      <c r="CE1003" s="254">
        <f>154687+1649</f>
        <v>156336</v>
      </c>
      <c r="CF1003" s="254">
        <f>+CD1003-CE1003</f>
        <v>278903</v>
      </c>
      <c r="CG1003" s="254">
        <f>CF1003/$BX$3</f>
        <v>1382.6282772447589</v>
      </c>
      <c r="CH1003" s="323"/>
      <c r="CI1003" s="344"/>
      <c r="CJ1003" s="344"/>
      <c r="CK1003" s="443">
        <v>1</v>
      </c>
      <c r="CL1003" s="254">
        <f>+CG1003</f>
        <v>1382.6282772447589</v>
      </c>
      <c r="CM1003" s="256"/>
      <c r="CN1003" s="325"/>
      <c r="CO1003" s="325"/>
      <c r="CP1003" s="256" t="e">
        <f>VLOOKUP($H1003,RoR!$E:$F,2,FALSE)</f>
        <v>#N/A</v>
      </c>
      <c r="CQ1003" s="325">
        <v>1.1028127770464469E-2</v>
      </c>
      <c r="CR1003" s="325"/>
      <c r="CS1003" s="325"/>
      <c r="CT1003" s="325"/>
      <c r="CU1003" s="327"/>
      <c r="CV1003" s="331" t="e">
        <f>2/(DD1003*39)</f>
        <v>#N/A</v>
      </c>
      <c r="CW1003" s="328" t="e">
        <f>+(DD1003*40-(1+DD1003))/(DD1003*40)</f>
        <v>#N/A</v>
      </c>
      <c r="CX1003" s="328" t="e">
        <f>+(1-(1/(1+DD1003)^40))</f>
        <v>#N/A</v>
      </c>
      <c r="CY1003" s="328" t="e">
        <f>+CX1003*CW1003*CV1003</f>
        <v>#N/A</v>
      </c>
      <c r="CZ1003" s="329">
        <f>INDEX('State Tax Lookup'!$D$7:$Z$91,MATCH(Calculation!$C1003,'State Tax Lookup'!$B$7:$B$91,0),MATCH($H1003,'State Tax Lookup'!$D$6:$Z$6,0))</f>
        <v>0.39649667</v>
      </c>
      <c r="DA1003" s="330">
        <v>0.37</v>
      </c>
      <c r="DB1003" s="344"/>
      <c r="DC1003" s="326"/>
      <c r="DD1003" s="351" t="e">
        <f>VLOOKUP($H1003,RoR!$E:$F,2,FALSE)</f>
        <v>#N/A</v>
      </c>
      <c r="DE1003" s="354">
        <f>HLOOKUP($H1003,'GDP-PI'!$D$8:$CQ$11,3,FALSE)</f>
        <v>1.1028127770464469E-2</v>
      </c>
      <c r="DF1003" s="351">
        <f>VLOOKUP(H1003,'HW Dx Data'!$E:$F,2,FALSE)</f>
        <v>329.24564746449528</v>
      </c>
      <c r="DG1003" s="330"/>
      <c r="DH1003" s="330"/>
      <c r="DI1003" s="330"/>
      <c r="DJ1003" s="326"/>
      <c r="DK1003" s="344">
        <f>HLOOKUP(H1003,'GDP-PI'!$8:$9,2,FALSE)</f>
        <v>75.266999999999996</v>
      </c>
      <c r="DL1003" s="292"/>
      <c r="EC1003"/>
    </row>
    <row r="1004" spans="1:133" s="126" customFormat="1" ht="21" customHeight="1" x14ac:dyDescent="0.4">
      <c r="A1004" s="233" t="s">
        <v>242</v>
      </c>
      <c r="B1004" s="126" t="s">
        <v>243</v>
      </c>
      <c r="C1004" s="126">
        <v>4057096</v>
      </c>
      <c r="D1004" s="127" t="s">
        <v>194</v>
      </c>
      <c r="E1004" s="127" t="s">
        <v>15</v>
      </c>
      <c r="F1004" s="144"/>
      <c r="G1004" s="126" t="s">
        <v>155</v>
      </c>
      <c r="H1004" s="128">
        <v>1999</v>
      </c>
      <c r="I1004" s="129"/>
      <c r="J1004" s="125"/>
      <c r="K1004" s="129"/>
      <c r="L1004" s="47"/>
      <c r="M1004" s="129"/>
      <c r="N1004" s="129"/>
      <c r="O1004" s="129"/>
      <c r="P1004" s="47"/>
      <c r="Q1004" s="47"/>
      <c r="R1004" s="386"/>
      <c r="S1004" s="119"/>
      <c r="T1004" s="47"/>
      <c r="U1004" s="46"/>
      <c r="V1004" s="135"/>
      <c r="W1004" s="135"/>
      <c r="X1004" s="135"/>
      <c r="Y1004" s="143"/>
      <c r="Z1004" s="135"/>
      <c r="AA1004" s="135"/>
      <c r="AB1004" s="135"/>
      <c r="AC1004" s="125">
        <f t="shared" ref="AC1004:AC1027" si="1813">+CL1003*DB1004</f>
        <v>0</v>
      </c>
      <c r="AD1004" s="129"/>
      <c r="AE1004" s="133">
        <v>1442.9112400958495</v>
      </c>
      <c r="AF1004" s="134">
        <v>4.2676530681007817E-2</v>
      </c>
      <c r="AG1004" s="61"/>
      <c r="AH1004" s="134"/>
      <c r="AI1004" s="134"/>
      <c r="AJ1004" s="129">
        <f t="shared" si="1809"/>
        <v>0</v>
      </c>
      <c r="AK1004" s="134"/>
      <c r="AL1004" s="129"/>
      <c r="AM1004" s="134"/>
      <c r="AN1004" s="134"/>
      <c r="AO1004" s="134"/>
      <c r="AP1004" s="133"/>
      <c r="AQ1004" s="134"/>
      <c r="AR1004" s="93"/>
      <c r="AS1004" s="93"/>
      <c r="AT1004" s="93"/>
      <c r="AU1004" s="93"/>
      <c r="AV1004" s="93"/>
      <c r="AW1004" s="134"/>
      <c r="AX1004" s="62"/>
      <c r="AY1004" s="93"/>
      <c r="AZ1004" s="93"/>
      <c r="BA1004" s="93"/>
      <c r="BB1004" s="234">
        <f>IFERROR(INDEX('Total Customers'!$E$7:$AA$91,MATCH($C1004,'Total Customers'!$C$7:$C$91,0),MATCH($G1004,'Total Customers'!$E$5:$AA$5,0)),"NA")</f>
        <v>287806</v>
      </c>
      <c r="BC1004" s="269">
        <f t="shared" si="1768"/>
        <v>-1.3819206726915848E-3</v>
      </c>
      <c r="BD1004" s="92"/>
      <c r="BE1004" s="299" t="str">
        <f t="shared" si="1764"/>
        <v>ROCHESTER GAS AND ELECTRIC CORPORATION</v>
      </c>
      <c r="BF1004" s="300">
        <f t="shared" si="1765"/>
        <v>4057096</v>
      </c>
      <c r="BG1004" s="231" t="str">
        <f t="shared" si="1766"/>
        <v>NY</v>
      </c>
      <c r="BH1004" s="231"/>
      <c r="BI1004" s="231" t="str">
        <f t="shared" si="1767"/>
        <v>1999 Y</v>
      </c>
      <c r="BJ1004" s="129"/>
      <c r="BK1004" s="129"/>
      <c r="BL1004" s="129">
        <f>INDEX('Dist. Plant Gas Additions'!$E$7:$AD$91,MATCH($C1004,'Dist. Plant Gas Additions'!$C$7:$C$91,0),MATCH(Calculation!$G1004,'Dist. Plant Gas Additions'!$E$5:$AD$5,0))</f>
        <v>22320</v>
      </c>
      <c r="BM1004" s="129">
        <f>INDEX('Gen. Plant Additions'!$E$7:$AD$91,MATCH($C1004,'Gen. Plant Additions'!$C$7:$C$91,0),MATCH(Calculation!$G1004,'Gen. Plant Additions'!$E$5:$AD$5,0))</f>
        <v>201</v>
      </c>
      <c r="BN1004" s="301">
        <f t="shared" ref="BN1004:BN1025" si="1814">+(BY1004/(BY1004+BZ1004))</f>
        <v>0.99184444699221264</v>
      </c>
      <c r="BO1004" s="231">
        <f t="shared" si="1722"/>
        <v>199.36073384543474</v>
      </c>
      <c r="BP1004" s="231">
        <f t="shared" si="1723"/>
        <v>-1.6392661545652629</v>
      </c>
      <c r="BQ1004" s="129">
        <f>INDEX('Dist Plant Depreciation'!$D$7:$AC$94,MATCH($C1004,'Dist Plant Depreciation'!$C$7:$C$94,0),MATCH(Calculation!$G1004,'Dist Plant Depreciation'!$D$5:$AC$5,0))</f>
        <v>160814</v>
      </c>
      <c r="BR1004" s="129">
        <f>INDEX('Gen. Plant Depreciation'!$D$7:$AC$94,MATCH($C1004,'Gen. Plant Depreciation'!$C$7:$C$94,0),MATCH(Calculation!$G1004,'Gen. Plant Depreciation'!$D$5:$AC$5,0))</f>
        <v>1784</v>
      </c>
      <c r="BS1004" s="129"/>
      <c r="BT1004" s="129"/>
      <c r="BU1004" s="129"/>
      <c r="BV1004" s="129"/>
      <c r="BW1004" s="129"/>
      <c r="BX1004" s="137"/>
      <c r="BY1004" s="129">
        <f>INDEX('Gross Dx Plant'!$D$7:$AC$91,MATCH($C1004,'Gross Dx Plant'!$C$7:$C$91,0),MATCH(Calculation!$G1004,'Gross Dx Plant'!$D$5:$AC$5,0))</f>
        <v>449857</v>
      </c>
      <c r="BZ1004" s="129">
        <f>INDEX('Gross Gen Plant'!$D$7:$AC$91,MATCH($C1004,'Gross Gen Plant'!$C$7:$C$91,0),MATCH(Calculation!$G1004,'Gross Gen Plant'!$D$5:$AC$5,0))</f>
        <v>3699</v>
      </c>
      <c r="CA1004" s="129">
        <f t="shared" si="1721"/>
        <v>290958</v>
      </c>
      <c r="CB1004" s="129"/>
      <c r="CC1004" s="133">
        <v>1999</v>
      </c>
      <c r="CD1004" s="129"/>
      <c r="CE1004" s="129"/>
      <c r="CF1004" s="129"/>
      <c r="CG1004" s="137"/>
      <c r="CH1004" s="129">
        <f>+BM1004+BL1004</f>
        <v>22521</v>
      </c>
      <c r="CI1004" s="46">
        <f>+CH1004+BP1004</f>
        <v>22519.360733845435</v>
      </c>
      <c r="CJ1004" s="231">
        <f t="shared" ref="CJ1004:CJ1027" si="1815">+CI1004/$DF1004</f>
        <v>67.156821909806467</v>
      </c>
      <c r="CK1004" s="443">
        <v>0.99009900990099009</v>
      </c>
      <c r="CL1004" s="231">
        <f>+CL1003*CK1004+CJ1004</f>
        <v>1436.095710270954</v>
      </c>
      <c r="CM1004" s="134">
        <f t="shared" ref="CM1004:CM1025" si="1816">LN(CL1004/CL1003)</f>
        <v>3.7941882467713434E-2</v>
      </c>
      <c r="CN1004" s="135">
        <f t="shared" ref="CN1004:CN1027" si="1817">+(CL1003-CL1004+CJ1004)/CL1003</f>
        <v>9.9009900990098473E-3</v>
      </c>
      <c r="CO1004" s="135"/>
      <c r="CP1004" s="134">
        <f>VLOOKUP($H1004,RoR!$E:$F,2,FALSE)</f>
        <v>7.0416666666666669E-2</v>
      </c>
      <c r="CQ1004" s="135">
        <v>1.4335631817396832E-2</v>
      </c>
      <c r="CR1004" s="135">
        <f>+CP1004-CQ1004</f>
        <v>5.6081034849269837E-2</v>
      </c>
      <c r="CS1004" s="135"/>
      <c r="CT1004" s="135"/>
      <c r="CU1004" s="139">
        <f t="shared" ref="CU1004:CU1027" si="1818">1-CZ1004*DA1004</f>
        <v>0.85329623209999994</v>
      </c>
      <c r="CV1004" s="335">
        <f t="shared" ref="CV1004:CV1027" si="1819">2/(DD1004*39)</f>
        <v>0.72826581702321336</v>
      </c>
      <c r="CW1004" s="335">
        <f t="shared" ref="CW1004:CW1027" si="1820">+(DD1004*40-(1+DD1004))/(DD1004*40)</f>
        <v>0.61997041420118348</v>
      </c>
      <c r="CX1004" s="335">
        <f t="shared" ref="CX1004:CX1027" si="1821">+(1-(1/(1+DD1004)^40))</f>
        <v>0.93425155319585029</v>
      </c>
      <c r="CY1004" s="335">
        <f t="shared" ref="CY1004:CY1027" si="1822">+CX1004*CW1004*CV1004</f>
        <v>0.42181762214141483</v>
      </c>
      <c r="CZ1004" s="336">
        <f>INDEX('State Tax Lookup'!$D$7:$Z$91,MATCH(Calculation!$C1004,'State Tax Lookup'!$B$7:$B$91,0),MATCH($H1004,'State Tax Lookup'!$D$6:$Z$6,0))</f>
        <v>0.39649667</v>
      </c>
      <c r="DA1004" s="302">
        <v>0.37</v>
      </c>
      <c r="DB1004" s="57"/>
      <c r="DC1004" s="56"/>
      <c r="DD1004" s="303">
        <f>VLOOKUP($H1004,RoR!$E:$F,2,FALSE)</f>
        <v>7.0416666666666669E-2</v>
      </c>
      <c r="DE1004" s="304">
        <f>HLOOKUP($H1004,'GDP-PI'!$D$8:$CQ$11,3,FALSE)</f>
        <v>1.4335631817396832E-2</v>
      </c>
      <c r="DF1004" s="303">
        <f>VLOOKUP(H1004,'HW Dx Data'!$E:$F,2,FALSE)</f>
        <v>335.32499146683239</v>
      </c>
      <c r="DG1004" s="364"/>
      <c r="DH1004" s="364"/>
      <c r="DI1004" s="364"/>
      <c r="DJ1004" s="56"/>
      <c r="DK1004" s="53">
        <f>HLOOKUP(H1004,'GDP-PI'!$8:$9,2,FALSE)</f>
        <v>76.346000000000004</v>
      </c>
      <c r="DL1004" s="298"/>
      <c r="EC1004"/>
    </row>
    <row r="1005" spans="1:133" s="126" customFormat="1" ht="21" customHeight="1" x14ac:dyDescent="0.4">
      <c r="A1005" s="233" t="s">
        <v>242</v>
      </c>
      <c r="B1005" s="126" t="s">
        <v>243</v>
      </c>
      <c r="C1005" s="126">
        <v>4057096</v>
      </c>
      <c r="D1005" s="127" t="s">
        <v>194</v>
      </c>
      <c r="E1005" s="127" t="s">
        <v>15</v>
      </c>
      <c r="F1005" s="144"/>
      <c r="G1005" s="126" t="s">
        <v>156</v>
      </c>
      <c r="H1005" s="128">
        <v>2000</v>
      </c>
      <c r="I1005" s="129"/>
      <c r="J1005" s="125"/>
      <c r="K1005" s="125"/>
      <c r="L1005" s="47"/>
      <c r="M1005" s="125"/>
      <c r="N1005" s="125"/>
      <c r="O1005" s="125"/>
      <c r="P1005" s="47"/>
      <c r="Q1005" s="47"/>
      <c r="R1005" s="386"/>
      <c r="S1005" s="119"/>
      <c r="T1005" s="47"/>
      <c r="U1005" s="47"/>
      <c r="V1005" s="125"/>
      <c r="W1005" s="125"/>
      <c r="X1005" s="125"/>
      <c r="Y1005" s="125"/>
      <c r="Z1005" s="125"/>
      <c r="AA1005" s="125"/>
      <c r="AB1005" s="125"/>
      <c r="AC1005" s="125">
        <f t="shared" si="1813"/>
        <v>0</v>
      </c>
      <c r="AD1005" s="129"/>
      <c r="AE1005" s="133">
        <v>1497.0221595376777</v>
      </c>
      <c r="AF1005" s="134">
        <v>3.681514073352507E-2</v>
      </c>
      <c r="AG1005" s="61"/>
      <c r="AH1005" s="134"/>
      <c r="AI1005" s="134"/>
      <c r="AJ1005" s="129">
        <f t="shared" si="1809"/>
        <v>0</v>
      </c>
      <c r="AK1005" s="134"/>
      <c r="AL1005" s="129"/>
      <c r="AM1005" s="129"/>
      <c r="AN1005" s="129"/>
      <c r="AO1005" s="129"/>
      <c r="AP1005" s="133"/>
      <c r="AQ1005" s="134"/>
      <c r="AR1005" s="93"/>
      <c r="AS1005" s="93"/>
      <c r="AT1005" s="93"/>
      <c r="AU1005" s="93"/>
      <c r="AV1005" s="93"/>
      <c r="AW1005" s="134"/>
      <c r="AX1005" s="62"/>
      <c r="AY1005" s="93"/>
      <c r="AZ1005" s="93"/>
      <c r="BA1005" s="93"/>
      <c r="BB1005" s="234">
        <f>IFERROR(INDEX('Total Customers'!$E$7:$AA$91,MATCH($C1005,'Total Customers'!$C$7:$C$91,0),MATCH($G1005,'Total Customers'!$E$5:$AA$5,0)),"NA")</f>
        <v>285943</v>
      </c>
      <c r="BC1005" s="269">
        <f t="shared" si="1768"/>
        <v>-6.4941517894063381E-3</v>
      </c>
      <c r="BD1005" s="92"/>
      <c r="BE1005" s="299" t="str">
        <f t="shared" si="1764"/>
        <v>ROCHESTER GAS AND ELECTRIC CORPORATION</v>
      </c>
      <c r="BF1005" s="300">
        <f t="shared" si="1765"/>
        <v>4057096</v>
      </c>
      <c r="BG1005" s="231" t="str">
        <f t="shared" si="1766"/>
        <v>NY</v>
      </c>
      <c r="BH1005" s="231"/>
      <c r="BI1005" s="231" t="str">
        <f t="shared" si="1767"/>
        <v>2000 Y</v>
      </c>
      <c r="BJ1005" s="129"/>
      <c r="BK1005" s="129"/>
      <c r="BL1005" s="129">
        <f>INDEX('Dist. Plant Gas Additions'!$E$7:$AD$91,MATCH($C1005,'Dist. Plant Gas Additions'!$C$7:$C$91,0),MATCH(Calculation!$G1005,'Dist. Plant Gas Additions'!$E$5:$AD$5,0))</f>
        <v>21145</v>
      </c>
      <c r="BM1005" s="129">
        <f>INDEX('Gen. Plant Additions'!$E$7:$AD$91,MATCH($C1005,'Gen. Plant Additions'!$C$7:$C$91,0),MATCH(Calculation!$G1005,'Gen. Plant Additions'!$E$5:$AD$5,0))</f>
        <v>178</v>
      </c>
      <c r="BN1005" s="301">
        <f t="shared" si="1814"/>
        <v>0.99176808812413475</v>
      </c>
      <c r="BO1005" s="231">
        <f t="shared" si="1722"/>
        <v>176.534719686096</v>
      </c>
      <c r="BP1005" s="231">
        <f t="shared" si="1723"/>
        <v>-1.4652803139040032</v>
      </c>
      <c r="BQ1005" s="129">
        <f>INDEX('Dist Plant Depreciation'!$D$7:$AC$94,MATCH($C1005,'Dist Plant Depreciation'!$C$7:$C$94,0),MATCH(Calculation!$G1005,'Dist Plant Depreciation'!$D$5:$AC$5,0))</f>
        <v>166496</v>
      </c>
      <c r="BR1005" s="129">
        <f>INDEX('Gen. Plant Depreciation'!$D$7:$AC$94,MATCH($C1005,'Gen. Plant Depreciation'!$C$7:$C$94,0),MATCH(Calculation!$G1005,'Gen. Plant Depreciation'!$D$5:$AC$5,0))</f>
        <v>1928</v>
      </c>
      <c r="BS1005" s="129"/>
      <c r="BT1005" s="129"/>
      <c r="BU1005" s="129"/>
      <c r="BV1005" s="129"/>
      <c r="BW1005" s="129"/>
      <c r="BX1005" s="137"/>
      <c r="BY1005" s="129">
        <f>INDEX('Gross Dx Plant'!$D$7:$AC$91,MATCH($C1005,'Gross Dx Plant'!$C$7:$C$91,0),MATCH(Calculation!$G1005,'Gross Dx Plant'!$D$5:$AC$5,0))</f>
        <v>467095</v>
      </c>
      <c r="BZ1005" s="129">
        <f>INDEX('Gross Gen Plant'!$D$7:$AC$91,MATCH($C1005,'Gross Gen Plant'!$C$7:$C$91,0),MATCH(Calculation!$G1005,'Gross Gen Plant'!$D$5:$AC$5,0))</f>
        <v>3877</v>
      </c>
      <c r="CA1005" s="129">
        <f t="shared" si="1721"/>
        <v>302548</v>
      </c>
      <c r="CB1005" s="129"/>
      <c r="CC1005" s="133">
        <v>2000</v>
      </c>
      <c r="CD1005" s="129"/>
      <c r="CE1005" s="129"/>
      <c r="CF1005" s="129"/>
      <c r="CG1005" s="137"/>
      <c r="CH1005" s="129">
        <f>+BM1005+BL1005</f>
        <v>21323</v>
      </c>
      <c r="CI1005" s="46">
        <f t="shared" ref="CI1005:CI1027" si="1823">+CH1005+BP1005</f>
        <v>21321.534719686097</v>
      </c>
      <c r="CJ1005" s="231">
        <f t="shared" si="1815"/>
        <v>61.528023459664148</v>
      </c>
      <c r="CK1005" s="443">
        <v>0.98</v>
      </c>
      <c r="CL1005" s="231">
        <f>+CL1003*CK1005+CJ1004*CK1004+CJ1005</f>
        <v>1482.9956380405245</v>
      </c>
      <c r="CM1005" s="134">
        <f t="shared" si="1816"/>
        <v>3.2136002832170517E-2</v>
      </c>
      <c r="CN1005" s="135">
        <f t="shared" si="1817"/>
        <v>1.0186017258789624E-2</v>
      </c>
      <c r="CO1005" s="135"/>
      <c r="CP1005" s="134">
        <f>VLOOKUP($H1005,RoR!$E:$F,2,FALSE)</f>
        <v>7.6225000000000001E-2</v>
      </c>
      <c r="CQ1005" s="135">
        <v>2.2568307442433211E-2</v>
      </c>
      <c r="CR1005" s="135">
        <f t="shared" ref="CR1005:CR1025" si="1824">+CP1005-CQ1005</f>
        <v>5.365669255756679E-2</v>
      </c>
      <c r="CS1005" s="135"/>
      <c r="CT1005" s="135"/>
      <c r="CU1005" s="139">
        <f t="shared" si="1818"/>
        <v>0.85329623209999994</v>
      </c>
      <c r="CV1005" s="335">
        <f t="shared" si="1819"/>
        <v>0.67277207323124022</v>
      </c>
      <c r="CW1005" s="335">
        <f t="shared" si="1820"/>
        <v>0.6470236142997704</v>
      </c>
      <c r="CX1005" s="335">
        <f t="shared" si="1821"/>
        <v>0.94704866037543145</v>
      </c>
      <c r="CY1005" s="335">
        <f t="shared" si="1822"/>
        <v>0.41224973107878493</v>
      </c>
      <c r="CZ1005" s="336">
        <f>INDEX('State Tax Lookup'!$D$7:$Z$91,MATCH(Calculation!$C1005,'State Tax Lookup'!$B$7:$B$91,0),MATCH($H1005,'State Tax Lookup'!$D$6:$Z$6,0))</f>
        <v>0.39649667</v>
      </c>
      <c r="DA1005" s="302">
        <v>0.37</v>
      </c>
      <c r="DB1005" s="57"/>
      <c r="DC1005" s="56"/>
      <c r="DD1005" s="303">
        <f>VLOOKUP($H1005,RoR!$E:$F,2,FALSE)</f>
        <v>7.6225000000000001E-2</v>
      </c>
      <c r="DE1005" s="304">
        <f>HLOOKUP($H1005,'GDP-PI'!$D$8:$CQ$11,3,FALSE)</f>
        <v>2.2568307442433211E-2</v>
      </c>
      <c r="DF1005" s="303">
        <f>VLOOKUP(H1005,'HW Dx Data'!$E:$F,2,FALSE)</f>
        <v>346.53371782150339</v>
      </c>
      <c r="DG1005" s="364"/>
      <c r="DH1005" s="364"/>
      <c r="DI1005" s="364"/>
      <c r="DJ1005" s="56"/>
      <c r="DK1005" s="53">
        <f>HLOOKUP(H1005,'GDP-PI'!$8:$9,2,FALSE)</f>
        <v>78.069000000000003</v>
      </c>
      <c r="DL1005" s="298"/>
      <c r="EC1005"/>
    </row>
    <row r="1006" spans="1:133" s="126" customFormat="1" ht="21" customHeight="1" x14ac:dyDescent="0.4">
      <c r="A1006" s="233" t="s">
        <v>242</v>
      </c>
      <c r="B1006" s="126" t="s">
        <v>243</v>
      </c>
      <c r="C1006" s="126">
        <v>4057096</v>
      </c>
      <c r="D1006" s="127" t="s">
        <v>194</v>
      </c>
      <c r="E1006" s="127" t="s">
        <v>15</v>
      </c>
      <c r="F1006" s="144"/>
      <c r="G1006" s="126" t="s">
        <v>157</v>
      </c>
      <c r="H1006" s="128">
        <v>2001</v>
      </c>
      <c r="I1006" s="129"/>
      <c r="J1006" s="125"/>
      <c r="K1006" s="125"/>
      <c r="L1006" s="47"/>
      <c r="M1006" s="125"/>
      <c r="N1006" s="125"/>
      <c r="O1006" s="125"/>
      <c r="P1006" s="47"/>
      <c r="Q1006" s="47"/>
      <c r="R1006" s="386"/>
      <c r="S1006" s="119"/>
      <c r="T1006" s="47"/>
      <c r="U1006" s="47"/>
      <c r="V1006" s="125"/>
      <c r="W1006" s="125"/>
      <c r="X1006" s="125"/>
      <c r="Y1006" s="125"/>
      <c r="Z1006" s="125"/>
      <c r="AA1006" s="125"/>
      <c r="AB1006" s="125"/>
      <c r="AC1006" s="125">
        <f t="shared" si="1813"/>
        <v>15403.427672306081</v>
      </c>
      <c r="AD1006" s="129"/>
      <c r="AE1006" s="133">
        <v>1573.849140971972</v>
      </c>
      <c r="AF1006" s="134">
        <v>5.0046393080111169E-2</v>
      </c>
      <c r="AG1006" s="61"/>
      <c r="AH1006" s="134"/>
      <c r="AI1006" s="134"/>
      <c r="AJ1006" s="129">
        <f t="shared" si="1809"/>
        <v>15403.427672306081</v>
      </c>
      <c r="AK1006" s="134"/>
      <c r="AL1006" s="129"/>
      <c r="AM1006" s="129"/>
      <c r="AN1006" s="129"/>
      <c r="AO1006" s="129"/>
      <c r="AP1006" s="133"/>
      <c r="AQ1006" s="134"/>
      <c r="AR1006" s="93"/>
      <c r="AS1006" s="93"/>
      <c r="AT1006" s="93"/>
      <c r="AU1006" s="93"/>
      <c r="AV1006" s="93"/>
      <c r="AW1006" s="134"/>
      <c r="AX1006" s="62"/>
      <c r="AY1006" s="93"/>
      <c r="AZ1006" s="93"/>
      <c r="BA1006" s="93"/>
      <c r="BB1006" s="234">
        <f>IFERROR(INDEX('Total Customers'!$E$7:$AA$91,MATCH($C1006,'Total Customers'!$C$7:$C$91,0),MATCH($G1006,'Total Customers'!$E$5:$AA$5,0)),"NA")</f>
        <v>287688</v>
      </c>
      <c r="BC1006" s="269">
        <f t="shared" si="1768"/>
        <v>6.0840693153800069E-3</v>
      </c>
      <c r="BD1006" s="92"/>
      <c r="BE1006" s="299" t="str">
        <f t="shared" si="1764"/>
        <v>ROCHESTER GAS AND ELECTRIC CORPORATION</v>
      </c>
      <c r="BF1006" s="300">
        <f t="shared" si="1765"/>
        <v>4057096</v>
      </c>
      <c r="BG1006" s="231" t="str">
        <f t="shared" si="1766"/>
        <v>NY</v>
      </c>
      <c r="BH1006" s="231"/>
      <c r="BI1006" s="231" t="str">
        <f t="shared" si="1767"/>
        <v>2001 Y</v>
      </c>
      <c r="BJ1006" s="129"/>
      <c r="BK1006" s="129"/>
      <c r="BL1006" s="129">
        <f>INDEX('Dist. Plant Gas Additions'!$E$7:$AD$91,MATCH($C1006,'Dist. Plant Gas Additions'!$C$7:$C$91,0),MATCH(Calculation!$G1006,'Dist. Plant Gas Additions'!$E$5:$AD$5,0))</f>
        <v>29742</v>
      </c>
      <c r="BM1006" s="129">
        <f>INDEX('Gen. Plant Additions'!$E$7:$AD$91,MATCH($C1006,'Gen. Plant Additions'!$C$7:$C$91,0),MATCH(Calculation!$G1006,'Gen. Plant Additions'!$E$5:$AD$5,0))</f>
        <v>116</v>
      </c>
      <c r="BN1006" s="301">
        <f t="shared" si="1814"/>
        <v>0.99195794688982208</v>
      </c>
      <c r="BO1006" s="231">
        <f t="shared" si="1722"/>
        <v>115.06712183921937</v>
      </c>
      <c r="BP1006" s="231">
        <f t="shared" si="1723"/>
        <v>-0.93287816078063202</v>
      </c>
      <c r="BQ1006" s="129">
        <f>INDEX('Dist Plant Depreciation'!$D$7:$AC$94,MATCH($C1006,'Dist Plant Depreciation'!$C$7:$C$94,0),MATCH(Calculation!$G1006,'Dist Plant Depreciation'!$D$5:$AC$5,0))</f>
        <v>167597</v>
      </c>
      <c r="BR1006" s="129">
        <f>INDEX('Gen. Plant Depreciation'!$D$7:$AC$94,MATCH($C1006,'Gen. Plant Depreciation'!$C$7:$C$94,0),MATCH(Calculation!$G1006,'Gen. Plant Depreciation'!$D$5:$AC$5,0))</f>
        <v>2079</v>
      </c>
      <c r="BS1006" s="129"/>
      <c r="BT1006" s="129"/>
      <c r="BU1006" s="129"/>
      <c r="BV1006" s="129"/>
      <c r="BW1006" s="129"/>
      <c r="BX1006" s="137"/>
      <c r="BY1006" s="129">
        <f>INDEX('Gross Dx Plant'!$D$7:$AC$91,MATCH($C1006,'Gross Dx Plant'!$C$7:$C$91,0),MATCH(Calculation!$G1006,'Gross Dx Plant'!$D$5:$AC$5,0))</f>
        <v>492522</v>
      </c>
      <c r="BZ1006" s="129">
        <f>INDEX('Gross Gen Plant'!$D$7:$AC$91,MATCH($C1006,'Gross Gen Plant'!$C$7:$C$91,0),MATCH(Calculation!$G1006,'Gross Gen Plant'!$D$5:$AC$5,0))</f>
        <v>3993</v>
      </c>
      <c r="CA1006" s="129">
        <f t="shared" si="1721"/>
        <v>326839</v>
      </c>
      <c r="CB1006" s="129"/>
      <c r="CC1006" s="133">
        <v>2001</v>
      </c>
      <c r="CD1006" s="129"/>
      <c r="CE1006" s="129"/>
      <c r="CF1006" s="129"/>
      <c r="CG1006" s="137"/>
      <c r="CH1006" s="129">
        <f>+BM1006+BL1006</f>
        <v>29858</v>
      </c>
      <c r="CI1006" s="46">
        <f t="shared" si="1823"/>
        <v>29857.06712183922</v>
      </c>
      <c r="CJ1006" s="231">
        <f t="shared" si="1815"/>
        <v>84.473867388889786</v>
      </c>
      <c r="CK1006" s="443">
        <v>0.96969696969696972</v>
      </c>
      <c r="CL1006" s="231">
        <f>+CL1003*CK1006+CJ1004*CK1005+CJ1005*CK1003+CJ1006</f>
        <v>1552.5460269817488</v>
      </c>
      <c r="CM1006" s="134">
        <f t="shared" si="1816"/>
        <v>4.5832059551547052E-2</v>
      </c>
      <c r="CN1006" s="135">
        <f t="shared" si="1817"/>
        <v>1.0063062941563171E-2</v>
      </c>
      <c r="CO1006" s="135">
        <f>+(CN1006+CN1005+CN1004)/3</f>
        <v>1.0050023433120879E-2</v>
      </c>
      <c r="CP1006" s="134">
        <f>VLOOKUP($H1006,RoR!$E:$F,2,FALSE)</f>
        <v>7.0824999999999999E-2</v>
      </c>
      <c r="CQ1006" s="135">
        <v>2.2454495382290052E-2</v>
      </c>
      <c r="CR1006" s="135">
        <f t="shared" si="1824"/>
        <v>4.8370504617709947E-2</v>
      </c>
      <c r="CS1006" s="135">
        <f>+$CR$2-CO1006</f>
        <v>2.0851918175412744E-2</v>
      </c>
      <c r="CT1006" s="135">
        <f>+((DF1004/DF1003-1)+(DF1005/DF1004-1)+(DF1006/DF1005-1))/3</f>
        <v>2.3947275901631187E-2</v>
      </c>
      <c r="CU1006" s="139">
        <f t="shared" si="1818"/>
        <v>0.85329623209999994</v>
      </c>
      <c r="CV1006" s="335">
        <f t="shared" si="1819"/>
        <v>0.72406708481540816</v>
      </c>
      <c r="CW1006" s="335">
        <f t="shared" si="1820"/>
        <v>0.62201729615248857</v>
      </c>
      <c r="CX1006" s="335">
        <f t="shared" si="1821"/>
        <v>0.9352469954311422</v>
      </c>
      <c r="CY1006" s="335">
        <f t="shared" si="1822"/>
        <v>0.42121864641655071</v>
      </c>
      <c r="CZ1006" s="336">
        <f>INDEX('State Tax Lookup'!$D$7:$Z$91,MATCH(Calculation!$C1006,'State Tax Lookup'!$B$7:$B$91,0),MATCH($H1006,'State Tax Lookup'!$D$6:$Z$6,0))</f>
        <v>0.39649667</v>
      </c>
      <c r="DA1006" s="302">
        <v>0.37</v>
      </c>
      <c r="DB1006" s="57">
        <f t="shared" ref="DB1006:DB1027" si="1825">+(DF1006*CS1006-CT1006)*CU1006/(1-CZ1006)</f>
        <v>10.3866978952538</v>
      </c>
      <c r="DC1006" s="56"/>
      <c r="DD1006" s="303">
        <f>VLOOKUP($H1006,RoR!$E:$F,2,FALSE)</f>
        <v>7.0824999999999999E-2</v>
      </c>
      <c r="DE1006" s="304">
        <f>HLOOKUP($H1006,'GDP-PI'!$D$8:$CQ$11,3,FALSE)</f>
        <v>2.2454495382290052E-2</v>
      </c>
      <c r="DF1006" s="303">
        <f>VLOOKUP(H1006,'HW Dx Data'!$E:$F,2,FALSE)</f>
        <v>353.44738017483138</v>
      </c>
      <c r="DG1006" s="364"/>
      <c r="DH1006" s="364"/>
      <c r="DI1006" s="364"/>
      <c r="DJ1006" s="56"/>
      <c r="DK1006" s="53">
        <f>HLOOKUP(H1006,'GDP-PI'!$8:$9,2,FALSE)</f>
        <v>79.822000000000003</v>
      </c>
      <c r="DL1006" s="298"/>
      <c r="EC1006"/>
    </row>
    <row r="1007" spans="1:133" s="126" customFormat="1" ht="21" customHeight="1" x14ac:dyDescent="0.4">
      <c r="A1007" s="233" t="s">
        <v>242</v>
      </c>
      <c r="B1007" s="126" t="s">
        <v>243</v>
      </c>
      <c r="C1007" s="126">
        <v>4057096</v>
      </c>
      <c r="D1007" s="127" t="s">
        <v>194</v>
      </c>
      <c r="E1007" s="127" t="s">
        <v>15</v>
      </c>
      <c r="F1007" s="144"/>
      <c r="G1007" s="126" t="s">
        <v>158</v>
      </c>
      <c r="H1007" s="128">
        <v>2002</v>
      </c>
      <c r="I1007" s="129"/>
      <c r="J1007" s="125"/>
      <c r="K1007" s="125"/>
      <c r="L1007" s="47"/>
      <c r="M1007" s="125"/>
      <c r="N1007" s="125"/>
      <c r="O1007" s="125"/>
      <c r="P1007" s="47"/>
      <c r="Q1007" s="47"/>
      <c r="R1007" s="386"/>
      <c r="S1007" s="119"/>
      <c r="T1007" s="47"/>
      <c r="U1007" s="47"/>
      <c r="V1007" s="125"/>
      <c r="W1007" s="125"/>
      <c r="X1007" s="125"/>
      <c r="Y1007" s="125"/>
      <c r="Z1007" s="125"/>
      <c r="AA1007" s="125"/>
      <c r="AB1007" s="125"/>
      <c r="AC1007" s="125">
        <f t="shared" si="1813"/>
        <v>16157.114408783096</v>
      </c>
      <c r="AD1007" s="129"/>
      <c r="AE1007" s="133">
        <v>1659.4482444573566</v>
      </c>
      <c r="AF1007" s="134">
        <v>5.2960863221588723E-2</v>
      </c>
      <c r="AG1007" s="61"/>
      <c r="AH1007" s="134"/>
      <c r="AI1007" s="134"/>
      <c r="AJ1007" s="129">
        <f t="shared" si="1809"/>
        <v>16157.114408783096</v>
      </c>
      <c r="AK1007" s="134"/>
      <c r="AL1007" s="129"/>
      <c r="AM1007" s="129"/>
      <c r="AN1007" s="129"/>
      <c r="AO1007" s="129"/>
      <c r="AP1007" s="133"/>
      <c r="AQ1007" s="134"/>
      <c r="AR1007" s="93"/>
      <c r="AS1007" s="93"/>
      <c r="AT1007" s="93"/>
      <c r="AU1007" s="93"/>
      <c r="AV1007" s="93"/>
      <c r="AW1007" s="134"/>
      <c r="AX1007" s="62"/>
      <c r="AY1007" s="93"/>
      <c r="AZ1007" s="93"/>
      <c r="BA1007" s="93"/>
      <c r="BB1007" s="234">
        <f>IFERROR(INDEX('Total Customers'!$E$7:$AA$91,MATCH($C1007,'Total Customers'!$C$7:$C$91,0),MATCH($G1007,'Total Customers'!$E$5:$AA$5,0)),"NA")</f>
        <v>289860</v>
      </c>
      <c r="BC1007" s="269">
        <f t="shared" si="1768"/>
        <v>7.5214882214618512E-3</v>
      </c>
      <c r="BD1007" s="92"/>
      <c r="BE1007" s="299" t="str">
        <f t="shared" si="1764"/>
        <v>ROCHESTER GAS AND ELECTRIC CORPORATION</v>
      </c>
      <c r="BF1007" s="300">
        <f t="shared" si="1765"/>
        <v>4057096</v>
      </c>
      <c r="BG1007" s="231" t="str">
        <f t="shared" si="1766"/>
        <v>NY</v>
      </c>
      <c r="BH1007" s="231"/>
      <c r="BI1007" s="231" t="str">
        <f t="shared" si="1767"/>
        <v>2002 Y</v>
      </c>
      <c r="BJ1007" s="129"/>
      <c r="BK1007" s="129"/>
      <c r="BL1007" s="129"/>
      <c r="BM1007" s="129"/>
      <c r="BN1007" s="301"/>
      <c r="BO1007" s="231">
        <f t="shared" si="1722"/>
        <v>0</v>
      </c>
      <c r="BP1007" s="231">
        <f t="shared" si="1723"/>
        <v>0</v>
      </c>
      <c r="BQ1007" s="129"/>
      <c r="BR1007" s="129"/>
      <c r="BS1007" s="129"/>
      <c r="BT1007" s="129"/>
      <c r="BU1007" s="129"/>
      <c r="BV1007" s="129"/>
      <c r="BW1007" s="129"/>
      <c r="BX1007" s="137"/>
      <c r="BY1007" s="129"/>
      <c r="BZ1007" s="129"/>
      <c r="CA1007" s="129">
        <f t="shared" si="1721"/>
        <v>0</v>
      </c>
      <c r="CB1007" s="129"/>
      <c r="CC1007" s="133">
        <v>2002</v>
      </c>
      <c r="CD1007" s="129"/>
      <c r="CE1007" s="129"/>
      <c r="CF1007" s="129"/>
      <c r="CG1007" s="137"/>
      <c r="CH1007" s="129">
        <v>34158</v>
      </c>
      <c r="CI1007" s="46">
        <f t="shared" si="1823"/>
        <v>34158</v>
      </c>
      <c r="CJ1007" s="231">
        <f t="shared" si="1815"/>
        <v>94.529329990101417</v>
      </c>
      <c r="CK1007" s="443">
        <v>0.95918367346938771</v>
      </c>
      <c r="CL1007" s="231">
        <f>+CL1003*CK1007+CJ1004*CK1006+CJ1005*CK1005+CJ1006*CK1004+CJ1007</f>
        <v>1629.7805221555168</v>
      </c>
      <c r="CM1007" s="134">
        <f t="shared" si="1816"/>
        <v>4.8549175373126183E-2</v>
      </c>
      <c r="CN1007" s="135">
        <f t="shared" si="1817"/>
        <v>1.1139659962259364E-2</v>
      </c>
      <c r="CO1007" s="135">
        <f t="shared" ref="CO1007:CO1027" si="1826">+(CN1007+CN1006+CN1005)/3</f>
        <v>1.0462913387537387E-2</v>
      </c>
      <c r="CP1007" s="134">
        <f>VLOOKUP($H1007,RoR!$E:$F,2,FALSE)</f>
        <v>6.4916666666666664E-2</v>
      </c>
      <c r="CQ1007" s="135">
        <v>1.5246423291824351E-2</v>
      </c>
      <c r="CR1007" s="135">
        <f t="shared" si="1824"/>
        <v>4.9670243374842313E-2</v>
      </c>
      <c r="CS1007" s="135">
        <f t="shared" ref="CS1007:CS1027" si="1827">+$CR$2-CO1007</f>
        <v>2.043902822099624E-2</v>
      </c>
      <c r="CT1007" s="135">
        <f t="shared" ref="CT1007:CT1027" si="1828">+((DF1005/DF1004-1)+(DF1006/DF1005-1)+(DF1007/DF1006-1))/3</f>
        <v>2.5243621214759093E-2</v>
      </c>
      <c r="CU1007" s="139">
        <f t="shared" si="1818"/>
        <v>0.85329623209999994</v>
      </c>
      <c r="CV1007" s="335">
        <f t="shared" si="1819"/>
        <v>0.78996741384417901</v>
      </c>
      <c r="CW1007" s="335">
        <f t="shared" si="1820"/>
        <v>0.58989088575096271</v>
      </c>
      <c r="CX1007" s="335">
        <f t="shared" si="1821"/>
        <v>0.91920675783645744</v>
      </c>
      <c r="CY1007" s="335">
        <f t="shared" si="1822"/>
        <v>0.42834536472275586</v>
      </c>
      <c r="CZ1007" s="336">
        <f>INDEX('State Tax Lookup'!$D$7:$Z$91,MATCH(Calculation!$C1007,'State Tax Lookup'!$B$7:$B$91,0),MATCH($H1007,'State Tax Lookup'!$D$6:$Z$6,0))</f>
        <v>0.39649667</v>
      </c>
      <c r="DA1007" s="302">
        <v>0.37</v>
      </c>
      <c r="DB1007" s="57">
        <f t="shared" si="1825"/>
        <v>10.406850507481305</v>
      </c>
      <c r="DC1007" s="56">
        <f t="shared" ref="DC1007:DC1025" si="1829">LN(DB1007/DB1006)</f>
        <v>1.938353007094951E-3</v>
      </c>
      <c r="DD1007" s="303">
        <f>VLOOKUP($H1007,RoR!$E:$F,2,FALSE)</f>
        <v>6.4916666666666664E-2</v>
      </c>
      <c r="DE1007" s="304">
        <f>HLOOKUP($H1007,'GDP-PI'!$D$8:$CQ$11,3,FALSE)</f>
        <v>1.5246423291824351E-2</v>
      </c>
      <c r="DF1007" s="303">
        <f>VLOOKUP(H1007,'HW Dx Data'!$E:$F,2,FALSE)</f>
        <v>361.34816573413599</v>
      </c>
      <c r="DG1007" s="364"/>
      <c r="DH1007" s="364"/>
      <c r="DI1007" s="364"/>
      <c r="DJ1007" s="56"/>
      <c r="DK1007" s="53">
        <f>HLOOKUP(H1007,'GDP-PI'!$8:$9,2,FALSE)</f>
        <v>81.039000000000001</v>
      </c>
      <c r="DL1007" s="355">
        <f>LN(DK1007/DK1006)</f>
        <v>1.513136459537477E-2</v>
      </c>
      <c r="EC1007"/>
    </row>
    <row r="1008" spans="1:133" s="126" customFormat="1" ht="21" customHeight="1" x14ac:dyDescent="0.4">
      <c r="A1008" s="233" t="s">
        <v>242</v>
      </c>
      <c r="B1008" s="126" t="s">
        <v>243</v>
      </c>
      <c r="C1008" s="126">
        <v>4057096</v>
      </c>
      <c r="D1008" s="127" t="s">
        <v>194</v>
      </c>
      <c r="E1008" s="127" t="s">
        <v>15</v>
      </c>
      <c r="F1008" s="144"/>
      <c r="G1008" s="126" t="s">
        <v>159</v>
      </c>
      <c r="H1008" s="128">
        <v>2003</v>
      </c>
      <c r="I1008" s="129"/>
      <c r="J1008" s="125"/>
      <c r="K1008" s="125"/>
      <c r="L1008" s="47"/>
      <c r="M1008" s="125"/>
      <c r="N1008" s="125"/>
      <c r="O1008" s="125"/>
      <c r="P1008" s="59"/>
      <c r="Q1008" s="59"/>
      <c r="R1008" s="386"/>
      <c r="S1008" s="119"/>
      <c r="T1008" s="59"/>
      <c r="U1008" s="59"/>
      <c r="V1008" s="125"/>
      <c r="W1008" s="125"/>
      <c r="X1008" s="125"/>
      <c r="Y1008" s="125"/>
      <c r="Z1008" s="125"/>
      <c r="AA1008" s="125"/>
      <c r="AB1008" s="125"/>
      <c r="AC1008" s="125">
        <f t="shared" si="1813"/>
        <v>17103.848660575397</v>
      </c>
      <c r="AD1008" s="129"/>
      <c r="AE1008" s="133">
        <v>1751.5292972129416</v>
      </c>
      <c r="AF1008" s="134">
        <v>5.4004126182670337E-2</v>
      </c>
      <c r="AG1008" s="61"/>
      <c r="AH1008" s="134"/>
      <c r="AI1008" s="134"/>
      <c r="AJ1008" s="129">
        <f t="shared" si="1809"/>
        <v>17103.848660575397</v>
      </c>
      <c r="AK1008" s="134"/>
      <c r="AL1008" s="129"/>
      <c r="AM1008" s="129"/>
      <c r="AN1008" s="129"/>
      <c r="AO1008" s="129"/>
      <c r="AP1008" s="133"/>
      <c r="AQ1008" s="134"/>
      <c r="AR1008" s="93"/>
      <c r="AS1008" s="93"/>
      <c r="AT1008" s="93"/>
      <c r="AU1008" s="93"/>
      <c r="AV1008" s="93"/>
      <c r="AW1008" s="134"/>
      <c r="AX1008" s="62"/>
      <c r="AY1008" s="93"/>
      <c r="AZ1008" s="93"/>
      <c r="BA1008" s="93"/>
      <c r="BB1008" s="234">
        <f>IFERROR(INDEX('Total Customers'!$E$7:$AA$91,MATCH($C1008,'Total Customers'!$C$7:$C$91,0),MATCH($G1008,'Total Customers'!$E$5:$AA$5,0)),"NA")</f>
        <v>291686</v>
      </c>
      <c r="BC1008" s="269">
        <f t="shared" si="1768"/>
        <v>6.2798334126191908E-3</v>
      </c>
      <c r="BD1008" s="92"/>
      <c r="BE1008" s="299" t="str">
        <f t="shared" si="1764"/>
        <v>ROCHESTER GAS AND ELECTRIC CORPORATION</v>
      </c>
      <c r="BF1008" s="300">
        <f t="shared" si="1765"/>
        <v>4057096</v>
      </c>
      <c r="BG1008" s="231" t="str">
        <f t="shared" si="1766"/>
        <v>NY</v>
      </c>
      <c r="BH1008" s="231"/>
      <c r="BI1008" s="231" t="str">
        <f t="shared" si="1767"/>
        <v>2003 Y</v>
      </c>
      <c r="BJ1008" s="129"/>
      <c r="BK1008" s="129"/>
      <c r="BL1008" s="129"/>
      <c r="BM1008" s="129"/>
      <c r="BN1008" s="301"/>
      <c r="BO1008" s="231">
        <f t="shared" si="1722"/>
        <v>0</v>
      </c>
      <c r="BP1008" s="231">
        <f t="shared" si="1723"/>
        <v>0</v>
      </c>
      <c r="BQ1008" s="129"/>
      <c r="BR1008" s="129"/>
      <c r="BS1008" s="129"/>
      <c r="BT1008" s="129"/>
      <c r="BU1008" s="129"/>
      <c r="BV1008" s="129"/>
      <c r="BW1008" s="129"/>
      <c r="BX1008" s="137"/>
      <c r="BY1008" s="129"/>
      <c r="BZ1008" s="129"/>
      <c r="CA1008" s="129">
        <f t="shared" si="1721"/>
        <v>0</v>
      </c>
      <c r="CB1008" s="129"/>
      <c r="CC1008" s="133">
        <v>2003</v>
      </c>
      <c r="CD1008" s="129"/>
      <c r="CE1008" s="129"/>
      <c r="CF1008" s="129"/>
      <c r="CG1008" s="137"/>
      <c r="CH1008" s="129">
        <v>37458</v>
      </c>
      <c r="CI1008" s="46">
        <f t="shared" si="1823"/>
        <v>37458</v>
      </c>
      <c r="CJ1008" s="231">
        <f t="shared" si="1815"/>
        <v>101.44813407407959</v>
      </c>
      <c r="CK1008" s="443">
        <v>0.94845360824742264</v>
      </c>
      <c r="CL1008" s="231">
        <f>+CL1003*CK1008+CJ1004*CK1007+CJ1005*CK1006+CJ1006*CK1005+CJ1007*CK1004+CJ1008</f>
        <v>1713.2639636009624</v>
      </c>
      <c r="CM1008" s="134">
        <f t="shared" si="1816"/>
        <v>4.9954945040314218E-2</v>
      </c>
      <c r="CN1008" s="135">
        <f t="shared" si="1817"/>
        <v>1.1022768025767207E-2</v>
      </c>
      <c r="CO1008" s="135">
        <f t="shared" si="1826"/>
        <v>1.0741830309863247E-2</v>
      </c>
      <c r="CP1008" s="134">
        <f>VLOOKUP($H1008,RoR!$E:$F,2,FALSE)</f>
        <v>5.6666666666666671E-2</v>
      </c>
      <c r="CQ1008" s="135">
        <v>1.8855119140166909E-2</v>
      </c>
      <c r="CR1008" s="135">
        <f t="shared" si="1824"/>
        <v>3.7811547526499761E-2</v>
      </c>
      <c r="CS1008" s="135">
        <f t="shared" si="1827"/>
        <v>2.0160111298670378E-2</v>
      </c>
      <c r="CT1008" s="135">
        <f t="shared" si="1828"/>
        <v>2.1375012817671957E-2</v>
      </c>
      <c r="CU1008" s="139">
        <f t="shared" si="1818"/>
        <v>0.85329623209999994</v>
      </c>
      <c r="CV1008" s="335">
        <f t="shared" si="1819"/>
        <v>0.90497737556561086</v>
      </c>
      <c r="CW1008" s="335">
        <f t="shared" si="1820"/>
        <v>0.5338235294117647</v>
      </c>
      <c r="CX1008" s="335">
        <f t="shared" si="1821"/>
        <v>0.88972433127405692</v>
      </c>
      <c r="CY1008" s="335">
        <f t="shared" si="1822"/>
        <v>0.42982423775949252</v>
      </c>
      <c r="CZ1008" s="336">
        <f>INDEX('State Tax Lookup'!$D$7:$Z$91,MATCH(Calculation!$C1008,'State Tax Lookup'!$B$7:$B$91,0),MATCH($H1008,'State Tax Lookup'!$D$6:$Z$6,0))</f>
        <v>0.39649667</v>
      </c>
      <c r="DA1008" s="302">
        <v>0.37</v>
      </c>
      <c r="DB1008" s="57">
        <f t="shared" si="1825"/>
        <v>10.494571770899661</v>
      </c>
      <c r="DC1008" s="56">
        <f t="shared" si="1829"/>
        <v>8.393857345814399E-3</v>
      </c>
      <c r="DD1008" s="303">
        <f>VLOOKUP($H1008,RoR!$E:$F,2,FALSE)</f>
        <v>5.6666666666666671E-2</v>
      </c>
      <c r="DE1008" s="304">
        <f>HLOOKUP($H1008,'GDP-PI'!$D$8:$CQ$11,3,FALSE)</f>
        <v>1.8855119140166909E-2</v>
      </c>
      <c r="DF1008" s="303">
        <f>VLOOKUP(H1008,'HW Dx Data'!$E:$F,2,FALSE)</f>
        <v>369.23301095560191</v>
      </c>
      <c r="DG1008" s="364">
        <f ca="1">VLOOKUP(CC1008,'ECI - Input Price'!M$13:N$33,2,FALSE)</f>
        <v>89.25</v>
      </c>
      <c r="DH1008" s="364"/>
      <c r="DI1008" s="364"/>
      <c r="DJ1008" s="56"/>
      <c r="DK1008" s="53">
        <f>HLOOKUP(H1008,'GDP-PI'!$8:$9,2,FALSE)</f>
        <v>82.566999999999993</v>
      </c>
      <c r="DL1008" s="355">
        <f t="shared" ref="DL1008:DL1027" si="1830">LN(DK1008/DK1007)</f>
        <v>1.8679564681853753E-2</v>
      </c>
      <c r="EC1008"/>
    </row>
    <row r="1009" spans="1:133" s="126" customFormat="1" ht="21" customHeight="1" x14ac:dyDescent="0.4">
      <c r="A1009" s="233" t="s">
        <v>242</v>
      </c>
      <c r="B1009" s="126" t="s">
        <v>243</v>
      </c>
      <c r="C1009" s="126">
        <v>4057096</v>
      </c>
      <c r="D1009" s="127" t="s">
        <v>194</v>
      </c>
      <c r="E1009" s="127" t="s">
        <v>15</v>
      </c>
      <c r="F1009" s="144"/>
      <c r="G1009" s="126" t="s">
        <v>160</v>
      </c>
      <c r="H1009" s="128">
        <v>2004</v>
      </c>
      <c r="I1009" s="129"/>
      <c r="J1009" s="125">
        <f>IFERROR(INDEX('Labor Expenditures'!$E$7:$W$91,MATCH($C1009,'Labor Expenditures'!$C$7:$C$91,0),MATCH($G1009,'Labor Expenditures'!$E$5:$W$5,0)),"NA")</f>
        <v>21414.38729345335</v>
      </c>
      <c r="K1009" s="125">
        <f t="shared" ref="K1009:K1027" ca="1" si="1831">+J1009/DG1009</f>
        <v>226.96753888132858</v>
      </c>
      <c r="L1009" s="47"/>
      <c r="M1009" s="131"/>
      <c r="N1009" s="131"/>
      <c r="O1009" s="131"/>
      <c r="P1009" s="59"/>
      <c r="Q1009" s="59"/>
      <c r="R1009" s="386"/>
      <c r="S1009" s="119"/>
      <c r="T1009" s="59"/>
      <c r="U1009" s="59"/>
      <c r="V1009" s="125">
        <f>IFERROR(INDEX('Non-Labor Expenditures'!$E$7:$AA$91,MATCH($C1009,'Non-Labor Expenditures'!$C$7:$C$91,0),MATCH($G1009,'Non-Labor Expenditures'!$E$5:$AA$5,0)),"NA")</f>
        <v>31012.032456756358</v>
      </c>
      <c r="W1009" s="125">
        <f t="shared" ref="W1009:W1027" si="1832">+V1009/DK1009</f>
        <v>365.80283159258721</v>
      </c>
      <c r="X1009" s="125"/>
      <c r="Y1009" s="125"/>
      <c r="Z1009" s="125"/>
      <c r="AA1009" s="125"/>
      <c r="AB1009" s="125"/>
      <c r="AC1009" s="125">
        <f t="shared" si="1813"/>
        <v>19714.977563221346</v>
      </c>
      <c r="AD1009" s="129"/>
      <c r="AE1009" s="133">
        <v>1843.2670437477534</v>
      </c>
      <c r="AF1009" s="134">
        <v>5.1050273976314287E-2</v>
      </c>
      <c r="AG1009" s="59">
        <f t="shared" ref="AG1009:AG1027" si="1833">+AF1009*$AX1009</f>
        <v>0</v>
      </c>
      <c r="AH1009" s="134"/>
      <c r="AI1009" s="134"/>
      <c r="AJ1009" s="129">
        <f t="shared" si="1809"/>
        <v>72141.397313431051</v>
      </c>
      <c r="AK1009" s="134"/>
      <c r="AL1009" s="129"/>
      <c r="AM1009" s="129"/>
      <c r="AN1009" s="129"/>
      <c r="AO1009" s="129"/>
      <c r="AP1009" s="133"/>
      <c r="AQ1009" s="134"/>
      <c r="AR1009" s="93">
        <f t="shared" ref="AR1009:AR1027" si="1834">+J1009/AJ1009</f>
        <v>0.29683909781251894</v>
      </c>
      <c r="AS1009" s="93">
        <f t="shared" ref="AS1009:AS1027" si="1835">+V1009/AJ1009</f>
        <v>0.42987845552837162</v>
      </c>
      <c r="AT1009" s="93">
        <f t="shared" ref="AT1009:AT1027" si="1836">+AC1009/AJ1009</f>
        <v>0.2732824466591095</v>
      </c>
      <c r="AU1009" s="93"/>
      <c r="AV1009" s="93"/>
      <c r="AW1009" s="134"/>
      <c r="AX1009" s="62"/>
      <c r="AY1009" s="93"/>
      <c r="AZ1009" s="93"/>
      <c r="BA1009" s="93"/>
      <c r="BB1009" s="234">
        <f>IFERROR(INDEX('Total Customers'!$E$7:$AA$91,MATCH($C1009,'Total Customers'!$C$7:$C$91,0),MATCH($G1009,'Total Customers'!$E$5:$AA$5,0)),"NA")</f>
        <v>293334</v>
      </c>
      <c r="BC1009" s="269">
        <f t="shared" si="1768"/>
        <v>5.6340103218430714E-3</v>
      </c>
      <c r="BD1009" s="92"/>
      <c r="BE1009" s="299" t="str">
        <f t="shared" si="1764"/>
        <v>ROCHESTER GAS AND ELECTRIC CORPORATION</v>
      </c>
      <c r="BF1009" s="300">
        <f t="shared" si="1765"/>
        <v>4057096</v>
      </c>
      <c r="BG1009" s="231" t="str">
        <f t="shared" si="1766"/>
        <v>NY</v>
      </c>
      <c r="BH1009" s="231"/>
      <c r="BI1009" s="231" t="str">
        <f t="shared" si="1767"/>
        <v>2004 Y</v>
      </c>
      <c r="BJ1009" s="129"/>
      <c r="BK1009" s="129"/>
      <c r="BL1009" s="129">
        <f>INDEX('Dist. Plant Gas Additions'!$E$7:$AD$91,MATCH($C1009,'Dist. Plant Gas Additions'!$C$7:$C$91,0),MATCH(Calculation!$G1009,'Dist. Plant Gas Additions'!$E$5:$AD$5,0))</f>
        <v>42137</v>
      </c>
      <c r="BM1009" s="129">
        <f>INDEX('Gen. Plant Additions'!$E$7:$AD$91,MATCH($C1009,'Gen. Plant Additions'!$C$7:$C$91,0),MATCH(Calculation!$G1009,'Gen. Plant Additions'!$E$5:$AD$5,0))</f>
        <v>144</v>
      </c>
      <c r="BN1009" s="301">
        <f t="shared" si="1814"/>
        <v>0.99430833242206895</v>
      </c>
      <c r="BO1009" s="231">
        <f t="shared" si="1722"/>
        <v>143.18039986877793</v>
      </c>
      <c r="BP1009" s="231">
        <f t="shared" si="1723"/>
        <v>-0.81960013122207442</v>
      </c>
      <c r="BQ1009" s="129">
        <f>INDEX('Dist Plant Depreciation'!$D$7:$AC$94,MATCH($C1009,'Dist Plant Depreciation'!$C$7:$C$94,0),MATCH(Calculation!$G1009,'Dist Plant Depreciation'!$D$5:$AC$5,0))</f>
        <v>185843</v>
      </c>
      <c r="BR1009" s="129">
        <f>INDEX('Gen. Plant Depreciation'!$D$7:$AC$94,MATCH($C1009,'Gen. Plant Depreciation'!$C$7:$C$94,0),MATCH(Calculation!$G1009,'Gen. Plant Depreciation'!$D$5:$AC$5,0))</f>
        <v>1400</v>
      </c>
      <c r="BS1009" s="129"/>
      <c r="BT1009" s="129"/>
      <c r="BU1009" s="129"/>
      <c r="BV1009" s="129"/>
      <c r="BW1009" s="129"/>
      <c r="BX1009" s="137"/>
      <c r="BY1009" s="129">
        <f>INDEX('Gross Dx Plant'!$D$7:$AC$91,MATCH($C1009,'Gross Dx Plant'!$C$7:$C$91,0),MATCH(Calculation!$G1009,'Gross Dx Plant'!$D$5:$AC$5,0))</f>
        <v>554658</v>
      </c>
      <c r="BZ1009" s="129">
        <f>INDEX('Gross Gen Plant'!$D$7:$AC$91,MATCH($C1009,'Gross Gen Plant'!$C$7:$C$91,0),MATCH(Calculation!$G1009,'Gross Gen Plant'!$D$5:$AC$5,0))</f>
        <v>3175</v>
      </c>
      <c r="CA1009" s="129">
        <f t="shared" si="1721"/>
        <v>370590</v>
      </c>
      <c r="CB1009" s="129"/>
      <c r="CC1009" s="133">
        <v>2004</v>
      </c>
      <c r="CD1009" s="129"/>
      <c r="CE1009" s="129"/>
      <c r="CF1009" s="129"/>
      <c r="CG1009" s="137"/>
      <c r="CH1009" s="129">
        <f t="shared" ref="CH1009:CH1026" si="1837">+BM1009+BL1009</f>
        <v>42281</v>
      </c>
      <c r="CI1009" s="46">
        <f t="shared" si="1823"/>
        <v>42280.180399868776</v>
      </c>
      <c r="CJ1009" s="231">
        <f t="shared" si="1815"/>
        <v>101.90765413138141</v>
      </c>
      <c r="CK1009" s="443">
        <v>0.9375</v>
      </c>
      <c r="CL1009" s="231">
        <f>+CL1003*CK1009+CJ1004*CK1008+CJ1005*CK1007+CJ1006*CK1006+CJ1007*CK1005+CJ1008*CK1004+CJ1009</f>
        <v>1795.8299633894183</v>
      </c>
      <c r="CM1009" s="134">
        <f t="shared" si="1816"/>
        <v>4.7066988416449684E-2</v>
      </c>
      <c r="CN1009" s="135">
        <f t="shared" si="1817"/>
        <v>1.1289360398541833E-2</v>
      </c>
      <c r="CO1009" s="135">
        <f t="shared" si="1826"/>
        <v>1.1150596128856135E-2</v>
      </c>
      <c r="CP1009" s="134">
        <f>VLOOKUP($H1009,RoR!$E:$F,2,FALSE)</f>
        <v>5.6283333333333331E-2</v>
      </c>
      <c r="CQ1009" s="135">
        <v>2.6778252812867276E-2</v>
      </c>
      <c r="CR1009" s="135">
        <f t="shared" si="1824"/>
        <v>2.9505080520466055E-2</v>
      </c>
      <c r="CS1009" s="135">
        <f t="shared" si="1827"/>
        <v>1.9751345479677489E-2</v>
      </c>
      <c r="CT1009" s="135">
        <f t="shared" si="1828"/>
        <v>5.5940039414565046E-2</v>
      </c>
      <c r="CU1009" s="139">
        <f t="shared" si="1818"/>
        <v>0.85329623209999994</v>
      </c>
      <c r="CV1009" s="335">
        <f t="shared" si="1819"/>
        <v>0.91114097628755619</v>
      </c>
      <c r="CW1009" s="335">
        <f t="shared" si="1820"/>
        <v>0.53081877405981637</v>
      </c>
      <c r="CX1009" s="335">
        <f t="shared" si="1821"/>
        <v>0.88811215519385678</v>
      </c>
      <c r="CY1009" s="335">
        <f t="shared" si="1822"/>
        <v>0.42953609753547711</v>
      </c>
      <c r="CZ1009" s="336">
        <f>INDEX('State Tax Lookup'!$D$7:$Z$91,MATCH(Calculation!$C1009,'State Tax Lookup'!$B$7:$B$91,0),MATCH($H1009,'State Tax Lookup'!$D$6:$Z$6,0))</f>
        <v>0.39649667</v>
      </c>
      <c r="DA1009" s="302">
        <v>0.37</v>
      </c>
      <c r="DB1009" s="57">
        <f t="shared" si="1825"/>
        <v>11.507262151118924</v>
      </c>
      <c r="DC1009" s="56">
        <f t="shared" si="1829"/>
        <v>9.2120178177847525E-2</v>
      </c>
      <c r="DD1009" s="303">
        <f>VLOOKUP($H1009,RoR!$E:$F,2,FALSE)</f>
        <v>5.6283333333333331E-2</v>
      </c>
      <c r="DE1009" s="304">
        <f>HLOOKUP($H1009,'GDP-PI'!$D$8:$CQ$11,3,FALSE)</f>
        <v>2.6778252812867276E-2</v>
      </c>
      <c r="DF1009" s="303">
        <f>VLOOKUP(H1009,'HW Dx Data'!$E:$F,2,FALSE)</f>
        <v>414.88719135228365</v>
      </c>
      <c r="DG1009" s="364">
        <f ca="1">VLOOKUP(CC1009,'ECI - Input Price'!M$13:N$33,2,FALSE)</f>
        <v>94.35</v>
      </c>
      <c r="DH1009" s="364"/>
      <c r="DI1009" s="364"/>
      <c r="DJ1009" s="56">
        <f t="shared" ref="DJ1009:DJ1027" ca="1" si="1838">LN(DG1009/DG1008)</f>
        <v>5.5569851154810786E-2</v>
      </c>
      <c r="DK1009" s="53">
        <f>HLOOKUP(H1009,'GDP-PI'!$8:$9,2,FALSE)</f>
        <v>84.778000000000006</v>
      </c>
      <c r="DL1009" s="355">
        <f t="shared" si="1830"/>
        <v>2.6425990216022755E-2</v>
      </c>
      <c r="EC1009"/>
    </row>
    <row r="1010" spans="1:133" s="126" customFormat="1" ht="21" customHeight="1" x14ac:dyDescent="0.4">
      <c r="A1010" s="233" t="s">
        <v>242</v>
      </c>
      <c r="B1010" s="126" t="s">
        <v>243</v>
      </c>
      <c r="C1010" s="126">
        <v>4057096</v>
      </c>
      <c r="D1010" s="127" t="s">
        <v>194</v>
      </c>
      <c r="E1010" s="127" t="s">
        <v>15</v>
      </c>
      <c r="F1010" s="144"/>
      <c r="G1010" s="126" t="s">
        <v>161</v>
      </c>
      <c r="H1010" s="128">
        <v>2005</v>
      </c>
      <c r="I1010" s="129"/>
      <c r="J1010" s="125">
        <f>IFERROR(INDEX('Labor Expenditures'!$E$7:$W$91,MATCH($C1010,'Labor Expenditures'!$C$7:$C$91,0),MATCH($G1010,'Labor Expenditures'!$E$5:$W$5,0)),"NA")</f>
        <v>21875.042092597625</v>
      </c>
      <c r="K1010" s="125">
        <f t="shared" ca="1" si="1831"/>
        <v>220.45897800551904</v>
      </c>
      <c r="L1010" s="47"/>
      <c r="M1010" s="131">
        <f t="shared" ref="M1010:M1026" ca="1" si="1839">LN(K1010/K1009)</f>
        <v>-2.9095369945202291E-2</v>
      </c>
      <c r="N1010" s="131"/>
      <c r="O1010" s="131"/>
      <c r="P1010" s="59"/>
      <c r="Q1010" s="61"/>
      <c r="R1010" s="387"/>
      <c r="S1010" s="49">
        <v>100</v>
      </c>
      <c r="T1010" s="46"/>
      <c r="U1010" s="46"/>
      <c r="V1010" s="125">
        <f>IFERROR(INDEX('Non-Labor Expenditures'!$E$7:$AA$91,MATCH($C1010,'Non-Labor Expenditures'!$C$7:$C$91,0),MATCH($G1010,'Non-Labor Expenditures'!$E$5:$AA$5,0)),"NA")</f>
        <v>31679.14664436565</v>
      </c>
      <c r="W1010" s="125">
        <f t="shared" si="1832"/>
        <v>362.43260430361016</v>
      </c>
      <c r="X1010" s="131">
        <f>LN(W1010/W1009)</f>
        <v>-9.2559389013660252E-3</v>
      </c>
      <c r="Y1010" s="131"/>
      <c r="Z1010" s="131"/>
      <c r="AA1010" s="131"/>
      <c r="AB1010" s="131"/>
      <c r="AC1010" s="125">
        <f t="shared" si="1813"/>
        <v>23131.451555443757</v>
      </c>
      <c r="AD1010" s="129"/>
      <c r="AE1010" s="133">
        <v>1868.1912192948341</v>
      </c>
      <c r="AF1010" s="134">
        <v>1.3431135938159392E-2</v>
      </c>
      <c r="AG1010" s="59">
        <f t="shared" si="1833"/>
        <v>0</v>
      </c>
      <c r="AH1010" s="134"/>
      <c r="AI1010" s="134"/>
      <c r="AJ1010" s="129">
        <f t="shared" si="1809"/>
        <v>76685.640292407028</v>
      </c>
      <c r="AK1010" s="134">
        <f>LN(AJ1010/AJ1009)</f>
        <v>6.1086426955383473E-2</v>
      </c>
      <c r="AL1010" s="129"/>
      <c r="AM1010" s="129"/>
      <c r="AN1010" s="129"/>
      <c r="AO1010" s="129"/>
      <c r="AP1010" s="133"/>
      <c r="AQ1010" s="134"/>
      <c r="AR1010" s="93">
        <f t="shared" si="1834"/>
        <v>0.28525604023369633</v>
      </c>
      <c r="AS1010" s="93">
        <f t="shared" si="1835"/>
        <v>0.41310402473750146</v>
      </c>
      <c r="AT1010" s="93">
        <f t="shared" si="1836"/>
        <v>0.30163993502880226</v>
      </c>
      <c r="AU1010" s="93">
        <f t="shared" ref="AU1010:AU1026" ca="1" si="1840">+(((AR1010+AR1009)/2)*M1010+((AS1009+AS1010)/2)*X1010+((AT1009+AT1010)/2)*AF1010)</f>
        <v>-8.508503527340219E-3</v>
      </c>
      <c r="AV1010" s="132">
        <v>100</v>
      </c>
      <c r="AW1010" s="134"/>
      <c r="AX1010" s="15"/>
      <c r="AY1010" s="93"/>
      <c r="AZ1010" s="93"/>
      <c r="BA1010" s="93"/>
      <c r="BB1010" s="234">
        <f>IFERROR(INDEX('Total Customers'!$E$7:$AA$91,MATCH($C1010,'Total Customers'!$C$7:$C$91,0),MATCH($G1010,'Total Customers'!$E$5:$AA$5,0)),"NA")</f>
        <v>294647</v>
      </c>
      <c r="BC1010" s="269">
        <f t="shared" si="1768"/>
        <v>4.4661381319014305E-3</v>
      </c>
      <c r="BD1010" s="92"/>
      <c r="BE1010" s="299" t="str">
        <f t="shared" si="1764"/>
        <v>ROCHESTER GAS AND ELECTRIC CORPORATION</v>
      </c>
      <c r="BF1010" s="300">
        <f t="shared" si="1765"/>
        <v>4057096</v>
      </c>
      <c r="BG1010" s="231" t="str">
        <f t="shared" si="1766"/>
        <v>NY</v>
      </c>
      <c r="BH1010" s="231"/>
      <c r="BI1010" s="231" t="str">
        <f t="shared" si="1767"/>
        <v>2005 Y</v>
      </c>
      <c r="BJ1010" s="129"/>
      <c r="BK1010" s="129"/>
      <c r="BL1010" s="129">
        <f>INDEX('Dist. Plant Gas Additions'!$E$7:$AD$91,MATCH($C1010,'Dist. Plant Gas Additions'!$C$7:$C$91,0),MATCH(Calculation!$G1010,'Dist. Plant Gas Additions'!$E$5:$AD$5,0))</f>
        <v>16673</v>
      </c>
      <c r="BM1010" s="129">
        <f>INDEX('Gen. Plant Additions'!$E$7:$AD$91,MATCH($C1010,'Gen. Plant Additions'!$C$7:$C$91,0),MATCH(Calculation!$G1010,'Gen. Plant Additions'!$E$5:$AD$5,0))</f>
        <v>187</v>
      </c>
      <c r="BN1010" s="301">
        <f t="shared" si="1814"/>
        <v>0.99413423221601105</v>
      </c>
      <c r="BO1010" s="231">
        <f t="shared" si="1722"/>
        <v>185.90310142439407</v>
      </c>
      <c r="BP1010" s="231">
        <f t="shared" si="1723"/>
        <v>-1.096898575605934</v>
      </c>
      <c r="BQ1010" s="129">
        <f>INDEX('Dist Plant Depreciation'!$D$7:$AC$94,MATCH($C1010,'Dist Plant Depreciation'!$C$7:$C$94,0),MATCH(Calculation!$G1010,'Dist Plant Depreciation'!$D$5:$AC$5,0))</f>
        <v>196916</v>
      </c>
      <c r="BR1010" s="129">
        <f>INDEX('Gen. Plant Depreciation'!$D$7:$AC$94,MATCH($C1010,'Gen. Plant Depreciation'!$C$7:$C$94,0),MATCH(Calculation!$G1010,'Gen. Plant Depreciation'!$D$5:$AC$5,0))</f>
        <v>1451</v>
      </c>
      <c r="BS1010" s="129"/>
      <c r="BT1010" s="129"/>
      <c r="BU1010" s="129"/>
      <c r="BV1010" s="129"/>
      <c r="BW1010" s="129"/>
      <c r="BX1010" s="137"/>
      <c r="BY1010" s="129">
        <f>INDEX('Gross Dx Plant'!$D$7:$AC$91,MATCH($C1010,'Gross Dx Plant'!$C$7:$C$91,0),MATCH(Calculation!$G1010,'Gross Dx Plant'!$D$5:$AC$5,0))</f>
        <v>569794</v>
      </c>
      <c r="BZ1010" s="129">
        <f>INDEX('Gross Gen Plant'!$D$7:$AC$91,MATCH($C1010,'Gross Gen Plant'!$C$7:$C$91,0),MATCH(Calculation!$G1010,'Gross Gen Plant'!$D$5:$AC$5,0))</f>
        <v>3362</v>
      </c>
      <c r="CA1010" s="129">
        <f t="shared" si="1721"/>
        <v>374789</v>
      </c>
      <c r="CB1010" s="129"/>
      <c r="CC1010" s="133">
        <v>2005</v>
      </c>
      <c r="CD1010" s="129"/>
      <c r="CE1010" s="129"/>
      <c r="CF1010" s="129"/>
      <c r="CG1010" s="137"/>
      <c r="CH1010" s="129">
        <f t="shared" si="1837"/>
        <v>16860</v>
      </c>
      <c r="CI1010" s="46">
        <f t="shared" si="1823"/>
        <v>16858.903101424396</v>
      </c>
      <c r="CJ1010" s="231">
        <f t="shared" si="1815"/>
        <v>35.930772388536766</v>
      </c>
      <c r="CK1010" s="443">
        <v>0.9263157894736842</v>
      </c>
      <c r="CL1010" s="231">
        <f>+CL1003*CK1010+CJ1004*CK1009+CJ1005*CK1008+CJ1006*CK1007+CJ1007*CK1006+CJ1008*CK1005+CJ1009*CK1004+CJ1010</f>
        <v>1811.0057710947881</v>
      </c>
      <c r="CM1010" s="134">
        <f t="shared" si="1816"/>
        <v>8.4150753606549444E-3</v>
      </c>
      <c r="CN1010" s="135">
        <f t="shared" si="1817"/>
        <v>1.1557310606397486E-2</v>
      </c>
      <c r="CO1010" s="135">
        <f t="shared" si="1826"/>
        <v>1.1289813010235508E-2</v>
      </c>
      <c r="CP1010" s="134">
        <f>VLOOKUP($H1010,RoR!$E:$F,2,FALSE)</f>
        <v>5.2350000000000001E-2</v>
      </c>
      <c r="CQ1010" s="135">
        <v>3.1010403642454332E-2</v>
      </c>
      <c r="CR1010" s="135">
        <f t="shared" si="1824"/>
        <v>2.1339596357545669E-2</v>
      </c>
      <c r="CS1010" s="135">
        <f t="shared" si="1827"/>
        <v>1.9612128598298119E-2</v>
      </c>
      <c r="CT1010" s="135">
        <f t="shared" si="1828"/>
        <v>9.2129610649277341E-2</v>
      </c>
      <c r="CU1010" s="139">
        <f t="shared" si="1818"/>
        <v>0.85329623209999994</v>
      </c>
      <c r="CV1010" s="335">
        <f t="shared" si="1819"/>
        <v>0.97959983346802826</v>
      </c>
      <c r="CW1010" s="335">
        <f t="shared" si="1820"/>
        <v>0.49744508118433622</v>
      </c>
      <c r="CX1010" s="335">
        <f t="shared" si="1821"/>
        <v>0.87010519444335932</v>
      </c>
      <c r="CY1010" s="335">
        <f t="shared" si="1822"/>
        <v>0.42399975420741998</v>
      </c>
      <c r="CZ1010" s="336">
        <f>INDEX('State Tax Lookup'!$D$7:$Z$91,MATCH(Calculation!$C1010,'State Tax Lookup'!$B$7:$B$91,0),MATCH($H1010,'State Tax Lookup'!$D$6:$Z$6,0))</f>
        <v>0.39649667</v>
      </c>
      <c r="DA1010" s="302">
        <v>0.37</v>
      </c>
      <c r="DB1010" s="57">
        <f t="shared" si="1825"/>
        <v>12.880646846868428</v>
      </c>
      <c r="DC1010" s="56">
        <f t="shared" si="1829"/>
        <v>0.11274761298127393</v>
      </c>
      <c r="DD1010" s="303">
        <f>VLOOKUP($H1010,RoR!$E:$F,2,FALSE)</f>
        <v>5.2350000000000001E-2</v>
      </c>
      <c r="DE1010" s="304">
        <f>HLOOKUP($H1010,'GDP-PI'!$D$8:$CQ$11,3,FALSE)</f>
        <v>3.1010403642454332E-2</v>
      </c>
      <c r="DF1010" s="303">
        <f>VLOOKUP(H1010,'HW Dx Data'!$E:$F,2,FALSE)</f>
        <v>469.20514034936258</v>
      </c>
      <c r="DG1010" s="364">
        <f ca="1">VLOOKUP(CC1010,'ECI - Input Price'!M$13:N$33,2,FALSE)</f>
        <v>99.224999999999994</v>
      </c>
      <c r="DH1010" s="364"/>
      <c r="DI1010" s="364"/>
      <c r="DJ1010" s="56">
        <f t="shared" ca="1" si="1838"/>
        <v>5.0378726854569796E-2</v>
      </c>
      <c r="DK1010" s="53">
        <f>HLOOKUP(H1010,'GDP-PI'!$8:$9,2,FALSE)</f>
        <v>87.406999999999996</v>
      </c>
      <c r="DL1010" s="355">
        <f t="shared" si="1830"/>
        <v>3.0539295810733648E-2</v>
      </c>
      <c r="EC1010"/>
    </row>
    <row r="1011" spans="1:133" s="126" customFormat="1" ht="21" customHeight="1" x14ac:dyDescent="0.4">
      <c r="A1011" s="233" t="s">
        <v>242</v>
      </c>
      <c r="B1011" s="126" t="s">
        <v>243</v>
      </c>
      <c r="C1011" s="126">
        <v>4057096</v>
      </c>
      <c r="D1011" s="127" t="s">
        <v>194</v>
      </c>
      <c r="E1011" s="127" t="s">
        <v>15</v>
      </c>
      <c r="F1011" s="144"/>
      <c r="G1011" s="126" t="s">
        <v>162</v>
      </c>
      <c r="H1011" s="128">
        <v>2006</v>
      </c>
      <c r="I1011" s="129"/>
      <c r="J1011" s="125">
        <f>IFERROR(INDEX('Labor Expenditures'!$E$7:$W$91,MATCH($C1011,'Labor Expenditures'!$C$7:$C$91,0),MATCH($G1011,'Labor Expenditures'!$E$5:$W$5,0)),"NA")</f>
        <v>18823.587771424191</v>
      </c>
      <c r="K1011" s="125">
        <f t="shared" ca="1" si="1831"/>
        <v>172.06204544263429</v>
      </c>
      <c r="L1011" s="47"/>
      <c r="M1011" s="131">
        <f t="shared" ca="1" si="1839"/>
        <v>-0.24785649570395268</v>
      </c>
      <c r="N1011" s="131"/>
      <c r="O1011" s="131"/>
      <c r="P1011" s="59">
        <f t="shared" ref="P1011:P1027" ca="1" si="1841">+M1011*$AX1011</f>
        <v>-2.3280277041910829E-3</v>
      </c>
      <c r="Q1011" s="61"/>
      <c r="R1011" s="387"/>
      <c r="S1011" s="49">
        <f ca="1">+S1010*EXP(T1011)</f>
        <v>114.06065734662616</v>
      </c>
      <c r="T1011" s="61">
        <f ca="1">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</f>
        <v>0.13156020288892467</v>
      </c>
      <c r="U1011" s="61"/>
      <c r="V1011" s="125">
        <f>IFERROR(INDEX('Non-Labor Expenditures'!$E$7:$AA$91,MATCH($C1011,'Non-Labor Expenditures'!$C$7:$C$91,0),MATCH($G1011,'Non-Labor Expenditures'!$E$5:$AA$5,0)),"NA")</f>
        <v>27260.070854255599</v>
      </c>
      <c r="W1011" s="125">
        <f t="shared" si="1832"/>
        <v>302.64083813592822</v>
      </c>
      <c r="X1011" s="131">
        <f t="shared" ref="X1011:X1026" si="1842">LN(W1011/W1010)</f>
        <v>-0.18029178811065538</v>
      </c>
      <c r="Y1011" s="131">
        <f t="shared" ref="Y1011:Y1027" si="1843">+X1011*AX1011</f>
        <v>-1.6934164923443672E-3</v>
      </c>
      <c r="Z1011" s="131"/>
      <c r="AA1011" s="131"/>
      <c r="AB1011" s="131"/>
      <c r="AC1011" s="125">
        <f t="shared" si="1813"/>
        <v>22607.974915709579</v>
      </c>
      <c r="AD1011" s="129"/>
      <c r="AE1011" s="133">
        <v>1889.7983022952064</v>
      </c>
      <c r="AF1011" s="134">
        <v>1.1499404657259973E-2</v>
      </c>
      <c r="AG1011" s="59">
        <f t="shared" si="1833"/>
        <v>1.080098084489228E-4</v>
      </c>
      <c r="AH1011" s="134"/>
      <c r="AI1011" s="134"/>
      <c r="AJ1011" s="129">
        <f t="shared" si="1809"/>
        <v>68691.633541389368</v>
      </c>
      <c r="AK1011" s="134">
        <f t="shared" ref="AK1011:AK1027" si="1844">LN(AJ1011/AJ1010)</f>
        <v>-0.11008706241163888</v>
      </c>
      <c r="AL1011" s="129"/>
      <c r="AM1011" s="129"/>
      <c r="AN1011" s="129"/>
      <c r="AO1011" s="129"/>
      <c r="AP1011" s="133">
        <f t="shared" ref="AP1011:AP1027" si="1845">+(AJ1011*1000)/BB1011</f>
        <v>232.55815861040367</v>
      </c>
      <c r="AQ1011" s="134">
        <f>+BB1011/Outputs!$B$14</f>
        <v>8.5167721798475021E-3</v>
      </c>
      <c r="AR1011" s="93">
        <f t="shared" si="1834"/>
        <v>0.27403028288855952</v>
      </c>
      <c r="AS1011" s="93">
        <f t="shared" si="1835"/>
        <v>0.39684703141948646</v>
      </c>
      <c r="AT1011" s="93">
        <f t="shared" si="1836"/>
        <v>0.32912268569195402</v>
      </c>
      <c r="AU1011" s="93">
        <f t="shared" ca="1" si="1840"/>
        <v>-0.13869843886127317</v>
      </c>
      <c r="AV1011" s="132">
        <f ca="1">+AV1010*EXP(AU1011)</f>
        <v>87.049049498632897</v>
      </c>
      <c r="AW1011" s="134">
        <f ca="1">LN(AV1011/AV1010)</f>
        <v>-0.13869843886127312</v>
      </c>
      <c r="AX1011" s="56">
        <f>+AJ1011/$AL$11</f>
        <v>9.3926435035688958E-3</v>
      </c>
      <c r="AY1011" s="135">
        <f ca="1">+AX1011*AW1011</f>
        <v>-1.3027449907254845E-3</v>
      </c>
      <c r="AZ1011" s="93"/>
      <c r="BA1011" s="93"/>
      <c r="BB1011" s="234">
        <f>IFERROR(INDEX('Total Customers'!$E$7:$AA$91,MATCH($C1011,'Total Customers'!$C$7:$C$91,0),MATCH($G1011,'Total Customers'!$E$5:$AA$5,0)),"NA")</f>
        <v>295374</v>
      </c>
      <c r="BC1011" s="269">
        <f t="shared" si="1768"/>
        <v>2.464320313734481E-3</v>
      </c>
      <c r="BD1011" s="92"/>
      <c r="BE1011" s="299" t="str">
        <f t="shared" si="1764"/>
        <v>ROCHESTER GAS AND ELECTRIC CORPORATION</v>
      </c>
      <c r="BF1011" s="300">
        <f t="shared" si="1765"/>
        <v>4057096</v>
      </c>
      <c r="BG1011" s="231" t="str">
        <f t="shared" si="1766"/>
        <v>NY</v>
      </c>
      <c r="BH1011" s="231"/>
      <c r="BI1011" s="231" t="str">
        <f t="shared" si="1767"/>
        <v>2006 Y</v>
      </c>
      <c r="BJ1011" s="129"/>
      <c r="BK1011" s="129"/>
      <c r="BL1011" s="129">
        <f>INDEX('Dist. Plant Gas Additions'!$E$7:$AD$91,MATCH($C1011,'Dist. Plant Gas Additions'!$C$7:$C$91,0),MATCH(Calculation!$G1011,'Dist. Plant Gas Additions'!$E$5:$AD$5,0))</f>
        <v>15100</v>
      </c>
      <c r="BM1011" s="129">
        <f>INDEX('Gen. Plant Additions'!$E$7:$AD$91,MATCH($C1011,'Gen. Plant Additions'!$C$7:$C$91,0),MATCH(Calculation!$G1011,'Gen. Plant Additions'!$E$5:$AD$5,0))</f>
        <v>188</v>
      </c>
      <c r="BN1011" s="301">
        <f t="shared" si="1814"/>
        <v>0.99393237071676643</v>
      </c>
      <c r="BO1011" s="231">
        <f t="shared" si="1722"/>
        <v>186.85928569475209</v>
      </c>
      <c r="BP1011" s="231">
        <f t="shared" si="1723"/>
        <v>-1.1407143052479114</v>
      </c>
      <c r="BQ1011" s="129">
        <f>INDEX('Dist Plant Depreciation'!$D$7:$AC$94,MATCH($C1011,'Dist Plant Depreciation'!$C$7:$C$94,0),MATCH(Calculation!$G1011,'Dist Plant Depreciation'!$D$5:$AC$5,0))</f>
        <v>205393</v>
      </c>
      <c r="BR1011" s="129">
        <f>INDEX('Gen. Plant Depreciation'!$D$7:$AC$94,MATCH($C1011,'Gen. Plant Depreciation'!$C$7:$C$94,0),MATCH(Calculation!$G1011,'Gen. Plant Depreciation'!$D$5:$AC$5,0))</f>
        <v>1578</v>
      </c>
      <c r="BS1011" s="129"/>
      <c r="BT1011" s="129"/>
      <c r="BU1011" s="129"/>
      <c r="BV1011" s="129"/>
      <c r="BW1011" s="129"/>
      <c r="BX1011" s="137"/>
      <c r="BY1011" s="129">
        <f>INDEX('Gross Dx Plant'!$D$7:$AC$91,MATCH($C1011,'Gross Dx Plant'!$C$7:$C$91,0),MATCH(Calculation!$G1011,'Gross Dx Plant'!$D$5:$AC$5,0))</f>
        <v>581522</v>
      </c>
      <c r="BZ1011" s="129">
        <f>INDEX('Gross Gen Plant'!$D$7:$AC$91,MATCH($C1011,'Gross Gen Plant'!$C$7:$C$91,0),MATCH(Calculation!$G1011,'Gross Gen Plant'!$D$5:$AC$5,0))</f>
        <v>3550</v>
      </c>
      <c r="CA1011" s="129">
        <f t="shared" si="1721"/>
        <v>378101</v>
      </c>
      <c r="CB1011" s="134"/>
      <c r="CC1011" s="133">
        <v>2006</v>
      </c>
      <c r="CD1011" s="129"/>
      <c r="CE1011" s="129"/>
      <c r="CF1011" s="129"/>
      <c r="CG1011" s="137"/>
      <c r="CH1011" s="129">
        <f t="shared" si="1837"/>
        <v>15288</v>
      </c>
      <c r="CI1011" s="46">
        <f t="shared" si="1823"/>
        <v>15286.859285694753</v>
      </c>
      <c r="CJ1011" s="231">
        <f t="shared" si="1815"/>
        <v>33.154053985658514</v>
      </c>
      <c r="CK1011" s="443">
        <v>0.91489361702127658</v>
      </c>
      <c r="CL1011" s="231">
        <f>+CL1003*CK1011+CJ1004*CK1010+CJ1005*CK1009+CJ1006*CK1008+CJ1007*CK1007+CJ1008*CK1006+CJ1009*CK1005+CJ1010*CK1004+CJ1011</f>
        <v>1822.6117917761542</v>
      </c>
      <c r="CM1011" s="134">
        <f t="shared" si="1816"/>
        <v>6.3881572285838066E-3</v>
      </c>
      <c r="CN1011" s="135">
        <f t="shared" si="1817"/>
        <v>1.1898379148326083E-2</v>
      </c>
      <c r="CO1011" s="135">
        <f t="shared" si="1826"/>
        <v>1.1581683384421801E-2</v>
      </c>
      <c r="CP1011" s="134">
        <f>VLOOKUP($H1011,RoR!$E:$F,2,FALSE)</f>
        <v>5.5874999999999994E-2</v>
      </c>
      <c r="CQ1011" s="135">
        <v>3.0512430354548314E-2</v>
      </c>
      <c r="CR1011" s="135">
        <f t="shared" si="1824"/>
        <v>2.536256964545168E-2</v>
      </c>
      <c r="CS1011" s="135">
        <f t="shared" si="1827"/>
        <v>1.9320258224111826E-2</v>
      </c>
      <c r="CT1011" s="135">
        <f t="shared" si="1828"/>
        <v>7.9087823893859641E-2</v>
      </c>
      <c r="CU1011" s="139">
        <f t="shared" si="1818"/>
        <v>0.85329623209999994</v>
      </c>
      <c r="CV1011" s="335">
        <f t="shared" si="1819"/>
        <v>0.91779957551769631</v>
      </c>
      <c r="CW1011" s="335">
        <f t="shared" si="1820"/>
        <v>0.52757270693512304</v>
      </c>
      <c r="CX1011" s="335">
        <f t="shared" si="1821"/>
        <v>0.88636824549024895</v>
      </c>
      <c r="CY1011" s="335">
        <f t="shared" si="1822"/>
        <v>0.42918482841932087</v>
      </c>
      <c r="CZ1011" s="336">
        <f>INDEX('State Tax Lookup'!$D$7:$Z$91,MATCH(Calculation!$C1011,'State Tax Lookup'!$B$7:$B$91,0),MATCH($H1011,'State Tax Lookup'!$D$6:$Z$6,0))</f>
        <v>0.39649667</v>
      </c>
      <c r="DA1011" s="302">
        <v>0.37</v>
      </c>
      <c r="DB1011" s="57">
        <f t="shared" si="1825"/>
        <v>12.483657024484588</v>
      </c>
      <c r="DC1011" s="56">
        <f t="shared" si="1829"/>
        <v>-3.1305589621131662E-2</v>
      </c>
      <c r="DD1011" s="303">
        <f>VLOOKUP($H1011,RoR!$E:$F,2,FALSE)</f>
        <v>5.5874999999999994E-2</v>
      </c>
      <c r="DE1011" s="304">
        <f>HLOOKUP($H1011,'GDP-PI'!$D$8:$CQ$11,3,FALSE)</f>
        <v>3.0512430354548314E-2</v>
      </c>
      <c r="DF1011" s="303">
        <f>VLOOKUP(H1011,'HW Dx Data'!$E:$F,2,FALSE)</f>
        <v>461.08567272971823</v>
      </c>
      <c r="DG1011" s="364">
        <f ca="1">VLOOKUP(CC1011,'ECI - Input Price'!M$13:N$33,2,FALSE)</f>
        <v>109.4</v>
      </c>
      <c r="DH1011" s="364"/>
      <c r="DI1011" s="364"/>
      <c r="DJ1011" s="56">
        <f t="shared" ca="1" si="1838"/>
        <v>9.7620891318751846E-2</v>
      </c>
      <c r="DK1011" s="53">
        <f>HLOOKUP(H1011,'GDP-PI'!$8:$9,2,FALSE)</f>
        <v>90.073999999999998</v>
      </c>
      <c r="DL1011" s="355">
        <f t="shared" si="1830"/>
        <v>3.005618372545445E-2</v>
      </c>
      <c r="EC1011"/>
    </row>
    <row r="1012" spans="1:133" s="126" customFormat="1" ht="21" customHeight="1" x14ac:dyDescent="0.4">
      <c r="A1012" s="233" t="s">
        <v>242</v>
      </c>
      <c r="B1012" s="126" t="s">
        <v>243</v>
      </c>
      <c r="C1012" s="126">
        <v>4057096</v>
      </c>
      <c r="D1012" s="127" t="s">
        <v>194</v>
      </c>
      <c r="E1012" s="127" t="s">
        <v>15</v>
      </c>
      <c r="F1012" s="144"/>
      <c r="G1012" s="126" t="s">
        <v>163</v>
      </c>
      <c r="H1012" s="128">
        <v>2007</v>
      </c>
      <c r="I1012" s="129"/>
      <c r="J1012" s="125">
        <f>IFERROR(INDEX('Labor Expenditures'!$E$7:$W$91,MATCH($C1012,'Labor Expenditures'!$C$7:$C$91,0),MATCH($G1012,'Labor Expenditures'!$E$5:$W$5,0)),"NA")</f>
        <v>19355.042196651841</v>
      </c>
      <c r="K1012" s="125">
        <f t="shared" ca="1" si="1831"/>
        <v>185.17141541881696</v>
      </c>
      <c r="L1012" s="47"/>
      <c r="M1012" s="131">
        <f t="shared" ca="1" si="1839"/>
        <v>7.3426824825004317E-2</v>
      </c>
      <c r="N1012" s="131"/>
      <c r="O1012" s="131"/>
      <c r="P1012" s="59">
        <f t="shared" ca="1" si="1841"/>
        <v>6.8587116167251783E-4</v>
      </c>
      <c r="Q1012" s="61"/>
      <c r="R1012" s="387"/>
      <c r="S1012" s="49">
        <f t="shared" ref="S1012:S1025" ca="1" si="1846">+S1011*EXP(T1012)</f>
        <v>120.20822926101982</v>
      </c>
      <c r="T1012" s="61">
        <f ca="1">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</f>
        <v>5.2495093950650662E-2</v>
      </c>
      <c r="U1012" s="61"/>
      <c r="V1012" s="125">
        <f>IFERROR(INDEX('Non-Labor Expenditures'!$E$7:$AA$91,MATCH($C1012,'Non-Labor Expenditures'!$C$7:$C$91,0),MATCH($G1012,'Non-Labor Expenditures'!$E$5:$AA$5,0)),"NA")</f>
        <v>28029.716123979721</v>
      </c>
      <c r="W1012" s="125">
        <f t="shared" si="1832"/>
        <v>303.03051010810742</v>
      </c>
      <c r="X1012" s="131">
        <f t="shared" si="1842"/>
        <v>1.2867441297141082E-3</v>
      </c>
      <c r="Y1012" s="131">
        <f t="shared" si="1843"/>
        <v>1.2019322544936921E-5</v>
      </c>
      <c r="Z1012" s="131"/>
      <c r="AA1012" s="131"/>
      <c r="AB1012" s="131"/>
      <c r="AC1012" s="125">
        <f t="shared" si="1813"/>
        <v>24216.501143518741</v>
      </c>
      <c r="AD1012" s="129"/>
      <c r="AE1012" s="133">
        <v>1911.0926874042643</v>
      </c>
      <c r="AF1012" s="134">
        <v>1.1205061110580847E-2</v>
      </c>
      <c r="AG1012" s="59">
        <f t="shared" si="1833"/>
        <v>1.0466513156249892E-4</v>
      </c>
      <c r="AH1012" s="134"/>
      <c r="AI1012" s="134"/>
      <c r="AJ1012" s="129">
        <f t="shared" si="1809"/>
        <v>71601.259464150295</v>
      </c>
      <c r="AK1012" s="134">
        <f t="shared" si="1844"/>
        <v>4.1485254793637502E-2</v>
      </c>
      <c r="AL1012" s="129"/>
      <c r="AM1012" s="129"/>
      <c r="AN1012" s="129"/>
      <c r="AO1012" s="129"/>
      <c r="AP1012" s="133">
        <f t="shared" si="1845"/>
        <v>241.51184926738296</v>
      </c>
      <c r="AQ1012" s="134">
        <f>+BB1012/Outputs!$B$15</f>
        <v>8.4840413879715554E-3</v>
      </c>
      <c r="AR1012" s="93">
        <f t="shared" si="1834"/>
        <v>0.27031706343577139</v>
      </c>
      <c r="AS1012" s="93">
        <f t="shared" si="1835"/>
        <v>0.39146959611812121</v>
      </c>
      <c r="AT1012" s="93">
        <f t="shared" si="1836"/>
        <v>0.33821334044610751</v>
      </c>
      <c r="AU1012" s="93">
        <f t="shared" ca="1" si="1840"/>
        <v>2.4230799994760903E-2</v>
      </c>
      <c r="AV1012" s="132">
        <f ca="1">+AV1011*EXP(AU1012)</f>
        <v>89.184079893028724</v>
      </c>
      <c r="AW1012" s="134">
        <f ca="1">LN(AV1012/AV1011)</f>
        <v>2.4230799994760927E-2</v>
      </c>
      <c r="AX1012" s="56">
        <f>+AJ1012/$AL$12</f>
        <v>9.3408800299772127E-3</v>
      </c>
      <c r="AY1012" s="135">
        <f t="shared" ref="AY1012:AY1026" ca="1" si="1847">+AX1012*AW1012</f>
        <v>2.263369957814343E-4</v>
      </c>
      <c r="AZ1012" s="93"/>
      <c r="BA1012" s="93"/>
      <c r="BB1012" s="234">
        <f>IFERROR(INDEX('Total Customers'!$E$7:$AA$91,MATCH($C1012,'Total Customers'!$C$7:$C$91,0),MATCH($G1012,'Total Customers'!$E$5:$AA$5,0)),"NA")</f>
        <v>296471</v>
      </c>
      <c r="BC1012" s="269">
        <f t="shared" si="1768"/>
        <v>3.7070559226543018E-3</v>
      </c>
      <c r="BD1012" s="92"/>
      <c r="BE1012" s="299" t="str">
        <f t="shared" si="1764"/>
        <v>ROCHESTER GAS AND ELECTRIC CORPORATION</v>
      </c>
      <c r="BF1012" s="300">
        <f t="shared" si="1765"/>
        <v>4057096</v>
      </c>
      <c r="BG1012" s="231" t="str">
        <f t="shared" si="1766"/>
        <v>NY</v>
      </c>
      <c r="BH1012" s="231"/>
      <c r="BI1012" s="231" t="str">
        <f t="shared" si="1767"/>
        <v>2007 Y</v>
      </c>
      <c r="BJ1012" s="129"/>
      <c r="BK1012" s="129"/>
      <c r="BL1012" s="129">
        <f>INDEX('Dist. Plant Gas Additions'!$E$7:$AD$91,MATCH($C1012,'Dist. Plant Gas Additions'!$C$7:$C$91,0),MATCH(Calculation!$G1012,'Dist. Plant Gas Additions'!$E$5:$AD$5,0))</f>
        <v>16470</v>
      </c>
      <c r="BM1012" s="129">
        <f>INDEX('Gen. Plant Additions'!$E$7:$AD$91,MATCH($C1012,'Gen. Plant Additions'!$C$7:$C$91,0),MATCH(Calculation!$G1012,'Gen. Plant Additions'!$E$5:$AD$5,0))</f>
        <v>161</v>
      </c>
      <c r="BN1012" s="301">
        <f t="shared" si="1814"/>
        <v>0.99408600086464904</v>
      </c>
      <c r="BO1012" s="231">
        <f t="shared" si="1722"/>
        <v>160.0478461392085</v>
      </c>
      <c r="BP1012" s="231">
        <f t="shared" si="1723"/>
        <v>-0.95215386079149766</v>
      </c>
      <c r="BQ1012" s="129">
        <f>INDEX('Dist Plant Depreciation'!$D$7:$AC$94,MATCH($C1012,'Dist Plant Depreciation'!$C$7:$C$94,0),MATCH(Calculation!$G1012,'Dist Plant Depreciation'!$D$5:$AC$5,0))</f>
        <v>215621</v>
      </c>
      <c r="BR1012" s="129">
        <f>INDEX('Gen. Plant Depreciation'!$D$7:$AC$94,MATCH($C1012,'Gen. Plant Depreciation'!$C$7:$C$94,0),MATCH(Calculation!$G1012,'Gen. Plant Depreciation'!$D$5:$AC$5,0))</f>
        <v>1541</v>
      </c>
      <c r="BS1012" s="129"/>
      <c r="BT1012" s="129"/>
      <c r="BU1012" s="129"/>
      <c r="BV1012" s="129"/>
      <c r="BW1012" s="129"/>
      <c r="BX1012" s="137"/>
      <c r="BY1012" s="129">
        <f>INDEX('Gross Dx Plant'!$D$7:$AC$91,MATCH($C1012,'Gross Dx Plant'!$C$7:$C$91,0),MATCH(Calculation!$G1012,'Gross Dx Plant'!$D$5:$AC$5,0))</f>
        <v>595544</v>
      </c>
      <c r="BZ1012" s="129">
        <f>INDEX('Gross Gen Plant'!$D$7:$AC$91,MATCH($C1012,'Gross Gen Plant'!$C$7:$C$91,0),MATCH(Calculation!$G1012,'Gross Gen Plant'!$D$5:$AC$5,0))</f>
        <v>3543</v>
      </c>
      <c r="CA1012" s="129">
        <f t="shared" si="1721"/>
        <v>381925</v>
      </c>
      <c r="CB1012" s="129"/>
      <c r="CC1012" s="133">
        <v>2007</v>
      </c>
      <c r="CD1012" s="129"/>
      <c r="CE1012" s="129"/>
      <c r="CF1012" s="129"/>
      <c r="CG1012" s="137"/>
      <c r="CH1012" s="129">
        <f t="shared" si="1837"/>
        <v>16631</v>
      </c>
      <c r="CI1012" s="46">
        <f t="shared" si="1823"/>
        <v>16630.047846139209</v>
      </c>
      <c r="CJ1012" s="231">
        <f t="shared" si="1815"/>
        <v>33.392174063931925</v>
      </c>
      <c r="CK1012" s="443">
        <v>0.90322580645161288</v>
      </c>
      <c r="CL1012" s="231">
        <f>+CL1003*CK1012+CJ1004*CK1011+CJ1005*CK1010+CJ1006*CK1009+CJ1007*CK1008+CJ1008*CK1007+CJ1009*CK1006+CJ1010*CK1005+CJ1011*CK1004+CJ1012</f>
        <v>1833.6692671971402</v>
      </c>
      <c r="CM1012" s="134">
        <f t="shared" si="1816"/>
        <v>6.0485006231762476E-3</v>
      </c>
      <c r="CN1012" s="135">
        <f t="shared" si="1817"/>
        <v>1.2254227007486034E-2</v>
      </c>
      <c r="CO1012" s="135">
        <f t="shared" si="1826"/>
        <v>1.19033055874032E-2</v>
      </c>
      <c r="CP1012" s="134">
        <f>VLOOKUP($H1012,RoR!$E:$F,2,FALSE)</f>
        <v>5.5558333333333321E-2</v>
      </c>
      <c r="CQ1012" s="135">
        <v>2.691120634145272E-2</v>
      </c>
      <c r="CR1012" s="135">
        <f t="shared" si="1824"/>
        <v>2.86471269918806E-2</v>
      </c>
      <c r="CS1012" s="135">
        <f t="shared" si="1827"/>
        <v>1.8998636021130423E-2</v>
      </c>
      <c r="CT1012" s="135">
        <f t="shared" si="1828"/>
        <v>6.4575155250632399E-2</v>
      </c>
      <c r="CU1012" s="139">
        <f t="shared" si="1818"/>
        <v>0.85329623209999994</v>
      </c>
      <c r="CV1012" s="335">
        <f t="shared" si="1819"/>
        <v>0.92303077153834634</v>
      </c>
      <c r="CW1012" s="335">
        <f t="shared" si="1820"/>
        <v>0.52502249887505614</v>
      </c>
      <c r="CX1012" s="335">
        <f t="shared" si="1821"/>
        <v>0.88499666072084604</v>
      </c>
      <c r="CY1012" s="335">
        <f t="shared" si="1822"/>
        <v>0.42887993290280618</v>
      </c>
      <c r="CZ1012" s="336">
        <f>INDEX('State Tax Lookup'!$D$7:$Z$91,MATCH(Calculation!$C1012,'State Tax Lookup'!$B$7:$B$91,0),MATCH($H1012,'State Tax Lookup'!$D$6:$Z$6,0))</f>
        <v>0.39649667</v>
      </c>
      <c r="DA1012" s="302">
        <v>0.37</v>
      </c>
      <c r="DB1012" s="57">
        <f t="shared" si="1825"/>
        <v>13.286702770599058</v>
      </c>
      <c r="DC1012" s="56">
        <f t="shared" si="1829"/>
        <v>6.2343392594146056E-2</v>
      </c>
      <c r="DD1012" s="303">
        <f>VLOOKUP($H1012,RoR!$E:$F,2,FALSE)</f>
        <v>5.5558333333333321E-2</v>
      </c>
      <c r="DE1012" s="304">
        <f>HLOOKUP($H1012,'GDP-PI'!$D$8:$CQ$11,3,FALSE)</f>
        <v>2.691120634145272E-2</v>
      </c>
      <c r="DF1012" s="303">
        <f>VLOOKUP(H1012,'HW Dx Data'!$E:$F,2,FALSE)</f>
        <v>498.0223154772637</v>
      </c>
      <c r="DG1012" s="364">
        <f ca="1">VLOOKUP(CC1012,'ECI - Input Price'!M$13:N$33,2,FALSE)</f>
        <v>104.52499999999999</v>
      </c>
      <c r="DH1012" s="364"/>
      <c r="DI1012" s="364"/>
      <c r="DJ1012" s="56">
        <f t="shared" ca="1" si="1838"/>
        <v>-4.5584612745252218E-2</v>
      </c>
      <c r="DK1012" s="53">
        <f>HLOOKUP(H1012,'GDP-PI'!$8:$9,2,FALSE)</f>
        <v>92.498000000000005</v>
      </c>
      <c r="DL1012" s="355">
        <f t="shared" si="1830"/>
        <v>2.6555467950038037E-2</v>
      </c>
      <c r="EC1012"/>
    </row>
    <row r="1013" spans="1:133" s="126" customFormat="1" ht="21" customHeight="1" x14ac:dyDescent="0.4">
      <c r="A1013" s="233" t="s">
        <v>242</v>
      </c>
      <c r="B1013" s="126" t="s">
        <v>243</v>
      </c>
      <c r="C1013" s="126">
        <v>4057096</v>
      </c>
      <c r="D1013" s="127" t="s">
        <v>194</v>
      </c>
      <c r="E1013" s="127" t="s">
        <v>15</v>
      </c>
      <c r="F1013" s="144"/>
      <c r="G1013" s="126" t="s">
        <v>164</v>
      </c>
      <c r="H1013" s="128">
        <v>2008</v>
      </c>
      <c r="I1013" s="129"/>
      <c r="J1013" s="125">
        <f>IFERROR(INDEX('Labor Expenditures'!$E$7:$W$91,MATCH($C1013,'Labor Expenditures'!$C$7:$C$91,0),MATCH($G1013,'Labor Expenditures'!$E$5:$W$5,0)),"NA")</f>
        <v>18161.188678995128</v>
      </c>
      <c r="K1013" s="125">
        <f t="shared" ca="1" si="1831"/>
        <v>168.3150016588983</v>
      </c>
      <c r="L1013" s="47"/>
      <c r="M1013" s="131">
        <f t="shared" ca="1" si="1839"/>
        <v>-9.5444732268066629E-2</v>
      </c>
      <c r="N1013" s="131"/>
      <c r="O1013" s="131"/>
      <c r="P1013" s="59">
        <f t="shared" ca="1" si="1841"/>
        <v>-8.4745932769959246E-4</v>
      </c>
      <c r="Q1013" s="61"/>
      <c r="R1013" s="387"/>
      <c r="S1013" s="49">
        <f t="shared" ca="1" si="1846"/>
        <v>112.6638051699579</v>
      </c>
      <c r="T1013" s="61">
        <f ca="1">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</f>
        <v>-6.4817274235071609E-2</v>
      </c>
      <c r="U1013" s="61"/>
      <c r="V1013" s="125">
        <f>IFERROR(INDEX('Non-Labor Expenditures'!$E$7:$AA$91,MATCH($C1013,'Non-Labor Expenditures'!$C$7:$C$91,0),MATCH($G1013,'Non-Labor Expenditures'!$E$5:$AA$5,0)),"NA")</f>
        <v>26300.793249333601</v>
      </c>
      <c r="W1013" s="125">
        <f t="shared" si="1832"/>
        <v>279.01206451385048</v>
      </c>
      <c r="X1013" s="131">
        <f t="shared" si="1842"/>
        <v>-8.2578470994638373E-2</v>
      </c>
      <c r="Y1013" s="131">
        <f t="shared" si="1843"/>
        <v>-7.3321904570935331E-4</v>
      </c>
      <c r="Z1013" s="131"/>
      <c r="AA1013" s="131"/>
      <c r="AB1013" s="131"/>
      <c r="AC1013" s="125">
        <f t="shared" si="1813"/>
        <v>27366.892142604458</v>
      </c>
      <c r="AD1013" s="129"/>
      <c r="AE1013" s="133">
        <v>1936.4757324922043</v>
      </c>
      <c r="AF1013" s="134">
        <v>1.3194522135896947E-2</v>
      </c>
      <c r="AG1013" s="59">
        <f t="shared" si="1833"/>
        <v>1.1715492927571204E-4</v>
      </c>
      <c r="AH1013" s="134"/>
      <c r="AI1013" s="134"/>
      <c r="AJ1013" s="129">
        <f t="shared" si="1809"/>
        <v>71828.874070933191</v>
      </c>
      <c r="AK1013" s="134">
        <f t="shared" si="1844"/>
        <v>3.1738769566170338E-3</v>
      </c>
      <c r="AL1013" s="129"/>
      <c r="AM1013" s="129"/>
      <c r="AN1013" s="129"/>
      <c r="AO1013" s="129"/>
      <c r="AP1013" s="133">
        <f t="shared" si="1845"/>
        <v>241.21699819305451</v>
      </c>
      <c r="AQ1013" s="134">
        <f>+BB1013/Outputs!$B$16</f>
        <v>8.4758544872000872E-3</v>
      </c>
      <c r="AR1013" s="93">
        <f t="shared" si="1834"/>
        <v>0.25283966808473712</v>
      </c>
      <c r="AS1013" s="93">
        <f t="shared" si="1835"/>
        <v>0.36615906332265169</v>
      </c>
      <c r="AT1013" s="93">
        <f t="shared" si="1836"/>
        <v>0.38100126859261113</v>
      </c>
      <c r="AU1013" s="93">
        <f t="shared" ca="1" si="1840"/>
        <v>-5.1503338686563267E-2</v>
      </c>
      <c r="AV1013" s="132">
        <f t="shared" ref="AV1013:AV1026" ca="1" si="1848">+AV1012*EXP(AU1013)</f>
        <v>84.707081790051191</v>
      </c>
      <c r="AW1013" s="134">
        <f t="shared" ref="AW1013:AW1026" ca="1" si="1849">LN(AV1013/AV1012)</f>
        <v>-5.1503338686563378E-2</v>
      </c>
      <c r="AX1013" s="56">
        <f>+AJ1013/$AL$13</f>
        <v>8.8790581476975942E-3</v>
      </c>
      <c r="AY1013" s="135">
        <f t="shared" ca="1" si="1847"/>
        <v>-4.5730113899855926E-4</v>
      </c>
      <c r="AZ1013" s="93"/>
      <c r="BA1013" s="93"/>
      <c r="BB1013" s="234">
        <f>IFERROR(INDEX('Total Customers'!$E$7:$AA$91,MATCH($C1013,'Total Customers'!$C$7:$C$91,0),MATCH($G1013,'Total Customers'!$E$5:$AA$5,0)),"NA")</f>
        <v>297777</v>
      </c>
      <c r="BC1013" s="269">
        <f t="shared" si="1768"/>
        <v>4.3954783278506498E-3</v>
      </c>
      <c r="BD1013" s="92"/>
      <c r="BE1013" s="299" t="str">
        <f t="shared" si="1764"/>
        <v>ROCHESTER GAS AND ELECTRIC CORPORATION</v>
      </c>
      <c r="BF1013" s="300">
        <f t="shared" si="1765"/>
        <v>4057096</v>
      </c>
      <c r="BG1013" s="231" t="str">
        <f t="shared" si="1766"/>
        <v>NY</v>
      </c>
      <c r="BH1013" s="231"/>
      <c r="BI1013" s="231" t="str">
        <f t="shared" si="1767"/>
        <v>2008 Y</v>
      </c>
      <c r="BJ1013" s="129"/>
      <c r="BK1013" s="129"/>
      <c r="BL1013" s="129">
        <f>INDEX('Dist. Plant Gas Additions'!$E$7:$AD$91,MATCH($C1013,'Dist. Plant Gas Additions'!$C$7:$C$91,0),MATCH(Calculation!$G1013,'Dist. Plant Gas Additions'!$E$5:$AD$5,0))</f>
        <v>21592</v>
      </c>
      <c r="BM1013" s="129">
        <f>INDEX('Gen. Plant Additions'!$E$7:$AD$91,MATCH($C1013,'Gen. Plant Additions'!$C$7:$C$91,0),MATCH(Calculation!$G1013,'Gen. Plant Additions'!$E$5:$AD$5,0))</f>
        <v>97</v>
      </c>
      <c r="BN1013" s="301">
        <f t="shared" si="1814"/>
        <v>0.99406434317228243</v>
      </c>
      <c r="BO1013" s="231">
        <f t="shared" si="1722"/>
        <v>96.424241287711396</v>
      </c>
      <c r="BP1013" s="231">
        <f t="shared" si="1723"/>
        <v>-0.57575871228860365</v>
      </c>
      <c r="BQ1013" s="129">
        <f>INDEX('Dist Plant Depreciation'!$D$7:$AC$94,MATCH($C1013,'Dist Plant Depreciation'!$C$7:$C$94,0),MATCH(Calculation!$G1013,'Dist Plant Depreciation'!$D$5:$AC$5,0))</f>
        <v>221065</v>
      </c>
      <c r="BR1013" s="129">
        <f>INDEX('Gen. Plant Depreciation'!$D$7:$AC$94,MATCH($C1013,'Gen. Plant Depreciation'!$C$7:$C$94,0),MATCH(Calculation!$G1013,'Gen. Plant Depreciation'!$D$5:$AC$5,0))</f>
        <v>1675</v>
      </c>
      <c r="BS1013" s="129"/>
      <c r="BT1013" s="129"/>
      <c r="BU1013" s="129"/>
      <c r="BV1013" s="129"/>
      <c r="BW1013" s="129"/>
      <c r="BX1013" s="137"/>
      <c r="BY1013" s="129">
        <f>INDEX('Gross Dx Plant'!$D$7:$AC$91,MATCH($C1013,'Gross Dx Plant'!$C$7:$C$91,0),MATCH(Calculation!$G1013,'Gross Dx Plant'!$D$5:$AC$5,0))</f>
        <v>609603</v>
      </c>
      <c r="BZ1013" s="129">
        <f>INDEX('Gross Gen Plant'!$D$7:$AC$91,MATCH($C1013,'Gross Gen Plant'!$C$7:$C$91,0),MATCH(Calculation!$G1013,'Gross Gen Plant'!$D$5:$AC$5,0))</f>
        <v>3640</v>
      </c>
      <c r="CA1013" s="129">
        <f t="shared" si="1721"/>
        <v>390503</v>
      </c>
      <c r="CB1013" s="129"/>
      <c r="CC1013" s="133">
        <v>2008</v>
      </c>
      <c r="CD1013" s="129"/>
      <c r="CE1013" s="129"/>
      <c r="CF1013" s="129"/>
      <c r="CG1013" s="137"/>
      <c r="CH1013" s="129">
        <f t="shared" si="1837"/>
        <v>21689</v>
      </c>
      <c r="CI1013" s="46">
        <f t="shared" si="1823"/>
        <v>21688.42424128771</v>
      </c>
      <c r="CJ1013" s="231">
        <f t="shared" si="1815"/>
        <v>38.057798913807325</v>
      </c>
      <c r="CK1013" s="443">
        <v>0.89130434782608692</v>
      </c>
      <c r="CL1013" s="231">
        <f>+CL1003*CK1013+CJ1004*CK1012+CJ1005*CK1011+CJ1006*CK1010+CJ1007*CK1009+CJ1008*CK1008+CJ1009*CK1007+CJ1010*CK1006+CJ1011*CK1005+CJ1012*CK1004+CJ1013</f>
        <v>1848.5819877807396</v>
      </c>
      <c r="CM1013" s="134">
        <f t="shared" si="1816"/>
        <v>8.0998286552013653E-3</v>
      </c>
      <c r="CN1013" s="135">
        <f t="shared" si="1817"/>
        <v>1.262227531663135E-2</v>
      </c>
      <c r="CO1013" s="135">
        <f t="shared" si="1826"/>
        <v>1.2258293824147823E-2</v>
      </c>
      <c r="CP1013" s="134">
        <f>VLOOKUP($H1013,RoR!$E:$F,2,FALSE)</f>
        <v>5.6316666666666668E-2</v>
      </c>
      <c r="CQ1013" s="135">
        <v>1.9092304698479889E-2</v>
      </c>
      <c r="CR1013" s="135">
        <f t="shared" si="1824"/>
        <v>3.7224361968186778E-2</v>
      </c>
      <c r="CS1013" s="135">
        <f t="shared" si="1827"/>
        <v>1.8643647784385802E-2</v>
      </c>
      <c r="CT1013" s="135">
        <f t="shared" si="1828"/>
        <v>6.9030581091053131E-2</v>
      </c>
      <c r="CU1013" s="139">
        <f t="shared" si="1818"/>
        <v>0.85329623209999994</v>
      </c>
      <c r="CV1013" s="335">
        <f t="shared" si="1819"/>
        <v>0.91060168006009956</v>
      </c>
      <c r="CW1013" s="335">
        <f t="shared" si="1820"/>
        <v>0.53108168097070152</v>
      </c>
      <c r="CX1013" s="335">
        <f t="shared" si="1821"/>
        <v>0.88825329850328805</v>
      </c>
      <c r="CY1013" s="335">
        <f t="shared" si="1822"/>
        <v>0.4295627335323573</v>
      </c>
      <c r="CZ1013" s="336">
        <f>INDEX('State Tax Lookup'!$D$7:$Z$91,MATCH(Calculation!$C1013,'State Tax Lookup'!$B$7:$B$91,0),MATCH($H1013,'State Tax Lookup'!$D$6:$Z$6,0))</f>
        <v>0.39649667</v>
      </c>
      <c r="DA1013" s="302">
        <v>0.37</v>
      </c>
      <c r="DB1013" s="57">
        <f t="shared" si="1825"/>
        <v>14.924660969224941</v>
      </c>
      <c r="DC1013" s="56">
        <f t="shared" si="1829"/>
        <v>0.11625119997249656</v>
      </c>
      <c r="DD1013" s="303">
        <f>VLOOKUP($H1013,RoR!$E:$F,2,FALSE)</f>
        <v>5.6316666666666668E-2</v>
      </c>
      <c r="DE1013" s="304">
        <f>HLOOKUP($H1013,'GDP-PI'!$D$8:$CQ$11,3,FALSE)</f>
        <v>1.9092304698479889E-2</v>
      </c>
      <c r="DF1013" s="303">
        <f>VLOOKUP(H1013,'HW Dx Data'!$E:$F,2,FALSE)</f>
        <v>569.88120333515076</v>
      </c>
      <c r="DG1013" s="364">
        <f ca="1">VLOOKUP(CC1013,'ECI - Input Price'!M$13:N$33,2,FALSE)</f>
        <v>107.9</v>
      </c>
      <c r="DH1013" s="364"/>
      <c r="DI1013" s="364"/>
      <c r="DJ1013" s="56">
        <f t="shared" ca="1" si="1838"/>
        <v>3.1778595021460486E-2</v>
      </c>
      <c r="DK1013" s="53">
        <f>HLOOKUP(H1013,'GDP-PI'!$8:$9,2,FALSE)</f>
        <v>94.263999999999996</v>
      </c>
      <c r="DL1013" s="355">
        <f t="shared" si="1830"/>
        <v>1.8912333748032254E-2</v>
      </c>
      <c r="EC1013"/>
    </row>
    <row r="1014" spans="1:133" s="126" customFormat="1" ht="21" customHeight="1" x14ac:dyDescent="0.4">
      <c r="A1014" s="233" t="s">
        <v>242</v>
      </c>
      <c r="B1014" s="126" t="s">
        <v>243</v>
      </c>
      <c r="C1014" s="126">
        <v>4057096</v>
      </c>
      <c r="D1014" s="127" t="s">
        <v>194</v>
      </c>
      <c r="E1014" s="127" t="s">
        <v>15</v>
      </c>
      <c r="F1014" s="144"/>
      <c r="G1014" s="126" t="s">
        <v>165</v>
      </c>
      <c r="H1014" s="128">
        <v>2009</v>
      </c>
      <c r="I1014" s="129"/>
      <c r="J1014" s="125">
        <f>IFERROR(INDEX('Labor Expenditures'!$E$7:$W$91,MATCH($C1014,'Labor Expenditures'!$C$7:$C$91,0),MATCH($G1014,'Labor Expenditures'!$E$5:$W$5,0)),"NA")</f>
        <v>22462.096371369928</v>
      </c>
      <c r="K1014" s="125">
        <f t="shared" ca="1" si="1831"/>
        <v>202.4980515787237</v>
      </c>
      <c r="L1014" s="47"/>
      <c r="M1014" s="131">
        <f t="shared" ca="1" si="1839"/>
        <v>0.18489303102598656</v>
      </c>
      <c r="N1014" s="131"/>
      <c r="O1014" s="131"/>
      <c r="P1014" s="59">
        <f t="shared" ca="1" si="1841"/>
        <v>1.77408736603945E-3</v>
      </c>
      <c r="Q1014" s="61"/>
      <c r="R1014" s="387"/>
      <c r="S1014" s="49">
        <f t="shared" ca="1" si="1846"/>
        <v>117.98874872876117</v>
      </c>
      <c r="T1014" s="61">
        <f ca="1">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</f>
        <v>4.6181061570731347E-2</v>
      </c>
      <c r="U1014" s="61"/>
      <c r="V1014" s="125">
        <f>IFERROR(INDEX('Non-Labor Expenditures'!$E$7:$AA$91,MATCH($C1014,'Non-Labor Expenditures'!$C$7:$C$91,0),MATCH($G1014,'Non-Labor Expenditures'!$E$5:$AA$5,0)),"NA")</f>
        <v>32529.310886642623</v>
      </c>
      <c r="W1014" s="125">
        <f t="shared" si="1832"/>
        <v>342.41740320048234</v>
      </c>
      <c r="X1014" s="131">
        <f t="shared" si="1842"/>
        <v>0.20477544720856086</v>
      </c>
      <c r="Y1014" s="131">
        <f t="shared" si="1843"/>
        <v>1.9648633144898043E-3</v>
      </c>
      <c r="Z1014" s="131"/>
      <c r="AA1014" s="131"/>
      <c r="AB1014" s="131"/>
      <c r="AC1014" s="125">
        <f t="shared" si="1813"/>
        <v>26153.591093858795</v>
      </c>
      <c r="AD1014" s="129"/>
      <c r="AE1014" s="133">
        <v>1948.1172441736874</v>
      </c>
      <c r="AF1014" s="134">
        <v>5.9937020957652968E-3</v>
      </c>
      <c r="AG1014" s="59">
        <f t="shared" si="1833"/>
        <v>5.7510827232892724E-5</v>
      </c>
      <c r="AH1014" s="134"/>
      <c r="AI1014" s="134"/>
      <c r="AJ1014" s="129">
        <f t="shared" si="1809"/>
        <v>81144.998351871342</v>
      </c>
      <c r="AK1014" s="134">
        <f t="shared" si="1844"/>
        <v>0.12195111640699842</v>
      </c>
      <c r="AL1014" s="129"/>
      <c r="AM1014" s="129"/>
      <c r="AN1014" s="129"/>
      <c r="AO1014" s="129"/>
      <c r="AP1014" s="133">
        <f t="shared" si="1845"/>
        <v>271.27001087109733</v>
      </c>
      <c r="AQ1014" s="134">
        <f>+BB1014/Outputs!$B$17</f>
        <v>8.5035120730085918E-3</v>
      </c>
      <c r="AR1014" s="93">
        <f t="shared" si="1834"/>
        <v>0.27681430559609982</v>
      </c>
      <c r="AS1014" s="93">
        <f t="shared" si="1835"/>
        <v>0.40087881628372035</v>
      </c>
      <c r="AT1014" s="93">
        <f t="shared" si="1836"/>
        <v>0.32230687812017988</v>
      </c>
      <c r="AU1014" s="93">
        <f t="shared" ca="1" si="1840"/>
        <v>0.12960763646201523</v>
      </c>
      <c r="AV1014" s="132">
        <f t="shared" ca="1" si="1848"/>
        <v>96.428986369303445</v>
      </c>
      <c r="AW1014" s="134">
        <f t="shared" ca="1" si="1849"/>
        <v>0.12960763646201529</v>
      </c>
      <c r="AX1014" s="56">
        <f>+AJ1014/$AL$14</f>
        <v>9.5952094905627002E-3</v>
      </c>
      <c r="AY1014" s="135">
        <f t="shared" ca="1" si="1847"/>
        <v>1.2436124234297293E-3</v>
      </c>
      <c r="AZ1014" s="93"/>
      <c r="BA1014" s="93"/>
      <c r="BB1014" s="234">
        <f>IFERROR(INDEX('Total Customers'!$E$7:$AA$91,MATCH($C1014,'Total Customers'!$C$7:$C$91,0),MATCH($G1014,'Total Customers'!$E$5:$AA$5,0)),"NA")</f>
        <v>299130</v>
      </c>
      <c r="BC1014" s="269">
        <f t="shared" si="1768"/>
        <v>4.5333772838379773E-3</v>
      </c>
      <c r="BD1014" s="92"/>
      <c r="BE1014" s="299" t="str">
        <f t="shared" si="1764"/>
        <v>ROCHESTER GAS AND ELECTRIC CORPORATION</v>
      </c>
      <c r="BF1014" s="300">
        <f t="shared" si="1765"/>
        <v>4057096</v>
      </c>
      <c r="BG1014" s="231" t="str">
        <f t="shared" si="1766"/>
        <v>NY</v>
      </c>
      <c r="BH1014" s="231"/>
      <c r="BI1014" s="231" t="str">
        <f t="shared" si="1767"/>
        <v>2009 Y</v>
      </c>
      <c r="BJ1014" s="129"/>
      <c r="BK1014" s="129"/>
      <c r="BL1014" s="129">
        <f>INDEX('Dist. Plant Gas Additions'!$E$7:$AD$91,MATCH($C1014,'Dist. Plant Gas Additions'!$C$7:$C$91,0),MATCH(Calculation!$G1014,'Dist. Plant Gas Additions'!$E$5:$AD$5,0))</f>
        <v>13647</v>
      </c>
      <c r="BM1014" s="129">
        <f>INDEX('Gen. Plant Additions'!$E$7:$AD$91,MATCH($C1014,'Gen. Plant Additions'!$C$7:$C$91,0),MATCH(Calculation!$G1014,'Gen. Plant Additions'!$E$5:$AD$5,0))</f>
        <v>95</v>
      </c>
      <c r="BN1014" s="301">
        <f t="shared" si="1814"/>
        <v>0.99397408615040095</v>
      </c>
      <c r="BO1014" s="231">
        <f t="shared" si="1722"/>
        <v>94.427538184288096</v>
      </c>
      <c r="BP1014" s="231">
        <f t="shared" si="1723"/>
        <v>-0.57246181571190391</v>
      </c>
      <c r="BQ1014" s="129">
        <f>INDEX('Dist Plant Depreciation'!$D$7:$AC$94,MATCH($C1014,'Dist Plant Depreciation'!$C$7:$C$94,0),MATCH(Calculation!$G1014,'Dist Plant Depreciation'!$D$5:$AC$5,0))</f>
        <v>230003</v>
      </c>
      <c r="BR1014" s="129">
        <f>INDEX('Gen. Plant Depreciation'!$D$7:$AC$94,MATCH($C1014,'Gen. Plant Depreciation'!$C$7:$C$94,0),MATCH(Calculation!$G1014,'Gen. Plant Depreciation'!$D$5:$AC$5,0))</f>
        <v>1969</v>
      </c>
      <c r="BS1014" s="129"/>
      <c r="BT1014" s="129"/>
      <c r="BU1014" s="129"/>
      <c r="BV1014" s="129"/>
      <c r="BW1014" s="129"/>
      <c r="BX1014" s="137"/>
      <c r="BY1014" s="129">
        <f>INDEX('Gross Dx Plant'!$D$7:$AC$91,MATCH($C1014,'Gross Dx Plant'!$C$7:$C$91,0),MATCH(Calculation!$G1014,'Gross Dx Plant'!$D$5:$AC$5,0))</f>
        <v>616088</v>
      </c>
      <c r="BZ1014" s="129">
        <f>INDEX('Gross Gen Plant'!$D$7:$AC$91,MATCH($C1014,'Gross Gen Plant'!$C$7:$C$91,0),MATCH(Calculation!$G1014,'Gross Gen Plant'!$D$5:$AC$5,0))</f>
        <v>3735</v>
      </c>
      <c r="CA1014" s="129">
        <f t="shared" si="1721"/>
        <v>387851</v>
      </c>
      <c r="CB1014" s="129"/>
      <c r="CC1014" s="133">
        <v>2009</v>
      </c>
      <c r="CD1014" s="129"/>
      <c r="CE1014" s="129"/>
      <c r="CF1014" s="129"/>
      <c r="CG1014" s="137"/>
      <c r="CH1014" s="129">
        <f t="shared" si="1837"/>
        <v>13742</v>
      </c>
      <c r="CI1014" s="46">
        <f t="shared" si="1823"/>
        <v>13741.427538184289</v>
      </c>
      <c r="CJ1014" s="231">
        <f t="shared" si="1815"/>
        <v>24.941757097596813</v>
      </c>
      <c r="CK1014" s="443">
        <v>0.87912087912087911</v>
      </c>
      <c r="CL1014" s="231">
        <f>+CL1003*CK1014+CJ1004*CK1013+CJ1005*CK1012+CJ1006*CK1011+CJ1007*CK1010+CJ1008*CK1009+CJ1009*CK1008+CJ1010*CK1007+CJ1011*CK1006+CJ1012*CK1005+CJ1013*CK1004+CJ1014</f>
        <v>1849.4998461698187</v>
      </c>
      <c r="CM1014" s="134">
        <f t="shared" si="1816"/>
        <v>4.9639702372186582E-4</v>
      </c>
      <c r="CN1014" s="135">
        <f t="shared" si="1817"/>
        <v>1.2995852424895076E-2</v>
      </c>
      <c r="CO1014" s="135">
        <f t="shared" si="1826"/>
        <v>1.2624118249670821E-2</v>
      </c>
      <c r="CP1014" s="134">
        <f>VLOOKUP($H1014,RoR!$E:$F,2,FALSE)</f>
        <v>5.3133333333333324E-2</v>
      </c>
      <c r="CQ1014" s="135">
        <v>7.7972502758210105E-3</v>
      </c>
      <c r="CR1014" s="135">
        <f t="shared" si="1824"/>
        <v>4.5336083057512314E-2</v>
      </c>
      <c r="CS1014" s="135">
        <f t="shared" si="1827"/>
        <v>1.8277823358862806E-2</v>
      </c>
      <c r="CT1014" s="135">
        <f t="shared" si="1828"/>
        <v>6.3720160300892073E-2</v>
      </c>
      <c r="CU1014" s="139">
        <f t="shared" si="1818"/>
        <v>0.85329623209999994</v>
      </c>
      <c r="CV1014" s="335">
        <f t="shared" si="1819"/>
        <v>0.96515780330083989</v>
      </c>
      <c r="CW1014" s="335">
        <f t="shared" si="1820"/>
        <v>0.50448557089084056</v>
      </c>
      <c r="CX1014" s="335">
        <f t="shared" si="1821"/>
        <v>0.87391435735465484</v>
      </c>
      <c r="CY1014" s="335">
        <f t="shared" si="1822"/>
        <v>0.42551605393279146</v>
      </c>
      <c r="CZ1014" s="336">
        <f>INDEX('State Tax Lookup'!$D$7:$Z$91,MATCH(Calculation!$C1014,'State Tax Lookup'!$B$7:$B$91,0),MATCH($H1014,'State Tax Lookup'!$D$6:$Z$6,0))</f>
        <v>0.39649667</v>
      </c>
      <c r="DA1014" s="302">
        <v>0.37</v>
      </c>
      <c r="DB1014" s="57">
        <f t="shared" si="1825"/>
        <v>14.147920550311493</v>
      </c>
      <c r="DC1014" s="56">
        <f t="shared" si="1829"/>
        <v>-5.3447287676077641E-2</v>
      </c>
      <c r="DD1014" s="303">
        <f>VLOOKUP($H1014,RoR!$E:$F,2,FALSE)</f>
        <v>5.3133333333333324E-2</v>
      </c>
      <c r="DE1014" s="304">
        <f>HLOOKUP($H1014,'GDP-PI'!$D$8:$CQ$11,3,FALSE)</f>
        <v>7.7972502758210105E-3</v>
      </c>
      <c r="DF1014" s="303">
        <f>VLOOKUP(H1014,'HW Dx Data'!$E:$F,2,FALSE)</f>
        <v>550.94063679692806</v>
      </c>
      <c r="DG1014" s="364">
        <f ca="1">VLOOKUP(CC1014,'ECI - Input Price'!M$13:N$33,2,FALSE)</f>
        <v>110.925</v>
      </c>
      <c r="DH1014" s="364"/>
      <c r="DI1014" s="364"/>
      <c r="DJ1014" s="56">
        <f t="shared" ca="1" si="1838"/>
        <v>2.7649425000884052E-2</v>
      </c>
      <c r="DK1014" s="53">
        <f>HLOOKUP(H1014,'GDP-PI'!$8:$9,2,FALSE)</f>
        <v>94.998999999999995</v>
      </c>
      <c r="DL1014" s="355">
        <f t="shared" si="1830"/>
        <v>7.7670088183096342E-3</v>
      </c>
      <c r="EC1014"/>
    </row>
    <row r="1015" spans="1:133" s="126" customFormat="1" ht="21" customHeight="1" x14ac:dyDescent="0.4">
      <c r="A1015" s="233" t="s">
        <v>242</v>
      </c>
      <c r="B1015" s="126" t="s">
        <v>243</v>
      </c>
      <c r="C1015" s="126">
        <v>4057096</v>
      </c>
      <c r="D1015" s="127" t="s">
        <v>194</v>
      </c>
      <c r="E1015" s="127" t="s">
        <v>15</v>
      </c>
      <c r="F1015" s="144"/>
      <c r="G1015" s="126" t="s">
        <v>166</v>
      </c>
      <c r="H1015" s="128">
        <v>2010</v>
      </c>
      <c r="I1015" s="129"/>
      <c r="J1015" s="125">
        <f>IFERROR(INDEX('Labor Expenditures'!$E$7:$W$91,MATCH($C1015,'Labor Expenditures'!$C$7:$C$91,0),MATCH($G1015,'Labor Expenditures'!$E$5:$W$5,0)),"NA")</f>
        <v>22827.250276313236</v>
      </c>
      <c r="K1015" s="125">
        <f t="shared" ca="1" si="1831"/>
        <v>195.22985055645273</v>
      </c>
      <c r="L1015" s="47"/>
      <c r="M1015" s="131">
        <f t="shared" ca="1" si="1839"/>
        <v>-3.6552679446720901E-2</v>
      </c>
      <c r="N1015" s="131"/>
      <c r="O1015" s="131"/>
      <c r="P1015" s="59">
        <f t="shared" ca="1" si="1841"/>
        <v>-3.454360196570869E-4</v>
      </c>
      <c r="Q1015" s="61"/>
      <c r="R1015" s="387"/>
      <c r="S1015" s="49">
        <f t="shared" ca="1" si="1846"/>
        <v>97.635400970970167</v>
      </c>
      <c r="T1015" s="61">
        <f ca="1">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</f>
        <v>-0.18934912764291706</v>
      </c>
      <c r="U1015" s="61"/>
      <c r="V1015" s="125">
        <f>IFERROR(INDEX('Non-Labor Expenditures'!$E$7:$AA$91,MATCH($C1015,'Non-Labor Expenditures'!$C$7:$C$91,0),MATCH($G1015,'Non-Labor Expenditures'!$E$5:$AA$5,0)),"NA")</f>
        <v>33058.121942342317</v>
      </c>
      <c r="W1015" s="125">
        <f t="shared" si="1832"/>
        <v>343.96489342665433</v>
      </c>
      <c r="X1015" s="131">
        <f t="shared" si="1842"/>
        <v>4.5091280931055305E-3</v>
      </c>
      <c r="Y1015" s="131">
        <f t="shared" si="1843"/>
        <v>4.2612888690600674E-5</v>
      </c>
      <c r="Z1015" s="131"/>
      <c r="AA1015" s="131"/>
      <c r="AB1015" s="131"/>
      <c r="AC1015" s="125">
        <f t="shared" si="1813"/>
        <v>26498.603628797064</v>
      </c>
      <c r="AD1015" s="129"/>
      <c r="AE1015" s="133">
        <v>1969.6125553827208</v>
      </c>
      <c r="AF1015" s="134">
        <v>1.0973460656127872E-2</v>
      </c>
      <c r="AG1015" s="59">
        <f t="shared" si="1833"/>
        <v>1.0370316563089904E-4</v>
      </c>
      <c r="AH1015" s="134"/>
      <c r="AI1015" s="134"/>
      <c r="AJ1015" s="129">
        <f t="shared" si="1809"/>
        <v>82383.975847452617</v>
      </c>
      <c r="AK1015" s="134">
        <f t="shared" si="1844"/>
        <v>1.5153292676440463E-2</v>
      </c>
      <c r="AL1015" s="129"/>
      <c r="AM1015" s="129"/>
      <c r="AN1015" s="129"/>
      <c r="AO1015" s="129"/>
      <c r="AP1015" s="133">
        <f t="shared" si="1845"/>
        <v>273.43747169654688</v>
      </c>
      <c r="AQ1015" s="134">
        <f>+BB1015/Outputs!$B$18</f>
        <v>8.5180532461306031E-3</v>
      </c>
      <c r="AR1015" s="93">
        <f t="shared" si="1834"/>
        <v>0.27708362022466138</v>
      </c>
      <c r="AS1015" s="93">
        <f t="shared" si="1835"/>
        <v>0.40126883416691161</v>
      </c>
      <c r="AT1015" s="93">
        <f t="shared" si="1836"/>
        <v>0.32164754560842701</v>
      </c>
      <c r="AU1015" s="93">
        <f t="shared" ca="1" si="1840"/>
        <v>-4.7815291450694873E-3</v>
      </c>
      <c r="AV1015" s="132">
        <f t="shared" ca="1" si="1848"/>
        <v>95.969008934676452</v>
      </c>
      <c r="AW1015" s="134">
        <f t="shared" ca="1" si="1849"/>
        <v>-4.7815291450696192E-3</v>
      </c>
      <c r="AX1015" s="56">
        <f>+AJ1015/$AL$15</f>
        <v>9.4503610921490341E-3</v>
      </c>
      <c r="AY1015" s="135">
        <f t="shared" ca="1" si="1847"/>
        <v>-4.5187176993542563E-5</v>
      </c>
      <c r="AZ1015" s="93"/>
      <c r="BA1015" s="93"/>
      <c r="BB1015" s="234">
        <f>IFERROR(INDEX('Total Customers'!$E$7:$AA$91,MATCH($C1015,'Total Customers'!$C$7:$C$91,0),MATCH($G1015,'Total Customers'!$E$5:$AA$5,0)),"NA")</f>
        <v>301290</v>
      </c>
      <c r="BC1015" s="269">
        <f t="shared" si="1768"/>
        <v>7.19499456454598E-3</v>
      </c>
      <c r="BD1015" s="92"/>
      <c r="BE1015" s="299" t="str">
        <f t="shared" si="1764"/>
        <v>ROCHESTER GAS AND ELECTRIC CORPORATION</v>
      </c>
      <c r="BF1015" s="300">
        <f t="shared" si="1765"/>
        <v>4057096</v>
      </c>
      <c r="BG1015" s="231" t="str">
        <f t="shared" si="1766"/>
        <v>NY</v>
      </c>
      <c r="BH1015" s="231"/>
      <c r="BI1015" s="231" t="str">
        <f t="shared" si="1767"/>
        <v>2010 Y</v>
      </c>
      <c r="BJ1015" s="129"/>
      <c r="BK1015" s="129"/>
      <c r="BL1015" s="129">
        <f>INDEX('Dist. Plant Gas Additions'!$E$7:$AD$91,MATCH($C1015,'Dist. Plant Gas Additions'!$C$7:$C$91,0),MATCH(Calculation!$G1015,'Dist. Plant Gas Additions'!$E$5:$AD$5,0))</f>
        <v>20074</v>
      </c>
      <c r="BM1015" s="129">
        <f>INDEX('Gen. Plant Additions'!$E$7:$AD$91,MATCH($C1015,'Gen. Plant Additions'!$C$7:$C$91,0),MATCH(Calculation!$G1015,'Gen. Plant Additions'!$E$5:$AD$5,0))</f>
        <v>60</v>
      </c>
      <c r="BN1015" s="301">
        <f t="shared" si="1814"/>
        <v>0.99416475739284937</v>
      </c>
      <c r="BO1015" s="231">
        <f t="shared" ref="BO1015:BO1066" si="1850">+BN1015*BM1015</f>
        <v>59.649885443570966</v>
      </c>
      <c r="BP1015" s="231">
        <f t="shared" ref="BP1015:BP1066" si="1851">+BO1015-BM1015</f>
        <v>-0.350114556429034</v>
      </c>
      <c r="BQ1015" s="129">
        <f>INDEX('Dist Plant Depreciation'!$D$7:$AC$94,MATCH($C1015,'Dist Plant Depreciation'!$C$7:$C$94,0),MATCH(Calculation!$G1015,'Dist Plant Depreciation'!$D$5:$AC$5,0))</f>
        <v>241400</v>
      </c>
      <c r="BR1015" s="129">
        <f>INDEX('Gen. Plant Depreciation'!$D$7:$AC$94,MATCH($C1015,'Gen. Plant Depreciation'!$C$7:$C$94,0),MATCH(Calculation!$G1015,'Gen. Plant Depreciation'!$D$5:$AC$5,0))</f>
        <v>2040</v>
      </c>
      <c r="BS1015" s="129"/>
      <c r="BT1015" s="129"/>
      <c r="BU1015" s="129"/>
      <c r="BV1015" s="129"/>
      <c r="BW1015" s="129"/>
      <c r="BX1015" s="137"/>
      <c r="BY1015" s="129">
        <f>INDEX('Gross Dx Plant'!$D$7:$AC$91,MATCH($C1015,'Gross Dx Plant'!$C$7:$C$91,0),MATCH(Calculation!$G1015,'Gross Dx Plant'!$D$5:$AC$5,0))</f>
        <v>633956</v>
      </c>
      <c r="BZ1015" s="129">
        <f>INDEX('Gross Gen Plant'!$D$7:$AC$91,MATCH($C1015,'Gross Gen Plant'!$C$7:$C$91,0),MATCH(Calculation!$G1015,'Gross Gen Plant'!$D$5:$AC$5,0))</f>
        <v>3721</v>
      </c>
      <c r="CA1015" s="129">
        <f t="shared" si="1721"/>
        <v>394237</v>
      </c>
      <c r="CB1015" s="129"/>
      <c r="CC1015" s="133">
        <v>2010</v>
      </c>
      <c r="CD1015" s="129"/>
      <c r="CE1015" s="129"/>
      <c r="CF1015" s="129"/>
      <c r="CG1015" s="137"/>
      <c r="CH1015" s="129">
        <f t="shared" si="1837"/>
        <v>20134</v>
      </c>
      <c r="CI1015" s="46">
        <f t="shared" si="1823"/>
        <v>20133.64988544357</v>
      </c>
      <c r="CJ1015" s="231">
        <f t="shared" si="1815"/>
        <v>35.384923258498127</v>
      </c>
      <c r="CK1015" s="443">
        <v>0.8666666666666667</v>
      </c>
      <c r="CL1015" s="231">
        <f>+CL1003*CK1015+CJ1004*CK1014+CJ1005*CK1013+CJ1006*CK1012+CJ1007*CK1011+CJ1008*CK1010+CJ1009*CK1009+CJ1010*CK1008+CJ1011*CK1007+CJ1012*CK1006+CJ1013*CK1005+CJ1014*CK1004+CJ1015</f>
        <v>1860.0878544114705</v>
      </c>
      <c r="CM1015" s="134">
        <f t="shared" si="1816"/>
        <v>5.7084710477553575E-3</v>
      </c>
      <c r="CN1015" s="135">
        <f t="shared" si="1817"/>
        <v>1.3407362573291897E-2</v>
      </c>
      <c r="CO1015" s="135">
        <f t="shared" si="1826"/>
        <v>1.3008496771606107E-2</v>
      </c>
      <c r="CP1015" s="134">
        <f>VLOOKUP($H1015,RoR!$E:$F,2,FALSE)</f>
        <v>4.9433333333333322E-2</v>
      </c>
      <c r="CQ1015" s="135">
        <v>1.1684333519300205E-2</v>
      </c>
      <c r="CR1015" s="135">
        <f t="shared" si="1824"/>
        <v>3.7748999814033117E-2</v>
      </c>
      <c r="CS1015" s="135">
        <f t="shared" si="1827"/>
        <v>1.7893444836927518E-2</v>
      </c>
      <c r="CT1015" s="135">
        <f t="shared" si="1828"/>
        <v>4.7937530248493419E-2</v>
      </c>
      <c r="CU1015" s="139">
        <f t="shared" si="1818"/>
        <v>0.85329623209999994</v>
      </c>
      <c r="CV1015" s="335">
        <f t="shared" si="1819"/>
        <v>1.037398205301105</v>
      </c>
      <c r="CW1015" s="335">
        <f t="shared" si="1820"/>
        <v>0.46926837491571133</v>
      </c>
      <c r="CX1015" s="335">
        <f t="shared" si="1821"/>
        <v>0.8548537519972772</v>
      </c>
      <c r="CY1015" s="335">
        <f t="shared" si="1822"/>
        <v>0.41615833911547367</v>
      </c>
      <c r="CZ1015" s="336">
        <f>INDEX('State Tax Lookup'!$D$7:$Z$91,MATCH(Calculation!$C1015,'State Tax Lookup'!$B$7:$B$91,0),MATCH($H1015,'State Tax Lookup'!$D$6:$Z$6,0))</f>
        <v>0.39649667</v>
      </c>
      <c r="DA1015" s="302">
        <v>0.37</v>
      </c>
      <c r="DB1015" s="57">
        <f t="shared" si="1825"/>
        <v>14.327443002319663</v>
      </c>
      <c r="DC1015" s="56">
        <f t="shared" si="1829"/>
        <v>1.2609133519693304E-2</v>
      </c>
      <c r="DD1015" s="303">
        <f>VLOOKUP($H1015,RoR!$E:$F,2,FALSE)</f>
        <v>4.9433333333333322E-2</v>
      </c>
      <c r="DE1015" s="304">
        <f>HLOOKUP($H1015,'GDP-PI'!$D$8:$CQ$11,3,FALSE)</f>
        <v>1.1684333519300205E-2</v>
      </c>
      <c r="DF1015" s="303">
        <f>VLOOKUP(H1015,'HW Dx Data'!$E:$F,2,FALSE)</f>
        <v>568.98950262971744</v>
      </c>
      <c r="DG1015" s="364">
        <f ca="1">VLOOKUP(CC1015,'ECI - Input Price'!M$13:N$33,2,FALSE)</f>
        <v>116.925</v>
      </c>
      <c r="DH1015" s="364"/>
      <c r="DI1015" s="364"/>
      <c r="DJ1015" s="56">
        <f t="shared" ca="1" si="1838"/>
        <v>5.2678406346976722E-2</v>
      </c>
      <c r="DK1015" s="53">
        <f>HLOOKUP(H1015,'GDP-PI'!$8:$9,2,FALSE)</f>
        <v>96.108999999999995</v>
      </c>
      <c r="DL1015" s="355">
        <f t="shared" si="1830"/>
        <v>1.1616598807150427E-2</v>
      </c>
      <c r="EC1015"/>
    </row>
    <row r="1016" spans="1:133" s="126" customFormat="1" ht="21" customHeight="1" x14ac:dyDescent="0.4">
      <c r="A1016" s="233" t="s">
        <v>242</v>
      </c>
      <c r="B1016" s="126" t="s">
        <v>243</v>
      </c>
      <c r="C1016" s="126">
        <v>4057096</v>
      </c>
      <c r="D1016" s="127" t="s">
        <v>194</v>
      </c>
      <c r="E1016" s="127" t="s">
        <v>15</v>
      </c>
      <c r="F1016" s="144"/>
      <c r="G1016" s="126" t="s">
        <v>167</v>
      </c>
      <c r="H1016" s="128">
        <v>2011</v>
      </c>
      <c r="I1016" s="129"/>
      <c r="J1016" s="125">
        <f>IFERROR(INDEX('Labor Expenditures'!$E$7:$W$91,MATCH($C1016,'Labor Expenditures'!$C$7:$C$91,0),MATCH($G1016,'Labor Expenditures'!$E$5:$W$5,0)),"NA")</f>
        <v>25506.533852812139</v>
      </c>
      <c r="K1016" s="125">
        <f t="shared" ca="1" si="1831"/>
        <v>211.01579195708078</v>
      </c>
      <c r="L1016" s="47"/>
      <c r="M1016" s="131">
        <f t="shared" ca="1" si="1839"/>
        <v>7.7755388853806562E-2</v>
      </c>
      <c r="N1016" s="131"/>
      <c r="O1016" s="131"/>
      <c r="P1016" s="59">
        <f t="shared" ca="1" si="1841"/>
        <v>7.7580299590414086E-4</v>
      </c>
      <c r="Q1016" s="61"/>
      <c r="R1016" s="387"/>
      <c r="S1016" s="49">
        <f t="shared" ca="1" si="1846"/>
        <v>118.48500125641999</v>
      </c>
      <c r="T1016" s="61">
        <f ca="1">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</f>
        <v>0.19354623836812526</v>
      </c>
      <c r="U1016" s="61"/>
      <c r="V1016" s="125">
        <f>IFERROR(INDEX('Non-Labor Expenditures'!$E$7:$AA$91,MATCH($C1016,'Non-Labor Expenditures'!$C$7:$C$91,0),MATCH($G1016,'Non-Labor Expenditures'!$E$5:$AA$5,0)),"NA")</f>
        <v>36938.224982256972</v>
      </c>
      <c r="W1016" s="125">
        <f t="shared" si="1832"/>
        <v>376.49038835470662</v>
      </c>
      <c r="X1016" s="131">
        <f t="shared" si="1842"/>
        <v>9.0352919802465792E-2</v>
      </c>
      <c r="Y1016" s="131">
        <f t="shared" si="1843"/>
        <v>9.0149463470926927E-4</v>
      </c>
      <c r="Z1016" s="131"/>
      <c r="AA1016" s="131"/>
      <c r="AB1016" s="131"/>
      <c r="AC1016" s="125">
        <f t="shared" si="1813"/>
        <v>28077.760351742163</v>
      </c>
      <c r="AD1016" s="129"/>
      <c r="AE1016" s="133">
        <v>1994.9850662841384</v>
      </c>
      <c r="AF1016" s="134">
        <v>1.2799713729161754E-2</v>
      </c>
      <c r="AG1016" s="59">
        <f t="shared" si="1833"/>
        <v>1.2770891386665504E-4</v>
      </c>
      <c r="AH1016" s="134"/>
      <c r="AI1016" s="134"/>
      <c r="AJ1016" s="129">
        <f t="shared" si="1809"/>
        <v>90522.519186811274</v>
      </c>
      <c r="AK1016" s="134">
        <f t="shared" si="1844"/>
        <v>9.4207700412750756E-2</v>
      </c>
      <c r="AL1016" s="129"/>
      <c r="AM1016" s="129"/>
      <c r="AN1016" s="129"/>
      <c r="AO1016" s="129"/>
      <c r="AP1016" s="133">
        <f t="shared" si="1845"/>
        <v>298.716725911639</v>
      </c>
      <c r="AQ1016" s="134">
        <f>+BB1016/Outputs!$B$19</f>
        <v>8.5261346292408221E-3</v>
      </c>
      <c r="AR1016" s="93">
        <f t="shared" si="1834"/>
        <v>0.28177004000710937</v>
      </c>
      <c r="AS1016" s="93">
        <f t="shared" si="1835"/>
        <v>0.40805564531437283</v>
      </c>
      <c r="AT1016" s="93">
        <f t="shared" si="1836"/>
        <v>0.31017431467851775</v>
      </c>
      <c r="AU1016" s="93">
        <f t="shared" ca="1" si="1840"/>
        <v>6.2332926195969307E-2</v>
      </c>
      <c r="AV1016" s="132">
        <f t="shared" ca="1" si="1848"/>
        <v>102.14141165895718</v>
      </c>
      <c r="AW1016" s="134">
        <f t="shared" ca="1" si="1849"/>
        <v>6.2332926195969203E-2</v>
      </c>
      <c r="AX1016" s="56">
        <f>+AJ1016/$AL$16</f>
        <v>9.9774820413127026E-3</v>
      </c>
      <c r="AY1016" s="135">
        <f t="shared" ca="1" si="1847"/>
        <v>6.219256517027528E-4</v>
      </c>
      <c r="AZ1016" s="93"/>
      <c r="BA1016" s="93"/>
      <c r="BB1016" s="234">
        <f>IFERROR(INDEX('Total Customers'!$E$7:$AA$91,MATCH($C1016,'Total Customers'!$C$7:$C$91,0),MATCH($G1016,'Total Customers'!$E$5:$AA$5,0)),"NA")</f>
        <v>303038</v>
      </c>
      <c r="BC1016" s="269">
        <f t="shared" si="1768"/>
        <v>5.7849541137706189E-3</v>
      </c>
      <c r="BD1016" s="92"/>
      <c r="BE1016" s="299" t="str">
        <f t="shared" si="1764"/>
        <v>ROCHESTER GAS AND ELECTRIC CORPORATION</v>
      </c>
      <c r="BF1016" s="300">
        <f t="shared" si="1765"/>
        <v>4057096</v>
      </c>
      <c r="BG1016" s="231" t="str">
        <f t="shared" si="1766"/>
        <v>NY</v>
      </c>
      <c r="BH1016" s="231"/>
      <c r="BI1016" s="231" t="str">
        <f t="shared" si="1767"/>
        <v>2011 Y</v>
      </c>
      <c r="BJ1016" s="129"/>
      <c r="BK1016" s="129"/>
      <c r="BL1016" s="129">
        <f>INDEX('Dist. Plant Gas Additions'!$E$7:$AD$91,MATCH($C1016,'Dist. Plant Gas Additions'!$C$7:$C$91,0),MATCH(Calculation!$G1016,'Dist. Plant Gas Additions'!$E$5:$AD$5,0))</f>
        <v>24337</v>
      </c>
      <c r="BM1016" s="129">
        <f>INDEX('Gen. Plant Additions'!$E$7:$AD$91,MATCH($C1016,'Gen. Plant Additions'!$C$7:$C$91,0),MATCH(Calculation!$G1016,'Gen. Plant Additions'!$E$5:$AD$5,0))</f>
        <v>86</v>
      </c>
      <c r="BN1016" s="301">
        <f t="shared" si="1814"/>
        <v>0.99422846713002788</v>
      </c>
      <c r="BO1016" s="231">
        <f t="shared" si="1850"/>
        <v>85.503648173182398</v>
      </c>
      <c r="BP1016" s="231">
        <f t="shared" si="1851"/>
        <v>-0.4963518268176017</v>
      </c>
      <c r="BQ1016" s="129">
        <f>INDEX('Dist Plant Depreciation'!$D$7:$AC$94,MATCH($C1016,'Dist Plant Depreciation'!$C$7:$C$94,0),MATCH(Calculation!$G1016,'Dist Plant Depreciation'!$D$5:$AC$5,0))</f>
        <v>253374</v>
      </c>
      <c r="BR1016" s="129">
        <f>INDEX('Gen. Plant Depreciation'!$D$7:$AC$94,MATCH($C1016,'Gen. Plant Depreciation'!$C$7:$C$94,0),MATCH(Calculation!$G1016,'Gen. Plant Depreciation'!$D$5:$AC$5,0))</f>
        <v>2093</v>
      </c>
      <c r="BS1016" s="129"/>
      <c r="BT1016" s="129"/>
      <c r="BU1016" s="129"/>
      <c r="BV1016" s="129"/>
      <c r="BW1016" s="129"/>
      <c r="BX1016" s="137"/>
      <c r="BY1016" s="129">
        <f>INDEX('Gross Dx Plant'!$D$7:$AC$91,MATCH($C1016,'Gross Dx Plant'!$C$7:$C$91,0),MATCH(Calculation!$G1016,'Gross Dx Plant'!$D$5:$AC$5,0))</f>
        <v>655293</v>
      </c>
      <c r="BZ1016" s="129">
        <f>INDEX('Gross Gen Plant'!$D$7:$AC$91,MATCH($C1016,'Gross Gen Plant'!$C$7:$C$91,0),MATCH(Calculation!$G1016,'Gross Gen Plant'!$D$5:$AC$5,0))</f>
        <v>3804</v>
      </c>
      <c r="CA1016" s="129">
        <f t="shared" ref="CA1016:CA1085" si="1852">IF(OR(BQ1016="NA",BR1016="NA"),"NA",(SUM(BY1016:BZ1016)-SUM(BQ1016:BR1016)))</f>
        <v>403630</v>
      </c>
      <c r="CB1016" s="129"/>
      <c r="CC1016" s="133">
        <v>2011</v>
      </c>
      <c r="CD1016" s="129"/>
      <c r="CE1016" s="129"/>
      <c r="CF1016" s="129"/>
      <c r="CG1016" s="137"/>
      <c r="CH1016" s="129">
        <f t="shared" si="1837"/>
        <v>24423</v>
      </c>
      <c r="CI1016" s="46">
        <f t="shared" si="1823"/>
        <v>24422.503648173184</v>
      </c>
      <c r="CJ1016" s="231">
        <f t="shared" si="1815"/>
        <v>39.931426690905433</v>
      </c>
      <c r="CK1016" s="443">
        <v>0.8539325842696629</v>
      </c>
      <c r="CL1016" s="231">
        <f>+CL1003*CK1016+CJ1004*CK1015+CJ1005*CK1014+CJ1006*CK1013+CJ1007*CK1012+CJ1008*CK1011+CJ1009*CK1010+CJ1010*CK1009+CJ1011*CK1008+CJ1012*CK1007+CJ1013*CK1006+CJ1014*CK1005+CJ1015*CK1004+CJ1016</f>
        <v>1874.3235297821352</v>
      </c>
      <c r="CM1016" s="134">
        <f t="shared" si="1816"/>
        <v>7.6240900437375431E-3</v>
      </c>
      <c r="CN1016" s="135">
        <f t="shared" si="1817"/>
        <v>1.3814267567684776E-2</v>
      </c>
      <c r="CO1016" s="135">
        <f t="shared" si="1826"/>
        <v>1.340582752195725E-2</v>
      </c>
      <c r="CP1016" s="134">
        <f>VLOOKUP($H1016,RoR!$E:$F,2,FALSE)</f>
        <v>4.6391666666666664E-2</v>
      </c>
      <c r="CQ1016" s="135">
        <v>2.0840920205183799E-2</v>
      </c>
      <c r="CR1016" s="135">
        <f t="shared" si="1824"/>
        <v>2.5550746461482865E-2</v>
      </c>
      <c r="CS1016" s="135">
        <f t="shared" si="1827"/>
        <v>1.7496114086576375E-2</v>
      </c>
      <c r="CT1016" s="135">
        <f t="shared" si="1828"/>
        <v>2.4810540821321614E-2</v>
      </c>
      <c r="CU1016" s="139">
        <f t="shared" si="1818"/>
        <v>0.85329623209999994</v>
      </c>
      <c r="CV1016" s="335">
        <f t="shared" si="1819"/>
        <v>1.1054151524782025</v>
      </c>
      <c r="CW1016" s="335">
        <f t="shared" si="1820"/>
        <v>0.43611011316687626</v>
      </c>
      <c r="CX1016" s="335">
        <f t="shared" si="1821"/>
        <v>0.83698442246886229</v>
      </c>
      <c r="CY1016" s="335">
        <f t="shared" si="1822"/>
        <v>0.40349573304423936</v>
      </c>
      <c r="CZ1016" s="336">
        <f>INDEX('State Tax Lookup'!$D$7:$Z$91,MATCH(Calculation!$C1016,'State Tax Lookup'!$B$7:$B$91,0),MATCH($H1016,'State Tax Lookup'!$D$6:$Z$6,0))</f>
        <v>0.39649667</v>
      </c>
      <c r="DA1016" s="302">
        <v>0.37</v>
      </c>
      <c r="DB1016" s="57">
        <f t="shared" si="1825"/>
        <v>15.094857097825592</v>
      </c>
      <c r="DC1016" s="56">
        <f t="shared" si="1829"/>
        <v>5.2177307024653674E-2</v>
      </c>
      <c r="DD1016" s="303">
        <f>VLOOKUP($H1016,RoR!$E:$F,2,FALSE)</f>
        <v>4.6391666666666664E-2</v>
      </c>
      <c r="DE1016" s="304">
        <f>HLOOKUP($H1016,'GDP-PI'!$D$8:$CQ$11,3,FALSE)</f>
        <v>2.0840920205183799E-2</v>
      </c>
      <c r="DF1016" s="303">
        <f>VLOOKUP(H1016,'HW Dx Data'!$E:$F,2,FALSE)</f>
        <v>611.61109612283201</v>
      </c>
      <c r="DG1016" s="364">
        <f ca="1">VLOOKUP(CC1016,'ECI - Input Price'!M$13:N$33,2,FALSE)</f>
        <v>120.875</v>
      </c>
      <c r="DH1016" s="364"/>
      <c r="DI1016" s="364"/>
      <c r="DJ1016" s="56">
        <f t="shared" ca="1" si="1838"/>
        <v>3.3224250161508609E-2</v>
      </c>
      <c r="DK1016" s="53">
        <f>HLOOKUP(H1016,'GDP-PI'!$8:$9,2,FALSE)</f>
        <v>98.111999999999995</v>
      </c>
      <c r="DL1016" s="355">
        <f t="shared" si="1830"/>
        <v>2.0626719212849295E-2</v>
      </c>
      <c r="EC1016"/>
    </row>
    <row r="1017" spans="1:133" s="126" customFormat="1" ht="21" customHeight="1" x14ac:dyDescent="0.4">
      <c r="A1017" s="233" t="s">
        <v>242</v>
      </c>
      <c r="B1017" s="126" t="s">
        <v>243</v>
      </c>
      <c r="C1017" s="126">
        <v>4057096</v>
      </c>
      <c r="D1017" s="127" t="s">
        <v>194</v>
      </c>
      <c r="E1017" s="127" t="s">
        <v>15</v>
      </c>
      <c r="F1017" s="144"/>
      <c r="G1017" s="126" t="s">
        <v>168</v>
      </c>
      <c r="H1017" s="128">
        <v>2012</v>
      </c>
      <c r="I1017" s="129"/>
      <c r="J1017" s="125">
        <f>IFERROR(INDEX('Labor Expenditures'!$E$7:$W$91,MATCH($C1017,'Labor Expenditures'!$C$7:$C$91,0),MATCH($G1017,'Labor Expenditures'!$E$5:$W$5,0)),"NA")</f>
        <v>25582.794746891821</v>
      </c>
      <c r="K1017" s="125">
        <f t="shared" ca="1" si="1831"/>
        <v>204.99034252317162</v>
      </c>
      <c r="L1017" s="47"/>
      <c r="M1017" s="131">
        <f t="shared" ca="1" si="1839"/>
        <v>-2.8970105688277393E-2</v>
      </c>
      <c r="N1017" s="131"/>
      <c r="O1017" s="131"/>
      <c r="P1017" s="59">
        <f t="shared" ca="1" si="1841"/>
        <v>-2.8617831057266957E-4</v>
      </c>
      <c r="Q1017" s="61"/>
      <c r="R1017" s="387"/>
      <c r="S1017" s="49">
        <f t="shared" ca="1" si="1846"/>
        <v>117.41265648975082</v>
      </c>
      <c r="T1017" s="61">
        <f ca="1">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</f>
        <v>-9.091672748596815E-3</v>
      </c>
      <c r="U1017" s="61"/>
      <c r="V1017" s="125">
        <f>IFERROR(INDEX('Non-Labor Expenditures'!$E$7:$AA$91,MATCH($C1017,'Non-Labor Expenditures'!$C$7:$C$91,0),MATCH($G1017,'Non-Labor Expenditures'!$E$5:$AA$5,0)),"NA")</f>
        <v>37048.665000454617</v>
      </c>
      <c r="W1017" s="125">
        <f t="shared" si="1832"/>
        <v>370.48665000454616</v>
      </c>
      <c r="X1017" s="131">
        <f t="shared" si="1842"/>
        <v>-1.6075106265150886E-2</v>
      </c>
      <c r="Y1017" s="131">
        <f t="shared" si="1843"/>
        <v>-1.5879634001813545E-4</v>
      </c>
      <c r="Z1017" s="131"/>
      <c r="AA1017" s="131"/>
      <c r="AB1017" s="131"/>
      <c r="AC1017" s="125">
        <f t="shared" si="1813"/>
        <v>30110.524640649382</v>
      </c>
      <c r="AD1017" s="129"/>
      <c r="AE1017" s="133">
        <v>2031.3963847397963</v>
      </c>
      <c r="AF1017" s="134">
        <v>1.8086866090745942E-2</v>
      </c>
      <c r="AG1017" s="59">
        <f t="shared" si="1833"/>
        <v>1.7866930956687011E-4</v>
      </c>
      <c r="AH1017" s="134"/>
      <c r="AI1017" s="134"/>
      <c r="AJ1017" s="129">
        <f t="shared" si="1809"/>
        <v>92741.984387995821</v>
      </c>
      <c r="AK1017" s="134">
        <f t="shared" si="1844"/>
        <v>2.422262551407953E-2</v>
      </c>
      <c r="AL1017" s="129"/>
      <c r="AM1017" s="129"/>
      <c r="AN1017" s="129"/>
      <c r="AO1017" s="129"/>
      <c r="AP1017" s="133">
        <f t="shared" si="1845"/>
        <v>304.57437803326741</v>
      </c>
      <c r="AQ1017" s="134">
        <f>+BB1017/Outputs!$B$20</f>
        <v>8.5261276866982049E-3</v>
      </c>
      <c r="AR1017" s="93">
        <f t="shared" si="1834"/>
        <v>0.27584911963780628</v>
      </c>
      <c r="AS1017" s="93">
        <f t="shared" si="1835"/>
        <v>0.3994810467442409</v>
      </c>
      <c r="AT1017" s="93">
        <f t="shared" si="1836"/>
        <v>0.32466983361795282</v>
      </c>
      <c r="AU1017" s="93">
        <f t="shared" ca="1" si="1840"/>
        <v>-8.8265915139201772E-3</v>
      </c>
      <c r="AV1017" s="132">
        <f t="shared" ca="1" si="1848"/>
        <v>101.24381831401044</v>
      </c>
      <c r="AW1017" s="134">
        <f t="shared" ca="1" si="1849"/>
        <v>-8.8265915139202102E-3</v>
      </c>
      <c r="AX1017" s="56">
        <f>+AJ1017/$AL$17</f>
        <v>9.87840064002494E-3</v>
      </c>
      <c r="AY1017" s="135">
        <f t="shared" ca="1" si="1847"/>
        <v>-8.7192607260348114E-5</v>
      </c>
      <c r="AZ1017" s="93"/>
      <c r="BA1017" s="93"/>
      <c r="BB1017" s="234">
        <f>IFERROR(INDEX('Total Customers'!$E$7:$AA$91,MATCH($C1017,'Total Customers'!$C$7:$C$91,0),MATCH($G1017,'Total Customers'!$E$5:$AA$5,0)),"NA")</f>
        <v>304497</v>
      </c>
      <c r="BC1017" s="269">
        <f t="shared" si="1768"/>
        <v>4.803024697541557E-3</v>
      </c>
      <c r="BD1017" s="92"/>
      <c r="BE1017" s="299" t="str">
        <f t="shared" si="1764"/>
        <v>ROCHESTER GAS AND ELECTRIC CORPORATION</v>
      </c>
      <c r="BF1017" s="300">
        <f t="shared" si="1765"/>
        <v>4057096</v>
      </c>
      <c r="BG1017" s="231" t="str">
        <f t="shared" si="1766"/>
        <v>NY</v>
      </c>
      <c r="BH1017" s="231"/>
      <c r="BI1017" s="231" t="str">
        <f t="shared" si="1767"/>
        <v>2012 Y</v>
      </c>
      <c r="BJ1017" s="129"/>
      <c r="BK1017" s="129"/>
      <c r="BL1017" s="129">
        <f>INDEX('Dist. Plant Gas Additions'!$E$7:$AD$91,MATCH($C1017,'Dist. Plant Gas Additions'!$C$7:$C$91,0),MATCH(Calculation!$G1017,'Dist. Plant Gas Additions'!$E$5:$AD$5,0))</f>
        <v>34218</v>
      </c>
      <c r="BM1017" s="129">
        <f>INDEX('Gen. Plant Additions'!$E$7:$AD$91,MATCH($C1017,'Gen. Plant Additions'!$C$7:$C$91,0),MATCH(Calculation!$G1017,'Gen. Plant Additions'!$E$5:$AD$5,0))</f>
        <v>362</v>
      </c>
      <c r="BN1017" s="301">
        <f t="shared" si="1814"/>
        <v>0.99396862119437512</v>
      </c>
      <c r="BO1017" s="231">
        <f t="shared" si="1850"/>
        <v>359.81664087236379</v>
      </c>
      <c r="BP1017" s="231">
        <f t="shared" si="1851"/>
        <v>-2.1833591276362085</v>
      </c>
      <c r="BQ1017" s="129">
        <f>INDEX('Dist Plant Depreciation'!$D$7:$AC$94,MATCH($C1017,'Dist Plant Depreciation'!$C$7:$C$94,0),MATCH(Calculation!$G1017,'Dist Plant Depreciation'!$D$5:$AC$5,0))</f>
        <v>265070</v>
      </c>
      <c r="BR1017" s="129">
        <f>INDEX('Gen. Plant Depreciation'!$D$7:$AC$94,MATCH($C1017,'Gen. Plant Depreciation'!$C$7:$C$94,0),MATCH(Calculation!$G1017,'Gen. Plant Depreciation'!$D$5:$AC$5,0))</f>
        <v>2235</v>
      </c>
      <c r="BS1017" s="129"/>
      <c r="BT1017" s="129"/>
      <c r="BU1017" s="129"/>
      <c r="BV1017" s="129"/>
      <c r="BW1017" s="129"/>
      <c r="BX1017" s="137"/>
      <c r="BY1017" s="129">
        <f>INDEX('Gross Dx Plant'!$D$7:$AC$91,MATCH($C1017,'Gross Dx Plant'!$C$7:$C$91,0),MATCH(Calculation!$G1017,'Gross Dx Plant'!$D$5:$AC$5,0))</f>
        <v>686555</v>
      </c>
      <c r="BZ1017" s="129">
        <f>INDEX('Gross Gen Plant'!$D$7:$AC$91,MATCH($C1017,'Gross Gen Plant'!$C$7:$C$91,0),MATCH(Calculation!$G1017,'Gross Gen Plant'!$D$5:$AC$5,0))</f>
        <v>4166</v>
      </c>
      <c r="CA1017" s="129">
        <f t="shared" si="1852"/>
        <v>423416</v>
      </c>
      <c r="CB1017" s="129"/>
      <c r="CC1017" s="133">
        <v>2012</v>
      </c>
      <c r="CD1017" s="129"/>
      <c r="CE1017" s="129"/>
      <c r="CF1017" s="129"/>
      <c r="CG1017" s="137"/>
      <c r="CH1017" s="129">
        <f t="shared" si="1837"/>
        <v>34580</v>
      </c>
      <c r="CI1017" s="46">
        <f t="shared" si="1823"/>
        <v>34577.816640872363</v>
      </c>
      <c r="CJ1017" s="231">
        <f t="shared" si="1815"/>
        <v>51.692058366121941</v>
      </c>
      <c r="CK1017" s="443">
        <v>0.84090909090909094</v>
      </c>
      <c r="CL1017" s="231">
        <f>+CL1003*CK1017+CJ1004*CK1016+CJ1005*CK1015+CJ1006*CK1014+CJ1007*CK1013+CJ1008*CK1012+CJ1009*CK1011+CJ1010*CK1010+CJ1011*CK1009+CJ1012*CK1008+CJ1013*CK1007+CJ1014*CK1006+CJ1015*CK1005+CJ1016*CK1004+CJ1017</f>
        <v>1899.3505617616729</v>
      </c>
      <c r="CM1017" s="134">
        <f t="shared" si="1816"/>
        <v>1.3264207935126865E-2</v>
      </c>
      <c r="CN1017" s="135">
        <f t="shared" si="1817"/>
        <v>1.4226480094225618E-2</v>
      </c>
      <c r="CO1017" s="135">
        <f t="shared" si="1826"/>
        <v>1.381603674506743E-2</v>
      </c>
      <c r="CP1017" s="134">
        <f>VLOOKUP($H1017,RoR!$E:$F,2,FALSE)</f>
        <v>3.6733333333333333E-2</v>
      </c>
      <c r="CQ1017" s="135">
        <v>1.924331376386168E-2</v>
      </c>
      <c r="CR1017" s="135">
        <f t="shared" si="1824"/>
        <v>1.7490019569471653E-2</v>
      </c>
      <c r="CS1017" s="135">
        <f t="shared" si="1827"/>
        <v>1.7085904863466193E-2</v>
      </c>
      <c r="CT1017" s="135">
        <f t="shared" si="1828"/>
        <v>6.7122682943869583E-2</v>
      </c>
      <c r="CU1017" s="139">
        <f t="shared" si="1818"/>
        <v>0.85329623209999994</v>
      </c>
      <c r="CV1017" s="335">
        <f t="shared" si="1819"/>
        <v>1.3960631020522127</v>
      </c>
      <c r="CW1017" s="335">
        <f t="shared" si="1820"/>
        <v>0.29441923774954631</v>
      </c>
      <c r="CX1017" s="335">
        <f t="shared" si="1821"/>
        <v>0.76377954189366437</v>
      </c>
      <c r="CY1017" s="335">
        <f t="shared" si="1822"/>
        <v>0.31393465103033691</v>
      </c>
      <c r="CZ1017" s="336">
        <f>INDEX('State Tax Lookup'!$D$7:$Z$91,MATCH(Calculation!$C1017,'State Tax Lookup'!$B$7:$B$91,0),MATCH($H1017,'State Tax Lookup'!$D$6:$Z$6,0))</f>
        <v>0.39649667</v>
      </c>
      <c r="DA1017" s="302">
        <v>0.37</v>
      </c>
      <c r="DB1017" s="57">
        <f t="shared" si="1825"/>
        <v>16.064742378894067</v>
      </c>
      <c r="DC1017" s="56">
        <f t="shared" si="1829"/>
        <v>6.2272860007958016E-2</v>
      </c>
      <c r="DD1017" s="303">
        <f>VLOOKUP($H1017,RoR!$E:$F,2,FALSE)</f>
        <v>3.6733333333333333E-2</v>
      </c>
      <c r="DE1017" s="304">
        <f>HLOOKUP($H1017,'GDP-PI'!$D$8:$CQ$11,3,FALSE)</f>
        <v>1.924331376386168E-2</v>
      </c>
      <c r="DF1017" s="303">
        <f>VLOOKUP(H1017,'HW Dx Data'!$E:$F,2,FALSE)</f>
        <v>668.91932211262167</v>
      </c>
      <c r="DG1017" s="364">
        <f ca="1">VLOOKUP(CC1017,'ECI - Input Price'!M$13:N$33,2,FALSE)</f>
        <v>124.80000000000001</v>
      </c>
      <c r="DH1017" s="364"/>
      <c r="DI1017" s="364"/>
      <c r="DJ1017" s="56">
        <f t="shared" ca="1" si="1838"/>
        <v>3.1955502161869064E-2</v>
      </c>
      <c r="DK1017" s="53">
        <f>HLOOKUP(H1017,'GDP-PI'!$8:$9,2,FALSE)</f>
        <v>100</v>
      </c>
      <c r="DL1017" s="355">
        <f t="shared" si="1830"/>
        <v>1.9060502738742411E-2</v>
      </c>
      <c r="EC1017"/>
    </row>
    <row r="1018" spans="1:133" s="126" customFormat="1" ht="21" customHeight="1" x14ac:dyDescent="0.4">
      <c r="A1018" s="233" t="s">
        <v>242</v>
      </c>
      <c r="B1018" s="126" t="s">
        <v>243</v>
      </c>
      <c r="C1018" s="126">
        <v>4057096</v>
      </c>
      <c r="D1018" s="127" t="s">
        <v>194</v>
      </c>
      <c r="E1018" s="127" t="s">
        <v>15</v>
      </c>
      <c r="F1018" s="144"/>
      <c r="G1018" s="126" t="s">
        <v>169</v>
      </c>
      <c r="H1018" s="128">
        <v>2013</v>
      </c>
      <c r="I1018" s="129"/>
      <c r="J1018" s="125">
        <f>IFERROR(INDEX('Labor Expenditures'!$E$7:$W$91,MATCH($C1018,'Labor Expenditures'!$C$7:$C$91,0),MATCH($G1018,'Labor Expenditures'!$E$5:$W$5,0)),"NA")</f>
        <v>26490.933150494533</v>
      </c>
      <c r="K1018" s="125">
        <f t="shared" ca="1" si="1831"/>
        <v>208.91903115531966</v>
      </c>
      <c r="L1018" s="47"/>
      <c r="M1018" s="131">
        <f t="shared" ca="1" si="1839"/>
        <v>1.8983897776136717E-2</v>
      </c>
      <c r="N1018" s="131"/>
      <c r="O1018" s="131"/>
      <c r="P1018" s="59">
        <f t="shared" ca="1" si="1841"/>
        <v>1.8421103461243392E-4</v>
      </c>
      <c r="Q1018" s="61"/>
      <c r="R1018" s="387"/>
      <c r="S1018" s="49">
        <f t="shared" ca="1" si="1846"/>
        <v>107.45046666526062</v>
      </c>
      <c r="T1018" s="61">
        <f ca="1">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</f>
        <v>-8.8664741968614805E-2</v>
      </c>
      <c r="U1018" s="61"/>
      <c r="V1018" s="125">
        <f>IFERROR(INDEX('Non-Labor Expenditures'!$E$7:$AA$91,MATCH($C1018,'Non-Labor Expenditures'!$C$7:$C$91,0),MATCH($G1018,'Non-Labor Expenditures'!$E$5:$AA$5,0)),"NA")</f>
        <v>38363.819025728269</v>
      </c>
      <c r="W1018" s="125">
        <f t="shared" si="1832"/>
        <v>376.95478197290316</v>
      </c>
      <c r="X1018" s="131">
        <f t="shared" si="1842"/>
        <v>1.7307826827424353E-2</v>
      </c>
      <c r="Y1018" s="131">
        <f t="shared" si="1843"/>
        <v>1.6794721107171425E-4</v>
      </c>
      <c r="Z1018" s="131"/>
      <c r="AA1018" s="131"/>
      <c r="AB1018" s="131"/>
      <c r="AC1018" s="125">
        <f t="shared" si="1813"/>
        <v>29566.318210055557</v>
      </c>
      <c r="AD1018" s="129"/>
      <c r="AE1018" s="133">
        <v>2058.8091267189575</v>
      </c>
      <c r="AF1018" s="134">
        <v>1.3404290982383871E-2</v>
      </c>
      <c r="AG1018" s="59">
        <f t="shared" si="1833"/>
        <v>1.3006909009038843E-4</v>
      </c>
      <c r="AH1018" s="134"/>
      <c r="AI1018" s="134"/>
      <c r="AJ1018" s="129">
        <f t="shared" si="1809"/>
        <v>94421.070386278356</v>
      </c>
      <c r="AK1018" s="134">
        <f t="shared" si="1844"/>
        <v>1.7942975429583504E-2</v>
      </c>
      <c r="AL1018" s="129"/>
      <c r="AM1018" s="129"/>
      <c r="AN1018" s="129"/>
      <c r="AO1018" s="129"/>
      <c r="AP1018" s="133">
        <f t="shared" si="1845"/>
        <v>308.78759364993903</v>
      </c>
      <c r="AQ1018" s="134">
        <f>+BB1018/Outputs!$B$21</f>
        <v>8.5074838480781179E-3</v>
      </c>
      <c r="AR1018" s="93">
        <f t="shared" si="1834"/>
        <v>0.28056166957353518</v>
      </c>
      <c r="AS1018" s="93">
        <f t="shared" si="1835"/>
        <v>0.40630569923409227</v>
      </c>
      <c r="AT1018" s="93">
        <f t="shared" si="1836"/>
        <v>0.31313263119237261</v>
      </c>
      <c r="AU1018" s="93">
        <f t="shared" ca="1" si="1840"/>
        <v>1.652927641537684E-2</v>
      </c>
      <c r="AV1018" s="132">
        <f t="shared" ca="1" si="1848"/>
        <v>102.93121265747625</v>
      </c>
      <c r="AW1018" s="134">
        <f t="shared" ca="1" si="1849"/>
        <v>1.652927641537684E-2</v>
      </c>
      <c r="AX1018" s="56">
        <f>+AJ1018/$AL$18</f>
        <v>9.7035412213392902E-3</v>
      </c>
      <c r="AY1018" s="135">
        <f t="shared" ca="1" si="1847"/>
        <v>1.6039251505552051E-4</v>
      </c>
      <c r="AZ1018" s="93"/>
      <c r="BA1018" s="93"/>
      <c r="BB1018" s="234">
        <f>IFERROR(INDEX('Total Customers'!$E$7:$AA$91,MATCH($C1018,'Total Customers'!$C$7:$C$91,0),MATCH($G1018,'Total Customers'!$E$5:$AA$5,0)),"NA")</f>
        <v>305780</v>
      </c>
      <c r="BC1018" s="269">
        <f t="shared" si="1768"/>
        <v>4.2046542477980654E-3</v>
      </c>
      <c r="BD1018" s="92"/>
      <c r="BE1018" s="299" t="str">
        <f t="shared" si="1764"/>
        <v>ROCHESTER GAS AND ELECTRIC CORPORATION</v>
      </c>
      <c r="BF1018" s="300">
        <f t="shared" si="1765"/>
        <v>4057096</v>
      </c>
      <c r="BG1018" s="231" t="str">
        <f t="shared" si="1766"/>
        <v>NY</v>
      </c>
      <c r="BH1018" s="231"/>
      <c r="BI1018" s="231" t="str">
        <f t="shared" si="1767"/>
        <v>2013 Y</v>
      </c>
      <c r="BJ1018" s="129"/>
      <c r="BK1018" s="129"/>
      <c r="BL1018" s="129">
        <f>INDEX('Dist. Plant Gas Additions'!$E$7:$AD$91,MATCH($C1018,'Dist. Plant Gas Additions'!$C$7:$C$91,0),MATCH(Calculation!$G1018,'Dist. Plant Gas Additions'!$E$5:$AD$5,0))</f>
        <v>27676</v>
      </c>
      <c r="BM1018" s="129">
        <f>INDEX('Gen. Plant Additions'!$E$7:$AD$91,MATCH($C1018,'Gen. Plant Additions'!$C$7:$C$91,0),MATCH(Calculation!$G1018,'Gen. Plant Additions'!$E$5:$AD$5,0))</f>
        <v>1185</v>
      </c>
      <c r="BN1018" s="301">
        <f t="shared" si="1814"/>
        <v>0.9925295099017849</v>
      </c>
      <c r="BO1018" s="231">
        <f t="shared" si="1850"/>
        <v>1176.1474692336151</v>
      </c>
      <c r="BP1018" s="231">
        <f t="shared" si="1851"/>
        <v>-8.8525307663849162</v>
      </c>
      <c r="BQ1018" s="129">
        <f>INDEX('Dist Plant Depreciation'!$D$7:$AC$94,MATCH($C1018,'Dist Plant Depreciation'!$C$7:$C$94,0),MATCH(Calculation!$G1018,'Dist Plant Depreciation'!$D$5:$AC$5,0))</f>
        <v>277246</v>
      </c>
      <c r="BR1018" s="129">
        <f>INDEX('Gen. Plant Depreciation'!$D$7:$AC$94,MATCH($C1018,'Gen. Plant Depreciation'!$C$7:$C$94,0),MATCH(Calculation!$G1018,'Gen. Plant Depreciation'!$D$5:$AC$5,0))</f>
        <v>2405</v>
      </c>
      <c r="BS1018" s="129"/>
      <c r="BT1018" s="129"/>
      <c r="BU1018" s="129"/>
      <c r="BV1018" s="129"/>
      <c r="BW1018" s="129"/>
      <c r="BX1018" s="137"/>
      <c r="BY1018" s="129">
        <f>INDEX('Gross Dx Plant'!$D$7:$AC$91,MATCH($C1018,'Gross Dx Plant'!$C$7:$C$91,0),MATCH(Calculation!$G1018,'Gross Dx Plant'!$D$5:$AC$5,0))</f>
        <v>710934</v>
      </c>
      <c r="BZ1018" s="129">
        <f>INDEX('Gross Gen Plant'!$D$7:$AC$91,MATCH($C1018,'Gross Gen Plant'!$C$7:$C$91,0),MATCH(Calculation!$G1018,'Gross Gen Plant'!$D$5:$AC$5,0))</f>
        <v>5351</v>
      </c>
      <c r="CA1018" s="129">
        <f t="shared" si="1852"/>
        <v>436634</v>
      </c>
      <c r="CB1018" s="129"/>
      <c r="CC1018" s="133">
        <v>2013</v>
      </c>
      <c r="CD1018" s="129"/>
      <c r="CE1018" s="129"/>
      <c r="CF1018" s="129"/>
      <c r="CG1018" s="137"/>
      <c r="CH1018" s="129">
        <f t="shared" si="1837"/>
        <v>28861</v>
      </c>
      <c r="CI1018" s="46">
        <f t="shared" si="1823"/>
        <v>28852.147469233616</v>
      </c>
      <c r="CJ1018" s="231">
        <f t="shared" si="1815"/>
        <v>43.501269253705466</v>
      </c>
      <c r="CK1018" s="443">
        <v>0.82758620689655171</v>
      </c>
      <c r="CL1018" s="231">
        <f>+CL1003*CK1018+CJ1004*CK1017+CJ1005*CK1016+CJ1006*CK1015+CJ1007*CK1014+CJ1008*CK1013+CJ1009*CK1012+CJ1010*CK1011+CJ1011*CK1010+CJ1012*CK1009+CJ1013*CK1008+CJ1014*CK1007+CJ1015*CK1006+CJ1016*CK1005+CJ1017*CK1004+CJ1018</f>
        <v>1915.073716633596</v>
      </c>
      <c r="CM1018" s="134">
        <f t="shared" si="1816"/>
        <v>8.2440980743001841E-3</v>
      </c>
      <c r="CN1018" s="135">
        <f t="shared" si="1817"/>
        <v>1.4625059186555774E-2</v>
      </c>
      <c r="CO1018" s="135">
        <f t="shared" si="1826"/>
        <v>1.422193561615539E-2</v>
      </c>
      <c r="CP1018" s="134">
        <f>VLOOKUP($H1018,RoR!$E:$F,2,FALSE)</f>
        <v>4.2350000000000006E-2</v>
      </c>
      <c r="CQ1018" s="135">
        <v>1.7730000000000024E-2</v>
      </c>
      <c r="CR1018" s="135">
        <f t="shared" si="1824"/>
        <v>2.4619999999999982E-2</v>
      </c>
      <c r="CS1018" s="135">
        <f t="shared" si="1827"/>
        <v>1.6680005992378233E-2</v>
      </c>
      <c r="CT1018" s="135">
        <f t="shared" si="1828"/>
        <v>5.3376742735721204E-2</v>
      </c>
      <c r="CU1018" s="139">
        <f t="shared" si="1818"/>
        <v>0.85329623209999994</v>
      </c>
      <c r="CV1018" s="335">
        <f t="shared" si="1819"/>
        <v>1.2109103018193925</v>
      </c>
      <c r="CW1018" s="335">
        <f t="shared" si="1820"/>
        <v>0.38468122786304604</v>
      </c>
      <c r="CX1018" s="335">
        <f t="shared" si="1821"/>
        <v>0.80969194503422559</v>
      </c>
      <c r="CY1018" s="335">
        <f t="shared" si="1822"/>
        <v>0.37716621754800816</v>
      </c>
      <c r="CZ1018" s="336">
        <f>INDEX('State Tax Lookup'!$D$7:$Z$91,MATCH(Calculation!$C1018,'State Tax Lookup'!$B$7:$B$91,0),MATCH($H1018,'State Tax Lookup'!$D$6:$Z$6,0))</f>
        <v>0.39649667</v>
      </c>
      <c r="DA1018" s="302">
        <v>0.37</v>
      </c>
      <c r="DB1018" s="57">
        <f t="shared" si="1825"/>
        <v>15.566540903661515</v>
      </c>
      <c r="DC1018" s="56">
        <f t="shared" si="1829"/>
        <v>-3.1503159286869857E-2</v>
      </c>
      <c r="DD1018" s="303">
        <f>VLOOKUP($H1018,RoR!$E:$F,2,FALSE)</f>
        <v>4.2350000000000006E-2</v>
      </c>
      <c r="DE1018" s="304">
        <f>HLOOKUP($H1018,'GDP-PI'!$D$8:$CQ$11,3,FALSE)</f>
        <v>1.7730000000000024E-2</v>
      </c>
      <c r="DF1018" s="303">
        <f>VLOOKUP(H1018,'HW Dx Data'!$E:$F,2,FALSE)</f>
        <v>663.24840548821396</v>
      </c>
      <c r="DG1018" s="364">
        <f ca="1">VLOOKUP(CC1018,'ECI - Input Price'!M$13:N$33,2,FALSE)</f>
        <v>126.8</v>
      </c>
      <c r="DH1018" s="364"/>
      <c r="DI1018" s="364"/>
      <c r="DJ1018" s="56">
        <f t="shared" ca="1" si="1838"/>
        <v>1.5898586067798204E-2</v>
      </c>
      <c r="DK1018" s="53">
        <f>HLOOKUP(H1018,'GDP-PI'!$8:$9,2,FALSE)</f>
        <v>101.773</v>
      </c>
      <c r="DL1018" s="355">
        <f t="shared" si="1830"/>
        <v>1.7574657016510519E-2</v>
      </c>
      <c r="EC1018"/>
    </row>
    <row r="1019" spans="1:133" s="126" customFormat="1" ht="21" customHeight="1" x14ac:dyDescent="0.4">
      <c r="A1019" s="233" t="s">
        <v>242</v>
      </c>
      <c r="B1019" s="126" t="s">
        <v>243</v>
      </c>
      <c r="C1019" s="126">
        <v>4057096</v>
      </c>
      <c r="D1019" s="127" t="s">
        <v>194</v>
      </c>
      <c r="E1019" s="127" t="s">
        <v>15</v>
      </c>
      <c r="F1019" s="144"/>
      <c r="G1019" s="126" t="s">
        <v>170</v>
      </c>
      <c r="H1019" s="128">
        <v>2014</v>
      </c>
      <c r="I1019" s="129"/>
      <c r="J1019" s="125">
        <f>IFERROR(INDEX('Labor Expenditures'!$E$7:$W$91,MATCH($C1019,'Labor Expenditures'!$C$7:$C$91,0),MATCH($G1019,'Labor Expenditures'!$E$5:$W$5,0)),"NA")</f>
        <v>26923.615199322128</v>
      </c>
      <c r="K1019" s="125">
        <f t="shared" ca="1" si="1831"/>
        <v>208.06503245225755</v>
      </c>
      <c r="L1019" s="47"/>
      <c r="M1019" s="131">
        <f t="shared" ca="1" si="1839"/>
        <v>-4.0960793067066599E-3</v>
      </c>
      <c r="N1019" s="131"/>
      <c r="O1019" s="131"/>
      <c r="P1019" s="59">
        <f t="shared" ca="1" si="1841"/>
        <v>-3.9663062259052707E-5</v>
      </c>
      <c r="Q1019" s="61"/>
      <c r="R1019" s="387"/>
      <c r="S1019" s="49">
        <f t="shared" ca="1" si="1846"/>
        <v>121.37934937611115</v>
      </c>
      <c r="T1019" s="61">
        <f ca="1">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</f>
        <v>0.12189079399884613</v>
      </c>
      <c r="U1019" s="61"/>
      <c r="V1019" s="125">
        <f>IFERROR(INDEX('Non-Labor Expenditures'!$E$7:$AA$91,MATCH($C1019,'Non-Labor Expenditures'!$C$7:$C$91,0),MATCH($G1019,'Non-Labor Expenditures'!$E$5:$AA$5,0)),"NA")</f>
        <v>38990.423446289933</v>
      </c>
      <c r="W1019" s="125">
        <f t="shared" si="1832"/>
        <v>376.18477569336238</v>
      </c>
      <c r="X1019" s="131">
        <f t="shared" si="1842"/>
        <v>-2.0447911412879655E-3</v>
      </c>
      <c r="Y1019" s="131">
        <f t="shared" si="1843"/>
        <v>-1.9800075211159034E-5</v>
      </c>
      <c r="Z1019" s="131"/>
      <c r="AA1019" s="131"/>
      <c r="AB1019" s="131"/>
      <c r="AC1019" s="125">
        <f t="shared" si="1813"/>
        <v>30038.66682650549</v>
      </c>
      <c r="AD1019" s="129"/>
      <c r="AE1019" s="133">
        <v>2087.2280984428694</v>
      </c>
      <c r="AF1019" s="134">
        <v>1.3709195201297509E-2</v>
      </c>
      <c r="AG1019" s="59">
        <f t="shared" si="1833"/>
        <v>1.3274856810029781E-4</v>
      </c>
      <c r="AH1019" s="134"/>
      <c r="AI1019" s="134"/>
      <c r="AJ1019" s="129">
        <f t="shared" si="1809"/>
        <v>95952.705472117552</v>
      </c>
      <c r="AK1019" s="134">
        <f t="shared" si="1844"/>
        <v>1.6091167253397765E-2</v>
      </c>
      <c r="AL1019" s="129"/>
      <c r="AM1019" s="129"/>
      <c r="AN1019" s="129"/>
      <c r="AO1019" s="129"/>
      <c r="AP1019" s="133">
        <f t="shared" si="1845"/>
        <v>312.32876264047093</v>
      </c>
      <c r="AQ1019" s="134">
        <f>+BB1019/Outputs!$B$22</f>
        <v>8.5017892342641888E-3</v>
      </c>
      <c r="AR1019" s="93">
        <f t="shared" si="1834"/>
        <v>0.28059255929105342</v>
      </c>
      <c r="AS1019" s="93">
        <f t="shared" si="1835"/>
        <v>0.40635043331446219</v>
      </c>
      <c r="AT1019" s="93">
        <f t="shared" si="1836"/>
        <v>0.31305700739448444</v>
      </c>
      <c r="AU1019" s="93">
        <f t="shared" ca="1" si="1840"/>
        <v>2.3121558514726821E-3</v>
      </c>
      <c r="AV1019" s="132">
        <f t="shared" ca="1" si="1848"/>
        <v>103.16948101375868</v>
      </c>
      <c r="AW1019" s="134">
        <f t="shared" ca="1" si="1849"/>
        <v>2.3121558514726664E-3</v>
      </c>
      <c r="AX1019" s="56">
        <f>+AJ1019/$AL$19</f>
        <v>9.6831773237668842E-3</v>
      </c>
      <c r="AY1019" s="135">
        <f t="shared" ca="1" si="1847"/>
        <v>2.2389015109995034E-5</v>
      </c>
      <c r="AZ1019" s="93"/>
      <c r="BA1019" s="93"/>
      <c r="BB1019" s="234">
        <f>IFERROR(INDEX('Total Customers'!$E$7:$AA$91,MATCH($C1019,'Total Customers'!$C$7:$C$91,0),MATCH($G1019,'Total Customers'!$E$5:$AA$5,0)),"NA")</f>
        <v>307217</v>
      </c>
      <c r="BC1019" s="269">
        <f t="shared" si="1768"/>
        <v>4.6884491515955589E-3</v>
      </c>
      <c r="BD1019" s="92"/>
      <c r="BE1019" s="299" t="str">
        <f t="shared" si="1764"/>
        <v>ROCHESTER GAS AND ELECTRIC CORPORATION</v>
      </c>
      <c r="BF1019" s="300">
        <f t="shared" si="1765"/>
        <v>4057096</v>
      </c>
      <c r="BG1019" s="231" t="str">
        <f t="shared" si="1766"/>
        <v>NY</v>
      </c>
      <c r="BH1019" s="231"/>
      <c r="BI1019" s="231" t="str">
        <f t="shared" si="1767"/>
        <v>2014 Y</v>
      </c>
      <c r="BJ1019" s="129"/>
      <c r="BK1019" s="129"/>
      <c r="BL1019" s="129">
        <f>INDEX('Dist. Plant Gas Additions'!$E$7:$AD$91,MATCH($C1019,'Dist. Plant Gas Additions'!$C$7:$C$91,0),MATCH(Calculation!$G1019,'Dist. Plant Gas Additions'!$E$5:$AD$5,0))</f>
        <v>30330</v>
      </c>
      <c r="BM1019" s="129">
        <f>INDEX('Gen. Plant Additions'!$E$7:$AD$91,MATCH($C1019,'Gen. Plant Additions'!$C$7:$C$91,0),MATCH(Calculation!$G1019,'Gen. Plant Additions'!$E$5:$AD$5,0))</f>
        <v>702</v>
      </c>
      <c r="BN1019" s="301">
        <f t="shared" si="1814"/>
        <v>0.99237496712766604</v>
      </c>
      <c r="BO1019" s="231">
        <f t="shared" si="1850"/>
        <v>696.64722692362159</v>
      </c>
      <c r="BP1019" s="231">
        <f t="shared" si="1851"/>
        <v>-5.352773076378412</v>
      </c>
      <c r="BQ1019" s="129">
        <f>INDEX('Dist Plant Depreciation'!$D$7:$AC$94,MATCH($C1019,'Dist Plant Depreciation'!$C$7:$C$94,0),MATCH(Calculation!$G1019,'Dist Plant Depreciation'!$D$5:$AC$5,0))</f>
        <v>289087</v>
      </c>
      <c r="BR1019" s="129">
        <f>INDEX('Gen. Plant Depreciation'!$D$7:$AC$94,MATCH($C1019,'Gen. Plant Depreciation'!$C$7:$C$94,0),MATCH(Calculation!$G1019,'Gen. Plant Depreciation'!$D$5:$AC$5,0))</f>
        <v>2195</v>
      </c>
      <c r="BS1019" s="129"/>
      <c r="BT1019" s="129"/>
      <c r="BU1019" s="129"/>
      <c r="BV1019" s="129"/>
      <c r="BW1019" s="129"/>
      <c r="BX1019" s="137"/>
      <c r="BY1019" s="129">
        <f>INDEX('Gross Dx Plant'!$D$7:$AC$91,MATCH($C1019,'Gross Dx Plant'!$C$7:$C$91,0),MATCH(Calculation!$G1019,'Gross Dx Plant'!$D$5:$AC$5,0))</f>
        <v>735851</v>
      </c>
      <c r="BZ1019" s="129">
        <f>INDEX('Gross Gen Plant'!$D$7:$AC$91,MATCH($C1019,'Gross Gen Plant'!$C$7:$C$91,0),MATCH(Calculation!$G1019,'Gross Gen Plant'!$D$5:$AC$5,0))</f>
        <v>5654</v>
      </c>
      <c r="CA1019" s="129">
        <f t="shared" si="1852"/>
        <v>450223</v>
      </c>
      <c r="CB1019" s="129"/>
      <c r="CC1019" s="133">
        <v>2014</v>
      </c>
      <c r="CD1019" s="129"/>
      <c r="CE1019" s="129"/>
      <c r="CF1019" s="129"/>
      <c r="CG1019" s="137"/>
      <c r="CH1019" s="129">
        <f t="shared" si="1837"/>
        <v>31032</v>
      </c>
      <c r="CI1019" s="46">
        <f t="shared" si="1823"/>
        <v>31026.647226923622</v>
      </c>
      <c r="CJ1019" s="231">
        <f t="shared" si="1815"/>
        <v>45.329504698656088</v>
      </c>
      <c r="CK1019" s="443">
        <v>0.81395348837209303</v>
      </c>
      <c r="CL1019" s="231">
        <f>+CL1003*CK1019+CJ1004*CK1018+CJ1005*CK1017+CJ1006*CK1016+CJ1007*CK1015+CJ1008*CK1014+CJ1009*CK1013+CJ1010*CK1012+CJ1011*CK1011+CJ1012*CK1010+CJ1013*CK1009+CJ1014*CK1008+CJ1015*CK1007+CJ1016*CK1006+CJ1017*CK1005+CJ1018*CK1004+CJ1019</f>
        <v>1931.562285357059</v>
      </c>
      <c r="CM1019" s="134">
        <f t="shared" si="1816"/>
        <v>8.5730335300951109E-3</v>
      </c>
      <c r="CN1019" s="135">
        <f t="shared" si="1817"/>
        <v>1.5059961256160414E-2</v>
      </c>
      <c r="CO1019" s="135">
        <f t="shared" si="1826"/>
        <v>1.4637166845647269E-2</v>
      </c>
      <c r="CP1019" s="134">
        <f>VLOOKUP($H1019,RoR!$E:$F,2,FALSE)</f>
        <v>4.1625000000000002E-2</v>
      </c>
      <c r="CQ1019" s="135">
        <v>1.841352814597208E-2</v>
      </c>
      <c r="CR1019" s="135">
        <f t="shared" si="1824"/>
        <v>2.3211471854027922E-2</v>
      </c>
      <c r="CS1019" s="135">
        <f t="shared" si="1827"/>
        <v>1.6264774762886354E-2</v>
      </c>
      <c r="CT1019" s="135">
        <f t="shared" si="1828"/>
        <v>3.9072621432650924E-2</v>
      </c>
      <c r="CU1019" s="139">
        <f t="shared" si="1818"/>
        <v>0.85329623209999994</v>
      </c>
      <c r="CV1019" s="335">
        <f t="shared" si="1819"/>
        <v>1.2320012320012319</v>
      </c>
      <c r="CW1019" s="335">
        <f t="shared" si="1820"/>
        <v>0.37439939939939942</v>
      </c>
      <c r="CX1019" s="335">
        <f t="shared" si="1821"/>
        <v>0.80432100613819935</v>
      </c>
      <c r="CY1019" s="335">
        <f t="shared" si="1822"/>
        <v>0.37100152660040037</v>
      </c>
      <c r="CZ1019" s="336">
        <f>INDEX('State Tax Lookup'!$D$7:$Z$91,MATCH(Calculation!$C1019,'State Tax Lookup'!$B$7:$B$91,0),MATCH($H1019,'State Tax Lookup'!$D$6:$Z$6,0))</f>
        <v>0.39649667</v>
      </c>
      <c r="DA1019" s="302">
        <v>0.37</v>
      </c>
      <c r="DB1019" s="57">
        <f t="shared" si="1825"/>
        <v>15.68538410067516</v>
      </c>
      <c r="DC1019" s="56">
        <f t="shared" si="1829"/>
        <v>7.6055327703300358E-3</v>
      </c>
      <c r="DD1019" s="303">
        <f>VLOOKUP($H1019,RoR!$E:$F,2,FALSE)</f>
        <v>4.1625000000000002E-2</v>
      </c>
      <c r="DE1019" s="304">
        <f>HLOOKUP($H1019,'GDP-PI'!$D$8:$CQ$11,3,FALSE)</f>
        <v>1.841352814597208E-2</v>
      </c>
      <c r="DF1019" s="303">
        <f>VLOOKUP(H1019,'HW Dx Data'!$E:$F,2,FALSE)</f>
        <v>684.46914285042885</v>
      </c>
      <c r="DG1019" s="364">
        <f ca="1">VLOOKUP(CC1019,'ECI - Input Price'!M$13:N$33,2,FALSE)</f>
        <v>129.4</v>
      </c>
      <c r="DH1019" s="364"/>
      <c r="DI1019" s="364"/>
      <c r="DJ1019" s="56">
        <f t="shared" ca="1" si="1838"/>
        <v>2.0297340063674733E-2</v>
      </c>
      <c r="DK1019" s="53">
        <f>HLOOKUP(H1019,'GDP-PI'!$8:$9,2,FALSE)</f>
        <v>103.64700000000001</v>
      </c>
      <c r="DL1019" s="355">
        <f t="shared" si="1830"/>
        <v>1.8246051898256087E-2</v>
      </c>
      <c r="EC1019"/>
    </row>
    <row r="1020" spans="1:133" s="126" customFormat="1" ht="21" customHeight="1" x14ac:dyDescent="0.4">
      <c r="A1020" s="233" t="s">
        <v>242</v>
      </c>
      <c r="B1020" s="126" t="s">
        <v>243</v>
      </c>
      <c r="C1020" s="126">
        <v>4057096</v>
      </c>
      <c r="D1020" s="127" t="s">
        <v>194</v>
      </c>
      <c r="E1020" s="127" t="s">
        <v>15</v>
      </c>
      <c r="F1020" s="144"/>
      <c r="G1020" s="126" t="s">
        <v>171</v>
      </c>
      <c r="H1020" s="128">
        <v>2015</v>
      </c>
      <c r="I1020" s="129"/>
      <c r="J1020" s="125">
        <f>IFERROR(INDEX('Labor Expenditures'!$E$7:$W$91,MATCH($C1020,'Labor Expenditures'!$C$7:$C$91,0),MATCH($G1020,'Labor Expenditures'!$E$5:$W$5,0)),"NA")</f>
        <v>29570.99715815932</v>
      </c>
      <c r="K1020" s="125">
        <f t="shared" ca="1" si="1831"/>
        <v>221.505596690332</v>
      </c>
      <c r="L1020" s="47"/>
      <c r="M1020" s="131">
        <f t="shared" ca="1" si="1839"/>
        <v>6.2597169535875796E-2</v>
      </c>
      <c r="N1020" s="131"/>
      <c r="O1020" s="131"/>
      <c r="P1020" s="59">
        <f t="shared" ca="1" si="1841"/>
        <v>6.3856126830646055E-4</v>
      </c>
      <c r="Q1020" s="61"/>
      <c r="R1020" s="387"/>
      <c r="S1020" s="49">
        <f t="shared" ca="1" si="1846"/>
        <v>121.27970585791883</v>
      </c>
      <c r="T1020" s="61">
        <f ca="1">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</f>
        <v>-8.2126359304252939E-4</v>
      </c>
      <c r="U1020" s="61"/>
      <c r="V1020" s="125">
        <f>IFERROR(INDEX('Non-Labor Expenditures'!$E$7:$AA$91,MATCH($C1020,'Non-Labor Expenditures'!$C$7:$C$91,0),MATCH($G1020,'Non-Labor Expenditures'!$E$5:$AA$5,0)),"NA")</f>
        <v>42824.326985430154</v>
      </c>
      <c r="W1020" s="125">
        <f t="shared" si="1832"/>
        <v>409.2578004895895</v>
      </c>
      <c r="X1020" s="131">
        <f t="shared" si="1842"/>
        <v>8.4264829123936819E-2</v>
      </c>
      <c r="Y1020" s="131">
        <f t="shared" si="1843"/>
        <v>8.5959567434066783E-4</v>
      </c>
      <c r="Z1020" s="131"/>
      <c r="AA1020" s="131"/>
      <c r="AB1020" s="131"/>
      <c r="AC1020" s="125">
        <f t="shared" si="1813"/>
        <v>29213.60950086774</v>
      </c>
      <c r="AD1020" s="129"/>
      <c r="AE1020" s="133">
        <v>2103.7069659496556</v>
      </c>
      <c r="AF1020" s="134">
        <v>7.8640934207028692E-3</v>
      </c>
      <c r="AG1020" s="59">
        <f t="shared" si="1833"/>
        <v>8.022256447116937E-5</v>
      </c>
      <c r="AH1020" s="134"/>
      <c r="AI1020" s="134"/>
      <c r="AJ1020" s="129">
        <f t="shared" si="1809"/>
        <v>101608.93364445721</v>
      </c>
      <c r="AK1020" s="134">
        <f t="shared" si="1844"/>
        <v>5.7276042107043845E-2</v>
      </c>
      <c r="AL1020" s="129"/>
      <c r="AM1020" s="129"/>
      <c r="AN1020" s="129"/>
      <c r="AO1020" s="129"/>
      <c r="AP1020" s="133">
        <f t="shared" si="1845"/>
        <v>329.13187324502366</v>
      </c>
      <c r="AQ1020" s="134">
        <f>+BB1020/Outputs!$B$23</f>
        <v>8.4738588872668632E-3</v>
      </c>
      <c r="AR1020" s="93">
        <f t="shared" si="1834"/>
        <v>0.29102753170928908</v>
      </c>
      <c r="AS1020" s="93">
        <f t="shared" si="1835"/>
        <v>0.42146222236007325</v>
      </c>
      <c r="AT1020" s="93">
        <f t="shared" si="1836"/>
        <v>0.28751024593063773</v>
      </c>
      <c r="AU1020" s="93">
        <f t="shared" ca="1" si="1840"/>
        <v>5.5130104354535969E-2</v>
      </c>
      <c r="AV1020" s="132">
        <f t="shared" ca="1" si="1848"/>
        <v>109.01692954064715</v>
      </c>
      <c r="AW1020" s="134">
        <f t="shared" ca="1" si="1849"/>
        <v>5.5130104354535997E-2</v>
      </c>
      <c r="AX1020" s="56">
        <f>+AJ1020/$AL$20</f>
        <v>1.020112048262002E-2</v>
      </c>
      <c r="AY1020" s="135">
        <f t="shared" ca="1" si="1847"/>
        <v>5.6238883674003635E-4</v>
      </c>
      <c r="AZ1020" s="93"/>
      <c r="BA1020" s="93"/>
      <c r="BB1020" s="234">
        <f>IFERROR(INDEX('Total Customers'!$E$7:$AA$91,MATCH($C1020,'Total Customers'!$C$7:$C$91,0),MATCH($G1020,'Total Customers'!$E$5:$AA$5,0)),"NA")</f>
        <v>308718</v>
      </c>
      <c r="BC1020" s="269">
        <f t="shared" si="1768"/>
        <v>4.8739005620454766E-3</v>
      </c>
      <c r="BD1020" s="92"/>
      <c r="BE1020" s="299" t="str">
        <f t="shared" si="1764"/>
        <v>ROCHESTER GAS AND ELECTRIC CORPORATION</v>
      </c>
      <c r="BF1020" s="300">
        <f t="shared" si="1765"/>
        <v>4057096</v>
      </c>
      <c r="BG1020" s="231" t="str">
        <f t="shared" si="1766"/>
        <v>NY</v>
      </c>
      <c r="BH1020" s="231"/>
      <c r="BI1020" s="231" t="str">
        <f t="shared" si="1767"/>
        <v>2015 Y</v>
      </c>
      <c r="BJ1020" s="129"/>
      <c r="BK1020" s="129"/>
      <c r="BL1020" s="129">
        <f>INDEX('Dist. Plant Gas Additions'!$E$7:$AD$91,MATCH($C1020,'Dist. Plant Gas Additions'!$C$7:$C$91,0),MATCH(Calculation!$G1020,'Dist. Plant Gas Additions'!$E$5:$AD$5,0))</f>
        <v>22894</v>
      </c>
      <c r="BM1020" s="129">
        <f>INDEX('Gen. Plant Additions'!$E$7:$AD$91,MATCH($C1020,'Gen. Plant Additions'!$C$7:$C$91,0),MATCH(Calculation!$G1020,'Gen. Plant Additions'!$E$5:$AD$5,0))</f>
        <v>255</v>
      </c>
      <c r="BN1020" s="301">
        <f t="shared" si="1814"/>
        <v>0.99223364517918211</v>
      </c>
      <c r="BO1020" s="231">
        <f t="shared" si="1850"/>
        <v>253.01957952069145</v>
      </c>
      <c r="BP1020" s="231">
        <f t="shared" si="1851"/>
        <v>-1.9804204793085489</v>
      </c>
      <c r="BQ1020" s="129">
        <f>INDEX('Dist Plant Depreciation'!$D$7:$AC$94,MATCH($C1020,'Dist Plant Depreciation'!$C$7:$C$94,0),MATCH(Calculation!$G1020,'Dist Plant Depreciation'!$D$5:$AC$5,0))</f>
        <v>307261</v>
      </c>
      <c r="BR1020" s="129">
        <f>INDEX('Gen. Plant Depreciation'!$D$7:$AC$94,MATCH($C1020,'Gen. Plant Depreciation'!$C$7:$C$94,0),MATCH(Calculation!$G1020,'Gen. Plant Depreciation'!$D$5:$AC$5,0))</f>
        <v>4307</v>
      </c>
      <c r="BS1020" s="129"/>
      <c r="BT1020" s="129"/>
      <c r="BU1020" s="129"/>
      <c r="BV1020" s="129"/>
      <c r="BW1020" s="129"/>
      <c r="BX1020" s="137"/>
      <c r="BY1020" s="129">
        <f>INDEX('Gross Dx Plant'!$D$7:$AC$91,MATCH($C1020,'Gross Dx Plant'!$C$7:$C$91,0),MATCH(Calculation!$G1020,'Gross Dx Plant'!$D$5:$AC$5,0))</f>
        <v>754937</v>
      </c>
      <c r="BZ1020" s="129">
        <f>INDEX('Gross Gen Plant'!$D$7:$AC$91,MATCH($C1020,'Gross Gen Plant'!$C$7:$C$91,0),MATCH(Calculation!$G1020,'Gross Gen Plant'!$D$5:$AC$5,0))</f>
        <v>5909</v>
      </c>
      <c r="CA1020" s="129">
        <f t="shared" si="1852"/>
        <v>449278</v>
      </c>
      <c r="CB1020" s="129"/>
      <c r="CC1020" s="133">
        <v>2015</v>
      </c>
      <c r="CD1020" s="129"/>
      <c r="CE1020" s="129"/>
      <c r="CF1020" s="129"/>
      <c r="CG1020" s="137"/>
      <c r="CH1020" s="129">
        <f t="shared" si="1837"/>
        <v>23149</v>
      </c>
      <c r="CI1020" s="46">
        <f t="shared" si="1823"/>
        <v>23147.019579520693</v>
      </c>
      <c r="CJ1020" s="231">
        <f t="shared" si="1815"/>
        <v>34.260684191770217</v>
      </c>
      <c r="CK1020" s="443">
        <v>0.8</v>
      </c>
      <c r="CL1020" s="231">
        <f>+CL1003*CK1020+CJ1004*CK1019+CJ1005*CK1018+CJ1006*CK1017+CJ1007*CK1016+CJ1008*CK1015+CJ1009*CK1014+CJ1010*CK1013+CJ1011*CK1012+CJ1012*CK1011+CJ1013*CK1010+CJ1014*CK1009+CJ1015*CK1008+CJ1016*CK1007+CJ1017*CK1006+CJ1018*CK1005+CJ1019*CK1004+CJ1020</f>
        <v>1935.8706394292813</v>
      </c>
      <c r="CM1020" s="134">
        <f t="shared" si="1816"/>
        <v>2.2280183978660474E-3</v>
      </c>
      <c r="CN1020" s="135">
        <f t="shared" si="1817"/>
        <v>1.5506789683466551E-2</v>
      </c>
      <c r="CO1020" s="135">
        <f t="shared" si="1826"/>
        <v>1.5063936708727578E-2</v>
      </c>
      <c r="CP1020" s="134">
        <f>VLOOKUP($H1020,RoR!$E:$F,2,FALSE)</f>
        <v>3.8866666666666674E-2</v>
      </c>
      <c r="CQ1020" s="135">
        <v>9.5709475431029478E-3</v>
      </c>
      <c r="CR1020" s="135">
        <f t="shared" si="1824"/>
        <v>2.9295719123563727E-2</v>
      </c>
      <c r="CS1020" s="135">
        <f t="shared" si="1827"/>
        <v>1.5838004899806045E-2</v>
      </c>
      <c r="CT1020" s="135">
        <f t="shared" si="1828"/>
        <v>3.5270373279175926E-3</v>
      </c>
      <c r="CU1020" s="139">
        <f t="shared" si="1818"/>
        <v>0.85329623209999994</v>
      </c>
      <c r="CV1020" s="335">
        <f t="shared" si="1819"/>
        <v>1.3194352816994324</v>
      </c>
      <c r="CW1020" s="335">
        <f t="shared" si="1820"/>
        <v>0.33177530017152673</v>
      </c>
      <c r="CX1020" s="335">
        <f t="shared" si="1821"/>
        <v>0.78242572977668579</v>
      </c>
      <c r="CY1020" s="335">
        <f t="shared" si="1822"/>
        <v>0.34251158643433932</v>
      </c>
      <c r="CZ1020" s="336">
        <f>INDEX('State Tax Lookup'!$D$7:$Z$91,MATCH(Calculation!$C1020,'State Tax Lookup'!$B$7:$B$91,0),MATCH($H1020,'State Tax Lookup'!$D$6:$Z$6,0))</f>
        <v>0.39649667</v>
      </c>
      <c r="DA1020" s="302">
        <v>0.37</v>
      </c>
      <c r="DB1020" s="57">
        <f t="shared" si="1825"/>
        <v>15.124342467407132</v>
      </c>
      <c r="DC1020" s="56">
        <f t="shared" si="1829"/>
        <v>-3.6423800007893484E-2</v>
      </c>
      <c r="DD1020" s="303">
        <f>VLOOKUP($H1020,RoR!$E:$F,2,FALSE)</f>
        <v>3.8866666666666674E-2</v>
      </c>
      <c r="DE1020" s="304">
        <f>HLOOKUP($H1020,'GDP-PI'!$D$8:$CQ$11,3,FALSE)</f>
        <v>9.5709475431029478E-3</v>
      </c>
      <c r="DF1020" s="303">
        <f>VLOOKUP(H1020,'HW Dx Data'!$E:$F,2,FALSE)</f>
        <v>675.61463308665782</v>
      </c>
      <c r="DG1020" s="364">
        <f ca="1">VLOOKUP(CC1020,'ECI - Input Price'!M$13:N$33,2,FALSE)</f>
        <v>133.5</v>
      </c>
      <c r="DH1020" s="364"/>
      <c r="DI1020" s="364"/>
      <c r="DJ1020" s="56">
        <f t="shared" ca="1" si="1838"/>
        <v>3.1193095773504077E-2</v>
      </c>
      <c r="DK1020" s="53">
        <f>HLOOKUP(H1020,'GDP-PI'!$8:$9,2,FALSE)</f>
        <v>104.639</v>
      </c>
      <c r="DL1020" s="355">
        <f t="shared" si="1830"/>
        <v>9.5254361854427965E-3</v>
      </c>
      <c r="EC1020"/>
    </row>
    <row r="1021" spans="1:133" s="126" customFormat="1" ht="21" customHeight="1" x14ac:dyDescent="0.4">
      <c r="A1021" s="233" t="s">
        <v>242</v>
      </c>
      <c r="B1021" s="126" t="s">
        <v>243</v>
      </c>
      <c r="C1021" s="126">
        <v>4057096</v>
      </c>
      <c r="D1021" s="127" t="s">
        <v>194</v>
      </c>
      <c r="E1021" s="127" t="s">
        <v>15</v>
      </c>
      <c r="F1021" s="144"/>
      <c r="G1021" s="126" t="s">
        <v>172</v>
      </c>
      <c r="H1021" s="128">
        <v>2016</v>
      </c>
      <c r="I1021" s="129"/>
      <c r="J1021" s="125">
        <f>IFERROR(INDEX('Labor Expenditures'!$E$7:$W$91,MATCH($C1021,'Labor Expenditures'!$C$7:$C$91,0),MATCH($G1021,'Labor Expenditures'!$E$5:$W$5,0)),"NA")</f>
        <v>29351.934835500797</v>
      </c>
      <c r="K1021" s="125">
        <f t="shared" ca="1" si="1831"/>
        <v>214.32592066813288</v>
      </c>
      <c r="L1021" s="47"/>
      <c r="M1021" s="131">
        <f t="shared" ca="1" si="1839"/>
        <v>-3.2950006171612846E-2</v>
      </c>
      <c r="N1021" s="131"/>
      <c r="O1021" s="131"/>
      <c r="P1021" s="59">
        <f t="shared" ca="1" si="1841"/>
        <v>-3.2079582779015123E-4</v>
      </c>
      <c r="Q1021" s="61"/>
      <c r="R1021" s="387"/>
      <c r="S1021" s="49">
        <f t="shared" ca="1" si="1846"/>
        <v>300.35982049837594</v>
      </c>
      <c r="T1021" s="61">
        <f ca="1">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</f>
        <v>0.90688166103277712</v>
      </c>
      <c r="U1021" s="61"/>
      <c r="V1021" s="125">
        <f>IFERROR(INDEX('Non-Labor Expenditures'!$E$7:$AA$91,MATCH($C1021,'Non-Labor Expenditures'!$C$7:$C$91,0),MATCH($G1021,'Non-Labor Expenditures'!$E$5:$AA$5,0)),"NA")</f>
        <v>42507.083827022565</v>
      </c>
      <c r="W1021" s="125">
        <f t="shared" si="1832"/>
        <v>402.01146087446625</v>
      </c>
      <c r="X1021" s="131">
        <f t="shared" si="1842"/>
        <v>-1.7864678670034807E-2</v>
      </c>
      <c r="Y1021" s="131">
        <f t="shared" si="1843"/>
        <v>-1.7392756627451506E-4</v>
      </c>
      <c r="Z1021" s="131"/>
      <c r="AA1021" s="131"/>
      <c r="AB1021" s="131"/>
      <c r="AC1021" s="125">
        <f t="shared" si="1813"/>
        <v>28250.170484375154</v>
      </c>
      <c r="AD1021" s="129"/>
      <c r="AE1021" s="133">
        <v>2138.6458759751144</v>
      </c>
      <c r="AF1021" s="134">
        <v>1.6471850078439924E-2</v>
      </c>
      <c r="AG1021" s="59">
        <f t="shared" si="1833"/>
        <v>1.6036721673517537E-4</v>
      </c>
      <c r="AH1021" s="134"/>
      <c r="AI1021" s="134"/>
      <c r="AJ1021" s="129">
        <f t="shared" si="1809"/>
        <v>100109.18914689851</v>
      </c>
      <c r="AK1021" s="134">
        <f t="shared" si="1844"/>
        <v>-1.4869979073073671E-2</v>
      </c>
      <c r="AL1021" s="129"/>
      <c r="AM1021" s="129"/>
      <c r="AN1021" s="129"/>
      <c r="AO1021" s="129"/>
      <c r="AP1021" s="133">
        <f t="shared" si="1845"/>
        <v>322.28829163253658</v>
      </c>
      <c r="AQ1021" s="134">
        <f>+BB1021/Outputs!$B$24</f>
        <v>8.4523888760662975E-3</v>
      </c>
      <c r="AR1021" s="93">
        <f t="shared" si="1834"/>
        <v>0.29319920664256177</v>
      </c>
      <c r="AS1021" s="93">
        <f t="shared" si="1835"/>
        <v>0.42460721327637962</v>
      </c>
      <c r="AT1021" s="93">
        <f t="shared" si="1836"/>
        <v>0.28219358008105866</v>
      </c>
      <c r="AU1021" s="93">
        <f t="shared" ca="1" si="1840"/>
        <v>-1.2490478611659687E-2</v>
      </c>
      <c r="AV1021" s="132">
        <f t="shared" ca="1" si="1848"/>
        <v>107.66372459560058</v>
      </c>
      <c r="AW1021" s="134">
        <f t="shared" ca="1" si="1849"/>
        <v>-1.2490478611659726E-2</v>
      </c>
      <c r="AX1021" s="56">
        <f>+AJ1021/$AL$21</f>
        <v>9.735835135185009E-3</v>
      </c>
      <c r="AY1021" s="135">
        <f t="shared" ca="1" si="1847"/>
        <v>-1.2160524052267362E-4</v>
      </c>
      <c r="AZ1021" s="93"/>
      <c r="BA1021" s="93"/>
      <c r="BB1021" s="234">
        <f>IFERROR(INDEX('Total Customers'!$E$7:$AA$91,MATCH($C1021,'Total Customers'!$C$7:$C$91,0),MATCH($G1021,'Total Customers'!$E$5:$AA$5,0)),"NA")</f>
        <v>310620</v>
      </c>
      <c r="BC1021" s="269">
        <f t="shared" si="1768"/>
        <v>6.1420612957563602E-3</v>
      </c>
      <c r="BD1021" s="92"/>
      <c r="BE1021" s="299" t="str">
        <f t="shared" si="1764"/>
        <v>ROCHESTER GAS AND ELECTRIC CORPORATION</v>
      </c>
      <c r="BF1021" s="300">
        <f t="shared" si="1765"/>
        <v>4057096</v>
      </c>
      <c r="BG1021" s="231" t="str">
        <f t="shared" si="1766"/>
        <v>NY</v>
      </c>
      <c r="BH1021" s="231"/>
      <c r="BI1021" s="231" t="str">
        <f t="shared" si="1767"/>
        <v>2016 Y</v>
      </c>
      <c r="BJ1021" s="129"/>
      <c r="BK1021" s="129"/>
      <c r="BL1021" s="129">
        <f>INDEX('Dist. Plant Gas Additions'!$E$7:$AD$91,MATCH($C1021,'Dist. Plant Gas Additions'!$C$7:$C$91,0),MATCH(Calculation!$G1021,'Dist. Plant Gas Additions'!$E$5:$AD$5,0))</f>
        <v>35666</v>
      </c>
      <c r="BM1021" s="129">
        <f>INDEX('Gen. Plant Additions'!$E$7:$AD$91,MATCH($C1021,'Gen. Plant Additions'!$C$7:$C$91,0),MATCH(Calculation!$G1021,'Gen. Plant Additions'!$E$5:$AD$5,0))</f>
        <v>310</v>
      </c>
      <c r="BN1021" s="301">
        <f t="shared" si="1814"/>
        <v>0.99215695175264385</v>
      </c>
      <c r="BO1021" s="231">
        <f t="shared" si="1850"/>
        <v>307.56865504331961</v>
      </c>
      <c r="BP1021" s="231">
        <f t="shared" si="1851"/>
        <v>-2.4313449566803911</v>
      </c>
      <c r="BQ1021" s="129">
        <f>INDEX('Dist Plant Depreciation'!$D$7:$AC$94,MATCH($C1021,'Dist Plant Depreciation'!$C$7:$C$94,0),MATCH(Calculation!$G1021,'Dist Plant Depreciation'!$D$5:$AC$5,0))</f>
        <v>316284</v>
      </c>
      <c r="BR1021" s="129">
        <f>INDEX('Gen. Plant Depreciation'!$D$7:$AC$94,MATCH($C1021,'Gen. Plant Depreciation'!$C$7:$C$94,0),MATCH(Calculation!$G1021,'Gen. Plant Depreciation'!$D$5:$AC$5,0))</f>
        <v>2686</v>
      </c>
      <c r="BS1021" s="129"/>
      <c r="BT1021" s="129"/>
      <c r="BU1021" s="129"/>
      <c r="BV1021" s="129"/>
      <c r="BW1021" s="129"/>
      <c r="BX1021" s="137"/>
      <c r="BY1021" s="129">
        <f>INDEX('Gross Dx Plant'!$D$7:$AC$91,MATCH($C1021,'Gross Dx Plant'!$C$7:$C$91,0),MATCH(Calculation!$G1021,'Gross Dx Plant'!$D$5:$AC$5,0))</f>
        <v>786839</v>
      </c>
      <c r="BZ1021" s="129">
        <f>INDEX('Gross Gen Plant'!$D$7:$AC$91,MATCH($C1021,'Gross Gen Plant'!$C$7:$C$91,0),MATCH(Calculation!$G1021,'Gross Gen Plant'!$D$5:$AC$5,0))</f>
        <v>6220</v>
      </c>
      <c r="CA1021" s="129">
        <f t="shared" si="1852"/>
        <v>474089</v>
      </c>
      <c r="CB1021" s="129"/>
      <c r="CC1021" s="133">
        <v>2016</v>
      </c>
      <c r="CD1021" s="129"/>
      <c r="CE1021" s="129"/>
      <c r="CF1021" s="129"/>
      <c r="CG1021" s="137"/>
      <c r="CH1021" s="129">
        <f t="shared" si="1837"/>
        <v>35976</v>
      </c>
      <c r="CI1021" s="46">
        <f t="shared" si="1823"/>
        <v>35973.568655043317</v>
      </c>
      <c r="CJ1021" s="231">
        <f t="shared" si="1815"/>
        <v>53.575435402822741</v>
      </c>
      <c r="CK1021" s="443">
        <v>0.7857142857142857</v>
      </c>
      <c r="CL1021" s="231">
        <f>+CL1003*CK1021+CJ1004*CK1020+CJ1005*CK1019+CJ1006*CK1018+CJ1007*CK1017+CJ1008*CK1016+CJ1009*CK1015+CJ1010*CK1014+CJ1011*CK1013+CJ1012*CK1012+CJ1013*CK1011+CJ1014*CK1010+CJ1015*CK1009+CJ1016*CK1008+CJ1017*CK1007+CJ1018*CK1006+CJ1019*CK1005+CJ1020*CK1004+CJ1021</f>
        <v>1958.4598277095704</v>
      </c>
      <c r="CM1021" s="134">
        <f t="shared" si="1816"/>
        <v>1.1601194003734761E-2</v>
      </c>
      <c r="CN1021" s="135">
        <f t="shared" si="1817"/>
        <v>1.6006362455948366E-2</v>
      </c>
      <c r="CO1021" s="135">
        <f t="shared" si="1826"/>
        <v>1.5524371131858443E-2</v>
      </c>
      <c r="CP1021" s="134">
        <f>VLOOKUP($H1021,RoR!$E:$F,2,FALSE)</f>
        <v>3.6658333333333334E-2</v>
      </c>
      <c r="CQ1021" s="135">
        <v>1.0483662879041455E-2</v>
      </c>
      <c r="CR1021" s="135">
        <f t="shared" si="1824"/>
        <v>2.6174670454291879E-2</v>
      </c>
      <c r="CS1021" s="135">
        <f t="shared" si="1827"/>
        <v>1.5377570476675182E-2</v>
      </c>
      <c r="CT1021" s="135">
        <f t="shared" si="1828"/>
        <v>4.301363574220729E-3</v>
      </c>
      <c r="CU1021" s="139">
        <f t="shared" si="1818"/>
        <v>0.85329623209999994</v>
      </c>
      <c r="CV1021" s="335">
        <f t="shared" si="1819"/>
        <v>1.3989193348138562</v>
      </c>
      <c r="CW1021" s="335">
        <f t="shared" si="1820"/>
        <v>0.29302682427824522</v>
      </c>
      <c r="CX1021" s="335">
        <f t="shared" si="1821"/>
        <v>0.76309497491941802</v>
      </c>
      <c r="CY1021" s="335">
        <f t="shared" si="1822"/>
        <v>0.31280857135128509</v>
      </c>
      <c r="CZ1021" s="336">
        <f>INDEX('State Tax Lookup'!$D$7:$Z$91,MATCH(Calculation!$C1021,'State Tax Lookup'!$B$7:$B$91,0),MATCH($H1021,'State Tax Lookup'!$D$6:$Z$6,0))</f>
        <v>0.39649667</v>
      </c>
      <c r="DA1021" s="302">
        <v>0.37</v>
      </c>
      <c r="DB1021" s="57">
        <f t="shared" si="1825"/>
        <v>14.593005291254201</v>
      </c>
      <c r="DC1021" s="56">
        <f t="shared" si="1829"/>
        <v>-3.5763205468578328E-2</v>
      </c>
      <c r="DD1021" s="303">
        <f>VLOOKUP($H1021,RoR!$E:$F,2,FALSE)</f>
        <v>3.6658333333333334E-2</v>
      </c>
      <c r="DE1021" s="304">
        <f>HLOOKUP($H1021,'GDP-PI'!$D$8:$CQ$11,3,FALSE)</f>
        <v>1.0483662879041455E-2</v>
      </c>
      <c r="DF1021" s="303">
        <f>VLOOKUP(H1021,'HW Dx Data'!$E:$F,2,FALSE)</f>
        <v>671.45639385971219</v>
      </c>
      <c r="DG1021" s="364">
        <f ca="1">VLOOKUP(CC1021,'ECI - Input Price'!M$13:N$33,2,FALSE)</f>
        <v>136.94999999999999</v>
      </c>
      <c r="DH1021" s="364"/>
      <c r="DI1021" s="364"/>
      <c r="DJ1021" s="56">
        <f t="shared" ca="1" si="1838"/>
        <v>2.5514417868782811E-2</v>
      </c>
      <c r="DK1021" s="53">
        <f>HLOOKUP(H1021,'GDP-PI'!$8:$9,2,FALSE)</f>
        <v>105.736</v>
      </c>
      <c r="DL1021" s="355">
        <f t="shared" si="1830"/>
        <v>1.0429090367205095E-2</v>
      </c>
      <c r="EC1021"/>
    </row>
    <row r="1022" spans="1:133" s="126" customFormat="1" ht="21" customHeight="1" x14ac:dyDescent="0.4">
      <c r="A1022" s="233" t="s">
        <v>242</v>
      </c>
      <c r="B1022" s="126" t="s">
        <v>243</v>
      </c>
      <c r="C1022" s="126">
        <v>4057096</v>
      </c>
      <c r="D1022" s="127" t="s">
        <v>194</v>
      </c>
      <c r="E1022" s="127" t="s">
        <v>15</v>
      </c>
      <c r="F1022" s="144"/>
      <c r="G1022" s="126" t="s">
        <v>173</v>
      </c>
      <c r="H1022" s="128">
        <v>2017</v>
      </c>
      <c r="I1022" s="129"/>
      <c r="J1022" s="125">
        <f>IFERROR(INDEX('Labor Expenditures'!$E$7:$W$91,MATCH($C1022,'Labor Expenditures'!$C$7:$C$91,0),MATCH($G1022,'Labor Expenditures'!$E$5:$W$5,0)),"NA")</f>
        <v>29187.325427550655</v>
      </c>
      <c r="K1022" s="125">
        <f t="shared" ca="1" si="1831"/>
        <v>207.81292579245752</v>
      </c>
      <c r="L1022" s="47"/>
      <c r="M1022" s="131">
        <f t="shared" ca="1" si="1839"/>
        <v>-3.0859570445156165E-2</v>
      </c>
      <c r="N1022" s="131"/>
      <c r="O1022" s="131"/>
      <c r="P1022" s="59">
        <f t="shared" ca="1" si="1841"/>
        <v>-2.9045021166724172E-4</v>
      </c>
      <c r="Q1022" s="61"/>
      <c r="R1022" s="387"/>
      <c r="S1022" s="49">
        <f t="shared" ca="1" si="1846"/>
        <v>169.51111564117673</v>
      </c>
      <c r="T1022" s="61">
        <f ca="1">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</f>
        <v>-0.57206265393561506</v>
      </c>
      <c r="U1022" s="61"/>
      <c r="V1022" s="125">
        <f>IFERROR(INDEX('Non-Labor Expenditures'!$E$7:$AA$91,MATCH($C1022,'Non-Labor Expenditures'!$C$7:$C$91,0),MATCH($G1022,'Non-Labor Expenditures'!$E$5:$AA$5,0)),"NA")</f>
        <v>42268.698659514273</v>
      </c>
      <c r="W1022" s="125">
        <f t="shared" si="1832"/>
        <v>392.28126569140215</v>
      </c>
      <c r="X1022" s="131">
        <f t="shared" si="1842"/>
        <v>-2.4501500831735835E-2</v>
      </c>
      <c r="Y1022" s="131">
        <f t="shared" si="1843"/>
        <v>-2.3060807393253263E-4</v>
      </c>
      <c r="Z1022" s="131"/>
      <c r="AA1022" s="131"/>
      <c r="AB1022" s="131"/>
      <c r="AC1022" s="125">
        <f t="shared" si="1813"/>
        <v>25291.099727503362</v>
      </c>
      <c r="AD1022" s="129"/>
      <c r="AE1022" s="133">
        <v>2234.7534698876148</v>
      </c>
      <c r="AF1022" s="134">
        <v>4.395805716520234E-2</v>
      </c>
      <c r="AG1022" s="59">
        <f t="shared" si="1833"/>
        <v>4.1373314093287339E-4</v>
      </c>
      <c r="AH1022" s="134"/>
      <c r="AI1022" s="134"/>
      <c r="AJ1022" s="129">
        <f t="shared" si="1809"/>
        <v>96747.123814568287</v>
      </c>
      <c r="AK1022" s="134">
        <f t="shared" si="1844"/>
        <v>-3.4160878323951989E-2</v>
      </c>
      <c r="AL1022" s="129"/>
      <c r="AM1022" s="129"/>
      <c r="AN1022" s="129"/>
      <c r="AO1022" s="129"/>
      <c r="AP1022" s="133">
        <f t="shared" si="1845"/>
        <v>309.0537843509303</v>
      </c>
      <c r="AQ1022" s="134">
        <f>+BB1022/Outputs!$B$25</f>
        <v>8.4543224658989221E-3</v>
      </c>
      <c r="AR1022" s="93">
        <f t="shared" si="1834"/>
        <v>0.30168675074509654</v>
      </c>
      <c r="AS1022" s="93">
        <f t="shared" si="1835"/>
        <v>0.43689876239141912</v>
      </c>
      <c r="AT1022" s="93">
        <f t="shared" si="1836"/>
        <v>0.2614144868634844</v>
      </c>
      <c r="AU1022" s="93">
        <f t="shared" ca="1" si="1840"/>
        <v>-7.7850800029976037E-3</v>
      </c>
      <c r="AV1022" s="132">
        <f t="shared" ca="1" si="1848"/>
        <v>106.82880804910238</v>
      </c>
      <c r="AW1022" s="134">
        <f t="shared" ca="1" si="1849"/>
        <v>-7.7850800029975872E-3</v>
      </c>
      <c r="AX1022" s="56">
        <f>+AJ1022/$AL$22</f>
        <v>9.4119978819352575E-3</v>
      </c>
      <c r="AY1022" s="135">
        <f t="shared" ca="1" si="1847"/>
        <v>-7.3273156498909821E-5</v>
      </c>
      <c r="AZ1022" s="93"/>
      <c r="BA1022" s="93"/>
      <c r="BB1022" s="234">
        <f>IFERROR(INDEX('Total Customers'!$E$7:$AA$91,MATCH($C1022,'Total Customers'!$C$7:$C$91,0),MATCH($G1022,'Total Customers'!$E$5:$AA$5,0)),"NA")</f>
        <v>313043</v>
      </c>
      <c r="BC1022" s="269">
        <f t="shared" si="1768"/>
        <v>7.770261154187089E-3</v>
      </c>
      <c r="BD1022" s="92"/>
      <c r="BE1022" s="299" t="str">
        <f t="shared" si="1764"/>
        <v>ROCHESTER GAS AND ELECTRIC CORPORATION</v>
      </c>
      <c r="BF1022" s="300">
        <f t="shared" si="1765"/>
        <v>4057096</v>
      </c>
      <c r="BG1022" s="231" t="str">
        <f t="shared" si="1766"/>
        <v>NY</v>
      </c>
      <c r="BH1022" s="231"/>
      <c r="BI1022" s="231" t="str">
        <f t="shared" si="1767"/>
        <v>2017 Y</v>
      </c>
      <c r="BJ1022" s="129"/>
      <c r="BK1022" s="129"/>
      <c r="BL1022" s="129">
        <f>INDEX('Dist. Plant Gas Additions'!$E$7:$AD$91,MATCH($C1022,'Dist. Plant Gas Additions'!$C$7:$C$91,0),MATCH(Calculation!$G1022,'Dist. Plant Gas Additions'!$E$5:$AD$5,0))</f>
        <v>82147</v>
      </c>
      <c r="BM1022" s="129">
        <f>INDEX('Gen. Plant Additions'!$E$7:$AD$91,MATCH($C1022,'Gen. Plant Additions'!$C$7:$C$91,0),MATCH(Calculation!$G1022,'Gen. Plant Additions'!$E$5:$AD$5,0))</f>
        <v>313</v>
      </c>
      <c r="BN1022" s="301">
        <f t="shared" si="1814"/>
        <v>0.99256825874130672</v>
      </c>
      <c r="BO1022" s="231">
        <f t="shared" si="1850"/>
        <v>310.673864986029</v>
      </c>
      <c r="BP1022" s="231">
        <f t="shared" si="1851"/>
        <v>-2.3261350139709975</v>
      </c>
      <c r="BQ1022" s="129">
        <f>INDEX('Dist Plant Depreciation'!$D$7:$AC$94,MATCH($C1022,'Dist Plant Depreciation'!$C$7:$C$94,0),MATCH(Calculation!$G1022,'Dist Plant Depreciation'!$D$5:$AC$5,0))</f>
        <v>333608</v>
      </c>
      <c r="BR1022" s="129">
        <f>INDEX('Gen. Plant Depreciation'!$D$7:$AC$94,MATCH($C1022,'Gen. Plant Depreciation'!$C$7:$C$94,0),MATCH(Calculation!$G1022,'Gen. Plant Depreciation'!$D$5:$AC$5,0))</f>
        <v>2889</v>
      </c>
      <c r="BS1022" s="129"/>
      <c r="BT1022" s="129"/>
      <c r="BU1022" s="129"/>
      <c r="BV1022" s="129"/>
      <c r="BW1022" s="129"/>
      <c r="BX1022" s="137"/>
      <c r="BY1022" s="129">
        <f>INDEX('Gross Dx Plant'!$D$7:$AC$91,MATCH($C1022,'Gross Dx Plant'!$C$7:$C$91,0),MATCH(Calculation!$G1022,'Gross Dx Plant'!$D$5:$AC$5,0))</f>
        <v>867459</v>
      </c>
      <c r="BZ1022" s="129">
        <f>INDEX('Gross Gen Plant'!$D$7:$AC$91,MATCH($C1022,'Gross Gen Plant'!$C$7:$C$91,0),MATCH(Calculation!$G1022,'Gross Gen Plant'!$D$5:$AC$5,0))</f>
        <v>6495</v>
      </c>
      <c r="CA1022" s="129">
        <f t="shared" si="1852"/>
        <v>537457</v>
      </c>
      <c r="CB1022" s="129"/>
      <c r="CC1022" s="133">
        <v>2017</v>
      </c>
      <c r="CD1022" s="129"/>
      <c r="CE1022" s="129"/>
      <c r="CF1022" s="129"/>
      <c r="CG1022" s="137"/>
      <c r="CH1022" s="129">
        <f t="shared" si="1837"/>
        <v>82460</v>
      </c>
      <c r="CI1022" s="46">
        <f t="shared" si="1823"/>
        <v>82457.673864986034</v>
      </c>
      <c r="CJ1022" s="231">
        <f t="shared" si="1815"/>
        <v>115.74166976355156</v>
      </c>
      <c r="CK1022" s="443">
        <v>0.77108433734939763</v>
      </c>
      <c r="CL1022" s="231">
        <f>+CL1003*CK1022+CJ1004*CK1021+CJ1005*CK1020+CJ1006*CK1019+CJ1007*CK1018+CJ1008*CK1017+CJ1009*CK1016+CJ1010*CK1015+CJ1011*CK1014+CJ1012*CK1013+CJ1013*CK1012+CJ1014*CK1011+CJ1015*CK1010+CJ1016*CK1009+CJ1017*CK1008+CJ1018*CK1007+CJ1019*CK1006+CJ1020*CK1005+CJ1021*CK1004+CJ1022</f>
        <v>2041.9588109765905</v>
      </c>
      <c r="CM1022" s="134">
        <f t="shared" si="1816"/>
        <v>4.1751186467646979E-2</v>
      </c>
      <c r="CN1022" s="135">
        <f t="shared" si="1817"/>
        <v>1.6463287140405358E-2</v>
      </c>
      <c r="CO1022" s="135">
        <f t="shared" si="1826"/>
        <v>1.5992146426606759E-2</v>
      </c>
      <c r="CP1022" s="134">
        <f>VLOOKUP($H1022,RoR!$E:$F,2,FALSE)</f>
        <v>3.7433333333333339E-2</v>
      </c>
      <c r="CQ1022" s="135">
        <v>1.9056896421275615E-2</v>
      </c>
      <c r="CR1022" s="135">
        <f t="shared" si="1824"/>
        <v>1.8376436912057724E-2</v>
      </c>
      <c r="CS1022" s="135">
        <f t="shared" si="1827"/>
        <v>1.4909795181926866E-2</v>
      </c>
      <c r="CT1022" s="135">
        <f t="shared" si="1828"/>
        <v>1.3976271617800498E-2</v>
      </c>
      <c r="CU1022" s="139">
        <f t="shared" si="1818"/>
        <v>0.90509623210000001</v>
      </c>
      <c r="CV1022" s="335">
        <f t="shared" si="1819"/>
        <v>1.3699568463593395</v>
      </c>
      <c r="CW1022" s="335">
        <f t="shared" si="1820"/>
        <v>0.30714603739982199</v>
      </c>
      <c r="CX1022" s="335">
        <f t="shared" si="1821"/>
        <v>0.77007188472689425</v>
      </c>
      <c r="CY1022" s="335">
        <f t="shared" si="1822"/>
        <v>0.32402839633793828</v>
      </c>
      <c r="CZ1022" s="336">
        <f>INDEX('State Tax Lookup'!$D$7:$Z$91,MATCH(Calculation!$C1022,'State Tax Lookup'!$B$7:$B$91,0),MATCH($H1022,'State Tax Lookup'!$D$6:$Z$6,0))</f>
        <v>0.25649666999999998</v>
      </c>
      <c r="DA1022" s="302">
        <v>0.37</v>
      </c>
      <c r="DB1022" s="57">
        <f t="shared" si="1825"/>
        <v>12.913769978668107</v>
      </c>
      <c r="DC1022" s="56">
        <f t="shared" si="1829"/>
        <v>-0.12224814200879953</v>
      </c>
      <c r="DD1022" s="303">
        <f>VLOOKUP($H1022,RoR!$E:$F,2,FALSE)</f>
        <v>3.7433333333333339E-2</v>
      </c>
      <c r="DE1022" s="304">
        <f>HLOOKUP($H1022,'GDP-PI'!$D$8:$CQ$11,3,FALSE)</f>
        <v>1.9056896421275615E-2</v>
      </c>
      <c r="DF1022" s="303">
        <f>VLOOKUP(H1022,'HW Dx Data'!$E:$F,2,FALSE)</f>
        <v>712.42858370229726</v>
      </c>
      <c r="DG1022" s="364">
        <f ca="1">VLOOKUP(CC1022,'ECI - Input Price'!M$13:N$33,2,FALSE)</f>
        <v>140.44999999999999</v>
      </c>
      <c r="DH1022" s="364"/>
      <c r="DI1022" s="364"/>
      <c r="DJ1022" s="56">
        <f t="shared" ca="1" si="1838"/>
        <v>2.5235657841165486E-2</v>
      </c>
      <c r="DK1022" s="53">
        <f>HLOOKUP(H1022,'GDP-PI'!$8:$9,2,FALSE)</f>
        <v>107.751</v>
      </c>
      <c r="DL1022" s="355">
        <f t="shared" si="1830"/>
        <v>1.8877588227745139E-2</v>
      </c>
      <c r="EC1022"/>
    </row>
    <row r="1023" spans="1:133" s="126" customFormat="1" ht="21" customHeight="1" x14ac:dyDescent="0.4">
      <c r="A1023" s="233" t="s">
        <v>242</v>
      </c>
      <c r="B1023" s="126" t="s">
        <v>243</v>
      </c>
      <c r="C1023" s="126">
        <v>4057096</v>
      </c>
      <c r="D1023" s="127" t="s">
        <v>194</v>
      </c>
      <c r="E1023" s="127" t="s">
        <v>15</v>
      </c>
      <c r="F1023" s="144"/>
      <c r="G1023" s="126" t="s">
        <v>174</v>
      </c>
      <c r="H1023" s="128">
        <v>2018</v>
      </c>
      <c r="I1023" s="129"/>
      <c r="J1023" s="125">
        <f>IFERROR(INDEX('Labor Expenditures'!$E$7:$W$91,MATCH($C1023,'Labor Expenditures'!$C$7:$C$91,0),MATCH($G1023,'Labor Expenditures'!$E$5:$W$5,0)),"NA")</f>
        <v>31606.737606217204</v>
      </c>
      <c r="K1023" s="125">
        <f t="shared" ca="1" si="1831"/>
        <v>218.80746006380897</v>
      </c>
      <c r="L1023" s="47"/>
      <c r="M1023" s="131">
        <f t="shared" ca="1" si="1839"/>
        <v>5.1553885548023995E-2</v>
      </c>
      <c r="N1023" s="131"/>
      <c r="O1023" s="131"/>
      <c r="P1023" s="59">
        <f t="shared" ca="1" si="1841"/>
        <v>4.8417247517681239E-4</v>
      </c>
      <c r="Q1023" s="61"/>
      <c r="R1023" s="387"/>
      <c r="S1023" s="49">
        <f t="shared" ca="1" si="1846"/>
        <v>116.71580441545495</v>
      </c>
      <c r="T1023" s="61">
        <f ca="1">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</f>
        <v>-0.37317654582673493</v>
      </c>
      <c r="U1023" s="61"/>
      <c r="V1023" s="125">
        <f>IFERROR(INDEX('Non-Labor Expenditures'!$E$7:$AA$91,MATCH($C1023,'Non-Labor Expenditures'!$C$7:$C$91,0),MATCH($G1023,'Non-Labor Expenditures'!$E$5:$AA$5,0)),"NA")</f>
        <v>45772.459378085776</v>
      </c>
      <c r="W1023" s="125">
        <f t="shared" si="1832"/>
        <v>414.89874529183459</v>
      </c>
      <c r="X1023" s="131">
        <f t="shared" si="1842"/>
        <v>5.6055406193506796E-2</v>
      </c>
      <c r="Y1023" s="131">
        <f t="shared" si="1843"/>
        <v>5.2644886947405016E-4</v>
      </c>
      <c r="Z1023" s="131"/>
      <c r="AA1023" s="131"/>
      <c r="AB1023" s="131"/>
      <c r="AC1023" s="125">
        <f t="shared" si="1813"/>
        <v>27129.818679497879</v>
      </c>
      <c r="AD1023" s="129"/>
      <c r="AE1023" s="133">
        <v>2265.6368725434545</v>
      </c>
      <c r="AF1023" s="134">
        <v>1.3724981661492362E-2</v>
      </c>
      <c r="AG1023" s="59">
        <f t="shared" si="1833"/>
        <v>1.288992725215805E-4</v>
      </c>
      <c r="AH1023" s="134"/>
      <c r="AI1023" s="134"/>
      <c r="AJ1023" s="129">
        <f t="shared" si="1809"/>
        <v>104509.01566380086</v>
      </c>
      <c r="AK1023" s="134">
        <f t="shared" si="1844"/>
        <v>7.7172738524990972E-2</v>
      </c>
      <c r="AL1023" s="129"/>
      <c r="AM1023" s="129"/>
      <c r="AN1023" s="129"/>
      <c r="AO1023" s="129"/>
      <c r="AP1023" s="133">
        <f t="shared" si="1845"/>
        <v>324.27514672976054</v>
      </c>
      <c r="AQ1023" s="134">
        <f>+BB1023/Outputs!$B$26</f>
        <v>8.627692417739169E-3</v>
      </c>
      <c r="AR1023" s="93">
        <f t="shared" si="1834"/>
        <v>0.30243072720055231</v>
      </c>
      <c r="AS1023" s="93">
        <f t="shared" si="1835"/>
        <v>0.4379761792545534</v>
      </c>
      <c r="AT1023" s="93">
        <f t="shared" si="1836"/>
        <v>0.25959309354489429</v>
      </c>
      <c r="AU1023" s="93">
        <f t="shared" ca="1" si="1840"/>
        <v>4.366844651232997E-2</v>
      </c>
      <c r="AV1023" s="132">
        <f t="shared" ca="1" si="1848"/>
        <v>111.59721282545874</v>
      </c>
      <c r="AW1023" s="134">
        <f t="shared" ca="1" si="1849"/>
        <v>4.3668446512329942E-2</v>
      </c>
      <c r="AX1023" s="56">
        <f>+AJ1023/$AL$23</f>
        <v>9.3915806738910333E-3</v>
      </c>
      <c r="AY1023" s="135">
        <f t="shared" ca="1" si="1847"/>
        <v>4.1011573832404216E-4</v>
      </c>
      <c r="AZ1023" s="93"/>
      <c r="BA1023" s="93"/>
      <c r="BB1023" s="234">
        <f>IFERROR(INDEX('Total Customers'!$E$7:$AA$91,MATCH($C1023,'Total Customers'!$C$7:$C$91,0),MATCH($G1023,'Total Customers'!$E$5:$AA$5,0)),"NA")</f>
        <v>322285</v>
      </c>
      <c r="BC1023" s="269">
        <f t="shared" si="1768"/>
        <v>2.9095685952071348E-2</v>
      </c>
      <c r="BD1023" s="92"/>
      <c r="BE1023" s="299" t="str">
        <f t="shared" si="1764"/>
        <v>ROCHESTER GAS AND ELECTRIC CORPORATION</v>
      </c>
      <c r="BF1023" s="300">
        <f t="shared" si="1765"/>
        <v>4057096</v>
      </c>
      <c r="BG1023" s="231" t="str">
        <f t="shared" si="1766"/>
        <v>NY</v>
      </c>
      <c r="BH1023" s="231"/>
      <c r="BI1023" s="231" t="str">
        <f t="shared" si="1767"/>
        <v>2018 Y</v>
      </c>
      <c r="BJ1023" s="129"/>
      <c r="BK1023" s="129"/>
      <c r="BL1023" s="129">
        <f>INDEX('Dist. Plant Gas Additions'!$E$7:$AD$91,MATCH($C1023,'Dist. Plant Gas Additions'!$C$7:$C$91,0),MATCH(Calculation!$G1023,'Dist. Plant Gas Additions'!$E$5:$AD$5,0))</f>
        <v>38809</v>
      </c>
      <c r="BM1023" s="129">
        <f>INDEX('Gen. Plant Additions'!$E$7:$AD$91,MATCH($C1023,'Gen. Plant Additions'!$C$7:$C$91,0),MATCH(Calculation!$G1023,'Gen. Plant Additions'!$E$5:$AD$5,0))</f>
        <v>367</v>
      </c>
      <c r="BN1023" s="301">
        <f t="shared" si="1814"/>
        <v>0.99246485539154861</v>
      </c>
      <c r="BO1023" s="231">
        <f t="shared" si="1850"/>
        <v>364.23460192869834</v>
      </c>
      <c r="BP1023" s="231">
        <f t="shared" si="1851"/>
        <v>-2.7653980713016608</v>
      </c>
      <c r="BQ1023" s="129">
        <f>INDEX('Dist Plant Depreciation'!$D$7:$AC$94,MATCH($C1023,'Dist Plant Depreciation'!$C$7:$C$94,0),MATCH(Calculation!$G1023,'Dist Plant Depreciation'!$D$5:$AC$5,0))</f>
        <v>348281</v>
      </c>
      <c r="BR1023" s="129">
        <f>INDEX('Gen. Plant Depreciation'!$D$7:$AC$94,MATCH($C1023,'Gen. Plant Depreciation'!$C$7:$C$94,0),MATCH(Calculation!$G1023,'Gen. Plant Depreciation'!$D$5:$AC$5,0))</f>
        <v>3136</v>
      </c>
      <c r="BS1023" s="129"/>
      <c r="BT1023" s="129"/>
      <c r="BU1023" s="129"/>
      <c r="BV1023" s="129"/>
      <c r="BW1023" s="129"/>
      <c r="BX1023" s="137"/>
      <c r="BY1023" s="129">
        <f>INDEX('Gross Dx Plant'!$D$7:$AC$91,MATCH($C1023,'Gross Dx Plant'!$C$7:$C$91,0),MATCH(Calculation!$G1023,'Gross Dx Plant'!$D$5:$AC$5,0))</f>
        <v>903804</v>
      </c>
      <c r="BZ1023" s="129">
        <f>INDEX('Gross Gen Plant'!$D$7:$AC$91,MATCH($C1023,'Gross Gen Plant'!$C$7:$C$91,0),MATCH(Calculation!$G1023,'Gross Gen Plant'!$D$5:$AC$5,0))</f>
        <v>6862</v>
      </c>
      <c r="CA1023" s="129">
        <f t="shared" si="1852"/>
        <v>559249</v>
      </c>
      <c r="CB1023" s="129"/>
      <c r="CC1023" s="133">
        <v>2018</v>
      </c>
      <c r="CD1023" s="129"/>
      <c r="CE1023" s="129"/>
      <c r="CF1023" s="129"/>
      <c r="CG1023" s="137"/>
      <c r="CH1023" s="129">
        <f t="shared" si="1837"/>
        <v>39176</v>
      </c>
      <c r="CI1023" s="46">
        <f t="shared" si="1823"/>
        <v>39173.2346019287</v>
      </c>
      <c r="CJ1023" s="231">
        <f t="shared" si="1815"/>
        <v>51.875685366557697</v>
      </c>
      <c r="CK1023" s="443">
        <v>0.75609756097560976</v>
      </c>
      <c r="CL1023" s="231">
        <f>+CL1003*CK1023++CJ1004*CK1022+CJ1005*CK1021+CJ1006*CK1020+CJ1007*CK1019+CJ1008*CK1018+CJ1009*CK1017+CJ1010*CK1016+CJ1011*CK1015+CJ1012*CK1014+CJ1013*CK1013+CJ1014*CK1012+CJ1015*CK1011+CJ1016*CK1010+CJ1017*CK1009+CJ1018*CK1008+CJ1019*CK1007+CJ1020*CK1006+CJ1021*CK1005+CJ1022*CK1004+CJ1023</f>
        <v>2059.6833774115858</v>
      </c>
      <c r="CM1023" s="134">
        <f t="shared" si="1816"/>
        <v>8.6427220860500927E-3</v>
      </c>
      <c r="CN1023" s="135">
        <f t="shared" si="1817"/>
        <v>1.6724685506868408E-2</v>
      </c>
      <c r="CO1023" s="135">
        <f t="shared" si="1826"/>
        <v>1.6398111701074043E-2</v>
      </c>
      <c r="CP1023" s="134">
        <f>VLOOKUP($H1023,RoR!$E:$F,2,FALSE)</f>
        <v>3.9299999999999995E-2</v>
      </c>
      <c r="CQ1023" s="135">
        <v>2.386056741932796E-2</v>
      </c>
      <c r="CR1023" s="135">
        <f t="shared" si="1824"/>
        <v>1.5439432580672034E-2</v>
      </c>
      <c r="CS1023" s="135">
        <f t="shared" si="1827"/>
        <v>1.4503829907459583E-2</v>
      </c>
      <c r="CT1023" s="135">
        <f t="shared" si="1828"/>
        <v>3.8270792163076606E-2</v>
      </c>
      <c r="CU1023" s="139">
        <f t="shared" si="1818"/>
        <v>0.90509623210000001</v>
      </c>
      <c r="CV1023" s="335">
        <f t="shared" si="1819"/>
        <v>1.3048868010700074</v>
      </c>
      <c r="CW1023" s="335">
        <f t="shared" si="1820"/>
        <v>0.33886768447837151</v>
      </c>
      <c r="CX1023" s="335">
        <f t="shared" si="1821"/>
        <v>0.78602506232557801</v>
      </c>
      <c r="CY1023" s="335">
        <f t="shared" si="1822"/>
        <v>0.34756768162358759</v>
      </c>
      <c r="CZ1023" s="336">
        <f>INDEX('State Tax Lookup'!$D$7:$Z$91,MATCH(Calculation!$C1023,'State Tax Lookup'!$B$7:$B$91,0),MATCH($H1023,'State Tax Lookup'!$D$6:$Z$6,0))</f>
        <v>0.25649666999999998</v>
      </c>
      <c r="DA1023" s="302">
        <v>0.37</v>
      </c>
      <c r="DB1023" s="57">
        <f t="shared" si="1825"/>
        <v>13.286173322234021</v>
      </c>
      <c r="DC1023" s="56">
        <f t="shared" si="1829"/>
        <v>2.8429712371701492E-2</v>
      </c>
      <c r="DD1023" s="303">
        <f>VLOOKUP($H1023,RoR!$E:$F,2,FALSE)</f>
        <v>3.9299999999999995E-2</v>
      </c>
      <c r="DE1023" s="304">
        <f>HLOOKUP($H1023,'GDP-PI'!$D$8:$CQ$11,3,FALSE)</f>
        <v>2.386056741932796E-2</v>
      </c>
      <c r="DF1023" s="303">
        <f>VLOOKUP(H1023,'HW Dx Data'!$E:$F,2,FALSE)</f>
        <v>755.13671434174842</v>
      </c>
      <c r="DG1023" s="364">
        <f ca="1">VLOOKUP(CC1023,'ECI - Input Price'!M$13:N$33,2,FALSE)</f>
        <v>144.44999999999999</v>
      </c>
      <c r="DH1023" s="364"/>
      <c r="DI1023" s="364"/>
      <c r="DJ1023" s="56">
        <f t="shared" ca="1" si="1838"/>
        <v>2.80818733619915E-2</v>
      </c>
      <c r="DK1023" s="53">
        <f>HLOOKUP(H1023,'GDP-PI'!$8:$9,2,FALSE)</f>
        <v>110.322</v>
      </c>
      <c r="DL1023" s="355">
        <f t="shared" si="1830"/>
        <v>2.3580352716508712E-2</v>
      </c>
      <c r="EC1023"/>
    </row>
    <row r="1024" spans="1:133" s="126" customFormat="1" ht="21" customHeight="1" x14ac:dyDescent="0.4">
      <c r="A1024" s="233" t="s">
        <v>242</v>
      </c>
      <c r="B1024" s="126" t="s">
        <v>243</v>
      </c>
      <c r="C1024" s="126">
        <v>4057096</v>
      </c>
      <c r="D1024" s="127" t="s">
        <v>194</v>
      </c>
      <c r="E1024" s="127" t="s">
        <v>15</v>
      </c>
      <c r="F1024" s="144"/>
      <c r="G1024" s="126" t="s">
        <v>175</v>
      </c>
      <c r="H1024" s="128">
        <v>2019</v>
      </c>
      <c r="I1024" s="129"/>
      <c r="J1024" s="125">
        <f>IFERROR(INDEX('Labor Expenditures'!$E$7:$W$91,MATCH($C1024,'Labor Expenditures'!$C$7:$C$91,0),MATCH($G1024,'Labor Expenditures'!$E$5:$W$5,0)),"NA")</f>
        <v>29157.391305276218</v>
      </c>
      <c r="K1024" s="125">
        <f t="shared" ca="1" si="1831"/>
        <v>194.80468552046912</v>
      </c>
      <c r="L1024" s="47"/>
      <c r="M1024" s="131">
        <f t="shared" ca="1" si="1839"/>
        <v>-0.11619472142322226</v>
      </c>
      <c r="N1024" s="131"/>
      <c r="O1024" s="131"/>
      <c r="P1024" s="59">
        <f t="shared" ca="1" si="1841"/>
        <v>-1.005631282477054E-3</v>
      </c>
      <c r="Q1024" s="61"/>
      <c r="R1024" s="387"/>
      <c r="S1024" s="49">
        <f t="shared" ca="1" si="1846"/>
        <v>116.62367933085724</v>
      </c>
      <c r="T1024" s="61">
        <f ca="1">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</f>
        <v>-7.8962280969624606E-4</v>
      </c>
      <c r="U1024" s="61"/>
      <c r="V1024" s="125">
        <f>IFERROR(INDEX('Non-Labor Expenditures'!$E$7:$AA$91,MATCH($C1024,'Non-Labor Expenditures'!$C$7:$C$91,0),MATCH($G1024,'Non-Labor Expenditures'!$E$5:$AA$5,0)),"NA")</f>
        <v>42225.348459538058</v>
      </c>
      <c r="W1024" s="125">
        <f t="shared" si="1832"/>
        <v>375.94462561244018</v>
      </c>
      <c r="X1024" s="131">
        <f t="shared" si="1842"/>
        <v>-9.8592642975452366E-2</v>
      </c>
      <c r="Y1024" s="131">
        <f t="shared" si="1843"/>
        <v>-8.5329044885847224E-4</v>
      </c>
      <c r="Z1024" s="131"/>
      <c r="AA1024" s="131"/>
      <c r="AB1024" s="131"/>
      <c r="AC1024" s="125">
        <f t="shared" si="1813"/>
        <v>27221.31445422642</v>
      </c>
      <c r="AD1024" s="129"/>
      <c r="AE1024" s="133">
        <v>2357.6696803012496</v>
      </c>
      <c r="AF1024" s="134">
        <v>3.9817808270302707E-2</v>
      </c>
      <c r="AG1024" s="59">
        <f t="shared" si="1833"/>
        <v>3.4461146862638204E-4</v>
      </c>
      <c r="AH1024" s="134"/>
      <c r="AI1024" s="134"/>
      <c r="AJ1024" s="129">
        <f t="shared" si="1809"/>
        <v>98604.0542190407</v>
      </c>
      <c r="AK1024" s="134">
        <f t="shared" si="1844"/>
        <v>-5.8160963374753981E-2</v>
      </c>
      <c r="AL1024" s="129"/>
      <c r="AM1024" s="129"/>
      <c r="AN1024" s="129"/>
      <c r="AO1024" s="129"/>
      <c r="AP1024" s="133">
        <f t="shared" si="1845"/>
        <v>310.40557013127381</v>
      </c>
      <c r="AQ1024" s="134">
        <f>+BB1024/Outputs!$B$27</f>
        <v>8.4337994584890216E-3</v>
      </c>
      <c r="AR1024" s="93">
        <f t="shared" si="1834"/>
        <v>0.29570174914416297</v>
      </c>
      <c r="AS1024" s="93">
        <f t="shared" si="1835"/>
        <v>0.42823136222916314</v>
      </c>
      <c r="AT1024" s="93">
        <f t="shared" si="1836"/>
        <v>0.27606688862667389</v>
      </c>
      <c r="AU1024" s="93">
        <f t="shared" ca="1" si="1840"/>
        <v>-6.6786360437511696E-2</v>
      </c>
      <c r="AV1024" s="132">
        <f t="shared" ca="1" si="1848"/>
        <v>104.38747682975735</v>
      </c>
      <c r="AW1024" s="134">
        <f t="shared" ca="1" si="1849"/>
        <v>-6.678636043751171E-2</v>
      </c>
      <c r="AX1024" s="56">
        <f>+AJ1024/$AL$24</f>
        <v>8.6547071171519854E-3</v>
      </c>
      <c r="AY1024" s="135">
        <f t="shared" ca="1" si="1847"/>
        <v>-5.7801638900721033E-4</v>
      </c>
      <c r="AZ1024" s="93"/>
      <c r="BA1024" s="93"/>
      <c r="BB1024" s="234">
        <f>IFERROR(INDEX('Total Customers'!$E$7:$AA$91,MATCH($C1024,'Total Customers'!$C$7:$C$91,0),MATCH($G1024,'Total Customers'!$E$5:$AA$5,0)),"NA")</f>
        <v>317662</v>
      </c>
      <c r="BC1024" s="269">
        <f t="shared" si="1768"/>
        <v>-1.4448322821143469E-2</v>
      </c>
      <c r="BD1024" s="92"/>
      <c r="BE1024" s="299" t="str">
        <f t="shared" si="1764"/>
        <v>ROCHESTER GAS AND ELECTRIC CORPORATION</v>
      </c>
      <c r="BF1024" s="300">
        <f t="shared" si="1765"/>
        <v>4057096</v>
      </c>
      <c r="BG1024" s="231" t="str">
        <f t="shared" si="1766"/>
        <v>NY</v>
      </c>
      <c r="BH1024" s="231"/>
      <c r="BI1024" s="231" t="str">
        <f t="shared" si="1767"/>
        <v>2019 Y</v>
      </c>
      <c r="BJ1024" s="129"/>
      <c r="BK1024" s="129"/>
      <c r="BL1024" s="129">
        <f>INDEX('Dist. Plant Gas Additions'!$E$7:$AD$91,MATCH($C1024,'Dist. Plant Gas Additions'!$C$7:$C$91,0),MATCH(Calculation!$G1024,'Dist. Plant Gas Additions'!$E$5:$AD$5,0))</f>
        <v>87764</v>
      </c>
      <c r="BM1024" s="129">
        <f>INDEX('Gen. Plant Additions'!$E$7:$AD$91,MATCH($C1024,'Gen. Plant Additions'!$C$7:$C$91,0),MATCH(Calculation!$G1024,'Gen. Plant Additions'!$E$5:$AD$5,0))</f>
        <v>524</v>
      </c>
      <c r="BN1024" s="301">
        <f t="shared" si="1814"/>
        <v>0.99256216573299327</v>
      </c>
      <c r="BO1024" s="231">
        <f t="shared" si="1850"/>
        <v>520.10257484408851</v>
      </c>
      <c r="BP1024" s="231">
        <f t="shared" si="1851"/>
        <v>-3.8974251559114919</v>
      </c>
      <c r="BQ1024" s="129">
        <f>INDEX('Dist Plant Depreciation'!$D$7:$AC$94,MATCH($C1024,'Dist Plant Depreciation'!$C$7:$C$94,0),MATCH(Calculation!$G1024,'Dist Plant Depreciation'!$D$5:$AC$5,0))</f>
        <v>362148</v>
      </c>
      <c r="BR1024" s="129">
        <f>INDEX('Gen. Plant Depreciation'!$D$7:$AC$94,MATCH($C1024,'Gen. Plant Depreciation'!$C$7:$C$94,0),MATCH(Calculation!$G1024,'Gen. Plant Depreciation'!$D$5:$AC$5,0))</f>
        <v>3470</v>
      </c>
      <c r="BS1024" s="129"/>
      <c r="BT1024" s="129"/>
      <c r="BU1024" s="129"/>
      <c r="BV1024" s="129"/>
      <c r="BW1024" s="129"/>
      <c r="BX1024" s="137"/>
      <c r="BY1024" s="129">
        <f>INDEX('Gross Dx Plant'!$D$7:$AC$91,MATCH($C1024,'Gross Dx Plant'!$C$7:$C$91,0),MATCH(Calculation!$G1024,'Gross Dx Plant'!$D$5:$AC$5,0))</f>
        <v>985645</v>
      </c>
      <c r="BZ1024" s="129">
        <f>INDEX('Gross Gen Plant'!$D$7:$AC$91,MATCH($C1024,'Gross Gen Plant'!$C$7:$C$91,0),MATCH(Calculation!$G1024,'Gross Gen Plant'!$D$5:$AC$5,0))</f>
        <v>7386</v>
      </c>
      <c r="CA1024" s="129">
        <f t="shared" si="1852"/>
        <v>627413</v>
      </c>
      <c r="CB1024" s="129"/>
      <c r="CC1024" s="133">
        <v>2019</v>
      </c>
      <c r="CD1024" s="129"/>
      <c r="CE1024" s="129"/>
      <c r="CF1024" s="129"/>
      <c r="CG1024" s="137"/>
      <c r="CH1024" s="129">
        <f t="shared" si="1837"/>
        <v>88288</v>
      </c>
      <c r="CI1024" s="46">
        <f t="shared" si="1823"/>
        <v>88284.102574844088</v>
      </c>
      <c r="CJ1024" s="231">
        <f t="shared" si="1815"/>
        <v>114.13008079876742</v>
      </c>
      <c r="CK1024" s="443">
        <v>0.7407407407407407</v>
      </c>
      <c r="CL1024" s="231">
        <f>CL1003*CK1024+CJ1004*CK1023+CJ1005*CK1022+CJ1006*CK1021+CJ1007*CK1020+CJ1008*CK1019+CJ1009*CK1018+CJ1010*CK1017+CJ1011*CK1016+CJ1012*CK1015+CJ1013*CK1014+CJ1014*CK1013+CJ1015*CK1012+CJ1016*CK1011+CJ1017*CK1010+CJ1018*CK1009+CJ1019*CK1008+CJ1020*CK1007+CJ1021*CK1006+CJ1022*CK1005+CJ1023*CK1004+CJ1024</f>
        <v>2138.3358786221461</v>
      </c>
      <c r="CM1024" s="134">
        <f t="shared" si="1816"/>
        <v>3.7475629010361146E-2</v>
      </c>
      <c r="CN1024" s="135">
        <f t="shared" si="1817"/>
        <v>1.7224773466294582E-2</v>
      </c>
      <c r="CO1024" s="135">
        <f t="shared" si="1826"/>
        <v>1.6804248704522781E-2</v>
      </c>
      <c r="CP1024" s="134">
        <f>VLOOKUP($H1024,RoR!$E:$F,2,FALSE)</f>
        <v>3.3875000000000009E-2</v>
      </c>
      <c r="CQ1024" s="135">
        <v>1.8092492884465461E-2</v>
      </c>
      <c r="CR1024" s="135">
        <f t="shared" si="1824"/>
        <v>1.5782507115534548E-2</v>
      </c>
      <c r="CS1024" s="135">
        <f t="shared" si="1827"/>
        <v>1.4097692904010844E-2</v>
      </c>
      <c r="CT1024" s="135">
        <f t="shared" si="1828"/>
        <v>4.8445665544254078E-2</v>
      </c>
      <c r="CU1024" s="139">
        <f t="shared" si="1818"/>
        <v>0.90509623210000001</v>
      </c>
      <c r="CV1024" s="335">
        <f t="shared" si="1819"/>
        <v>1.513861292459078</v>
      </c>
      <c r="CW1024" s="335">
        <f t="shared" si="1820"/>
        <v>0.23699261992619944</v>
      </c>
      <c r="CX1024" s="335">
        <f t="shared" si="1821"/>
        <v>0.73619765810468829</v>
      </c>
      <c r="CY1024" s="335">
        <f t="shared" si="1822"/>
        <v>0.26412854465362851</v>
      </c>
      <c r="CZ1024" s="336">
        <f>INDEX('State Tax Lookup'!$D$7:$Z$91,MATCH(Calculation!$C1024,'State Tax Lookup'!$B$7:$B$91,0),MATCH($H1024,'State Tax Lookup'!$D$6:$Z$6,0))</f>
        <v>0.25649666999999998</v>
      </c>
      <c r="DA1024" s="302">
        <v>0.37</v>
      </c>
      <c r="DB1024" s="57">
        <f t="shared" si="1825"/>
        <v>13.216261660777969</v>
      </c>
      <c r="DC1024" s="56">
        <f t="shared" si="1829"/>
        <v>-5.2758792666518133E-3</v>
      </c>
      <c r="DD1024" s="303">
        <f>VLOOKUP($H1024,RoR!$E:$F,2,FALSE)</f>
        <v>3.3875000000000009E-2</v>
      </c>
      <c r="DE1024" s="304">
        <f>HLOOKUP($H1024,'GDP-PI'!$D$8:$CQ$11,3,FALSE)</f>
        <v>1.8092492884465461E-2</v>
      </c>
      <c r="DF1024" s="303">
        <f>VLOOKUP(H1024,'HW Dx Data'!$E:$F,2,FALSE)</f>
        <v>773.53929793938721</v>
      </c>
      <c r="DG1024" s="364">
        <f ca="1">VLOOKUP(CC1024,'ECI - Input Price'!M$13:N$33,2,FALSE)</f>
        <v>149.67500000000001</v>
      </c>
      <c r="DH1024" s="364"/>
      <c r="DI1024" s="364"/>
      <c r="DJ1024" s="56">
        <f t="shared" ca="1" si="1838"/>
        <v>3.5532849899171604E-2</v>
      </c>
      <c r="DK1024" s="53">
        <f>HLOOKUP(H1024,'GDP-PI'!$8:$9,2,FALSE)</f>
        <v>112.318</v>
      </c>
      <c r="DL1024" s="355">
        <f t="shared" si="1830"/>
        <v>1.7930771451401852E-2</v>
      </c>
    </row>
    <row r="1025" spans="1:133" s="126" customFormat="1" ht="21" customHeight="1" x14ac:dyDescent="0.4">
      <c r="A1025" s="233" t="s">
        <v>242</v>
      </c>
      <c r="B1025" s="126" t="s">
        <v>243</v>
      </c>
      <c r="C1025" s="126">
        <v>4057096</v>
      </c>
      <c r="D1025" s="126" t="s">
        <v>194</v>
      </c>
      <c r="E1025" s="126" t="s">
        <v>15</v>
      </c>
      <c r="G1025" s="127" t="s">
        <v>176</v>
      </c>
      <c r="H1025" s="128">
        <v>2020</v>
      </c>
      <c r="I1025" s="129"/>
      <c r="J1025" s="125">
        <f>IFERROR(INDEX('Labor Expenditures'!$E$7:$W$91,MATCH($C1025,'Labor Expenditures'!$C$7:$C$91,0),MATCH($G1025,'Labor Expenditures'!$E$5:$W$5,0)),"NA")</f>
        <v>30594.627489133334</v>
      </c>
      <c r="K1025" s="125">
        <f t="shared" ca="1" si="1831"/>
        <v>199.76903355620851</v>
      </c>
      <c r="L1025" s="47"/>
      <c r="M1025" s="131">
        <f t="shared" ca="1" si="1839"/>
        <v>2.5164423097543961E-2</v>
      </c>
      <c r="N1025" s="131"/>
      <c r="O1025" s="131"/>
      <c r="P1025" s="59">
        <f t="shared" ca="1" si="1841"/>
        <v>2.2530549216174137E-4</v>
      </c>
      <c r="Q1025" s="61"/>
      <c r="R1025" s="387"/>
      <c r="S1025" s="49">
        <f t="shared" ca="1" si="1846"/>
        <v>118.92000014466615</v>
      </c>
      <c r="T1025" s="61">
        <f ca="1">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</f>
        <v>1.9498664308539321E-2</v>
      </c>
      <c r="U1025" s="61"/>
      <c r="V1025" s="125">
        <f>IFERROR(INDEX('Non-Labor Expenditures'!$E$7:$AA$91,MATCH($C1025,'Non-Labor Expenditures'!$C$7:$C$91,0),MATCH($G1025,'Non-Labor Expenditures'!$E$5:$AA$5,0)),"NA")</f>
        <v>44306.734892454013</v>
      </c>
      <c r="W1025" s="125">
        <f t="shared" si="1832"/>
        <v>389.94512460024828</v>
      </c>
      <c r="X1025" s="131">
        <f t="shared" si="1842"/>
        <v>3.656416283351975E-2</v>
      </c>
      <c r="Y1025" s="131">
        <f t="shared" si="1843"/>
        <v>3.2737117281628664E-4</v>
      </c>
      <c r="Z1025" s="131"/>
      <c r="AA1025" s="131"/>
      <c r="AB1025" s="131"/>
      <c r="AC1025" s="125">
        <f t="shared" si="1813"/>
        <v>28976.078671122101</v>
      </c>
      <c r="AD1025" s="129"/>
      <c r="AE1025" s="133">
        <v>2390.4429328296851</v>
      </c>
      <c r="AF1025" s="134">
        <v>1.3804968703675886E-2</v>
      </c>
      <c r="AG1025" s="59">
        <f t="shared" si="1833"/>
        <v>1.2360049964200054E-4</v>
      </c>
      <c r="AH1025" s="134"/>
      <c r="AI1025" s="134"/>
      <c r="AJ1025" s="129">
        <f t="shared" si="1809"/>
        <v>103877.44105270944</v>
      </c>
      <c r="AK1025" s="134">
        <f t="shared" si="1844"/>
        <v>5.2099374201796632E-2</v>
      </c>
      <c r="AL1025" s="129"/>
      <c r="AM1025" s="129"/>
      <c r="AN1025" s="129"/>
      <c r="AO1025" s="129"/>
      <c r="AP1025" s="133">
        <f t="shared" si="1845"/>
        <v>324.88300124698799</v>
      </c>
      <c r="AQ1025" s="134">
        <f>+BB1025/Outputs!$B$28</f>
        <v>8.4289713682865336E-3</v>
      </c>
      <c r="AR1025" s="93">
        <f t="shared" si="1834"/>
        <v>0.29452619528439311</v>
      </c>
      <c r="AS1025" s="93">
        <f t="shared" si="1835"/>
        <v>0.42652894067704178</v>
      </c>
      <c r="AT1025" s="93">
        <f t="shared" si="1836"/>
        <v>0.27894486403856517</v>
      </c>
      <c r="AU1025" s="93">
        <f t="shared" ca="1" si="1840"/>
        <v>2.6884130246200458E-2</v>
      </c>
      <c r="AV1025" s="132">
        <f t="shared" ca="1" si="1848"/>
        <v>107.23190705207803</v>
      </c>
      <c r="AW1025" s="134">
        <f t="shared" ca="1" si="1849"/>
        <v>2.6884130246200521E-2</v>
      </c>
      <c r="AX1025" s="56">
        <f>+AJ1025/$AL$25</f>
        <v>8.9533342881892297E-3</v>
      </c>
      <c r="AY1025" s="135">
        <f t="shared" ca="1" si="1847"/>
        <v>2.4070260514145227E-4</v>
      </c>
      <c r="AZ1025" s="93"/>
      <c r="BA1025" s="93"/>
      <c r="BB1025" s="234">
        <f>IFERROR(INDEX('Total Customers'!$E$7:$AA$91,MATCH($C1025,'Total Customers'!$C$7:$C$91,0),MATCH($G1025,'Total Customers'!$E$5:$AA$5,0)),"NA")</f>
        <v>319738</v>
      </c>
      <c r="BC1025" s="269">
        <f t="shared" si="1768"/>
        <v>6.5139860079484434E-3</v>
      </c>
      <c r="BD1025" s="92"/>
      <c r="BE1025" s="299" t="str">
        <f t="shared" si="1764"/>
        <v>ROCHESTER GAS AND ELECTRIC CORPORATION</v>
      </c>
      <c r="BF1025" s="300">
        <f t="shared" si="1765"/>
        <v>4057096</v>
      </c>
      <c r="BG1025" s="231" t="str">
        <f t="shared" si="1766"/>
        <v>NY</v>
      </c>
      <c r="BH1025" s="231"/>
      <c r="BI1025" s="231" t="str">
        <f t="shared" si="1767"/>
        <v>2020 Y</v>
      </c>
      <c r="BJ1025" s="129"/>
      <c r="BK1025" s="129"/>
      <c r="BL1025" s="129">
        <f>INDEX('Dist. Plant Gas Additions'!$E$7:$AD$91,MATCH($C1025,'Dist. Plant Gas Additions'!$C$7:$C$91,0),MATCH(Calculation!$G1025,'Dist. Plant Gas Additions'!$E$5:$AD$5,0))</f>
        <v>45298</v>
      </c>
      <c r="BM1025" s="129">
        <f>INDEX('Gen. Plant Additions'!$E$7:$AD$91,MATCH($C1025,'Gen. Plant Additions'!$C$7:$C$91,0),MATCH(Calculation!$G1025,'Gen. Plant Additions'!$E$5:$AD$5,0))</f>
        <v>521</v>
      </c>
      <c r="BN1025" s="301">
        <f t="shared" si="1814"/>
        <v>0.99235681965593603</v>
      </c>
      <c r="BO1025" s="231">
        <f t="shared" si="1850"/>
        <v>517.01790304074268</v>
      </c>
      <c r="BP1025" s="231">
        <f t="shared" si="1851"/>
        <v>-3.9820969592573192</v>
      </c>
      <c r="BQ1025" s="129">
        <f>INDEX('Dist Plant Depreciation'!$D$7:$AC$94,MATCH($C1025,'Dist Plant Depreciation'!$C$7:$C$94,0),MATCH(Calculation!$G1025,'Dist Plant Depreciation'!$D$5:$AC$5,0))</f>
        <v>379939</v>
      </c>
      <c r="BR1025" s="129">
        <f>INDEX('Gen. Plant Depreciation'!$D$7:$AC$94,MATCH($C1025,'Gen. Plant Depreciation'!$C$7:$C$94,0),MATCH(Calculation!$G1025,'Gen. Plant Depreciation'!$D$5:$AC$5,0))</f>
        <v>3667</v>
      </c>
      <c r="BS1025" s="129"/>
      <c r="BT1025" s="129"/>
      <c r="BU1025" s="129"/>
      <c r="BV1025" s="129"/>
      <c r="BW1025" s="129"/>
      <c r="BX1025" s="137"/>
      <c r="BY1025" s="129">
        <f>INDEX('Gross Dx Plant'!$D$7:$AC$91,MATCH($C1025,'Gross Dx Plant'!$C$7:$C$91,0),MATCH(Calculation!$G1025,'Gross Dx Plant'!$D$5:$AC$5,0))</f>
        <v>1026610</v>
      </c>
      <c r="BZ1025" s="129">
        <f>INDEX('Gross Gen Plant'!$D$7:$AC$91,MATCH($C1025,'Gross Gen Plant'!$C$7:$C$91,0),MATCH(Calculation!$G1025,'Gross Gen Plant'!$D$5:$AC$5,0))</f>
        <v>7907</v>
      </c>
      <c r="CA1025" s="129">
        <f t="shared" si="1852"/>
        <v>650911</v>
      </c>
      <c r="CB1025" s="129"/>
      <c r="CC1025" s="133">
        <v>2020</v>
      </c>
      <c r="CD1025" s="129"/>
      <c r="CE1025" s="129"/>
      <c r="CF1025" s="129"/>
      <c r="CG1025" s="137"/>
      <c r="CH1025" s="129">
        <f t="shared" si="1837"/>
        <v>45819</v>
      </c>
      <c r="CI1025" s="46">
        <f t="shared" si="1823"/>
        <v>45815.017903040745</v>
      </c>
      <c r="CJ1025" s="231">
        <f t="shared" si="1815"/>
        <v>56.347479643940275</v>
      </c>
      <c r="CK1025" s="443">
        <v>0.72499999999999998</v>
      </c>
      <c r="CL1025" s="231">
        <f>CL1003*CK1025+CJ1004*CK1024+CJ1005*CK1023+CJ1006*CK1022+CJ1007*CK1021+CJ1008*CK1020+CJ1009*CK1019+CJ1010*CK1018+CJ1011*CK1017+CJ1012*CK1016+CJ1013*CK1015+CJ1014*CK1014+CJ1015*CK1013+CJ1016*CK1012+CJ1017*CK1011+CJ1018*CK1010+CJ1019*CK1009+CJ1020*CK1008+CJ1021*CK1007+CJ1022*CK1006+CJ1023*CK1005+CJ1024*CK1004+CJ1025</f>
        <v>2157.2231887547273</v>
      </c>
      <c r="CM1025" s="134">
        <f t="shared" si="1816"/>
        <v>8.7939341791392865E-3</v>
      </c>
      <c r="CN1025" s="135">
        <f t="shared" si="1817"/>
        <v>1.7518374866111693E-2</v>
      </c>
      <c r="CO1025" s="135">
        <f t="shared" si="1826"/>
        <v>1.715594461309156E-2</v>
      </c>
      <c r="CP1025" s="134">
        <f>VLOOKUP($H1025,RoR!$E:$F,2,FALSE)</f>
        <v>2.4766666666666666E-2</v>
      </c>
      <c r="CQ1025" s="135">
        <v>1.1618796630994188E-2</v>
      </c>
      <c r="CR1025" s="135">
        <f t="shared" si="1824"/>
        <v>1.3147870035672478E-2</v>
      </c>
      <c r="CS1025" s="135">
        <f t="shared" si="1827"/>
        <v>1.3745996995442065E-2</v>
      </c>
      <c r="CT1025" s="135">
        <f t="shared" si="1828"/>
        <v>4.5144642961987357E-2</v>
      </c>
      <c r="CU1025" s="139">
        <f t="shared" si="1818"/>
        <v>0.90509623210000001</v>
      </c>
      <c r="CV1025" s="335">
        <f t="shared" si="1819"/>
        <v>2.0706077233668081</v>
      </c>
      <c r="CW1025" s="335">
        <f t="shared" si="1820"/>
        <v>-3.4421265141318998E-2</v>
      </c>
      <c r="CX1025" s="335">
        <f t="shared" si="1821"/>
        <v>0.62416226176410472</v>
      </c>
      <c r="CY1025" s="335">
        <f t="shared" si="1822"/>
        <v>-4.4485877841158712E-2</v>
      </c>
      <c r="CZ1025" s="336">
        <f>INDEX('State Tax Lookup'!$D$7:$Z$91,MATCH(Calculation!$C1025,'State Tax Lookup'!$B$7:$B$91,0),MATCH($H1025,'State Tax Lookup'!$D$6:$Z$6,0))</f>
        <v>0.25649666999999998</v>
      </c>
      <c r="DA1025" s="302">
        <v>0.37</v>
      </c>
      <c r="DB1025" s="57">
        <f t="shared" si="1825"/>
        <v>13.550761113260219</v>
      </c>
      <c r="DC1025" s="56">
        <f t="shared" si="1829"/>
        <v>2.4994701098197368E-2</v>
      </c>
      <c r="DD1025" s="303">
        <f>VLOOKUP($H1025,RoR!$E:$F,2,FALSE)</f>
        <v>2.4766666666666666E-2</v>
      </c>
      <c r="DE1025" s="304">
        <f>HLOOKUP($H1025,'GDP-PI'!$D$8:$CQ$11,3,FALSE)</f>
        <v>1.1618796630994188E-2</v>
      </c>
      <c r="DF1025" s="303">
        <f>VLOOKUP(H1025,'HW Dx Data'!$E:$F,2,FALSE)</f>
        <v>813.080162458833</v>
      </c>
      <c r="DG1025" s="364">
        <f ca="1">VLOOKUP(CC1025,'ECI - Input Price'!M$13:N$33,2,FALSE)</f>
        <v>153.15</v>
      </c>
      <c r="DH1025" s="364"/>
      <c r="DI1025" s="364"/>
      <c r="DJ1025" s="56">
        <f t="shared" ca="1" si="1838"/>
        <v>2.2951556467368479E-2</v>
      </c>
      <c r="DK1025" s="53">
        <f>HLOOKUP(H1025,'GDP-PI'!$8:$9,2,FALSE)</f>
        <v>113.623</v>
      </c>
      <c r="DL1025" s="355">
        <f t="shared" si="1830"/>
        <v>1.1551816731392881E-2</v>
      </c>
      <c r="EC1025"/>
    </row>
    <row r="1026" spans="1:133" s="126" customFormat="1" ht="21" customHeight="1" x14ac:dyDescent="0.4">
      <c r="A1026" s="233" t="s">
        <v>242</v>
      </c>
      <c r="B1026" s="126" t="s">
        <v>243</v>
      </c>
      <c r="C1026" s="126">
        <v>4057096</v>
      </c>
      <c r="D1026" s="126" t="s">
        <v>194</v>
      </c>
      <c r="E1026" s="126" t="s">
        <v>15</v>
      </c>
      <c r="G1026" s="127" t="s">
        <v>177</v>
      </c>
      <c r="H1026" s="128">
        <v>2021</v>
      </c>
      <c r="I1026" s="129"/>
      <c r="J1026" s="125">
        <v>30836.281825580678</v>
      </c>
      <c r="K1026" s="125">
        <f t="shared" ca="1" si="1831"/>
        <v>196.09718172070384</v>
      </c>
      <c r="L1026" s="47"/>
      <c r="M1026" s="130">
        <f t="shared" ca="1" si="1839"/>
        <v>-1.8551505541033471E-2</v>
      </c>
      <c r="N1026" s="130"/>
      <c r="O1026" s="130"/>
      <c r="P1026" s="59">
        <f t="shared" ca="1" si="1841"/>
        <v>-1.8310590214190383E-4</v>
      </c>
      <c r="Q1026" s="61"/>
      <c r="R1026" s="387"/>
      <c r="S1026" s="132">
        <f ca="1">+S1025*EXP(T1026)</f>
        <v>121.20966220820894</v>
      </c>
      <c r="T1026" s="134">
        <f ca="1">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</f>
        <v>1.9070792301094944E-2</v>
      </c>
      <c r="U1026" s="134"/>
      <c r="V1026" s="125">
        <v>43468.011730035418</v>
      </c>
      <c r="W1026" s="125">
        <f t="shared" si="1832"/>
        <v>366.84962216250671</v>
      </c>
      <c r="X1026" s="131">
        <f t="shared" si="1842"/>
        <v>-6.1054007861885605E-2</v>
      </c>
      <c r="Y1026" s="131">
        <f t="shared" si="1843"/>
        <v>-6.026114249435019E-4</v>
      </c>
      <c r="Z1026" s="131"/>
      <c r="AA1026" s="131"/>
      <c r="AB1026" s="131"/>
      <c r="AC1026" s="125">
        <f t="shared" si="1813"/>
        <v>52479.345138597011</v>
      </c>
      <c r="AD1026" s="129"/>
      <c r="AE1026" s="133">
        <v>2535.6745988543707</v>
      </c>
      <c r="AF1026" s="134"/>
      <c r="AG1026" s="59">
        <f t="shared" si="1833"/>
        <v>0</v>
      </c>
      <c r="AH1026" s="134"/>
      <c r="AI1026" s="134"/>
      <c r="AJ1026" s="129">
        <f t="shared" si="1809"/>
        <v>126783.63869421311</v>
      </c>
      <c r="AK1026" s="134">
        <f t="shared" si="1844"/>
        <v>0.19927024849246847</v>
      </c>
      <c r="AL1026" s="129"/>
      <c r="AM1026" s="134"/>
      <c r="AN1026" s="134"/>
      <c r="AO1026" s="134"/>
      <c r="AP1026" s="133">
        <f t="shared" si="1845"/>
        <v>394.16645016077445</v>
      </c>
      <c r="AQ1026" s="134">
        <f>+BB1026/Outputs!$B$29</f>
        <v>8.3315470109645486E-3</v>
      </c>
      <c r="AR1026" s="93">
        <f t="shared" si="1834"/>
        <v>0.24321972569310843</v>
      </c>
      <c r="AS1026" s="93">
        <f t="shared" si="1835"/>
        <v>0.34285190248305647</v>
      </c>
      <c r="AT1026" s="93">
        <f t="shared" si="1836"/>
        <v>0.41392837182383513</v>
      </c>
      <c r="AU1026" s="93">
        <f t="shared" ca="1" si="1840"/>
        <v>-2.8474890239881541E-2</v>
      </c>
      <c r="AV1026" s="132">
        <f t="shared" ca="1" si="1848"/>
        <v>104.22155341492976</v>
      </c>
      <c r="AW1026" s="134">
        <f t="shared" ca="1" si="1849"/>
        <v>-2.8474890239881576E-2</v>
      </c>
      <c r="AX1026" s="56">
        <f>+AJ1026/$AL$26</f>
        <v>9.8701370482787952E-3</v>
      </c>
      <c r="AY1026" s="135">
        <f t="shared" ca="1" si="1847"/>
        <v>-2.8105106910232742E-4</v>
      </c>
      <c r="AZ1026" s="93"/>
      <c r="BA1026" s="93"/>
      <c r="BB1026" s="234">
        <f>INDEX('Total Customers'!$D$7:$D$91,MATCH(Calculation!$C1026,'Total Customers'!$C$7:$C$91,0))</f>
        <v>321650</v>
      </c>
      <c r="BC1026" s="269">
        <f t="shared" si="1768"/>
        <v>5.9620874220809488E-3</v>
      </c>
      <c r="BD1026" s="91"/>
      <c r="BE1026" s="299" t="str">
        <f t="shared" si="1764"/>
        <v>ROCHESTER GAS AND ELECTRIC CORPORATION</v>
      </c>
      <c r="BF1026" s="300">
        <f t="shared" si="1765"/>
        <v>4057096</v>
      </c>
      <c r="BG1026" s="231" t="str">
        <f t="shared" si="1766"/>
        <v>NY</v>
      </c>
      <c r="BH1026" s="231"/>
      <c r="BI1026" s="231" t="str">
        <f t="shared" si="1767"/>
        <v>2021 Y</v>
      </c>
      <c r="BJ1026" s="129"/>
      <c r="BK1026" s="129"/>
      <c r="BL1026" s="129">
        <f>INDEX('Dist. Plant Gas Additions'!$D$7:$AD$91,MATCH($C1026,'Dist. Plant Gas Additions'!$C$7:$C$91,0),MATCH(Calculation!$G1026,'Dist. Plant Gas Additions'!$D$5:$AD$5,0))</f>
        <v>106714</v>
      </c>
      <c r="BM1026" s="129">
        <f>INDEX('Gen. Plant Additions'!$D$7:$AD$91,MATCH($C1026,'Gen. Plant Additions'!$C$7:$C$91,0),MATCH(Calculation!$G1026,'Gen. Plant Additions'!$D$5:$AD$5,0))</f>
        <v>319</v>
      </c>
      <c r="BN1026" s="343"/>
      <c r="BO1026" s="231">
        <f t="shared" si="1850"/>
        <v>0</v>
      </c>
      <c r="BP1026" s="231">
        <f t="shared" si="1851"/>
        <v>-319</v>
      </c>
      <c r="BQ1026" s="129"/>
      <c r="BR1026" s="129"/>
      <c r="BS1026" s="137"/>
      <c r="BT1026" s="137"/>
      <c r="BU1026" s="333"/>
      <c r="BV1026" s="93"/>
      <c r="BW1026" s="334"/>
      <c r="BX1026" s="334"/>
      <c r="BY1026" s="129"/>
      <c r="BZ1026" s="129"/>
      <c r="CA1026" s="129"/>
      <c r="CB1026" s="129"/>
      <c r="CC1026" s="133">
        <v>2021</v>
      </c>
      <c r="CD1026" s="129"/>
      <c r="CE1026" s="129"/>
      <c r="CF1026" s="129"/>
      <c r="CG1026" s="137"/>
      <c r="CH1026" s="129">
        <f t="shared" si="1837"/>
        <v>107033</v>
      </c>
      <c r="CI1026" s="46">
        <f t="shared" si="1823"/>
        <v>106714</v>
      </c>
      <c r="CJ1026" s="231">
        <f t="shared" si="1815"/>
        <v>114.37451946721333</v>
      </c>
      <c r="CK1026" s="443">
        <v>0.70886075949367089</v>
      </c>
      <c r="CL1026" s="129">
        <f>CL1003*CK1026+CJ1004*CK1025+CJ1005*CK1024+CJ1006*CK1023+CJ1007*CK1022+CJ1008*CK1021+CJ1009*CK1020+CJ1010*CK1019+CJ1011*CK1018+CJ1012*CK1017+CJ1013*CK1016+CJ1014*CK1015+CJ1015*CK1014+CJ1016*CK1013+CJ1017*CK1012+CJ1008*CK1011+CJ1019*CK1010+CJ1020*CK1009+CJ1021*CK1008+CJ1022*CK1007+CJ1023*CK1006+CJ1024*CK1005+CJ1026+CJ1025*CK1004</f>
        <v>2285.6884349607953</v>
      </c>
      <c r="CM1026" s="134"/>
      <c r="CN1026" s="135">
        <f t="shared" si="1817"/>
        <v>-6.5318817321765865E-3</v>
      </c>
      <c r="CO1026" s="135">
        <f t="shared" si="1826"/>
        <v>9.4037555334098959E-3</v>
      </c>
      <c r="CP1026" s="134">
        <f>VLOOKUP($H1026,RoR!$E:$F,2,FALSE)</f>
        <v>2.7033333333333336E-2</v>
      </c>
      <c r="CQ1026" s="135"/>
      <c r="CR1026" s="135"/>
      <c r="CS1026" s="135">
        <f t="shared" si="1827"/>
        <v>2.1498186075123729E-2</v>
      </c>
      <c r="CT1026" s="135">
        <f t="shared" si="1828"/>
        <v>7.433422950153494E-2</v>
      </c>
      <c r="CU1026" s="139">
        <f t="shared" si="1818"/>
        <v>0.90509623210000001</v>
      </c>
      <c r="CV1026" s="335">
        <f t="shared" si="1819"/>
        <v>1.8969932656739068</v>
      </c>
      <c r="CW1026" s="335">
        <f t="shared" si="1820"/>
        <v>5.0215782983970621E-2</v>
      </c>
      <c r="CX1026" s="335">
        <f t="shared" si="1821"/>
        <v>0.655952481704143</v>
      </c>
      <c r="CY1026" s="335">
        <f t="shared" si="1822"/>
        <v>6.2485378865697057E-2</v>
      </c>
      <c r="CZ1026" s="336">
        <f>CZ1025</f>
        <v>0.25649666999999998</v>
      </c>
      <c r="DA1026" s="302">
        <v>0.37</v>
      </c>
      <c r="DB1026" s="141">
        <f t="shared" si="1825"/>
        <v>24.327267300001115</v>
      </c>
      <c r="DC1026" s="135">
        <f>LN(DB1027/DB1025)</f>
        <v>0.21804519334555655</v>
      </c>
      <c r="DD1026" s="336">
        <f>VLOOKUP($H1026,RoR!$E:$F,2,FALSE)</f>
        <v>2.7033333333333336E-2</v>
      </c>
      <c r="DE1026" s="342">
        <f>HLOOKUP($H1026,'GDP-PI'!$D$8:$CR$11,3,FALSE)</f>
        <v>4.2834637353352578E-2</v>
      </c>
      <c r="DF1026" s="336">
        <f>VLOOKUP(H1026,'HW Dx Data'!$E:$F,2,FALSE)</f>
        <v>933.02249921662576</v>
      </c>
      <c r="DG1026" s="364">
        <f ca="1">VLOOKUP(CC1026,'ECI - Input Price'!M$13:N$33,2,FALSE)</f>
        <v>157.25</v>
      </c>
      <c r="DH1026" s="364"/>
      <c r="DI1026" s="364"/>
      <c r="DJ1026" s="135">
        <f t="shared" ca="1" si="1838"/>
        <v>2.6419062301765574E-2</v>
      </c>
      <c r="DK1026" s="137">
        <f>HLOOKUP(H1026,'GDP-PI'!$8:$9,2,FALSE)</f>
        <v>118.49</v>
      </c>
      <c r="DL1026" s="356">
        <f t="shared" si="1830"/>
        <v>4.194261824609434E-2</v>
      </c>
      <c r="EC1026"/>
    </row>
    <row r="1027" spans="1:133" s="126" customFormat="1" ht="21" customHeight="1" thickBot="1" x14ac:dyDescent="0.45">
      <c r="A1027" s="235"/>
      <c r="B1027" s="236"/>
      <c r="C1027" s="236"/>
      <c r="D1027" s="236"/>
      <c r="E1027" s="236"/>
      <c r="F1027" s="236"/>
      <c r="G1027" s="237" t="s">
        <v>178</v>
      </c>
      <c r="H1027" s="238"/>
      <c r="I1027" s="239"/>
      <c r="J1027" s="240">
        <v>34543.54388867876</v>
      </c>
      <c r="K1027" s="240">
        <f t="shared" ca="1" si="1831"/>
        <v>212.51026692512309</v>
      </c>
      <c r="L1027" s="47"/>
      <c r="M1027" s="241">
        <f t="shared" ref="M1027" ca="1" si="1853">LN(K1027/K1026)</f>
        <v>8.037994068360009E-2</v>
      </c>
      <c r="N1027" s="241"/>
      <c r="O1027" s="241"/>
      <c r="P1027" s="242">
        <f t="shared" ca="1" si="1841"/>
        <v>7.3959549422864294E-4</v>
      </c>
      <c r="Q1027" s="61"/>
      <c r="R1027" s="387"/>
      <c r="S1027" s="206">
        <f ca="1">+S1026*EXP(T1027)</f>
        <v>119.99117277259154</v>
      </c>
      <c r="T1027" s="243">
        <f ca="1">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</f>
        <v>-1.0103611799535768E-2</v>
      </c>
      <c r="U1027" s="243"/>
      <c r="V1027" s="239">
        <v>48693.911264764043</v>
      </c>
      <c r="W1027" s="240">
        <f t="shared" si="1832"/>
        <v>382.66334982132844</v>
      </c>
      <c r="X1027" s="244">
        <f t="shared" ref="X1027" si="1854">LN(W1027/W1026)</f>
        <v>4.2203605250981227E-2</v>
      </c>
      <c r="Y1027" s="244">
        <f t="shared" si="1843"/>
        <v>3.8832569442538191E-4</v>
      </c>
      <c r="Z1027" s="206"/>
      <c r="AA1027" s="243"/>
      <c r="AB1027" s="243"/>
      <c r="AC1027" s="240">
        <f t="shared" si="1813"/>
        <v>38519.136633951566</v>
      </c>
      <c r="AD1027" s="243"/>
      <c r="AE1027" s="245">
        <v>2557.6795321256172</v>
      </c>
      <c r="AF1027" s="243">
        <v>8.6406990818381942E-3</v>
      </c>
      <c r="AG1027" s="242">
        <f t="shared" si="1833"/>
        <v>7.9505185666515154E-5</v>
      </c>
      <c r="AH1027" s="206"/>
      <c r="AI1027" s="243"/>
      <c r="AJ1027" s="239">
        <f t="shared" si="1809"/>
        <v>121756.59178739437</v>
      </c>
      <c r="AK1027" s="243">
        <f t="shared" si="1844"/>
        <v>-4.0458098809715709E-2</v>
      </c>
      <c r="AL1027" s="239"/>
      <c r="AM1027" s="243"/>
      <c r="AN1027" s="243"/>
      <c r="AO1027" s="243"/>
      <c r="AP1027" s="245">
        <f t="shared" si="1845"/>
        <v>377.04410879152488</v>
      </c>
      <c r="AQ1027" s="243"/>
      <c r="AR1027" s="207">
        <f t="shared" si="1834"/>
        <v>0.28370984586195602</v>
      </c>
      <c r="AS1027" s="207">
        <f t="shared" si="1835"/>
        <v>0.39992833693793811</v>
      </c>
      <c r="AT1027" s="207">
        <f t="shared" si="1836"/>
        <v>0.31636181720010587</v>
      </c>
      <c r="AU1027" s="207"/>
      <c r="AV1027" s="206"/>
      <c r="AW1027" s="243"/>
      <c r="AX1027" s="248">
        <f>+AJ1027/$AL$27</f>
        <v>9.2012445883720654E-3</v>
      </c>
      <c r="AY1027" s="249"/>
      <c r="AZ1027" s="206"/>
      <c r="BA1027" s="243"/>
      <c r="BB1027" s="250">
        <v>322924</v>
      </c>
      <c r="BC1027" s="270">
        <f t="shared" si="1768"/>
        <v>3.9530035619962482E-3</v>
      </c>
      <c r="BD1027" s="91"/>
      <c r="BE1027" s="306">
        <f t="shared" ref="BE1027:BE1090" si="1855">A1027</f>
        <v>0</v>
      </c>
      <c r="BF1027" s="307">
        <f t="shared" ref="BF1027:BF1090" si="1856">C1027</f>
        <v>0</v>
      </c>
      <c r="BG1027" s="308">
        <f t="shared" ref="BG1027:BG1090" si="1857">D1027</f>
        <v>0</v>
      </c>
      <c r="BH1027" s="308"/>
      <c r="BI1027" s="308" t="str">
        <f t="shared" ref="BI1027:BI1090" si="1858">G1027</f>
        <v>2022Y</v>
      </c>
      <c r="BJ1027" s="239"/>
      <c r="BK1027" s="239"/>
      <c r="BL1027" s="239"/>
      <c r="BM1027" s="239"/>
      <c r="BN1027" s="337"/>
      <c r="BO1027" s="308">
        <f t="shared" si="1850"/>
        <v>0</v>
      </c>
      <c r="BP1027" s="308">
        <f t="shared" si="1851"/>
        <v>0</v>
      </c>
      <c r="BQ1027" s="239"/>
      <c r="BR1027" s="239"/>
      <c r="BS1027" s="310"/>
      <c r="BT1027" s="310"/>
      <c r="BU1027" s="311"/>
      <c r="BV1027" s="207"/>
      <c r="BW1027" s="312"/>
      <c r="BX1027" s="312"/>
      <c r="BY1027" s="239"/>
      <c r="BZ1027" s="239"/>
      <c r="CA1027" s="239"/>
      <c r="CB1027" s="239"/>
      <c r="CC1027" s="245">
        <v>2022</v>
      </c>
      <c r="CD1027" s="239"/>
      <c r="CE1027" s="239"/>
      <c r="CF1027" s="239"/>
      <c r="CG1027" s="310"/>
      <c r="CH1027" s="239">
        <v>46598</v>
      </c>
      <c r="CI1027" s="313">
        <f t="shared" si="1823"/>
        <v>46598</v>
      </c>
      <c r="CJ1027" s="308">
        <f t="shared" si="1815"/>
        <v>45.205226957441241</v>
      </c>
      <c r="CK1027" s="443">
        <v>0.69230769230769229</v>
      </c>
      <c r="CL1027" s="239">
        <f>+CL1003*CK1027+CJ1004*CK1026+CJ1005*CK1025+CJ1006*CK1024+CJ1007*CK1023+CJ1008*CK1022+CJ1009*CK1021+CJ1010*CK1020+CJ1011*CK1019+CJ1012*CK1018+CJ1013*CK1017+CJ1014*CK1016+CJ1015*CK1015+CJ1016*CK1014+CJ1017*CK1013+CJ1018*CK1012+CJ1019*CK1011+CJ1020*CK1010+CJ1021*CK1009+CJ1022*CK1008+CJ1023*CK1007+CJ1024*CK1006+CJ1025*CK1005+CJ1026*CK1004+CJ1027*CK1003</f>
        <v>2236.8704807393651</v>
      </c>
      <c r="CM1027" s="243">
        <f t="shared" ref="CM1027" si="1859">LN(CL1027/CL1026)</f>
        <v>-2.1589481225380094E-2</v>
      </c>
      <c r="CN1027" s="249">
        <f t="shared" si="1817"/>
        <v>4.1135606997322091E-2</v>
      </c>
      <c r="CO1027" s="249">
        <f t="shared" si="1826"/>
        <v>1.7374033377085731E-2</v>
      </c>
      <c r="CP1027" s="243"/>
      <c r="CQ1027" s="249"/>
      <c r="CR1027" s="249"/>
      <c r="CS1027" s="248">
        <f t="shared" si="1827"/>
        <v>1.3527908231447894E-2</v>
      </c>
      <c r="CT1027" s="249">
        <f t="shared" si="1828"/>
        <v>0.10114668178709289</v>
      </c>
      <c r="CU1027" s="314">
        <f t="shared" si="1818"/>
        <v>0.90509623210000001</v>
      </c>
      <c r="CV1027" s="315">
        <f t="shared" si="1819"/>
        <v>1.2820512820512819</v>
      </c>
      <c r="CW1027" s="315">
        <f t="shared" si="1820"/>
        <v>0.35000000000000003</v>
      </c>
      <c r="CX1027" s="315">
        <f t="shared" si="1821"/>
        <v>0.79171095533705893</v>
      </c>
      <c r="CY1027" s="315">
        <f t="shared" si="1822"/>
        <v>0.35525491585637264</v>
      </c>
      <c r="CZ1027" s="316">
        <f>CZ1026</f>
        <v>0.25649666999999998</v>
      </c>
      <c r="DA1027" s="317">
        <v>0.37</v>
      </c>
      <c r="DB1027" s="318">
        <f t="shared" si="1825"/>
        <v>16.852312872035096</v>
      </c>
      <c r="DC1027" s="249">
        <f>LN(DB1027/DB1026)</f>
        <v>-0.36710992254749142</v>
      </c>
      <c r="DD1027" s="316">
        <v>0.04</v>
      </c>
      <c r="DE1027" s="319">
        <v>7.0000000000000001E-3</v>
      </c>
      <c r="DF1027" s="316">
        <v>1030.81</v>
      </c>
      <c r="DG1027" s="364">
        <f ca="1">VLOOKUP(CC1027,'ECI - Input Price'!M$13:N$33,2,FALSE)</f>
        <v>162.55000000000001</v>
      </c>
      <c r="DH1027" s="364"/>
      <c r="DI1027" s="364"/>
      <c r="DJ1027" s="249">
        <f t="shared" ca="1" si="1838"/>
        <v>3.3148751169364422E-2</v>
      </c>
      <c r="DK1027" s="310">
        <v>127.25</v>
      </c>
      <c r="DL1027" s="357">
        <f t="shared" si="1830"/>
        <v>7.1325086601983473E-2</v>
      </c>
      <c r="EC1027"/>
    </row>
    <row r="1028" spans="1:133" s="126" customFormat="1" ht="21" customHeight="1" x14ac:dyDescent="0.4">
      <c r="A1028" s="251" t="s">
        <v>244</v>
      </c>
      <c r="B1028" s="265" t="s">
        <v>244</v>
      </c>
      <c r="C1028" s="265">
        <v>4063023</v>
      </c>
      <c r="D1028" s="252" t="s">
        <v>218</v>
      </c>
      <c r="E1028" s="252" t="s">
        <v>15</v>
      </c>
      <c r="F1028" s="266"/>
      <c r="G1028" s="265" t="s">
        <v>150</v>
      </c>
      <c r="H1028" s="253">
        <v>1998</v>
      </c>
      <c r="I1028" s="254"/>
      <c r="J1028" s="255"/>
      <c r="K1028" s="255"/>
      <c r="L1028" s="47"/>
      <c r="M1028" s="255"/>
      <c r="N1028" s="255"/>
      <c r="O1028" s="255"/>
      <c r="P1028" s="219"/>
      <c r="Q1028" s="218"/>
      <c r="R1028" s="385"/>
      <c r="S1028" s="257"/>
      <c r="T1028" s="258"/>
      <c r="U1028" s="258"/>
      <c r="V1028" s="259"/>
      <c r="W1028" s="259"/>
      <c r="X1028" s="259"/>
      <c r="Y1028" s="255"/>
      <c r="Z1028" s="259"/>
      <c r="AA1028" s="259"/>
      <c r="AB1028" s="259"/>
      <c r="AC1028" s="255"/>
      <c r="AD1028" s="254"/>
      <c r="AE1028" s="260">
        <v>2134.8066542362935</v>
      </c>
      <c r="AF1028" s="256"/>
      <c r="AG1028" s="225"/>
      <c r="AH1028" s="256"/>
      <c r="AI1028" s="256"/>
      <c r="AJ1028" s="254">
        <f t="shared" si="1809"/>
        <v>0</v>
      </c>
      <c r="AK1028" s="254"/>
      <c r="AL1028" s="254"/>
      <c r="AM1028" s="256"/>
      <c r="AN1028" s="256"/>
      <c r="AO1028" s="256"/>
      <c r="AP1028" s="226">
        <f>+(AP1025+AP1026+AP1027)/3</f>
        <v>365.36452006642912</v>
      </c>
      <c r="AQ1028" s="256"/>
      <c r="AR1028" s="261"/>
      <c r="AS1028" s="261"/>
      <c r="AT1028" s="261"/>
      <c r="AU1028" s="261"/>
      <c r="AV1028" s="261"/>
      <c r="AW1028" s="256">
        <f ca="1">AVERAGE(AW1037:AW1051)</f>
        <v>3.8190541266162843E-2</v>
      </c>
      <c r="AX1028" s="223"/>
      <c r="AY1028" s="261"/>
      <c r="AZ1028" s="261"/>
      <c r="BA1028" s="261"/>
      <c r="BB1028" s="262">
        <f>IFERROR(INDEX('Total Customers'!$E$7:$AA$91,MATCH($C1028,'Total Customers'!$C$7:$C$91,0),MATCH($G1028,'Total Customers'!$E$5:$AA$5,0)),"NA")</f>
        <v>274696</v>
      </c>
      <c r="BC1028" s="268"/>
      <c r="BD1028" s="92"/>
      <c r="BE1028" s="320" t="str">
        <f t="shared" si="1855"/>
        <v>SOUTH JERSEY GAS COMPANY</v>
      </c>
      <c r="BF1028" s="321">
        <f t="shared" si="1856"/>
        <v>4063023</v>
      </c>
      <c r="BG1028" s="322" t="str">
        <f t="shared" si="1857"/>
        <v>NJ</v>
      </c>
      <c r="BH1028" s="322"/>
      <c r="BI1028" s="322" t="str">
        <f t="shared" si="1858"/>
        <v>1998 Y</v>
      </c>
      <c r="BJ1028" s="254">
        <f>INDEX('Gross Dx Plant'!$D$7:$AC$91,MATCH($C1028,'Gross Dx Plant'!$C$7:$C$91,0),MATCH(Calculation!$G1028,'Gross Dx Plant'!$D$5:$AC$5,0))</f>
        <v>549557</v>
      </c>
      <c r="BK1028" s="254">
        <f>INDEX('Gross Gen Plant'!$D$7:$AC$91,MATCH($C1028,'Gross Gen Plant'!$C$7:$C$91,0),MATCH(Calculation!$G1028,'Gross Gen Plant'!$D$5:$AC$5,0))</f>
        <v>29087</v>
      </c>
      <c r="BL1028" s="254">
        <f>INDEX('Dist. Plant Gas Additions'!$E$7:$AD$91,MATCH($C1028,'Dist. Plant Gas Additions'!$C$7:$C$91,0),MATCH(Calculation!$G1028,'Dist. Plant Gas Additions'!$E$5:$AD$5,0))</f>
        <v>36447</v>
      </c>
      <c r="BM1028" s="254">
        <f>INDEX('Gen. Plant Additions'!$E$7:$AD$91,MATCH($C1028,'Gen. Plant Additions'!$C$7:$C$91,0),MATCH(Calculation!$G1028,'Gen. Plant Additions'!$E$5:$AD$5,0))</f>
        <v>7220</v>
      </c>
      <c r="BN1028" s="338">
        <f>+(BY1028/(BY1028+BZ1028))</f>
        <v>0.94973247800029037</v>
      </c>
      <c r="BO1028" s="322">
        <f t="shared" si="1850"/>
        <v>6857.0684911620965</v>
      </c>
      <c r="BP1028" s="322">
        <f t="shared" si="1851"/>
        <v>-362.93150883790349</v>
      </c>
      <c r="BQ1028" s="254">
        <f>INDEX('Dist Plant Depreciation'!$D$7:$AC$94,MATCH($C1028,'Dist Plant Depreciation'!$C$7:$C$94,0),MATCH(Calculation!$G1028,'Dist Plant Depreciation'!$D$5:$AC$5,0))</f>
        <v>139892</v>
      </c>
      <c r="BR1028" s="254">
        <f>INDEX('Gen. Plant Depreciation'!$D$7:$AC$94,MATCH($C1028,'Gen. Plant Depreciation'!$C$7:$C$94,0),MATCH(Calculation!$G1028,'Gen. Plant Depreciation'!$D$5:$AC$5,0))</f>
        <v>8120</v>
      </c>
      <c r="BS1028" s="254"/>
      <c r="BT1028" s="254"/>
      <c r="BU1028" s="254"/>
      <c r="BV1028" s="254"/>
      <c r="BW1028" s="254"/>
      <c r="BX1028" s="323"/>
      <c r="BY1028" s="254">
        <f>INDEX('Gross Dx Plant'!$D$7:$AC$91,MATCH($C1028,'Gross Dx Plant'!$C$7:$C$91,0),MATCH(Calculation!$G1028,'Gross Dx Plant'!$D$5:$AC$5,0))</f>
        <v>549557</v>
      </c>
      <c r="BZ1028" s="254">
        <f>INDEX('Gross Gen Plant'!$D$7:$AC$91,MATCH($C1028,'Gross Gen Plant'!$C$7:$C$91,0),MATCH(Calculation!$G1028,'Gross Gen Plant'!$D$5:$AC$5,0))</f>
        <v>29087</v>
      </c>
      <c r="CA1028" s="254">
        <f t="shared" si="1852"/>
        <v>430632</v>
      </c>
      <c r="CB1028" s="254"/>
      <c r="CC1028" s="260">
        <v>1998</v>
      </c>
      <c r="CD1028" s="254">
        <f>BJ1028+BK1028</f>
        <v>578644</v>
      </c>
      <c r="CE1028" s="254">
        <f>139892+8120</f>
        <v>148012</v>
      </c>
      <c r="CF1028" s="254">
        <f>+CD1028-CE1028</f>
        <v>430632</v>
      </c>
      <c r="CG1028" s="254">
        <f>CF1028/$BX$3</f>
        <v>2134.8066542362935</v>
      </c>
      <c r="CH1028" s="323"/>
      <c r="CI1028" s="344"/>
      <c r="CJ1028" s="344"/>
      <c r="CK1028" s="443">
        <v>1</v>
      </c>
      <c r="CL1028" s="254">
        <f>+CG1028</f>
        <v>2134.8066542362935</v>
      </c>
      <c r="CM1028" s="256"/>
      <c r="CN1028" s="325"/>
      <c r="CO1028" s="325"/>
      <c r="CP1028" s="256" t="e">
        <f>VLOOKUP($H1028,RoR!$E:$F,2,FALSE)</f>
        <v>#N/A</v>
      </c>
      <c r="CQ1028" s="325">
        <v>1.1028127770464469E-2</v>
      </c>
      <c r="CR1028" s="325"/>
      <c r="CS1028" s="325"/>
      <c r="CT1028" s="325"/>
      <c r="CU1028" s="327"/>
      <c r="CV1028" s="331" t="e">
        <f>2/(DD1028*39)</f>
        <v>#N/A</v>
      </c>
      <c r="CW1028" s="328" t="e">
        <f>+(DD1028*40-(1+DD1028))/(DD1028*40)</f>
        <v>#N/A</v>
      </c>
      <c r="CX1028" s="328" t="e">
        <f>+(1-(1/(1+DD1028)^40))</f>
        <v>#N/A</v>
      </c>
      <c r="CY1028" s="328" t="e">
        <f>+CX1028*CW1028*CV1028</f>
        <v>#N/A</v>
      </c>
      <c r="CZ1028" s="329">
        <f>INDEX('State Tax Lookup'!$D$7:$Z$91,MATCH(Calculation!$C1028,'State Tax Lookup'!$B$7:$B$91,0),MATCH($H1028,'State Tax Lookup'!$D$6:$Z$6,0))</f>
        <v>0.40849999999999997</v>
      </c>
      <c r="DA1028" s="330">
        <v>0.37</v>
      </c>
      <c r="DB1028" s="344"/>
      <c r="DC1028" s="326"/>
      <c r="DD1028" s="351" t="e">
        <f>VLOOKUP($H1028,RoR!$E:$F,2,FALSE)</f>
        <v>#N/A</v>
      </c>
      <c r="DE1028" s="354">
        <f>HLOOKUP($H1028,'GDP-PI'!$D$8:$CQ$11,3,FALSE)</f>
        <v>1.1028127770464469E-2</v>
      </c>
      <c r="DF1028" s="351">
        <f>VLOOKUP(H1028,'HW Dx Data'!$E:$F,2,FALSE)</f>
        <v>329.24564746449528</v>
      </c>
      <c r="DG1028" s="330"/>
      <c r="DH1028" s="330"/>
      <c r="DI1028" s="330"/>
      <c r="DJ1028" s="326"/>
      <c r="DK1028" s="344">
        <f>HLOOKUP(H1028,'GDP-PI'!$8:$9,2,FALSE)</f>
        <v>75.266999999999996</v>
      </c>
      <c r="DL1028" s="292"/>
      <c r="EC1028"/>
    </row>
    <row r="1029" spans="1:133" s="126" customFormat="1" ht="21" customHeight="1" x14ac:dyDescent="0.4">
      <c r="A1029" s="233" t="s">
        <v>244</v>
      </c>
      <c r="B1029" s="126" t="s">
        <v>244</v>
      </c>
      <c r="C1029" s="126">
        <v>4063023</v>
      </c>
      <c r="D1029" s="127" t="s">
        <v>218</v>
      </c>
      <c r="E1029" s="127" t="s">
        <v>15</v>
      </c>
      <c r="F1029" s="144"/>
      <c r="G1029" s="126" t="s">
        <v>155</v>
      </c>
      <c r="H1029" s="128">
        <v>1999</v>
      </c>
      <c r="I1029" s="129"/>
      <c r="J1029" s="125"/>
      <c r="K1029" s="129"/>
      <c r="L1029" s="47"/>
      <c r="M1029" s="129"/>
      <c r="N1029" s="129"/>
      <c r="O1029" s="129"/>
      <c r="P1029" s="47"/>
      <c r="Q1029" s="47"/>
      <c r="R1029" s="386"/>
      <c r="S1029" s="119"/>
      <c r="T1029" s="47"/>
      <c r="U1029" s="46"/>
      <c r="V1029" s="135"/>
      <c r="W1029" s="135"/>
      <c r="X1029" s="135"/>
      <c r="Y1029" s="143"/>
      <c r="Z1029" s="135"/>
      <c r="AA1029" s="135"/>
      <c r="AB1029" s="135"/>
      <c r="AC1029" s="125">
        <f t="shared" ref="AC1029:AC1052" si="1860">+CL1028*DB1029</f>
        <v>0</v>
      </c>
      <c r="AD1029" s="129"/>
      <c r="AE1029" s="133">
        <v>2247.1351062066201</v>
      </c>
      <c r="AF1029" s="134">
        <v>5.128003626528771E-2</v>
      </c>
      <c r="AG1029" s="61"/>
      <c r="AH1029" s="134"/>
      <c r="AI1029" s="134"/>
      <c r="AJ1029" s="129">
        <f t="shared" si="1809"/>
        <v>0</v>
      </c>
      <c r="AK1029" s="134"/>
      <c r="AL1029" s="129"/>
      <c r="AM1029" s="134"/>
      <c r="AN1029" s="134"/>
      <c r="AO1029" s="134"/>
      <c r="AP1029" s="133"/>
      <c r="AQ1029" s="134"/>
      <c r="AR1029" s="93"/>
      <c r="AS1029" s="93"/>
      <c r="AT1029" s="93"/>
      <c r="AU1029" s="93"/>
      <c r="AV1029" s="93"/>
      <c r="AW1029" s="134"/>
      <c r="AX1029" s="62"/>
      <c r="AY1029" s="93"/>
      <c r="AZ1029" s="93"/>
      <c r="BA1029" s="93"/>
      <c r="BB1029" s="234">
        <f>IFERROR(INDEX('Total Customers'!$E$7:$AA$91,MATCH($C1029,'Total Customers'!$C$7:$C$91,0),MATCH($G1029,'Total Customers'!$E$5:$AA$5,0)),"NA")</f>
        <v>270524</v>
      </c>
      <c r="BC1029" s="269">
        <f t="shared" ref="BC1029:BC1091" si="1861">LN(BB1029/BB1028)</f>
        <v>-1.5304212720721008E-2</v>
      </c>
      <c r="BD1029" s="92"/>
      <c r="BE1029" s="299" t="str">
        <f t="shared" si="1855"/>
        <v>SOUTH JERSEY GAS COMPANY</v>
      </c>
      <c r="BF1029" s="300">
        <f t="shared" si="1856"/>
        <v>4063023</v>
      </c>
      <c r="BG1029" s="231" t="str">
        <f t="shared" si="1857"/>
        <v>NJ</v>
      </c>
      <c r="BH1029" s="231"/>
      <c r="BI1029" s="231" t="str">
        <f t="shared" si="1858"/>
        <v>1999 Y</v>
      </c>
      <c r="BJ1029" s="129"/>
      <c r="BK1029" s="129"/>
      <c r="BL1029" s="129">
        <f>INDEX('Dist. Plant Gas Additions'!$E$7:$AD$91,MATCH($C1029,'Dist. Plant Gas Additions'!$C$7:$C$91,0),MATCH(Calculation!$G1029,'Dist. Plant Gas Additions'!$E$5:$AD$5,0))</f>
        <v>35223</v>
      </c>
      <c r="BM1029" s="129">
        <f>INDEX('Gen. Plant Additions'!$E$7:$AD$91,MATCH($C1029,'Gen. Plant Additions'!$C$7:$C$91,0),MATCH(Calculation!$G1029,'Gen. Plant Additions'!$E$5:$AD$5,0))</f>
        <v>6005</v>
      </c>
      <c r="BN1029" s="301">
        <f t="shared" ref="BN1029:BN1049" si="1862">+(BY1029/(BY1029+BZ1029))</f>
        <v>0.95228564396859572</v>
      </c>
      <c r="BO1029" s="231">
        <f t="shared" si="1850"/>
        <v>5718.4752920314177</v>
      </c>
      <c r="BP1029" s="231">
        <f t="shared" si="1851"/>
        <v>-286.52470796858233</v>
      </c>
      <c r="BQ1029" s="129">
        <f>INDEX('Dist Plant Depreciation'!$D$7:$AC$94,MATCH($C1029,'Dist Plant Depreciation'!$C$7:$C$94,0),MATCH(Calculation!$G1029,'Dist Plant Depreciation'!$D$5:$AC$5,0))</f>
        <v>150323</v>
      </c>
      <c r="BR1029" s="129">
        <f>INDEX('Gen. Plant Depreciation'!$D$7:$AC$94,MATCH($C1029,'Gen. Plant Depreciation'!$C$7:$C$94,0),MATCH(Calculation!$G1029,'Gen. Plant Depreciation'!$D$5:$AC$5,0))</f>
        <v>7896</v>
      </c>
      <c r="BS1029" s="129"/>
      <c r="BT1029" s="129"/>
      <c r="BU1029" s="129"/>
      <c r="BV1029" s="129"/>
      <c r="BW1029" s="129"/>
      <c r="BX1029" s="137"/>
      <c r="BY1029" s="129">
        <f>INDEX('Gross Dx Plant'!$D$7:$AC$91,MATCH($C1029,'Gross Dx Plant'!$C$7:$C$91,0),MATCH(Calculation!$G1029,'Gross Dx Plant'!$D$5:$AC$5,0))</f>
        <v>584272</v>
      </c>
      <c r="BZ1029" s="129">
        <f>INDEX('Gross Gen Plant'!$D$7:$AC$91,MATCH($C1029,'Gross Gen Plant'!$C$7:$C$91,0),MATCH(Calculation!$G1029,'Gross Gen Plant'!$D$5:$AC$5,0))</f>
        <v>29275</v>
      </c>
      <c r="CA1029" s="129">
        <f t="shared" si="1852"/>
        <v>455328</v>
      </c>
      <c r="CB1029" s="129"/>
      <c r="CC1029" s="133">
        <v>1999</v>
      </c>
      <c r="CD1029" s="129"/>
      <c r="CE1029" s="129"/>
      <c r="CF1029" s="129"/>
      <c r="CG1029" s="137"/>
      <c r="CH1029" s="129">
        <f t="shared" ref="CH1029:CH1049" si="1863">+BM1029+BL1029</f>
        <v>41228</v>
      </c>
      <c r="CI1029" s="46">
        <f>+CH1029+BP1029</f>
        <v>40941.47529203142</v>
      </c>
      <c r="CJ1029" s="231">
        <f t="shared" ref="CJ1029:CJ1052" si="1864">+CI1029/$DF1029</f>
        <v>122.09491190304263</v>
      </c>
      <c r="CK1029" s="443">
        <v>0.99009900990099009</v>
      </c>
      <c r="CL1029" s="231">
        <f>+CL1028*CK1029+CJ1029</f>
        <v>2235.7648665924421</v>
      </c>
      <c r="CM1029" s="134">
        <f t="shared" ref="CM1029:CM1050" si="1865">LN(CL1029/CL1028)</f>
        <v>4.6207309206788387E-2</v>
      </c>
      <c r="CN1029" s="135">
        <f t="shared" ref="CN1029:CN1052" si="1866">+(CL1028-CL1029+CJ1029)/CL1028</f>
        <v>9.9009900990099271E-3</v>
      </c>
      <c r="CO1029" s="135"/>
      <c r="CP1029" s="134">
        <f>VLOOKUP($H1029,RoR!$E:$F,2,FALSE)</f>
        <v>7.0416666666666669E-2</v>
      </c>
      <c r="CQ1029" s="135">
        <v>1.4335631817396832E-2</v>
      </c>
      <c r="CR1029" s="135">
        <f>+CP1029-CQ1029</f>
        <v>5.6081034849269837E-2</v>
      </c>
      <c r="CS1029" s="135"/>
      <c r="CT1029" s="135"/>
      <c r="CU1029" s="139">
        <f t="shared" ref="CU1029:CU1052" si="1867">1-CZ1029*DA1029</f>
        <v>0.84885500000000003</v>
      </c>
      <c r="CV1029" s="335">
        <f t="shared" ref="CV1029:CV1052" si="1868">2/(DD1029*39)</f>
        <v>0.72826581702321336</v>
      </c>
      <c r="CW1029" s="335">
        <f t="shared" ref="CW1029:CW1052" si="1869">+(DD1029*40-(1+DD1029))/(DD1029*40)</f>
        <v>0.61997041420118348</v>
      </c>
      <c r="CX1029" s="335">
        <f t="shared" ref="CX1029:CX1052" si="1870">+(1-(1/(1+DD1029)^40))</f>
        <v>0.93425155319585029</v>
      </c>
      <c r="CY1029" s="335">
        <f t="shared" ref="CY1029:CY1052" si="1871">+CX1029*CW1029*CV1029</f>
        <v>0.42181762214141483</v>
      </c>
      <c r="CZ1029" s="336">
        <f>INDEX('State Tax Lookup'!$D$7:$Z$91,MATCH(Calculation!$C1029,'State Tax Lookup'!$B$7:$B$91,0),MATCH($H1029,'State Tax Lookup'!$D$6:$Z$6,0))</f>
        <v>0.40849999999999997</v>
      </c>
      <c r="DA1029" s="302">
        <v>0.37</v>
      </c>
      <c r="DB1029" s="57"/>
      <c r="DC1029" s="56"/>
      <c r="DD1029" s="303">
        <f>VLOOKUP($H1029,RoR!$E:$F,2,FALSE)</f>
        <v>7.0416666666666669E-2</v>
      </c>
      <c r="DE1029" s="304">
        <f>HLOOKUP($H1029,'GDP-PI'!$D$8:$CQ$11,3,FALSE)</f>
        <v>1.4335631817396832E-2</v>
      </c>
      <c r="DF1029" s="303">
        <f>VLOOKUP(H1029,'HW Dx Data'!$E:$F,2,FALSE)</f>
        <v>335.32499146683239</v>
      </c>
      <c r="DG1029" s="364"/>
      <c r="DH1029" s="364"/>
      <c r="DI1029" s="364"/>
      <c r="DJ1029" s="56"/>
      <c r="DK1029" s="53">
        <f>HLOOKUP(H1029,'GDP-PI'!$8:$9,2,FALSE)</f>
        <v>76.346000000000004</v>
      </c>
      <c r="DL1029" s="298"/>
      <c r="EC1029"/>
    </row>
    <row r="1030" spans="1:133" s="126" customFormat="1" ht="21" customHeight="1" x14ac:dyDescent="0.4">
      <c r="A1030" s="233" t="s">
        <v>244</v>
      </c>
      <c r="B1030" s="126" t="s">
        <v>244</v>
      </c>
      <c r="C1030" s="126">
        <v>4063023</v>
      </c>
      <c r="D1030" s="127" t="s">
        <v>218</v>
      </c>
      <c r="E1030" s="127" t="s">
        <v>15</v>
      </c>
      <c r="F1030" s="144"/>
      <c r="G1030" s="126" t="s">
        <v>156</v>
      </c>
      <c r="H1030" s="128">
        <v>2000</v>
      </c>
      <c r="I1030" s="129"/>
      <c r="J1030" s="125"/>
      <c r="K1030" s="125"/>
      <c r="L1030" s="47"/>
      <c r="M1030" s="125"/>
      <c r="N1030" s="125"/>
      <c r="O1030" s="125"/>
      <c r="P1030" s="47"/>
      <c r="Q1030" s="47"/>
      <c r="R1030" s="386"/>
      <c r="S1030" s="119"/>
      <c r="T1030" s="47"/>
      <c r="U1030" s="47"/>
      <c r="V1030" s="125"/>
      <c r="W1030" s="125"/>
      <c r="X1030" s="125"/>
      <c r="Y1030" s="125"/>
      <c r="Z1030" s="125"/>
      <c r="AA1030" s="125"/>
      <c r="AB1030" s="125"/>
      <c r="AC1030" s="125">
        <f t="shared" si="1860"/>
        <v>0</v>
      </c>
      <c r="AD1030" s="129"/>
      <c r="AE1030" s="133">
        <v>2367.5504848287942</v>
      </c>
      <c r="AF1030" s="134">
        <v>5.21997511916652E-2</v>
      </c>
      <c r="AG1030" s="61"/>
      <c r="AH1030" s="134"/>
      <c r="AI1030" s="134"/>
      <c r="AJ1030" s="129">
        <f t="shared" si="1809"/>
        <v>0</v>
      </c>
      <c r="AK1030" s="134"/>
      <c r="AL1030" s="129"/>
      <c r="AM1030" s="129"/>
      <c r="AN1030" s="129"/>
      <c r="AO1030" s="129"/>
      <c r="AP1030" s="133"/>
      <c r="AQ1030" s="134"/>
      <c r="AR1030" s="93"/>
      <c r="AS1030" s="93"/>
      <c r="AT1030" s="93"/>
      <c r="AU1030" s="93"/>
      <c r="AV1030" s="93"/>
      <c r="AW1030" s="134"/>
      <c r="AX1030" s="62"/>
      <c r="AY1030" s="93"/>
      <c r="AZ1030" s="93"/>
      <c r="BA1030" s="93"/>
      <c r="BB1030" s="234">
        <f>IFERROR(INDEX('Total Customers'!$E$7:$AA$91,MATCH($C1030,'Total Customers'!$C$7:$C$91,0),MATCH($G1030,'Total Customers'!$E$5:$AA$5,0)),"NA")</f>
        <v>329912</v>
      </c>
      <c r="BC1030" s="269">
        <f t="shared" si="1861"/>
        <v>0.19846513329713486</v>
      </c>
      <c r="BD1030" s="92"/>
      <c r="BE1030" s="299" t="str">
        <f t="shared" si="1855"/>
        <v>SOUTH JERSEY GAS COMPANY</v>
      </c>
      <c r="BF1030" s="300">
        <f t="shared" si="1856"/>
        <v>4063023</v>
      </c>
      <c r="BG1030" s="231" t="str">
        <f t="shared" si="1857"/>
        <v>NJ</v>
      </c>
      <c r="BH1030" s="231"/>
      <c r="BI1030" s="231" t="str">
        <f t="shared" si="1858"/>
        <v>2000 Y</v>
      </c>
      <c r="BJ1030" s="129"/>
      <c r="BK1030" s="129"/>
      <c r="BL1030" s="129">
        <f>INDEX('Dist. Plant Gas Additions'!$E$7:$AD$91,MATCH($C1030,'Dist. Plant Gas Additions'!$C$7:$C$91,0),MATCH(Calculation!$G1030,'Dist. Plant Gas Additions'!$E$5:$AD$5,0))</f>
        <v>38416</v>
      </c>
      <c r="BM1030" s="129">
        <f>INDEX('Gen. Plant Additions'!$E$7:$AD$91,MATCH($C1030,'Gen. Plant Additions'!$C$7:$C$91,0),MATCH(Calculation!$G1030,'Gen. Plant Additions'!$E$5:$AD$5,0))</f>
        <v>7316</v>
      </c>
      <c r="BN1030" s="301">
        <f t="shared" si="1862"/>
        <v>0.95109229399303219</v>
      </c>
      <c r="BO1030" s="231">
        <f t="shared" si="1850"/>
        <v>6958.1912228530236</v>
      </c>
      <c r="BP1030" s="231">
        <f t="shared" si="1851"/>
        <v>-357.80877714697635</v>
      </c>
      <c r="BQ1030" s="129">
        <f>INDEX('Dist Plant Depreciation'!$D$7:$AC$94,MATCH($C1030,'Dist Plant Depreciation'!$C$7:$C$94,0),MATCH(Calculation!$G1030,'Dist Plant Depreciation'!$D$5:$AC$5,0))</f>
        <v>162149</v>
      </c>
      <c r="BR1030" s="129">
        <f>INDEX('Gen. Plant Depreciation'!$D$7:$AC$94,MATCH($C1030,'Gen. Plant Depreciation'!$C$7:$C$94,0),MATCH(Calculation!$G1030,'Gen. Plant Depreciation'!$D$5:$AC$5,0))</f>
        <v>9263</v>
      </c>
      <c r="BS1030" s="129"/>
      <c r="BT1030" s="129"/>
      <c r="BU1030" s="129"/>
      <c r="BV1030" s="129"/>
      <c r="BW1030" s="129"/>
      <c r="BX1030" s="137"/>
      <c r="BY1030" s="129">
        <f>INDEX('Gross Dx Plant'!$D$7:$AC$91,MATCH($C1030,'Gross Dx Plant'!$C$7:$C$91,0),MATCH(Calculation!$G1030,'Gross Dx Plant'!$D$5:$AC$5,0))</f>
        <v>622702</v>
      </c>
      <c r="BZ1030" s="129">
        <f>INDEX('Gross Gen Plant'!$D$7:$AC$91,MATCH($C1030,'Gross Gen Plant'!$C$7:$C$91,0),MATCH(Calculation!$G1030,'Gross Gen Plant'!$D$5:$AC$5,0))</f>
        <v>32021</v>
      </c>
      <c r="CA1030" s="129">
        <f t="shared" si="1852"/>
        <v>483311</v>
      </c>
      <c r="CB1030" s="129"/>
      <c r="CC1030" s="133">
        <v>2000</v>
      </c>
      <c r="CD1030" s="129"/>
      <c r="CE1030" s="129"/>
      <c r="CF1030" s="129"/>
      <c r="CG1030" s="137"/>
      <c r="CH1030" s="129">
        <f t="shared" si="1863"/>
        <v>45732</v>
      </c>
      <c r="CI1030" s="46">
        <f t="shared" ref="CI1030:CI1052" si="1872">+CH1030+BP1030</f>
        <v>45374.191222853027</v>
      </c>
      <c r="CJ1030" s="231">
        <f t="shared" si="1864"/>
        <v>130.93730534534851</v>
      </c>
      <c r="CK1030" s="443">
        <v>0.98</v>
      </c>
      <c r="CL1030" s="231">
        <f>+CL1028*CK1030+CJ1029*CK1029+CJ1030</f>
        <v>2343.9338778860674</v>
      </c>
      <c r="CM1030" s="134">
        <f t="shared" si="1865"/>
        <v>4.7247270514020202E-2</v>
      </c>
      <c r="CN1030" s="135">
        <f t="shared" si="1866"/>
        <v>1.0183671097052633E-2</v>
      </c>
      <c r="CO1030" s="135"/>
      <c r="CP1030" s="134">
        <f>VLOOKUP($H1030,RoR!$E:$F,2,FALSE)</f>
        <v>7.6225000000000001E-2</v>
      </c>
      <c r="CQ1030" s="135">
        <v>2.2568307442433211E-2</v>
      </c>
      <c r="CR1030" s="135">
        <f t="shared" ref="CR1030:CR1050" si="1873">+CP1030-CQ1030</f>
        <v>5.365669255756679E-2</v>
      </c>
      <c r="CS1030" s="135"/>
      <c r="CT1030" s="135"/>
      <c r="CU1030" s="139">
        <f t="shared" si="1867"/>
        <v>0.84885500000000003</v>
      </c>
      <c r="CV1030" s="335">
        <f t="shared" si="1868"/>
        <v>0.67277207323124022</v>
      </c>
      <c r="CW1030" s="335">
        <f t="shared" si="1869"/>
        <v>0.6470236142997704</v>
      </c>
      <c r="CX1030" s="335">
        <f t="shared" si="1870"/>
        <v>0.94704866037543145</v>
      </c>
      <c r="CY1030" s="335">
        <f t="shared" si="1871"/>
        <v>0.41224973107878493</v>
      </c>
      <c r="CZ1030" s="336">
        <f>INDEX('State Tax Lookup'!$D$7:$Z$91,MATCH(Calculation!$C1030,'State Tax Lookup'!$B$7:$B$91,0),MATCH($H1030,'State Tax Lookup'!$D$6:$Z$6,0))</f>
        <v>0.40849999999999997</v>
      </c>
      <c r="DA1030" s="302">
        <v>0.37</v>
      </c>
      <c r="DB1030" s="57"/>
      <c r="DC1030" s="56"/>
      <c r="DD1030" s="303">
        <f>VLOOKUP($H1030,RoR!$E:$F,2,FALSE)</f>
        <v>7.6225000000000001E-2</v>
      </c>
      <c r="DE1030" s="304">
        <f>HLOOKUP($H1030,'GDP-PI'!$D$8:$CQ$11,3,FALSE)</f>
        <v>2.2568307442433211E-2</v>
      </c>
      <c r="DF1030" s="303">
        <f>VLOOKUP(H1030,'HW Dx Data'!$E:$F,2,FALSE)</f>
        <v>346.53371782150339</v>
      </c>
      <c r="DG1030" s="364"/>
      <c r="DH1030" s="364"/>
      <c r="DI1030" s="364"/>
      <c r="DJ1030" s="56"/>
      <c r="DK1030" s="53">
        <f>HLOOKUP(H1030,'GDP-PI'!$8:$9,2,FALSE)</f>
        <v>78.069000000000003</v>
      </c>
      <c r="DL1030" s="298"/>
      <c r="EC1030"/>
    </row>
    <row r="1031" spans="1:133" s="126" customFormat="1" ht="21" customHeight="1" x14ac:dyDescent="0.4">
      <c r="A1031" s="233" t="s">
        <v>244</v>
      </c>
      <c r="B1031" s="126" t="s">
        <v>244</v>
      </c>
      <c r="C1031" s="126">
        <v>4063023</v>
      </c>
      <c r="D1031" s="127" t="s">
        <v>218</v>
      </c>
      <c r="E1031" s="127" t="s">
        <v>15</v>
      </c>
      <c r="F1031" s="144"/>
      <c r="G1031" s="126" t="s">
        <v>157</v>
      </c>
      <c r="H1031" s="128">
        <v>2001</v>
      </c>
      <c r="I1031" s="129"/>
      <c r="J1031" s="125"/>
      <c r="K1031" s="125"/>
      <c r="L1031" s="47"/>
      <c r="M1031" s="125"/>
      <c r="N1031" s="125"/>
      <c r="O1031" s="125"/>
      <c r="P1031" s="47"/>
      <c r="Q1031" s="47"/>
      <c r="R1031" s="386"/>
      <c r="S1031" s="119"/>
      <c r="T1031" s="47"/>
      <c r="U1031" s="47"/>
      <c r="V1031" s="125"/>
      <c r="W1031" s="125"/>
      <c r="X1031" s="125"/>
      <c r="Y1031" s="125"/>
      <c r="Z1031" s="125"/>
      <c r="AA1031" s="125"/>
      <c r="AB1031" s="125"/>
      <c r="AC1031" s="125">
        <f t="shared" si="1860"/>
        <v>24772.147486095659</v>
      </c>
      <c r="AD1031" s="129"/>
      <c r="AE1031" s="133">
        <v>2480.3297835424942</v>
      </c>
      <c r="AF1031" s="134">
        <v>4.6535658611026785E-2</v>
      </c>
      <c r="AG1031" s="61"/>
      <c r="AH1031" s="134"/>
      <c r="AI1031" s="134"/>
      <c r="AJ1031" s="129">
        <f t="shared" si="1809"/>
        <v>24772.147486095659</v>
      </c>
      <c r="AK1031" s="134"/>
      <c r="AL1031" s="129"/>
      <c r="AM1031" s="129"/>
      <c r="AN1031" s="129"/>
      <c r="AO1031" s="129"/>
      <c r="AP1031" s="133"/>
      <c r="AQ1031" s="134"/>
      <c r="AR1031" s="93"/>
      <c r="AS1031" s="93"/>
      <c r="AT1031" s="93"/>
      <c r="AU1031" s="93"/>
      <c r="AV1031" s="93"/>
      <c r="AW1031" s="134"/>
      <c r="AX1031" s="62"/>
      <c r="AY1031" s="93"/>
      <c r="AZ1031" s="93"/>
      <c r="BA1031" s="93"/>
      <c r="BB1031" s="234">
        <f>IFERROR(INDEX('Total Customers'!$E$7:$AA$91,MATCH($C1031,'Total Customers'!$C$7:$C$91,0),MATCH($G1031,'Total Customers'!$E$5:$AA$5,0)),"NA")</f>
        <v>330278</v>
      </c>
      <c r="BC1031" s="269">
        <f t="shared" si="1861"/>
        <v>1.10877183082437E-3</v>
      </c>
      <c r="BD1031" s="92"/>
      <c r="BE1031" s="299" t="str">
        <f t="shared" si="1855"/>
        <v>SOUTH JERSEY GAS COMPANY</v>
      </c>
      <c r="BF1031" s="300">
        <f t="shared" si="1856"/>
        <v>4063023</v>
      </c>
      <c r="BG1031" s="231" t="str">
        <f t="shared" si="1857"/>
        <v>NJ</v>
      </c>
      <c r="BH1031" s="231"/>
      <c r="BI1031" s="231" t="str">
        <f t="shared" si="1858"/>
        <v>2001 Y</v>
      </c>
      <c r="BJ1031" s="129"/>
      <c r="BK1031" s="129"/>
      <c r="BL1031" s="129">
        <f>INDEX('Dist. Plant Gas Additions'!$E$7:$AD$91,MATCH($C1031,'Dist. Plant Gas Additions'!$C$7:$C$91,0),MATCH(Calculation!$G1031,'Dist. Plant Gas Additions'!$E$5:$AD$5,0))</f>
        <v>36892</v>
      </c>
      <c r="BM1031" s="129">
        <f>INDEX('Gen. Plant Additions'!$E$7:$AD$91,MATCH($C1031,'Gen. Plant Additions'!$C$7:$C$91,0),MATCH(Calculation!$G1031,'Gen. Plant Additions'!$E$5:$AD$5,0))</f>
        <v>7179</v>
      </c>
      <c r="BN1031" s="301">
        <f t="shared" si="1862"/>
        <v>0.95285522454578608</v>
      </c>
      <c r="BO1031" s="231">
        <f t="shared" si="1850"/>
        <v>6840.5476570141982</v>
      </c>
      <c r="BP1031" s="231">
        <f t="shared" si="1851"/>
        <v>-338.45234298580181</v>
      </c>
      <c r="BQ1031" s="129">
        <f>INDEX('Dist Plant Depreciation'!$D$7:$AC$94,MATCH($C1031,'Dist Plant Depreciation'!$C$7:$C$94,0),MATCH(Calculation!$G1031,'Dist Plant Depreciation'!$D$5:$AC$5,0))</f>
        <v>172896</v>
      </c>
      <c r="BR1031" s="129">
        <f>INDEX('Gen. Plant Depreciation'!$D$7:$AC$94,MATCH($C1031,'Gen. Plant Depreciation'!$C$7:$C$94,0),MATCH(Calculation!$G1031,'Gen. Plant Depreciation'!$D$5:$AC$5,0))</f>
        <v>9085</v>
      </c>
      <c r="BS1031" s="129"/>
      <c r="BT1031" s="129"/>
      <c r="BU1031" s="129"/>
      <c r="BV1031" s="129"/>
      <c r="BW1031" s="129"/>
      <c r="BX1031" s="137"/>
      <c r="BY1031" s="129">
        <f>INDEX('Gross Dx Plant'!$D$7:$AC$91,MATCH($C1031,'Gross Dx Plant'!$C$7:$C$91,0),MATCH(Calculation!$G1031,'Gross Dx Plant'!$D$5:$AC$5,0))</f>
        <v>658503</v>
      </c>
      <c r="BZ1031" s="129">
        <f>INDEX('Gross Gen Plant'!$D$7:$AC$91,MATCH($C1031,'Gross Gen Plant'!$C$7:$C$91,0),MATCH(Calculation!$G1031,'Gross Gen Plant'!$D$5:$AC$5,0))</f>
        <v>32581</v>
      </c>
      <c r="CA1031" s="129">
        <f t="shared" si="1852"/>
        <v>509103</v>
      </c>
      <c r="CB1031" s="129"/>
      <c r="CC1031" s="133">
        <v>2001</v>
      </c>
      <c r="CD1031" s="129"/>
      <c r="CE1031" s="129"/>
      <c r="CF1031" s="129"/>
      <c r="CG1031" s="137"/>
      <c r="CH1031" s="129">
        <f t="shared" si="1863"/>
        <v>44071</v>
      </c>
      <c r="CI1031" s="46">
        <f t="shared" si="1872"/>
        <v>43732.547657014198</v>
      </c>
      <c r="CJ1031" s="231">
        <f t="shared" si="1864"/>
        <v>123.73142399692442</v>
      </c>
      <c r="CK1031" s="443">
        <v>0.96969696969696972</v>
      </c>
      <c r="CL1031" s="231">
        <f>+CL1028*CK1031+CJ1029*CK1030+CJ1030*CK1028+CJ1031</f>
        <v>2444.4372865091154</v>
      </c>
      <c r="CM1031" s="134">
        <f t="shared" si="1865"/>
        <v>4.19842855476305E-2</v>
      </c>
      <c r="CN1031" s="135">
        <f t="shared" si="1866"/>
        <v>9.9098424204803678E-3</v>
      </c>
      <c r="CO1031" s="135">
        <f>+(CN1031+CN1030+CN1029)/3</f>
        <v>9.9981678721809773E-3</v>
      </c>
      <c r="CP1031" s="134">
        <f>VLOOKUP($H1031,RoR!$E:$F,2,FALSE)</f>
        <v>7.0824999999999999E-2</v>
      </c>
      <c r="CQ1031" s="135">
        <v>2.2454495382290052E-2</v>
      </c>
      <c r="CR1031" s="135">
        <f t="shared" si="1873"/>
        <v>4.8370504617709947E-2</v>
      </c>
      <c r="CS1031" s="135">
        <f>+$CR$2-CO1031</f>
        <v>2.0903773736352646E-2</v>
      </c>
      <c r="CT1031" s="135">
        <f>+((DF1029/DF1028-1)+(DF1030/DF1029-1)+(DF1031/DF1030-1))/3</f>
        <v>2.3947275901631187E-2</v>
      </c>
      <c r="CU1031" s="139">
        <f t="shared" si="1867"/>
        <v>0.84885500000000003</v>
      </c>
      <c r="CV1031" s="335">
        <f t="shared" si="1868"/>
        <v>0.72406708481540816</v>
      </c>
      <c r="CW1031" s="335">
        <f t="shared" si="1869"/>
        <v>0.62201729615248857</v>
      </c>
      <c r="CX1031" s="335">
        <f t="shared" si="1870"/>
        <v>0.9352469954311422</v>
      </c>
      <c r="CY1031" s="335">
        <f t="shared" si="1871"/>
        <v>0.42121864641655071</v>
      </c>
      <c r="CZ1031" s="336">
        <f>INDEX('State Tax Lookup'!$D$7:$Z$91,MATCH(Calculation!$C1031,'State Tax Lookup'!$B$7:$B$91,0),MATCH($H1031,'State Tax Lookup'!$D$6:$Z$6,0))</f>
        <v>0.40849999999999997</v>
      </c>
      <c r="DA1031" s="302">
        <v>0.37</v>
      </c>
      <c r="DB1031" s="57">
        <f t="shared" ref="DB1031:DB1052" si="1874">+(DF1031*CS1031-CT1031)*CU1031/(1-CZ1031)</f>
        <v>10.56862043755134</v>
      </c>
      <c r="DC1031" s="56"/>
      <c r="DD1031" s="303">
        <f>VLOOKUP($H1031,RoR!$E:$F,2,FALSE)</f>
        <v>7.0824999999999999E-2</v>
      </c>
      <c r="DE1031" s="304">
        <f>HLOOKUP($H1031,'GDP-PI'!$D$8:$CQ$11,3,FALSE)</f>
        <v>2.2454495382290052E-2</v>
      </c>
      <c r="DF1031" s="303">
        <f>VLOOKUP(H1031,'HW Dx Data'!$E:$F,2,FALSE)</f>
        <v>353.44738017483138</v>
      </c>
      <c r="DG1031" s="364"/>
      <c r="DH1031" s="364"/>
      <c r="DI1031" s="364"/>
      <c r="DJ1031" s="56"/>
      <c r="DK1031" s="53">
        <f>HLOOKUP(H1031,'GDP-PI'!$8:$9,2,FALSE)</f>
        <v>79.822000000000003</v>
      </c>
      <c r="DL1031" s="298"/>
      <c r="EC1031"/>
    </row>
    <row r="1032" spans="1:133" s="126" customFormat="1" ht="21" customHeight="1" x14ac:dyDescent="0.4">
      <c r="A1032" s="233" t="s">
        <v>244</v>
      </c>
      <c r="B1032" s="126" t="s">
        <v>244</v>
      </c>
      <c r="C1032" s="126">
        <v>4063023</v>
      </c>
      <c r="D1032" s="127" t="s">
        <v>218</v>
      </c>
      <c r="E1032" s="127" t="s">
        <v>15</v>
      </c>
      <c r="F1032" s="144"/>
      <c r="G1032" s="126" t="s">
        <v>158</v>
      </c>
      <c r="H1032" s="128">
        <v>2002</v>
      </c>
      <c r="I1032" s="129"/>
      <c r="J1032" s="125"/>
      <c r="K1032" s="125"/>
      <c r="L1032" s="47"/>
      <c r="M1032" s="125"/>
      <c r="N1032" s="125"/>
      <c r="O1032" s="125"/>
      <c r="P1032" s="47"/>
      <c r="Q1032" s="47"/>
      <c r="R1032" s="386"/>
      <c r="S1032" s="119"/>
      <c r="T1032" s="47"/>
      <c r="U1032" s="47"/>
      <c r="V1032" s="125"/>
      <c r="W1032" s="125"/>
      <c r="X1032" s="125"/>
      <c r="Y1032" s="125"/>
      <c r="Z1032" s="125"/>
      <c r="AA1032" s="125"/>
      <c r="AB1032" s="125"/>
      <c r="AC1032" s="125">
        <f t="shared" si="1860"/>
        <v>25831.246256957435</v>
      </c>
      <c r="AD1032" s="129"/>
      <c r="AE1032" s="133">
        <v>2592.6459144834562</v>
      </c>
      <c r="AF1032" s="134">
        <v>4.4287414277500513E-2</v>
      </c>
      <c r="AG1032" s="61"/>
      <c r="AH1032" s="134"/>
      <c r="AI1032" s="134"/>
      <c r="AJ1032" s="129">
        <f t="shared" si="1809"/>
        <v>25831.246256957435</v>
      </c>
      <c r="AK1032" s="134"/>
      <c r="AL1032" s="129"/>
      <c r="AM1032" s="129"/>
      <c r="AN1032" s="129"/>
      <c r="AO1032" s="129"/>
      <c r="AP1032" s="133"/>
      <c r="AQ1032" s="134"/>
      <c r="AR1032" s="93"/>
      <c r="AS1032" s="93"/>
      <c r="AT1032" s="93"/>
      <c r="AU1032" s="93"/>
      <c r="AV1032" s="93"/>
      <c r="AW1032" s="134"/>
      <c r="AX1032" s="62"/>
      <c r="AY1032" s="93"/>
      <c r="AZ1032" s="93"/>
      <c r="BA1032" s="93"/>
      <c r="BB1032" s="234">
        <f>IFERROR(INDEX('Total Customers'!$E$7:$AA$91,MATCH($C1032,'Total Customers'!$C$7:$C$91,0),MATCH($G1032,'Total Customers'!$E$5:$AA$5,0)),"NA")</f>
        <v>296378</v>
      </c>
      <c r="BC1032" s="269">
        <f t="shared" si="1861"/>
        <v>-0.10829905741720537</v>
      </c>
      <c r="BD1032" s="92"/>
      <c r="BE1032" s="299" t="str">
        <f t="shared" si="1855"/>
        <v>SOUTH JERSEY GAS COMPANY</v>
      </c>
      <c r="BF1032" s="300">
        <f t="shared" si="1856"/>
        <v>4063023</v>
      </c>
      <c r="BG1032" s="231" t="str">
        <f t="shared" si="1857"/>
        <v>NJ</v>
      </c>
      <c r="BH1032" s="231"/>
      <c r="BI1032" s="231" t="str">
        <f t="shared" si="1858"/>
        <v>2002 Y</v>
      </c>
      <c r="BJ1032" s="129"/>
      <c r="BK1032" s="129"/>
      <c r="BL1032" s="129">
        <f>INDEX('Dist. Plant Gas Additions'!$E$7:$AD$91,MATCH($C1032,'Dist. Plant Gas Additions'!$C$7:$C$91,0),MATCH(Calculation!$G1032,'Dist. Plant Gas Additions'!$E$5:$AD$5,0))</f>
        <v>38906</v>
      </c>
      <c r="BM1032" s="129">
        <f>INDEX('Gen. Plant Additions'!$E$7:$AD$91,MATCH($C1032,'Gen. Plant Additions'!$C$7:$C$91,0),MATCH(Calculation!$G1032,'Gen. Plant Additions'!$E$5:$AD$5,0))</f>
        <v>6823</v>
      </c>
      <c r="BN1032" s="301">
        <f t="shared" si="1862"/>
        <v>0.95398266187926828</v>
      </c>
      <c r="BO1032" s="231">
        <f t="shared" si="1850"/>
        <v>6509.0237020022478</v>
      </c>
      <c r="BP1032" s="231">
        <f t="shared" si="1851"/>
        <v>-313.97629799775223</v>
      </c>
      <c r="BQ1032" s="129">
        <f>INDEX('Dist Plant Depreciation'!$D$7:$AC$94,MATCH($C1032,'Dist Plant Depreciation'!$C$7:$C$94,0),MATCH(Calculation!$G1032,'Dist Plant Depreciation'!$D$5:$AC$5,0))</f>
        <v>184972</v>
      </c>
      <c r="BR1032" s="129">
        <f>INDEX('Gen. Plant Depreciation'!$D$7:$AC$94,MATCH($C1032,'Gen. Plant Depreciation'!$C$7:$C$94,0),MATCH(Calculation!$G1032,'Gen. Plant Depreciation'!$D$5:$AC$5,0))</f>
        <v>9966</v>
      </c>
      <c r="BS1032" s="129"/>
      <c r="BT1032" s="129"/>
      <c r="BU1032" s="129"/>
      <c r="BV1032" s="129"/>
      <c r="BW1032" s="129"/>
      <c r="BX1032" s="137"/>
      <c r="BY1032" s="129">
        <f>INDEX('Gross Dx Plant'!$D$7:$AC$91,MATCH($C1032,'Gross Dx Plant'!$C$7:$C$91,0),MATCH(Calculation!$G1032,'Gross Dx Plant'!$D$5:$AC$5,0))</f>
        <v>696912</v>
      </c>
      <c r="BZ1032" s="129">
        <f>INDEX('Gross Gen Plant'!$D$7:$AC$91,MATCH($C1032,'Gross Gen Plant'!$C$7:$C$91,0),MATCH(Calculation!$G1032,'Gross Gen Plant'!$D$5:$AC$5,0))</f>
        <v>33617</v>
      </c>
      <c r="CA1032" s="129">
        <f t="shared" si="1852"/>
        <v>535591</v>
      </c>
      <c r="CB1032" s="129"/>
      <c r="CC1032" s="133">
        <v>2002</v>
      </c>
      <c r="CD1032" s="129"/>
      <c r="CE1032" s="129"/>
      <c r="CF1032" s="129"/>
      <c r="CG1032" s="137"/>
      <c r="CH1032" s="129">
        <f t="shared" si="1863"/>
        <v>45729</v>
      </c>
      <c r="CI1032" s="46">
        <f t="shared" si="1872"/>
        <v>45415.023702002247</v>
      </c>
      <c r="CJ1032" s="231">
        <f t="shared" si="1864"/>
        <v>125.68217583098682</v>
      </c>
      <c r="CK1032" s="443">
        <v>0.95918367346938771</v>
      </c>
      <c r="CL1032" s="231">
        <f>+CL1028*CK1032+CJ1029*CK1031+CJ1030*CK1030+CJ1031*CK1029+CJ1032</f>
        <v>2542.5738503074831</v>
      </c>
      <c r="CM1032" s="134">
        <f t="shared" si="1865"/>
        <v>3.9361947082496414E-2</v>
      </c>
      <c r="CN1032" s="135">
        <f t="shared" si="1866"/>
        <v>1.1268692465396347E-2</v>
      </c>
      <c r="CO1032" s="135">
        <f t="shared" ref="CO1032:CO1052" si="1875">+(CN1032+CN1031+CN1030)/3</f>
        <v>1.0454068660976449E-2</v>
      </c>
      <c r="CP1032" s="134">
        <f>VLOOKUP($H1032,RoR!$E:$F,2,FALSE)</f>
        <v>6.4916666666666664E-2</v>
      </c>
      <c r="CQ1032" s="135">
        <v>1.5246423291824351E-2</v>
      </c>
      <c r="CR1032" s="135">
        <f t="shared" si="1873"/>
        <v>4.9670243374842313E-2</v>
      </c>
      <c r="CS1032" s="135">
        <f t="shared" ref="CS1032:CS1052" si="1876">+$CR$2-CO1032</f>
        <v>2.0447872947557177E-2</v>
      </c>
      <c r="CT1032" s="135">
        <f t="shared" ref="CT1032:CT1052" si="1877">+((DF1030/DF1029-1)+(DF1031/DF1030-1)+(DF1032/DF1031-1))/3</f>
        <v>2.5243621214759093E-2</v>
      </c>
      <c r="CU1032" s="139">
        <f t="shared" si="1867"/>
        <v>0.84885500000000003</v>
      </c>
      <c r="CV1032" s="335">
        <f t="shared" si="1868"/>
        <v>0.78996741384417901</v>
      </c>
      <c r="CW1032" s="335">
        <f t="shared" si="1869"/>
        <v>0.58989088575096271</v>
      </c>
      <c r="CX1032" s="335">
        <f t="shared" si="1870"/>
        <v>0.91920675783645744</v>
      </c>
      <c r="CY1032" s="335">
        <f t="shared" si="1871"/>
        <v>0.42834536472275586</v>
      </c>
      <c r="CZ1032" s="336">
        <f>INDEX('State Tax Lookup'!$D$7:$Z$91,MATCH(Calculation!$C1032,'State Tax Lookup'!$B$7:$B$91,0),MATCH($H1032,'State Tax Lookup'!$D$6:$Z$6,0))</f>
        <v>0.40849999999999997</v>
      </c>
      <c r="DA1032" s="302">
        <v>0.37</v>
      </c>
      <c r="DB1032" s="57">
        <f t="shared" si="1874"/>
        <v>10.567358958039323</v>
      </c>
      <c r="DC1032" s="56">
        <f t="shared" ref="DC1032:DC1050" si="1878">LN(DB1032/DB1031)</f>
        <v>-1.1936797343566925E-4</v>
      </c>
      <c r="DD1032" s="303">
        <f>VLOOKUP($H1032,RoR!$E:$F,2,FALSE)</f>
        <v>6.4916666666666664E-2</v>
      </c>
      <c r="DE1032" s="304">
        <f>HLOOKUP($H1032,'GDP-PI'!$D$8:$CQ$11,3,FALSE)</f>
        <v>1.5246423291824351E-2</v>
      </c>
      <c r="DF1032" s="303">
        <f>VLOOKUP(H1032,'HW Dx Data'!$E:$F,2,FALSE)</f>
        <v>361.34816573413599</v>
      </c>
      <c r="DG1032" s="364"/>
      <c r="DH1032" s="364"/>
      <c r="DI1032" s="364"/>
      <c r="DJ1032" s="56"/>
      <c r="DK1032" s="53">
        <f>HLOOKUP(H1032,'GDP-PI'!$8:$9,2,FALSE)</f>
        <v>81.039000000000001</v>
      </c>
      <c r="DL1032" s="355">
        <f>LN(DK1032/DK1031)</f>
        <v>1.513136459537477E-2</v>
      </c>
      <c r="EC1032"/>
    </row>
    <row r="1033" spans="1:133" s="126" customFormat="1" ht="21" customHeight="1" x14ac:dyDescent="0.4">
      <c r="A1033" s="233" t="s">
        <v>244</v>
      </c>
      <c r="B1033" s="126" t="s">
        <v>244</v>
      </c>
      <c r="C1033" s="126">
        <v>4063023</v>
      </c>
      <c r="D1033" s="127" t="s">
        <v>218</v>
      </c>
      <c r="E1033" s="127" t="s">
        <v>15</v>
      </c>
      <c r="F1033" s="144"/>
      <c r="G1033" s="126" t="s">
        <v>159</v>
      </c>
      <c r="H1033" s="128">
        <v>2003</v>
      </c>
      <c r="I1033" s="129"/>
      <c r="J1033" s="125"/>
      <c r="K1033" s="125"/>
      <c r="L1033" s="47"/>
      <c r="M1033" s="125"/>
      <c r="N1033" s="125"/>
      <c r="O1033" s="125"/>
      <c r="P1033" s="59"/>
      <c r="Q1033" s="59"/>
      <c r="R1033" s="386"/>
      <c r="S1033" s="119"/>
      <c r="T1033" s="59"/>
      <c r="U1033" s="59"/>
      <c r="V1033" s="125"/>
      <c r="W1033" s="125"/>
      <c r="X1033" s="125"/>
      <c r="Y1033" s="125"/>
      <c r="Z1033" s="125"/>
      <c r="AA1033" s="125"/>
      <c r="AB1033" s="125"/>
      <c r="AC1033" s="125">
        <f t="shared" si="1860"/>
        <v>27092.62974995562</v>
      </c>
      <c r="AD1033" s="129"/>
      <c r="AE1033" s="133">
        <v>2707.2090018821123</v>
      </c>
      <c r="AF1033" s="134">
        <v>4.3239272738969395E-2</v>
      </c>
      <c r="AG1033" s="61"/>
      <c r="AH1033" s="134"/>
      <c r="AI1033" s="134"/>
      <c r="AJ1033" s="129">
        <f t="shared" si="1809"/>
        <v>27092.62974995562</v>
      </c>
      <c r="AK1033" s="134"/>
      <c r="AL1033" s="129"/>
      <c r="AM1033" s="129"/>
      <c r="AN1033" s="129"/>
      <c r="AO1033" s="129"/>
      <c r="AP1033" s="133"/>
      <c r="AQ1033" s="134"/>
      <c r="AR1033" s="93"/>
      <c r="AS1033" s="93"/>
      <c r="AT1033" s="93"/>
      <c r="AU1033" s="93"/>
      <c r="AV1033" s="93"/>
      <c r="AW1033" s="134"/>
      <c r="AX1033" s="62"/>
      <c r="AY1033" s="93"/>
      <c r="AZ1033" s="93"/>
      <c r="BA1033" s="93"/>
      <c r="BB1033" s="234">
        <f>IFERROR(INDEX('Total Customers'!$E$7:$AA$91,MATCH($C1033,'Total Customers'!$C$7:$C$91,0),MATCH($G1033,'Total Customers'!$E$5:$AA$5,0)),"NA")</f>
        <v>414506</v>
      </c>
      <c r="BC1033" s="269">
        <f t="shared" si="1861"/>
        <v>0.3354517830963949</v>
      </c>
      <c r="BD1033" s="92"/>
      <c r="BE1033" s="299" t="str">
        <f t="shared" si="1855"/>
        <v>SOUTH JERSEY GAS COMPANY</v>
      </c>
      <c r="BF1033" s="300">
        <f t="shared" si="1856"/>
        <v>4063023</v>
      </c>
      <c r="BG1033" s="231" t="str">
        <f t="shared" si="1857"/>
        <v>NJ</v>
      </c>
      <c r="BH1033" s="231"/>
      <c r="BI1033" s="231" t="str">
        <f t="shared" si="1858"/>
        <v>2003 Y</v>
      </c>
      <c r="BJ1033" s="129"/>
      <c r="BK1033" s="129"/>
      <c r="BL1033" s="129">
        <f>INDEX('Dist. Plant Gas Additions'!$E$7:$AD$91,MATCH($C1033,'Dist. Plant Gas Additions'!$C$7:$C$91,0),MATCH(Calculation!$G1033,'Dist. Plant Gas Additions'!$E$5:$AD$5,0))</f>
        <v>39065</v>
      </c>
      <c r="BM1033" s="129">
        <f>INDEX('Gen. Plant Additions'!$E$7:$AD$91,MATCH($C1033,'Gen. Plant Additions'!$C$7:$C$91,0),MATCH(Calculation!$G1033,'Gen. Plant Additions'!$E$5:$AD$5,0))</f>
        <v>8640</v>
      </c>
      <c r="BN1033" s="301">
        <f t="shared" si="1862"/>
        <v>0.95294646163087859</v>
      </c>
      <c r="BO1033" s="231">
        <f t="shared" si="1850"/>
        <v>8233.4574284907903</v>
      </c>
      <c r="BP1033" s="231">
        <f t="shared" si="1851"/>
        <v>-406.54257150920967</v>
      </c>
      <c r="BQ1033" s="129">
        <f>INDEX('Dist Plant Depreciation'!$D$7:$AC$94,MATCH($C1033,'Dist Plant Depreciation'!$C$7:$C$94,0),MATCH(Calculation!$G1033,'Dist Plant Depreciation'!$D$5:$AC$5,0))</f>
        <v>198766</v>
      </c>
      <c r="BR1033" s="129">
        <f>INDEX('Gen. Plant Depreciation'!$D$7:$AC$94,MATCH($C1033,'Gen. Plant Depreciation'!$C$7:$C$94,0),MATCH(Calculation!$G1033,'Gen. Plant Depreciation'!$D$5:$AC$5,0))</f>
        <v>11130</v>
      </c>
      <c r="BS1033" s="129"/>
      <c r="BT1033" s="129"/>
      <c r="BU1033" s="129"/>
      <c r="BV1033" s="129"/>
      <c r="BW1033" s="129"/>
      <c r="BX1033" s="137"/>
      <c r="BY1033" s="129">
        <f>INDEX('Gross Dx Plant'!$D$7:$AC$91,MATCH($C1033,'Gross Dx Plant'!$C$7:$C$91,0),MATCH(Calculation!$G1033,'Gross Dx Plant'!$D$5:$AC$5,0))</f>
        <v>736073</v>
      </c>
      <c r="BZ1033" s="129">
        <f>INDEX('Gross Gen Plant'!$D$7:$AC$91,MATCH($C1033,'Gross Gen Plant'!$C$7:$C$91,0),MATCH(Calculation!$G1033,'Gross Gen Plant'!$D$5:$AC$5,0))</f>
        <v>36345</v>
      </c>
      <c r="CA1033" s="129">
        <f t="shared" si="1852"/>
        <v>562522</v>
      </c>
      <c r="CB1033" s="129"/>
      <c r="CC1033" s="133">
        <v>2003</v>
      </c>
      <c r="CD1033" s="129"/>
      <c r="CE1033" s="129"/>
      <c r="CF1033" s="129"/>
      <c r="CG1033" s="137"/>
      <c r="CH1033" s="129">
        <f t="shared" si="1863"/>
        <v>47705</v>
      </c>
      <c r="CI1033" s="46">
        <f t="shared" si="1872"/>
        <v>47298.457428490787</v>
      </c>
      <c r="CJ1033" s="231">
        <f t="shared" si="1864"/>
        <v>128.09921113520954</v>
      </c>
      <c r="CK1033" s="443">
        <v>0.94845360824742264</v>
      </c>
      <c r="CL1033" s="231">
        <f>+CL1028*CK1033+CJ1029*CK1032+CJ1030*CK1031+CJ1031*CK1030+CJ1032*CK1029+CJ1033</f>
        <v>2642.6398329504318</v>
      </c>
      <c r="CM1033" s="134">
        <f t="shared" si="1865"/>
        <v>3.8601459424133372E-2</v>
      </c>
      <c r="CN1033" s="135">
        <f t="shared" si="1866"/>
        <v>1.1025531663070737E-2</v>
      </c>
      <c r="CO1033" s="135">
        <f t="shared" si="1875"/>
        <v>1.0734688849649151E-2</v>
      </c>
      <c r="CP1033" s="134">
        <f>VLOOKUP($H1033,RoR!$E:$F,2,FALSE)</f>
        <v>5.6666666666666671E-2</v>
      </c>
      <c r="CQ1033" s="135">
        <v>1.8855119140166909E-2</v>
      </c>
      <c r="CR1033" s="135">
        <f t="shared" si="1873"/>
        <v>3.7811547526499761E-2</v>
      </c>
      <c r="CS1033" s="135">
        <f t="shared" si="1876"/>
        <v>2.0167252758884473E-2</v>
      </c>
      <c r="CT1033" s="135">
        <f t="shared" si="1877"/>
        <v>2.1375012817671957E-2</v>
      </c>
      <c r="CU1033" s="139">
        <f t="shared" si="1867"/>
        <v>0.84885500000000003</v>
      </c>
      <c r="CV1033" s="335">
        <f t="shared" si="1868"/>
        <v>0.90497737556561086</v>
      </c>
      <c r="CW1033" s="335">
        <f t="shared" si="1869"/>
        <v>0.5338235294117647</v>
      </c>
      <c r="CX1033" s="335">
        <f t="shared" si="1870"/>
        <v>0.88972433127405692</v>
      </c>
      <c r="CY1033" s="335">
        <f t="shared" si="1871"/>
        <v>0.42982423775949252</v>
      </c>
      <c r="CZ1033" s="336">
        <f>INDEX('State Tax Lookup'!$D$7:$Z$91,MATCH(Calculation!$C1033,'State Tax Lookup'!$B$7:$B$91,0),MATCH($H1033,'State Tax Lookup'!$D$6:$Z$6,0))</f>
        <v>0.40849999999999997</v>
      </c>
      <c r="DA1033" s="302">
        <v>0.37</v>
      </c>
      <c r="DB1033" s="57">
        <f t="shared" si="1874"/>
        <v>10.655592067337279</v>
      </c>
      <c r="DC1033" s="56">
        <f t="shared" si="1878"/>
        <v>8.3149244934600745E-3</v>
      </c>
      <c r="DD1033" s="303">
        <f>VLOOKUP($H1033,RoR!$E:$F,2,FALSE)</f>
        <v>5.6666666666666671E-2</v>
      </c>
      <c r="DE1033" s="304">
        <f>HLOOKUP($H1033,'GDP-PI'!$D$8:$CQ$11,3,FALSE)</f>
        <v>1.8855119140166909E-2</v>
      </c>
      <c r="DF1033" s="303">
        <f>VLOOKUP(H1033,'HW Dx Data'!$E:$F,2,FALSE)</f>
        <v>369.23301095560191</v>
      </c>
      <c r="DG1033" s="364">
        <f ca="1">VLOOKUP(CC1033,'ECI - Input Price'!M$13:N$33,2,FALSE)</f>
        <v>89.25</v>
      </c>
      <c r="DH1033" s="364"/>
      <c r="DI1033" s="364"/>
      <c r="DJ1033" s="56"/>
      <c r="DK1033" s="53">
        <f>HLOOKUP(H1033,'GDP-PI'!$8:$9,2,FALSE)</f>
        <v>82.566999999999993</v>
      </c>
      <c r="DL1033" s="355">
        <f t="shared" ref="DL1033:DL1052" si="1879">LN(DK1033/DK1032)</f>
        <v>1.8679564681853753E-2</v>
      </c>
      <c r="EC1033"/>
    </row>
    <row r="1034" spans="1:133" s="126" customFormat="1" ht="21" customHeight="1" x14ac:dyDescent="0.4">
      <c r="A1034" s="233" t="s">
        <v>244</v>
      </c>
      <c r="B1034" s="126" t="s">
        <v>244</v>
      </c>
      <c r="C1034" s="126">
        <v>4063023</v>
      </c>
      <c r="D1034" s="127" t="s">
        <v>218</v>
      </c>
      <c r="E1034" s="127" t="s">
        <v>15</v>
      </c>
      <c r="F1034" s="144"/>
      <c r="G1034" s="126" t="s">
        <v>160</v>
      </c>
      <c r="H1034" s="128">
        <v>2004</v>
      </c>
      <c r="I1034" s="129"/>
      <c r="J1034" s="125">
        <f>IFERROR(INDEX('Labor Expenditures'!$E$7:$W$91,MATCH($C1034,'Labor Expenditures'!$C$7:$C$91,0),MATCH($G1034,'Labor Expenditures'!$E$5:$W$5,0)),"NA")</f>
        <v>16394.03843593394</v>
      </c>
      <c r="K1034" s="125">
        <f t="shared" ref="K1034:K1052" ca="1" si="1880">+J1034/DG1034</f>
        <v>173.75769407455158</v>
      </c>
      <c r="L1034" s="47"/>
      <c r="M1034" s="131"/>
      <c r="N1034" s="131"/>
      <c r="O1034" s="131"/>
      <c r="P1034" s="59"/>
      <c r="Q1034" s="59"/>
      <c r="R1034" s="386"/>
      <c r="S1034" s="119"/>
      <c r="T1034" s="59"/>
      <c r="U1034" s="59"/>
      <c r="V1034" s="125">
        <f>IFERROR(INDEX('Non-Labor Expenditures'!$E$7:$AA$91,MATCH($C1034,'Non-Labor Expenditures'!$C$7:$C$91,0),MATCH($G1034,'Non-Labor Expenditures'!$E$5:$AA$5,0)),"NA")</f>
        <v>23741.629639243645</v>
      </c>
      <c r="W1034" s="125">
        <f t="shared" ref="W1034:W1052" si="1881">+V1034/DK1034</f>
        <v>280.04470073891389</v>
      </c>
      <c r="X1034" s="125"/>
      <c r="Y1034" s="125"/>
      <c r="Z1034" s="125"/>
      <c r="AA1034" s="125"/>
      <c r="AB1034" s="125"/>
      <c r="AC1034" s="125">
        <f t="shared" si="1860"/>
        <v>30786.280606145898</v>
      </c>
      <c r="AD1034" s="129"/>
      <c r="AE1034" s="133">
        <v>2815.4359751075463</v>
      </c>
      <c r="AF1034" s="134">
        <v>3.9198909716380723E-2</v>
      </c>
      <c r="AG1034" s="59">
        <f t="shared" ref="AG1034:AG1052" si="1882">+AF1034*$AX1034</f>
        <v>0</v>
      </c>
      <c r="AH1034" s="134"/>
      <c r="AI1034" s="134"/>
      <c r="AJ1034" s="129">
        <f t="shared" si="1809"/>
        <v>70921.948681323483</v>
      </c>
      <c r="AK1034" s="134"/>
      <c r="AL1034" s="129"/>
      <c r="AM1034" s="129"/>
      <c r="AN1034" s="129"/>
      <c r="AO1034" s="129"/>
      <c r="AP1034" s="133"/>
      <c r="AQ1034" s="134"/>
      <c r="AR1034" s="93">
        <f t="shared" ref="AR1034:AR1052" si="1883">+J1034/AJ1034</f>
        <v>0.23115606297844338</v>
      </c>
      <c r="AS1034" s="93">
        <f t="shared" ref="AS1034:AS1052" si="1884">+V1034/AJ1034</f>
        <v>0.33475715318995097</v>
      </c>
      <c r="AT1034" s="93">
        <f t="shared" ref="AT1034:AT1052" si="1885">+AC1034/AJ1034</f>
        <v>0.43408678383160565</v>
      </c>
      <c r="AU1034" s="93"/>
      <c r="AV1034" s="93"/>
      <c r="AW1034" s="134"/>
      <c r="AX1034" s="62"/>
      <c r="AY1034" s="93"/>
      <c r="AZ1034" s="93"/>
      <c r="BA1034" s="93"/>
      <c r="BB1034" s="234">
        <f>IFERROR(INDEX('Total Customers'!$E$7:$AA$91,MATCH($C1034,'Total Customers'!$C$7:$C$91,0),MATCH($G1034,'Total Customers'!$E$5:$AA$5,0)),"NA")</f>
        <v>405376</v>
      </c>
      <c r="BC1034" s="269">
        <f t="shared" si="1861"/>
        <v>-2.2272418265875359E-2</v>
      </c>
      <c r="BD1034" s="92"/>
      <c r="BE1034" s="299" t="str">
        <f t="shared" si="1855"/>
        <v>SOUTH JERSEY GAS COMPANY</v>
      </c>
      <c r="BF1034" s="300">
        <f t="shared" si="1856"/>
        <v>4063023</v>
      </c>
      <c r="BG1034" s="231" t="str">
        <f t="shared" si="1857"/>
        <v>NJ</v>
      </c>
      <c r="BH1034" s="231"/>
      <c r="BI1034" s="231" t="str">
        <f t="shared" si="1858"/>
        <v>2004 Y</v>
      </c>
      <c r="BJ1034" s="129"/>
      <c r="BK1034" s="129"/>
      <c r="BL1034" s="129">
        <f>INDEX('Dist. Plant Gas Additions'!$E$7:$AD$91,MATCH($C1034,'Dist. Plant Gas Additions'!$C$7:$C$91,0),MATCH(Calculation!$G1034,'Dist. Plant Gas Additions'!$E$5:$AD$5,0))</f>
        <v>51008</v>
      </c>
      <c r="BM1034" s="129">
        <f>INDEX('Gen. Plant Additions'!$E$7:$AD$91,MATCH($C1034,'Gen. Plant Additions'!$C$7:$C$91,0),MATCH(Calculation!$G1034,'Gen. Plant Additions'!$E$5:$AD$5,0))</f>
        <v>428</v>
      </c>
      <c r="BN1034" s="301">
        <f t="shared" si="1862"/>
        <v>0.9556954830002824</v>
      </c>
      <c r="BO1034" s="231">
        <f t="shared" si="1850"/>
        <v>409.03766672412087</v>
      </c>
      <c r="BP1034" s="231">
        <f t="shared" si="1851"/>
        <v>-18.962333275879132</v>
      </c>
      <c r="BQ1034" s="129">
        <f>INDEX('Dist Plant Depreciation'!$D$7:$AC$94,MATCH($C1034,'Dist Plant Depreciation'!$C$7:$C$94,0),MATCH(Calculation!$G1034,'Dist Plant Depreciation'!$D$5:$AC$5,0))</f>
        <v>165673</v>
      </c>
      <c r="BR1034" s="129">
        <f>INDEX('Gen. Plant Depreciation'!$D$7:$AC$94,MATCH($C1034,'Gen. Plant Depreciation'!$C$7:$C$94,0),MATCH(Calculation!$G1034,'Gen. Plant Depreciation'!$D$5:$AC$5,0))</f>
        <v>14449</v>
      </c>
      <c r="BS1034" s="129"/>
      <c r="BT1034" s="129"/>
      <c r="BU1034" s="129"/>
      <c r="BV1034" s="129"/>
      <c r="BW1034" s="129"/>
      <c r="BX1034" s="137"/>
      <c r="BY1034" s="129">
        <f>INDEX('Gross Dx Plant'!$D$7:$AC$91,MATCH($C1034,'Gross Dx Plant'!$C$7:$C$91,0),MATCH(Calculation!$G1034,'Gross Dx Plant'!$D$5:$AC$5,0))</f>
        <v>781800</v>
      </c>
      <c r="BZ1034" s="129">
        <f>INDEX('Gross Gen Plant'!$D$7:$AC$91,MATCH($C1034,'Gross Gen Plant'!$C$7:$C$91,0),MATCH(Calculation!$G1034,'Gross Gen Plant'!$D$5:$AC$5,0))</f>
        <v>36243</v>
      </c>
      <c r="CA1034" s="129">
        <f t="shared" si="1852"/>
        <v>637921</v>
      </c>
      <c r="CB1034" s="129"/>
      <c r="CC1034" s="133">
        <v>2004</v>
      </c>
      <c r="CD1034" s="129"/>
      <c r="CE1034" s="129"/>
      <c r="CF1034" s="129"/>
      <c r="CG1034" s="137"/>
      <c r="CH1034" s="129">
        <f t="shared" si="1863"/>
        <v>51436</v>
      </c>
      <c r="CI1034" s="46">
        <f t="shared" si="1872"/>
        <v>51417.037666724122</v>
      </c>
      <c r="CJ1034" s="231">
        <f t="shared" si="1864"/>
        <v>123.93016400225659</v>
      </c>
      <c r="CK1034" s="443">
        <v>0.9375</v>
      </c>
      <c r="CL1034" s="231">
        <f>+CL1028*CK1034+CJ1029*CK1033+CJ1030*CK1032+CJ1031*CK1031+CJ1032*CK1030+CJ1033*CK1029+CJ1034</f>
        <v>2736.6871089617525</v>
      </c>
      <c r="CM1034" s="134">
        <f t="shared" si="1865"/>
        <v>3.4969750269120053E-2</v>
      </c>
      <c r="CN1034" s="135">
        <f t="shared" si="1866"/>
        <v>1.1307968501168197E-2</v>
      </c>
      <c r="CO1034" s="135">
        <f t="shared" si="1875"/>
        <v>1.1200730876545092E-2</v>
      </c>
      <c r="CP1034" s="134">
        <f>VLOOKUP($H1034,RoR!$E:$F,2,FALSE)</f>
        <v>5.6283333333333331E-2</v>
      </c>
      <c r="CQ1034" s="135">
        <v>2.6778252812867276E-2</v>
      </c>
      <c r="CR1034" s="135">
        <f t="shared" si="1873"/>
        <v>2.9505080520466055E-2</v>
      </c>
      <c r="CS1034" s="135">
        <f t="shared" si="1876"/>
        <v>1.9701210731988533E-2</v>
      </c>
      <c r="CT1034" s="135">
        <f t="shared" si="1877"/>
        <v>5.5940039414565046E-2</v>
      </c>
      <c r="CU1034" s="139">
        <f t="shared" si="1867"/>
        <v>0.84885500000000003</v>
      </c>
      <c r="CV1034" s="335">
        <f t="shared" si="1868"/>
        <v>0.91114097628755619</v>
      </c>
      <c r="CW1034" s="335">
        <f t="shared" si="1869"/>
        <v>0.53081877405981637</v>
      </c>
      <c r="CX1034" s="335">
        <f t="shared" si="1870"/>
        <v>0.88811215519385678</v>
      </c>
      <c r="CY1034" s="335">
        <f t="shared" si="1871"/>
        <v>0.42953609753547711</v>
      </c>
      <c r="CZ1034" s="336">
        <f>INDEX('State Tax Lookup'!$D$7:$Z$91,MATCH(Calculation!$C1034,'State Tax Lookup'!$B$7:$B$91,0),MATCH($H1034,'State Tax Lookup'!$D$6:$Z$6,0))</f>
        <v>0.40849999999999997</v>
      </c>
      <c r="DA1034" s="302">
        <v>0.37</v>
      </c>
      <c r="DB1034" s="57">
        <f t="shared" si="1874"/>
        <v>11.64982084288569</v>
      </c>
      <c r="DC1034" s="56">
        <f t="shared" si="1878"/>
        <v>8.9205970504227752E-2</v>
      </c>
      <c r="DD1034" s="303">
        <f>VLOOKUP($H1034,RoR!$E:$F,2,FALSE)</f>
        <v>5.6283333333333331E-2</v>
      </c>
      <c r="DE1034" s="304">
        <f>HLOOKUP($H1034,'GDP-PI'!$D$8:$CQ$11,3,FALSE)</f>
        <v>2.6778252812867276E-2</v>
      </c>
      <c r="DF1034" s="303">
        <f>VLOOKUP(H1034,'HW Dx Data'!$E:$F,2,FALSE)</f>
        <v>414.88719135228365</v>
      </c>
      <c r="DG1034" s="364">
        <f ca="1">VLOOKUP(CC1034,'ECI - Input Price'!M$13:N$33,2,FALSE)</f>
        <v>94.35</v>
      </c>
      <c r="DH1034" s="364"/>
      <c r="DI1034" s="364"/>
      <c r="DJ1034" s="56">
        <f t="shared" ref="DJ1034:DJ1052" ca="1" si="1886">LN(DG1034/DG1033)</f>
        <v>5.5569851154810786E-2</v>
      </c>
      <c r="DK1034" s="53">
        <f>HLOOKUP(H1034,'GDP-PI'!$8:$9,2,FALSE)</f>
        <v>84.778000000000006</v>
      </c>
      <c r="DL1034" s="355">
        <f t="shared" si="1879"/>
        <v>2.6425990216022755E-2</v>
      </c>
      <c r="EC1034"/>
    </row>
    <row r="1035" spans="1:133" s="126" customFormat="1" ht="21" customHeight="1" x14ac:dyDescent="0.4">
      <c r="A1035" s="233" t="s">
        <v>244</v>
      </c>
      <c r="B1035" s="126" t="s">
        <v>244</v>
      </c>
      <c r="C1035" s="126">
        <v>4063023</v>
      </c>
      <c r="D1035" s="127" t="s">
        <v>218</v>
      </c>
      <c r="E1035" s="127" t="s">
        <v>15</v>
      </c>
      <c r="F1035" s="144"/>
      <c r="G1035" s="126" t="s">
        <v>161</v>
      </c>
      <c r="H1035" s="128">
        <v>2005</v>
      </c>
      <c r="I1035" s="129"/>
      <c r="J1035" s="125">
        <f>IFERROR(INDEX('Labor Expenditures'!$E$7:$W$91,MATCH($C1035,'Labor Expenditures'!$C$7:$C$91,0),MATCH($G1035,'Labor Expenditures'!$E$5:$W$5,0)),"NA")</f>
        <v>16913.703072802837</v>
      </c>
      <c r="K1035" s="125">
        <f t="shared" ca="1" si="1880"/>
        <v>170.45808085465194</v>
      </c>
      <c r="L1035" s="47"/>
      <c r="M1035" s="131">
        <f t="shared" ref="M1035:M1051" ca="1" si="1887">LN(K1035/K1034)</f>
        <v>-1.9172359502918498E-2</v>
      </c>
      <c r="N1035" s="131"/>
      <c r="O1035" s="131"/>
      <c r="P1035" s="59"/>
      <c r="Q1035" s="61"/>
      <c r="R1035" s="387"/>
      <c r="S1035" s="49">
        <v>100</v>
      </c>
      <c r="T1035" s="46"/>
      <c r="U1035" s="46"/>
      <c r="V1035" s="125">
        <f>IFERROR(INDEX('Non-Labor Expenditures'!$E$7:$AA$91,MATCH($C1035,'Non-Labor Expenditures'!$C$7:$C$91,0),MATCH($G1035,'Non-Labor Expenditures'!$E$5:$AA$5,0)),"NA")</f>
        <v>24494.201093395572</v>
      </c>
      <c r="W1035" s="125">
        <f t="shared" si="1881"/>
        <v>280.23157291058578</v>
      </c>
      <c r="X1035" s="131">
        <f>LN(W1035/W1034)</f>
        <v>6.6707154091777323E-4</v>
      </c>
      <c r="Y1035" s="131"/>
      <c r="Z1035" s="131"/>
      <c r="AA1035" s="131"/>
      <c r="AB1035" s="131"/>
      <c r="AC1035" s="125">
        <f t="shared" si="1860"/>
        <v>35741.484784081724</v>
      </c>
      <c r="AD1035" s="129"/>
      <c r="AE1035" s="133">
        <v>2918.1548352814334</v>
      </c>
      <c r="AF1035" s="134">
        <v>3.583438551415398E-2</v>
      </c>
      <c r="AG1035" s="59">
        <f t="shared" si="1882"/>
        <v>0</v>
      </c>
      <c r="AH1035" s="134"/>
      <c r="AI1035" s="134"/>
      <c r="AJ1035" s="129">
        <f t="shared" si="1809"/>
        <v>77149.388950280132</v>
      </c>
      <c r="AK1035" s="134">
        <f>LN(AJ1035/AJ1034)</f>
        <v>8.4163700491737992E-2</v>
      </c>
      <c r="AL1035" s="129"/>
      <c r="AM1035" s="129"/>
      <c r="AN1035" s="129"/>
      <c r="AO1035" s="129"/>
      <c r="AP1035" s="133"/>
      <c r="AQ1035" s="134"/>
      <c r="AR1035" s="93">
        <f t="shared" si="1883"/>
        <v>0.21923314368313507</v>
      </c>
      <c r="AS1035" s="93">
        <f t="shared" si="1884"/>
        <v>0.31749053915619679</v>
      </c>
      <c r="AT1035" s="93">
        <f t="shared" si="1885"/>
        <v>0.46327631716066814</v>
      </c>
      <c r="AU1035" s="93">
        <f t="shared" ref="AU1035:AU1051" ca="1" si="1888">+(((AR1035+AR1034)/2)*M1035+((AS1034+AS1035)/2)*X1035+((AT1034+AT1035)/2)*AF1035)</f>
        <v>1.1978263696988602E-2</v>
      </c>
      <c r="AV1035" s="132">
        <v>100</v>
      </c>
      <c r="AW1035" s="134"/>
      <c r="AX1035" s="15"/>
      <c r="AY1035" s="93"/>
      <c r="AZ1035" s="93"/>
      <c r="BA1035" s="93"/>
      <c r="BB1035" s="234">
        <f>IFERROR(INDEX('Total Customers'!$E$7:$AA$91,MATCH($C1035,'Total Customers'!$C$7:$C$91,0),MATCH($G1035,'Total Customers'!$E$5:$AA$5,0)),"NA")</f>
        <v>334010</v>
      </c>
      <c r="BC1035" s="269">
        <f t="shared" si="1861"/>
        <v>-0.19364409882785549</v>
      </c>
      <c r="BD1035" s="92"/>
      <c r="BE1035" s="299" t="str">
        <f t="shared" si="1855"/>
        <v>SOUTH JERSEY GAS COMPANY</v>
      </c>
      <c r="BF1035" s="300">
        <f t="shared" si="1856"/>
        <v>4063023</v>
      </c>
      <c r="BG1035" s="231" t="str">
        <f t="shared" si="1857"/>
        <v>NJ</v>
      </c>
      <c r="BH1035" s="231"/>
      <c r="BI1035" s="231" t="str">
        <f t="shared" si="1858"/>
        <v>2005 Y</v>
      </c>
      <c r="BJ1035" s="129"/>
      <c r="BK1035" s="129"/>
      <c r="BL1035" s="129">
        <f>INDEX('Dist. Plant Gas Additions'!$E$7:$AD$91,MATCH($C1035,'Dist. Plant Gas Additions'!$C$7:$C$91,0),MATCH(Calculation!$G1035,'Dist. Plant Gas Additions'!$E$5:$AD$5,0))</f>
        <v>54874</v>
      </c>
      <c r="BM1035" s="129">
        <f>INDEX('Gen. Plant Additions'!$E$7:$AD$91,MATCH($C1035,'Gen. Plant Additions'!$C$7:$C$91,0),MATCH(Calculation!$G1035,'Gen. Plant Additions'!$E$5:$AD$5,0))</f>
        <v>1241</v>
      </c>
      <c r="BN1035" s="301">
        <f t="shared" si="1862"/>
        <v>0.96014215487679178</v>
      </c>
      <c r="BO1035" s="231">
        <f t="shared" si="1850"/>
        <v>1191.5364142020985</v>
      </c>
      <c r="BP1035" s="231">
        <f t="shared" si="1851"/>
        <v>-49.463585797901487</v>
      </c>
      <c r="BQ1035" s="129">
        <f>INDEX('Dist Plant Depreciation'!$D$7:$AC$94,MATCH($C1035,'Dist Plant Depreciation'!$C$7:$C$94,0),MATCH(Calculation!$G1035,'Dist Plant Depreciation'!$D$5:$AC$5,0))</f>
        <v>180071</v>
      </c>
      <c r="BR1035" s="129">
        <f>INDEX('Gen. Plant Depreciation'!$D$7:$AC$94,MATCH($C1035,'Gen. Plant Depreciation'!$C$7:$C$94,0),MATCH(Calculation!$G1035,'Gen. Plant Depreciation'!$D$5:$AC$5,0))</f>
        <v>13963</v>
      </c>
      <c r="BS1035" s="129"/>
      <c r="BT1035" s="129"/>
      <c r="BU1035" s="129"/>
      <c r="BV1035" s="129"/>
      <c r="BW1035" s="129"/>
      <c r="BX1035" s="137"/>
      <c r="BY1035" s="129">
        <f>INDEX('Gross Dx Plant'!$D$7:$AC$91,MATCH($C1035,'Gross Dx Plant'!$C$7:$C$91,0),MATCH(Calculation!$G1035,'Gross Dx Plant'!$D$5:$AC$5,0))</f>
        <v>831847</v>
      </c>
      <c r="BZ1035" s="129">
        <f>INDEX('Gross Gen Plant'!$D$7:$AC$91,MATCH($C1035,'Gross Gen Plant'!$C$7:$C$91,0),MATCH(Calculation!$G1035,'Gross Gen Plant'!$D$5:$AC$5,0))</f>
        <v>34532</v>
      </c>
      <c r="CA1035" s="129">
        <f t="shared" si="1852"/>
        <v>672345</v>
      </c>
      <c r="CB1035" s="129"/>
      <c r="CC1035" s="133">
        <v>2005</v>
      </c>
      <c r="CD1035" s="129"/>
      <c r="CE1035" s="129"/>
      <c r="CF1035" s="129"/>
      <c r="CG1035" s="137"/>
      <c r="CH1035" s="129">
        <f t="shared" si="1863"/>
        <v>56115</v>
      </c>
      <c r="CI1035" s="46">
        <f t="shared" si="1872"/>
        <v>56065.536414202099</v>
      </c>
      <c r="CJ1035" s="231">
        <f t="shared" si="1864"/>
        <v>119.49045650364488</v>
      </c>
      <c r="CK1035" s="443">
        <v>0.9263157894736842</v>
      </c>
      <c r="CL1035" s="231">
        <f>+CL1028*CK1035+CJ1029*CK1034+CJ1030*CK1033+CJ1031*CK1032+CJ1032*CK1031+CJ1033*CK1030+CJ1034*CK1029+CJ1035</f>
        <v>2824.4426538435096</v>
      </c>
      <c r="CM1035" s="134">
        <f t="shared" si="1865"/>
        <v>3.1562949911887031E-2</v>
      </c>
      <c r="CN1035" s="135">
        <f t="shared" si="1866"/>
        <v>1.1596105202515267E-2</v>
      </c>
      <c r="CO1035" s="135">
        <f t="shared" si="1875"/>
        <v>1.1309868455584732E-2</v>
      </c>
      <c r="CP1035" s="134">
        <f>VLOOKUP($H1035,RoR!$E:$F,2,FALSE)</f>
        <v>5.2350000000000001E-2</v>
      </c>
      <c r="CQ1035" s="135">
        <v>3.1010403642454332E-2</v>
      </c>
      <c r="CR1035" s="135">
        <f t="shared" si="1873"/>
        <v>2.1339596357545669E-2</v>
      </c>
      <c r="CS1035" s="135">
        <f t="shared" si="1876"/>
        <v>1.9592073152948891E-2</v>
      </c>
      <c r="CT1035" s="135">
        <f t="shared" si="1877"/>
        <v>9.2129610649277341E-2</v>
      </c>
      <c r="CU1035" s="139">
        <f t="shared" si="1867"/>
        <v>0.84885500000000003</v>
      </c>
      <c r="CV1035" s="335">
        <f t="shared" si="1868"/>
        <v>0.97959983346802826</v>
      </c>
      <c r="CW1035" s="335">
        <f t="shared" si="1869"/>
        <v>0.49744508118433622</v>
      </c>
      <c r="CX1035" s="335">
        <f t="shared" si="1870"/>
        <v>0.87010519444335932</v>
      </c>
      <c r="CY1035" s="335">
        <f t="shared" si="1871"/>
        <v>0.42399975420741998</v>
      </c>
      <c r="CZ1035" s="336">
        <f>INDEX('State Tax Lookup'!$D$7:$Z$91,MATCH(Calculation!$C1035,'State Tax Lookup'!$B$7:$B$91,0),MATCH($H1035,'State Tax Lookup'!$D$6:$Z$6,0))</f>
        <v>0.40849999999999997</v>
      </c>
      <c r="DA1035" s="302">
        <v>0.37</v>
      </c>
      <c r="DB1035" s="57">
        <f t="shared" si="1874"/>
        <v>13.060128308800843</v>
      </c>
      <c r="DC1035" s="56">
        <f t="shared" si="1878"/>
        <v>0.11427314676325304</v>
      </c>
      <c r="DD1035" s="303">
        <f>VLOOKUP($H1035,RoR!$E:$F,2,FALSE)</f>
        <v>5.2350000000000001E-2</v>
      </c>
      <c r="DE1035" s="304">
        <f>HLOOKUP($H1035,'GDP-PI'!$D$8:$CQ$11,3,FALSE)</f>
        <v>3.1010403642454332E-2</v>
      </c>
      <c r="DF1035" s="303">
        <f>VLOOKUP(H1035,'HW Dx Data'!$E:$F,2,FALSE)</f>
        <v>469.20514034936258</v>
      </c>
      <c r="DG1035" s="364">
        <f ca="1">VLOOKUP(CC1035,'ECI - Input Price'!M$13:N$33,2,FALSE)</f>
        <v>99.224999999999994</v>
      </c>
      <c r="DH1035" s="364"/>
      <c r="DI1035" s="364"/>
      <c r="DJ1035" s="56">
        <f t="shared" ca="1" si="1886"/>
        <v>5.0378726854569796E-2</v>
      </c>
      <c r="DK1035" s="53">
        <f>HLOOKUP(H1035,'GDP-PI'!$8:$9,2,FALSE)</f>
        <v>87.406999999999996</v>
      </c>
      <c r="DL1035" s="355">
        <f t="shared" si="1879"/>
        <v>3.0539295810733648E-2</v>
      </c>
      <c r="EC1035"/>
    </row>
    <row r="1036" spans="1:133" s="126" customFormat="1" ht="21" customHeight="1" x14ac:dyDescent="0.4">
      <c r="A1036" s="233" t="s">
        <v>244</v>
      </c>
      <c r="B1036" s="126" t="s">
        <v>244</v>
      </c>
      <c r="C1036" s="126">
        <v>4063023</v>
      </c>
      <c r="D1036" s="127" t="s">
        <v>218</v>
      </c>
      <c r="E1036" s="127" t="s">
        <v>15</v>
      </c>
      <c r="F1036" s="144"/>
      <c r="G1036" s="126" t="s">
        <v>162</v>
      </c>
      <c r="H1036" s="128">
        <v>2006</v>
      </c>
      <c r="I1036" s="129"/>
      <c r="J1036" s="125">
        <f>IFERROR(INDEX('Labor Expenditures'!$E$7:$W$91,MATCH($C1036,'Labor Expenditures'!$C$7:$C$91,0),MATCH($G1036,'Labor Expenditures'!$E$5:$W$5,0)),"NA")</f>
        <v>15718.729242144082</v>
      </c>
      <c r="K1036" s="125">
        <f t="shared" ca="1" si="1880"/>
        <v>143.68125449857479</v>
      </c>
      <c r="L1036" s="47"/>
      <c r="M1036" s="131">
        <f t="shared" ca="1" si="1887"/>
        <v>-0.17089207069091281</v>
      </c>
      <c r="N1036" s="131"/>
      <c r="O1036" s="131"/>
      <c r="P1036" s="59">
        <f t="shared" ref="P1036:P1052" ca="1" si="1889">+M1036*$AX1036</f>
        <v>-1.7347417758685677E-3</v>
      </c>
      <c r="Q1036" s="61"/>
      <c r="R1036" s="387"/>
      <c r="S1036" s="49">
        <f ca="1">+S1035*EXP(T1036)</f>
        <v>114.32650304489538</v>
      </c>
      <c r="T1036" s="61">
        <f ca="1">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</f>
        <v>0.13388823059311575</v>
      </c>
      <c r="U1036" s="61"/>
      <c r="V1036" s="125">
        <f>IFERROR(INDEX('Non-Labor Expenditures'!$E$7:$AA$91,MATCH($C1036,'Non-Labor Expenditures'!$C$7:$C$91,0),MATCH($G1036,'Non-Labor Expenditures'!$E$5:$AA$5,0)),"NA")</f>
        <v>22763.655796276893</v>
      </c>
      <c r="W1036" s="125">
        <f t="shared" si="1881"/>
        <v>252.72171543705056</v>
      </c>
      <c r="X1036" s="131">
        <f t="shared" ref="X1036:X1051" si="1890">LN(W1036/W1035)</f>
        <v>-0.10332736309761524</v>
      </c>
      <c r="Y1036" s="131">
        <f t="shared" ref="Y1036:Y1052" si="1891">+X1036*AX1036</f>
        <v>-1.0488859584361324E-3</v>
      </c>
      <c r="Z1036" s="131"/>
      <c r="AA1036" s="131"/>
      <c r="AB1036" s="131"/>
      <c r="AC1036" s="125">
        <f t="shared" si="1860"/>
        <v>35756.07087571481</v>
      </c>
      <c r="AD1036" s="129"/>
      <c r="AE1036" s="133">
        <v>3016.0126619366906</v>
      </c>
      <c r="AF1036" s="134">
        <v>3.2984137573684617E-2</v>
      </c>
      <c r="AG1036" s="59">
        <f t="shared" si="1882"/>
        <v>3.3482513939196723E-4</v>
      </c>
      <c r="AH1036" s="134"/>
      <c r="AI1036" s="134"/>
      <c r="AJ1036" s="129">
        <f t="shared" si="1809"/>
        <v>74238.455914135789</v>
      </c>
      <c r="AK1036" s="134">
        <f t="shared" ref="AK1036:AK1052" si="1892">LN(AJ1036/AJ1035)</f>
        <v>-3.8461368804993762E-2</v>
      </c>
      <c r="AL1036" s="129"/>
      <c r="AM1036" s="129"/>
      <c r="AN1036" s="129"/>
      <c r="AO1036" s="129"/>
      <c r="AP1036" s="133">
        <f t="shared" ref="AP1036:AP1052" si="1893">+(AJ1036*1000)/BB1036</f>
        <v>211.1608568181737</v>
      </c>
      <c r="AQ1036" s="134">
        <f>+BB1036/Outputs!$B$14</f>
        <v>1.0137206204965658E-2</v>
      </c>
      <c r="AR1036" s="93">
        <f t="shared" si="1883"/>
        <v>0.21173297650916079</v>
      </c>
      <c r="AS1036" s="93">
        <f t="shared" si="1884"/>
        <v>0.30662889625028489</v>
      </c>
      <c r="AT1036" s="93">
        <f t="shared" si="1885"/>
        <v>0.48163812724055421</v>
      </c>
      <c r="AU1036" s="93">
        <f t="shared" ca="1" si="1888"/>
        <v>-5.3485060083161361E-2</v>
      </c>
      <c r="AV1036" s="132">
        <f ca="1">+AV1035*EXP(AU1036)</f>
        <v>94.792010274551998</v>
      </c>
      <c r="AW1036" s="134">
        <f ca="1">LN(AV1036/AV1035)</f>
        <v>-5.3485060083161347E-2</v>
      </c>
      <c r="AX1036" s="56">
        <f>+AJ1036/$AL$11</f>
        <v>1.0151095769716205E-2</v>
      </c>
      <c r="AY1036" s="135">
        <f ca="1">+AX1036*AW1036</f>
        <v>-5.4293196715319615E-4</v>
      </c>
      <c r="AZ1036" s="93"/>
      <c r="BA1036" s="93"/>
      <c r="BB1036" s="234">
        <f>IFERROR(INDEX('Total Customers'!$E$7:$AA$91,MATCH($C1036,'Total Customers'!$C$7:$C$91,0),MATCH($G1036,'Total Customers'!$E$5:$AA$5,0)),"NA")</f>
        <v>351573</v>
      </c>
      <c r="BC1036" s="269">
        <f t="shared" si="1861"/>
        <v>5.1246438405241748E-2</v>
      </c>
      <c r="BD1036" s="92"/>
      <c r="BE1036" s="299" t="str">
        <f t="shared" si="1855"/>
        <v>SOUTH JERSEY GAS COMPANY</v>
      </c>
      <c r="BF1036" s="300">
        <f t="shared" si="1856"/>
        <v>4063023</v>
      </c>
      <c r="BG1036" s="231" t="str">
        <f t="shared" si="1857"/>
        <v>NJ</v>
      </c>
      <c r="BH1036" s="231"/>
      <c r="BI1036" s="231" t="str">
        <f t="shared" si="1858"/>
        <v>2006 Y</v>
      </c>
      <c r="BJ1036" s="129"/>
      <c r="BK1036" s="129"/>
      <c r="BL1036" s="129">
        <f>INDEX('Dist. Plant Gas Additions'!$E$7:$AD$91,MATCH($C1036,'Dist. Plant Gas Additions'!$C$7:$C$91,0),MATCH(Calculation!$G1036,'Dist. Plant Gas Additions'!$E$5:$AD$5,0))</f>
        <v>50256</v>
      </c>
      <c r="BM1036" s="129">
        <f>INDEX('Gen. Plant Additions'!$E$7:$AD$91,MATCH($C1036,'Gen. Plant Additions'!$C$7:$C$91,0),MATCH(Calculation!$G1036,'Gen. Plant Additions'!$E$5:$AD$5,0))</f>
        <v>3177</v>
      </c>
      <c r="BN1036" s="301">
        <f t="shared" si="1862"/>
        <v>0.96114620820089836</v>
      </c>
      <c r="BO1036" s="231">
        <f t="shared" si="1850"/>
        <v>3053.5615034542539</v>
      </c>
      <c r="BP1036" s="231">
        <f t="shared" si="1851"/>
        <v>-123.43849654574615</v>
      </c>
      <c r="BQ1036" s="129">
        <f>INDEX('Dist Plant Depreciation'!$D$7:$AC$94,MATCH($C1036,'Dist Plant Depreciation'!$C$7:$C$94,0),MATCH(Calculation!$G1036,'Dist Plant Depreciation'!$D$5:$AC$5,0))</f>
        <v>193496</v>
      </c>
      <c r="BR1036" s="129">
        <f>INDEX('Gen. Plant Depreciation'!$D$7:$AC$94,MATCH($C1036,'Gen. Plant Depreciation'!$C$7:$C$94,0),MATCH(Calculation!$G1036,'Gen. Plant Depreciation'!$D$5:$AC$5,0))</f>
        <v>14445</v>
      </c>
      <c r="BS1036" s="129"/>
      <c r="BT1036" s="129"/>
      <c r="BU1036" s="129"/>
      <c r="BV1036" s="129"/>
      <c r="BW1036" s="129"/>
      <c r="BX1036" s="137"/>
      <c r="BY1036" s="129">
        <f>INDEX('Gross Dx Plant'!$D$7:$AC$91,MATCH($C1036,'Gross Dx Plant'!$C$7:$C$91,0),MATCH(Calculation!$G1036,'Gross Dx Plant'!$D$5:$AC$5,0))</f>
        <v>878157</v>
      </c>
      <c r="BZ1036" s="129">
        <f>INDEX('Gross Gen Plant'!$D$7:$AC$91,MATCH($C1036,'Gross Gen Plant'!$C$7:$C$91,0),MATCH(Calculation!$G1036,'Gross Gen Plant'!$D$5:$AC$5,0))</f>
        <v>35499</v>
      </c>
      <c r="CA1036" s="129">
        <f t="shared" si="1852"/>
        <v>705715</v>
      </c>
      <c r="CB1036" s="134"/>
      <c r="CC1036" s="133">
        <v>2006</v>
      </c>
      <c r="CD1036" s="129"/>
      <c r="CE1036" s="129"/>
      <c r="CF1036" s="129"/>
      <c r="CG1036" s="137"/>
      <c r="CH1036" s="129">
        <f t="shared" si="1863"/>
        <v>53433</v>
      </c>
      <c r="CI1036" s="46">
        <f t="shared" si="1872"/>
        <v>53309.561503454257</v>
      </c>
      <c r="CJ1036" s="231">
        <f t="shared" si="1864"/>
        <v>115.61747557205828</v>
      </c>
      <c r="CK1036" s="443">
        <v>0.91489361702127658</v>
      </c>
      <c r="CL1036" s="231">
        <f>+CL1028*CK1036+CJ1029*CK1035+CJ1030*CK1034+CJ1031*CK1033+CJ1032*CK1032+CJ1033*CK1031+CJ1034*CK1030+CJ1035*CK1029+CJ1036</f>
        <v>2906.4727924829799</v>
      </c>
      <c r="CM1036" s="134">
        <f t="shared" si="1865"/>
        <v>2.8629192735233473E-2</v>
      </c>
      <c r="CN1036" s="135">
        <f t="shared" si="1866"/>
        <v>1.189166892338288E-2</v>
      </c>
      <c r="CO1036" s="135">
        <f t="shared" si="1875"/>
        <v>1.1598580875688783E-2</v>
      </c>
      <c r="CP1036" s="134">
        <f>VLOOKUP($H1036,RoR!$E:$F,2,FALSE)</f>
        <v>5.5874999999999994E-2</v>
      </c>
      <c r="CQ1036" s="135">
        <v>3.0512430354548314E-2</v>
      </c>
      <c r="CR1036" s="135">
        <f t="shared" si="1873"/>
        <v>2.536256964545168E-2</v>
      </c>
      <c r="CS1036" s="135">
        <f t="shared" si="1876"/>
        <v>1.9303360732844842E-2</v>
      </c>
      <c r="CT1036" s="135">
        <f t="shared" si="1877"/>
        <v>7.9087823893859641E-2</v>
      </c>
      <c r="CU1036" s="139">
        <f t="shared" si="1867"/>
        <v>0.84885500000000003</v>
      </c>
      <c r="CV1036" s="335">
        <f t="shared" si="1868"/>
        <v>0.91779957551769631</v>
      </c>
      <c r="CW1036" s="335">
        <f t="shared" si="1869"/>
        <v>0.52757270693512304</v>
      </c>
      <c r="CX1036" s="335">
        <f t="shared" si="1870"/>
        <v>0.88636824549024895</v>
      </c>
      <c r="CY1036" s="335">
        <f t="shared" si="1871"/>
        <v>0.42918482841932087</v>
      </c>
      <c r="CZ1036" s="336">
        <f>INDEX('State Tax Lookup'!$D$7:$Z$91,MATCH(Calculation!$C1036,'State Tax Lookup'!$B$7:$B$91,0),MATCH($H1036,'State Tax Lookup'!$D$6:$Z$6,0))</f>
        <v>0.40849999999999997</v>
      </c>
      <c r="DA1036" s="302">
        <v>0.37</v>
      </c>
      <c r="DB1036" s="57">
        <f t="shared" si="1874"/>
        <v>12.65951384322066</v>
      </c>
      <c r="DC1036" s="56">
        <f t="shared" si="1878"/>
        <v>-3.1154933394375708E-2</v>
      </c>
      <c r="DD1036" s="303">
        <f>VLOOKUP($H1036,RoR!$E:$F,2,FALSE)</f>
        <v>5.5874999999999994E-2</v>
      </c>
      <c r="DE1036" s="304">
        <f>HLOOKUP($H1036,'GDP-PI'!$D$8:$CQ$11,3,FALSE)</f>
        <v>3.0512430354548314E-2</v>
      </c>
      <c r="DF1036" s="303">
        <f>VLOOKUP(H1036,'HW Dx Data'!$E:$F,2,FALSE)</f>
        <v>461.08567272971823</v>
      </c>
      <c r="DG1036" s="364">
        <f ca="1">VLOOKUP(CC1036,'ECI - Input Price'!M$13:N$33,2,FALSE)</f>
        <v>109.4</v>
      </c>
      <c r="DH1036" s="364"/>
      <c r="DI1036" s="364"/>
      <c r="DJ1036" s="56">
        <f t="shared" ca="1" si="1886"/>
        <v>9.7620891318751846E-2</v>
      </c>
      <c r="DK1036" s="53">
        <f>HLOOKUP(H1036,'GDP-PI'!$8:$9,2,FALSE)</f>
        <v>90.073999999999998</v>
      </c>
      <c r="DL1036" s="355">
        <f t="shared" si="1879"/>
        <v>3.005618372545445E-2</v>
      </c>
      <c r="EC1036"/>
    </row>
    <row r="1037" spans="1:133" s="126" customFormat="1" ht="21" customHeight="1" x14ac:dyDescent="0.4">
      <c r="A1037" s="233" t="s">
        <v>244</v>
      </c>
      <c r="B1037" s="126" t="s">
        <v>244</v>
      </c>
      <c r="C1037" s="126">
        <v>4063023</v>
      </c>
      <c r="D1037" s="127" t="s">
        <v>218</v>
      </c>
      <c r="E1037" s="127" t="s">
        <v>15</v>
      </c>
      <c r="F1037" s="144"/>
      <c r="G1037" s="126" t="s">
        <v>163</v>
      </c>
      <c r="H1037" s="128">
        <v>2007</v>
      </c>
      <c r="I1037" s="129"/>
      <c r="J1037" s="125">
        <f>IFERROR(INDEX('Labor Expenditures'!$E$7:$W$91,MATCH($C1037,'Labor Expenditures'!$C$7:$C$91,0),MATCH($G1037,'Labor Expenditures'!$E$5:$W$5,0)),"NA")</f>
        <v>16840.51978834199</v>
      </c>
      <c r="K1037" s="125">
        <f t="shared" ca="1" si="1880"/>
        <v>161.11475521016015</v>
      </c>
      <c r="L1037" s="47"/>
      <c r="M1037" s="131">
        <f t="shared" ca="1" si="1887"/>
        <v>0.11451954065433294</v>
      </c>
      <c r="N1037" s="131"/>
      <c r="O1037" s="131"/>
      <c r="P1037" s="59">
        <f t="shared" ca="1" si="1889"/>
        <v>1.2018088219521018E-3</v>
      </c>
      <c r="Q1037" s="61"/>
      <c r="R1037" s="387"/>
      <c r="S1037" s="49">
        <f t="shared" ref="S1037:S1050" ca="1" si="1894">+S1036*EXP(T1037)</f>
        <v>120.4057921613731</v>
      </c>
      <c r="T1037" s="61">
        <f ca="1">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</f>
        <v>5.1809222788978149E-2</v>
      </c>
      <c r="U1037" s="61"/>
      <c r="V1037" s="125">
        <f>IFERROR(INDEX('Non-Labor Expenditures'!$E$7:$AA$91,MATCH($C1037,'Non-Labor Expenditures'!$C$7:$C$91,0),MATCH($G1037,'Non-Labor Expenditures'!$E$5:$AA$5,0)),"NA")</f>
        <v>24388.218028744188</v>
      </c>
      <c r="W1037" s="125">
        <f t="shared" si="1881"/>
        <v>263.66211192397873</v>
      </c>
      <c r="X1037" s="131">
        <f t="shared" si="1890"/>
        <v>4.2379459959042569E-2</v>
      </c>
      <c r="Y1037" s="131">
        <f t="shared" si="1891"/>
        <v>4.4474513744407134E-4</v>
      </c>
      <c r="Z1037" s="131"/>
      <c r="AA1037" s="131"/>
      <c r="AB1037" s="131"/>
      <c r="AC1037" s="125">
        <f t="shared" si="1860"/>
        <v>39214.336101840949</v>
      </c>
      <c r="AD1037" s="129"/>
      <c r="AE1037" s="133">
        <v>3093.8553570093632</v>
      </c>
      <c r="AF1037" s="134">
        <v>2.5482353154149595E-2</v>
      </c>
      <c r="AG1037" s="59">
        <f t="shared" si="1882"/>
        <v>2.6742088424188272E-4</v>
      </c>
      <c r="AH1037" s="134"/>
      <c r="AI1037" s="134"/>
      <c r="AJ1037" s="129">
        <f t="shared" si="1809"/>
        <v>80443.073918927126</v>
      </c>
      <c r="AK1037" s="134">
        <f t="shared" si="1892"/>
        <v>8.02674882936701E-2</v>
      </c>
      <c r="AL1037" s="129"/>
      <c r="AM1037" s="129"/>
      <c r="AN1037" s="129"/>
      <c r="AO1037" s="129"/>
      <c r="AP1037" s="133">
        <f t="shared" si="1893"/>
        <v>241.92969125046505</v>
      </c>
      <c r="AQ1037" s="134">
        <f>+BB1037/Outputs!$B$15</f>
        <v>9.5152465696438093E-3</v>
      </c>
      <c r="AR1037" s="93">
        <f t="shared" si="1883"/>
        <v>0.20934704466060505</v>
      </c>
      <c r="AS1037" s="93">
        <f t="shared" si="1884"/>
        <v>0.30317362130297687</v>
      </c>
      <c r="AT1037" s="93">
        <f t="shared" si="1885"/>
        <v>0.48747933403641808</v>
      </c>
      <c r="AU1037" s="93">
        <f t="shared" ca="1" si="1888"/>
        <v>4.9380192687381447E-2</v>
      </c>
      <c r="AV1037" s="132">
        <f ca="1">+AV1036*EXP(AU1037)</f>
        <v>99.590354605641664</v>
      </c>
      <c r="AW1037" s="134">
        <f ca="1">LN(AV1037/AV1036)</f>
        <v>4.9380192687381516E-2</v>
      </c>
      <c r="AX1037" s="56">
        <f>+AJ1037/$AL$12</f>
        <v>1.0494355942097734E-2</v>
      </c>
      <c r="AY1037" s="135">
        <f t="shared" ref="AY1037:AY1051" ca="1" si="1895">+AX1037*AW1037</f>
        <v>5.1821331855075327E-4</v>
      </c>
      <c r="AZ1037" s="93"/>
      <c r="BA1037" s="93"/>
      <c r="BB1037" s="234">
        <f>IFERROR(INDEX('Total Customers'!$E$7:$AA$91,MATCH($C1037,'Total Customers'!$C$7:$C$91,0),MATCH($G1037,'Total Customers'!$E$5:$AA$5,0)),"NA")</f>
        <v>332506</v>
      </c>
      <c r="BC1037" s="269">
        <f t="shared" si="1861"/>
        <v>-5.5759466007626664E-2</v>
      </c>
      <c r="BD1037" s="92"/>
      <c r="BE1037" s="299" t="str">
        <f t="shared" si="1855"/>
        <v>SOUTH JERSEY GAS COMPANY</v>
      </c>
      <c r="BF1037" s="300">
        <f t="shared" si="1856"/>
        <v>4063023</v>
      </c>
      <c r="BG1037" s="231" t="str">
        <f t="shared" si="1857"/>
        <v>NJ</v>
      </c>
      <c r="BH1037" s="231"/>
      <c r="BI1037" s="231" t="str">
        <f t="shared" si="1858"/>
        <v>2007 Y</v>
      </c>
      <c r="BJ1037" s="129"/>
      <c r="BK1037" s="129"/>
      <c r="BL1037" s="129">
        <f>INDEX('Dist. Plant Gas Additions'!$E$7:$AD$91,MATCH($C1037,'Dist. Plant Gas Additions'!$C$7:$C$91,0),MATCH(Calculation!$G1037,'Dist. Plant Gas Additions'!$E$5:$AD$5,0))</f>
        <v>45155</v>
      </c>
      <c r="BM1037" s="129">
        <f>INDEX('Gen. Plant Additions'!$E$7:$AD$91,MATCH($C1037,'Gen. Plant Additions'!$C$7:$C$91,0),MATCH(Calculation!$G1037,'Gen. Plant Additions'!$E$5:$AD$5,0))</f>
        <v>3177</v>
      </c>
      <c r="BN1037" s="301">
        <f t="shared" si="1862"/>
        <v>0.9612000727773119</v>
      </c>
      <c r="BO1037" s="231">
        <f t="shared" si="1850"/>
        <v>3053.7326312135201</v>
      </c>
      <c r="BP1037" s="231">
        <f t="shared" si="1851"/>
        <v>-123.26736878647989</v>
      </c>
      <c r="BQ1037" s="129">
        <f>INDEX('Dist Plant Depreciation'!$D$7:$AC$94,MATCH($C1037,'Dist Plant Depreciation'!$C$7:$C$94,0),MATCH(Calculation!$G1037,'Dist Plant Depreciation'!$D$5:$AC$5,0))</f>
        <v>207527</v>
      </c>
      <c r="BR1037" s="129">
        <f>INDEX('Gen. Plant Depreciation'!$D$7:$AC$94,MATCH($C1037,'Gen. Plant Depreciation'!$C$7:$C$94,0),MATCH(Calculation!$G1037,'Gen. Plant Depreciation'!$D$5:$AC$5,0))</f>
        <v>15723</v>
      </c>
      <c r="BS1037" s="129"/>
      <c r="BT1037" s="129"/>
      <c r="BU1037" s="129"/>
      <c r="BV1037" s="129"/>
      <c r="BW1037" s="129"/>
      <c r="BX1037" s="137"/>
      <c r="BY1037" s="129">
        <f>INDEX('Gross Dx Plant'!$D$7:$AC$91,MATCH($C1037,'Gross Dx Plant'!$C$7:$C$91,0),MATCH(Calculation!$G1037,'Gross Dx Plant'!$D$5:$AC$5,0))</f>
        <v>919236</v>
      </c>
      <c r="BZ1037" s="129">
        <f>INDEX('Gross Gen Plant'!$D$7:$AC$91,MATCH($C1037,'Gross Gen Plant'!$C$7:$C$91,0),MATCH(Calculation!$G1037,'Gross Gen Plant'!$D$5:$AC$5,0))</f>
        <v>37106</v>
      </c>
      <c r="CA1037" s="129">
        <f t="shared" si="1852"/>
        <v>733092</v>
      </c>
      <c r="CB1037" s="129"/>
      <c r="CC1037" s="133">
        <v>2007</v>
      </c>
      <c r="CD1037" s="129"/>
      <c r="CE1037" s="129"/>
      <c r="CF1037" s="129"/>
      <c r="CG1037" s="137"/>
      <c r="CH1037" s="129">
        <f t="shared" si="1863"/>
        <v>48332</v>
      </c>
      <c r="CI1037" s="46">
        <f t="shared" si="1872"/>
        <v>48208.732631213519</v>
      </c>
      <c r="CJ1037" s="231">
        <f t="shared" si="1864"/>
        <v>96.800346355994563</v>
      </c>
      <c r="CK1037" s="443">
        <v>0.90322580645161288</v>
      </c>
      <c r="CL1037" s="231">
        <f>+CL1028*CK1037+CJ1029*CK1036+CJ1030*CK1035+CJ1031*CK1034+CJ1032*CK1033+CJ1033*CK1032+CJ1034*CK1031+CJ1035*CK1030+CJ1036*CK1029+CJ1037</f>
        <v>2967.8266522036024</v>
      </c>
      <c r="CM1037" s="134">
        <f t="shared" si="1865"/>
        <v>2.0889670813274221E-2</v>
      </c>
      <c r="CN1037" s="135">
        <f t="shared" si="1866"/>
        <v>1.2195705642608261E-2</v>
      </c>
      <c r="CO1037" s="135">
        <f t="shared" si="1875"/>
        <v>1.1894493256168802E-2</v>
      </c>
      <c r="CP1037" s="134">
        <f>VLOOKUP($H1037,RoR!$E:$F,2,FALSE)</f>
        <v>5.5558333333333321E-2</v>
      </c>
      <c r="CQ1037" s="135">
        <v>2.691120634145272E-2</v>
      </c>
      <c r="CR1037" s="135">
        <f t="shared" si="1873"/>
        <v>2.86471269918806E-2</v>
      </c>
      <c r="CS1037" s="135">
        <f t="shared" si="1876"/>
        <v>1.9007448352364821E-2</v>
      </c>
      <c r="CT1037" s="135">
        <f t="shared" si="1877"/>
        <v>6.4575155250632399E-2</v>
      </c>
      <c r="CU1037" s="139">
        <f t="shared" si="1867"/>
        <v>0.84885500000000003</v>
      </c>
      <c r="CV1037" s="335">
        <f t="shared" si="1868"/>
        <v>0.92303077153834634</v>
      </c>
      <c r="CW1037" s="335">
        <f t="shared" si="1869"/>
        <v>0.52502249887505614</v>
      </c>
      <c r="CX1037" s="335">
        <f t="shared" si="1870"/>
        <v>0.88499666072084604</v>
      </c>
      <c r="CY1037" s="335">
        <f t="shared" si="1871"/>
        <v>0.42887993290280618</v>
      </c>
      <c r="CZ1037" s="336">
        <f>INDEX('State Tax Lookup'!$D$7:$Z$91,MATCH(Calculation!$C1037,'State Tax Lookup'!$B$7:$B$91,0),MATCH($H1037,'State Tax Lookup'!$D$6:$Z$6,0))</f>
        <v>0.40849999999999997</v>
      </c>
      <c r="DA1037" s="302">
        <v>0.37</v>
      </c>
      <c r="DB1037" s="57">
        <f t="shared" si="1874"/>
        <v>13.492070596105737</v>
      </c>
      <c r="DC1037" s="56">
        <f t="shared" si="1878"/>
        <v>6.369313465832066E-2</v>
      </c>
      <c r="DD1037" s="303">
        <f>VLOOKUP($H1037,RoR!$E:$F,2,FALSE)</f>
        <v>5.5558333333333321E-2</v>
      </c>
      <c r="DE1037" s="304">
        <f>HLOOKUP($H1037,'GDP-PI'!$D$8:$CQ$11,3,FALSE)</f>
        <v>2.691120634145272E-2</v>
      </c>
      <c r="DF1037" s="303">
        <f>VLOOKUP(H1037,'HW Dx Data'!$E:$F,2,FALSE)</f>
        <v>498.0223154772637</v>
      </c>
      <c r="DG1037" s="364">
        <f ca="1">VLOOKUP(CC1037,'ECI - Input Price'!M$13:N$33,2,FALSE)</f>
        <v>104.52499999999999</v>
      </c>
      <c r="DH1037" s="364"/>
      <c r="DI1037" s="364"/>
      <c r="DJ1037" s="56">
        <f t="shared" ca="1" si="1886"/>
        <v>-4.5584612745252218E-2</v>
      </c>
      <c r="DK1037" s="53">
        <f>HLOOKUP(H1037,'GDP-PI'!$8:$9,2,FALSE)</f>
        <v>92.498000000000005</v>
      </c>
      <c r="DL1037" s="355">
        <f t="shared" si="1879"/>
        <v>2.6555467950038037E-2</v>
      </c>
      <c r="EC1037"/>
    </row>
    <row r="1038" spans="1:133" s="126" customFormat="1" ht="21" customHeight="1" x14ac:dyDescent="0.4">
      <c r="A1038" s="233" t="s">
        <v>244</v>
      </c>
      <c r="B1038" s="126" t="s">
        <v>244</v>
      </c>
      <c r="C1038" s="126">
        <v>4063023</v>
      </c>
      <c r="D1038" s="127" t="s">
        <v>218</v>
      </c>
      <c r="E1038" s="127" t="s">
        <v>15</v>
      </c>
      <c r="F1038" s="144"/>
      <c r="G1038" s="126" t="s">
        <v>164</v>
      </c>
      <c r="H1038" s="128">
        <v>2008</v>
      </c>
      <c r="I1038" s="129"/>
      <c r="J1038" s="125">
        <f>IFERROR(INDEX('Labor Expenditures'!$E$7:$W$91,MATCH($C1038,'Labor Expenditures'!$C$7:$C$91,0),MATCH($G1038,'Labor Expenditures'!$E$5:$W$5,0)),"NA")</f>
        <v>17334.708784259605</v>
      </c>
      <c r="K1038" s="125">
        <f t="shared" ca="1" si="1880"/>
        <v>160.65531774105287</v>
      </c>
      <c r="L1038" s="47"/>
      <c r="M1038" s="131">
        <f t="shared" ca="1" si="1887"/>
        <v>-2.8556899472849282E-3</v>
      </c>
      <c r="N1038" s="131"/>
      <c r="O1038" s="131"/>
      <c r="P1038" s="59">
        <f t="shared" ca="1" si="1889"/>
        <v>-3.0898164995126111E-5</v>
      </c>
      <c r="Q1038" s="61"/>
      <c r="R1038" s="387"/>
      <c r="S1038" s="49">
        <f t="shared" ca="1" si="1894"/>
        <v>112.94464421291963</v>
      </c>
      <c r="T1038" s="61">
        <f ca="1">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</f>
        <v>-6.3969814907372011E-2</v>
      </c>
      <c r="U1038" s="61"/>
      <c r="V1038" s="125">
        <f>IFERROR(INDEX('Non-Labor Expenditures'!$E$7:$AA$91,MATCH($C1038,'Non-Labor Expenditures'!$C$7:$C$91,0),MATCH($G1038,'Non-Labor Expenditures'!$E$5:$AA$5,0)),"NA")</f>
        <v>25103.895996605275</v>
      </c>
      <c r="W1038" s="125">
        <f t="shared" si="1881"/>
        <v>266.31477548804713</v>
      </c>
      <c r="X1038" s="131">
        <f t="shared" si="1890"/>
        <v>1.0010571326143297E-2</v>
      </c>
      <c r="Y1038" s="131">
        <f t="shared" si="1891"/>
        <v>1.0831297873381931E-4</v>
      </c>
      <c r="Z1038" s="131"/>
      <c r="AA1038" s="131"/>
      <c r="AB1038" s="131"/>
      <c r="AC1038" s="125">
        <f t="shared" si="1860"/>
        <v>45090.763476746586</v>
      </c>
      <c r="AD1038" s="129"/>
      <c r="AE1038" s="133">
        <v>3161.9785559633319</v>
      </c>
      <c r="AF1038" s="134">
        <v>2.1779955423088703E-2</v>
      </c>
      <c r="AG1038" s="59">
        <f t="shared" si="1882"/>
        <v>2.3565606514422535E-4</v>
      </c>
      <c r="AH1038" s="134"/>
      <c r="AI1038" s="134"/>
      <c r="AJ1038" s="129">
        <f t="shared" si="1809"/>
        <v>87529.368257611466</v>
      </c>
      <c r="AK1038" s="134">
        <f t="shared" si="1892"/>
        <v>8.442459629488637E-2</v>
      </c>
      <c r="AL1038" s="129"/>
      <c r="AM1038" s="129"/>
      <c r="AN1038" s="129"/>
      <c r="AO1038" s="129"/>
      <c r="AP1038" s="133">
        <f t="shared" si="1893"/>
        <v>259.6278282748446</v>
      </c>
      <c r="AQ1038" s="134">
        <f>+BB1038/Outputs!$B$16</f>
        <v>9.5961028779513336E-3</v>
      </c>
      <c r="AR1038" s="93">
        <f t="shared" si="1883"/>
        <v>0.19804448643158346</v>
      </c>
      <c r="AS1038" s="93">
        <f t="shared" si="1884"/>
        <v>0.28680540596067039</v>
      </c>
      <c r="AT1038" s="93">
        <f t="shared" si="1885"/>
        <v>0.51515010760774615</v>
      </c>
      <c r="AU1038" s="93">
        <f t="shared" ca="1" si="1888"/>
        <v>1.3289933889144307E-2</v>
      </c>
      <c r="AV1038" s="132">
        <f t="shared" ref="AV1038:AV1051" ca="1" si="1896">+AV1037*EXP(AU1038)</f>
        <v>100.92273786640904</v>
      </c>
      <c r="AW1038" s="134">
        <f t="shared" ref="AW1038:AW1051" ca="1" si="1897">LN(AV1038/AV1037)</f>
        <v>1.3289933889144415E-2</v>
      </c>
      <c r="AX1038" s="56">
        <f>+AJ1038/$AL$13</f>
        <v>1.0819859846655554E-2</v>
      </c>
      <c r="AY1038" s="135">
        <f t="shared" ca="1" si="1895"/>
        <v>1.4379522205186054E-4</v>
      </c>
      <c r="AZ1038" s="93"/>
      <c r="BA1038" s="93"/>
      <c r="BB1038" s="234">
        <f>IFERROR(INDEX('Total Customers'!$E$7:$AA$91,MATCH($C1038,'Total Customers'!$C$7:$C$91,0),MATCH($G1038,'Total Customers'!$E$5:$AA$5,0)),"NA")</f>
        <v>337134</v>
      </c>
      <c r="BC1038" s="269">
        <f t="shared" si="1861"/>
        <v>1.3822572386928512E-2</v>
      </c>
      <c r="BD1038" s="92"/>
      <c r="BE1038" s="299" t="str">
        <f t="shared" si="1855"/>
        <v>SOUTH JERSEY GAS COMPANY</v>
      </c>
      <c r="BF1038" s="300">
        <f t="shared" si="1856"/>
        <v>4063023</v>
      </c>
      <c r="BG1038" s="231" t="str">
        <f t="shared" si="1857"/>
        <v>NJ</v>
      </c>
      <c r="BH1038" s="231"/>
      <c r="BI1038" s="231" t="str">
        <f t="shared" si="1858"/>
        <v>2008 Y</v>
      </c>
      <c r="BJ1038" s="129"/>
      <c r="BK1038" s="129"/>
      <c r="BL1038" s="129">
        <f>INDEX('Dist. Plant Gas Additions'!$E$7:$AD$91,MATCH($C1038,'Dist. Plant Gas Additions'!$C$7:$C$91,0),MATCH(Calculation!$G1038,'Dist. Plant Gas Additions'!$E$5:$AD$5,0))</f>
        <v>47235</v>
      </c>
      <c r="BM1038" s="129">
        <f>INDEX('Gen. Plant Additions'!$E$7:$AD$91,MATCH($C1038,'Gen. Plant Additions'!$C$7:$C$91,0),MATCH(Calculation!$G1038,'Gen. Plant Additions'!$E$5:$AD$5,0))</f>
        <v>3177</v>
      </c>
      <c r="BN1038" s="301">
        <f t="shared" si="1862"/>
        <v>0.95894613903683479</v>
      </c>
      <c r="BO1038" s="231">
        <f t="shared" si="1850"/>
        <v>3046.5718837200243</v>
      </c>
      <c r="BP1038" s="231">
        <f t="shared" si="1851"/>
        <v>-130.42811627997571</v>
      </c>
      <c r="BQ1038" s="129">
        <f>INDEX('Dist Plant Depreciation'!$D$7:$AC$94,MATCH($C1038,'Dist Plant Depreciation'!$C$7:$C$94,0),MATCH(Calculation!$G1038,'Dist Plant Depreciation'!$D$5:$AC$5,0))</f>
        <v>222276</v>
      </c>
      <c r="BR1038" s="129">
        <f>INDEX('Gen. Plant Depreciation'!$D$7:$AC$94,MATCH($C1038,'Gen. Plant Depreciation'!$C$7:$C$94,0),MATCH(Calculation!$G1038,'Gen. Plant Depreciation'!$D$5:$AC$5,0))</f>
        <v>17304</v>
      </c>
      <c r="BS1038" s="129"/>
      <c r="BT1038" s="129"/>
      <c r="BU1038" s="129"/>
      <c r="BV1038" s="129"/>
      <c r="BW1038" s="129"/>
      <c r="BX1038" s="137"/>
      <c r="BY1038" s="129">
        <f>INDEX('Gross Dx Plant'!$D$7:$AC$91,MATCH($C1038,'Gross Dx Plant'!$C$7:$C$91,0),MATCH(Calculation!$G1038,'Gross Dx Plant'!$D$5:$AC$5,0))</f>
        <v>959837</v>
      </c>
      <c r="BZ1038" s="129">
        <f>INDEX('Gross Gen Plant'!$D$7:$AC$91,MATCH($C1038,'Gross Gen Plant'!$C$7:$C$91,0),MATCH(Calculation!$G1038,'Gross Gen Plant'!$D$5:$AC$5,0))</f>
        <v>41092</v>
      </c>
      <c r="CA1038" s="129">
        <f t="shared" si="1852"/>
        <v>761349</v>
      </c>
      <c r="CB1038" s="129"/>
      <c r="CC1038" s="133">
        <v>2008</v>
      </c>
      <c r="CD1038" s="129"/>
      <c r="CE1038" s="129"/>
      <c r="CF1038" s="129"/>
      <c r="CG1038" s="137"/>
      <c r="CH1038" s="129">
        <f t="shared" si="1863"/>
        <v>50412</v>
      </c>
      <c r="CI1038" s="46">
        <f t="shared" si="1872"/>
        <v>50281.571883720026</v>
      </c>
      <c r="CJ1038" s="231">
        <f t="shared" si="1864"/>
        <v>88.231672828396682</v>
      </c>
      <c r="CK1038" s="443">
        <v>0.89130434782608692</v>
      </c>
      <c r="CL1038" s="231">
        <f>+CL1028*CK1038+CJ1029*CK1037+CJ1030*CK1036+CJ1031*CK1035+CJ1032*CK1034+CJ1033*CK1033+CJ1034*CK1032+CJ1035*CK1031+CJ1036*CK1030+CJ1037*CK1029+CJ1038</f>
        <v>3018.8930529201593</v>
      </c>
      <c r="CM1038" s="134">
        <f t="shared" si="1865"/>
        <v>1.7060307419182512E-2</v>
      </c>
      <c r="CN1038" s="135">
        <f t="shared" si="1866"/>
        <v>1.2522723348496332E-2</v>
      </c>
      <c r="CO1038" s="135">
        <f t="shared" si="1875"/>
        <v>1.2203365971495824E-2</v>
      </c>
      <c r="CP1038" s="134">
        <f>VLOOKUP($H1038,RoR!$E:$F,2,FALSE)</f>
        <v>5.6316666666666668E-2</v>
      </c>
      <c r="CQ1038" s="135">
        <v>1.9092304698479889E-2</v>
      </c>
      <c r="CR1038" s="135">
        <f t="shared" si="1873"/>
        <v>3.7224361968186778E-2</v>
      </c>
      <c r="CS1038" s="135">
        <f t="shared" si="1876"/>
        <v>1.86985756370378E-2</v>
      </c>
      <c r="CT1038" s="135">
        <f t="shared" si="1877"/>
        <v>6.9030581091053131E-2</v>
      </c>
      <c r="CU1038" s="139">
        <f t="shared" si="1867"/>
        <v>0.84885500000000003</v>
      </c>
      <c r="CV1038" s="335">
        <f t="shared" si="1868"/>
        <v>0.91060168006009956</v>
      </c>
      <c r="CW1038" s="335">
        <f t="shared" si="1869"/>
        <v>0.53108168097070152</v>
      </c>
      <c r="CX1038" s="335">
        <f t="shared" si="1870"/>
        <v>0.88825329850328805</v>
      </c>
      <c r="CY1038" s="335">
        <f t="shared" si="1871"/>
        <v>0.4295627335323573</v>
      </c>
      <c r="CZ1038" s="336">
        <f>INDEX('State Tax Lookup'!$D$7:$Z$91,MATCH(Calculation!$C1038,'State Tax Lookup'!$B$7:$B$91,0),MATCH($H1038,'State Tax Lookup'!$D$6:$Z$6,0))</f>
        <v>0.40849999999999997</v>
      </c>
      <c r="DA1038" s="302">
        <v>0.37</v>
      </c>
      <c r="DB1038" s="57">
        <f t="shared" si="1874"/>
        <v>15.193193121056053</v>
      </c>
      <c r="DC1038" s="56">
        <f t="shared" si="1878"/>
        <v>0.11874535693972733</v>
      </c>
      <c r="DD1038" s="303">
        <f>VLOOKUP($H1038,RoR!$E:$F,2,FALSE)</f>
        <v>5.6316666666666668E-2</v>
      </c>
      <c r="DE1038" s="304">
        <f>HLOOKUP($H1038,'GDP-PI'!$D$8:$CQ$11,3,FALSE)</f>
        <v>1.9092304698479889E-2</v>
      </c>
      <c r="DF1038" s="303">
        <f>VLOOKUP(H1038,'HW Dx Data'!$E:$F,2,FALSE)</f>
        <v>569.88120333515076</v>
      </c>
      <c r="DG1038" s="364">
        <f ca="1">VLOOKUP(CC1038,'ECI - Input Price'!M$13:N$33,2,FALSE)</f>
        <v>107.9</v>
      </c>
      <c r="DH1038" s="364"/>
      <c r="DI1038" s="364"/>
      <c r="DJ1038" s="56">
        <f t="shared" ca="1" si="1886"/>
        <v>3.1778595021460486E-2</v>
      </c>
      <c r="DK1038" s="53">
        <f>HLOOKUP(H1038,'GDP-PI'!$8:$9,2,FALSE)</f>
        <v>94.263999999999996</v>
      </c>
      <c r="DL1038" s="355">
        <f t="shared" si="1879"/>
        <v>1.8912333748032254E-2</v>
      </c>
      <c r="EC1038"/>
    </row>
    <row r="1039" spans="1:133" s="126" customFormat="1" ht="21" customHeight="1" x14ac:dyDescent="0.4">
      <c r="A1039" s="233" t="s">
        <v>244</v>
      </c>
      <c r="B1039" s="126" t="s">
        <v>244</v>
      </c>
      <c r="C1039" s="126">
        <v>4063023</v>
      </c>
      <c r="D1039" s="127" t="s">
        <v>218</v>
      </c>
      <c r="E1039" s="127" t="s">
        <v>15</v>
      </c>
      <c r="F1039" s="144"/>
      <c r="G1039" s="126" t="s">
        <v>165</v>
      </c>
      <c r="H1039" s="128">
        <v>2009</v>
      </c>
      <c r="I1039" s="129"/>
      <c r="J1039" s="125">
        <f>IFERROR(INDEX('Labor Expenditures'!$E$7:$W$91,MATCH($C1039,'Labor Expenditures'!$C$7:$C$91,0),MATCH($G1039,'Labor Expenditures'!$E$5:$W$5,0)),"NA")</f>
        <v>19278.155667304527</v>
      </c>
      <c r="K1039" s="125">
        <f t="shared" ca="1" si="1880"/>
        <v>173.79450680463853</v>
      </c>
      <c r="L1039" s="47"/>
      <c r="M1039" s="131">
        <f t="shared" ca="1" si="1887"/>
        <v>7.8612419493156394E-2</v>
      </c>
      <c r="N1039" s="131"/>
      <c r="O1039" s="131"/>
      <c r="P1039" s="59">
        <f t="shared" ca="1" si="1889"/>
        <v>8.4383034968497255E-4</v>
      </c>
      <c r="Q1039" s="61"/>
      <c r="R1039" s="387"/>
      <c r="S1039" s="49">
        <f t="shared" ca="1" si="1894"/>
        <v>118.07320325285535</v>
      </c>
      <c r="T1039" s="61">
        <f ca="1">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</f>
        <v>4.4406974204691897E-2</v>
      </c>
      <c r="U1039" s="61"/>
      <c r="V1039" s="125">
        <f>IFERROR(INDEX('Non-Labor Expenditures'!$E$7:$AA$91,MATCH($C1039,'Non-Labor Expenditures'!$C$7:$C$91,0),MATCH($G1039,'Non-Labor Expenditures'!$E$5:$AA$5,0)),"NA")</f>
        <v>27918.370069061995</v>
      </c>
      <c r="W1039" s="125">
        <f t="shared" si="1881"/>
        <v>293.88067315510688</v>
      </c>
      <c r="X1039" s="131">
        <f t="shared" si="1890"/>
        <v>9.8494835675730877E-2</v>
      </c>
      <c r="Y1039" s="131">
        <f t="shared" si="1891"/>
        <v>1.0572493782315311E-3</v>
      </c>
      <c r="Z1039" s="131"/>
      <c r="AA1039" s="131"/>
      <c r="AB1039" s="131"/>
      <c r="AC1039" s="125">
        <f t="shared" si="1860"/>
        <v>43579.522609030428</v>
      </c>
      <c r="AD1039" s="129"/>
      <c r="AE1039" s="133">
        <v>3269.3141930112533</v>
      </c>
      <c r="AF1039" s="134">
        <v>3.3382279036519025E-2</v>
      </c>
      <c r="AG1039" s="59">
        <f t="shared" si="1882"/>
        <v>3.5832735303509424E-4</v>
      </c>
      <c r="AH1039" s="134"/>
      <c r="AI1039" s="134"/>
      <c r="AJ1039" s="129">
        <f t="shared" si="1809"/>
        <v>90776.04834539695</v>
      </c>
      <c r="AK1039" s="134">
        <f t="shared" si="1892"/>
        <v>3.6421091787769422E-2</v>
      </c>
      <c r="AL1039" s="129"/>
      <c r="AM1039" s="129"/>
      <c r="AN1039" s="129"/>
      <c r="AO1039" s="129"/>
      <c r="AP1039" s="133">
        <f t="shared" si="1893"/>
        <v>266.00416208674068</v>
      </c>
      <c r="AQ1039" s="134">
        <f>+BB1039/Outputs!$B$17</f>
        <v>9.7011049477176009E-3</v>
      </c>
      <c r="AR1039" s="93">
        <f t="shared" si="1883"/>
        <v>0.21237050982823574</v>
      </c>
      <c r="AS1039" s="93">
        <f t="shared" si="1884"/>
        <v>0.30755216357110432</v>
      </c>
      <c r="AT1039" s="93">
        <f t="shared" si="1885"/>
        <v>0.48007732660065994</v>
      </c>
      <c r="AU1039" s="93">
        <f t="shared" ca="1" si="1888"/>
        <v>6.2013913454730972E-2</v>
      </c>
      <c r="AV1039" s="132">
        <f t="shared" ca="1" si="1896"/>
        <v>107.37948682595281</v>
      </c>
      <c r="AW1039" s="134">
        <f t="shared" ca="1" si="1897"/>
        <v>6.201391345473093E-2</v>
      </c>
      <c r="AX1039" s="56">
        <f>+AJ1039/$AL$14</f>
        <v>1.0734059009065764E-2</v>
      </c>
      <c r="AY1039" s="135">
        <f t="shared" ca="1" si="1895"/>
        <v>6.656610064061792E-4</v>
      </c>
      <c r="AZ1039" s="93"/>
      <c r="BA1039" s="93"/>
      <c r="BB1039" s="234">
        <f>IFERROR(INDEX('Total Customers'!$E$7:$AA$91,MATCH($C1039,'Total Customers'!$C$7:$C$91,0),MATCH($G1039,'Total Customers'!$E$5:$AA$5,0)),"NA")</f>
        <v>341258</v>
      </c>
      <c r="BC1039" s="269">
        <f t="shared" si="1861"/>
        <v>1.2158312015016642E-2</v>
      </c>
      <c r="BD1039" s="92"/>
      <c r="BE1039" s="299" t="str">
        <f t="shared" si="1855"/>
        <v>SOUTH JERSEY GAS COMPANY</v>
      </c>
      <c r="BF1039" s="300">
        <f t="shared" si="1856"/>
        <v>4063023</v>
      </c>
      <c r="BG1039" s="231" t="str">
        <f t="shared" si="1857"/>
        <v>NJ</v>
      </c>
      <c r="BH1039" s="231"/>
      <c r="BI1039" s="231" t="str">
        <f t="shared" si="1858"/>
        <v>2009 Y</v>
      </c>
      <c r="BJ1039" s="129"/>
      <c r="BK1039" s="129"/>
      <c r="BL1039" s="129">
        <f>INDEX('Dist. Plant Gas Additions'!$E$7:$AD$91,MATCH($C1039,'Dist. Plant Gas Additions'!$C$7:$C$91,0),MATCH(Calculation!$G1039,'Dist. Plant Gas Additions'!$E$5:$AD$5,0))</f>
        <v>65868</v>
      </c>
      <c r="BM1039" s="129">
        <f>INDEX('Gen. Plant Additions'!$E$7:$AD$91,MATCH($C1039,'Gen. Plant Additions'!$C$7:$C$91,0),MATCH(Calculation!$G1039,'Gen. Plant Additions'!$E$5:$AD$5,0))</f>
        <v>5099</v>
      </c>
      <c r="BN1039" s="301">
        <f t="shared" si="1862"/>
        <v>0.95778815483553903</v>
      </c>
      <c r="BO1039" s="231">
        <f t="shared" si="1850"/>
        <v>4883.7618015064136</v>
      </c>
      <c r="BP1039" s="231">
        <f t="shared" si="1851"/>
        <v>-215.23819849358642</v>
      </c>
      <c r="BQ1039" s="129">
        <f>INDEX('Dist Plant Depreciation'!$D$7:$AC$94,MATCH($C1039,'Dist Plant Depreciation'!$C$7:$C$94,0),MATCH(Calculation!$G1039,'Dist Plant Depreciation'!$D$5:$AC$5,0))</f>
        <v>236795</v>
      </c>
      <c r="BR1039" s="129">
        <f>INDEX('Gen. Plant Depreciation'!$D$7:$AC$94,MATCH($C1039,'Gen. Plant Depreciation'!$C$7:$C$94,0),MATCH(Calculation!$G1039,'Gen. Plant Depreciation'!$D$5:$AC$5,0))</f>
        <v>20259</v>
      </c>
      <c r="BS1039" s="129"/>
      <c r="BT1039" s="129"/>
      <c r="BU1039" s="129"/>
      <c r="BV1039" s="129"/>
      <c r="BW1039" s="129"/>
      <c r="BX1039" s="137"/>
      <c r="BY1039" s="129">
        <f>INDEX('Gross Dx Plant'!$D$7:$AC$91,MATCH($C1039,'Gross Dx Plant'!$C$7:$C$91,0),MATCH(Calculation!$G1039,'Gross Dx Plant'!$D$5:$AC$5,0))</f>
        <v>1021233</v>
      </c>
      <c r="BZ1039" s="129">
        <f>INDEX('Gross Gen Plant'!$D$7:$AC$91,MATCH($C1039,'Gross Gen Plant'!$C$7:$C$91,0),MATCH(Calculation!$G1039,'Gross Gen Plant'!$D$5:$AC$5,0))</f>
        <v>45008</v>
      </c>
      <c r="CA1039" s="129">
        <f t="shared" si="1852"/>
        <v>809187</v>
      </c>
      <c r="CB1039" s="129"/>
      <c r="CC1039" s="133">
        <v>2009</v>
      </c>
      <c r="CD1039" s="129"/>
      <c r="CE1039" s="129"/>
      <c r="CF1039" s="129"/>
      <c r="CG1039" s="137"/>
      <c r="CH1039" s="129">
        <f t="shared" si="1863"/>
        <v>70967</v>
      </c>
      <c r="CI1039" s="46">
        <f t="shared" si="1872"/>
        <v>70751.761801506407</v>
      </c>
      <c r="CJ1039" s="231">
        <f t="shared" si="1864"/>
        <v>128.41993687894345</v>
      </c>
      <c r="CK1039" s="443">
        <v>0.87912087912087911</v>
      </c>
      <c r="CL1039" s="231">
        <f>+CL1028*CK1039+CJ1029*CK1038+CJ1030*CK1037+CJ1031*CK1036+CJ1032*CK1035+CJ1033*CK1034+CJ1034*CK1033+CJ1035*CK1032+CJ1036*CK1031+CJ1037*CK1030+CJ1038*CK1029+CJ1039</f>
        <v>3108.469856229437</v>
      </c>
      <c r="CM1039" s="134">
        <f t="shared" si="1865"/>
        <v>2.9240372045533945E-2</v>
      </c>
      <c r="CN1039" s="135">
        <f t="shared" si="1866"/>
        <v>1.2866680895533214E-2</v>
      </c>
      <c r="CO1039" s="135">
        <f t="shared" si="1875"/>
        <v>1.2528369962212601E-2</v>
      </c>
      <c r="CP1039" s="134">
        <f>VLOOKUP($H1039,RoR!$E:$F,2,FALSE)</f>
        <v>5.3133333333333324E-2</v>
      </c>
      <c r="CQ1039" s="135">
        <v>7.7972502758210105E-3</v>
      </c>
      <c r="CR1039" s="135">
        <f t="shared" si="1873"/>
        <v>4.5336083057512314E-2</v>
      </c>
      <c r="CS1039" s="135">
        <f t="shared" si="1876"/>
        <v>1.8373571646321023E-2</v>
      </c>
      <c r="CT1039" s="135">
        <f t="shared" si="1877"/>
        <v>6.3720160300892073E-2</v>
      </c>
      <c r="CU1039" s="139">
        <f t="shared" si="1867"/>
        <v>0.84885500000000003</v>
      </c>
      <c r="CV1039" s="335">
        <f t="shared" si="1868"/>
        <v>0.96515780330083989</v>
      </c>
      <c r="CW1039" s="335">
        <f t="shared" si="1869"/>
        <v>0.50448557089084056</v>
      </c>
      <c r="CX1039" s="335">
        <f t="shared" si="1870"/>
        <v>0.87391435735465484</v>
      </c>
      <c r="CY1039" s="335">
        <f t="shared" si="1871"/>
        <v>0.42551605393279146</v>
      </c>
      <c r="CZ1039" s="336">
        <f>INDEX('State Tax Lookup'!$D$7:$Z$91,MATCH(Calculation!$C1039,'State Tax Lookup'!$B$7:$B$91,0),MATCH($H1039,'State Tax Lookup'!$D$6:$Z$6,0))</f>
        <v>0.40849999999999997</v>
      </c>
      <c r="DA1039" s="302">
        <v>0.37</v>
      </c>
      <c r="DB1039" s="57">
        <f t="shared" si="1874"/>
        <v>14.43559670551303</v>
      </c>
      <c r="DC1039" s="56">
        <f t="shared" si="1878"/>
        <v>-5.1150356896804909E-2</v>
      </c>
      <c r="DD1039" s="303">
        <f>VLOOKUP($H1039,RoR!$E:$F,2,FALSE)</f>
        <v>5.3133333333333324E-2</v>
      </c>
      <c r="DE1039" s="304">
        <f>HLOOKUP($H1039,'GDP-PI'!$D$8:$CQ$11,3,FALSE)</f>
        <v>7.7972502758210105E-3</v>
      </c>
      <c r="DF1039" s="303">
        <f>VLOOKUP(H1039,'HW Dx Data'!$E:$F,2,FALSE)</f>
        <v>550.94063679692806</v>
      </c>
      <c r="DG1039" s="364">
        <f ca="1">VLOOKUP(CC1039,'ECI - Input Price'!M$13:N$33,2,FALSE)</f>
        <v>110.925</v>
      </c>
      <c r="DH1039" s="364"/>
      <c r="DI1039" s="364"/>
      <c r="DJ1039" s="56">
        <f t="shared" ca="1" si="1886"/>
        <v>2.7649425000884052E-2</v>
      </c>
      <c r="DK1039" s="53">
        <f>HLOOKUP(H1039,'GDP-PI'!$8:$9,2,FALSE)</f>
        <v>94.998999999999995</v>
      </c>
      <c r="DL1039" s="355">
        <f t="shared" si="1879"/>
        <v>7.7670088183096342E-3</v>
      </c>
      <c r="EC1039"/>
    </row>
    <row r="1040" spans="1:133" s="126" customFormat="1" ht="21" customHeight="1" x14ac:dyDescent="0.4">
      <c r="A1040" s="233" t="s">
        <v>244</v>
      </c>
      <c r="B1040" s="126" t="s">
        <v>244</v>
      </c>
      <c r="C1040" s="126">
        <v>4063023</v>
      </c>
      <c r="D1040" s="127" t="s">
        <v>218</v>
      </c>
      <c r="E1040" s="127" t="s">
        <v>15</v>
      </c>
      <c r="F1040" s="144"/>
      <c r="G1040" s="126" t="s">
        <v>166</v>
      </c>
      <c r="H1040" s="128">
        <v>2010</v>
      </c>
      <c r="I1040" s="129"/>
      <c r="J1040" s="125">
        <f>IFERROR(INDEX('Labor Expenditures'!$E$7:$W$91,MATCH($C1040,'Labor Expenditures'!$C$7:$C$91,0),MATCH($G1040,'Labor Expenditures'!$E$5:$W$5,0)),"NA")</f>
        <v>20706.557306919542</v>
      </c>
      <c r="K1040" s="125">
        <f t="shared" ca="1" si="1880"/>
        <v>177.09264320649598</v>
      </c>
      <c r="L1040" s="47"/>
      <c r="M1040" s="131">
        <f t="shared" ca="1" si="1887"/>
        <v>1.8799397675674678E-2</v>
      </c>
      <c r="N1040" s="131"/>
      <c r="O1040" s="131"/>
      <c r="P1040" s="59">
        <f t="shared" ca="1" si="1889"/>
        <v>2.0763858532765519E-4</v>
      </c>
      <c r="Q1040" s="61"/>
      <c r="R1040" s="387"/>
      <c r="S1040" s="49">
        <f t="shared" ca="1" si="1894"/>
        <v>97.739043638545496</v>
      </c>
      <c r="T1040" s="61">
        <f ca="1">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</f>
        <v>-0.18900369162325997</v>
      </c>
      <c r="U1040" s="61"/>
      <c r="V1040" s="125">
        <f>IFERROR(INDEX('Non-Labor Expenditures'!$E$7:$AA$91,MATCH($C1040,'Non-Labor Expenditures'!$C$7:$C$91,0),MATCH($G1040,'Non-Labor Expenditures'!$E$5:$AA$5,0)),"NA")</f>
        <v>29986.962431850134</v>
      </c>
      <c r="W1040" s="125">
        <f t="shared" si="1881"/>
        <v>312.00993072293056</v>
      </c>
      <c r="X1040" s="131">
        <f t="shared" si="1890"/>
        <v>5.9861205215501111E-2</v>
      </c>
      <c r="Y1040" s="131">
        <f t="shared" si="1891"/>
        <v>6.6116458523765088E-4</v>
      </c>
      <c r="Z1040" s="131"/>
      <c r="AA1040" s="131"/>
      <c r="AB1040" s="131"/>
      <c r="AC1040" s="125">
        <f t="shared" si="1860"/>
        <v>45591.443880557912</v>
      </c>
      <c r="AD1040" s="129"/>
      <c r="AE1040" s="133">
        <v>3374.2318468030244</v>
      </c>
      <c r="AF1040" s="134">
        <v>3.1587461466689663E-2</v>
      </c>
      <c r="AG1040" s="59">
        <f t="shared" si="1882"/>
        <v>3.4888223155797886E-4</v>
      </c>
      <c r="AH1040" s="134"/>
      <c r="AI1040" s="134"/>
      <c r="AJ1040" s="129">
        <f t="shared" si="1809"/>
        <v>96284.96361932758</v>
      </c>
      <c r="AK1040" s="134">
        <f t="shared" si="1892"/>
        <v>5.8916699520556545E-2</v>
      </c>
      <c r="AL1040" s="129"/>
      <c r="AM1040" s="129"/>
      <c r="AN1040" s="129"/>
      <c r="AO1040" s="129"/>
      <c r="AP1040" s="133">
        <f t="shared" si="1893"/>
        <v>279.01972458604911</v>
      </c>
      <c r="AQ1040" s="134">
        <f>+BB1040/Outputs!$B$18</f>
        <v>9.7561663790185094E-3</v>
      </c>
      <c r="AR1040" s="93">
        <f t="shared" si="1883"/>
        <v>0.21505494241847592</v>
      </c>
      <c r="AS1040" s="93">
        <f t="shared" si="1884"/>
        <v>0.3114397233446195</v>
      </c>
      <c r="AT1040" s="93">
        <f t="shared" si="1885"/>
        <v>0.47350533423690466</v>
      </c>
      <c r="AU1040" s="93">
        <f t="shared" ca="1" si="1888"/>
        <v>3.7605098488696698E-2</v>
      </c>
      <c r="AV1040" s="132">
        <f t="shared" ca="1" si="1896"/>
        <v>111.49438873920386</v>
      </c>
      <c r="AW1040" s="134">
        <f t="shared" ca="1" si="1897"/>
        <v>3.7605098488696649E-2</v>
      </c>
      <c r="AX1040" s="56">
        <f>+AJ1040/$AL$15</f>
        <v>1.1044959466777353E-2</v>
      </c>
      <c r="AY1040" s="135">
        <f t="shared" ca="1" si="1895"/>
        <v>4.1534678855182478E-4</v>
      </c>
      <c r="AZ1040" s="93"/>
      <c r="BA1040" s="93"/>
      <c r="BB1040" s="234">
        <f>IFERROR(INDEX('Total Customers'!$E$7:$AA$91,MATCH($C1040,'Total Customers'!$C$7:$C$91,0),MATCH($G1040,'Total Customers'!$E$5:$AA$5,0)),"NA")</f>
        <v>345083</v>
      </c>
      <c r="BC1040" s="269">
        <f t="shared" si="1861"/>
        <v>1.1146178359022305E-2</v>
      </c>
      <c r="BD1040" s="92"/>
      <c r="BE1040" s="299" t="str">
        <f t="shared" si="1855"/>
        <v>SOUTH JERSEY GAS COMPANY</v>
      </c>
      <c r="BF1040" s="300">
        <f t="shared" si="1856"/>
        <v>4063023</v>
      </c>
      <c r="BG1040" s="231" t="str">
        <f t="shared" si="1857"/>
        <v>NJ</v>
      </c>
      <c r="BH1040" s="231"/>
      <c r="BI1040" s="231" t="str">
        <f t="shared" si="1858"/>
        <v>2010 Y</v>
      </c>
      <c r="BJ1040" s="129"/>
      <c r="BK1040" s="129"/>
      <c r="BL1040" s="129">
        <f>INDEX('Dist. Plant Gas Additions'!$E$7:$AD$91,MATCH($C1040,'Dist. Plant Gas Additions'!$C$7:$C$91,0),MATCH(Calculation!$G1040,'Dist. Plant Gas Additions'!$E$5:$AD$5,0))</f>
        <v>65494</v>
      </c>
      <c r="BM1040" s="129">
        <f>INDEX('Gen. Plant Additions'!$E$7:$AD$91,MATCH($C1040,'Gen. Plant Additions'!$C$7:$C$91,0),MATCH(Calculation!$G1040,'Gen. Plant Additions'!$E$5:$AD$5,0))</f>
        <v>7212</v>
      </c>
      <c r="BN1040" s="301">
        <f t="shared" si="1862"/>
        <v>0.95522127882857977</v>
      </c>
      <c r="BO1040" s="231">
        <f t="shared" si="1850"/>
        <v>6889.0558629117177</v>
      </c>
      <c r="BP1040" s="231">
        <f t="shared" si="1851"/>
        <v>-322.94413708828233</v>
      </c>
      <c r="BQ1040" s="129">
        <f>INDEX('Dist Plant Depreciation'!$D$7:$AC$94,MATCH($C1040,'Dist Plant Depreciation'!$C$7:$C$94,0),MATCH(Calculation!$G1040,'Dist Plant Depreciation'!$D$5:$AC$5,0))</f>
        <v>253534</v>
      </c>
      <c r="BR1040" s="129">
        <f>INDEX('Gen. Plant Depreciation'!$D$7:$AC$94,MATCH($C1040,'Gen. Plant Depreciation'!$C$7:$C$94,0),MATCH(Calculation!$G1040,'Gen. Plant Depreciation'!$D$5:$AC$5,0))</f>
        <v>22897</v>
      </c>
      <c r="BS1040" s="129"/>
      <c r="BT1040" s="129"/>
      <c r="BU1040" s="129"/>
      <c r="BV1040" s="129"/>
      <c r="BW1040" s="129"/>
      <c r="BX1040" s="137"/>
      <c r="BY1040" s="129">
        <f>INDEX('Gross Dx Plant'!$D$7:$AC$91,MATCH($C1040,'Gross Dx Plant'!$C$7:$C$91,0),MATCH(Calculation!$G1040,'Gross Dx Plant'!$D$5:$AC$5,0))</f>
        <v>1084990</v>
      </c>
      <c r="BZ1040" s="129">
        <f>INDEX('Gross Gen Plant'!$D$7:$AC$91,MATCH($C1040,'Gross Gen Plant'!$C$7:$C$91,0),MATCH(Calculation!$G1040,'Gross Gen Plant'!$D$5:$AC$5,0))</f>
        <v>50862</v>
      </c>
      <c r="CA1040" s="129">
        <f t="shared" si="1852"/>
        <v>859421</v>
      </c>
      <c r="CB1040" s="129"/>
      <c r="CC1040" s="133">
        <v>2010</v>
      </c>
      <c r="CD1040" s="129"/>
      <c r="CE1040" s="129"/>
      <c r="CF1040" s="129"/>
      <c r="CG1040" s="137"/>
      <c r="CH1040" s="129">
        <f t="shared" si="1863"/>
        <v>72706</v>
      </c>
      <c r="CI1040" s="46">
        <f t="shared" si="1872"/>
        <v>72383.055862911715</v>
      </c>
      <c r="CJ1040" s="231">
        <f t="shared" si="1864"/>
        <v>127.21334142084621</v>
      </c>
      <c r="CK1040" s="443">
        <v>0.8666666666666667</v>
      </c>
      <c r="CL1040" s="231">
        <f>+CL1028*CK1040+CJ1029*CK1039+CJ1030*CK1038+CJ1031*CK1037+CJ1032*CK1036+CJ1033*CK1035+CJ1034*CK1034+CJ1035*CK1033+CJ1036*CK1032+CJ1037*CK1031+CJ1038*CK1030+CJ1039*CK1029+CJ1040</f>
        <v>3194.7204143836129</v>
      </c>
      <c r="CM1040" s="134">
        <f t="shared" si="1865"/>
        <v>2.736897929294126E-2</v>
      </c>
      <c r="CN1040" s="135">
        <f t="shared" si="1866"/>
        <v>1.3177796524093694E-2</v>
      </c>
      <c r="CO1040" s="135">
        <f t="shared" si="1875"/>
        <v>1.2855733589374413E-2</v>
      </c>
      <c r="CP1040" s="134">
        <f>VLOOKUP($H1040,RoR!$E:$F,2,FALSE)</f>
        <v>4.9433333333333322E-2</v>
      </c>
      <c r="CQ1040" s="135">
        <v>1.1684333519300205E-2</v>
      </c>
      <c r="CR1040" s="135">
        <f t="shared" si="1873"/>
        <v>3.7748999814033117E-2</v>
      </c>
      <c r="CS1040" s="135">
        <f t="shared" si="1876"/>
        <v>1.804620801915921E-2</v>
      </c>
      <c r="CT1040" s="135">
        <f t="shared" si="1877"/>
        <v>4.7937530248493419E-2</v>
      </c>
      <c r="CU1040" s="139">
        <f t="shared" si="1867"/>
        <v>0.84885500000000003</v>
      </c>
      <c r="CV1040" s="335">
        <f t="shared" si="1868"/>
        <v>1.037398205301105</v>
      </c>
      <c r="CW1040" s="335">
        <f t="shared" si="1869"/>
        <v>0.46926837491571133</v>
      </c>
      <c r="CX1040" s="335">
        <f t="shared" si="1870"/>
        <v>0.8548537519972772</v>
      </c>
      <c r="CY1040" s="335">
        <f t="shared" si="1871"/>
        <v>0.41615833911547367</v>
      </c>
      <c r="CZ1040" s="336">
        <f>INDEX('State Tax Lookup'!$D$7:$Z$91,MATCH(Calculation!$C1040,'State Tax Lookup'!$B$7:$B$91,0),MATCH($H1040,'State Tax Lookup'!$D$6:$Z$6,0))</f>
        <v>0.40849999999999997</v>
      </c>
      <c r="DA1040" s="302">
        <v>0.37</v>
      </c>
      <c r="DB1040" s="57">
        <f t="shared" si="1874"/>
        <v>14.66684445698958</v>
      </c>
      <c r="DC1040" s="56">
        <f t="shared" si="1878"/>
        <v>1.5892317573642106E-2</v>
      </c>
      <c r="DD1040" s="303">
        <f>VLOOKUP($H1040,RoR!$E:$F,2,FALSE)</f>
        <v>4.9433333333333322E-2</v>
      </c>
      <c r="DE1040" s="304">
        <f>HLOOKUP($H1040,'GDP-PI'!$D$8:$CQ$11,3,FALSE)</f>
        <v>1.1684333519300205E-2</v>
      </c>
      <c r="DF1040" s="303">
        <f>VLOOKUP(H1040,'HW Dx Data'!$E:$F,2,FALSE)</f>
        <v>568.98950262971744</v>
      </c>
      <c r="DG1040" s="364">
        <f ca="1">VLOOKUP(CC1040,'ECI - Input Price'!M$13:N$33,2,FALSE)</f>
        <v>116.925</v>
      </c>
      <c r="DH1040" s="364"/>
      <c r="DI1040" s="364"/>
      <c r="DJ1040" s="56">
        <f t="shared" ca="1" si="1886"/>
        <v>5.2678406346976722E-2</v>
      </c>
      <c r="DK1040" s="53">
        <f>HLOOKUP(H1040,'GDP-PI'!$8:$9,2,FALSE)</f>
        <v>96.108999999999995</v>
      </c>
      <c r="DL1040" s="355">
        <f t="shared" si="1879"/>
        <v>1.1616598807150427E-2</v>
      </c>
      <c r="EC1040"/>
    </row>
    <row r="1041" spans="1:133" s="126" customFormat="1" ht="21" customHeight="1" x14ac:dyDescent="0.4">
      <c r="A1041" s="233" t="s">
        <v>244</v>
      </c>
      <c r="B1041" s="126" t="s">
        <v>244</v>
      </c>
      <c r="C1041" s="126">
        <v>4063023</v>
      </c>
      <c r="D1041" s="127" t="s">
        <v>218</v>
      </c>
      <c r="E1041" s="127" t="s">
        <v>15</v>
      </c>
      <c r="F1041" s="144"/>
      <c r="G1041" s="126" t="s">
        <v>167</v>
      </c>
      <c r="H1041" s="128">
        <v>2011</v>
      </c>
      <c r="I1041" s="129"/>
      <c r="J1041" s="125">
        <f>IFERROR(INDEX('Labor Expenditures'!$E$7:$W$91,MATCH($C1041,'Labor Expenditures'!$C$7:$C$91,0),MATCH($G1041,'Labor Expenditures'!$E$5:$W$5,0)),"NA")</f>
        <v>22054.841254643583</v>
      </c>
      <c r="K1041" s="125">
        <f t="shared" ca="1" si="1880"/>
        <v>182.4599069670617</v>
      </c>
      <c r="L1041" s="47"/>
      <c r="M1041" s="131">
        <f t="shared" ca="1" si="1887"/>
        <v>2.9857457445945517E-2</v>
      </c>
      <c r="N1041" s="131"/>
      <c r="O1041" s="131"/>
      <c r="P1041" s="59">
        <f t="shared" ca="1" si="1889"/>
        <v>3.408442636959444E-4</v>
      </c>
      <c r="Q1041" s="61"/>
      <c r="R1041" s="387"/>
      <c r="S1041" s="49">
        <f t="shared" ca="1" si="1894"/>
        <v>118.51879343830136</v>
      </c>
      <c r="T1041" s="61">
        <f ca="1">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</f>
        <v>0.19277043537222111</v>
      </c>
      <c r="U1041" s="61"/>
      <c r="V1041" s="125">
        <f>IFERROR(INDEX('Non-Labor Expenditures'!$E$7:$AA$91,MATCH($C1041,'Non-Labor Expenditures'!$C$7:$C$91,0),MATCH($G1041,'Non-Labor Expenditures'!$E$5:$AA$5,0)),"NA")</f>
        <v>31939.5294128594</v>
      </c>
      <c r="W1041" s="125">
        <f t="shared" si="1881"/>
        <v>325.54151798821147</v>
      </c>
      <c r="X1041" s="131">
        <f t="shared" si="1890"/>
        <v>4.2454988394604647E-2</v>
      </c>
      <c r="Y1041" s="131">
        <f t="shared" si="1891"/>
        <v>4.8465410310896738E-4</v>
      </c>
      <c r="Z1041" s="131"/>
      <c r="AA1041" s="131"/>
      <c r="AB1041" s="131"/>
      <c r="AC1041" s="125">
        <f t="shared" si="1860"/>
        <v>49576.790240827591</v>
      </c>
      <c r="AD1041" s="129"/>
      <c r="AE1041" s="133">
        <v>3510.6541557897112</v>
      </c>
      <c r="AF1041" s="134">
        <v>3.9634691811841198E-2</v>
      </c>
      <c r="AG1041" s="59">
        <f t="shared" si="1882"/>
        <v>4.524583974332072E-4</v>
      </c>
      <c r="AH1041" s="134"/>
      <c r="AI1041" s="134"/>
      <c r="AJ1041" s="129">
        <f t="shared" si="1809"/>
        <v>103571.16090833058</v>
      </c>
      <c r="AK1041" s="134">
        <f t="shared" si="1892"/>
        <v>7.2946755874496769E-2</v>
      </c>
      <c r="AL1041" s="129"/>
      <c r="AM1041" s="129"/>
      <c r="AN1041" s="129"/>
      <c r="AO1041" s="129"/>
      <c r="AP1041" s="133">
        <f t="shared" si="1893"/>
        <v>296.88800223682716</v>
      </c>
      <c r="AQ1041" s="134">
        <f>+BB1041/Outputs!$B$19</f>
        <v>9.815248326013359E-3</v>
      </c>
      <c r="AR1041" s="93">
        <f t="shared" si="1883"/>
        <v>0.21294384519030371</v>
      </c>
      <c r="AS1041" s="93">
        <f t="shared" si="1884"/>
        <v>0.30838246025965316</v>
      </c>
      <c r="AT1041" s="93">
        <f t="shared" si="1885"/>
        <v>0.47867369455004305</v>
      </c>
      <c r="AU1041" s="93">
        <f t="shared" ca="1" si="1888"/>
        <v>3.8416410777626128E-2</v>
      </c>
      <c r="AV1041" s="132">
        <f t="shared" ca="1" si="1896"/>
        <v>115.86093957442266</v>
      </c>
      <c r="AW1041" s="134">
        <f t="shared" ca="1" si="1897"/>
        <v>3.8416410777626128E-2</v>
      </c>
      <c r="AX1041" s="56">
        <f>+AJ1041/$AL$16</f>
        <v>1.1415716301798806E-2</v>
      </c>
      <c r="AY1041" s="135">
        <f t="shared" ca="1" si="1895"/>
        <v>4.3855084677074592E-4</v>
      </c>
      <c r="AZ1041" s="93"/>
      <c r="BA1041" s="93"/>
      <c r="BB1041" s="234">
        <f>IFERROR(INDEX('Total Customers'!$E$7:$AA$91,MATCH($C1041,'Total Customers'!$C$7:$C$91,0),MATCH($G1041,'Total Customers'!$E$5:$AA$5,0)),"NA")</f>
        <v>348856</v>
      </c>
      <c r="BC1041" s="269">
        <f t="shared" si="1861"/>
        <v>1.0874261799847761E-2</v>
      </c>
      <c r="BD1041" s="92"/>
      <c r="BE1041" s="299" t="str">
        <f t="shared" si="1855"/>
        <v>SOUTH JERSEY GAS COMPANY</v>
      </c>
      <c r="BF1041" s="300">
        <f t="shared" si="1856"/>
        <v>4063023</v>
      </c>
      <c r="BG1041" s="231" t="str">
        <f t="shared" si="1857"/>
        <v>NJ</v>
      </c>
      <c r="BH1041" s="231"/>
      <c r="BI1041" s="231" t="str">
        <f t="shared" si="1858"/>
        <v>2011 Y</v>
      </c>
      <c r="BJ1041" s="129"/>
      <c r="BK1041" s="129"/>
      <c r="BL1041" s="129">
        <f>INDEX('Dist. Plant Gas Additions'!$E$7:$AD$91,MATCH($C1041,'Dist. Plant Gas Additions'!$C$7:$C$91,0),MATCH(Calculation!$G1041,'Dist. Plant Gas Additions'!$E$5:$AD$5,0))</f>
        <v>94075</v>
      </c>
      <c r="BM1041" s="129">
        <f>INDEX('Gen. Plant Additions'!$E$7:$AD$91,MATCH($C1041,'Gen. Plant Additions'!$C$7:$C$91,0),MATCH(Calculation!$G1041,'Gen. Plant Additions'!$E$5:$AD$5,0))</f>
        <v>4228</v>
      </c>
      <c r="BN1041" s="301">
        <f t="shared" si="1862"/>
        <v>0.95783176818867999</v>
      </c>
      <c r="BO1041" s="231">
        <f t="shared" si="1850"/>
        <v>4049.7127159017391</v>
      </c>
      <c r="BP1041" s="231">
        <f t="shared" si="1851"/>
        <v>-178.2872840982609</v>
      </c>
      <c r="BQ1041" s="129">
        <f>INDEX('Dist Plant Depreciation'!$D$7:$AC$94,MATCH($C1041,'Dist Plant Depreciation'!$C$7:$C$94,0),MATCH(Calculation!$G1041,'Dist Plant Depreciation'!$D$5:$AC$5,0))</f>
        <v>269608</v>
      </c>
      <c r="BR1041" s="129">
        <f>INDEX('Gen. Plant Depreciation'!$D$7:$AC$94,MATCH($C1041,'Gen. Plant Depreciation'!$C$7:$C$94,0),MATCH(Calculation!$G1041,'Gen. Plant Depreciation'!$D$5:$AC$5,0))</f>
        <v>23793</v>
      </c>
      <c r="BS1041" s="129"/>
      <c r="BT1041" s="129"/>
      <c r="BU1041" s="129"/>
      <c r="BV1041" s="129"/>
      <c r="BW1041" s="129"/>
      <c r="BX1041" s="137"/>
      <c r="BY1041" s="129">
        <f>INDEX('Gross Dx Plant'!$D$7:$AC$91,MATCH($C1041,'Gross Dx Plant'!$C$7:$C$91,0),MATCH(Calculation!$G1041,'Gross Dx Plant'!$D$5:$AC$5,0))</f>
        <v>1172547</v>
      </c>
      <c r="BZ1041" s="129">
        <f>INDEX('Gross Gen Plant'!$D$7:$AC$91,MATCH($C1041,'Gross Gen Plant'!$C$7:$C$91,0),MATCH(Calculation!$G1041,'Gross Gen Plant'!$D$5:$AC$5,0))</f>
        <v>51621</v>
      </c>
      <c r="CA1041" s="129">
        <f t="shared" si="1852"/>
        <v>930767</v>
      </c>
      <c r="CB1041" s="129"/>
      <c r="CC1041" s="133">
        <v>2011</v>
      </c>
      <c r="CD1041" s="129"/>
      <c r="CE1041" s="129"/>
      <c r="CF1041" s="129"/>
      <c r="CG1041" s="137"/>
      <c r="CH1041" s="129">
        <f t="shared" si="1863"/>
        <v>98303</v>
      </c>
      <c r="CI1041" s="46">
        <f t="shared" si="1872"/>
        <v>98124.71271590174</v>
      </c>
      <c r="CJ1041" s="231">
        <f t="shared" si="1864"/>
        <v>160.43644946591192</v>
      </c>
      <c r="CK1041" s="443">
        <v>0.8539325842696629</v>
      </c>
      <c r="CL1041" s="231">
        <f>+CL1028*CK1041+CJ1029*CK1040+CJ1030*CK1039+CJ1031*CK1038+CJ1032*CK1037+CJ1033*CK1036+CJ1034*CK1035+CJ1035*CK1034+CJ1036*CK1033+CJ1037*CK1032+CJ1038*CK1031+CJ1039*CK1030+CJ1040*CK1029+CJ1041</f>
        <v>3312.0328350151281</v>
      </c>
      <c r="CM1041" s="134">
        <f t="shared" si="1865"/>
        <v>3.6062573662372588E-2</v>
      </c>
      <c r="CN1041" s="135">
        <f t="shared" si="1866"/>
        <v>1.3498529836989542E-2</v>
      </c>
      <c r="CO1041" s="135">
        <f t="shared" si="1875"/>
        <v>1.3181002418872149E-2</v>
      </c>
      <c r="CP1041" s="134">
        <f>VLOOKUP($H1041,RoR!$E:$F,2,FALSE)</f>
        <v>4.6391666666666664E-2</v>
      </c>
      <c r="CQ1041" s="135">
        <v>2.0840920205183799E-2</v>
      </c>
      <c r="CR1041" s="135">
        <f t="shared" si="1873"/>
        <v>2.5550746461482865E-2</v>
      </c>
      <c r="CS1041" s="135">
        <f t="shared" si="1876"/>
        <v>1.7720939189661476E-2</v>
      </c>
      <c r="CT1041" s="135">
        <f t="shared" si="1877"/>
        <v>2.4810540821321614E-2</v>
      </c>
      <c r="CU1041" s="139">
        <f t="shared" si="1867"/>
        <v>0.84885500000000003</v>
      </c>
      <c r="CV1041" s="335">
        <f t="shared" si="1868"/>
        <v>1.1054151524782025</v>
      </c>
      <c r="CW1041" s="335">
        <f t="shared" si="1869"/>
        <v>0.43611011316687626</v>
      </c>
      <c r="CX1041" s="335">
        <f t="shared" si="1870"/>
        <v>0.83698442246886229</v>
      </c>
      <c r="CY1041" s="335">
        <f t="shared" si="1871"/>
        <v>0.40349573304423936</v>
      </c>
      <c r="CZ1041" s="336">
        <f>INDEX('State Tax Lookup'!$D$7:$Z$91,MATCH(Calculation!$C1041,'State Tax Lookup'!$B$7:$B$91,0),MATCH($H1041,'State Tax Lookup'!$D$6:$Z$6,0))</f>
        <v>0.40849999999999997</v>
      </c>
      <c r="DA1041" s="302">
        <v>0.37</v>
      </c>
      <c r="DB1041" s="57">
        <f t="shared" si="1874"/>
        <v>15.518350218572381</v>
      </c>
      <c r="DC1041" s="56">
        <f t="shared" si="1878"/>
        <v>5.6433741510921197E-2</v>
      </c>
      <c r="DD1041" s="303">
        <f>VLOOKUP($H1041,RoR!$E:$F,2,FALSE)</f>
        <v>4.6391666666666664E-2</v>
      </c>
      <c r="DE1041" s="304">
        <f>HLOOKUP($H1041,'GDP-PI'!$D$8:$CQ$11,3,FALSE)</f>
        <v>2.0840920205183799E-2</v>
      </c>
      <c r="DF1041" s="303">
        <f>VLOOKUP(H1041,'HW Dx Data'!$E:$F,2,FALSE)</f>
        <v>611.61109612283201</v>
      </c>
      <c r="DG1041" s="364">
        <f ca="1">VLOOKUP(CC1041,'ECI - Input Price'!M$13:N$33,2,FALSE)</f>
        <v>120.875</v>
      </c>
      <c r="DH1041" s="364"/>
      <c r="DI1041" s="364"/>
      <c r="DJ1041" s="56">
        <f t="shared" ca="1" si="1886"/>
        <v>3.3224250161508609E-2</v>
      </c>
      <c r="DK1041" s="53">
        <f>HLOOKUP(H1041,'GDP-PI'!$8:$9,2,FALSE)</f>
        <v>98.111999999999995</v>
      </c>
      <c r="DL1041" s="355">
        <f t="shared" si="1879"/>
        <v>2.0626719212849295E-2</v>
      </c>
      <c r="EC1041"/>
    </row>
    <row r="1042" spans="1:133" s="126" customFormat="1" ht="21" customHeight="1" x14ac:dyDescent="0.4">
      <c r="A1042" s="233" t="s">
        <v>244</v>
      </c>
      <c r="B1042" s="126" t="s">
        <v>244</v>
      </c>
      <c r="C1042" s="126">
        <v>4063023</v>
      </c>
      <c r="D1042" s="127" t="s">
        <v>218</v>
      </c>
      <c r="E1042" s="127" t="s">
        <v>15</v>
      </c>
      <c r="F1042" s="144"/>
      <c r="G1042" s="126" t="s">
        <v>168</v>
      </c>
      <c r="H1042" s="128">
        <v>2012</v>
      </c>
      <c r="I1042" s="129"/>
      <c r="J1042" s="125">
        <f>IFERROR(INDEX('Labor Expenditures'!$E$7:$W$91,MATCH($C1042,'Labor Expenditures'!$C$7:$C$91,0),MATCH($G1042,'Labor Expenditures'!$E$5:$W$5,0)),"NA")</f>
        <v>23749.22718317786</v>
      </c>
      <c r="K1042" s="125">
        <f t="shared" ca="1" si="1880"/>
        <v>190.29829473700207</v>
      </c>
      <c r="L1042" s="47"/>
      <c r="M1042" s="131">
        <f t="shared" ca="1" si="1887"/>
        <v>4.206235230644615E-2</v>
      </c>
      <c r="N1042" s="131"/>
      <c r="O1042" s="131"/>
      <c r="P1042" s="59">
        <f t="shared" ca="1" si="1889"/>
        <v>5.071135238892381E-4</v>
      </c>
      <c r="Q1042" s="61"/>
      <c r="R1042" s="387"/>
      <c r="S1042" s="49">
        <f t="shared" ca="1" si="1894"/>
        <v>117.47975818505857</v>
      </c>
      <c r="T1042" s="61">
        <f ca="1">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</f>
        <v>-8.8054944380241452E-3</v>
      </c>
      <c r="U1042" s="61"/>
      <c r="V1042" s="125">
        <f>IFERROR(INDEX('Non-Labor Expenditures'!$E$7:$AA$91,MATCH($C1042,'Non-Labor Expenditures'!$C$7:$C$91,0),MATCH($G1042,'Non-Labor Expenditures'!$E$5:$AA$5,0)),"NA")</f>
        <v>34393.316705015095</v>
      </c>
      <c r="W1042" s="125">
        <f t="shared" si="1881"/>
        <v>343.93316705015093</v>
      </c>
      <c r="X1042" s="131">
        <f t="shared" si="1890"/>
        <v>5.495735172957248E-2</v>
      </c>
      <c r="Y1042" s="131">
        <f t="shared" si="1891"/>
        <v>6.6257864268168222E-4</v>
      </c>
      <c r="Z1042" s="131"/>
      <c r="AA1042" s="131"/>
      <c r="AB1042" s="131"/>
      <c r="AC1042" s="125">
        <f t="shared" si="1860"/>
        <v>55045.716249095014</v>
      </c>
      <c r="AD1042" s="129"/>
      <c r="AE1042" s="133">
        <v>3691.1033701149604</v>
      </c>
      <c r="AF1042" s="134">
        <v>5.0123040363235713E-2</v>
      </c>
      <c r="AG1042" s="59">
        <f t="shared" si="1882"/>
        <v>6.0429505800006355E-4</v>
      </c>
      <c r="AH1042" s="134"/>
      <c r="AI1042" s="134"/>
      <c r="AJ1042" s="129">
        <f t="shared" si="1809"/>
        <v>113188.26013728797</v>
      </c>
      <c r="AK1042" s="134">
        <f t="shared" si="1892"/>
        <v>8.8793529893708145E-2</v>
      </c>
      <c r="AL1042" s="129"/>
      <c r="AM1042" s="129"/>
      <c r="AN1042" s="129"/>
      <c r="AO1042" s="129"/>
      <c r="AP1042" s="133">
        <f t="shared" si="1893"/>
        <v>319.33941835062694</v>
      </c>
      <c r="AQ1042" s="134">
        <f>+BB1042/Outputs!$B$20</f>
        <v>9.9247064106107626E-3</v>
      </c>
      <c r="AR1042" s="93">
        <f t="shared" si="1883"/>
        <v>0.20982058699702616</v>
      </c>
      <c r="AS1042" s="93">
        <f t="shared" si="1884"/>
        <v>0.30385939905162296</v>
      </c>
      <c r="AT1042" s="93">
        <f t="shared" si="1885"/>
        <v>0.48632001395135083</v>
      </c>
      <c r="AU1042" s="93">
        <f t="shared" ca="1" si="1888"/>
        <v>4.989903814825962E-2</v>
      </c>
      <c r="AV1042" s="132">
        <f t="shared" ca="1" si="1896"/>
        <v>121.78896031386843</v>
      </c>
      <c r="AW1042" s="134">
        <f t="shared" ca="1" si="1897"/>
        <v>4.9899038148259557E-2</v>
      </c>
      <c r="AX1042" s="56">
        <f>+AJ1042/$AL$17</f>
        <v>1.2056233094018421E-2</v>
      </c>
      <c r="AY1042" s="135">
        <f t="shared" ca="1" si="1895"/>
        <v>6.015944350827346E-4</v>
      </c>
      <c r="AZ1042" s="93"/>
      <c r="BA1042" s="93"/>
      <c r="BB1042" s="234">
        <f>IFERROR(INDEX('Total Customers'!$E$7:$AA$91,MATCH($C1042,'Total Customers'!$C$7:$C$91,0),MATCH($G1042,'Total Customers'!$E$5:$AA$5,0)),"NA")</f>
        <v>354445</v>
      </c>
      <c r="BC1042" s="269">
        <f t="shared" si="1861"/>
        <v>1.589395623286707E-2</v>
      </c>
      <c r="BD1042" s="92"/>
      <c r="BE1042" s="299" t="str">
        <f t="shared" si="1855"/>
        <v>SOUTH JERSEY GAS COMPANY</v>
      </c>
      <c r="BF1042" s="300">
        <f t="shared" si="1856"/>
        <v>4063023</v>
      </c>
      <c r="BG1042" s="231" t="str">
        <f t="shared" si="1857"/>
        <v>NJ</v>
      </c>
      <c r="BH1042" s="231"/>
      <c r="BI1042" s="231" t="str">
        <f t="shared" si="1858"/>
        <v>2012 Y</v>
      </c>
      <c r="BJ1042" s="129"/>
      <c r="BK1042" s="129"/>
      <c r="BL1042" s="129">
        <f>INDEX('Dist. Plant Gas Additions'!$E$7:$AD$91,MATCH($C1042,'Dist. Plant Gas Additions'!$C$7:$C$91,0),MATCH(Calculation!$G1042,'Dist. Plant Gas Additions'!$E$5:$AD$5,0))</f>
        <v>130046</v>
      </c>
      <c r="BM1042" s="129">
        <f>INDEX('Gen. Plant Additions'!$E$7:$AD$91,MATCH($C1042,'Gen. Plant Additions'!$C$7:$C$91,0),MATCH(Calculation!$G1042,'Gen. Plant Additions'!$E$5:$AD$5,0))</f>
        <v>8035</v>
      </c>
      <c r="BN1042" s="301">
        <f t="shared" si="1862"/>
        <v>0.96229950443374113</v>
      </c>
      <c r="BO1042" s="231">
        <f t="shared" si="1850"/>
        <v>7732.0765181251099</v>
      </c>
      <c r="BP1042" s="231">
        <f t="shared" si="1851"/>
        <v>-302.92348187489006</v>
      </c>
      <c r="BQ1042" s="129">
        <f>INDEX('Dist Plant Depreciation'!$D$7:$AC$94,MATCH($C1042,'Dist Plant Depreciation'!$C$7:$C$94,0),MATCH(Calculation!$G1042,'Dist Plant Depreciation'!$D$5:$AC$5,0))</f>
        <v>286695</v>
      </c>
      <c r="BR1042" s="129">
        <f>INDEX('Gen. Plant Depreciation'!$D$7:$AC$94,MATCH($C1042,'Gen. Plant Depreciation'!$C$7:$C$94,0),MATCH(Calculation!$G1042,'Gen. Plant Depreciation'!$D$5:$AC$5,0))</f>
        <v>19523</v>
      </c>
      <c r="BS1042" s="129"/>
      <c r="BT1042" s="129"/>
      <c r="BU1042" s="129"/>
      <c r="BV1042" s="129"/>
      <c r="BW1042" s="129"/>
      <c r="BX1042" s="137"/>
      <c r="BY1042" s="129">
        <f>INDEX('Gross Dx Plant'!$D$7:$AC$91,MATCH($C1042,'Gross Dx Plant'!$C$7:$C$91,0),MATCH(Calculation!$G1042,'Gross Dx Plant'!$D$5:$AC$5,0))</f>
        <v>1299853</v>
      </c>
      <c r="BZ1042" s="129">
        <f>INDEX('Gross Gen Plant'!$D$7:$AC$91,MATCH($C1042,'Gross Gen Plant'!$C$7:$C$91,0),MATCH(Calculation!$G1042,'Gross Gen Plant'!$D$5:$AC$5,0))</f>
        <v>50925</v>
      </c>
      <c r="CA1042" s="129">
        <f t="shared" si="1852"/>
        <v>1044560</v>
      </c>
      <c r="CB1042" s="129"/>
      <c r="CC1042" s="133">
        <v>2012</v>
      </c>
      <c r="CD1042" s="129"/>
      <c r="CE1042" s="129"/>
      <c r="CF1042" s="129"/>
      <c r="CG1042" s="137"/>
      <c r="CH1042" s="129">
        <f t="shared" si="1863"/>
        <v>138081</v>
      </c>
      <c r="CI1042" s="46">
        <f t="shared" si="1872"/>
        <v>137778.0765181251</v>
      </c>
      <c r="CJ1042" s="231">
        <f t="shared" si="1864"/>
        <v>205.97114175590863</v>
      </c>
      <c r="CK1042" s="443">
        <v>0.84090909090909094</v>
      </c>
      <c r="CL1042" s="231">
        <f>+CL1028*CK1042+CJ1029*CK1041+CJ1030*CK1040+CJ1031*CK1039+CJ1032*CK1038+CJ1033*CK1037+CJ1034*CK1036+CJ1035*CK1035+CJ1036*CK1034+CJ1037*CK1033+CJ1038*CK1032+CJ1039*CK1031+CJ1040*CK1030+CJ1041*CK1029+CJ1042</f>
        <v>3472.3344292781044</v>
      </c>
      <c r="CM1042" s="134">
        <f t="shared" si="1865"/>
        <v>4.7264963528433131E-2</v>
      </c>
      <c r="CN1042" s="135">
        <f t="shared" si="1866"/>
        <v>1.3788977877909146E-2</v>
      </c>
      <c r="CO1042" s="135">
        <f t="shared" si="1875"/>
        <v>1.3488434746330795E-2</v>
      </c>
      <c r="CP1042" s="134">
        <f>VLOOKUP($H1042,RoR!$E:$F,2,FALSE)</f>
        <v>3.6733333333333333E-2</v>
      </c>
      <c r="CQ1042" s="135">
        <v>1.924331376386168E-2</v>
      </c>
      <c r="CR1042" s="135">
        <f t="shared" si="1873"/>
        <v>1.7490019569471653E-2</v>
      </c>
      <c r="CS1042" s="135">
        <f t="shared" si="1876"/>
        <v>1.7413506862202832E-2</v>
      </c>
      <c r="CT1042" s="135">
        <f t="shared" si="1877"/>
        <v>6.7122682943869583E-2</v>
      </c>
      <c r="CU1042" s="139">
        <f t="shared" si="1867"/>
        <v>0.84885500000000003</v>
      </c>
      <c r="CV1042" s="335">
        <f t="shared" si="1868"/>
        <v>1.3960631020522127</v>
      </c>
      <c r="CW1042" s="335">
        <f t="shared" si="1869"/>
        <v>0.29441923774954631</v>
      </c>
      <c r="CX1042" s="335">
        <f t="shared" si="1870"/>
        <v>0.76377954189366437</v>
      </c>
      <c r="CY1042" s="335">
        <f t="shared" si="1871"/>
        <v>0.31393465103033691</v>
      </c>
      <c r="CZ1042" s="336">
        <f>INDEX('State Tax Lookup'!$D$7:$Z$91,MATCH(Calculation!$C1042,'State Tax Lookup'!$B$7:$B$91,0),MATCH($H1042,'State Tax Lookup'!$D$6:$Z$6,0))</f>
        <v>0.40849999999999997</v>
      </c>
      <c r="DA1042" s="302">
        <v>0.37</v>
      </c>
      <c r="DB1042" s="57">
        <f t="shared" si="1874"/>
        <v>16.619918639436914</v>
      </c>
      <c r="DC1042" s="56">
        <f t="shared" si="1878"/>
        <v>6.8578685319508323E-2</v>
      </c>
      <c r="DD1042" s="303">
        <f>VLOOKUP($H1042,RoR!$E:$F,2,FALSE)</f>
        <v>3.6733333333333333E-2</v>
      </c>
      <c r="DE1042" s="304">
        <f>HLOOKUP($H1042,'GDP-PI'!$D$8:$CQ$11,3,FALSE)</f>
        <v>1.924331376386168E-2</v>
      </c>
      <c r="DF1042" s="303">
        <f>VLOOKUP(H1042,'HW Dx Data'!$E:$F,2,FALSE)</f>
        <v>668.91932211262167</v>
      </c>
      <c r="DG1042" s="364">
        <f ca="1">VLOOKUP(CC1042,'ECI - Input Price'!M$13:N$33,2,FALSE)</f>
        <v>124.80000000000001</v>
      </c>
      <c r="DH1042" s="364"/>
      <c r="DI1042" s="364"/>
      <c r="DJ1042" s="56">
        <f t="shared" ca="1" si="1886"/>
        <v>3.1955502161869064E-2</v>
      </c>
      <c r="DK1042" s="53">
        <f>HLOOKUP(H1042,'GDP-PI'!$8:$9,2,FALSE)</f>
        <v>100</v>
      </c>
      <c r="DL1042" s="355">
        <f t="shared" si="1879"/>
        <v>1.9060502738742411E-2</v>
      </c>
      <c r="EC1042"/>
    </row>
    <row r="1043" spans="1:133" s="126" customFormat="1" ht="21" customHeight="1" x14ac:dyDescent="0.4">
      <c r="A1043" s="233" t="s">
        <v>244</v>
      </c>
      <c r="B1043" s="126" t="s">
        <v>244</v>
      </c>
      <c r="C1043" s="126">
        <v>4063023</v>
      </c>
      <c r="D1043" s="127" t="s">
        <v>218</v>
      </c>
      <c r="E1043" s="127" t="s">
        <v>15</v>
      </c>
      <c r="F1043" s="144"/>
      <c r="G1043" s="126" t="s">
        <v>169</v>
      </c>
      <c r="H1043" s="128">
        <v>2013</v>
      </c>
      <c r="I1043" s="129"/>
      <c r="J1043" s="125">
        <f>IFERROR(INDEX('Labor Expenditures'!$E$7:$W$91,MATCH($C1043,'Labor Expenditures'!$C$7:$C$91,0),MATCH($G1043,'Labor Expenditures'!$E$5:$W$5,0)),"NA")</f>
        <v>24119.711213013023</v>
      </c>
      <c r="K1043" s="125">
        <f t="shared" ca="1" si="1880"/>
        <v>190.21854268937716</v>
      </c>
      <c r="L1043" s="47"/>
      <c r="M1043" s="131">
        <f t="shared" ca="1" si="1887"/>
        <v>-4.1917750253621724E-4</v>
      </c>
      <c r="N1043" s="131"/>
      <c r="O1043" s="131"/>
      <c r="P1043" s="59">
        <f t="shared" ca="1" si="1889"/>
        <v>-4.9709376107262037E-6</v>
      </c>
      <c r="Q1043" s="61"/>
      <c r="R1043" s="387"/>
      <c r="S1043" s="49">
        <f t="shared" ca="1" si="1894"/>
        <v>107.49207188866893</v>
      </c>
      <c r="T1043" s="61">
        <f ca="1">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</f>
        <v>-8.8848953003227246E-2</v>
      </c>
      <c r="U1043" s="61"/>
      <c r="V1043" s="125">
        <f>IFERROR(INDEX('Non-Labor Expenditures'!$E$7:$AA$91,MATCH($C1043,'Non-Labor Expenditures'!$C$7:$C$91,0),MATCH($G1043,'Non-Labor Expenditures'!$E$5:$AA$5,0)),"NA")</f>
        <v>34929.846777088213</v>
      </c>
      <c r="W1043" s="125">
        <f t="shared" si="1881"/>
        <v>343.21329603223069</v>
      </c>
      <c r="X1043" s="131">
        <f t="shared" si="1890"/>
        <v>-2.0952484512481505E-3</v>
      </c>
      <c r="Y1043" s="131">
        <f t="shared" si="1891"/>
        <v>-2.4847109558856549E-5</v>
      </c>
      <c r="Z1043" s="131"/>
      <c r="AA1043" s="131"/>
      <c r="AB1043" s="131"/>
      <c r="AC1043" s="125">
        <f t="shared" si="1860"/>
        <v>56343.321539482247</v>
      </c>
      <c r="AD1043" s="129"/>
      <c r="AE1043" s="133">
        <v>3865.069474074654</v>
      </c>
      <c r="AF1043" s="134">
        <v>4.6054227411565188E-2</v>
      </c>
      <c r="AG1043" s="59">
        <f t="shared" si="1882"/>
        <v>5.4614737143081078E-4</v>
      </c>
      <c r="AH1043" s="134"/>
      <c r="AI1043" s="134"/>
      <c r="AJ1043" s="129">
        <f t="shared" si="1809"/>
        <v>115392.87952958349</v>
      </c>
      <c r="AK1043" s="134">
        <f t="shared" si="1892"/>
        <v>1.9290198297342766E-2</v>
      </c>
      <c r="AL1043" s="129"/>
      <c r="AM1043" s="129"/>
      <c r="AN1043" s="129"/>
      <c r="AO1043" s="129"/>
      <c r="AP1043" s="133">
        <f t="shared" si="1893"/>
        <v>320.794194016245</v>
      </c>
      <c r="AQ1043" s="134">
        <f>+BB1043/Outputs!$B$21</f>
        <v>1.0007937127974948E-2</v>
      </c>
      <c r="AR1043" s="93">
        <f t="shared" si="1883"/>
        <v>0.20902252644479166</v>
      </c>
      <c r="AS1043" s="93">
        <f t="shared" si="1884"/>
        <v>0.3027036583148372</v>
      </c>
      <c r="AT1043" s="93">
        <f t="shared" si="1885"/>
        <v>0.48827381524037111</v>
      </c>
      <c r="AU1043" s="93">
        <f t="shared" ca="1" si="1888"/>
        <v>2.1718847963362615E-2</v>
      </c>
      <c r="AV1043" s="132">
        <f t="shared" ca="1" si="1896"/>
        <v>124.46300974965006</v>
      </c>
      <c r="AW1043" s="134">
        <f t="shared" ca="1" si="1897"/>
        <v>2.1718847963362584E-2</v>
      </c>
      <c r="AX1043" s="56">
        <f>+AJ1043/$AL$18</f>
        <v>1.1858789130260422E-2</v>
      </c>
      <c r="AY1043" s="135">
        <f t="shared" ca="1" si="1895"/>
        <v>2.575592381497029E-4</v>
      </c>
      <c r="AZ1043" s="93"/>
      <c r="BA1043" s="93"/>
      <c r="BB1043" s="234">
        <f>IFERROR(INDEX('Total Customers'!$E$7:$AA$91,MATCH($C1043,'Total Customers'!$C$7:$C$91,0),MATCH($G1043,'Total Customers'!$E$5:$AA$5,0)),"NA")</f>
        <v>359710</v>
      </c>
      <c r="BC1043" s="269">
        <f t="shared" si="1861"/>
        <v>1.4744965420809572E-2</v>
      </c>
      <c r="BD1043" s="92"/>
      <c r="BE1043" s="299" t="str">
        <f t="shared" si="1855"/>
        <v>SOUTH JERSEY GAS COMPANY</v>
      </c>
      <c r="BF1043" s="300">
        <f t="shared" si="1856"/>
        <v>4063023</v>
      </c>
      <c r="BG1043" s="231" t="str">
        <f t="shared" si="1857"/>
        <v>NJ</v>
      </c>
      <c r="BH1043" s="231"/>
      <c r="BI1043" s="231" t="str">
        <f t="shared" si="1858"/>
        <v>2013 Y</v>
      </c>
      <c r="BJ1043" s="129"/>
      <c r="BK1043" s="129"/>
      <c r="BL1043" s="129">
        <f>INDEX('Dist. Plant Gas Additions'!$E$7:$AD$91,MATCH($C1043,'Dist. Plant Gas Additions'!$C$7:$C$91,0),MATCH(Calculation!$G1043,'Dist. Plant Gas Additions'!$E$5:$AD$5,0))</f>
        <v>126662</v>
      </c>
      <c r="BM1043" s="129">
        <f>INDEX('Gen. Plant Additions'!$E$7:$AD$91,MATCH($C1043,'Gen. Plant Additions'!$C$7:$C$91,0),MATCH(Calculation!$G1043,'Gen. Plant Additions'!$E$5:$AD$5,0))</f>
        <v>7254</v>
      </c>
      <c r="BN1043" s="301">
        <f t="shared" si="1862"/>
        <v>0.96386241587927401</v>
      </c>
      <c r="BO1043" s="231">
        <f t="shared" si="1850"/>
        <v>6991.8579647882534</v>
      </c>
      <c r="BP1043" s="231">
        <f t="shared" si="1851"/>
        <v>-262.14203521174659</v>
      </c>
      <c r="BQ1043" s="129">
        <f>INDEX('Dist Plant Depreciation'!$D$7:$AC$94,MATCH($C1043,'Dist Plant Depreciation'!$C$7:$C$94,0),MATCH(Calculation!$G1043,'Dist Plant Depreciation'!$D$5:$AC$5,0))</f>
        <v>300958</v>
      </c>
      <c r="BR1043" s="129">
        <f>INDEX('Gen. Plant Depreciation'!$D$7:$AC$94,MATCH($C1043,'Gen. Plant Depreciation'!$C$7:$C$94,0),MATCH(Calculation!$G1043,'Gen. Plant Depreciation'!$D$5:$AC$5,0))</f>
        <v>19148</v>
      </c>
      <c r="BS1043" s="129"/>
      <c r="BT1043" s="129"/>
      <c r="BU1043" s="129"/>
      <c r="BV1043" s="129"/>
      <c r="BW1043" s="129"/>
      <c r="BX1043" s="137"/>
      <c r="BY1043" s="129">
        <f>INDEX('Gross Dx Plant'!$D$7:$AC$91,MATCH($C1043,'Gross Dx Plant'!$C$7:$C$91,0),MATCH(Calculation!$G1043,'Gross Dx Plant'!$D$5:$AC$5,0))</f>
        <v>1417938</v>
      </c>
      <c r="BZ1043" s="129">
        <f>INDEX('Gross Gen Plant'!$D$7:$AC$91,MATCH($C1043,'Gross Gen Plant'!$C$7:$C$91,0),MATCH(Calculation!$G1043,'Gross Gen Plant'!$D$5:$AC$5,0))</f>
        <v>53162</v>
      </c>
      <c r="CA1043" s="129">
        <f t="shared" si="1852"/>
        <v>1150994</v>
      </c>
      <c r="CB1043" s="129"/>
      <c r="CC1043" s="133">
        <v>2013</v>
      </c>
      <c r="CD1043" s="129"/>
      <c r="CE1043" s="129"/>
      <c r="CF1043" s="129"/>
      <c r="CG1043" s="137"/>
      <c r="CH1043" s="129">
        <f t="shared" si="1863"/>
        <v>133916</v>
      </c>
      <c r="CI1043" s="46">
        <f t="shared" si="1872"/>
        <v>133653.85796478824</v>
      </c>
      <c r="CJ1043" s="231">
        <f t="shared" si="1864"/>
        <v>201.51402831704704</v>
      </c>
      <c r="CK1043" s="443">
        <v>0.82758620689655171</v>
      </c>
      <c r="CL1043" s="231">
        <f>+CL1028*CK1043+CJ1029*CK1042+CJ1030*CK1041+CJ1031*CK1040+CJ1032*CK1039+CJ1033*CK1038+CJ1034*CK1037+CJ1035*CK1036+CJ1036*CK1035+CJ1037*CK1034+CJ1038*CK1033+CJ1039*CK1032+CJ1040*CK1031+CJ1041*CK1030+CJ1042*CK1029+CJ1043</f>
        <v>3625.1185192806124</v>
      </c>
      <c r="CM1043" s="134">
        <f t="shared" si="1865"/>
        <v>4.3059868789984725E-2</v>
      </c>
      <c r="CN1043" s="135">
        <f t="shared" si="1866"/>
        <v>1.4033768724480238E-2</v>
      </c>
      <c r="CO1043" s="135">
        <f t="shared" si="1875"/>
        <v>1.3773758813126308E-2</v>
      </c>
      <c r="CP1043" s="134">
        <f>VLOOKUP($H1043,RoR!$E:$F,2,FALSE)</f>
        <v>4.2350000000000006E-2</v>
      </c>
      <c r="CQ1043" s="135">
        <v>1.7730000000000024E-2</v>
      </c>
      <c r="CR1043" s="135">
        <f t="shared" si="1873"/>
        <v>2.4619999999999982E-2</v>
      </c>
      <c r="CS1043" s="135">
        <f t="shared" si="1876"/>
        <v>1.7128182795407315E-2</v>
      </c>
      <c r="CT1043" s="135">
        <f t="shared" si="1877"/>
        <v>5.3376742735721204E-2</v>
      </c>
      <c r="CU1043" s="139">
        <f t="shared" si="1867"/>
        <v>0.84885500000000003</v>
      </c>
      <c r="CV1043" s="335">
        <f t="shared" si="1868"/>
        <v>1.2109103018193925</v>
      </c>
      <c r="CW1043" s="335">
        <f t="shared" si="1869"/>
        <v>0.38468122786304604</v>
      </c>
      <c r="CX1043" s="335">
        <f t="shared" si="1870"/>
        <v>0.80969194503422559</v>
      </c>
      <c r="CY1043" s="335">
        <f t="shared" si="1871"/>
        <v>0.37716621754800816</v>
      </c>
      <c r="CZ1043" s="336">
        <f>INDEX('State Tax Lookup'!$D$7:$Z$91,MATCH(Calculation!$C1043,'State Tax Lookup'!$B$7:$B$91,0),MATCH($H1043,'State Tax Lookup'!$D$6:$Z$6,0))</f>
        <v>0.40849999999999997</v>
      </c>
      <c r="DA1043" s="302">
        <v>0.37</v>
      </c>
      <c r="DB1043" s="57">
        <f t="shared" si="1874"/>
        <v>16.226352238541718</v>
      </c>
      <c r="DC1043" s="56">
        <f t="shared" si="1878"/>
        <v>-2.3965292057917951E-2</v>
      </c>
      <c r="DD1043" s="303">
        <f>VLOOKUP($H1043,RoR!$E:$F,2,FALSE)</f>
        <v>4.2350000000000006E-2</v>
      </c>
      <c r="DE1043" s="304">
        <f>HLOOKUP($H1043,'GDP-PI'!$D$8:$CQ$11,3,FALSE)</f>
        <v>1.7730000000000024E-2</v>
      </c>
      <c r="DF1043" s="303">
        <f>VLOOKUP(H1043,'HW Dx Data'!$E:$F,2,FALSE)</f>
        <v>663.24840548821396</v>
      </c>
      <c r="DG1043" s="364">
        <f ca="1">VLOOKUP(CC1043,'ECI - Input Price'!M$13:N$33,2,FALSE)</f>
        <v>126.8</v>
      </c>
      <c r="DH1043" s="364"/>
      <c r="DI1043" s="364"/>
      <c r="DJ1043" s="56">
        <f t="shared" ca="1" si="1886"/>
        <v>1.5898586067798204E-2</v>
      </c>
      <c r="DK1043" s="53">
        <f>HLOOKUP(H1043,'GDP-PI'!$8:$9,2,FALSE)</f>
        <v>101.773</v>
      </c>
      <c r="DL1043" s="355">
        <f t="shared" si="1879"/>
        <v>1.7574657016510519E-2</v>
      </c>
      <c r="EC1043"/>
    </row>
    <row r="1044" spans="1:133" s="126" customFormat="1" ht="21" customHeight="1" x14ac:dyDescent="0.4">
      <c r="A1044" s="233" t="s">
        <v>244</v>
      </c>
      <c r="B1044" s="126" t="s">
        <v>244</v>
      </c>
      <c r="C1044" s="126">
        <v>4063023</v>
      </c>
      <c r="D1044" s="127" t="s">
        <v>218</v>
      </c>
      <c r="E1044" s="127" t="s">
        <v>15</v>
      </c>
      <c r="F1044" s="144"/>
      <c r="G1044" s="126" t="s">
        <v>170</v>
      </c>
      <c r="H1044" s="128">
        <v>2014</v>
      </c>
      <c r="I1044" s="129"/>
      <c r="J1044" s="125">
        <f>IFERROR(INDEX('Labor Expenditures'!$E$7:$W$91,MATCH($C1044,'Labor Expenditures'!$C$7:$C$91,0),MATCH($G1044,'Labor Expenditures'!$E$5:$W$5,0)),"NA")</f>
        <v>25078.813155402575</v>
      </c>
      <c r="K1044" s="125">
        <f t="shared" ca="1" si="1880"/>
        <v>193.80844787791787</v>
      </c>
      <c r="L1044" s="47"/>
      <c r="M1044" s="131">
        <f t="shared" ca="1" si="1887"/>
        <v>1.8696653368120854E-2</v>
      </c>
      <c r="N1044" s="131"/>
      <c r="O1044" s="131"/>
      <c r="P1044" s="59">
        <f t="shared" ca="1" si="1889"/>
        <v>2.2875460827297654E-4</v>
      </c>
      <c r="Q1044" s="61"/>
      <c r="R1044" s="387"/>
      <c r="S1044" s="49">
        <f t="shared" ca="1" si="1894"/>
        <v>121.43116415141937</v>
      </c>
      <c r="T1044" s="61">
        <f ca="1">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</f>
        <v>0.12193045706110518</v>
      </c>
      <c r="U1044" s="61"/>
      <c r="V1044" s="125">
        <f>IFERROR(INDEX('Non-Labor Expenditures'!$E$7:$AA$91,MATCH($C1044,'Non-Labor Expenditures'!$C$7:$C$91,0),MATCH($G1044,'Non-Labor Expenditures'!$E$5:$AA$5,0)),"NA")</f>
        <v>36318.805525201256</v>
      </c>
      <c r="W1044" s="125">
        <f t="shared" si="1881"/>
        <v>350.40865172365102</v>
      </c>
      <c r="X1044" s="131">
        <f t="shared" si="1890"/>
        <v>2.0747941533539583E-2</v>
      </c>
      <c r="Y1044" s="131">
        <f t="shared" si="1891"/>
        <v>2.5385223465008235E-4</v>
      </c>
      <c r="Z1044" s="131"/>
      <c r="AA1044" s="131"/>
      <c r="AB1044" s="131"/>
      <c r="AC1044" s="125">
        <f t="shared" si="1860"/>
        <v>59842.210253736237</v>
      </c>
      <c r="AD1044" s="129"/>
      <c r="AE1044" s="133">
        <v>4331.8556189923565</v>
      </c>
      <c r="AF1044" s="134">
        <v>0.11401634257533287</v>
      </c>
      <c r="AG1044" s="59">
        <f t="shared" si="1882"/>
        <v>1.3949963808501185E-3</v>
      </c>
      <c r="AH1044" s="134"/>
      <c r="AI1044" s="134"/>
      <c r="AJ1044" s="129">
        <f t="shared" si="1809"/>
        <v>121239.82893434007</v>
      </c>
      <c r="AK1044" s="134">
        <f t="shared" si="1892"/>
        <v>4.9427991567721978E-2</v>
      </c>
      <c r="AL1044" s="129"/>
      <c r="AM1044" s="129"/>
      <c r="AN1044" s="129"/>
      <c r="AO1044" s="129"/>
      <c r="AP1044" s="133">
        <f t="shared" si="1893"/>
        <v>333.10116116948257</v>
      </c>
      <c r="AQ1044" s="134">
        <f>+BB1044/Outputs!$B$22</f>
        <v>1.0072430018400153E-2</v>
      </c>
      <c r="AR1044" s="93">
        <f t="shared" si="1883"/>
        <v>0.20685292428929872</v>
      </c>
      <c r="AS1044" s="93">
        <f t="shared" si="1884"/>
        <v>0.29956166916789739</v>
      </c>
      <c r="AT1044" s="93">
        <f t="shared" si="1885"/>
        <v>0.49358540654280386</v>
      </c>
      <c r="AU1044" s="93">
        <f t="shared" ca="1" si="1888"/>
        <v>6.6109621170278188E-2</v>
      </c>
      <c r="AV1044" s="132">
        <f t="shared" ca="1" si="1896"/>
        <v>132.96928776349984</v>
      </c>
      <c r="AW1044" s="134">
        <f t="shared" ca="1" si="1897"/>
        <v>6.6109621170278132E-2</v>
      </c>
      <c r="AX1044" s="56">
        <f>+AJ1044/$AL$19</f>
        <v>1.2235056390520653E-2</v>
      </c>
      <c r="AY1044" s="135">
        <f t="shared" ca="1" si="1895"/>
        <v>8.0885494297431096E-4</v>
      </c>
      <c r="AZ1044" s="93"/>
      <c r="BA1044" s="93"/>
      <c r="BB1044" s="234">
        <f>IFERROR(INDEX('Total Customers'!$E$7:$AA$91,MATCH($C1044,'Total Customers'!$C$7:$C$91,0),MATCH($G1044,'Total Customers'!$E$5:$AA$5,0)),"NA")</f>
        <v>363973</v>
      </c>
      <c r="BC1044" s="269">
        <f t="shared" si="1861"/>
        <v>1.1781537801031E-2</v>
      </c>
      <c r="BD1044" s="92"/>
      <c r="BE1044" s="299" t="str">
        <f t="shared" si="1855"/>
        <v>SOUTH JERSEY GAS COMPANY</v>
      </c>
      <c r="BF1044" s="300">
        <f t="shared" si="1856"/>
        <v>4063023</v>
      </c>
      <c r="BG1044" s="231" t="str">
        <f t="shared" si="1857"/>
        <v>NJ</v>
      </c>
      <c r="BH1044" s="231"/>
      <c r="BI1044" s="231" t="str">
        <f t="shared" si="1858"/>
        <v>2014 Y</v>
      </c>
      <c r="BJ1044" s="129"/>
      <c r="BK1044" s="129"/>
      <c r="BL1044" s="129">
        <f>INDEX('Dist. Plant Gas Additions'!$E$7:$AD$91,MATCH($C1044,'Dist. Plant Gas Additions'!$C$7:$C$91,0),MATCH(Calculation!$G1044,'Dist. Plant Gas Additions'!$E$5:$AD$5,0))</f>
        <v>142763</v>
      </c>
      <c r="BM1044" s="129">
        <f>INDEX('Gen. Plant Additions'!$E$7:$AD$91,MATCH($C1044,'Gen. Plant Additions'!$C$7:$C$91,0),MATCH(Calculation!$G1044,'Gen. Plant Additions'!$E$5:$AD$5,0))</f>
        <v>197253</v>
      </c>
      <c r="BN1044" s="301">
        <f t="shared" si="1862"/>
        <v>0.9372618172852728</v>
      </c>
      <c r="BO1044" s="231">
        <f t="shared" si="1850"/>
        <v>184877.7052449719</v>
      </c>
      <c r="BP1044" s="231">
        <f t="shared" si="1851"/>
        <v>-12375.294755028095</v>
      </c>
      <c r="BQ1044" s="129">
        <f>INDEX('Dist Plant Depreciation'!$D$7:$AC$94,MATCH($C1044,'Dist Plant Depreciation'!$C$7:$C$94,0),MATCH(Calculation!$G1044,'Dist Plant Depreciation'!$D$5:$AC$5,0))</f>
        <v>312399</v>
      </c>
      <c r="BR1044" s="129">
        <f>INDEX('Gen. Plant Depreciation'!$D$7:$AC$94,MATCH($C1044,'Gen. Plant Depreciation'!$C$7:$C$94,0),MATCH(Calculation!$G1044,'Gen. Plant Depreciation'!$D$5:$AC$5,0))</f>
        <v>24046</v>
      </c>
      <c r="BS1044" s="129"/>
      <c r="BT1044" s="129"/>
      <c r="BU1044" s="129"/>
      <c r="BV1044" s="129"/>
      <c r="BW1044" s="129"/>
      <c r="BX1044" s="137"/>
      <c r="BY1044" s="129">
        <f>INDEX('Gross Dx Plant'!$D$7:$AC$91,MATCH($C1044,'Gross Dx Plant'!$C$7:$C$91,0),MATCH(Calculation!$G1044,'Gross Dx Plant'!$D$5:$AC$5,0))</f>
        <v>1547214</v>
      </c>
      <c r="BZ1044" s="129">
        <f>INDEX('Gross Gen Plant'!$D$7:$AC$91,MATCH($C1044,'Gross Gen Plant'!$C$7:$C$91,0),MATCH(Calculation!$G1044,'Gross Gen Plant'!$D$5:$AC$5,0))</f>
        <v>103567</v>
      </c>
      <c r="CA1044" s="129">
        <f t="shared" si="1852"/>
        <v>1314336</v>
      </c>
      <c r="CB1044" s="129"/>
      <c r="CC1044" s="133">
        <v>2014</v>
      </c>
      <c r="CD1044" s="129"/>
      <c r="CE1044" s="129"/>
      <c r="CF1044" s="129"/>
      <c r="CG1044" s="137"/>
      <c r="CH1044" s="129">
        <f t="shared" si="1863"/>
        <v>340016</v>
      </c>
      <c r="CI1044" s="46">
        <f t="shared" si="1872"/>
        <v>327640.7052449719</v>
      </c>
      <c r="CJ1044" s="231">
        <f t="shared" si="1864"/>
        <v>478.67856230966487</v>
      </c>
      <c r="CK1044" s="443">
        <v>0.81395348837209303</v>
      </c>
      <c r="CL1044" s="231">
        <f>+CL1028*CK1044+CJ1029*CK1043+CJ1030*CK1042+CJ1031*CK1041+CJ1032*CK1040+CJ1033*CK1039+CJ1034*CK1038+CJ1035*CK1037+CJ1036*CK1036+CJ1037*CK1035+CJ1038*CK1034+CJ1039*CK1033+CJ1040*CK1032+CJ1041*CK1031+CJ1042*CK1030+CJ1043*CK1029+CJ1044</f>
        <v>4051.9754003435696</v>
      </c>
      <c r="CM1044" s="134">
        <f t="shared" si="1865"/>
        <v>0.11131753263065561</v>
      </c>
      <c r="CN1044" s="135">
        <f t="shared" si="1866"/>
        <v>1.4295168825815779E-2</v>
      </c>
      <c r="CO1044" s="135">
        <f t="shared" si="1875"/>
        <v>1.4039305142735053E-2</v>
      </c>
      <c r="CP1044" s="134">
        <f>VLOOKUP($H1044,RoR!$E:$F,2,FALSE)</f>
        <v>4.1625000000000002E-2</v>
      </c>
      <c r="CQ1044" s="135">
        <v>1.841352814597208E-2</v>
      </c>
      <c r="CR1044" s="135">
        <f t="shared" si="1873"/>
        <v>2.3211471854027922E-2</v>
      </c>
      <c r="CS1044" s="135">
        <f t="shared" si="1876"/>
        <v>1.6862636465798574E-2</v>
      </c>
      <c r="CT1044" s="135">
        <f t="shared" si="1877"/>
        <v>3.9072621432650924E-2</v>
      </c>
      <c r="CU1044" s="139">
        <f t="shared" si="1867"/>
        <v>0.84885500000000003</v>
      </c>
      <c r="CV1044" s="335">
        <f t="shared" si="1868"/>
        <v>1.2320012320012319</v>
      </c>
      <c r="CW1044" s="335">
        <f t="shared" si="1869"/>
        <v>0.37439939939939942</v>
      </c>
      <c r="CX1044" s="335">
        <f t="shared" si="1870"/>
        <v>0.80432100613819935</v>
      </c>
      <c r="CY1044" s="335">
        <f t="shared" si="1871"/>
        <v>0.37100152660040037</v>
      </c>
      <c r="CZ1044" s="336">
        <f>INDEX('State Tax Lookup'!$D$7:$Z$91,MATCH(Calculation!$C1044,'State Tax Lookup'!$B$7:$B$91,0),MATCH($H1044,'State Tax Lookup'!$D$6:$Z$6,0))</f>
        <v>0.40849999999999997</v>
      </c>
      <c r="DA1044" s="302">
        <v>0.37</v>
      </c>
      <c r="DB1044" s="57">
        <f t="shared" si="1874"/>
        <v>16.507656214675055</v>
      </c>
      <c r="DC1044" s="56">
        <f t="shared" si="1878"/>
        <v>1.7187684279734966E-2</v>
      </c>
      <c r="DD1044" s="303">
        <f>VLOOKUP($H1044,RoR!$E:$F,2,FALSE)</f>
        <v>4.1625000000000002E-2</v>
      </c>
      <c r="DE1044" s="304">
        <f>HLOOKUP($H1044,'GDP-PI'!$D$8:$CQ$11,3,FALSE)</f>
        <v>1.841352814597208E-2</v>
      </c>
      <c r="DF1044" s="303">
        <f>VLOOKUP(H1044,'HW Dx Data'!$E:$F,2,FALSE)</f>
        <v>684.46914285042885</v>
      </c>
      <c r="DG1044" s="364">
        <f ca="1">VLOOKUP(CC1044,'ECI - Input Price'!M$13:N$33,2,FALSE)</f>
        <v>129.4</v>
      </c>
      <c r="DH1044" s="364"/>
      <c r="DI1044" s="364"/>
      <c r="DJ1044" s="56">
        <f t="shared" ca="1" si="1886"/>
        <v>2.0297340063674733E-2</v>
      </c>
      <c r="DK1044" s="53">
        <f>HLOOKUP(H1044,'GDP-PI'!$8:$9,2,FALSE)</f>
        <v>103.64700000000001</v>
      </c>
      <c r="DL1044" s="355">
        <f t="shared" si="1879"/>
        <v>1.8246051898256087E-2</v>
      </c>
      <c r="EC1044"/>
    </row>
    <row r="1045" spans="1:133" s="126" customFormat="1" ht="21" customHeight="1" x14ac:dyDescent="0.4">
      <c r="A1045" s="233" t="s">
        <v>244</v>
      </c>
      <c r="B1045" s="126" t="s">
        <v>244</v>
      </c>
      <c r="C1045" s="126">
        <v>4063023</v>
      </c>
      <c r="D1045" s="127" t="s">
        <v>218</v>
      </c>
      <c r="E1045" s="127" t="s">
        <v>15</v>
      </c>
      <c r="F1045" s="144"/>
      <c r="G1045" s="126" t="s">
        <v>171</v>
      </c>
      <c r="H1045" s="128">
        <v>2015</v>
      </c>
      <c r="I1045" s="129"/>
      <c r="J1045" s="125">
        <f>IFERROR(INDEX('Labor Expenditures'!$E$7:$W$91,MATCH($C1045,'Labor Expenditures'!$C$7:$C$91,0),MATCH($G1045,'Labor Expenditures'!$E$5:$W$5,0)),"NA")</f>
        <v>26551.324088750946</v>
      </c>
      <c r="K1045" s="125">
        <f t="shared" ca="1" si="1880"/>
        <v>198.88632276217936</v>
      </c>
      <c r="L1045" s="47"/>
      <c r="M1045" s="131">
        <f t="shared" ca="1" si="1887"/>
        <v>2.58631298943316E-2</v>
      </c>
      <c r="N1045" s="131"/>
      <c r="O1045" s="131"/>
      <c r="P1045" s="59">
        <f t="shared" ca="1" si="1889"/>
        <v>3.3918179229047187E-4</v>
      </c>
      <c r="Q1045" s="61"/>
      <c r="R1045" s="387"/>
      <c r="S1045" s="49">
        <f t="shared" ca="1" si="1894"/>
        <v>121.25402524639553</v>
      </c>
      <c r="T1045" s="61">
        <f ca="1">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</f>
        <v>-1.4598248613489902E-3</v>
      </c>
      <c r="U1045" s="61"/>
      <c r="V1045" s="125">
        <f>IFERROR(INDEX('Non-Labor Expenditures'!$E$7:$AA$91,MATCH($C1045,'Non-Labor Expenditures'!$C$7:$C$91,0),MATCH($G1045,'Non-Labor Expenditures'!$E$5:$AA$5,0)),"NA")</f>
        <v>38451.276383794946</v>
      </c>
      <c r="W1045" s="125">
        <f t="shared" si="1881"/>
        <v>367.46601538427302</v>
      </c>
      <c r="X1045" s="131">
        <f t="shared" si="1890"/>
        <v>4.753078948239272E-2</v>
      </c>
      <c r="Y1045" s="131">
        <f t="shared" si="1891"/>
        <v>6.2334212570120621E-4</v>
      </c>
      <c r="Z1045" s="131"/>
      <c r="AA1045" s="131"/>
      <c r="AB1045" s="131"/>
      <c r="AC1045" s="125">
        <f t="shared" si="1860"/>
        <v>65625.155540468579</v>
      </c>
      <c r="AD1045" s="129"/>
      <c r="AE1045" s="133">
        <v>4633.8226823530931</v>
      </c>
      <c r="AF1045" s="134">
        <v>6.7386161153837262E-2</v>
      </c>
      <c r="AG1045" s="59">
        <f t="shared" si="1882"/>
        <v>8.8373522497532122E-4</v>
      </c>
      <c r="AH1045" s="134"/>
      <c r="AI1045" s="134"/>
      <c r="AJ1045" s="129">
        <f t="shared" si="1809"/>
        <v>130627.75601301447</v>
      </c>
      <c r="AK1045" s="134">
        <f t="shared" si="1892"/>
        <v>7.4581079939292347E-2</v>
      </c>
      <c r="AL1045" s="129"/>
      <c r="AM1045" s="129"/>
      <c r="AN1045" s="129"/>
      <c r="AO1045" s="129"/>
      <c r="AP1045" s="133">
        <f t="shared" si="1893"/>
        <v>353.33065374736128</v>
      </c>
      <c r="AQ1045" s="134">
        <f>+BB1045/Outputs!$B$23</f>
        <v>1.0147835649551074E-2</v>
      </c>
      <c r="AR1045" s="93">
        <f t="shared" si="1883"/>
        <v>0.2032594365787439</v>
      </c>
      <c r="AS1045" s="93">
        <f t="shared" si="1884"/>
        <v>0.29435762779209068</v>
      </c>
      <c r="AT1045" s="93">
        <f t="shared" si="1885"/>
        <v>0.50238293562916547</v>
      </c>
      <c r="AU1045" s="93">
        <f t="shared" ca="1" si="1888"/>
        <v>5.2975362771728762E-2</v>
      </c>
      <c r="AV1045" s="132">
        <f t="shared" ca="1" si="1896"/>
        <v>140.20330464486815</v>
      </c>
      <c r="AW1045" s="134">
        <f t="shared" ca="1" si="1897"/>
        <v>5.2975362771728693E-2</v>
      </c>
      <c r="AX1045" s="56">
        <f>+AJ1045/$AL$20</f>
        <v>1.3114491311618477E-2</v>
      </c>
      <c r="AY1045" s="135">
        <f t="shared" ca="1" si="1895"/>
        <v>6.9474493479967285E-4</v>
      </c>
      <c r="AZ1045" s="93"/>
      <c r="BA1045" s="93"/>
      <c r="BB1045" s="234">
        <f>IFERROR(INDEX('Total Customers'!$E$7:$AA$91,MATCH($C1045,'Total Customers'!$C$7:$C$91,0),MATCH($G1045,'Total Customers'!$E$5:$AA$5,0)),"NA")</f>
        <v>369704</v>
      </c>
      <c r="BC1045" s="269">
        <f t="shared" si="1861"/>
        <v>1.5622996406098639E-2</v>
      </c>
      <c r="BD1045" s="92"/>
      <c r="BE1045" s="299" t="str">
        <f t="shared" si="1855"/>
        <v>SOUTH JERSEY GAS COMPANY</v>
      </c>
      <c r="BF1045" s="300">
        <f t="shared" si="1856"/>
        <v>4063023</v>
      </c>
      <c r="BG1045" s="231" t="str">
        <f t="shared" si="1857"/>
        <v>NJ</v>
      </c>
      <c r="BH1045" s="231"/>
      <c r="BI1045" s="231" t="str">
        <f t="shared" si="1858"/>
        <v>2015 Y</v>
      </c>
      <c r="BJ1045" s="129"/>
      <c r="BK1045" s="129"/>
      <c r="BL1045" s="129">
        <f>INDEX('Dist. Plant Gas Additions'!$E$7:$AD$91,MATCH($C1045,'Dist. Plant Gas Additions'!$C$7:$C$91,0),MATCH(Calculation!$G1045,'Dist. Plant Gas Additions'!$E$5:$AD$5,0))</f>
        <v>161566</v>
      </c>
      <c r="BM1045" s="129">
        <f>INDEX('Gen. Plant Additions'!$E$7:$AD$91,MATCH($C1045,'Gen. Plant Additions'!$C$7:$C$91,0),MATCH(Calculation!$G1045,'Gen. Plant Additions'!$E$5:$AD$5,0))</f>
        <v>65119</v>
      </c>
      <c r="BN1045" s="301">
        <f t="shared" si="1862"/>
        <v>0.91217422674499327</v>
      </c>
      <c r="BO1045" s="231">
        <f t="shared" si="1850"/>
        <v>59399.87347140722</v>
      </c>
      <c r="BP1045" s="231">
        <f t="shared" si="1851"/>
        <v>-5719.1265285927802</v>
      </c>
      <c r="BQ1045" s="129">
        <f>INDEX('Dist Plant Depreciation'!$D$7:$AC$94,MATCH($C1045,'Dist Plant Depreciation'!$C$7:$C$94,0),MATCH(Calculation!$G1045,'Dist Plant Depreciation'!$D$5:$AC$5,0))</f>
        <v>329600</v>
      </c>
      <c r="BR1045" s="129">
        <f>INDEX('Gen. Plant Depreciation'!$D$7:$AC$94,MATCH($C1045,'Gen. Plant Depreciation'!$C$7:$C$94,0),MATCH(Calculation!$G1045,'Gen. Plant Depreciation'!$D$5:$AC$5,0))</f>
        <v>29423</v>
      </c>
      <c r="BS1045" s="129"/>
      <c r="BT1045" s="129"/>
      <c r="BU1045" s="129"/>
      <c r="BV1045" s="129"/>
      <c r="BW1045" s="129"/>
      <c r="BX1045" s="137"/>
      <c r="BY1045" s="129">
        <f>INDEX('Gross Dx Plant'!$D$7:$AC$91,MATCH($C1045,'Gross Dx Plant'!$C$7:$C$91,0),MATCH(Calculation!$G1045,'Gross Dx Plant'!$D$5:$AC$5,0))</f>
        <v>1701682</v>
      </c>
      <c r="BZ1045" s="129">
        <f>INDEX('Gross Gen Plant'!$D$7:$AC$91,MATCH($C1045,'Gross Gen Plant'!$C$7:$C$91,0),MATCH(Calculation!$G1045,'Gross Gen Plant'!$D$5:$AC$5,0))</f>
        <v>163841</v>
      </c>
      <c r="CA1045" s="129">
        <f t="shared" si="1852"/>
        <v>1506500</v>
      </c>
      <c r="CB1045" s="129"/>
      <c r="CC1045" s="133">
        <v>2015</v>
      </c>
      <c r="CD1045" s="129"/>
      <c r="CE1045" s="129"/>
      <c r="CF1045" s="129"/>
      <c r="CG1045" s="137"/>
      <c r="CH1045" s="129">
        <f t="shared" si="1863"/>
        <v>226685</v>
      </c>
      <c r="CI1045" s="46">
        <f t="shared" si="1872"/>
        <v>220965.87347140722</v>
      </c>
      <c r="CJ1045" s="231">
        <f t="shared" si="1864"/>
        <v>327.05904024293829</v>
      </c>
      <c r="CK1045" s="443">
        <v>0.8</v>
      </c>
      <c r="CL1045" s="231">
        <f>+CL1028*CK1045+CJ1029*CK1044+CJ1030*CK1043+CJ1031*CK1042+CJ1032*CK1041+CJ1033*CK1040+CJ1034*CK1039+CJ1035*CK1038+CJ1036*CK1037+CJ1037*CK1036+CJ1038*CK1035+CJ1039*CK1034+CJ1040*CK1033+CJ1041*CK1032+CJ1042*CK1031+CJ1043*CK1030+CJ1044*CK1029+CJ1045</f>
        <v>4321.2993850055691</v>
      </c>
      <c r="CM1045" s="134">
        <f t="shared" si="1865"/>
        <v>6.4351625219027958E-2</v>
      </c>
      <c r="CN1045" s="135">
        <f t="shared" si="1866"/>
        <v>1.4248619469911744E-2</v>
      </c>
      <c r="CO1045" s="135">
        <f t="shared" si="1875"/>
        <v>1.419251900673592E-2</v>
      </c>
      <c r="CP1045" s="134">
        <f>VLOOKUP($H1045,RoR!$E:$F,2,FALSE)</f>
        <v>3.8866666666666674E-2</v>
      </c>
      <c r="CQ1045" s="135">
        <v>9.5709475431029478E-3</v>
      </c>
      <c r="CR1045" s="135">
        <f t="shared" si="1873"/>
        <v>2.9295719123563727E-2</v>
      </c>
      <c r="CS1045" s="135">
        <f t="shared" si="1876"/>
        <v>1.6709422601797704E-2</v>
      </c>
      <c r="CT1045" s="135">
        <f t="shared" si="1877"/>
        <v>3.5270373279175926E-3</v>
      </c>
      <c r="CU1045" s="139">
        <f t="shared" si="1867"/>
        <v>0.84885500000000003</v>
      </c>
      <c r="CV1045" s="335">
        <f t="shared" si="1868"/>
        <v>1.3194352816994324</v>
      </c>
      <c r="CW1045" s="335">
        <f t="shared" si="1869"/>
        <v>0.33177530017152673</v>
      </c>
      <c r="CX1045" s="335">
        <f t="shared" si="1870"/>
        <v>0.78242572977668579</v>
      </c>
      <c r="CY1045" s="335">
        <f t="shared" si="1871"/>
        <v>0.34251158643433932</v>
      </c>
      <c r="CZ1045" s="336">
        <f>INDEX('State Tax Lookup'!$D$7:$Z$91,MATCH(Calculation!$C1045,'State Tax Lookup'!$B$7:$B$91,0),MATCH($H1045,'State Tax Lookup'!$D$6:$Z$6,0))</f>
        <v>0.40849999999999997</v>
      </c>
      <c r="DA1045" s="302">
        <v>0.37</v>
      </c>
      <c r="DB1045" s="57">
        <f t="shared" si="1874"/>
        <v>16.195842535200036</v>
      </c>
      <c r="DC1045" s="56">
        <f t="shared" si="1878"/>
        <v>-1.9069710623731702E-2</v>
      </c>
      <c r="DD1045" s="303">
        <f>VLOOKUP($H1045,RoR!$E:$F,2,FALSE)</f>
        <v>3.8866666666666674E-2</v>
      </c>
      <c r="DE1045" s="304">
        <f>HLOOKUP($H1045,'GDP-PI'!$D$8:$CQ$11,3,FALSE)</f>
        <v>9.5709475431029478E-3</v>
      </c>
      <c r="DF1045" s="303">
        <f>VLOOKUP(H1045,'HW Dx Data'!$E:$F,2,FALSE)</f>
        <v>675.61463308665782</v>
      </c>
      <c r="DG1045" s="364">
        <f ca="1">VLOOKUP(CC1045,'ECI - Input Price'!M$13:N$33,2,FALSE)</f>
        <v>133.5</v>
      </c>
      <c r="DH1045" s="364"/>
      <c r="DI1045" s="364"/>
      <c r="DJ1045" s="56">
        <f t="shared" ca="1" si="1886"/>
        <v>3.1193095773504077E-2</v>
      </c>
      <c r="DK1045" s="53">
        <f>HLOOKUP(H1045,'GDP-PI'!$8:$9,2,FALSE)</f>
        <v>104.639</v>
      </c>
      <c r="DL1045" s="355">
        <f t="shared" si="1879"/>
        <v>9.5254361854427965E-3</v>
      </c>
      <c r="EC1045"/>
    </row>
    <row r="1046" spans="1:133" s="126" customFormat="1" ht="21" customHeight="1" x14ac:dyDescent="0.4">
      <c r="A1046" s="233" t="s">
        <v>244</v>
      </c>
      <c r="B1046" s="126" t="s">
        <v>244</v>
      </c>
      <c r="C1046" s="126">
        <v>4063023</v>
      </c>
      <c r="D1046" s="127" t="s">
        <v>218</v>
      </c>
      <c r="E1046" s="127" t="s">
        <v>15</v>
      </c>
      <c r="F1046" s="144"/>
      <c r="G1046" s="126" t="s">
        <v>172</v>
      </c>
      <c r="H1046" s="128">
        <v>2016</v>
      </c>
      <c r="I1046" s="129"/>
      <c r="J1046" s="125">
        <f>IFERROR(INDEX('Labor Expenditures'!$E$7:$W$91,MATCH($C1046,'Labor Expenditures'!$C$7:$C$91,0),MATCH($G1046,'Labor Expenditures'!$E$5:$W$5,0)),"NA")</f>
        <v>29360.481672562935</v>
      </c>
      <c r="K1046" s="125">
        <f t="shared" ca="1" si="1880"/>
        <v>214.38832911692543</v>
      </c>
      <c r="L1046" s="47"/>
      <c r="M1046" s="131">
        <f t="shared" ca="1" si="1887"/>
        <v>7.5055573523755484E-2</v>
      </c>
      <c r="N1046" s="131"/>
      <c r="O1046" s="131"/>
      <c r="P1046" s="59">
        <f t="shared" ca="1" si="1889"/>
        <v>1.0285108803281082E-3</v>
      </c>
      <c r="Q1046" s="61"/>
      <c r="R1046" s="387"/>
      <c r="S1046" s="49">
        <f t="shared" ca="1" si="1894"/>
        <v>300.39256944122678</v>
      </c>
      <c r="T1046" s="61">
        <f ca="1">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</f>
        <v>0.90720245686056722</v>
      </c>
      <c r="U1046" s="61"/>
      <c r="V1046" s="125">
        <f>IFERROR(INDEX('Non-Labor Expenditures'!$E$7:$AA$91,MATCH($C1046,'Non-Labor Expenditures'!$C$7:$C$91,0),MATCH($G1046,'Non-Labor Expenditures'!$E$5:$AA$5,0)),"NA")</f>
        <v>42519.461243417507</v>
      </c>
      <c r="W1046" s="125">
        <f t="shared" si="1881"/>
        <v>402.12852049838756</v>
      </c>
      <c r="X1046" s="131">
        <f t="shared" si="1890"/>
        <v>9.014090102533337E-2</v>
      </c>
      <c r="Y1046" s="131">
        <f t="shared" si="1891"/>
        <v>1.2352300184314895E-3</v>
      </c>
      <c r="Z1046" s="131"/>
      <c r="AA1046" s="131"/>
      <c r="AB1046" s="131"/>
      <c r="AC1046" s="125">
        <f t="shared" si="1860"/>
        <v>69025.144971045607</v>
      </c>
      <c r="AD1046" s="129"/>
      <c r="AE1046" s="133">
        <v>4884.0976009667447</v>
      </c>
      <c r="AF1046" s="134">
        <v>5.2602379078682399E-2</v>
      </c>
      <c r="AG1046" s="59">
        <f t="shared" si="1882"/>
        <v>7.2082747054680611E-4</v>
      </c>
      <c r="AH1046" s="134"/>
      <c r="AI1046" s="134"/>
      <c r="AJ1046" s="129">
        <f t="shared" si="1809"/>
        <v>140905.08788702605</v>
      </c>
      <c r="AK1046" s="134">
        <f t="shared" si="1892"/>
        <v>7.5734807006977961E-2</v>
      </c>
      <c r="AL1046" s="129"/>
      <c r="AM1046" s="129"/>
      <c r="AN1046" s="129"/>
      <c r="AO1046" s="129"/>
      <c r="AP1046" s="133">
        <f t="shared" si="1893"/>
        <v>375.44754419016846</v>
      </c>
      <c r="AQ1046" s="134">
        <f>+BB1046/Outputs!$B$24</f>
        <v>1.0212391645093057E-2</v>
      </c>
      <c r="AR1046" s="93">
        <f t="shared" si="1883"/>
        <v>0.20837062815008772</v>
      </c>
      <c r="AS1046" s="93">
        <f t="shared" si="1884"/>
        <v>0.30175958782629964</v>
      </c>
      <c r="AT1046" s="93">
        <f t="shared" si="1885"/>
        <v>0.48986978402361264</v>
      </c>
      <c r="AU1046" s="93">
        <f t="shared" ca="1" si="1888"/>
        <v>6.8412263610713342E-2</v>
      </c>
      <c r="AV1046" s="132">
        <f t="shared" ca="1" si="1896"/>
        <v>150.13063406678228</v>
      </c>
      <c r="AW1046" s="134">
        <f t="shared" ca="1" si="1897"/>
        <v>6.8412263610713384E-2</v>
      </c>
      <c r="AX1046" s="56">
        <f>+AJ1046/$AL$21</f>
        <v>1.3703324510638496E-2</v>
      </c>
      <c r="AY1046" s="135">
        <f t="shared" ca="1" si="1895"/>
        <v>9.3747544876495077E-4</v>
      </c>
      <c r="AZ1046" s="93"/>
      <c r="BA1046" s="93"/>
      <c r="BB1046" s="234">
        <f>IFERROR(INDEX('Total Customers'!$E$7:$AA$91,MATCH($C1046,'Total Customers'!$C$7:$C$91,0),MATCH($G1046,'Total Customers'!$E$5:$AA$5,0)),"NA")</f>
        <v>375299</v>
      </c>
      <c r="BC1046" s="269">
        <f t="shared" si="1861"/>
        <v>1.5020356134885646E-2</v>
      </c>
      <c r="BD1046" s="92"/>
      <c r="BE1046" s="299" t="str">
        <f t="shared" si="1855"/>
        <v>SOUTH JERSEY GAS COMPANY</v>
      </c>
      <c r="BF1046" s="300">
        <f t="shared" si="1856"/>
        <v>4063023</v>
      </c>
      <c r="BG1046" s="231" t="str">
        <f t="shared" si="1857"/>
        <v>NJ</v>
      </c>
      <c r="BH1046" s="231"/>
      <c r="BI1046" s="231" t="str">
        <f t="shared" si="1858"/>
        <v>2016 Y</v>
      </c>
      <c r="BJ1046" s="129"/>
      <c r="BK1046" s="129"/>
      <c r="BL1046" s="129">
        <f>INDEX('Dist. Plant Gas Additions'!$E$7:$AD$91,MATCH($C1046,'Dist. Plant Gas Additions'!$C$7:$C$91,0),MATCH(Calculation!$G1046,'Dist. Plant Gas Additions'!$E$5:$AD$5,0))</f>
        <v>184744</v>
      </c>
      <c r="BM1046" s="129">
        <f>INDEX('Gen. Plant Additions'!$E$7:$AD$91,MATCH($C1046,'Gen. Plant Additions'!$C$7:$C$91,0),MATCH(Calculation!$G1046,'Gen. Plant Additions'!$E$5:$AD$5,0))</f>
        <v>7798</v>
      </c>
      <c r="BN1046" s="301">
        <f t="shared" si="1862"/>
        <v>0.91693002522659117</v>
      </c>
      <c r="BO1046" s="231">
        <f t="shared" si="1850"/>
        <v>7150.2203367169577</v>
      </c>
      <c r="BP1046" s="231">
        <f t="shared" si="1851"/>
        <v>-647.77966328304228</v>
      </c>
      <c r="BQ1046" s="129">
        <f>INDEX('Dist Plant Depreciation'!$D$7:$AC$94,MATCH($C1046,'Dist Plant Depreciation'!$C$7:$C$94,0),MATCH(Calculation!$G1046,'Dist Plant Depreciation'!$D$5:$AC$5,0))</f>
        <v>343925</v>
      </c>
      <c r="BR1046" s="129">
        <f>INDEX('Gen. Plant Depreciation'!$D$7:$AC$94,MATCH($C1046,'Gen. Plant Depreciation'!$C$7:$C$94,0),MATCH(Calculation!$G1046,'Gen. Plant Depreciation'!$D$5:$AC$5,0))</f>
        <v>41434</v>
      </c>
      <c r="BS1046" s="129"/>
      <c r="BT1046" s="129"/>
      <c r="BU1046" s="129"/>
      <c r="BV1046" s="129"/>
      <c r="BW1046" s="129"/>
      <c r="BX1046" s="137"/>
      <c r="BY1046" s="129">
        <f>INDEX('Gross Dx Plant'!$D$7:$AC$91,MATCH($C1046,'Gross Dx Plant'!$C$7:$C$91,0),MATCH(Calculation!$G1046,'Gross Dx Plant'!$D$5:$AC$5,0))</f>
        <v>1872273</v>
      </c>
      <c r="BZ1046" s="129">
        <f>INDEX('Gross Gen Plant'!$D$7:$AC$91,MATCH($C1046,'Gross Gen Plant'!$C$7:$C$91,0),MATCH(Calculation!$G1046,'Gross Gen Plant'!$D$5:$AC$5,0))</f>
        <v>169620</v>
      </c>
      <c r="CA1046" s="129">
        <f t="shared" si="1852"/>
        <v>1656534</v>
      </c>
      <c r="CB1046" s="129"/>
      <c r="CC1046" s="133">
        <v>2016</v>
      </c>
      <c r="CD1046" s="129"/>
      <c r="CE1046" s="129"/>
      <c r="CF1046" s="129"/>
      <c r="CG1046" s="137"/>
      <c r="CH1046" s="129">
        <f t="shared" si="1863"/>
        <v>192542</v>
      </c>
      <c r="CI1046" s="46">
        <f t="shared" si="1872"/>
        <v>191894.22033671697</v>
      </c>
      <c r="CJ1046" s="231">
        <f t="shared" si="1864"/>
        <v>285.78806023970867</v>
      </c>
      <c r="CK1046" s="443">
        <v>0.7857142857142857</v>
      </c>
      <c r="CL1046" s="231">
        <f>+CL1028*CK1046+CJ1029*CK1045+CJ1030*CK1044+CJ1031*CK1043+CJ1032*CK1042+CJ1033*CK1041+CJ1034*CK1040+CJ1035*CK1039+CJ1036*CK1038+CJ1037*CK1037+CJ1038*CK1036+CJ1039*CK1035+CJ1040*CK1034+CJ1041*CK1033+CJ1042*CK1032+CJ1043*CK1031+CJ1044*CK1030+CJ1045*CK1029+CJ1046</f>
        <v>4544.8049414857451</v>
      </c>
      <c r="CM1046" s="134">
        <f t="shared" si="1865"/>
        <v>5.0428668947807002E-2</v>
      </c>
      <c r="CN1046" s="135">
        <f t="shared" si="1866"/>
        <v>1.4412911073841838E-2</v>
      </c>
      <c r="CO1046" s="135">
        <f t="shared" si="1875"/>
        <v>1.4318899789856454E-2</v>
      </c>
      <c r="CP1046" s="134">
        <f>VLOOKUP($H1046,RoR!$E:$F,2,FALSE)</f>
        <v>3.6658333333333334E-2</v>
      </c>
      <c r="CQ1046" s="135">
        <v>1.0483662879041455E-2</v>
      </c>
      <c r="CR1046" s="135">
        <f t="shared" si="1873"/>
        <v>2.6174670454291879E-2</v>
      </c>
      <c r="CS1046" s="135">
        <f t="shared" si="1876"/>
        <v>1.6583041818677171E-2</v>
      </c>
      <c r="CT1046" s="135">
        <f t="shared" si="1877"/>
        <v>4.301363574220729E-3</v>
      </c>
      <c r="CU1046" s="139">
        <f t="shared" si="1867"/>
        <v>0.84885500000000003</v>
      </c>
      <c r="CV1046" s="335">
        <f t="shared" si="1868"/>
        <v>1.3989193348138562</v>
      </c>
      <c r="CW1046" s="335">
        <f t="shared" si="1869"/>
        <v>0.29302682427824522</v>
      </c>
      <c r="CX1046" s="335">
        <f t="shared" si="1870"/>
        <v>0.76309497491941802</v>
      </c>
      <c r="CY1046" s="335">
        <f t="shared" si="1871"/>
        <v>0.31280857135128509</v>
      </c>
      <c r="CZ1046" s="336">
        <f>INDEX('State Tax Lookup'!$D$7:$Z$91,MATCH(Calculation!$C1046,'State Tax Lookup'!$B$7:$B$91,0),MATCH($H1046,'State Tax Lookup'!$D$6:$Z$6,0))</f>
        <v>0.40849999999999997</v>
      </c>
      <c r="DA1046" s="302">
        <v>0.37</v>
      </c>
      <c r="DB1046" s="57">
        <f t="shared" si="1874"/>
        <v>15.973238329784607</v>
      </c>
      <c r="DC1046" s="56">
        <f t="shared" si="1878"/>
        <v>-1.3839858185788628E-2</v>
      </c>
      <c r="DD1046" s="303">
        <f>VLOOKUP($H1046,RoR!$E:$F,2,FALSE)</f>
        <v>3.6658333333333334E-2</v>
      </c>
      <c r="DE1046" s="304">
        <f>HLOOKUP($H1046,'GDP-PI'!$D$8:$CQ$11,3,FALSE)</f>
        <v>1.0483662879041455E-2</v>
      </c>
      <c r="DF1046" s="303">
        <f>VLOOKUP(H1046,'HW Dx Data'!$E:$F,2,FALSE)</f>
        <v>671.45639385971219</v>
      </c>
      <c r="DG1046" s="364">
        <f ca="1">VLOOKUP(CC1046,'ECI - Input Price'!M$13:N$33,2,FALSE)</f>
        <v>136.94999999999999</v>
      </c>
      <c r="DH1046" s="364"/>
      <c r="DI1046" s="364"/>
      <c r="DJ1046" s="56">
        <f t="shared" ca="1" si="1886"/>
        <v>2.5514417868782811E-2</v>
      </c>
      <c r="DK1046" s="53">
        <f>HLOOKUP(H1046,'GDP-PI'!$8:$9,2,FALSE)</f>
        <v>105.736</v>
      </c>
      <c r="DL1046" s="355">
        <f t="shared" si="1879"/>
        <v>1.0429090367205095E-2</v>
      </c>
      <c r="EC1046"/>
    </row>
    <row r="1047" spans="1:133" s="126" customFormat="1" ht="21" customHeight="1" x14ac:dyDescent="0.4">
      <c r="A1047" s="233" t="s">
        <v>244</v>
      </c>
      <c r="B1047" s="126" t="s">
        <v>244</v>
      </c>
      <c r="C1047" s="126">
        <v>4063023</v>
      </c>
      <c r="D1047" s="127" t="s">
        <v>218</v>
      </c>
      <c r="E1047" s="127" t="s">
        <v>15</v>
      </c>
      <c r="F1047" s="144"/>
      <c r="G1047" s="126" t="s">
        <v>173</v>
      </c>
      <c r="H1047" s="128">
        <v>2017</v>
      </c>
      <c r="I1047" s="129"/>
      <c r="J1047" s="125">
        <f>IFERROR(INDEX('Labor Expenditures'!$E$7:$W$91,MATCH($C1047,'Labor Expenditures'!$C$7:$C$91,0),MATCH($G1047,'Labor Expenditures'!$E$5:$W$5,0)),"NA")</f>
        <v>31446.956585819382</v>
      </c>
      <c r="K1047" s="125">
        <f t="shared" ca="1" si="1880"/>
        <v>223.90143528529288</v>
      </c>
      <c r="L1047" s="47"/>
      <c r="M1047" s="131">
        <f t="shared" ca="1" si="1887"/>
        <v>4.3416941343534396E-2</v>
      </c>
      <c r="N1047" s="131"/>
      <c r="O1047" s="131"/>
      <c r="P1047" s="59">
        <f t="shared" ca="1" si="1889"/>
        <v>6.0215537677656887E-4</v>
      </c>
      <c r="Q1047" s="61"/>
      <c r="R1047" s="387"/>
      <c r="S1047" s="49">
        <f t="shared" ca="1" si="1894"/>
        <v>169.5788448988657</v>
      </c>
      <c r="T1047" s="61">
        <f ca="1">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</f>
        <v>-0.57177220372394788</v>
      </c>
      <c r="U1047" s="61"/>
      <c r="V1047" s="125">
        <f>IFERROR(INDEX('Non-Labor Expenditures'!$E$7:$AA$91,MATCH($C1047,'Non-Labor Expenditures'!$C$7:$C$91,0),MATCH($G1047,'Non-Labor Expenditures'!$E$5:$AA$5,0)),"NA")</f>
        <v>45541.066617571647</v>
      </c>
      <c r="W1047" s="125">
        <f t="shared" si="1881"/>
        <v>422.65098808894254</v>
      </c>
      <c r="X1047" s="131">
        <f t="shared" si="1890"/>
        <v>4.9775010956954552E-2</v>
      </c>
      <c r="Y1047" s="131">
        <f t="shared" si="1891"/>
        <v>6.9033629614045238E-4</v>
      </c>
      <c r="Z1047" s="131"/>
      <c r="AA1047" s="131"/>
      <c r="AB1047" s="131"/>
      <c r="AC1047" s="125">
        <f t="shared" si="1860"/>
        <v>65574.569757457051</v>
      </c>
      <c r="AD1047" s="129"/>
      <c r="AE1047" s="133">
        <v>5133.3545042103469</v>
      </c>
      <c r="AF1047" s="134">
        <v>4.9774805073080922E-2</v>
      </c>
      <c r="AG1047" s="59">
        <f t="shared" si="1882"/>
        <v>6.9033344070942328E-4</v>
      </c>
      <c r="AH1047" s="134"/>
      <c r="AI1047" s="134"/>
      <c r="AJ1047" s="129">
        <f t="shared" si="1809"/>
        <v>142562.59296084807</v>
      </c>
      <c r="AK1047" s="134">
        <f t="shared" si="1892"/>
        <v>1.1694623947521438E-2</v>
      </c>
      <c r="AL1047" s="129"/>
      <c r="AM1047" s="129"/>
      <c r="AN1047" s="129"/>
      <c r="AO1047" s="129"/>
      <c r="AP1047" s="133">
        <f t="shared" si="1893"/>
        <v>374.4129365533102</v>
      </c>
      <c r="AQ1047" s="134">
        <f>+BB1047/Outputs!$B$25</f>
        <v>1.0283230051727946E-2</v>
      </c>
      <c r="AR1047" s="93">
        <f t="shared" si="1883"/>
        <v>0.22058350604253987</v>
      </c>
      <c r="AS1047" s="93">
        <f t="shared" si="1884"/>
        <v>0.31944611606551365</v>
      </c>
      <c r="AT1047" s="93">
        <f t="shared" si="1885"/>
        <v>0.45997037789194661</v>
      </c>
      <c r="AU1047" s="93">
        <f t="shared" ca="1" si="1888"/>
        <v>4.8411253055488074E-2</v>
      </c>
      <c r="AV1047" s="132">
        <f t="shared" ca="1" si="1896"/>
        <v>157.57744661088157</v>
      </c>
      <c r="AW1047" s="134">
        <f t="shared" ca="1" si="1897"/>
        <v>4.8411253055488081E-2</v>
      </c>
      <c r="AX1047" s="56">
        <f>+AJ1047/$AL$22</f>
        <v>1.3869133986478786E-2</v>
      </c>
      <c r="AY1047" s="135">
        <f t="shared" ca="1" si="1895"/>
        <v>6.7142215507989475E-4</v>
      </c>
      <c r="AZ1047" s="93"/>
      <c r="BA1047" s="93"/>
      <c r="BB1047" s="234">
        <f>IFERROR(INDEX('Total Customers'!$E$7:$AA$91,MATCH($C1047,'Total Customers'!$C$7:$C$91,0),MATCH($G1047,'Total Customers'!$E$5:$AA$5,0)),"NA")</f>
        <v>380763</v>
      </c>
      <c r="BC1047" s="269">
        <f t="shared" si="1861"/>
        <v>1.4454092728563163E-2</v>
      </c>
      <c r="BD1047" s="92"/>
      <c r="BE1047" s="299" t="str">
        <f t="shared" si="1855"/>
        <v>SOUTH JERSEY GAS COMPANY</v>
      </c>
      <c r="BF1047" s="300">
        <f t="shared" si="1856"/>
        <v>4063023</v>
      </c>
      <c r="BG1047" s="231" t="str">
        <f t="shared" si="1857"/>
        <v>NJ</v>
      </c>
      <c r="BH1047" s="231"/>
      <c r="BI1047" s="231" t="str">
        <f t="shared" si="1858"/>
        <v>2017 Y</v>
      </c>
      <c r="BJ1047" s="129"/>
      <c r="BK1047" s="129"/>
      <c r="BL1047" s="129">
        <f>INDEX('Dist. Plant Gas Additions'!$E$7:$AD$91,MATCH($C1047,'Dist. Plant Gas Additions'!$C$7:$C$91,0),MATCH(Calculation!$G1047,'Dist. Plant Gas Additions'!$E$5:$AD$5,0))</f>
        <v>196188</v>
      </c>
      <c r="BM1047" s="129">
        <f>INDEX('Gen. Plant Additions'!$E$7:$AD$91,MATCH($C1047,'Gen. Plant Additions'!$C$7:$C$91,0),MATCH(Calculation!$G1047,'Gen. Plant Additions'!$E$5:$AD$5,0))</f>
        <v>9373</v>
      </c>
      <c r="BN1047" s="301">
        <f t="shared" si="1862"/>
        <v>0.92085767575400335</v>
      </c>
      <c r="BO1047" s="231">
        <f t="shared" si="1850"/>
        <v>8631.1989948422743</v>
      </c>
      <c r="BP1047" s="231">
        <f t="shared" si="1851"/>
        <v>-741.80100515772574</v>
      </c>
      <c r="BQ1047" s="129">
        <f>INDEX('Dist Plant Depreciation'!$D$7:$AC$94,MATCH($C1047,'Dist Plant Depreciation'!$C$7:$C$94,0),MATCH(Calculation!$G1047,'Dist Plant Depreciation'!$D$5:$AC$5,0))</f>
        <v>353341</v>
      </c>
      <c r="BR1047" s="129">
        <f>INDEX('Gen. Plant Depreciation'!$D$7:$AC$94,MATCH($C1047,'Gen. Plant Depreciation'!$C$7:$C$94,0),MATCH(Calculation!$G1047,'Gen. Plant Depreciation'!$D$5:$AC$5,0))</f>
        <v>53152</v>
      </c>
      <c r="BS1047" s="129"/>
      <c r="BT1047" s="129"/>
      <c r="BU1047" s="129"/>
      <c r="BV1047" s="129"/>
      <c r="BW1047" s="129"/>
      <c r="BX1047" s="137"/>
      <c r="BY1047" s="129">
        <f>INDEX('Gross Dx Plant'!$D$7:$AC$91,MATCH($C1047,'Gross Dx Plant'!$C$7:$C$91,0),MATCH(Calculation!$G1047,'Gross Dx Plant'!$D$5:$AC$5,0))</f>
        <v>2044991</v>
      </c>
      <c r="BZ1047" s="129">
        <f>INDEX('Gross Gen Plant'!$D$7:$AC$91,MATCH($C1047,'Gross Gen Plant'!$C$7:$C$91,0),MATCH(Calculation!$G1047,'Gross Gen Plant'!$D$5:$AC$5,0))</f>
        <v>175755</v>
      </c>
      <c r="CA1047" s="129">
        <f t="shared" si="1852"/>
        <v>1814253</v>
      </c>
      <c r="CB1047" s="129"/>
      <c r="CC1047" s="133">
        <v>2017</v>
      </c>
      <c r="CD1047" s="129"/>
      <c r="CE1047" s="129"/>
      <c r="CF1047" s="129"/>
      <c r="CG1047" s="137"/>
      <c r="CH1047" s="129">
        <f t="shared" si="1863"/>
        <v>205561</v>
      </c>
      <c r="CI1047" s="46">
        <f t="shared" si="1872"/>
        <v>204819.19899484227</v>
      </c>
      <c r="CJ1047" s="231">
        <f t="shared" si="1864"/>
        <v>287.49435898606521</v>
      </c>
      <c r="CK1047" s="443">
        <v>0.77108433734939763</v>
      </c>
      <c r="CL1047" s="231">
        <f>+CL1028*CK1047+CJ1029*CK1046+CJ1030*CK1045+CJ1031*CK1044+CJ1032*CK1043+CJ1033*CK1042+CJ1034*CK1041+CJ1035*CK1040+CJ1036*CK1039+CJ1037*CK1038+CJ1038*CK1037+CJ1039*CK1036+CJ1040*CK1035+CJ1041*CK1034+CJ1042*CK1033+CJ1043*CK1032+CJ1044*CK1031+CJ1045*CK1030+CJ1046*CK1029+CJ1047</f>
        <v>4765.7679791825485</v>
      </c>
      <c r="CM1047" s="134">
        <f t="shared" si="1865"/>
        <v>4.7473885443186301E-2</v>
      </c>
      <c r="CN1047" s="135">
        <f t="shared" si="1866"/>
        <v>1.4638982782726859E-2</v>
      </c>
      <c r="CO1047" s="135">
        <f t="shared" si="1875"/>
        <v>1.4433504442160147E-2</v>
      </c>
      <c r="CP1047" s="134">
        <f>VLOOKUP($H1047,RoR!$E:$F,2,FALSE)</f>
        <v>3.7433333333333339E-2</v>
      </c>
      <c r="CQ1047" s="135">
        <v>1.9056896421275615E-2</v>
      </c>
      <c r="CR1047" s="135">
        <f t="shared" si="1873"/>
        <v>1.8376436912057724E-2</v>
      </c>
      <c r="CS1047" s="135">
        <f t="shared" si="1876"/>
        <v>1.646843716637348E-2</v>
      </c>
      <c r="CT1047" s="135">
        <f t="shared" si="1877"/>
        <v>1.3976271617800498E-2</v>
      </c>
      <c r="CU1047" s="139">
        <f t="shared" si="1867"/>
        <v>0.90065499999999998</v>
      </c>
      <c r="CV1047" s="335">
        <f t="shared" si="1868"/>
        <v>1.3699568463593395</v>
      </c>
      <c r="CW1047" s="335">
        <f t="shared" si="1869"/>
        <v>0.30714603739982199</v>
      </c>
      <c r="CX1047" s="335">
        <f t="shared" si="1870"/>
        <v>0.77007188472689425</v>
      </c>
      <c r="CY1047" s="335">
        <f t="shared" si="1871"/>
        <v>0.32402839633793828</v>
      </c>
      <c r="CZ1047" s="336">
        <f>INDEX('State Tax Lookup'!$D$7:$Z$91,MATCH(Calculation!$C1047,'State Tax Lookup'!$B$7:$B$91,0),MATCH($H1047,'State Tax Lookup'!$D$6:$Z$6,0))</f>
        <v>0.26849999999999996</v>
      </c>
      <c r="DA1047" s="302">
        <v>0.37</v>
      </c>
      <c r="DB1047" s="57">
        <f t="shared" si="1874"/>
        <v>14.428467360365971</v>
      </c>
      <c r="DC1047" s="56">
        <f t="shared" si="1878"/>
        <v>-0.10171156237484553</v>
      </c>
      <c r="DD1047" s="303">
        <f>VLOOKUP($H1047,RoR!$E:$F,2,FALSE)</f>
        <v>3.7433333333333339E-2</v>
      </c>
      <c r="DE1047" s="304">
        <f>HLOOKUP($H1047,'GDP-PI'!$D$8:$CQ$11,3,FALSE)</f>
        <v>1.9056896421275615E-2</v>
      </c>
      <c r="DF1047" s="303">
        <f>VLOOKUP(H1047,'HW Dx Data'!$E:$F,2,FALSE)</f>
        <v>712.42858370229726</v>
      </c>
      <c r="DG1047" s="364">
        <f ca="1">VLOOKUP(CC1047,'ECI - Input Price'!M$13:N$33,2,FALSE)</f>
        <v>140.44999999999999</v>
      </c>
      <c r="DH1047" s="364"/>
      <c r="DI1047" s="364"/>
      <c r="DJ1047" s="56">
        <f t="shared" ca="1" si="1886"/>
        <v>2.5235657841165486E-2</v>
      </c>
      <c r="DK1047" s="53">
        <f>HLOOKUP(H1047,'GDP-PI'!$8:$9,2,FALSE)</f>
        <v>107.751</v>
      </c>
      <c r="DL1047" s="355">
        <f t="shared" si="1879"/>
        <v>1.8877588227745139E-2</v>
      </c>
      <c r="EC1047"/>
    </row>
    <row r="1048" spans="1:133" s="126" customFormat="1" ht="21" customHeight="1" x14ac:dyDescent="0.4">
      <c r="A1048" s="233" t="s">
        <v>244</v>
      </c>
      <c r="B1048" s="126" t="s">
        <v>244</v>
      </c>
      <c r="C1048" s="126">
        <v>4063023</v>
      </c>
      <c r="D1048" s="127" t="s">
        <v>218</v>
      </c>
      <c r="E1048" s="127" t="s">
        <v>15</v>
      </c>
      <c r="F1048" s="144"/>
      <c r="G1048" s="126" t="s">
        <v>174</v>
      </c>
      <c r="H1048" s="128">
        <v>2018</v>
      </c>
      <c r="I1048" s="129"/>
      <c r="J1048" s="125">
        <f>IFERROR(INDEX('Labor Expenditures'!$E$7:$W$91,MATCH($C1048,'Labor Expenditures'!$C$7:$C$91,0),MATCH($G1048,'Labor Expenditures'!$E$5:$W$5,0)),"NA")</f>
        <v>34009.76470657553</v>
      </c>
      <c r="K1048" s="125">
        <f t="shared" ca="1" si="1880"/>
        <v>235.4431616931501</v>
      </c>
      <c r="L1048" s="47"/>
      <c r="M1048" s="131">
        <f t="shared" ca="1" si="1887"/>
        <v>5.0263598735468512E-2</v>
      </c>
      <c r="N1048" s="131"/>
      <c r="O1048" s="131"/>
      <c r="P1048" s="59">
        <f t="shared" ca="1" si="1889"/>
        <v>7.004801938324301E-4</v>
      </c>
      <c r="Q1048" s="61"/>
      <c r="R1048" s="387"/>
      <c r="S1048" s="49">
        <f t="shared" ca="1" si="1894"/>
        <v>116.70591949121862</v>
      </c>
      <c r="T1048" s="61">
        <f ca="1">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</f>
        <v>-0.37366071830191172</v>
      </c>
      <c r="U1048" s="61"/>
      <c r="V1048" s="125">
        <f>IFERROR(INDEX('Non-Labor Expenditures'!$E$7:$AA$91,MATCH($C1048,'Non-Labor Expenditures'!$C$7:$C$91,0),MATCH($G1048,'Non-Labor Expenditures'!$E$5:$AA$5,0)),"NA")</f>
        <v>49252.491442956496</v>
      </c>
      <c r="W1048" s="125">
        <f t="shared" si="1881"/>
        <v>446.44306161016385</v>
      </c>
      <c r="X1048" s="131">
        <f t="shared" si="1890"/>
        <v>5.4765119380951605E-2</v>
      </c>
      <c r="Y1048" s="131">
        <f t="shared" si="1891"/>
        <v>7.6321398396321136E-4</v>
      </c>
      <c r="Z1048" s="131"/>
      <c r="AA1048" s="131"/>
      <c r="AB1048" s="131"/>
      <c r="AC1048" s="125">
        <f t="shared" si="1860"/>
        <v>71818.298008686659</v>
      </c>
      <c r="AD1048" s="129"/>
      <c r="AE1048" s="133">
        <v>5471.0846583373068</v>
      </c>
      <c r="AF1048" s="134">
        <v>6.3717544037404442E-2</v>
      </c>
      <c r="AG1048" s="59">
        <f t="shared" si="1882"/>
        <v>8.879761640774096E-4</v>
      </c>
      <c r="AH1048" s="134"/>
      <c r="AI1048" s="134"/>
      <c r="AJ1048" s="129">
        <f t="shared" si="1809"/>
        <v>155080.55415821867</v>
      </c>
      <c r="AK1048" s="134">
        <f t="shared" si="1892"/>
        <v>8.4163534051111225E-2</v>
      </c>
      <c r="AL1048" s="129"/>
      <c r="AM1048" s="129"/>
      <c r="AN1048" s="129"/>
      <c r="AO1048" s="129"/>
      <c r="AP1048" s="133">
        <f t="shared" si="1893"/>
        <v>395.63081602574266</v>
      </c>
      <c r="AQ1048" s="134">
        <f>+BB1048/Outputs!$B$26</f>
        <v>1.0493534470988884E-2</v>
      </c>
      <c r="AR1048" s="93">
        <f t="shared" si="1883"/>
        <v>0.21930386366737872</v>
      </c>
      <c r="AS1048" s="93">
        <f t="shared" si="1884"/>
        <v>0.3175929549020528</v>
      </c>
      <c r="AT1048" s="93">
        <f t="shared" si="1885"/>
        <v>0.46310318143056861</v>
      </c>
      <c r="AU1048" s="93">
        <f t="shared" ca="1" si="1888"/>
        <v>5.7906911588832669E-2</v>
      </c>
      <c r="AV1048" s="132">
        <f t="shared" ca="1" si="1896"/>
        <v>166.97163931121011</v>
      </c>
      <c r="AW1048" s="134">
        <f t="shared" ca="1" si="1897"/>
        <v>5.7906911588832745E-2</v>
      </c>
      <c r="AX1048" s="56">
        <f>+AJ1048/$AL$23</f>
        <v>1.3936132936262207E-2</v>
      </c>
      <c r="AY1048" s="135">
        <f t="shared" ca="1" si="1895"/>
        <v>8.0699841783035567E-4</v>
      </c>
      <c r="AZ1048" s="93"/>
      <c r="BA1048" s="93"/>
      <c r="BB1048" s="234">
        <f>IFERROR(INDEX('Total Customers'!$E$7:$AA$91,MATCH($C1048,'Total Customers'!$C$7:$C$91,0),MATCH($G1048,'Total Customers'!$E$5:$AA$5,0)),"NA")</f>
        <v>391983</v>
      </c>
      <c r="BC1048" s="269">
        <f t="shared" si="1861"/>
        <v>2.9041337172183244E-2</v>
      </c>
      <c r="BD1048" s="92"/>
      <c r="BE1048" s="299" t="str">
        <f t="shared" si="1855"/>
        <v>SOUTH JERSEY GAS COMPANY</v>
      </c>
      <c r="BF1048" s="300">
        <f t="shared" si="1856"/>
        <v>4063023</v>
      </c>
      <c r="BG1048" s="231" t="str">
        <f t="shared" si="1857"/>
        <v>NJ</v>
      </c>
      <c r="BH1048" s="231"/>
      <c r="BI1048" s="231" t="str">
        <f t="shared" si="1858"/>
        <v>2018 Y</v>
      </c>
      <c r="BJ1048" s="129"/>
      <c r="BK1048" s="129"/>
      <c r="BL1048" s="129">
        <f>INDEX('Dist. Plant Gas Additions'!$E$7:$AD$91,MATCH($C1048,'Dist. Plant Gas Additions'!$C$7:$C$91,0),MATCH(Calculation!$G1048,'Dist. Plant Gas Additions'!$E$5:$AD$5,0))</f>
        <v>209117</v>
      </c>
      <c r="BM1048" s="129">
        <f>INDEX('Gen. Plant Additions'!$E$7:$AD$91,MATCH($C1048,'Gen. Plant Additions'!$C$7:$C$91,0),MATCH(Calculation!$G1048,'Gen. Plant Additions'!$E$5:$AD$5,0))</f>
        <v>77791</v>
      </c>
      <c r="BN1048" s="301">
        <f t="shared" si="1862"/>
        <v>0.90171559960434311</v>
      </c>
      <c r="BO1048" s="231">
        <f t="shared" si="1850"/>
        <v>70145.358208821461</v>
      </c>
      <c r="BP1048" s="231">
        <f t="shared" si="1851"/>
        <v>-7645.6417911785393</v>
      </c>
      <c r="BQ1048" s="129">
        <f>INDEX('Dist Plant Depreciation'!$D$7:$AC$94,MATCH($C1048,'Dist Plant Depreciation'!$C$7:$C$94,0),MATCH(Calculation!$G1048,'Dist Plant Depreciation'!$D$5:$AC$5,0))</f>
        <v>369649</v>
      </c>
      <c r="BR1048" s="129">
        <f>INDEX('Gen. Plant Depreciation'!$D$7:$AC$94,MATCH($C1048,'Gen. Plant Depreciation'!$C$7:$C$94,0),MATCH(Calculation!$G1048,'Gen. Plant Depreciation'!$D$5:$AC$5,0))</f>
        <v>56557</v>
      </c>
      <c r="BS1048" s="129"/>
      <c r="BT1048" s="129"/>
      <c r="BU1048" s="129"/>
      <c r="BV1048" s="129"/>
      <c r="BW1048" s="129"/>
      <c r="BX1048" s="137"/>
      <c r="BY1048" s="129">
        <f>INDEX('Gross Dx Plant'!$D$7:$AC$91,MATCH($C1048,'Gross Dx Plant'!$C$7:$C$91,0),MATCH(Calculation!$G1048,'Gross Dx Plant'!$D$5:$AC$5,0))</f>
        <v>2213398</v>
      </c>
      <c r="BZ1048" s="129">
        <f>INDEX('Gross Gen Plant'!$D$7:$AC$91,MATCH($C1048,'Gross Gen Plant'!$C$7:$C$91,0),MATCH(Calculation!$G1048,'Gross Gen Plant'!$D$5:$AC$5,0))</f>
        <v>241254</v>
      </c>
      <c r="CA1048" s="129">
        <f t="shared" si="1852"/>
        <v>2028446</v>
      </c>
      <c r="CB1048" s="129"/>
      <c r="CC1048" s="133">
        <v>2018</v>
      </c>
      <c r="CD1048" s="129"/>
      <c r="CE1048" s="129"/>
      <c r="CF1048" s="129"/>
      <c r="CG1048" s="137"/>
      <c r="CH1048" s="129">
        <f t="shared" si="1863"/>
        <v>286908</v>
      </c>
      <c r="CI1048" s="46">
        <f t="shared" si="1872"/>
        <v>279262.35820882145</v>
      </c>
      <c r="CJ1048" s="231">
        <f t="shared" si="1864"/>
        <v>369.81695222202785</v>
      </c>
      <c r="CK1048" s="443">
        <v>0.75609756097560976</v>
      </c>
      <c r="CL1048" s="231">
        <f>+CL1028*CK1048++CJ1029*CK1047+CJ1030*CK1046+CJ1031*CK1045+CJ1032*CK1044+CJ1033*CK1043+CJ1034*CK1042+CJ1035*CK1041+CJ1036*CK1040+CJ1037*CK1039+CJ1038*CK1038+CJ1039*CK1037+CJ1040*CK1036+CJ1041*CK1035+CJ1042*CK1034+CJ1043*CK1033+CJ1044*CK1032+CJ1045*CK1031+CJ1046*CK1030+CJ1047*CK1029+CJ1048</f>
        <v>5064.6819997332632</v>
      </c>
      <c r="CM1048" s="134">
        <f t="shared" si="1865"/>
        <v>6.0832656879722703E-2</v>
      </c>
      <c r="CN1048" s="135">
        <f t="shared" si="1866"/>
        <v>1.4877545860609617E-2</v>
      </c>
      <c r="CO1048" s="135">
        <f t="shared" si="1875"/>
        <v>1.464314657239277E-2</v>
      </c>
      <c r="CP1048" s="134">
        <f>VLOOKUP($H1048,RoR!$E:$F,2,FALSE)</f>
        <v>3.9299999999999995E-2</v>
      </c>
      <c r="CQ1048" s="135">
        <v>2.386056741932796E-2</v>
      </c>
      <c r="CR1048" s="135">
        <f t="shared" si="1873"/>
        <v>1.5439432580672034E-2</v>
      </c>
      <c r="CS1048" s="135">
        <f t="shared" si="1876"/>
        <v>1.6258795036140854E-2</v>
      </c>
      <c r="CT1048" s="135">
        <f t="shared" si="1877"/>
        <v>3.8270792163076606E-2</v>
      </c>
      <c r="CU1048" s="139">
        <f t="shared" si="1867"/>
        <v>0.90065499999999998</v>
      </c>
      <c r="CV1048" s="335">
        <f t="shared" si="1868"/>
        <v>1.3048868010700074</v>
      </c>
      <c r="CW1048" s="335">
        <f t="shared" si="1869"/>
        <v>0.33886768447837151</v>
      </c>
      <c r="CX1048" s="335">
        <f t="shared" si="1870"/>
        <v>0.78602506232557801</v>
      </c>
      <c r="CY1048" s="335">
        <f t="shared" si="1871"/>
        <v>0.34756768162358759</v>
      </c>
      <c r="CZ1048" s="336">
        <f>INDEX('State Tax Lookup'!$D$7:$Z$91,MATCH(Calculation!$C1048,'State Tax Lookup'!$B$7:$B$91,0),MATCH($H1048,'State Tax Lookup'!$D$6:$Z$6,0))</f>
        <v>0.26849999999999996</v>
      </c>
      <c r="DA1048" s="302">
        <v>0.37</v>
      </c>
      <c r="DB1048" s="57">
        <f t="shared" si="1874"/>
        <v>15.069616968849026</v>
      </c>
      <c r="DC1048" s="56">
        <f t="shared" si="1878"/>
        <v>4.3477440405020447E-2</v>
      </c>
      <c r="DD1048" s="303">
        <f>VLOOKUP($H1048,RoR!$E:$F,2,FALSE)</f>
        <v>3.9299999999999995E-2</v>
      </c>
      <c r="DE1048" s="304">
        <f>HLOOKUP($H1048,'GDP-PI'!$D$8:$CQ$11,3,FALSE)</f>
        <v>2.386056741932796E-2</v>
      </c>
      <c r="DF1048" s="303">
        <f>VLOOKUP(H1048,'HW Dx Data'!$E:$F,2,FALSE)</f>
        <v>755.13671434174842</v>
      </c>
      <c r="DG1048" s="364">
        <f ca="1">VLOOKUP(CC1048,'ECI - Input Price'!M$13:N$33,2,FALSE)</f>
        <v>144.44999999999999</v>
      </c>
      <c r="DH1048" s="364"/>
      <c r="DI1048" s="364"/>
      <c r="DJ1048" s="56">
        <f t="shared" ca="1" si="1886"/>
        <v>2.80818733619915E-2</v>
      </c>
      <c r="DK1048" s="53">
        <f>HLOOKUP(H1048,'GDP-PI'!$8:$9,2,FALSE)</f>
        <v>110.322</v>
      </c>
      <c r="DL1048" s="355">
        <f t="shared" si="1879"/>
        <v>2.3580352716508712E-2</v>
      </c>
      <c r="EC1048"/>
    </row>
    <row r="1049" spans="1:133" s="126" customFormat="1" ht="21" customHeight="1" x14ac:dyDescent="0.4">
      <c r="A1049" s="233" t="s">
        <v>244</v>
      </c>
      <c r="B1049" s="126" t="s">
        <v>244</v>
      </c>
      <c r="C1049" s="126">
        <v>4063023</v>
      </c>
      <c r="D1049" s="127" t="s">
        <v>218</v>
      </c>
      <c r="E1049" s="127" t="s">
        <v>15</v>
      </c>
      <c r="F1049" s="144"/>
      <c r="G1049" s="126" t="s">
        <v>175</v>
      </c>
      <c r="H1049" s="128">
        <v>2019</v>
      </c>
      <c r="I1049" s="129"/>
      <c r="J1049" s="125">
        <f>IFERROR(INDEX('Labor Expenditures'!$E$7:$W$91,MATCH($C1049,'Labor Expenditures'!$C$7:$C$91,0),MATCH($G1049,'Labor Expenditures'!$E$5:$W$5,0)),"NA")</f>
        <v>32510.614303611354</v>
      </c>
      <c r="K1049" s="125">
        <f t="shared" ca="1" si="1880"/>
        <v>217.20804612401102</v>
      </c>
      <c r="L1049" s="47"/>
      <c r="M1049" s="131">
        <f t="shared" ca="1" si="1887"/>
        <v>-8.0613900561551405E-2</v>
      </c>
      <c r="N1049" s="131"/>
      <c r="O1049" s="131"/>
      <c r="P1049" s="59">
        <f t="shared" ca="1" si="1889"/>
        <v>-1.1087597468872187E-3</v>
      </c>
      <c r="Q1049" s="61"/>
      <c r="R1049" s="387"/>
      <c r="S1049" s="49">
        <f t="shared" ca="1" si="1894"/>
        <v>116.73113168157775</v>
      </c>
      <c r="T1049" s="61">
        <f ca="1">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</f>
        <v>2.1600847278080773E-4</v>
      </c>
      <c r="U1049" s="61"/>
      <c r="V1049" s="125">
        <f>IFERROR(INDEX('Non-Labor Expenditures'!$E$7:$AA$91,MATCH($C1049,'Non-Labor Expenditures'!$C$7:$C$91,0),MATCH($G1049,'Non-Labor Expenditures'!$E$5:$AA$5,0)),"NA")</f>
        <v>47081.441656792522</v>
      </c>
      <c r="W1049" s="125">
        <f t="shared" si="1881"/>
        <v>419.17984345156185</v>
      </c>
      <c r="X1049" s="131">
        <f t="shared" si="1890"/>
        <v>-6.3011822113781576E-2</v>
      </c>
      <c r="Y1049" s="131">
        <f t="shared" si="1891"/>
        <v>-8.6666159869580649E-4</v>
      </c>
      <c r="Z1049" s="131"/>
      <c r="AA1049" s="131"/>
      <c r="AB1049" s="131"/>
      <c r="AC1049" s="125">
        <f t="shared" si="1860"/>
        <v>77108.274237104604</v>
      </c>
      <c r="AD1049" s="129"/>
      <c r="AE1049" s="133">
        <v>5752.1111447745643</v>
      </c>
      <c r="AF1049" s="134">
        <v>5.0090054059903522E-2</v>
      </c>
      <c r="AG1049" s="59">
        <f t="shared" si="1882"/>
        <v>6.8893621663450885E-4</v>
      </c>
      <c r="AH1049" s="134"/>
      <c r="AI1049" s="134"/>
      <c r="AJ1049" s="129">
        <f t="shared" si="1809"/>
        <v>156700.33019750848</v>
      </c>
      <c r="AK1049" s="134">
        <f t="shared" si="1892"/>
        <v>1.0390570388748707E-2</v>
      </c>
      <c r="AL1049" s="129"/>
      <c r="AM1049" s="129"/>
      <c r="AN1049" s="129"/>
      <c r="AO1049" s="129"/>
      <c r="AP1049" s="133">
        <f t="shared" si="1893"/>
        <v>397.99840546353505</v>
      </c>
      <c r="AQ1049" s="134">
        <f>+BB1049/Outputs!$B$27</f>
        <v>1.0453135586238694E-2</v>
      </c>
      <c r="AR1049" s="93">
        <f t="shared" si="1883"/>
        <v>0.20746997956312072</v>
      </c>
      <c r="AS1049" s="93">
        <f t="shared" si="1884"/>
        <v>0.30045528045441933</v>
      </c>
      <c r="AT1049" s="93">
        <f t="shared" si="1885"/>
        <v>0.49207473998245999</v>
      </c>
      <c r="AU1049" s="93">
        <f t="shared" ca="1" si="1888"/>
        <v>-1.2751667952034182E-2</v>
      </c>
      <c r="AV1049" s="132">
        <f t="shared" ca="1" si="1896"/>
        <v>164.85599010525226</v>
      </c>
      <c r="AW1049" s="134">
        <f t="shared" ca="1" si="1897"/>
        <v>-1.2751667952034149E-2</v>
      </c>
      <c r="AX1049" s="56">
        <f>+AJ1049/$AL$24</f>
        <v>1.3753952347717546E-2</v>
      </c>
      <c r="AY1049" s="135">
        <f t="shared" ca="1" si="1895"/>
        <v>-1.7538583336619467E-4</v>
      </c>
      <c r="AZ1049" s="93"/>
      <c r="BA1049" s="93"/>
      <c r="BB1049" s="234">
        <f>IFERROR(INDEX('Total Customers'!$E$7:$AA$91,MATCH($C1049,'Total Customers'!$C$7:$C$91,0),MATCH($G1049,'Total Customers'!$E$5:$AA$5,0)),"NA")</f>
        <v>393721</v>
      </c>
      <c r="BC1049" s="269">
        <f t="shared" si="1861"/>
        <v>4.4240651307060688E-3</v>
      </c>
      <c r="BD1049" s="92"/>
      <c r="BE1049" s="299" t="str">
        <f t="shared" si="1855"/>
        <v>SOUTH JERSEY GAS COMPANY</v>
      </c>
      <c r="BF1049" s="300">
        <f t="shared" si="1856"/>
        <v>4063023</v>
      </c>
      <c r="BG1049" s="231" t="str">
        <f t="shared" si="1857"/>
        <v>NJ</v>
      </c>
      <c r="BH1049" s="231"/>
      <c r="BI1049" s="231" t="str">
        <f t="shared" si="1858"/>
        <v>2019 Y</v>
      </c>
      <c r="BJ1049" s="129"/>
      <c r="BK1049" s="129"/>
      <c r="BL1049" s="129">
        <f>INDEX('Dist. Plant Gas Additions'!$E$7:$AD$91,MATCH($C1049,'Dist. Plant Gas Additions'!$C$7:$C$91,0),MATCH(Calculation!$G1049,'Dist. Plant Gas Additions'!$E$5:$AD$5,0))</f>
        <v>245163</v>
      </c>
      <c r="BM1049" s="129">
        <f>INDEX('Gen. Plant Additions'!$E$7:$AD$91,MATCH($C1049,'Gen. Plant Additions'!$C$7:$C$91,0),MATCH(Calculation!$G1049,'Gen. Plant Additions'!$E$5:$AD$5,0))</f>
        <v>7597</v>
      </c>
      <c r="BN1049" s="301">
        <f t="shared" si="1862"/>
        <v>0.91104335115484036</v>
      </c>
      <c r="BO1049" s="231">
        <f t="shared" si="1850"/>
        <v>6921.1963387233227</v>
      </c>
      <c r="BP1049" s="231">
        <f t="shared" si="1851"/>
        <v>-675.8036612766773</v>
      </c>
      <c r="BQ1049" s="129">
        <f>INDEX('Dist Plant Depreciation'!$D$7:$AC$94,MATCH($C1049,'Dist Plant Depreciation'!$C$7:$C$94,0),MATCH(Calculation!$G1049,'Dist Plant Depreciation'!$D$5:$AC$5,0))</f>
        <v>392979</v>
      </c>
      <c r="BR1049" s="129">
        <f>INDEX('Gen. Plant Depreciation'!$D$7:$AC$94,MATCH($C1049,'Gen. Plant Depreciation'!$C$7:$C$94,0),MATCH(Calculation!$G1049,'Gen. Plant Depreciation'!$D$5:$AC$5,0))</f>
        <v>64475</v>
      </c>
      <c r="BS1049" s="129"/>
      <c r="BT1049" s="129"/>
      <c r="BU1049" s="129"/>
      <c r="BV1049" s="129"/>
      <c r="BW1049" s="129"/>
      <c r="BX1049" s="137"/>
      <c r="BY1049" s="129">
        <f>INDEX('Gross Dx Plant'!$D$7:$AC$91,MATCH($C1049,'Gross Dx Plant'!$C$7:$C$91,0),MATCH(Calculation!$G1049,'Gross Dx Plant'!$D$5:$AC$5,0))</f>
        <v>2441342</v>
      </c>
      <c r="BZ1049" s="129">
        <f>INDEX('Gross Gen Plant'!$D$7:$AC$91,MATCH($C1049,'Gross Gen Plant'!$C$7:$C$91,0),MATCH(Calculation!$G1049,'Gross Gen Plant'!$D$5:$AC$5,0))</f>
        <v>238379</v>
      </c>
      <c r="CA1049" s="129">
        <f t="shared" si="1852"/>
        <v>2222267</v>
      </c>
      <c r="CB1049" s="129"/>
      <c r="CC1049" s="133">
        <v>2019</v>
      </c>
      <c r="CD1049" s="129"/>
      <c r="CE1049" s="129"/>
      <c r="CF1049" s="129"/>
      <c r="CG1049" s="137"/>
      <c r="CH1049" s="129">
        <f t="shared" si="1863"/>
        <v>252760</v>
      </c>
      <c r="CI1049" s="46">
        <f t="shared" si="1872"/>
        <v>252084.19633872333</v>
      </c>
      <c r="CJ1049" s="231">
        <f t="shared" si="1864"/>
        <v>325.8841496614902</v>
      </c>
      <c r="CK1049" s="443">
        <v>0.7407407407407407</v>
      </c>
      <c r="CL1049" s="231">
        <f>CL1028*CK1049+CJ1029*CK1048+CJ1030*CK1047+CJ1031*CK1046+CJ1032*CK1045+CJ1033*CK1044+CJ1034*CK1043+CJ1035*CK1042+CJ1036*CK1041+CJ1037*CK1040+CJ1038*CK1039+CJ1039*CK1038+CJ1040*CK1037+CJ1041*CK1036+CJ1042*CK1035+CJ1043*CK1034+CJ1044*CK1033+CJ1045*CK1032+CJ1046*CK1031+CJ1047*CK1030+CJ1048*CK1029+CJ1049</f>
        <v>5314.3662590065214</v>
      </c>
      <c r="CM1049" s="134">
        <f t="shared" si="1865"/>
        <v>4.8122416507069825E-2</v>
      </c>
      <c r="CN1049" s="135">
        <f t="shared" si="1866"/>
        <v>1.504534547129417E-2</v>
      </c>
      <c r="CO1049" s="135">
        <f t="shared" si="1875"/>
        <v>1.4853958038210215E-2</v>
      </c>
      <c r="CP1049" s="134">
        <f>VLOOKUP($H1049,RoR!$E:$F,2,FALSE)</f>
        <v>3.3875000000000009E-2</v>
      </c>
      <c r="CQ1049" s="135">
        <v>1.8092492884465461E-2</v>
      </c>
      <c r="CR1049" s="135">
        <f t="shared" si="1873"/>
        <v>1.5782507115534548E-2</v>
      </c>
      <c r="CS1049" s="135">
        <f t="shared" si="1876"/>
        <v>1.6047983570323408E-2</v>
      </c>
      <c r="CT1049" s="135">
        <f t="shared" si="1877"/>
        <v>4.8445665544254078E-2</v>
      </c>
      <c r="CU1049" s="139">
        <f t="shared" si="1867"/>
        <v>0.90065499999999998</v>
      </c>
      <c r="CV1049" s="335">
        <f t="shared" si="1868"/>
        <v>1.513861292459078</v>
      </c>
      <c r="CW1049" s="335">
        <f t="shared" si="1869"/>
        <v>0.23699261992619944</v>
      </c>
      <c r="CX1049" s="335">
        <f t="shared" si="1870"/>
        <v>0.73619765810468829</v>
      </c>
      <c r="CY1049" s="335">
        <f t="shared" si="1871"/>
        <v>0.26412854465362851</v>
      </c>
      <c r="CZ1049" s="336">
        <f>INDEX('State Tax Lookup'!$D$7:$Z$91,MATCH(Calculation!$C1049,'State Tax Lookup'!$B$7:$B$91,0),MATCH($H1049,'State Tax Lookup'!$D$6:$Z$6,0))</f>
        <v>0.26849999999999996</v>
      </c>
      <c r="DA1049" s="302">
        <v>0.37</v>
      </c>
      <c r="DB1049" s="57">
        <f t="shared" si="1874"/>
        <v>15.224702013110713</v>
      </c>
      <c r="DC1049" s="56">
        <f t="shared" si="1878"/>
        <v>1.0238645677893139E-2</v>
      </c>
      <c r="DD1049" s="303">
        <f>VLOOKUP($H1049,RoR!$E:$F,2,FALSE)</f>
        <v>3.3875000000000009E-2</v>
      </c>
      <c r="DE1049" s="304">
        <f>HLOOKUP($H1049,'GDP-PI'!$D$8:$CQ$11,3,FALSE)</f>
        <v>1.8092492884465461E-2</v>
      </c>
      <c r="DF1049" s="303">
        <f>VLOOKUP(H1049,'HW Dx Data'!$E:$F,2,FALSE)</f>
        <v>773.53929793938721</v>
      </c>
      <c r="DG1049" s="364">
        <f ca="1">VLOOKUP(CC1049,'ECI - Input Price'!M$13:N$33,2,FALSE)</f>
        <v>149.67500000000001</v>
      </c>
      <c r="DH1049" s="364"/>
      <c r="DI1049" s="364"/>
      <c r="DJ1049" s="56">
        <f t="shared" ca="1" si="1886"/>
        <v>3.5532849899171604E-2</v>
      </c>
      <c r="DK1049" s="53">
        <f>HLOOKUP(H1049,'GDP-PI'!$8:$9,2,FALSE)</f>
        <v>112.318</v>
      </c>
      <c r="DL1049" s="355">
        <f t="shared" si="1879"/>
        <v>1.7930771451401852E-2</v>
      </c>
      <c r="EC1049"/>
    </row>
    <row r="1050" spans="1:133" s="126" customFormat="1" ht="21" customHeight="1" x14ac:dyDescent="0.4">
      <c r="A1050" s="233" t="s">
        <v>244</v>
      </c>
      <c r="B1050" s="126" t="s">
        <v>244</v>
      </c>
      <c r="C1050" s="126">
        <v>4063023</v>
      </c>
      <c r="D1050" s="126" t="s">
        <v>218</v>
      </c>
      <c r="E1050" s="126" t="s">
        <v>15</v>
      </c>
      <c r="G1050" s="127" t="s">
        <v>176</v>
      </c>
      <c r="H1050" s="128">
        <v>2020</v>
      </c>
      <c r="I1050" s="129"/>
      <c r="J1050" s="125">
        <v>32511</v>
      </c>
      <c r="K1050" s="125">
        <f t="shared" ca="1" si="1880"/>
        <v>212.2820763956905</v>
      </c>
      <c r="L1050" s="47"/>
      <c r="M1050" s="131">
        <f t="shared" ca="1" si="1887"/>
        <v>-2.2939692831167424E-2</v>
      </c>
      <c r="N1050" s="131"/>
      <c r="O1050" s="131"/>
      <c r="P1050" s="59">
        <f t="shared" ca="1" si="1889"/>
        <v>-3.233558832384437E-4</v>
      </c>
      <c r="Q1050" s="61"/>
      <c r="R1050" s="387"/>
      <c r="S1050" s="49">
        <f t="shared" ca="1" si="1894"/>
        <v>119.00275323813921</v>
      </c>
      <c r="T1050" s="61">
        <f ca="1">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</f>
        <v>1.9273358816377578E-2</v>
      </c>
      <c r="U1050" s="61"/>
      <c r="V1050" s="125">
        <v>47081</v>
      </c>
      <c r="W1050" s="125">
        <f t="shared" si="1881"/>
        <v>414.36152891580048</v>
      </c>
      <c r="X1050" s="131">
        <f t="shared" si="1890"/>
        <v>-1.1561197473539304E-2</v>
      </c>
      <c r="Y1050" s="131">
        <f t="shared" si="1891"/>
        <v>-1.6296561806054992E-4</v>
      </c>
      <c r="Z1050" s="131"/>
      <c r="AA1050" s="131"/>
      <c r="AB1050" s="131"/>
      <c r="AC1050" s="125">
        <f t="shared" si="1860"/>
        <v>83950.115543265594</v>
      </c>
      <c r="AD1050" s="129"/>
      <c r="AE1050" s="133">
        <v>6013.8370741259223</v>
      </c>
      <c r="AF1050" s="134">
        <v>4.4496050062488635E-2</v>
      </c>
      <c r="AG1050" s="59">
        <f t="shared" si="1882"/>
        <v>6.272123900904822E-4</v>
      </c>
      <c r="AH1050" s="134"/>
      <c r="AI1050" s="134"/>
      <c r="AJ1050" s="129">
        <f t="shared" si="1809"/>
        <v>163542.11554326559</v>
      </c>
      <c r="AK1050" s="134">
        <f t="shared" si="1892"/>
        <v>4.2735288032862473E-2</v>
      </c>
      <c r="AL1050" s="129"/>
      <c r="AM1050" s="129"/>
      <c r="AN1050" s="129"/>
      <c r="AO1050" s="129"/>
      <c r="AP1050" s="133">
        <f t="shared" si="1893"/>
        <v>415.3756480941214</v>
      </c>
      <c r="AQ1050" s="134">
        <f>+BB1050/Outputs!$B$28</f>
        <v>1.037932005608699E-2</v>
      </c>
      <c r="AR1050" s="93">
        <f t="shared" si="1883"/>
        <v>0.1987928301648948</v>
      </c>
      <c r="AS1050" s="93">
        <f t="shared" si="1884"/>
        <v>0.28788303149682914</v>
      </c>
      <c r="AT1050" s="93">
        <f t="shared" si="1885"/>
        <v>0.51332413833827606</v>
      </c>
      <c r="AU1050" s="93">
        <f t="shared" ca="1" si="1888"/>
        <v>1.4307419676462275E-2</v>
      </c>
      <c r="AV1050" s="132">
        <f t="shared" ca="1" si="1896"/>
        <v>167.23160789785271</v>
      </c>
      <c r="AW1050" s="134">
        <f t="shared" ca="1" si="1897"/>
        <v>1.4307419676462235E-2</v>
      </c>
      <c r="AX1050" s="56">
        <f>+AJ1050/$AL$25</f>
        <v>1.4095911641811979E-2</v>
      </c>
      <c r="AY1050" s="135">
        <f t="shared" ca="1" si="1895"/>
        <v>2.0167612358173379E-4</v>
      </c>
      <c r="AZ1050" s="93"/>
      <c r="BA1050" s="93"/>
      <c r="BB1050" s="234">
        <v>393721</v>
      </c>
      <c r="BC1050" s="269">
        <f t="shared" si="1861"/>
        <v>0</v>
      </c>
      <c r="BD1050" s="92"/>
      <c r="BE1050" s="299" t="str">
        <f t="shared" si="1855"/>
        <v>SOUTH JERSEY GAS COMPANY</v>
      </c>
      <c r="BF1050" s="300">
        <f t="shared" si="1856"/>
        <v>4063023</v>
      </c>
      <c r="BG1050" s="231" t="str">
        <f t="shared" si="1857"/>
        <v>NJ</v>
      </c>
      <c r="BH1050" s="231"/>
      <c r="BI1050" s="231" t="str">
        <f t="shared" si="1858"/>
        <v>2020 Y</v>
      </c>
      <c r="BJ1050" s="129"/>
      <c r="BK1050" s="129"/>
      <c r="BL1050" s="129"/>
      <c r="BM1050" s="129"/>
      <c r="BN1050" s="301">
        <v>1</v>
      </c>
      <c r="BO1050" s="231">
        <f t="shared" si="1850"/>
        <v>0</v>
      </c>
      <c r="BP1050" s="231">
        <f t="shared" si="1851"/>
        <v>0</v>
      </c>
      <c r="BQ1050" s="129"/>
      <c r="BR1050" s="129"/>
      <c r="BS1050" s="129"/>
      <c r="BT1050" s="129"/>
      <c r="BU1050" s="129"/>
      <c r="BV1050" s="129"/>
      <c r="BW1050" s="129"/>
      <c r="BX1050" s="137"/>
      <c r="BY1050" s="129"/>
      <c r="BZ1050" s="129"/>
      <c r="CA1050" s="129">
        <f t="shared" si="1852"/>
        <v>0</v>
      </c>
      <c r="CB1050" s="129"/>
      <c r="CC1050" s="133">
        <v>2020</v>
      </c>
      <c r="CD1050" s="129"/>
      <c r="CE1050" s="129"/>
      <c r="CF1050" s="129"/>
      <c r="CG1050" s="137"/>
      <c r="CH1050" s="129">
        <v>252760</v>
      </c>
      <c r="CI1050" s="46">
        <f t="shared" si="1872"/>
        <v>252760</v>
      </c>
      <c r="CJ1050" s="231">
        <f t="shared" si="1864"/>
        <v>310.86725721560998</v>
      </c>
      <c r="CK1050" s="443">
        <v>0.72499999999999998</v>
      </c>
      <c r="CL1050" s="231">
        <f>CL1028*CK1050+CJ1029*CK1049+CJ1030*CK1048+CJ1031*CK1047+CJ1032*CK1046+CJ1033*CK1045+CJ1034*CK1044+CJ1035*CK1043+CJ1036*CK1042+CJ1037*CK1041+CJ1038*CK1040+CJ1039*CK1039+CJ1040*CK1038+CJ1041*CK1037+CJ1042*CK1036+CJ1043*CK1035+CJ1044*CK1034+CJ1045*CK1033+CJ1046*CK1032+CJ1047*CK1031+CJ1048*CK1030+CJ1049*CK1029+CJ1050</f>
        <v>5544.0408151225456</v>
      </c>
      <c r="CM1050" s="134">
        <f t="shared" si="1865"/>
        <v>4.2309855521993088E-2</v>
      </c>
      <c r="CN1050" s="135">
        <f t="shared" si="1866"/>
        <v>1.5277964886591036E-2</v>
      </c>
      <c r="CO1050" s="135">
        <f t="shared" si="1875"/>
        <v>1.5066952072831609E-2</v>
      </c>
      <c r="CP1050" s="134">
        <f>VLOOKUP($H1050,RoR!$E:$F,2,FALSE)</f>
        <v>2.4766666666666666E-2</v>
      </c>
      <c r="CQ1050" s="135">
        <v>1.1618796630994188E-2</v>
      </c>
      <c r="CR1050" s="135">
        <f t="shared" si="1873"/>
        <v>1.3147870035672478E-2</v>
      </c>
      <c r="CS1050" s="135">
        <f t="shared" si="1876"/>
        <v>1.5834989535702018E-2</v>
      </c>
      <c r="CT1050" s="135">
        <f t="shared" si="1877"/>
        <v>4.5144642961987357E-2</v>
      </c>
      <c r="CU1050" s="139">
        <f t="shared" si="1867"/>
        <v>0.90065499999999998</v>
      </c>
      <c r="CV1050" s="335">
        <f t="shared" si="1868"/>
        <v>2.0706077233668081</v>
      </c>
      <c r="CW1050" s="335">
        <f t="shared" si="1869"/>
        <v>-3.4421265141318998E-2</v>
      </c>
      <c r="CX1050" s="335">
        <f t="shared" si="1870"/>
        <v>0.62416226176410472</v>
      </c>
      <c r="CY1050" s="335">
        <f t="shared" si="1871"/>
        <v>-4.4485877841158712E-2</v>
      </c>
      <c r="CZ1050" s="336">
        <f>INDEX('State Tax Lookup'!$D$7:$Z$91,MATCH(Calculation!$C1050,'State Tax Lookup'!$B$7:$B$91,0),MATCH($H1050,'State Tax Lookup'!$D$6:$Z$6,0))</f>
        <v>0.26849999999999996</v>
      </c>
      <c r="DA1050" s="302">
        <v>0.37</v>
      </c>
      <c r="DB1050" s="57">
        <f t="shared" si="1874"/>
        <v>15.796825331899386</v>
      </c>
      <c r="DC1050" s="56">
        <f t="shared" si="1878"/>
        <v>3.688975028836973E-2</v>
      </c>
      <c r="DD1050" s="303">
        <f>VLOOKUP($H1050,RoR!$E:$F,2,FALSE)</f>
        <v>2.4766666666666666E-2</v>
      </c>
      <c r="DE1050" s="304">
        <f>HLOOKUP($H1050,'GDP-PI'!$D$8:$CQ$11,3,FALSE)</f>
        <v>1.1618796630994188E-2</v>
      </c>
      <c r="DF1050" s="303">
        <f>VLOOKUP(H1050,'HW Dx Data'!$E:$F,2,FALSE)</f>
        <v>813.080162458833</v>
      </c>
      <c r="DG1050" s="364">
        <f ca="1">VLOOKUP(CC1050,'ECI - Input Price'!M$13:N$33,2,FALSE)</f>
        <v>153.15</v>
      </c>
      <c r="DH1050" s="364"/>
      <c r="DI1050" s="364"/>
      <c r="DJ1050" s="56">
        <f t="shared" ca="1" si="1886"/>
        <v>2.2951556467368479E-2</v>
      </c>
      <c r="DK1050" s="53">
        <f>HLOOKUP(H1050,'GDP-PI'!$8:$9,2,FALSE)</f>
        <v>113.623</v>
      </c>
      <c r="DL1050" s="355">
        <f t="shared" si="1879"/>
        <v>1.1551816731392881E-2</v>
      </c>
    </row>
    <row r="1051" spans="1:133" s="126" customFormat="1" ht="21" customHeight="1" x14ac:dyDescent="0.4">
      <c r="A1051" s="233" t="s">
        <v>244</v>
      </c>
      <c r="B1051" s="126" t="s">
        <v>244</v>
      </c>
      <c r="C1051" s="126">
        <v>4063023</v>
      </c>
      <c r="D1051" s="126" t="s">
        <v>218</v>
      </c>
      <c r="E1051" s="126" t="s">
        <v>15</v>
      </c>
      <c r="G1051" s="127" t="s">
        <v>177</v>
      </c>
      <c r="H1051" s="128">
        <v>2021</v>
      </c>
      <c r="I1051" s="129"/>
      <c r="J1051" s="125">
        <f>IFERROR(INDEX('Labor Expenditures'!$D$7:$W$91,MATCH($C1051,'Labor Expenditures'!$C$7:$C$91,0),MATCH($G1051,'Labor Expenditures'!$D$5:$W$5,0)),"NA")</f>
        <v>34574.510450574562</v>
      </c>
      <c r="K1051" s="125">
        <f t="shared" ca="1" si="1880"/>
        <v>219.86970079856638</v>
      </c>
      <c r="L1051" s="47"/>
      <c r="M1051" s="130">
        <f t="shared" ca="1" si="1887"/>
        <v>3.5119162481990152E-2</v>
      </c>
      <c r="N1051" s="130"/>
      <c r="O1051" s="130"/>
      <c r="P1051" s="59">
        <f t="shared" ca="1" si="1889"/>
        <v>4.2794707084188691E-4</v>
      </c>
      <c r="Q1051" s="61"/>
      <c r="R1051" s="387"/>
      <c r="S1051" s="132">
        <f ca="1">+S1050*EXP(T1051)</f>
        <v>121.31622029566232</v>
      </c>
      <c r="T1051" s="134">
        <f ca="1">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</f>
        <v>1.9253898203236849E-2</v>
      </c>
      <c r="U1051" s="134"/>
      <c r="V1051" s="125">
        <f>IFERROR(INDEX('Non-Labor Expenditures'!$D$7:$AA$91,MATCH($C1051,'Non-Labor Expenditures'!$C$7:$C$91,0),MATCH($G1051,'Non-Labor Expenditures'!$D$5:$AA$5,0)),"NA")</f>
        <v>48737.562924303907</v>
      </c>
      <c r="W1051" s="125">
        <f t="shared" si="1881"/>
        <v>411.32216156894174</v>
      </c>
      <c r="X1051" s="131">
        <f t="shared" si="1890"/>
        <v>-7.3620954605146914E-3</v>
      </c>
      <c r="Y1051" s="131">
        <f t="shared" si="1891"/>
        <v>-8.9711341755410669E-5</v>
      </c>
      <c r="Z1051" s="131"/>
      <c r="AA1051" s="131"/>
      <c r="AB1051" s="131"/>
      <c r="AC1051" s="125">
        <f t="shared" si="1860"/>
        <v>73213.728269724117</v>
      </c>
      <c r="AD1051" s="129"/>
      <c r="AE1051" s="133">
        <v>6152.8674143905164</v>
      </c>
      <c r="AF1051" s="134"/>
      <c r="AG1051" s="59">
        <f t="shared" si="1882"/>
        <v>0</v>
      </c>
      <c r="AH1051" s="134"/>
      <c r="AI1051" s="134"/>
      <c r="AJ1051" s="129">
        <f t="shared" si="1809"/>
        <v>156525.80164460259</v>
      </c>
      <c r="AK1051" s="134">
        <f t="shared" si="1892"/>
        <v>-4.3849681458093689E-2</v>
      </c>
      <c r="AL1051" s="129"/>
      <c r="AM1051" s="134"/>
      <c r="AN1051" s="134"/>
      <c r="AO1051" s="134"/>
      <c r="AP1051" s="133">
        <f t="shared" si="1893"/>
        <v>383.41894939606794</v>
      </c>
      <c r="AQ1051" s="134">
        <f>+BB1051/Outputs!$B$29</f>
        <v>1.0574368901337275E-2</v>
      </c>
      <c r="AR1051" s="93">
        <f t="shared" si="1883"/>
        <v>0.22088697254576098</v>
      </c>
      <c r="AS1051" s="93">
        <f t="shared" si="1884"/>
        <v>0.31137079262474748</v>
      </c>
      <c r="AT1051" s="93">
        <f t="shared" si="1885"/>
        <v>0.46774223482949157</v>
      </c>
      <c r="AU1051" s="93">
        <f t="shared" ca="1" si="1888"/>
        <v>5.1635196617717816E-3</v>
      </c>
      <c r="AV1051" s="132">
        <f t="shared" ca="1" si="1896"/>
        <v>168.09734479452936</v>
      </c>
      <c r="AW1051" s="134">
        <f t="shared" ca="1" si="1897"/>
        <v>5.1635196617717816E-3</v>
      </c>
      <c r="AX1051" s="56">
        <f>+AJ1051/$AL$26</f>
        <v>1.218557165369041E-2</v>
      </c>
      <c r="AY1051" s="135">
        <f t="shared" ca="1" si="1895"/>
        <v>6.2920438823759313E-5</v>
      </c>
      <c r="AZ1051" s="93"/>
      <c r="BA1051" s="93"/>
      <c r="BB1051" s="234">
        <f>INDEX('Total Customers'!$D$7:$D$91,MATCH(Calculation!$C1051,'Total Customers'!$C$7:$C$91,0))</f>
        <v>408237</v>
      </c>
      <c r="BC1051" s="269">
        <f t="shared" si="1861"/>
        <v>3.620535147641598E-2</v>
      </c>
      <c r="BD1051" s="91"/>
      <c r="BE1051" s="299" t="str">
        <f t="shared" si="1855"/>
        <v>SOUTH JERSEY GAS COMPANY</v>
      </c>
      <c r="BF1051" s="300">
        <f t="shared" si="1856"/>
        <v>4063023</v>
      </c>
      <c r="BG1051" s="231" t="str">
        <f t="shared" si="1857"/>
        <v>NJ</v>
      </c>
      <c r="BH1051" s="231"/>
      <c r="BI1051" s="231" t="str">
        <f t="shared" si="1858"/>
        <v>2021 Y</v>
      </c>
      <c r="BJ1051" s="129"/>
      <c r="BK1051" s="129"/>
      <c r="BL1051" s="129">
        <f>INDEX('Dist. Plant Gas Additions'!$D$7:$AD$91,MATCH($C1051,'Dist. Plant Gas Additions'!$C$7:$C$91,0),MATCH(Calculation!$G1051,'Dist. Plant Gas Additions'!$D$5:$AD$5,0))</f>
        <v>239351.49900000001</v>
      </c>
      <c r="BM1051" s="129">
        <f>INDEX('Gen. Plant Additions'!$D$7:$AD$91,MATCH($C1051,'Gen. Plant Additions'!$C$7:$C$91,0),MATCH(Calculation!$G1051,'Gen. Plant Additions'!$D$5:$AD$5,0))</f>
        <v>4295.9070000000002</v>
      </c>
      <c r="BN1051" s="343">
        <v>1</v>
      </c>
      <c r="BO1051" s="231">
        <f t="shared" si="1850"/>
        <v>4295.9070000000002</v>
      </c>
      <c r="BP1051" s="231">
        <f t="shared" si="1851"/>
        <v>0</v>
      </c>
      <c r="BQ1051" s="129"/>
      <c r="BR1051" s="129"/>
      <c r="BS1051" s="137"/>
      <c r="BT1051" s="137"/>
      <c r="BU1051" s="333"/>
      <c r="BV1051" s="93"/>
      <c r="BW1051" s="334"/>
      <c r="BX1051" s="334"/>
      <c r="BY1051" s="129"/>
      <c r="BZ1051" s="129"/>
      <c r="CA1051" s="129"/>
      <c r="CB1051" s="129"/>
      <c r="CC1051" s="133">
        <v>2021</v>
      </c>
      <c r="CD1051" s="129"/>
      <c r="CE1051" s="129"/>
      <c r="CF1051" s="129"/>
      <c r="CG1051" s="137"/>
      <c r="CH1051" s="129">
        <f>+BM1051+BL1051</f>
        <v>243647.40600000002</v>
      </c>
      <c r="CI1051" s="46">
        <f t="shared" si="1872"/>
        <v>243647.40600000002</v>
      </c>
      <c r="CJ1051" s="231">
        <f t="shared" si="1864"/>
        <v>261.13776056265374</v>
      </c>
      <c r="CK1051" s="443">
        <v>0.70886075949367089</v>
      </c>
      <c r="CL1051" s="129">
        <f>CL1028*CK1051+CJ1029*CK1050+CJ1030*CK1049+CJ1031*CK1048+CJ1032*CK1047+CJ1033*CK1046+CJ1034*CK1045+CJ1035*CK1044+CJ1036*CK1043+CJ1037*CK1042+CJ1038*CK1041+CJ1039*CK1040+CJ1040*CK1039+CJ1041*CK1038+CJ1042*CK1037+CJ1033*CK1036+CJ1044*CK1035+CJ1045*CK1034+CJ1046*CK1033+CJ1047*CK1032+CJ1048*CK1031+CJ1049*CK1030+CJ1051+CJ1050*CK1029</f>
        <v>5651.8478950747794</v>
      </c>
      <c r="CM1051" s="134"/>
      <c r="CN1051" s="135">
        <f t="shared" si="1866"/>
        <v>2.7656845561486128E-2</v>
      </c>
      <c r="CO1051" s="135">
        <f t="shared" si="1875"/>
        <v>1.9326718639790446E-2</v>
      </c>
      <c r="CP1051" s="134">
        <f>VLOOKUP($H1051,RoR!$E:$F,2,FALSE)</f>
        <v>2.7033333333333336E-2</v>
      </c>
      <c r="CQ1051" s="135"/>
      <c r="CR1051" s="135"/>
      <c r="CS1051" s="135">
        <f t="shared" si="1876"/>
        <v>1.1575222968743179E-2</v>
      </c>
      <c r="CT1051" s="135">
        <f t="shared" si="1877"/>
        <v>7.433422950153494E-2</v>
      </c>
      <c r="CU1051" s="139">
        <f t="shared" si="1867"/>
        <v>0.90065499999999998</v>
      </c>
      <c r="CV1051" s="335">
        <f t="shared" si="1868"/>
        <v>1.8969932656739068</v>
      </c>
      <c r="CW1051" s="335">
        <f t="shared" si="1869"/>
        <v>5.0215782983970621E-2</v>
      </c>
      <c r="CX1051" s="335">
        <f t="shared" si="1870"/>
        <v>0.655952481704143</v>
      </c>
      <c r="CY1051" s="335">
        <f t="shared" si="1871"/>
        <v>6.2485378865697057E-2</v>
      </c>
      <c r="CZ1051" s="336">
        <f>CZ1050</f>
        <v>0.26849999999999996</v>
      </c>
      <c r="DA1051" s="302">
        <v>0.37</v>
      </c>
      <c r="DB1051" s="141">
        <f t="shared" si="1874"/>
        <v>13.205842220717093</v>
      </c>
      <c r="DC1051" s="135">
        <f>LN(DB1052/DB1050)</f>
        <v>0.19325810481980774</v>
      </c>
      <c r="DD1051" s="336">
        <f>VLOOKUP($H1051,RoR!$E:$F,2,FALSE)</f>
        <v>2.7033333333333336E-2</v>
      </c>
      <c r="DE1051" s="342">
        <f>HLOOKUP($H1051,'GDP-PI'!$D$8:$CR$11,3,FALSE)</f>
        <v>4.2834637353352578E-2</v>
      </c>
      <c r="DF1051" s="336">
        <f>VLOOKUP(H1051,'HW Dx Data'!$E:$F,2,FALSE)</f>
        <v>933.02249921662576</v>
      </c>
      <c r="DG1051" s="364">
        <f ca="1">VLOOKUP(CC1051,'ECI - Input Price'!M$13:N$33,2,FALSE)</f>
        <v>157.25</v>
      </c>
      <c r="DH1051" s="364"/>
      <c r="DI1051" s="364"/>
      <c r="DJ1051" s="135">
        <f t="shared" ca="1" si="1886"/>
        <v>2.6419062301765574E-2</v>
      </c>
      <c r="DK1051" s="137">
        <f>HLOOKUP(H1051,'GDP-PI'!$8:$9,2,FALSE)</f>
        <v>118.49</v>
      </c>
      <c r="DL1051" s="356">
        <f t="shared" si="1879"/>
        <v>4.194261824609434E-2</v>
      </c>
    </row>
    <row r="1052" spans="1:133" s="126" customFormat="1" ht="21" customHeight="1" thickBot="1" x14ac:dyDescent="0.45">
      <c r="A1052" s="235"/>
      <c r="B1052" s="236"/>
      <c r="C1052" s="236"/>
      <c r="D1052" s="236"/>
      <c r="E1052" s="236"/>
      <c r="F1052" s="236"/>
      <c r="G1052" s="237" t="s">
        <v>178</v>
      </c>
      <c r="H1052" s="238"/>
      <c r="I1052" s="239"/>
      <c r="J1052" s="240">
        <v>34575</v>
      </c>
      <c r="K1052" s="240">
        <f t="shared" ca="1" si="1880"/>
        <v>212.70378345124576</v>
      </c>
      <c r="L1052" s="47"/>
      <c r="M1052" s="241">
        <f t="shared" ref="M1052" ca="1" si="1898">LN(K1052/K1051)</f>
        <v>-3.3134592011266284E-2</v>
      </c>
      <c r="N1052" s="241"/>
      <c r="O1052" s="241"/>
      <c r="P1052" s="242">
        <f t="shared" ca="1" si="1889"/>
        <v>-4.7983968121651622E-4</v>
      </c>
      <c r="Q1052" s="61"/>
      <c r="R1052" s="387"/>
      <c r="S1052" s="206">
        <f ca="1">+S1051*EXP(T1052)</f>
        <v>120.00786954918119</v>
      </c>
      <c r="T1052" s="243">
        <f ca="1">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</f>
        <v>-1.0843207293764411E-2</v>
      </c>
      <c r="U1052" s="243"/>
      <c r="V1052" s="239">
        <v>48738</v>
      </c>
      <c r="W1052" s="240">
        <f t="shared" si="1881"/>
        <v>383.00982318271122</v>
      </c>
      <c r="X1052" s="244">
        <f t="shared" ref="X1052" si="1899">LN(W1052/W1051)</f>
        <v>-7.13161186989935E-2</v>
      </c>
      <c r="Y1052" s="244">
        <f t="shared" si="1891"/>
        <v>-1.0327667125187125E-3</v>
      </c>
      <c r="Z1052" s="206"/>
      <c r="AA1052" s="243"/>
      <c r="AB1052" s="243"/>
      <c r="AC1052" s="240">
        <f t="shared" si="1860"/>
        <v>108315.64994530441</v>
      </c>
      <c r="AD1052" s="243"/>
      <c r="AE1052" s="245">
        <v>8342.8935663038174</v>
      </c>
      <c r="AF1052" s="243">
        <v>0.30449188719164472</v>
      </c>
      <c r="AG1052" s="242">
        <f t="shared" si="1882"/>
        <v>4.4095092534525678E-3</v>
      </c>
      <c r="AH1052" s="206"/>
      <c r="AI1052" s="243"/>
      <c r="AJ1052" s="239">
        <f t="shared" si="1809"/>
        <v>191628.64994530441</v>
      </c>
      <c r="AK1052" s="243">
        <f t="shared" si="1892"/>
        <v>0.20233852121434201</v>
      </c>
      <c r="AL1052" s="239"/>
      <c r="AM1052" s="243"/>
      <c r="AN1052" s="243"/>
      <c r="AO1052" s="243"/>
      <c r="AP1052" s="245">
        <f t="shared" si="1893"/>
        <v>469.40539428151891</v>
      </c>
      <c r="AQ1052" s="243"/>
      <c r="AR1052" s="207">
        <f t="shared" si="1883"/>
        <v>0.18042709172072427</v>
      </c>
      <c r="AS1052" s="207">
        <f t="shared" si="1884"/>
        <v>0.25433566439001182</v>
      </c>
      <c r="AT1052" s="207">
        <f t="shared" si="1885"/>
        <v>0.56523724388926389</v>
      </c>
      <c r="AU1052" s="207"/>
      <c r="AV1052" s="206"/>
      <c r="AW1052" s="243"/>
      <c r="AX1052" s="248">
        <f>+AJ1052/$AL$27</f>
        <v>1.4481532805756689E-2</v>
      </c>
      <c r="AY1052" s="249"/>
      <c r="AZ1052" s="206"/>
      <c r="BA1052" s="243"/>
      <c r="BB1052" s="250">
        <v>408237</v>
      </c>
      <c r="BC1052" s="270">
        <f t="shared" si="1861"/>
        <v>0</v>
      </c>
      <c r="BD1052" s="91"/>
      <c r="BE1052" s="306">
        <f t="shared" si="1855"/>
        <v>0</v>
      </c>
      <c r="BF1052" s="307">
        <f t="shared" si="1856"/>
        <v>0</v>
      </c>
      <c r="BG1052" s="308">
        <f t="shared" si="1857"/>
        <v>0</v>
      </c>
      <c r="BH1052" s="308"/>
      <c r="BI1052" s="308" t="str">
        <f t="shared" si="1858"/>
        <v>2022Y</v>
      </c>
      <c r="BJ1052" s="239"/>
      <c r="BK1052" s="239"/>
      <c r="BL1052" s="239"/>
      <c r="BM1052" s="239"/>
      <c r="BN1052" s="337">
        <v>1</v>
      </c>
      <c r="BO1052" s="308">
        <f t="shared" si="1850"/>
        <v>0</v>
      </c>
      <c r="BP1052" s="308">
        <f t="shared" si="1851"/>
        <v>0</v>
      </c>
      <c r="BQ1052" s="239"/>
      <c r="BR1052" s="239"/>
      <c r="BS1052" s="310"/>
      <c r="BT1052" s="310"/>
      <c r="BU1052" s="311"/>
      <c r="BV1052" s="207"/>
      <c r="BW1052" s="312"/>
      <c r="BX1052" s="312"/>
      <c r="BY1052" s="239"/>
      <c r="BZ1052" s="239"/>
      <c r="CA1052" s="239"/>
      <c r="CB1052" s="239"/>
      <c r="CC1052" s="245">
        <v>2022</v>
      </c>
      <c r="CD1052" s="239"/>
      <c r="CE1052" s="239"/>
      <c r="CF1052" s="239"/>
      <c r="CG1052" s="310"/>
      <c r="CH1052" s="239">
        <v>243647</v>
      </c>
      <c r="CI1052" s="313">
        <f t="shared" si="1872"/>
        <v>243647</v>
      </c>
      <c r="CJ1052" s="308">
        <f t="shared" si="1864"/>
        <v>236.36460647452006</v>
      </c>
      <c r="CK1052" s="443">
        <v>0.69230769230769229</v>
      </c>
      <c r="CL1052" s="239">
        <f>+CL1028*CK1052+CJ1029*CK1051+CJ1030*CK1050+CJ1031*CK1049+CJ1032*CK1048+CJ1033*CK1047+CJ1034*CK1046+CJ1035*CK1045+CJ1036*CK1044+CJ1037*CK1043+CJ1038*CK1042+CJ1039*CK1041+CJ1040*CK1040+CJ1041*CK1039+CJ1042*CK1038+CJ1043*CK1037+CJ1044*CK1036+CJ1045*CK1035+CJ1046*CK1034+CJ1047*CK1033+CJ1048*CK1032+CJ1049*CK1031+CJ1050*CK1030+CJ1051*CK1029+CJ1052*CK1028</f>
        <v>5864.6073589288171</v>
      </c>
      <c r="CM1052" s="243">
        <f t="shared" ref="CM1052" si="1900">LN(CL1052/CL1051)</f>
        <v>3.6952980629506402E-2</v>
      </c>
      <c r="CN1052" s="249">
        <f t="shared" si="1866"/>
        <v>4.1765353666104038E-3</v>
      </c>
      <c r="CO1052" s="249">
        <f t="shared" si="1875"/>
        <v>1.5703781938229189E-2</v>
      </c>
      <c r="CP1052" s="243"/>
      <c r="CQ1052" s="249"/>
      <c r="CR1052" s="249"/>
      <c r="CS1052" s="248">
        <f t="shared" si="1876"/>
        <v>1.5198159670304436E-2</v>
      </c>
      <c r="CT1052" s="249">
        <f t="shared" si="1877"/>
        <v>0.10114668178709289</v>
      </c>
      <c r="CU1052" s="314">
        <f t="shared" si="1867"/>
        <v>0.90065499999999998</v>
      </c>
      <c r="CV1052" s="315">
        <f t="shared" si="1868"/>
        <v>1.2820512820512819</v>
      </c>
      <c r="CW1052" s="315">
        <f t="shared" si="1869"/>
        <v>0.35000000000000003</v>
      </c>
      <c r="CX1052" s="315">
        <f t="shared" si="1870"/>
        <v>0.79171095533705893</v>
      </c>
      <c r="CY1052" s="315">
        <f t="shared" si="1871"/>
        <v>0.35525491585637264</v>
      </c>
      <c r="CZ1052" s="316">
        <f>CZ1051</f>
        <v>0.26849999999999996</v>
      </c>
      <c r="DA1052" s="317">
        <v>0.37</v>
      </c>
      <c r="DB1052" s="318">
        <f t="shared" si="1874"/>
        <v>19.16464348584018</v>
      </c>
      <c r="DC1052" s="249">
        <f>LN(DB1052/DB1051)</f>
        <v>0.37240777214739129</v>
      </c>
      <c r="DD1052" s="316">
        <v>0.04</v>
      </c>
      <c r="DE1052" s="319">
        <v>7.0000000000000001E-3</v>
      </c>
      <c r="DF1052" s="316">
        <v>1030.81</v>
      </c>
      <c r="DG1052" s="364">
        <f ca="1">VLOOKUP(CC1052,'ECI - Input Price'!M$13:N$33,2,FALSE)</f>
        <v>162.55000000000001</v>
      </c>
      <c r="DH1052" s="364"/>
      <c r="DI1052" s="364"/>
      <c r="DJ1052" s="249">
        <f t="shared" ca="1" si="1886"/>
        <v>3.3148751169364422E-2</v>
      </c>
      <c r="DK1052" s="310">
        <v>127.25</v>
      </c>
      <c r="DL1052" s="357">
        <f t="shared" si="1879"/>
        <v>7.1325086601983473E-2</v>
      </c>
    </row>
    <row r="1053" spans="1:133" s="126" customFormat="1" ht="21" customHeight="1" x14ac:dyDescent="0.4">
      <c r="A1053" s="251" t="s">
        <v>245</v>
      </c>
      <c r="B1053" s="265" t="s">
        <v>245</v>
      </c>
      <c r="C1053" s="265">
        <v>4057146</v>
      </c>
      <c r="D1053" s="252" t="s">
        <v>231</v>
      </c>
      <c r="E1053" s="252"/>
      <c r="F1053" s="266"/>
      <c r="G1053" s="265" t="s">
        <v>150</v>
      </c>
      <c r="H1053" s="253">
        <v>1998</v>
      </c>
      <c r="I1053" s="254"/>
      <c r="J1053" s="255"/>
      <c r="K1053" s="255"/>
      <c r="L1053" s="47"/>
      <c r="M1053" s="255"/>
      <c r="N1053" s="255"/>
      <c r="O1053" s="255"/>
      <c r="P1053" s="219"/>
      <c r="Q1053" s="218"/>
      <c r="R1053" s="385"/>
      <c r="S1053" s="257"/>
      <c r="T1053" s="258"/>
      <c r="U1053" s="258"/>
      <c r="V1053" s="259"/>
      <c r="W1053" s="259"/>
      <c r="X1053" s="259"/>
      <c r="Y1053" s="255"/>
      <c r="Z1053" s="259"/>
      <c r="AA1053" s="259"/>
      <c r="AB1053" s="259"/>
      <c r="AC1053" s="255">
        <f>+CL1051*DB1053</f>
        <v>0</v>
      </c>
      <c r="AD1053" s="254"/>
      <c r="AE1053" s="260">
        <v>11467.576030575954</v>
      </c>
      <c r="AF1053" s="256"/>
      <c r="AG1053" s="225"/>
      <c r="AH1053" s="256"/>
      <c r="AI1053" s="256"/>
      <c r="AJ1053" s="254">
        <f t="shared" si="1809"/>
        <v>0</v>
      </c>
      <c r="AK1053" s="254"/>
      <c r="AL1053" s="254"/>
      <c r="AM1053" s="256"/>
      <c r="AN1053" s="256"/>
      <c r="AO1053" s="256"/>
      <c r="AP1053" s="226">
        <f>+(AP1050+AP1051+AP1052)/3</f>
        <v>422.73333059056944</v>
      </c>
      <c r="AQ1053" s="256"/>
      <c r="AR1053" s="261"/>
      <c r="AS1053" s="261"/>
      <c r="AT1053" s="261"/>
      <c r="AU1053" s="261"/>
      <c r="AV1053" s="261"/>
      <c r="AW1053" s="256">
        <f ca="1">AVERAGE(AW1062:AW1076)</f>
        <v>2.5006177662880928E-2</v>
      </c>
      <c r="AX1053" s="223"/>
      <c r="AY1053" s="261"/>
      <c r="AZ1053" s="261"/>
      <c r="BA1053" s="261"/>
      <c r="BB1053" s="262">
        <f>IFERROR(INDEX('Total Customers'!$E$7:$AA$91,MATCH($C1053,'Total Customers'!$C$7:$C$91,0),MATCH($G1053,'Total Customers'!$E$5:$AA$5,0)),"NA")</f>
        <v>4864772</v>
      </c>
      <c r="BC1053" s="268"/>
      <c r="BD1053" s="92"/>
      <c r="BE1053" s="320" t="str">
        <f t="shared" si="1855"/>
        <v>SOUTHERN CALIFORNIA GAS COMPANY</v>
      </c>
      <c r="BF1053" s="321">
        <f t="shared" si="1856"/>
        <v>4057146</v>
      </c>
      <c r="BG1053" s="322" t="str">
        <f t="shared" si="1857"/>
        <v>CA</v>
      </c>
      <c r="BH1053" s="322"/>
      <c r="BI1053" s="322" t="str">
        <f t="shared" si="1858"/>
        <v>1998 Y</v>
      </c>
      <c r="BJ1053" s="254">
        <f>INDEX('Gross Dx Plant'!$D$7:$AC$91,MATCH($C1053,'Gross Dx Plant'!$C$7:$C$91,0),MATCH(Calculation!$G1053,'Gross Dx Plant'!$D$5:$AC$5,0))</f>
        <v>4200349</v>
      </c>
      <c r="BK1053" s="254">
        <f>INDEX('Gross Gen Plant'!$D$7:$AC$91,MATCH($C1053,'Gross Gen Plant'!$C$7:$C$91,0),MATCH(Calculation!$G1053,'Gross Gen Plant'!$D$5:$AC$5,0))</f>
        <v>438322</v>
      </c>
      <c r="BL1053" s="254">
        <f>INDEX('Dist. Plant Gas Additions'!$E$7:$AD$91,MATCH($C1053,'Dist. Plant Gas Additions'!$C$7:$C$91,0),MATCH(Calculation!$G1053,'Dist. Plant Gas Additions'!$E$5:$AD$5,0))</f>
        <v>95686</v>
      </c>
      <c r="BM1053" s="254">
        <f>INDEX('Gen. Plant Additions'!$E$7:$AD$91,MATCH($C1053,'Gen. Plant Additions'!$C$7:$C$91,0),MATCH(Calculation!$G1053,'Gen. Plant Additions'!$E$5:$AD$5,0))</f>
        <v>33419</v>
      </c>
      <c r="BN1053" s="338">
        <f>+(BY1053/(BY1053+BZ1053))</f>
        <v>0.90550698680721264</v>
      </c>
      <c r="BO1053" s="322">
        <f t="shared" si="1850"/>
        <v>30261.137992110238</v>
      </c>
      <c r="BP1053" s="322">
        <f t="shared" si="1851"/>
        <v>-3157.862007889762</v>
      </c>
      <c r="BQ1053" s="254">
        <f>INDEX('Dist Plant Depreciation'!$D$7:$AC$94,MATCH($C1053,'Dist Plant Depreciation'!$C$7:$C$94,0),MATCH(Calculation!$G1053,'Dist Plant Depreciation'!$D$5:$AC$5,0))</f>
        <v>2198338</v>
      </c>
      <c r="BR1053" s="254">
        <f>INDEX('Gen. Plant Depreciation'!$D$7:$AC$94,MATCH($C1053,'Gen. Plant Depreciation'!$C$7:$C$94,0),MATCH(Calculation!$G1053,'Gen. Plant Depreciation'!$D$5:$AC$5,0))</f>
        <v>127100</v>
      </c>
      <c r="BS1053" s="254"/>
      <c r="BT1053" s="254"/>
      <c r="BU1053" s="254"/>
      <c r="BV1053" s="254"/>
      <c r="BW1053" s="254"/>
      <c r="BX1053" s="323"/>
      <c r="BY1053" s="254">
        <f>INDEX('Gross Dx Plant'!$D$7:$AC$91,MATCH($C1053,'Gross Dx Plant'!$C$7:$C$91,0),MATCH(Calculation!$G1053,'Gross Dx Plant'!$D$5:$AC$5,0))</f>
        <v>4200349</v>
      </c>
      <c r="BZ1053" s="254">
        <f>INDEX('Gross Gen Plant'!$D$7:$AC$91,MATCH($C1053,'Gross Gen Plant'!$C$7:$C$91,0),MATCH(Calculation!$G1053,'Gross Gen Plant'!$D$5:$AC$5,0))</f>
        <v>438322</v>
      </c>
      <c r="CA1053" s="254">
        <f t="shared" si="1852"/>
        <v>2313233</v>
      </c>
      <c r="CB1053" s="254"/>
      <c r="CC1053" s="260">
        <v>1998</v>
      </c>
      <c r="CD1053" s="254">
        <f>BJ1053+BK1053</f>
        <v>4638671</v>
      </c>
      <c r="CE1053" s="254">
        <f>2198338+127100</f>
        <v>2325438</v>
      </c>
      <c r="CF1053" s="254">
        <f>+CD1053-CE1053</f>
        <v>2313233</v>
      </c>
      <c r="CG1053" s="254">
        <f>CF1053/$BX$3</f>
        <v>11467.576030575954</v>
      </c>
      <c r="CH1053" s="323"/>
      <c r="CI1053" s="344"/>
      <c r="CJ1053" s="344"/>
      <c r="CK1053" s="443">
        <v>1</v>
      </c>
      <c r="CL1053" s="254">
        <f>+CG1053</f>
        <v>11467.576030575954</v>
      </c>
      <c r="CM1053" s="256"/>
      <c r="CN1053" s="325"/>
      <c r="CO1053" s="325"/>
      <c r="CP1053" s="256" t="e">
        <f>VLOOKUP($H1053,RoR!$E:$F,2,FALSE)</f>
        <v>#N/A</v>
      </c>
      <c r="CQ1053" s="325">
        <v>1.1028127770464469E-2</v>
      </c>
      <c r="CR1053" s="325"/>
      <c r="CS1053" s="325"/>
      <c r="CT1053" s="325"/>
      <c r="CU1053" s="327"/>
      <c r="CV1053" s="331" t="e">
        <f>2/(DD1053*39)</f>
        <v>#N/A</v>
      </c>
      <c r="CW1053" s="328" t="e">
        <f>+(DD1053*40-(1+DD1053))/(DD1053*40)</f>
        <v>#N/A</v>
      </c>
      <c r="CX1053" s="328" t="e">
        <f>+(1-(1/(1+DD1053)^40))</f>
        <v>#N/A</v>
      </c>
      <c r="CY1053" s="328" t="e">
        <f>+CX1053*CW1053*CV1053</f>
        <v>#N/A</v>
      </c>
      <c r="CZ1053" s="329">
        <f>INDEX('State Tax Lookup'!$D$7:$Z$91,MATCH(Calculation!$C1053,'State Tax Lookup'!$B$7:$B$91,0),MATCH($H1053,'State Tax Lookup'!$D$6:$Z$6,0))</f>
        <v>0.40745999999999999</v>
      </c>
      <c r="DA1053" s="330">
        <v>0.37</v>
      </c>
      <c r="DB1053" s="344"/>
      <c r="DC1053" s="326"/>
      <c r="DD1053" s="351" t="e">
        <f>VLOOKUP($H1053,RoR!$E:$F,2,FALSE)</f>
        <v>#N/A</v>
      </c>
      <c r="DE1053" s="354">
        <f>HLOOKUP($H1053,'GDP-PI'!$D$8:$CQ$11,3,FALSE)</f>
        <v>1.1028127770464469E-2</v>
      </c>
      <c r="DF1053" s="351">
        <f>VLOOKUP(H1053,'HW Dx Data'!$E:$F,2,FALSE)</f>
        <v>329.24564746449528</v>
      </c>
      <c r="DG1053" s="330"/>
      <c r="DH1053" s="330"/>
      <c r="DI1053" s="330"/>
      <c r="DJ1053" s="326"/>
      <c r="DK1053" s="344">
        <f>HLOOKUP(H1053,'GDP-PI'!$8:$9,2,FALSE)</f>
        <v>75.266999999999996</v>
      </c>
      <c r="DL1053" s="292"/>
    </row>
    <row r="1054" spans="1:133" s="126" customFormat="1" ht="21" customHeight="1" x14ac:dyDescent="0.4">
      <c r="A1054" s="233" t="s">
        <v>245</v>
      </c>
      <c r="B1054" s="126" t="s">
        <v>245</v>
      </c>
      <c r="C1054" s="126">
        <v>4057146</v>
      </c>
      <c r="D1054" s="127" t="s">
        <v>231</v>
      </c>
      <c r="E1054" s="127"/>
      <c r="F1054" s="144"/>
      <c r="G1054" s="126" t="s">
        <v>155</v>
      </c>
      <c r="H1054" s="128">
        <v>1999</v>
      </c>
      <c r="I1054" s="129"/>
      <c r="J1054" s="125"/>
      <c r="K1054" s="129"/>
      <c r="L1054" s="47"/>
      <c r="M1054" s="129"/>
      <c r="N1054" s="129"/>
      <c r="O1054" s="129"/>
      <c r="P1054" s="47"/>
      <c r="Q1054" s="47"/>
      <c r="R1054" s="386"/>
      <c r="S1054" s="119"/>
      <c r="T1054" s="47"/>
      <c r="U1054" s="46"/>
      <c r="V1054" s="135"/>
      <c r="W1054" s="135"/>
      <c r="X1054" s="135"/>
      <c r="Y1054" s="143"/>
      <c r="Z1054" s="135"/>
      <c r="AA1054" s="135"/>
      <c r="AB1054" s="135"/>
      <c r="AC1054" s="125">
        <f t="shared" ref="AC1054:AC1077" si="1901">+CL1053*DB1054</f>
        <v>0</v>
      </c>
      <c r="AD1054" s="129"/>
      <c r="AE1054" s="133">
        <v>11793.814260509635</v>
      </c>
      <c r="AF1054" s="134">
        <v>2.8051601252882707E-2</v>
      </c>
      <c r="AG1054" s="61"/>
      <c r="AH1054" s="134"/>
      <c r="AI1054" s="134"/>
      <c r="AJ1054" s="129">
        <f t="shared" ref="AJ1054:AJ1117" si="1902">+J1054+V1054+AC1054</f>
        <v>0</v>
      </c>
      <c r="AK1054" s="134"/>
      <c r="AL1054" s="129"/>
      <c r="AM1054" s="134"/>
      <c r="AN1054" s="134"/>
      <c r="AO1054" s="134"/>
      <c r="AP1054" s="133"/>
      <c r="AQ1054" s="134"/>
      <c r="AR1054" s="93"/>
      <c r="AS1054" s="93"/>
      <c r="AT1054" s="93"/>
      <c r="AU1054" s="93"/>
      <c r="AV1054" s="93"/>
      <c r="AW1054" s="134"/>
      <c r="AX1054" s="62"/>
      <c r="AY1054" s="93"/>
      <c r="AZ1054" s="93"/>
      <c r="BA1054" s="93"/>
      <c r="BB1054" s="234">
        <f>IFERROR(INDEX('Total Customers'!$E$7:$AA$91,MATCH($C1054,'Total Customers'!$C$7:$C$91,0),MATCH($G1054,'Total Customers'!$E$5:$AA$5,0)),"NA")</f>
        <v>4939388</v>
      </c>
      <c r="BC1054" s="269">
        <f t="shared" si="1861"/>
        <v>1.5221587710669594E-2</v>
      </c>
      <c r="BD1054" s="92"/>
      <c r="BE1054" s="299" t="str">
        <f t="shared" si="1855"/>
        <v>SOUTHERN CALIFORNIA GAS COMPANY</v>
      </c>
      <c r="BF1054" s="300">
        <f t="shared" si="1856"/>
        <v>4057146</v>
      </c>
      <c r="BG1054" s="231" t="str">
        <f t="shared" si="1857"/>
        <v>CA</v>
      </c>
      <c r="BH1054" s="231"/>
      <c r="BI1054" s="231" t="str">
        <f t="shared" si="1858"/>
        <v>1999 Y</v>
      </c>
      <c r="BJ1054" s="129"/>
      <c r="BK1054" s="129"/>
      <c r="BL1054" s="129">
        <f>INDEX('Dist. Plant Gas Additions'!$E$7:$AD$91,MATCH($C1054,'Dist. Plant Gas Additions'!$C$7:$C$91,0),MATCH(Calculation!$G1054,'Dist. Plant Gas Additions'!$E$5:$AD$5,0))</f>
        <v>97757</v>
      </c>
      <c r="BM1054" s="129">
        <f>INDEX('Gen. Plant Additions'!$E$7:$AD$91,MATCH($C1054,'Gen. Plant Additions'!$C$7:$C$91,0),MATCH(Calculation!$G1054,'Gen. Plant Additions'!$E$5:$AD$5,0))</f>
        <v>30770</v>
      </c>
      <c r="BN1054" s="301">
        <f t="shared" ref="BN1054:BN1074" si="1903">+(BY1054/(BY1054+BZ1054))</f>
        <v>0.90444323126365489</v>
      </c>
      <c r="BO1054" s="231">
        <f t="shared" si="1850"/>
        <v>27829.718225982662</v>
      </c>
      <c r="BP1054" s="231">
        <f t="shared" si="1851"/>
        <v>-2940.2817740173377</v>
      </c>
      <c r="BQ1054" s="129">
        <f>INDEX('Dist Plant Depreciation'!$D$7:$AC$94,MATCH($C1054,'Dist Plant Depreciation'!$C$7:$C$94,0),MATCH(Calculation!$G1054,'Dist Plant Depreciation'!$D$5:$AC$5,0))</f>
        <v>2359644</v>
      </c>
      <c r="BR1054" s="129">
        <f>INDEX('Gen. Plant Depreciation'!$D$7:$AC$94,MATCH($C1054,'Gen. Plant Depreciation'!$C$7:$C$94,0),MATCH(Calculation!$G1054,'Gen. Plant Depreciation'!$D$5:$AC$5,0))</f>
        <v>152975</v>
      </c>
      <c r="BS1054" s="129"/>
      <c r="BT1054" s="129"/>
      <c r="BU1054" s="129"/>
      <c r="BV1054" s="129"/>
      <c r="BW1054" s="129"/>
      <c r="BX1054" s="137"/>
      <c r="BY1054" s="129">
        <f>INDEX('Gross Dx Plant'!$D$7:$AC$91,MATCH($C1054,'Gross Dx Plant'!$C$7:$C$91,0),MATCH(Calculation!$G1054,'Gross Dx Plant'!$D$5:$AC$5,0))</f>
        <v>4285877</v>
      </c>
      <c r="BZ1054" s="129">
        <f>INDEX('Gross Gen Plant'!$D$7:$AC$91,MATCH($C1054,'Gross Gen Plant'!$C$7:$C$91,0),MATCH(Calculation!$G1054,'Gross Gen Plant'!$D$5:$AC$5,0))</f>
        <v>452814</v>
      </c>
      <c r="CA1054" s="129">
        <f t="shared" si="1852"/>
        <v>2226072</v>
      </c>
      <c r="CB1054" s="129"/>
      <c r="CC1054" s="133">
        <v>1999</v>
      </c>
      <c r="CD1054" s="129"/>
      <c r="CE1054" s="129"/>
      <c r="CF1054" s="129"/>
      <c r="CG1054" s="137"/>
      <c r="CH1054" s="129">
        <f t="shared" ref="CH1054:CH1074" si="1904">+BM1054+BL1054</f>
        <v>128527</v>
      </c>
      <c r="CI1054" s="46">
        <f>+CH1054+BP1054</f>
        <v>125586.71822598267</v>
      </c>
      <c r="CJ1054" s="231">
        <f t="shared" ref="CJ1054:CJ1077" si="1905">+CI1054/$DF1054</f>
        <v>374.52239296755391</v>
      </c>
      <c r="CK1054" s="443">
        <v>0.99009900990099009</v>
      </c>
      <c r="CL1054" s="231">
        <f>+CL1053*CK1054+CJ1054</f>
        <v>11728.558066805132</v>
      </c>
      <c r="CM1054" s="134">
        <f t="shared" ref="CM1054:CM1075" si="1906">LN(CL1054/CL1053)</f>
        <v>2.2503150594305025E-2</v>
      </c>
      <c r="CN1054" s="135">
        <f t="shared" ref="CN1054:CN1077" si="1907">+(CL1053-CL1054+CJ1054)/CL1053</f>
        <v>9.9009900990099532E-3</v>
      </c>
      <c r="CO1054" s="135"/>
      <c r="CP1054" s="134">
        <f>VLOOKUP($H1054,RoR!$E:$F,2,FALSE)</f>
        <v>7.0416666666666669E-2</v>
      </c>
      <c r="CQ1054" s="135">
        <v>1.4335631817396832E-2</v>
      </c>
      <c r="CR1054" s="135">
        <f>+CP1054-CQ1054</f>
        <v>5.6081034849269837E-2</v>
      </c>
      <c r="CS1054" s="135"/>
      <c r="CT1054" s="135"/>
      <c r="CU1054" s="139">
        <f t="shared" ref="CU1054:CU1077" si="1908">1-CZ1054*DA1054</f>
        <v>0.84923979999999999</v>
      </c>
      <c r="CV1054" s="335">
        <f t="shared" ref="CV1054:CV1077" si="1909">2/(DD1054*39)</f>
        <v>0.72826581702321336</v>
      </c>
      <c r="CW1054" s="335">
        <f t="shared" ref="CW1054:CW1077" si="1910">+(DD1054*40-(1+DD1054))/(DD1054*40)</f>
        <v>0.61997041420118348</v>
      </c>
      <c r="CX1054" s="335">
        <f t="shared" ref="CX1054:CX1077" si="1911">+(1-(1/(1+DD1054)^40))</f>
        <v>0.93425155319585029</v>
      </c>
      <c r="CY1054" s="335">
        <f t="shared" ref="CY1054:CY1077" si="1912">+CX1054*CW1054*CV1054</f>
        <v>0.42181762214141483</v>
      </c>
      <c r="CZ1054" s="336">
        <f>INDEX('State Tax Lookup'!$D$7:$Z$91,MATCH(Calculation!$C1054,'State Tax Lookup'!$B$7:$B$91,0),MATCH($H1054,'State Tax Lookup'!$D$6:$Z$6,0))</f>
        <v>0.40745999999999999</v>
      </c>
      <c r="DA1054" s="302">
        <v>0.37</v>
      </c>
      <c r="DB1054" s="57"/>
      <c r="DC1054" s="56"/>
      <c r="DD1054" s="303">
        <f>VLOOKUP($H1054,RoR!$E:$F,2,FALSE)</f>
        <v>7.0416666666666669E-2</v>
      </c>
      <c r="DE1054" s="304">
        <f>HLOOKUP($H1054,'GDP-PI'!$D$8:$CQ$11,3,FALSE)</f>
        <v>1.4335631817396832E-2</v>
      </c>
      <c r="DF1054" s="303">
        <f>VLOOKUP(H1054,'HW Dx Data'!$E:$F,2,FALSE)</f>
        <v>335.32499146683239</v>
      </c>
      <c r="DG1054" s="364"/>
      <c r="DH1054" s="364"/>
      <c r="DI1054" s="364"/>
      <c r="DJ1054" s="56"/>
      <c r="DK1054" s="53">
        <f>HLOOKUP(H1054,'GDP-PI'!$8:$9,2,FALSE)</f>
        <v>76.346000000000004</v>
      </c>
      <c r="DL1054" s="298"/>
    </row>
    <row r="1055" spans="1:133" s="126" customFormat="1" ht="21" customHeight="1" x14ac:dyDescent="0.4">
      <c r="A1055" s="233" t="s">
        <v>245</v>
      </c>
      <c r="B1055" s="126" t="s">
        <v>245</v>
      </c>
      <c r="C1055" s="126">
        <v>4057146</v>
      </c>
      <c r="D1055" s="127" t="s">
        <v>231</v>
      </c>
      <c r="E1055" s="127"/>
      <c r="F1055" s="144"/>
      <c r="G1055" s="126" t="s">
        <v>156</v>
      </c>
      <c r="H1055" s="128">
        <v>2000</v>
      </c>
      <c r="I1055" s="129"/>
      <c r="J1055" s="125"/>
      <c r="K1055" s="125"/>
      <c r="L1055" s="47"/>
      <c r="M1055" s="125"/>
      <c r="N1055" s="125"/>
      <c r="O1055" s="125"/>
      <c r="P1055" s="47"/>
      <c r="Q1055" s="47"/>
      <c r="R1055" s="386"/>
      <c r="S1055" s="119"/>
      <c r="T1055" s="47"/>
      <c r="U1055" s="47"/>
      <c r="V1055" s="125"/>
      <c r="W1055" s="125"/>
      <c r="X1055" s="125"/>
      <c r="Y1055" s="125"/>
      <c r="Z1055" s="125"/>
      <c r="AA1055" s="125"/>
      <c r="AB1055" s="125"/>
      <c r="AC1055" s="125">
        <f t="shared" si="1901"/>
        <v>0</v>
      </c>
      <c r="AD1055" s="129"/>
      <c r="AE1055" s="133">
        <v>12172.205784994709</v>
      </c>
      <c r="AF1055" s="134">
        <v>3.1579959504218914E-2</v>
      </c>
      <c r="AG1055" s="61"/>
      <c r="AH1055" s="134"/>
      <c r="AI1055" s="134"/>
      <c r="AJ1055" s="129">
        <f t="shared" si="1902"/>
        <v>0</v>
      </c>
      <c r="AK1055" s="134"/>
      <c r="AL1055" s="129"/>
      <c r="AM1055" s="129"/>
      <c r="AN1055" s="129"/>
      <c r="AO1055" s="129"/>
      <c r="AP1055" s="133"/>
      <c r="AQ1055" s="134"/>
      <c r="AR1055" s="93"/>
      <c r="AS1055" s="93"/>
      <c r="AT1055" s="93"/>
      <c r="AU1055" s="93"/>
      <c r="AV1055" s="93"/>
      <c r="AW1055" s="134"/>
      <c r="AX1055" s="62"/>
      <c r="AY1055" s="93"/>
      <c r="AZ1055" s="93"/>
      <c r="BA1055" s="93"/>
      <c r="BB1055" s="234">
        <f>IFERROR(INDEX('Total Customers'!$E$7:$AA$91,MATCH($C1055,'Total Customers'!$C$7:$C$91,0),MATCH($G1055,'Total Customers'!$E$5:$AA$5,0)),"NA")</f>
        <v>5008662</v>
      </c>
      <c r="BC1055" s="269">
        <f t="shared" si="1861"/>
        <v>1.3927376674498768E-2</v>
      </c>
      <c r="BD1055" s="92"/>
      <c r="BE1055" s="299" t="str">
        <f t="shared" si="1855"/>
        <v>SOUTHERN CALIFORNIA GAS COMPANY</v>
      </c>
      <c r="BF1055" s="300">
        <f t="shared" si="1856"/>
        <v>4057146</v>
      </c>
      <c r="BG1055" s="231" t="str">
        <f t="shared" si="1857"/>
        <v>CA</v>
      </c>
      <c r="BH1055" s="231"/>
      <c r="BI1055" s="231" t="str">
        <f t="shared" si="1858"/>
        <v>2000 Y</v>
      </c>
      <c r="BJ1055" s="129"/>
      <c r="BK1055" s="129"/>
      <c r="BL1055" s="129">
        <f>INDEX('Dist. Plant Gas Additions'!$E$7:$AD$91,MATCH($C1055,'Dist. Plant Gas Additions'!$C$7:$C$91,0),MATCH(Calculation!$G1055,'Dist. Plant Gas Additions'!$E$5:$AD$5,0))</f>
        <v>124796</v>
      </c>
      <c r="BM1055" s="129">
        <f>INDEX('Gen. Plant Additions'!$E$7:$AD$91,MATCH($C1055,'Gen. Plant Additions'!$C$7:$C$91,0),MATCH(Calculation!$G1055,'Gen. Plant Additions'!$E$5:$AD$5,0))</f>
        <v>27360</v>
      </c>
      <c r="BN1055" s="301">
        <f t="shared" si="1903"/>
        <v>0.90370398899043414</v>
      </c>
      <c r="BO1055" s="231">
        <f t="shared" si="1850"/>
        <v>24725.341138778276</v>
      </c>
      <c r="BP1055" s="231">
        <f t="shared" si="1851"/>
        <v>-2634.6588612217238</v>
      </c>
      <c r="BQ1055" s="129">
        <f>INDEX('Dist Plant Depreciation'!$D$7:$AC$94,MATCH($C1055,'Dist Plant Depreciation'!$C$7:$C$94,0),MATCH(Calculation!$G1055,'Dist Plant Depreciation'!$D$5:$AC$5,0))</f>
        <v>2508327</v>
      </c>
      <c r="BR1055" s="129">
        <f>INDEX('Gen. Plant Depreciation'!$D$7:$AC$94,MATCH($C1055,'Gen. Plant Depreciation'!$C$7:$C$94,0),MATCH(Calculation!$G1055,'Gen. Plant Depreciation'!$D$5:$AC$5,0))</f>
        <v>184022</v>
      </c>
      <c r="BS1055" s="129"/>
      <c r="BT1055" s="129"/>
      <c r="BU1055" s="129"/>
      <c r="BV1055" s="129"/>
      <c r="BW1055" s="129"/>
      <c r="BX1055" s="137"/>
      <c r="BY1055" s="129">
        <f>INDEX('Gross Dx Plant'!$D$7:$AC$91,MATCH($C1055,'Gross Dx Plant'!$C$7:$C$91,0),MATCH(Calculation!$G1055,'Gross Dx Plant'!$D$5:$AC$5,0))</f>
        <v>4387857</v>
      </c>
      <c r="BZ1055" s="129">
        <f>INDEX('Gross Gen Plant'!$D$7:$AC$91,MATCH($C1055,'Gross Gen Plant'!$C$7:$C$91,0),MATCH(Calculation!$G1055,'Gross Gen Plant'!$D$5:$AC$5,0))</f>
        <v>467557</v>
      </c>
      <c r="CA1055" s="129">
        <f t="shared" si="1852"/>
        <v>2163065</v>
      </c>
      <c r="CB1055" s="129"/>
      <c r="CC1055" s="133">
        <v>2000</v>
      </c>
      <c r="CD1055" s="129"/>
      <c r="CE1055" s="129"/>
      <c r="CF1055" s="129"/>
      <c r="CG1055" s="137"/>
      <c r="CH1055" s="129">
        <f t="shared" si="1904"/>
        <v>152156</v>
      </c>
      <c r="CI1055" s="46">
        <f t="shared" ref="CI1055:CI1077" si="1913">+CH1055+BP1055</f>
        <v>149521.34113877828</v>
      </c>
      <c r="CJ1055" s="231">
        <f t="shared" si="1905"/>
        <v>431.47703513167357</v>
      </c>
      <c r="CK1055" s="443">
        <v>0.98</v>
      </c>
      <c r="CL1055" s="231">
        <f>+CL1053*CK1055+CJ1054*CK1054+CJ1055</f>
        <v>12040.515795559033</v>
      </c>
      <c r="CM1055" s="134">
        <f t="shared" si="1906"/>
        <v>2.6250550972609515E-2</v>
      </c>
      <c r="CN1055" s="135">
        <f t="shared" si="1907"/>
        <v>1.0190451860919108E-2</v>
      </c>
      <c r="CO1055" s="135"/>
      <c r="CP1055" s="134">
        <f>VLOOKUP($H1055,RoR!$E:$F,2,FALSE)</f>
        <v>7.6225000000000001E-2</v>
      </c>
      <c r="CQ1055" s="135">
        <v>2.2568307442433211E-2</v>
      </c>
      <c r="CR1055" s="135">
        <f t="shared" ref="CR1055:CR1075" si="1914">+CP1055-CQ1055</f>
        <v>5.365669255756679E-2</v>
      </c>
      <c r="CS1055" s="135"/>
      <c r="CT1055" s="135"/>
      <c r="CU1055" s="139">
        <f t="shared" si="1908"/>
        <v>0.84923979999999999</v>
      </c>
      <c r="CV1055" s="335">
        <f t="shared" si="1909"/>
        <v>0.67277207323124022</v>
      </c>
      <c r="CW1055" s="335">
        <f t="shared" si="1910"/>
        <v>0.6470236142997704</v>
      </c>
      <c r="CX1055" s="335">
        <f t="shared" si="1911"/>
        <v>0.94704866037543145</v>
      </c>
      <c r="CY1055" s="335">
        <f t="shared" si="1912"/>
        <v>0.41224973107878493</v>
      </c>
      <c r="CZ1055" s="336">
        <f>INDEX('State Tax Lookup'!$D$7:$Z$91,MATCH(Calculation!$C1055,'State Tax Lookup'!$B$7:$B$91,0),MATCH($H1055,'State Tax Lookup'!$D$6:$Z$6,0))</f>
        <v>0.40745999999999999</v>
      </c>
      <c r="DA1055" s="302">
        <v>0.37</v>
      </c>
      <c r="DB1055" s="57"/>
      <c r="DC1055" s="56"/>
      <c r="DD1055" s="303">
        <f>VLOOKUP($H1055,RoR!$E:$F,2,FALSE)</f>
        <v>7.6225000000000001E-2</v>
      </c>
      <c r="DE1055" s="304">
        <f>HLOOKUP($H1055,'GDP-PI'!$D$8:$CQ$11,3,FALSE)</f>
        <v>2.2568307442433211E-2</v>
      </c>
      <c r="DF1055" s="303">
        <f>VLOOKUP(H1055,'HW Dx Data'!$E:$F,2,FALSE)</f>
        <v>346.53371782150339</v>
      </c>
      <c r="DG1055" s="364"/>
      <c r="DH1055" s="364"/>
      <c r="DI1055" s="364"/>
      <c r="DJ1055" s="56"/>
      <c r="DK1055" s="53">
        <f>HLOOKUP(H1055,'GDP-PI'!$8:$9,2,FALSE)</f>
        <v>78.069000000000003</v>
      </c>
      <c r="DL1055" s="298"/>
    </row>
    <row r="1056" spans="1:133" s="126" customFormat="1" ht="21" customHeight="1" x14ac:dyDescent="0.4">
      <c r="A1056" s="233" t="s">
        <v>245</v>
      </c>
      <c r="B1056" s="126" t="s">
        <v>245</v>
      </c>
      <c r="C1056" s="126">
        <v>4057146</v>
      </c>
      <c r="D1056" s="127" t="s">
        <v>231</v>
      </c>
      <c r="E1056" s="127"/>
      <c r="F1056" s="144"/>
      <c r="G1056" s="126" t="s">
        <v>157</v>
      </c>
      <c r="H1056" s="128">
        <v>2001</v>
      </c>
      <c r="I1056" s="129"/>
      <c r="J1056" s="125"/>
      <c r="K1056" s="125"/>
      <c r="L1056" s="47"/>
      <c r="M1056" s="125"/>
      <c r="N1056" s="125"/>
      <c r="O1056" s="125"/>
      <c r="P1056" s="47"/>
      <c r="Q1056" s="47"/>
      <c r="R1056" s="386"/>
      <c r="S1056" s="119"/>
      <c r="T1056" s="47"/>
      <c r="U1056" s="47"/>
      <c r="V1056" s="125"/>
      <c r="W1056" s="125"/>
      <c r="X1056" s="125"/>
      <c r="Y1056" s="125"/>
      <c r="Z1056" s="125"/>
      <c r="AA1056" s="125"/>
      <c r="AB1056" s="125"/>
      <c r="AC1056" s="125">
        <f t="shared" si="1901"/>
        <v>126630.79231002292</v>
      </c>
      <c r="AD1056" s="129"/>
      <c r="AE1056" s="133">
        <v>12548.386680572978</v>
      </c>
      <c r="AF1056" s="134">
        <v>3.0436967649634404E-2</v>
      </c>
      <c r="AG1056" s="61"/>
      <c r="AH1056" s="134"/>
      <c r="AI1056" s="134"/>
      <c r="AJ1056" s="129">
        <f t="shared" si="1902"/>
        <v>126630.79231002292</v>
      </c>
      <c r="AK1056" s="134"/>
      <c r="AL1056" s="129"/>
      <c r="AM1056" s="129"/>
      <c r="AN1056" s="129"/>
      <c r="AO1056" s="129"/>
      <c r="AP1056" s="133"/>
      <c r="AQ1056" s="134"/>
      <c r="AR1056" s="93"/>
      <c r="AS1056" s="93"/>
      <c r="AT1056" s="93"/>
      <c r="AU1056" s="93"/>
      <c r="AV1056" s="93"/>
      <c r="AW1056" s="134"/>
      <c r="AX1056" s="62"/>
      <c r="AY1056" s="93"/>
      <c r="AZ1056" s="93"/>
      <c r="BA1056" s="93"/>
      <c r="BB1056" s="234">
        <f>IFERROR(INDEX('Total Customers'!$E$7:$AA$91,MATCH($C1056,'Total Customers'!$C$7:$C$91,0),MATCH($G1056,'Total Customers'!$E$5:$AA$5,0)),"NA")</f>
        <v>5064323</v>
      </c>
      <c r="BC1056" s="269">
        <f t="shared" si="1861"/>
        <v>1.1051652818019481E-2</v>
      </c>
      <c r="BD1056" s="92"/>
      <c r="BE1056" s="299" t="str">
        <f t="shared" si="1855"/>
        <v>SOUTHERN CALIFORNIA GAS COMPANY</v>
      </c>
      <c r="BF1056" s="300">
        <f t="shared" si="1856"/>
        <v>4057146</v>
      </c>
      <c r="BG1056" s="231" t="str">
        <f t="shared" si="1857"/>
        <v>CA</v>
      </c>
      <c r="BH1056" s="231"/>
      <c r="BI1056" s="231" t="str">
        <f t="shared" si="1858"/>
        <v>2001 Y</v>
      </c>
      <c r="BJ1056" s="129"/>
      <c r="BK1056" s="129"/>
      <c r="BL1056" s="129">
        <f>INDEX('Dist. Plant Gas Additions'!$E$7:$AD$91,MATCH($C1056,'Dist. Plant Gas Additions'!$C$7:$C$91,0),MATCH(Calculation!$G1056,'Dist. Plant Gas Additions'!$E$5:$AD$5,0))</f>
        <v>133617</v>
      </c>
      <c r="BM1056" s="129">
        <f>INDEX('Gen. Plant Additions'!$E$7:$AD$91,MATCH($C1056,'Gen. Plant Additions'!$C$7:$C$91,0),MATCH(Calculation!$G1056,'Gen. Plant Additions'!$E$5:$AD$5,0))</f>
        <v>21453</v>
      </c>
      <c r="BN1056" s="301">
        <f t="shared" si="1903"/>
        <v>0.90585656998036657</v>
      </c>
      <c r="BO1056" s="231">
        <f t="shared" si="1850"/>
        <v>19433.340995788803</v>
      </c>
      <c r="BP1056" s="231">
        <f t="shared" si="1851"/>
        <v>-2019.6590042111966</v>
      </c>
      <c r="BQ1056" s="129">
        <f>INDEX('Dist Plant Depreciation'!$D$7:$AC$94,MATCH($C1056,'Dist Plant Depreciation'!$C$7:$C$94,0),MATCH(Calculation!$G1056,'Dist Plant Depreciation'!$D$5:$AC$5,0))</f>
        <v>2664859</v>
      </c>
      <c r="BR1056" s="129">
        <f>INDEX('Gen. Plant Depreciation'!$D$7:$AC$94,MATCH($C1056,'Gen. Plant Depreciation'!$C$7:$C$94,0),MATCH(Calculation!$G1056,'Gen. Plant Depreciation'!$D$5:$AC$5,0))</f>
        <v>203946</v>
      </c>
      <c r="BS1056" s="129"/>
      <c r="BT1056" s="129"/>
      <c r="BU1056" s="129"/>
      <c r="BV1056" s="129"/>
      <c r="BW1056" s="129"/>
      <c r="BX1056" s="137"/>
      <c r="BY1056" s="129">
        <f>INDEX('Gross Dx Plant'!$D$7:$AC$91,MATCH($C1056,'Gross Dx Plant'!$C$7:$C$91,0),MATCH(Calculation!$G1056,'Gross Dx Plant'!$D$5:$AC$5,0))</f>
        <v>4505409</v>
      </c>
      <c r="BZ1056" s="129">
        <f>INDEX('Gross Gen Plant'!$D$7:$AC$91,MATCH($C1056,'Gross Gen Plant'!$C$7:$C$91,0),MATCH(Calculation!$G1056,'Gross Gen Plant'!$D$5:$AC$5,0))</f>
        <v>468236</v>
      </c>
      <c r="CA1056" s="129">
        <f t="shared" si="1852"/>
        <v>2104840</v>
      </c>
      <c r="CB1056" s="129"/>
      <c r="CC1056" s="133">
        <v>2001</v>
      </c>
      <c r="CD1056" s="129"/>
      <c r="CE1056" s="129"/>
      <c r="CF1056" s="129"/>
      <c r="CG1056" s="137"/>
      <c r="CH1056" s="129">
        <f t="shared" si="1904"/>
        <v>155070</v>
      </c>
      <c r="CI1056" s="46">
        <f t="shared" si="1913"/>
        <v>153050.34099578881</v>
      </c>
      <c r="CJ1056" s="231">
        <f t="shared" si="1905"/>
        <v>433.02157430077159</v>
      </c>
      <c r="CK1056" s="443">
        <v>0.96969696969696972</v>
      </c>
      <c r="CL1056" s="231">
        <f>+CL1053*CK1056+CJ1054*CK1055+CJ1055*CK1053+CJ1056</f>
        <v>12351.604281159756</v>
      </c>
      <c r="CM1056" s="134">
        <f t="shared" si="1906"/>
        <v>2.5508676820252277E-2</v>
      </c>
      <c r="CN1056" s="135">
        <f t="shared" si="1907"/>
        <v>1.0126899110503349E-2</v>
      </c>
      <c r="CO1056" s="135">
        <f>+(CN1056+CN1055+CN1054)/3</f>
        <v>1.0072780356810805E-2</v>
      </c>
      <c r="CP1056" s="134">
        <f>VLOOKUP($H1056,RoR!$E:$F,2,FALSE)</f>
        <v>7.0824999999999999E-2</v>
      </c>
      <c r="CQ1056" s="135">
        <v>2.2454495382290052E-2</v>
      </c>
      <c r="CR1056" s="135">
        <f t="shared" si="1914"/>
        <v>4.8370504617709947E-2</v>
      </c>
      <c r="CS1056" s="135">
        <f>+$CR$2-CO1056</f>
        <v>2.0829161251722822E-2</v>
      </c>
      <c r="CT1056" s="135">
        <f>+((DF1054/DF1053-1)+(DF1055/DF1054-1)+(DF1056/DF1055-1))/3</f>
        <v>2.3947275901631187E-2</v>
      </c>
      <c r="CU1056" s="139">
        <f t="shared" si="1908"/>
        <v>0.84923979999999999</v>
      </c>
      <c r="CV1056" s="335">
        <f t="shared" si="1909"/>
        <v>0.72406708481540816</v>
      </c>
      <c r="CW1056" s="335">
        <f t="shared" si="1910"/>
        <v>0.62201729615248857</v>
      </c>
      <c r="CX1056" s="335">
        <f t="shared" si="1911"/>
        <v>0.9352469954311422</v>
      </c>
      <c r="CY1056" s="335">
        <f t="shared" si="1912"/>
        <v>0.42121864641655071</v>
      </c>
      <c r="CZ1056" s="336">
        <f>INDEX('State Tax Lookup'!$D$7:$Z$91,MATCH(Calculation!$C1056,'State Tax Lookup'!$B$7:$B$91,0),MATCH($H1056,'State Tax Lookup'!$D$6:$Z$6,0))</f>
        <v>0.40745999999999999</v>
      </c>
      <c r="DA1056" s="302">
        <v>0.37</v>
      </c>
      <c r="DB1056" s="57">
        <f t="shared" ref="DB1056:DB1077" si="1915">+(DF1056*CS1056-CT1056)*CU1056/(1-CZ1056)</f>
        <v>10.517057114507406</v>
      </c>
      <c r="DC1056" s="56"/>
      <c r="DD1056" s="303">
        <f>VLOOKUP($H1056,RoR!$E:$F,2,FALSE)</f>
        <v>7.0824999999999999E-2</v>
      </c>
      <c r="DE1056" s="304">
        <f>HLOOKUP($H1056,'GDP-PI'!$D$8:$CQ$11,3,FALSE)</f>
        <v>2.2454495382290052E-2</v>
      </c>
      <c r="DF1056" s="303">
        <f>VLOOKUP(H1056,'HW Dx Data'!$E:$F,2,FALSE)</f>
        <v>353.44738017483138</v>
      </c>
      <c r="DG1056" s="364"/>
      <c r="DH1056" s="364"/>
      <c r="DI1056" s="364"/>
      <c r="DJ1056" s="56"/>
      <c r="DK1056" s="53">
        <f>HLOOKUP(H1056,'GDP-PI'!$8:$9,2,FALSE)</f>
        <v>79.822000000000003</v>
      </c>
      <c r="DL1056" s="298"/>
    </row>
    <row r="1057" spans="1:116" s="126" customFormat="1" ht="21" customHeight="1" x14ac:dyDescent="0.4">
      <c r="A1057" s="233" t="s">
        <v>245</v>
      </c>
      <c r="B1057" s="126" t="s">
        <v>245</v>
      </c>
      <c r="C1057" s="126">
        <v>4057146</v>
      </c>
      <c r="D1057" s="127" t="s">
        <v>231</v>
      </c>
      <c r="E1057" s="127"/>
      <c r="F1057" s="144"/>
      <c r="G1057" s="126" t="s">
        <v>158</v>
      </c>
      <c r="H1057" s="128">
        <v>2002</v>
      </c>
      <c r="I1057" s="129"/>
      <c r="J1057" s="125"/>
      <c r="K1057" s="125"/>
      <c r="L1057" s="47"/>
      <c r="M1057" s="125"/>
      <c r="N1057" s="125"/>
      <c r="O1057" s="125"/>
      <c r="P1057" s="47"/>
      <c r="Q1057" s="47"/>
      <c r="R1057" s="386"/>
      <c r="S1057" s="119"/>
      <c r="T1057" s="47"/>
      <c r="U1057" s="47"/>
      <c r="V1057" s="125"/>
      <c r="W1057" s="125"/>
      <c r="X1057" s="125"/>
      <c r="Y1057" s="125"/>
      <c r="Z1057" s="125"/>
      <c r="AA1057" s="125"/>
      <c r="AB1057" s="125"/>
      <c r="AC1057" s="125">
        <f t="shared" si="1901"/>
        <v>130195.69147560267</v>
      </c>
      <c r="AD1057" s="129"/>
      <c r="AE1057" s="133">
        <v>13032.464166635671</v>
      </c>
      <c r="AF1057" s="134">
        <v>3.7851382151956998E-2</v>
      </c>
      <c r="AG1057" s="61"/>
      <c r="AH1057" s="134"/>
      <c r="AI1057" s="134"/>
      <c r="AJ1057" s="129">
        <f t="shared" si="1902"/>
        <v>130195.69147560267</v>
      </c>
      <c r="AK1057" s="134"/>
      <c r="AL1057" s="129"/>
      <c r="AM1057" s="129"/>
      <c r="AN1057" s="129"/>
      <c r="AO1057" s="129"/>
      <c r="AP1057" s="133"/>
      <c r="AQ1057" s="134"/>
      <c r="AR1057" s="93"/>
      <c r="AS1057" s="93"/>
      <c r="AT1057" s="93"/>
      <c r="AU1057" s="93"/>
      <c r="AV1057" s="93"/>
      <c r="AW1057" s="134"/>
      <c r="AX1057" s="62"/>
      <c r="AY1057" s="93"/>
      <c r="AZ1057" s="93"/>
      <c r="BA1057" s="93"/>
      <c r="BB1057" s="234">
        <f>IFERROR(INDEX('Total Customers'!$E$7:$AA$91,MATCH($C1057,'Total Customers'!$C$7:$C$91,0),MATCH($G1057,'Total Customers'!$E$5:$AA$5,0)),"NA")</f>
        <v>5143877</v>
      </c>
      <c r="BC1057" s="269">
        <f t="shared" si="1861"/>
        <v>1.5586608918314796E-2</v>
      </c>
      <c r="BD1057" s="92"/>
      <c r="BE1057" s="299" t="str">
        <f t="shared" si="1855"/>
        <v>SOUTHERN CALIFORNIA GAS COMPANY</v>
      </c>
      <c r="BF1057" s="300">
        <f t="shared" si="1856"/>
        <v>4057146</v>
      </c>
      <c r="BG1057" s="231" t="str">
        <f t="shared" si="1857"/>
        <v>CA</v>
      </c>
      <c r="BH1057" s="231"/>
      <c r="BI1057" s="231" t="str">
        <f t="shared" si="1858"/>
        <v>2002 Y</v>
      </c>
      <c r="BJ1057" s="129"/>
      <c r="BK1057" s="129"/>
      <c r="BL1057" s="129">
        <f>INDEX('Dist. Plant Gas Additions'!$E$7:$AD$91,MATCH($C1057,'Dist. Plant Gas Additions'!$C$7:$C$91,0),MATCH(Calculation!$G1057,'Dist. Plant Gas Additions'!$E$5:$AD$5,0))</f>
        <v>172199</v>
      </c>
      <c r="BM1057" s="129">
        <f>INDEX('Gen. Plant Additions'!$E$7:$AD$91,MATCH($C1057,'Gen. Plant Additions'!$C$7:$C$91,0),MATCH(Calculation!$G1057,'Gen. Plant Additions'!$E$5:$AD$5,0))</f>
        <v>28423</v>
      </c>
      <c r="BN1057" s="301">
        <f t="shared" si="1903"/>
        <v>0.9075677914185788</v>
      </c>
      <c r="BO1057" s="231">
        <f t="shared" si="1850"/>
        <v>25795.799335490265</v>
      </c>
      <c r="BP1057" s="231">
        <f t="shared" si="1851"/>
        <v>-2627.2006645097354</v>
      </c>
      <c r="BQ1057" s="129">
        <f>INDEX('Dist Plant Depreciation'!$D$7:$AC$94,MATCH($C1057,'Dist Plant Depreciation'!$C$7:$C$94,0),MATCH(Calculation!$G1057,'Dist Plant Depreciation'!$D$5:$AC$5,0))</f>
        <v>2817573</v>
      </c>
      <c r="BR1057" s="129">
        <f>INDEX('Gen. Plant Depreciation'!$D$7:$AC$94,MATCH($C1057,'Gen. Plant Depreciation'!$C$7:$C$94,0),MATCH(Calculation!$G1057,'Gen. Plant Depreciation'!$D$5:$AC$5,0))</f>
        <v>222865</v>
      </c>
      <c r="BS1057" s="129"/>
      <c r="BT1057" s="129"/>
      <c r="BU1057" s="129"/>
      <c r="BV1057" s="129"/>
      <c r="BW1057" s="129"/>
      <c r="BX1057" s="137"/>
      <c r="BY1057" s="129">
        <f>INDEX('Gross Dx Plant'!$D$7:$AC$91,MATCH($C1057,'Gross Dx Plant'!$C$7:$C$91,0),MATCH(Calculation!$G1057,'Gross Dx Plant'!$D$5:$AC$5,0))</f>
        <v>4654819</v>
      </c>
      <c r="BZ1057" s="129">
        <f>INDEX('Gross Gen Plant'!$D$7:$AC$91,MATCH($C1057,'Gross Gen Plant'!$C$7:$C$91,0),MATCH(Calculation!$G1057,'Gross Gen Plant'!$D$5:$AC$5,0))</f>
        <v>474075</v>
      </c>
      <c r="CA1057" s="129">
        <f t="shared" si="1852"/>
        <v>2088456</v>
      </c>
      <c r="CB1057" s="129"/>
      <c r="CC1057" s="133">
        <v>2002</v>
      </c>
      <c r="CD1057" s="129"/>
      <c r="CE1057" s="129"/>
      <c r="CF1057" s="129"/>
      <c r="CG1057" s="137"/>
      <c r="CH1057" s="129">
        <f t="shared" si="1904"/>
        <v>200622</v>
      </c>
      <c r="CI1057" s="46">
        <f t="shared" si="1913"/>
        <v>197994.79933549027</v>
      </c>
      <c r="CJ1057" s="231">
        <f t="shared" si="1905"/>
        <v>547.93359455203677</v>
      </c>
      <c r="CK1057" s="443">
        <v>0.95918367346938771</v>
      </c>
      <c r="CL1057" s="231">
        <f>+CL1053*CK1057+CJ1054*CK1056+CJ1055*CK1055+CJ1056*CK1054+CJ1057</f>
        <v>12762.200253303674</v>
      </c>
      <c r="CM1057" s="134">
        <f t="shared" si="1906"/>
        <v>3.2701740750136113E-2</v>
      </c>
      <c r="CN1057" s="135">
        <f t="shared" si="1907"/>
        <v>1.1119010881655594E-2</v>
      </c>
      <c r="CO1057" s="135">
        <f t="shared" ref="CO1057:CO1077" si="1916">+(CN1057+CN1056+CN1055)/3</f>
        <v>1.0478787284359352E-2</v>
      </c>
      <c r="CP1057" s="134">
        <f>VLOOKUP($H1057,RoR!$E:$F,2,FALSE)</f>
        <v>6.4916666666666664E-2</v>
      </c>
      <c r="CQ1057" s="135">
        <v>1.5246423291824351E-2</v>
      </c>
      <c r="CR1057" s="135">
        <f t="shared" si="1914"/>
        <v>4.9670243374842313E-2</v>
      </c>
      <c r="CS1057" s="135">
        <f t="shared" ref="CS1057:CS1077" si="1917">+$CR$2-CO1057</f>
        <v>2.0423154324174273E-2</v>
      </c>
      <c r="CT1057" s="135">
        <f t="shared" ref="CT1057:CT1077" si="1918">+((DF1055/DF1054-1)+(DF1056/DF1055-1)+(DF1057/DF1056-1))/3</f>
        <v>2.5243621214759093E-2</v>
      </c>
      <c r="CU1057" s="139">
        <f t="shared" si="1908"/>
        <v>0.84923979999999999</v>
      </c>
      <c r="CV1057" s="335">
        <f t="shared" si="1909"/>
        <v>0.78996741384417901</v>
      </c>
      <c r="CW1057" s="335">
        <f t="shared" si="1910"/>
        <v>0.58989088575096271</v>
      </c>
      <c r="CX1057" s="335">
        <f t="shared" si="1911"/>
        <v>0.91920675783645744</v>
      </c>
      <c r="CY1057" s="335">
        <f t="shared" si="1912"/>
        <v>0.42834536472275586</v>
      </c>
      <c r="CZ1057" s="336">
        <f>INDEX('State Tax Lookup'!$D$7:$Z$91,MATCH(Calculation!$C1057,'State Tax Lookup'!$B$7:$B$91,0),MATCH($H1057,'State Tax Lookup'!$D$6:$Z$6,0))</f>
        <v>0.40745999999999999</v>
      </c>
      <c r="DA1057" s="302">
        <v>0.37</v>
      </c>
      <c r="DB1057" s="57">
        <f t="shared" si="1915"/>
        <v>10.540791990413242</v>
      </c>
      <c r="DC1057" s="56">
        <f t="shared" ref="DC1057:DC1075" si="1919">LN(DB1057/DB1056)</f>
        <v>2.2542554881687703E-3</v>
      </c>
      <c r="DD1057" s="303">
        <f>VLOOKUP($H1057,RoR!$E:$F,2,FALSE)</f>
        <v>6.4916666666666664E-2</v>
      </c>
      <c r="DE1057" s="304">
        <f>HLOOKUP($H1057,'GDP-PI'!$D$8:$CQ$11,3,FALSE)</f>
        <v>1.5246423291824351E-2</v>
      </c>
      <c r="DF1057" s="303">
        <f>VLOOKUP(H1057,'HW Dx Data'!$E:$F,2,FALSE)</f>
        <v>361.34816573413599</v>
      </c>
      <c r="DG1057" s="364"/>
      <c r="DH1057" s="364"/>
      <c r="DI1057" s="364"/>
      <c r="DJ1057" s="56"/>
      <c r="DK1057" s="53">
        <f>HLOOKUP(H1057,'GDP-PI'!$8:$9,2,FALSE)</f>
        <v>81.039000000000001</v>
      </c>
      <c r="DL1057" s="355">
        <f>LN(DK1057/DK1056)</f>
        <v>1.513136459537477E-2</v>
      </c>
    </row>
    <row r="1058" spans="1:116" s="126" customFormat="1" ht="21" customHeight="1" x14ac:dyDescent="0.4">
      <c r="A1058" s="233" t="s">
        <v>245</v>
      </c>
      <c r="B1058" s="126" t="s">
        <v>245</v>
      </c>
      <c r="C1058" s="126">
        <v>4057146</v>
      </c>
      <c r="D1058" s="127" t="s">
        <v>231</v>
      </c>
      <c r="E1058" s="127"/>
      <c r="F1058" s="144"/>
      <c r="G1058" s="126" t="s">
        <v>159</v>
      </c>
      <c r="H1058" s="128">
        <v>2003</v>
      </c>
      <c r="I1058" s="129"/>
      <c r="J1058" s="125"/>
      <c r="K1058" s="125"/>
      <c r="L1058" s="47"/>
      <c r="M1058" s="125"/>
      <c r="N1058" s="125"/>
      <c r="O1058" s="125"/>
      <c r="P1058" s="59"/>
      <c r="Q1058" s="59"/>
      <c r="R1058" s="386"/>
      <c r="S1058" s="119"/>
      <c r="T1058" s="59"/>
      <c r="U1058" s="59"/>
      <c r="V1058" s="125"/>
      <c r="W1058" s="125"/>
      <c r="X1058" s="125"/>
      <c r="Y1058" s="125"/>
      <c r="Z1058" s="125"/>
      <c r="AA1058" s="125"/>
      <c r="AB1058" s="125"/>
      <c r="AC1058" s="125">
        <f t="shared" si="1901"/>
        <v>135568.43758559224</v>
      </c>
      <c r="AD1058" s="129"/>
      <c r="AE1058" s="133">
        <v>13688.336180002032</v>
      </c>
      <c r="AF1058" s="134">
        <v>4.9100608369608036E-2</v>
      </c>
      <c r="AG1058" s="61"/>
      <c r="AH1058" s="134"/>
      <c r="AI1058" s="134"/>
      <c r="AJ1058" s="129">
        <f t="shared" si="1902"/>
        <v>135568.43758559224</v>
      </c>
      <c r="AK1058" s="134"/>
      <c r="AL1058" s="129"/>
      <c r="AM1058" s="129"/>
      <c r="AN1058" s="129"/>
      <c r="AO1058" s="129"/>
      <c r="AP1058" s="133"/>
      <c r="AQ1058" s="134"/>
      <c r="AR1058" s="93"/>
      <c r="AS1058" s="93"/>
      <c r="AT1058" s="93"/>
      <c r="AU1058" s="93"/>
      <c r="AV1058" s="93"/>
      <c r="AW1058" s="134"/>
      <c r="AX1058" s="62"/>
      <c r="AY1058" s="93"/>
      <c r="AZ1058" s="93"/>
      <c r="BA1058" s="93"/>
      <c r="BB1058" s="234">
        <f>IFERROR(INDEX('Total Customers'!$E$7:$AA$91,MATCH($C1058,'Total Customers'!$C$7:$C$91,0),MATCH($G1058,'Total Customers'!$E$5:$AA$5,0)),"NA")</f>
        <v>5198353</v>
      </c>
      <c r="BC1058" s="269">
        <f t="shared" si="1861"/>
        <v>1.0534769351962398E-2</v>
      </c>
      <c r="BD1058" s="92"/>
      <c r="BE1058" s="299" t="str">
        <f t="shared" si="1855"/>
        <v>SOUTHERN CALIFORNIA GAS COMPANY</v>
      </c>
      <c r="BF1058" s="300">
        <f t="shared" si="1856"/>
        <v>4057146</v>
      </c>
      <c r="BG1058" s="231" t="str">
        <f t="shared" si="1857"/>
        <v>CA</v>
      </c>
      <c r="BH1058" s="231"/>
      <c r="BI1058" s="231" t="str">
        <f t="shared" si="1858"/>
        <v>2003 Y</v>
      </c>
      <c r="BJ1058" s="129"/>
      <c r="BK1058" s="129"/>
      <c r="BL1058" s="129">
        <f>INDEX('Dist. Plant Gas Additions'!$E$7:$AD$91,MATCH($C1058,'Dist. Plant Gas Additions'!$C$7:$C$91,0),MATCH(Calculation!$G1058,'Dist. Plant Gas Additions'!$E$5:$AD$5,0))</f>
        <v>212920</v>
      </c>
      <c r="BM1058" s="129">
        <f>INDEX('Gen. Plant Additions'!$E$7:$AD$91,MATCH($C1058,'Gen. Plant Additions'!$C$7:$C$91,0),MATCH(Calculation!$G1058,'Gen. Plant Additions'!$E$5:$AD$5,0))</f>
        <v>56531</v>
      </c>
      <c r="BN1058" s="301">
        <f t="shared" si="1903"/>
        <v>0.89406210332844327</v>
      </c>
      <c r="BO1058" s="231">
        <f t="shared" si="1850"/>
        <v>50542.224763260223</v>
      </c>
      <c r="BP1058" s="231">
        <f t="shared" si="1851"/>
        <v>-5988.775236739777</v>
      </c>
      <c r="BQ1058" s="129">
        <f>INDEX('Dist Plant Depreciation'!$D$7:$AC$94,MATCH($C1058,'Dist Plant Depreciation'!$C$7:$C$94,0),MATCH(Calculation!$G1058,'Dist Plant Depreciation'!$D$5:$AC$5,0))</f>
        <v>2967760</v>
      </c>
      <c r="BR1058" s="129">
        <f>INDEX('Gen. Plant Depreciation'!$D$7:$AC$94,MATCH($C1058,'Gen. Plant Depreciation'!$C$7:$C$94,0),MATCH(Calculation!$G1058,'Gen. Plant Depreciation'!$D$5:$AC$5,0))</f>
        <v>268886</v>
      </c>
      <c r="BS1058" s="129"/>
      <c r="BT1058" s="129"/>
      <c r="BU1058" s="129"/>
      <c r="BV1058" s="129"/>
      <c r="BW1058" s="129"/>
      <c r="BX1058" s="137"/>
      <c r="BY1058" s="129">
        <f>INDEX('Gross Dx Plant'!$D$7:$AC$91,MATCH($C1058,'Gross Dx Plant'!$C$7:$C$91,0),MATCH(Calculation!$G1058,'Gross Dx Plant'!$D$5:$AC$5,0))</f>
        <v>4839568</v>
      </c>
      <c r="BZ1058" s="129">
        <f>INDEX('Gross Gen Plant'!$D$7:$AC$91,MATCH($C1058,'Gross Gen Plant'!$C$7:$C$91,0),MATCH(Calculation!$G1058,'Gross Gen Plant'!$D$5:$AC$5,0))</f>
        <v>573443</v>
      </c>
      <c r="CA1058" s="129">
        <f t="shared" si="1852"/>
        <v>2176365</v>
      </c>
      <c r="CB1058" s="129"/>
      <c r="CC1058" s="133">
        <v>2003</v>
      </c>
      <c r="CD1058" s="129"/>
      <c r="CE1058" s="129"/>
      <c r="CF1058" s="129"/>
      <c r="CG1058" s="137"/>
      <c r="CH1058" s="129">
        <f t="shared" si="1904"/>
        <v>269451</v>
      </c>
      <c r="CI1058" s="46">
        <f t="shared" si="1913"/>
        <v>263462.22476326022</v>
      </c>
      <c r="CJ1058" s="231">
        <f t="shared" si="1905"/>
        <v>713.53919326281471</v>
      </c>
      <c r="CK1058" s="443">
        <v>0.94845360824742264</v>
      </c>
      <c r="CL1058" s="231">
        <f>+CL1053*CK1058+CJ1054*CK1057+CJ1055*CK1056+CJ1056*CK1055+CJ1057*CK1054+CJ1058</f>
        <v>13334.510447730636</v>
      </c>
      <c r="CM1058" s="134">
        <f t="shared" si="1906"/>
        <v>4.3867748432698195E-2</v>
      </c>
      <c r="CN1058" s="135">
        <f t="shared" si="1907"/>
        <v>1.1066195172677503E-2</v>
      </c>
      <c r="CO1058" s="135">
        <f t="shared" si="1916"/>
        <v>1.0770701721612151E-2</v>
      </c>
      <c r="CP1058" s="134">
        <f>VLOOKUP($H1058,RoR!$E:$F,2,FALSE)</f>
        <v>5.6666666666666671E-2</v>
      </c>
      <c r="CQ1058" s="135">
        <v>1.8855119140166909E-2</v>
      </c>
      <c r="CR1058" s="135">
        <f t="shared" si="1914"/>
        <v>3.7811547526499761E-2</v>
      </c>
      <c r="CS1058" s="135">
        <f t="shared" si="1917"/>
        <v>2.0131239886921476E-2</v>
      </c>
      <c r="CT1058" s="135">
        <f t="shared" si="1918"/>
        <v>2.1375012817671957E-2</v>
      </c>
      <c r="CU1058" s="139">
        <f t="shared" si="1908"/>
        <v>0.84923979999999999</v>
      </c>
      <c r="CV1058" s="335">
        <f t="shared" si="1909"/>
        <v>0.90497737556561086</v>
      </c>
      <c r="CW1058" s="335">
        <f t="shared" si="1910"/>
        <v>0.5338235294117647</v>
      </c>
      <c r="CX1058" s="335">
        <f t="shared" si="1911"/>
        <v>0.88972433127405692</v>
      </c>
      <c r="CY1058" s="335">
        <f t="shared" si="1912"/>
        <v>0.42982423775949252</v>
      </c>
      <c r="CZ1058" s="336">
        <f>INDEX('State Tax Lookup'!$D$7:$Z$91,MATCH(Calculation!$C1058,'State Tax Lookup'!$B$7:$B$91,0),MATCH($H1058,'State Tax Lookup'!$D$6:$Z$6,0))</f>
        <v>0.40745999999999999</v>
      </c>
      <c r="DA1058" s="302">
        <v>0.37</v>
      </c>
      <c r="DB1058" s="57">
        <f t="shared" si="1915"/>
        <v>10.622654001256441</v>
      </c>
      <c r="DC1058" s="56">
        <f t="shared" si="1919"/>
        <v>7.7362088531779567E-3</v>
      </c>
      <c r="DD1058" s="303">
        <f>VLOOKUP($H1058,RoR!$E:$F,2,FALSE)</f>
        <v>5.6666666666666671E-2</v>
      </c>
      <c r="DE1058" s="304">
        <f>HLOOKUP($H1058,'GDP-PI'!$D$8:$CQ$11,3,FALSE)</f>
        <v>1.8855119140166909E-2</v>
      </c>
      <c r="DF1058" s="303">
        <f>VLOOKUP(H1058,'HW Dx Data'!$E:$F,2,FALSE)</f>
        <v>369.23301095560191</v>
      </c>
      <c r="DG1058" s="364">
        <f ca="1">VLOOKUP(CC1058,'ECI - Input Price'!M$13:N$33,2,FALSE)</f>
        <v>89.25</v>
      </c>
      <c r="DH1058" s="364"/>
      <c r="DI1058" s="364"/>
      <c r="DJ1058" s="56"/>
      <c r="DK1058" s="53">
        <f>HLOOKUP(H1058,'GDP-PI'!$8:$9,2,FALSE)</f>
        <v>82.566999999999993</v>
      </c>
      <c r="DL1058" s="355">
        <f t="shared" ref="DL1058:DL1077" si="1920">LN(DK1058/DK1057)</f>
        <v>1.8679564681853753E-2</v>
      </c>
    </row>
    <row r="1059" spans="1:116" s="126" customFormat="1" ht="21" customHeight="1" x14ac:dyDescent="0.4">
      <c r="A1059" s="233" t="s">
        <v>245</v>
      </c>
      <c r="B1059" s="126" t="s">
        <v>245</v>
      </c>
      <c r="C1059" s="126">
        <v>4057146</v>
      </c>
      <c r="D1059" s="127" t="s">
        <v>231</v>
      </c>
      <c r="E1059" s="127"/>
      <c r="F1059" s="144"/>
      <c r="G1059" s="126" t="s">
        <v>160</v>
      </c>
      <c r="H1059" s="128">
        <v>2004</v>
      </c>
      <c r="I1059" s="129"/>
      <c r="J1059" s="125">
        <f>IFERROR(INDEX('Labor Expenditures'!$E$7:$W$91,MATCH($C1059,'Labor Expenditures'!$C$7:$C$91,0),MATCH($G1059,'Labor Expenditures'!$E$5:$W$5,0)),"NA")</f>
        <v>272951.65671141096</v>
      </c>
      <c r="K1059" s="125">
        <f t="shared" ref="K1059:K1077" ca="1" si="1921">+J1059/DG1059</f>
        <v>2892.96933451416</v>
      </c>
      <c r="L1059" s="47"/>
      <c r="M1059" s="131"/>
      <c r="N1059" s="131"/>
      <c r="O1059" s="131"/>
      <c r="P1059" s="59"/>
      <c r="Q1059" s="59"/>
      <c r="R1059" s="386"/>
      <c r="S1059" s="119"/>
      <c r="T1059" s="59"/>
      <c r="U1059" s="59"/>
      <c r="V1059" s="125">
        <f>IFERROR(INDEX('Non-Labor Expenditures'!$E$7:$AA$91,MATCH($C1059,'Non-Labor Expenditures'!$C$7:$C$91,0),MATCH($G1059,'Non-Labor Expenditures'!$E$5:$AA$5,0)),"NA")</f>
        <v>395284.97925539478</v>
      </c>
      <c r="W1059" s="125">
        <f t="shared" ref="W1059:W1077" si="1922">+V1059/DK1059</f>
        <v>4662.589106317615</v>
      </c>
      <c r="X1059" s="125"/>
      <c r="Y1059" s="125"/>
      <c r="Z1059" s="125"/>
      <c r="AA1059" s="125"/>
      <c r="AB1059" s="125"/>
      <c r="AC1059" s="125">
        <f t="shared" si="1901"/>
        <v>155343.26955219253</v>
      </c>
      <c r="AD1059" s="129"/>
      <c r="AE1059" s="133">
        <v>14249.648376237126</v>
      </c>
      <c r="AF1059" s="134">
        <v>4.0188134571279073E-2</v>
      </c>
      <c r="AG1059" s="59">
        <f t="shared" ref="AG1059:AG1077" si="1923">+AF1059*$AX1059</f>
        <v>0</v>
      </c>
      <c r="AH1059" s="134"/>
      <c r="AI1059" s="134"/>
      <c r="AJ1059" s="129">
        <f t="shared" si="1902"/>
        <v>823579.90551899828</v>
      </c>
      <c r="AK1059" s="134"/>
      <c r="AL1059" s="129"/>
      <c r="AM1059" s="129"/>
      <c r="AN1059" s="129"/>
      <c r="AO1059" s="129"/>
      <c r="AP1059" s="133"/>
      <c r="AQ1059" s="134"/>
      <c r="AR1059" s="93">
        <f t="shared" ref="AR1059:AR1077" si="1924">+J1059/AJ1059</f>
        <v>0.33142097674105347</v>
      </c>
      <c r="AS1059" s="93">
        <f t="shared" ref="AS1059:AS1077" si="1925">+V1059/AJ1059</f>
        <v>0.47995947522092181</v>
      </c>
      <c r="AT1059" s="93">
        <f t="shared" ref="AT1059:AT1077" si="1926">+AC1059/AJ1059</f>
        <v>0.18861954803802469</v>
      </c>
      <c r="AU1059" s="93"/>
      <c r="AV1059" s="93"/>
      <c r="AW1059" s="134"/>
      <c r="AX1059" s="62"/>
      <c r="AY1059" s="93"/>
      <c r="AZ1059" s="93"/>
      <c r="BA1059" s="93"/>
      <c r="BB1059" s="234">
        <f>IFERROR(INDEX('Total Customers'!$E$7:$AA$91,MATCH($C1059,'Total Customers'!$C$7:$C$91,0),MATCH($G1059,'Total Customers'!$E$5:$AA$5,0)),"NA")</f>
        <v>5266356</v>
      </c>
      <c r="BC1059" s="269">
        <f t="shared" si="1861"/>
        <v>1.2996817634850517E-2</v>
      </c>
      <c r="BD1059" s="92"/>
      <c r="BE1059" s="299" t="str">
        <f t="shared" si="1855"/>
        <v>SOUTHERN CALIFORNIA GAS COMPANY</v>
      </c>
      <c r="BF1059" s="300">
        <f t="shared" si="1856"/>
        <v>4057146</v>
      </c>
      <c r="BG1059" s="231" t="str">
        <f t="shared" si="1857"/>
        <v>CA</v>
      </c>
      <c r="BH1059" s="231"/>
      <c r="BI1059" s="231" t="str">
        <f t="shared" si="1858"/>
        <v>2004 Y</v>
      </c>
      <c r="BJ1059" s="129"/>
      <c r="BK1059" s="129"/>
      <c r="BL1059" s="129">
        <f>INDEX('Dist. Plant Gas Additions'!$E$7:$AD$91,MATCH($C1059,'Dist. Plant Gas Additions'!$C$7:$C$91,0),MATCH(Calculation!$G1059,'Dist. Plant Gas Additions'!$E$5:$AD$5,0))</f>
        <v>238031</v>
      </c>
      <c r="BM1059" s="129">
        <f>INDEX('Gen. Plant Additions'!$E$7:$AD$91,MATCH($C1059,'Gen. Plant Additions'!$C$7:$C$91,0),MATCH(Calculation!$G1059,'Gen. Plant Additions'!$E$5:$AD$5,0))</f>
        <v>27995</v>
      </c>
      <c r="BN1059" s="301">
        <f t="shared" si="1903"/>
        <v>0.89576297315076747</v>
      </c>
      <c r="BO1059" s="231">
        <f t="shared" si="1850"/>
        <v>25076.884433355735</v>
      </c>
      <c r="BP1059" s="231">
        <f t="shared" si="1851"/>
        <v>-2918.1155666442646</v>
      </c>
      <c r="BQ1059" s="129">
        <f>INDEX('Dist Plant Depreciation'!$D$7:$AC$94,MATCH($C1059,'Dist Plant Depreciation'!$C$7:$C$94,0),MATCH(Calculation!$G1059,'Dist Plant Depreciation'!$D$5:$AC$5,0))</f>
        <v>3085745</v>
      </c>
      <c r="BR1059" s="129">
        <f>INDEX('Gen. Plant Depreciation'!$D$7:$AC$94,MATCH($C1059,'Gen. Plant Depreciation'!$C$7:$C$94,0),MATCH(Calculation!$G1059,'Gen. Plant Depreciation'!$D$5:$AC$5,0))</f>
        <v>306755</v>
      </c>
      <c r="BS1059" s="129"/>
      <c r="BT1059" s="129"/>
      <c r="BU1059" s="129"/>
      <c r="BV1059" s="129"/>
      <c r="BW1059" s="129"/>
      <c r="BX1059" s="137"/>
      <c r="BY1059" s="129">
        <f>INDEX('Gross Dx Plant'!$D$7:$AC$91,MATCH($C1059,'Gross Dx Plant'!$C$7:$C$91,0),MATCH(Calculation!$G1059,'Gross Dx Plant'!$D$5:$AC$5,0))</f>
        <v>5043640</v>
      </c>
      <c r="BZ1059" s="129">
        <f>INDEX('Gross Gen Plant'!$D$7:$AC$91,MATCH($C1059,'Gross Gen Plant'!$C$7:$C$91,0),MATCH(Calculation!$G1059,'Gross Gen Plant'!$D$5:$AC$5,0))</f>
        <v>586912</v>
      </c>
      <c r="CA1059" s="129">
        <f t="shared" si="1852"/>
        <v>2238052</v>
      </c>
      <c r="CB1059" s="129"/>
      <c r="CC1059" s="133">
        <v>2004</v>
      </c>
      <c r="CD1059" s="129"/>
      <c r="CE1059" s="129"/>
      <c r="CF1059" s="129"/>
      <c r="CG1059" s="137"/>
      <c r="CH1059" s="129">
        <f t="shared" si="1904"/>
        <v>266026</v>
      </c>
      <c r="CI1059" s="46">
        <f t="shared" si="1913"/>
        <v>263107.88443335576</v>
      </c>
      <c r="CJ1059" s="231">
        <f t="shared" si="1905"/>
        <v>634.16728671661735</v>
      </c>
      <c r="CK1059" s="443">
        <v>0.9375</v>
      </c>
      <c r="CL1059" s="231">
        <f>+CL1053*CK1059+CJ1054*CK1058+CJ1055*CK1057+CJ1056*CK1056+CJ1057*CK1055+CJ1058*CK1054+CJ1059</f>
        <v>13817.451737785321</v>
      </c>
      <c r="CM1059" s="134">
        <f t="shared" si="1906"/>
        <v>3.5576966757705983E-2</v>
      </c>
      <c r="CN1059" s="135">
        <f t="shared" si="1907"/>
        <v>1.1340948530110391E-2</v>
      </c>
      <c r="CO1059" s="135">
        <f t="shared" si="1916"/>
        <v>1.1175384861481162E-2</v>
      </c>
      <c r="CP1059" s="134">
        <f>VLOOKUP($H1059,RoR!$E:$F,2,FALSE)</f>
        <v>5.6283333333333331E-2</v>
      </c>
      <c r="CQ1059" s="135">
        <v>2.6778252812867276E-2</v>
      </c>
      <c r="CR1059" s="135">
        <f t="shared" si="1914"/>
        <v>2.9505080520466055E-2</v>
      </c>
      <c r="CS1059" s="135">
        <f t="shared" si="1917"/>
        <v>1.9726556747052461E-2</v>
      </c>
      <c r="CT1059" s="135">
        <f t="shared" si="1918"/>
        <v>5.5940039414565046E-2</v>
      </c>
      <c r="CU1059" s="139">
        <f t="shared" si="1908"/>
        <v>0.84923979999999999</v>
      </c>
      <c r="CV1059" s="335">
        <f t="shared" si="1909"/>
        <v>0.91114097628755619</v>
      </c>
      <c r="CW1059" s="335">
        <f t="shared" si="1910"/>
        <v>0.53081877405981637</v>
      </c>
      <c r="CX1059" s="335">
        <f t="shared" si="1911"/>
        <v>0.88811215519385678</v>
      </c>
      <c r="CY1059" s="335">
        <f t="shared" si="1912"/>
        <v>0.42953609753547711</v>
      </c>
      <c r="CZ1059" s="336">
        <f>INDEX('State Tax Lookup'!$D$7:$Z$91,MATCH(Calculation!$C1059,'State Tax Lookup'!$B$7:$B$91,0),MATCH($H1059,'State Tax Lookup'!$D$6:$Z$6,0))</f>
        <v>0.40745999999999999</v>
      </c>
      <c r="DA1059" s="302">
        <v>0.37</v>
      </c>
      <c r="DB1059" s="57">
        <f t="shared" si="1915"/>
        <v>11.649716737717204</v>
      </c>
      <c r="DC1059" s="56">
        <f t="shared" si="1919"/>
        <v>9.2292974808221392E-2</v>
      </c>
      <c r="DD1059" s="303">
        <f>VLOOKUP($H1059,RoR!$E:$F,2,FALSE)</f>
        <v>5.6283333333333331E-2</v>
      </c>
      <c r="DE1059" s="304">
        <f>HLOOKUP($H1059,'GDP-PI'!$D$8:$CQ$11,3,FALSE)</f>
        <v>2.6778252812867276E-2</v>
      </c>
      <c r="DF1059" s="303">
        <f>VLOOKUP(H1059,'HW Dx Data'!$E:$F,2,FALSE)</f>
        <v>414.88719135228365</v>
      </c>
      <c r="DG1059" s="364">
        <f ca="1">VLOOKUP(CC1059,'ECI - Input Price'!M$13:N$33,2,FALSE)</f>
        <v>94.35</v>
      </c>
      <c r="DH1059" s="364"/>
      <c r="DI1059" s="364"/>
      <c r="DJ1059" s="56">
        <f t="shared" ref="DJ1059:DJ1077" ca="1" si="1927">LN(DG1059/DG1058)</f>
        <v>5.5569851154810786E-2</v>
      </c>
      <c r="DK1059" s="53">
        <f>HLOOKUP(H1059,'GDP-PI'!$8:$9,2,FALSE)</f>
        <v>84.778000000000006</v>
      </c>
      <c r="DL1059" s="355">
        <f t="shared" si="1920"/>
        <v>2.6425990216022755E-2</v>
      </c>
    </row>
    <row r="1060" spans="1:116" s="126" customFormat="1" ht="21" customHeight="1" x14ac:dyDescent="0.4">
      <c r="A1060" s="233" t="s">
        <v>245</v>
      </c>
      <c r="B1060" s="126" t="s">
        <v>245</v>
      </c>
      <c r="C1060" s="126">
        <v>4057146</v>
      </c>
      <c r="D1060" s="127" t="s">
        <v>231</v>
      </c>
      <c r="E1060" s="127"/>
      <c r="F1060" s="144"/>
      <c r="G1060" s="126" t="s">
        <v>161</v>
      </c>
      <c r="H1060" s="128">
        <v>2005</v>
      </c>
      <c r="I1060" s="129"/>
      <c r="J1060" s="125">
        <f>IFERROR(INDEX('Labor Expenditures'!$E$7:$W$91,MATCH($C1060,'Labor Expenditures'!$C$7:$C$91,0),MATCH($G1060,'Labor Expenditures'!$E$5:$W$5,0)),"NA")</f>
        <v>280114.03470691532</v>
      </c>
      <c r="K1060" s="125">
        <f t="shared" ca="1" si="1921"/>
        <v>2823.01874232215</v>
      </c>
      <c r="L1060" s="47"/>
      <c r="M1060" s="131">
        <f t="shared" ref="M1060:M1076" ca="1" si="1928">LN(K1060/K1059)</f>
        <v>-2.4476637646496564E-2</v>
      </c>
      <c r="N1060" s="131"/>
      <c r="O1060" s="131"/>
      <c r="P1060" s="59"/>
      <c r="Q1060" s="61"/>
      <c r="R1060" s="387"/>
      <c r="S1060" s="49">
        <v>100</v>
      </c>
      <c r="T1060" s="46"/>
      <c r="U1060" s="46"/>
      <c r="V1060" s="125">
        <f>IFERROR(INDEX('Non-Labor Expenditures'!$E$7:$AA$91,MATCH($C1060,'Non-Labor Expenditures'!$C$7:$C$91,0),MATCH($G1060,'Non-Labor Expenditures'!$E$5:$AA$5,0)),"NA")</f>
        <v>405657.44034056639</v>
      </c>
      <c r="W1060" s="125">
        <f t="shared" si="1922"/>
        <v>4641.0177713520243</v>
      </c>
      <c r="X1060" s="131">
        <f>LN(W1060/W1059)</f>
        <v>-4.6372066026603882E-3</v>
      </c>
      <c r="Y1060" s="131"/>
      <c r="Z1060" s="131"/>
      <c r="AA1060" s="131"/>
      <c r="AB1060" s="131"/>
      <c r="AC1060" s="125">
        <f t="shared" si="1901"/>
        <v>179895.42795984578</v>
      </c>
      <c r="AD1060" s="129"/>
      <c r="AE1060" s="133">
        <v>14991.655118246415</v>
      </c>
      <c r="AF1060" s="134">
        <v>5.07614897871125E-2</v>
      </c>
      <c r="AG1060" s="59">
        <f t="shared" si="1923"/>
        <v>0</v>
      </c>
      <c r="AH1060" s="134"/>
      <c r="AI1060" s="134"/>
      <c r="AJ1060" s="129">
        <f t="shared" si="1902"/>
        <v>865666.90300732746</v>
      </c>
      <c r="AK1060" s="134">
        <f>LN(AJ1060/AJ1059)</f>
        <v>4.983961950432151E-2</v>
      </c>
      <c r="AL1060" s="129"/>
      <c r="AM1060" s="129"/>
      <c r="AN1060" s="129"/>
      <c r="AO1060" s="129"/>
      <c r="AP1060" s="133"/>
      <c r="AQ1060" s="134"/>
      <c r="AR1060" s="93">
        <f t="shared" si="1924"/>
        <v>0.32358177693267348</v>
      </c>
      <c r="AS1060" s="93">
        <f t="shared" si="1925"/>
        <v>0.4686068497378289</v>
      </c>
      <c r="AT1060" s="93">
        <f t="shared" si="1926"/>
        <v>0.20781137332949767</v>
      </c>
      <c r="AU1060" s="93">
        <f t="shared" ref="AU1060:AU1076" ca="1" si="1929">+(((AR1060+AR1059)/2)*M1060+((AS1059+AS1060)/2)*X1060+((AT1059+AT1060)/2)*AF1060)</f>
        <v>-1.5376945899809799E-4</v>
      </c>
      <c r="AV1060" s="132">
        <v>100</v>
      </c>
      <c r="AW1060" s="134"/>
      <c r="AX1060" s="15"/>
      <c r="AY1060" s="93"/>
      <c r="AZ1060" s="93"/>
      <c r="BA1060" s="93"/>
      <c r="BB1060" s="234">
        <f>IFERROR(INDEX('Total Customers'!$E$7:$AA$91,MATCH($C1060,'Total Customers'!$C$7:$C$91,0),MATCH($G1060,'Total Customers'!$E$5:$AA$5,0)),"NA")</f>
        <v>5328609</v>
      </c>
      <c r="BC1060" s="269">
        <f t="shared" si="1861"/>
        <v>1.1751566224719042E-2</v>
      </c>
      <c r="BD1060" s="92"/>
      <c r="BE1060" s="299" t="str">
        <f t="shared" si="1855"/>
        <v>SOUTHERN CALIFORNIA GAS COMPANY</v>
      </c>
      <c r="BF1060" s="300">
        <f t="shared" si="1856"/>
        <v>4057146</v>
      </c>
      <c r="BG1060" s="231" t="str">
        <f t="shared" si="1857"/>
        <v>CA</v>
      </c>
      <c r="BH1060" s="231"/>
      <c r="BI1060" s="231" t="str">
        <f t="shared" si="1858"/>
        <v>2005 Y</v>
      </c>
      <c r="BJ1060" s="129"/>
      <c r="BK1060" s="129"/>
      <c r="BL1060" s="129">
        <f>INDEX('Dist. Plant Gas Additions'!$E$7:$AD$91,MATCH($C1060,'Dist. Plant Gas Additions'!$C$7:$C$91,0),MATCH(Calculation!$G1060,'Dist. Plant Gas Additions'!$E$5:$AD$5,0))</f>
        <v>333799</v>
      </c>
      <c r="BM1060" s="129">
        <f>INDEX('Gen. Plant Additions'!$E$7:$AD$91,MATCH($C1060,'Gen. Plant Additions'!$C$7:$C$91,0),MATCH(Calculation!$G1060,'Gen. Plant Additions'!$E$5:$AD$5,0))</f>
        <v>54554</v>
      </c>
      <c r="BN1060" s="301">
        <f t="shared" si="1903"/>
        <v>0.90091721054855645</v>
      </c>
      <c r="BO1060" s="231">
        <f t="shared" si="1850"/>
        <v>49148.637504265949</v>
      </c>
      <c r="BP1060" s="231">
        <f t="shared" si="1851"/>
        <v>-5405.3624957340508</v>
      </c>
      <c r="BQ1060" s="129">
        <f>INDEX('Dist Plant Depreciation'!$D$7:$AC$94,MATCH($C1060,'Dist Plant Depreciation'!$C$7:$C$94,0),MATCH(Calculation!$G1060,'Dist Plant Depreciation'!$D$5:$AC$5,0))</f>
        <v>2018755</v>
      </c>
      <c r="BR1060" s="129">
        <f>INDEX('Gen. Plant Depreciation'!$D$7:$AC$94,MATCH($C1060,'Gen. Plant Depreciation'!$C$7:$C$94,0),MATCH(Calculation!$G1060,'Gen. Plant Depreciation'!$D$5:$AC$5,0))</f>
        <v>303875</v>
      </c>
      <c r="BS1060" s="129"/>
      <c r="BT1060" s="129"/>
      <c r="BU1060" s="129"/>
      <c r="BV1060" s="129"/>
      <c r="BW1060" s="129"/>
      <c r="BX1060" s="137"/>
      <c r="BY1060" s="129">
        <f>INDEX('Gross Dx Plant'!$D$7:$AC$91,MATCH($C1060,'Gross Dx Plant'!$C$7:$C$91,0),MATCH(Calculation!$G1060,'Gross Dx Plant'!$D$5:$AC$5,0))</f>
        <v>5319299</v>
      </c>
      <c r="BZ1060" s="129">
        <f>INDEX('Gross Gen Plant'!$D$7:$AC$91,MATCH($C1060,'Gross Gen Plant'!$C$7:$C$91,0),MATCH(Calculation!$G1060,'Gross Gen Plant'!$D$5:$AC$5,0))</f>
        <v>585016</v>
      </c>
      <c r="CA1060" s="129">
        <f t="shared" si="1852"/>
        <v>3581685</v>
      </c>
      <c r="CB1060" s="129"/>
      <c r="CC1060" s="133">
        <v>2005</v>
      </c>
      <c r="CD1060" s="129"/>
      <c r="CE1060" s="129"/>
      <c r="CF1060" s="129"/>
      <c r="CG1060" s="137"/>
      <c r="CH1060" s="129">
        <f t="shared" si="1904"/>
        <v>388353</v>
      </c>
      <c r="CI1060" s="46">
        <f t="shared" si="1913"/>
        <v>382947.63750426593</v>
      </c>
      <c r="CJ1060" s="231">
        <f t="shared" si="1905"/>
        <v>816.16249391285294</v>
      </c>
      <c r="CK1060" s="443">
        <v>0.9263157894736842</v>
      </c>
      <c r="CL1060" s="231">
        <f>+CL1053*CK1060+CJ1054*CK1059+CJ1055*CK1058+CJ1056*CK1057+CJ1057*CK1056+CJ1058*CK1055+CJ1059*CK1054+CJ1060</f>
        <v>14472.943514927802</v>
      </c>
      <c r="CM1060" s="134">
        <f t="shared" si="1906"/>
        <v>4.6348529971803332E-2</v>
      </c>
      <c r="CN1060" s="135">
        <f t="shared" si="1907"/>
        <v>1.1628100450027316E-2</v>
      </c>
      <c r="CO1060" s="135">
        <f t="shared" si="1916"/>
        <v>1.1345081384271738E-2</v>
      </c>
      <c r="CP1060" s="134">
        <f>VLOOKUP($H1060,RoR!$E:$F,2,FALSE)</f>
        <v>5.2350000000000001E-2</v>
      </c>
      <c r="CQ1060" s="135">
        <v>3.1010403642454332E-2</v>
      </c>
      <c r="CR1060" s="135">
        <f t="shared" si="1914"/>
        <v>2.1339596357545669E-2</v>
      </c>
      <c r="CS1060" s="135">
        <f t="shared" si="1917"/>
        <v>1.9556860224261889E-2</v>
      </c>
      <c r="CT1060" s="135">
        <f t="shared" si="1918"/>
        <v>9.2129610649277341E-2</v>
      </c>
      <c r="CU1060" s="139">
        <f t="shared" si="1908"/>
        <v>0.84923979999999999</v>
      </c>
      <c r="CV1060" s="335">
        <f t="shared" si="1909"/>
        <v>0.97959983346802826</v>
      </c>
      <c r="CW1060" s="335">
        <f t="shared" si="1910"/>
        <v>0.49744508118433622</v>
      </c>
      <c r="CX1060" s="335">
        <f t="shared" si="1911"/>
        <v>0.87010519444335932</v>
      </c>
      <c r="CY1060" s="335">
        <f t="shared" si="1912"/>
        <v>0.42399975420741998</v>
      </c>
      <c r="CZ1060" s="336">
        <f>INDEX('State Tax Lookup'!$D$7:$Z$91,MATCH(Calculation!$C1060,'State Tax Lookup'!$B$7:$B$91,0),MATCH($H1060,'State Tax Lookup'!$D$6:$Z$6,0))</f>
        <v>0.40745999999999999</v>
      </c>
      <c r="DA1060" s="302">
        <v>0.37</v>
      </c>
      <c r="DB1060" s="57">
        <f t="shared" si="1915"/>
        <v>13.019435954887559</v>
      </c>
      <c r="DC1060" s="56">
        <f t="shared" si="1919"/>
        <v>0.11116144904774257</v>
      </c>
      <c r="DD1060" s="303">
        <f>VLOOKUP($H1060,RoR!$E:$F,2,FALSE)</f>
        <v>5.2350000000000001E-2</v>
      </c>
      <c r="DE1060" s="304">
        <f>HLOOKUP($H1060,'GDP-PI'!$D$8:$CQ$11,3,FALSE)</f>
        <v>3.1010403642454332E-2</v>
      </c>
      <c r="DF1060" s="303">
        <f>VLOOKUP(H1060,'HW Dx Data'!$E:$F,2,FALSE)</f>
        <v>469.20514034936258</v>
      </c>
      <c r="DG1060" s="364">
        <f ca="1">VLOOKUP(CC1060,'ECI - Input Price'!M$13:N$33,2,FALSE)</f>
        <v>99.224999999999994</v>
      </c>
      <c r="DH1060" s="364"/>
      <c r="DI1060" s="364"/>
      <c r="DJ1060" s="56">
        <f t="shared" ca="1" si="1927"/>
        <v>5.0378726854569796E-2</v>
      </c>
      <c r="DK1060" s="53">
        <f>HLOOKUP(H1060,'GDP-PI'!$8:$9,2,FALSE)</f>
        <v>87.406999999999996</v>
      </c>
      <c r="DL1060" s="355">
        <f t="shared" si="1920"/>
        <v>3.0539295810733648E-2</v>
      </c>
    </row>
    <row r="1061" spans="1:116" s="126" customFormat="1" ht="21" customHeight="1" x14ac:dyDescent="0.4">
      <c r="A1061" s="233" t="s">
        <v>245</v>
      </c>
      <c r="B1061" s="126" t="s">
        <v>245</v>
      </c>
      <c r="C1061" s="126">
        <v>4057146</v>
      </c>
      <c r="D1061" s="127" t="s">
        <v>231</v>
      </c>
      <c r="E1061" s="127"/>
      <c r="F1061" s="144"/>
      <c r="G1061" s="126" t="s">
        <v>162</v>
      </c>
      <c r="H1061" s="128">
        <v>2006</v>
      </c>
      <c r="I1061" s="129"/>
      <c r="J1061" s="125">
        <f>IFERROR(INDEX('Labor Expenditures'!$E$7:$W$91,MATCH($C1061,'Labor Expenditures'!$C$7:$C$91,0),MATCH($G1061,'Labor Expenditures'!$E$5:$W$5,0)),"NA")</f>
        <v>291385.33278508368</v>
      </c>
      <c r="K1061" s="125">
        <f t="shared" ca="1" si="1921"/>
        <v>2663.4856744523186</v>
      </c>
      <c r="L1061" s="47"/>
      <c r="M1061" s="131">
        <f t="shared" ca="1" si="1928"/>
        <v>-5.8171119506773131E-2</v>
      </c>
      <c r="N1061" s="131"/>
      <c r="O1061" s="131"/>
      <c r="P1061" s="59">
        <f t="shared" ref="P1061:P1077" ca="1" si="1930">+M1061*$AX1061</f>
        <v>-7.1279328368630945E-3</v>
      </c>
      <c r="Q1061" s="61"/>
      <c r="R1061" s="387"/>
      <c r="S1061" s="49">
        <f ca="1">+S1060*EXP(T1061)</f>
        <v>114.52500212836352</v>
      </c>
      <c r="T1061" s="61">
        <f ca="1">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</f>
        <v>0.13562297236898432</v>
      </c>
      <c r="U1061" s="61"/>
      <c r="V1061" s="125">
        <f>IFERROR(INDEX('Non-Labor Expenditures'!$E$7:$AA$91,MATCH($C1061,'Non-Labor Expenditures'!$C$7:$C$91,0),MATCH($G1061,'Non-Labor Expenditures'!$E$5:$AA$5,0)),"NA")</f>
        <v>421980.38514584652</v>
      </c>
      <c r="W1061" s="125">
        <f t="shared" si="1922"/>
        <v>4684.8189837894015</v>
      </c>
      <c r="X1061" s="131">
        <f t="shared" ref="X1061:X1076" si="1931">LN(W1061/W1060)</f>
        <v>9.3935880865243949E-3</v>
      </c>
      <c r="Y1061" s="131">
        <f t="shared" ref="Y1061:Y1077" si="1932">+X1061*AX1061</f>
        <v>1.1510327727164869E-3</v>
      </c>
      <c r="Z1061" s="131"/>
      <c r="AA1061" s="131"/>
      <c r="AB1061" s="131"/>
      <c r="AC1061" s="125">
        <f t="shared" si="1901"/>
        <v>182766.68745173237</v>
      </c>
      <c r="AD1061" s="129"/>
      <c r="AE1061" s="133">
        <v>15642.158486715804</v>
      </c>
      <c r="AF1061" s="134">
        <v>4.2476015408598251E-2</v>
      </c>
      <c r="AG1061" s="59">
        <f t="shared" si="1923"/>
        <v>5.204750872549355E-3</v>
      </c>
      <c r="AH1061" s="134"/>
      <c r="AI1061" s="134"/>
      <c r="AJ1061" s="129">
        <f t="shared" si="1902"/>
        <v>896132.40538266255</v>
      </c>
      <c r="AK1061" s="134">
        <f t="shared" ref="AK1061:AK1077" si="1933">LN(AJ1061/AJ1060)</f>
        <v>3.4587979911645042E-2</v>
      </c>
      <c r="AL1061" s="129"/>
      <c r="AM1061" s="129"/>
      <c r="AN1061" s="129"/>
      <c r="AO1061" s="129"/>
      <c r="AP1061" s="133">
        <f t="shared" ref="AP1061:AP1077" si="1934">+(AJ1061*1000)/BB1061</f>
        <v>166.19157710913197</v>
      </c>
      <c r="AQ1061" s="134">
        <f>+BB1061/Outputs!$B$14</f>
        <v>0.15547692370062163</v>
      </c>
      <c r="AR1061" s="93">
        <f t="shared" si="1924"/>
        <v>0.32515879465452158</v>
      </c>
      <c r="AS1061" s="93">
        <f t="shared" si="1925"/>
        <v>0.47089066594534579</v>
      </c>
      <c r="AT1061" s="93">
        <f t="shared" si="1926"/>
        <v>0.20395053940013266</v>
      </c>
      <c r="AU1061" s="93">
        <f t="shared" ca="1" si="1929"/>
        <v>-5.711353649136313E-3</v>
      </c>
      <c r="AV1061" s="132">
        <f ca="1">+AV1060*EXP(AU1061)</f>
        <v>99.430492512509304</v>
      </c>
      <c r="AW1061" s="134">
        <f ca="1">LN(AV1061/AV1060)</f>
        <v>-5.7113536491362714E-3</v>
      </c>
      <c r="AX1061" s="56">
        <f>+AJ1061/$AL$11</f>
        <v>0.12253387758908708</v>
      </c>
      <c r="AY1061" s="135">
        <f ca="1">+AX1061*AW1061</f>
        <v>-6.9983430891124975E-4</v>
      </c>
      <c r="AZ1061" s="93"/>
      <c r="BA1061" s="93"/>
      <c r="BB1061" s="234">
        <f>IFERROR(INDEX('Total Customers'!$E$7:$AA$91,MATCH($C1061,'Total Customers'!$C$7:$C$91,0),MATCH($G1061,'Total Customers'!$E$5:$AA$5,0)),"NA")</f>
        <v>5392165</v>
      </c>
      <c r="BC1061" s="269">
        <f t="shared" si="1861"/>
        <v>1.1856745524079414E-2</v>
      </c>
      <c r="BD1061" s="92"/>
      <c r="BE1061" s="299" t="str">
        <f t="shared" si="1855"/>
        <v>SOUTHERN CALIFORNIA GAS COMPANY</v>
      </c>
      <c r="BF1061" s="300">
        <f t="shared" si="1856"/>
        <v>4057146</v>
      </c>
      <c r="BG1061" s="231" t="str">
        <f t="shared" si="1857"/>
        <v>CA</v>
      </c>
      <c r="BH1061" s="231"/>
      <c r="BI1061" s="231" t="str">
        <f t="shared" si="1858"/>
        <v>2006 Y</v>
      </c>
      <c r="BJ1061" s="129"/>
      <c r="BK1061" s="129"/>
      <c r="BL1061" s="129">
        <f>INDEX('Dist. Plant Gas Additions'!$E$7:$AD$91,MATCH($C1061,'Dist. Plant Gas Additions'!$C$7:$C$91,0),MATCH(Calculation!$G1061,'Dist. Plant Gas Additions'!$E$5:$AD$5,0))</f>
        <v>305454</v>
      </c>
      <c r="BM1061" s="129">
        <f>INDEX('Gen. Plant Additions'!$E$7:$AD$91,MATCH($C1061,'Gen. Plant Additions'!$C$7:$C$91,0),MATCH(Calculation!$G1061,'Gen. Plant Additions'!$E$5:$AD$5,0))</f>
        <v>37188</v>
      </c>
      <c r="BN1061" s="301">
        <f t="shared" si="1903"/>
        <v>0.90396648397932078</v>
      </c>
      <c r="BO1061" s="231">
        <f t="shared" si="1850"/>
        <v>33616.705606222982</v>
      </c>
      <c r="BP1061" s="231">
        <f t="shared" si="1851"/>
        <v>-3571.2943937770178</v>
      </c>
      <c r="BQ1061" s="129">
        <f>INDEX('Dist Plant Depreciation'!$D$7:$AC$94,MATCH($C1061,'Dist Plant Depreciation'!$C$7:$C$94,0),MATCH(Calculation!$G1061,'Dist Plant Depreciation'!$D$5:$AC$5,0))</f>
        <v>2095799</v>
      </c>
      <c r="BR1061" s="129">
        <f>INDEX('Gen. Plant Depreciation'!$D$7:$AC$94,MATCH($C1061,'Gen. Plant Depreciation'!$C$7:$C$94,0),MATCH(Calculation!$G1061,'Gen. Plant Depreciation'!$D$5:$AC$5,0))</f>
        <v>329561</v>
      </c>
      <c r="BS1061" s="129"/>
      <c r="BT1061" s="129"/>
      <c r="BU1061" s="129"/>
      <c r="BV1061" s="129"/>
      <c r="BW1061" s="129"/>
      <c r="BX1061" s="137"/>
      <c r="BY1061" s="129">
        <f>INDEX('Gross Dx Plant'!$D$7:$AC$91,MATCH($C1061,'Gross Dx Plant'!$C$7:$C$91,0),MATCH(Calculation!$G1061,'Gross Dx Plant'!$D$5:$AC$5,0))</f>
        <v>5589938</v>
      </c>
      <c r="BZ1061" s="129">
        <f>INDEX('Gross Gen Plant'!$D$7:$AC$91,MATCH($C1061,'Gross Gen Plant'!$C$7:$C$91,0),MATCH(Calculation!$G1061,'Gross Gen Plant'!$D$5:$AC$5,0))</f>
        <v>593851</v>
      </c>
      <c r="CA1061" s="129">
        <f t="shared" si="1852"/>
        <v>3758429</v>
      </c>
      <c r="CB1061" s="134"/>
      <c r="CC1061" s="133">
        <v>2006</v>
      </c>
      <c r="CD1061" s="129"/>
      <c r="CE1061" s="129"/>
      <c r="CF1061" s="129"/>
      <c r="CG1061" s="137"/>
      <c r="CH1061" s="129">
        <f t="shared" si="1904"/>
        <v>342642</v>
      </c>
      <c r="CI1061" s="46">
        <f t="shared" si="1913"/>
        <v>339070.70560622297</v>
      </c>
      <c r="CJ1061" s="231">
        <f t="shared" si="1905"/>
        <v>735.37462918519554</v>
      </c>
      <c r="CK1061" s="443">
        <v>0.91489361702127658</v>
      </c>
      <c r="CL1061" s="231">
        <f>+CL1053*CK1061+CJ1054*CK1060+CJ1055*CK1059+CJ1056*CK1058+CJ1057*CK1057+CJ1058*CK1056+CJ1059*CK1055+CJ1060*CK1054+CJ1061</f>
        <v>15036.174713043531</v>
      </c>
      <c r="CM1061" s="134">
        <f t="shared" si="1906"/>
        <v>3.8178003425133632E-2</v>
      </c>
      <c r="CN1061" s="135">
        <f t="shared" si="1907"/>
        <v>1.1894154833943276E-2</v>
      </c>
      <c r="CO1061" s="135">
        <f t="shared" si="1916"/>
        <v>1.1621067938026995E-2</v>
      </c>
      <c r="CP1061" s="134">
        <f>VLOOKUP($H1061,RoR!$E:$F,2,FALSE)</f>
        <v>5.5874999999999994E-2</v>
      </c>
      <c r="CQ1061" s="135">
        <v>3.0512430354548314E-2</v>
      </c>
      <c r="CR1061" s="135">
        <f t="shared" si="1914"/>
        <v>2.536256964545168E-2</v>
      </c>
      <c r="CS1061" s="135">
        <f t="shared" si="1917"/>
        <v>1.928087367050663E-2</v>
      </c>
      <c r="CT1061" s="135">
        <f t="shared" si="1918"/>
        <v>7.9087823893859641E-2</v>
      </c>
      <c r="CU1061" s="139">
        <f t="shared" si="1908"/>
        <v>0.84923979999999999</v>
      </c>
      <c r="CV1061" s="335">
        <f t="shared" si="1909"/>
        <v>0.91779957551769631</v>
      </c>
      <c r="CW1061" s="335">
        <f t="shared" si="1910"/>
        <v>0.52757270693512304</v>
      </c>
      <c r="CX1061" s="335">
        <f t="shared" si="1911"/>
        <v>0.88636824549024895</v>
      </c>
      <c r="CY1061" s="335">
        <f t="shared" si="1912"/>
        <v>0.42918482841932087</v>
      </c>
      <c r="CZ1061" s="336">
        <f>INDEX('State Tax Lookup'!$D$7:$Z$91,MATCH(Calculation!$C1061,'State Tax Lookup'!$B$7:$B$91,0),MATCH($H1061,'State Tax Lookup'!$D$6:$Z$6,0))</f>
        <v>0.40745999999999999</v>
      </c>
      <c r="DA1061" s="302">
        <v>0.37</v>
      </c>
      <c r="DB1061" s="57">
        <f t="shared" si="1915"/>
        <v>12.628162838003318</v>
      </c>
      <c r="DC1061" s="56">
        <f t="shared" si="1919"/>
        <v>-3.0513848796698287E-2</v>
      </c>
      <c r="DD1061" s="303">
        <f>VLOOKUP($H1061,RoR!$E:$F,2,FALSE)</f>
        <v>5.5874999999999994E-2</v>
      </c>
      <c r="DE1061" s="304">
        <f>HLOOKUP($H1061,'GDP-PI'!$D$8:$CQ$11,3,FALSE)</f>
        <v>3.0512430354548314E-2</v>
      </c>
      <c r="DF1061" s="303">
        <f>VLOOKUP(H1061,'HW Dx Data'!$E:$F,2,FALSE)</f>
        <v>461.08567272971823</v>
      </c>
      <c r="DG1061" s="364">
        <f ca="1">VLOOKUP(CC1061,'ECI - Input Price'!M$13:N$33,2,FALSE)</f>
        <v>109.4</v>
      </c>
      <c r="DH1061" s="364"/>
      <c r="DI1061" s="364"/>
      <c r="DJ1061" s="56">
        <f t="shared" ca="1" si="1927"/>
        <v>9.7620891318751846E-2</v>
      </c>
      <c r="DK1061" s="53">
        <f>HLOOKUP(H1061,'GDP-PI'!$8:$9,2,FALSE)</f>
        <v>90.073999999999998</v>
      </c>
      <c r="DL1061" s="355">
        <f t="shared" si="1920"/>
        <v>3.005618372545445E-2</v>
      </c>
    </row>
    <row r="1062" spans="1:116" s="126" customFormat="1" ht="21" customHeight="1" x14ac:dyDescent="0.4">
      <c r="A1062" s="233" t="s">
        <v>245</v>
      </c>
      <c r="B1062" s="126" t="s">
        <v>245</v>
      </c>
      <c r="C1062" s="126">
        <v>4057146</v>
      </c>
      <c r="D1062" s="127" t="s">
        <v>231</v>
      </c>
      <c r="E1062" s="127"/>
      <c r="F1062" s="144"/>
      <c r="G1062" s="126" t="s">
        <v>163</v>
      </c>
      <c r="H1062" s="128">
        <v>2007</v>
      </c>
      <c r="I1062" s="129"/>
      <c r="J1062" s="125">
        <f>IFERROR(INDEX('Labor Expenditures'!$E$7:$W$91,MATCH($C1062,'Labor Expenditures'!$C$7:$C$91,0),MATCH($G1062,'Labor Expenditures'!$E$5:$W$5,0)),"NA")</f>
        <v>305008.39263993909</v>
      </c>
      <c r="K1062" s="125">
        <f t="shared" ca="1" si="1921"/>
        <v>2918.042503132639</v>
      </c>
      <c r="L1062" s="47"/>
      <c r="M1062" s="131">
        <f t="shared" ca="1" si="1928"/>
        <v>9.1277346945318347E-2</v>
      </c>
      <c r="N1062" s="131"/>
      <c r="O1062" s="131"/>
      <c r="P1062" s="59">
        <f t="shared" ca="1" si="1930"/>
        <v>1.1303658377706746E-2</v>
      </c>
      <c r="Q1062" s="61"/>
      <c r="R1062" s="387"/>
      <c r="S1062" s="49">
        <f t="shared" ref="S1062:S1075" ca="1" si="1935">+S1061*EXP(T1062)</f>
        <v>120.46997747757426</v>
      </c>
      <c r="T1062" s="61">
        <f ca="1">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</f>
        <v>5.0607413967026046E-2</v>
      </c>
      <c r="U1062" s="61"/>
      <c r="V1062" s="125">
        <f>IFERROR(INDEX('Non-Labor Expenditures'!$E$7:$AA$91,MATCH($C1062,'Non-Labor Expenditures'!$C$7:$C$91,0),MATCH($G1062,'Non-Labor Expenditures'!$E$5:$AA$5,0)),"NA")</f>
        <v>441709.1202522798</v>
      </c>
      <c r="W1062" s="125">
        <f t="shared" si="1922"/>
        <v>4775.3369829864405</v>
      </c>
      <c r="X1062" s="131">
        <f t="shared" si="1931"/>
        <v>1.9137266250028252E-2</v>
      </c>
      <c r="Y1062" s="131">
        <f t="shared" si="1932"/>
        <v>2.3699321596532402E-3</v>
      </c>
      <c r="Z1062" s="131"/>
      <c r="AA1062" s="131"/>
      <c r="AB1062" s="131"/>
      <c r="AC1062" s="125">
        <f t="shared" si="1901"/>
        <v>202550.57807076149</v>
      </c>
      <c r="AD1062" s="129"/>
      <c r="AE1062" s="133">
        <v>16205.293731573367</v>
      </c>
      <c r="AF1062" s="134">
        <v>3.5368226159252107E-2</v>
      </c>
      <c r="AG1062" s="59">
        <f t="shared" si="1923"/>
        <v>4.3799514261644778E-3</v>
      </c>
      <c r="AH1062" s="134"/>
      <c r="AI1062" s="134"/>
      <c r="AJ1062" s="129">
        <f t="shared" si="1902"/>
        <v>949268.09096298041</v>
      </c>
      <c r="AK1062" s="134">
        <f t="shared" si="1933"/>
        <v>5.7603081173126243E-2</v>
      </c>
      <c r="AL1062" s="129"/>
      <c r="AM1062" s="129"/>
      <c r="AN1062" s="129"/>
      <c r="AO1062" s="129"/>
      <c r="AP1062" s="133">
        <f t="shared" si="1934"/>
        <v>174.30569008184736</v>
      </c>
      <c r="AQ1062" s="134">
        <f>+BB1062/Outputs!$B$15</f>
        <v>0.15584679601960236</v>
      </c>
      <c r="AR1062" s="93">
        <f t="shared" si="1924"/>
        <v>0.32130901222069397</v>
      </c>
      <c r="AS1062" s="93">
        <f t="shared" si="1925"/>
        <v>0.46531546194098877</v>
      </c>
      <c r="AT1062" s="93">
        <f t="shared" si="1926"/>
        <v>0.21337552583831723</v>
      </c>
      <c r="AU1062" s="93">
        <f t="shared" ca="1" si="1929"/>
        <v>4.5842187444450594E-2</v>
      </c>
      <c r="AV1062" s="132">
        <f ca="1">+AV1061*EXP(AU1062)</f>
        <v>104.09469563245982</v>
      </c>
      <c r="AW1062" s="134">
        <f ca="1">LN(AV1062/AV1061)</f>
        <v>4.5842187444450656E-2</v>
      </c>
      <c r="AX1062" s="56">
        <f>+AJ1062/$AL$12</f>
        <v>0.12383859474441609</v>
      </c>
      <c r="AY1062" s="135">
        <f t="shared" ref="AY1062:AY1076" ca="1" si="1936">+AX1062*AW1062</f>
        <v>5.6770320731308844E-3</v>
      </c>
      <c r="AZ1062" s="93"/>
      <c r="BA1062" s="93"/>
      <c r="BB1062" s="234">
        <f>IFERROR(INDEX('Total Customers'!$E$7:$AA$91,MATCH($C1062,'Total Customers'!$C$7:$C$91,0),MATCH($G1062,'Total Customers'!$E$5:$AA$5,0)),"NA")</f>
        <v>5445996</v>
      </c>
      <c r="BC1062" s="269">
        <f t="shared" si="1861"/>
        <v>9.9336857352572781E-3</v>
      </c>
      <c r="BD1062" s="92"/>
      <c r="BE1062" s="299" t="str">
        <f t="shared" si="1855"/>
        <v>SOUTHERN CALIFORNIA GAS COMPANY</v>
      </c>
      <c r="BF1062" s="300">
        <f t="shared" si="1856"/>
        <v>4057146</v>
      </c>
      <c r="BG1062" s="231" t="str">
        <f t="shared" si="1857"/>
        <v>CA</v>
      </c>
      <c r="BH1062" s="231"/>
      <c r="BI1062" s="231" t="str">
        <f t="shared" si="1858"/>
        <v>2007 Y</v>
      </c>
      <c r="BJ1062" s="129"/>
      <c r="BK1062" s="129"/>
      <c r="BL1062" s="129">
        <f>INDEX('Dist. Plant Gas Additions'!$E$7:$AD$91,MATCH($C1062,'Dist. Plant Gas Additions'!$C$7:$C$91,0),MATCH(Calculation!$G1062,'Dist. Plant Gas Additions'!$E$5:$AD$5,0))</f>
        <v>284009</v>
      </c>
      <c r="BM1062" s="129">
        <f>INDEX('Gen. Plant Additions'!$E$7:$AD$91,MATCH($C1062,'Gen. Plant Additions'!$C$7:$C$91,0),MATCH(Calculation!$G1062,'Gen. Plant Additions'!$E$5:$AD$5,0))</f>
        <v>45950</v>
      </c>
      <c r="BN1062" s="301">
        <f t="shared" si="1903"/>
        <v>0.91130522930681612</v>
      </c>
      <c r="BO1062" s="231">
        <f t="shared" si="1850"/>
        <v>41874.475286648201</v>
      </c>
      <c r="BP1062" s="231">
        <f t="shared" si="1851"/>
        <v>-4075.5247133517987</v>
      </c>
      <c r="BQ1062" s="129">
        <f>INDEX('Dist Plant Depreciation'!$D$7:$AC$94,MATCH($C1062,'Dist Plant Depreciation'!$C$7:$C$94,0),MATCH(Calculation!$G1062,'Dist Plant Depreciation'!$D$5:$AC$5,0))</f>
        <v>2159445</v>
      </c>
      <c r="BR1062" s="129">
        <f>INDEX('Gen. Plant Depreciation'!$D$7:$AC$94,MATCH($C1062,'Gen. Plant Depreciation'!$C$7:$C$94,0),MATCH(Calculation!$G1062,'Gen. Plant Depreciation'!$D$5:$AC$5,0))</f>
        <v>310010</v>
      </c>
      <c r="BS1062" s="129"/>
      <c r="BT1062" s="129"/>
      <c r="BU1062" s="129"/>
      <c r="BV1062" s="129"/>
      <c r="BW1062" s="129"/>
      <c r="BX1062" s="137"/>
      <c r="BY1062" s="129">
        <f>INDEX('Gross Dx Plant'!$D$7:$AC$91,MATCH($C1062,'Gross Dx Plant'!$C$7:$C$91,0),MATCH(Calculation!$G1062,'Gross Dx Plant'!$D$5:$AC$5,0))</f>
        <v>5820039</v>
      </c>
      <c r="BZ1062" s="129">
        <f>INDEX('Gross Gen Plant'!$D$7:$AC$91,MATCH($C1062,'Gross Gen Plant'!$C$7:$C$91,0),MATCH(Calculation!$G1062,'Gross Gen Plant'!$D$5:$AC$5,0))</f>
        <v>566448</v>
      </c>
      <c r="CA1062" s="129">
        <f t="shared" si="1852"/>
        <v>3917032</v>
      </c>
      <c r="CB1062" s="129"/>
      <c r="CC1062" s="133">
        <v>2007</v>
      </c>
      <c r="CD1062" s="129"/>
      <c r="CE1062" s="129"/>
      <c r="CF1062" s="129"/>
      <c r="CG1062" s="137"/>
      <c r="CH1062" s="129">
        <f t="shared" si="1904"/>
        <v>329959</v>
      </c>
      <c r="CI1062" s="46">
        <f t="shared" si="1913"/>
        <v>325883.4752866482</v>
      </c>
      <c r="CJ1062" s="231">
        <f t="shared" si="1905"/>
        <v>654.35516674458302</v>
      </c>
      <c r="CK1062" s="443">
        <v>0.90322580645161288</v>
      </c>
      <c r="CL1062" s="231">
        <f>+CL1053*CK1062+CJ1054*CK1061+CJ1055*CK1060+CJ1056*CK1059+CJ1057*CK1058+CJ1058*CK1057+CJ1059*CK1056+CJ1060*CK1055+CJ1061*CK1054+CJ1062</f>
        <v>15507.443410007309</v>
      </c>
      <c r="CM1062" s="134">
        <f t="shared" si="1906"/>
        <v>3.0861183373447964E-2</v>
      </c>
      <c r="CN1062" s="135">
        <f t="shared" si="1907"/>
        <v>1.2176399468275784E-2</v>
      </c>
      <c r="CO1062" s="135">
        <f t="shared" si="1916"/>
        <v>1.1899551584082124E-2</v>
      </c>
      <c r="CP1062" s="134">
        <f>VLOOKUP($H1062,RoR!$E:$F,2,FALSE)</f>
        <v>5.5558333333333321E-2</v>
      </c>
      <c r="CQ1062" s="135">
        <v>2.691120634145272E-2</v>
      </c>
      <c r="CR1062" s="135">
        <f t="shared" si="1914"/>
        <v>2.86471269918806E-2</v>
      </c>
      <c r="CS1062" s="135">
        <f t="shared" si="1917"/>
        <v>1.9002390024451501E-2</v>
      </c>
      <c r="CT1062" s="135">
        <f t="shared" si="1918"/>
        <v>6.4575155250632399E-2</v>
      </c>
      <c r="CU1062" s="139">
        <f t="shared" si="1908"/>
        <v>0.84923979999999999</v>
      </c>
      <c r="CV1062" s="335">
        <f t="shared" si="1909"/>
        <v>0.92303077153834634</v>
      </c>
      <c r="CW1062" s="335">
        <f t="shared" si="1910"/>
        <v>0.52502249887505614</v>
      </c>
      <c r="CX1062" s="335">
        <f t="shared" si="1911"/>
        <v>0.88499666072084604</v>
      </c>
      <c r="CY1062" s="335">
        <f t="shared" si="1912"/>
        <v>0.42887993290280618</v>
      </c>
      <c r="CZ1062" s="336">
        <f>INDEX('State Tax Lookup'!$D$7:$Z$91,MATCH(Calculation!$C1062,'State Tax Lookup'!$B$7:$B$91,0),MATCH($H1062,'State Tax Lookup'!$D$6:$Z$6,0))</f>
        <v>0.40745999999999999</v>
      </c>
      <c r="DA1062" s="302">
        <v>0.37</v>
      </c>
      <c r="DB1062" s="57">
        <f t="shared" si="1915"/>
        <v>13.470884845136416</v>
      </c>
      <c r="DC1062" s="56">
        <f t="shared" si="1919"/>
        <v>6.4601212718752909E-2</v>
      </c>
      <c r="DD1062" s="303">
        <f>VLOOKUP($H1062,RoR!$E:$F,2,FALSE)</f>
        <v>5.5558333333333321E-2</v>
      </c>
      <c r="DE1062" s="304">
        <f>HLOOKUP($H1062,'GDP-PI'!$D$8:$CQ$11,3,FALSE)</f>
        <v>2.691120634145272E-2</v>
      </c>
      <c r="DF1062" s="303">
        <f>VLOOKUP(H1062,'HW Dx Data'!$E:$F,2,FALSE)</f>
        <v>498.0223154772637</v>
      </c>
      <c r="DG1062" s="364">
        <f ca="1">VLOOKUP(CC1062,'ECI - Input Price'!M$13:N$33,2,FALSE)</f>
        <v>104.52499999999999</v>
      </c>
      <c r="DH1062" s="364"/>
      <c r="DI1062" s="364"/>
      <c r="DJ1062" s="56">
        <f t="shared" ca="1" si="1927"/>
        <v>-4.5584612745252218E-2</v>
      </c>
      <c r="DK1062" s="53">
        <f>HLOOKUP(H1062,'GDP-PI'!$8:$9,2,FALSE)</f>
        <v>92.498000000000005</v>
      </c>
      <c r="DL1062" s="355">
        <f t="shared" si="1920"/>
        <v>2.6555467950038037E-2</v>
      </c>
    </row>
    <row r="1063" spans="1:116" s="126" customFormat="1" ht="21" customHeight="1" x14ac:dyDescent="0.4">
      <c r="A1063" s="233" t="s">
        <v>245</v>
      </c>
      <c r="B1063" s="126" t="s">
        <v>245</v>
      </c>
      <c r="C1063" s="126">
        <v>4057146</v>
      </c>
      <c r="D1063" s="127" t="s">
        <v>231</v>
      </c>
      <c r="E1063" s="127"/>
      <c r="F1063" s="144"/>
      <c r="G1063" s="126" t="s">
        <v>164</v>
      </c>
      <c r="H1063" s="128">
        <v>2008</v>
      </c>
      <c r="I1063" s="129"/>
      <c r="J1063" s="125">
        <f>IFERROR(INDEX('Labor Expenditures'!$E$7:$W$91,MATCH($C1063,'Labor Expenditures'!$C$7:$C$91,0),MATCH($G1063,'Labor Expenditures'!$E$5:$W$5,0)),"NA")</f>
        <v>283641.88649414602</v>
      </c>
      <c r="K1063" s="125">
        <f t="shared" ca="1" si="1921"/>
        <v>2628.7477895657648</v>
      </c>
      <c r="L1063" s="47"/>
      <c r="M1063" s="131">
        <f t="shared" ca="1" si="1928"/>
        <v>-0.10440540867298519</v>
      </c>
      <c r="N1063" s="131"/>
      <c r="O1063" s="131"/>
      <c r="P1063" s="59">
        <f t="shared" ca="1" si="1930"/>
        <v>-1.2002192696730075E-2</v>
      </c>
      <c r="Q1063" s="61"/>
      <c r="R1063" s="387"/>
      <c r="S1063" s="49">
        <f t="shared" ca="1" si="1935"/>
        <v>113.00834387427942</v>
      </c>
      <c r="T1063" s="61">
        <f ca="1">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</f>
        <v>-6.3938916742376894E-2</v>
      </c>
      <c r="U1063" s="61"/>
      <c r="V1063" s="125">
        <f>IFERROR(INDEX('Non-Labor Expenditures'!$E$7:$AA$91,MATCH($C1063,'Non-Labor Expenditures'!$C$7:$C$91,0),MATCH($G1063,'Non-Labor Expenditures'!$E$5:$AA$5,0)),"NA")</f>
        <v>410766.42864030035</v>
      </c>
      <c r="W1063" s="125">
        <f t="shared" si="1922"/>
        <v>4357.6172095423526</v>
      </c>
      <c r="X1063" s="131">
        <f t="shared" si="1931"/>
        <v>-9.1539147399557111E-2</v>
      </c>
      <c r="Y1063" s="131">
        <f t="shared" si="1932"/>
        <v>-1.0523118489244919E-2</v>
      </c>
      <c r="Z1063" s="131"/>
      <c r="AA1063" s="131"/>
      <c r="AB1063" s="131"/>
      <c r="AC1063" s="125">
        <f t="shared" si="1901"/>
        <v>235563.43511119261</v>
      </c>
      <c r="AD1063" s="129"/>
      <c r="AE1063" s="133">
        <v>16611.598118635491</v>
      </c>
      <c r="AF1063" s="134">
        <v>2.4763170830077202E-2</v>
      </c>
      <c r="AG1063" s="59">
        <f t="shared" si="1923"/>
        <v>2.8467140913700124E-3</v>
      </c>
      <c r="AH1063" s="134"/>
      <c r="AI1063" s="134"/>
      <c r="AJ1063" s="129">
        <f t="shared" si="1902"/>
        <v>929971.75024563901</v>
      </c>
      <c r="AK1063" s="134">
        <f t="shared" si="1933"/>
        <v>-2.0537047489172393E-2</v>
      </c>
      <c r="AL1063" s="129"/>
      <c r="AM1063" s="129"/>
      <c r="AN1063" s="129"/>
      <c r="AO1063" s="129"/>
      <c r="AP1063" s="133">
        <f t="shared" si="1934"/>
        <v>170.0939349876914</v>
      </c>
      <c r="AQ1063" s="134">
        <f>+BB1063/Outputs!$B$16</f>
        <v>0.15562281606427711</v>
      </c>
      <c r="AR1063" s="93">
        <f t="shared" si="1924"/>
        <v>0.30500054052096315</v>
      </c>
      <c r="AS1063" s="93">
        <f t="shared" si="1925"/>
        <v>0.44169774891742913</v>
      </c>
      <c r="AT1063" s="93">
        <f t="shared" si="1926"/>
        <v>0.25330171056160772</v>
      </c>
      <c r="AU1063" s="93">
        <f t="shared" ca="1" si="1929"/>
        <v>-6.8430456342210955E-2</v>
      </c>
      <c r="AV1063" s="132">
        <f t="shared" ref="AV1063:AV1076" ca="1" si="1937">+AV1062*EXP(AU1063)</f>
        <v>97.209706096529075</v>
      </c>
      <c r="AW1063" s="134">
        <f t="shared" ref="AW1063:AW1076" ca="1" si="1938">LN(AV1063/AV1062)</f>
        <v>-6.8430456342211024E-2</v>
      </c>
      <c r="AX1063" s="56">
        <f>+AJ1063/$AL$13</f>
        <v>0.11495757594630854</v>
      </c>
      <c r="AY1063" s="135">
        <f t="shared" ca="1" si="1936"/>
        <v>-7.8665993820002753E-3</v>
      </c>
      <c r="AZ1063" s="93"/>
      <c r="BA1063" s="93"/>
      <c r="BB1063" s="234">
        <f>IFERROR(INDEX('Total Customers'!$E$7:$AA$91,MATCH($C1063,'Total Customers'!$C$7:$C$91,0),MATCH($G1063,'Total Customers'!$E$5:$AA$5,0)),"NA")</f>
        <v>5467401</v>
      </c>
      <c r="BC1063" s="269">
        <f t="shared" si="1861"/>
        <v>3.9227066416943155E-3</v>
      </c>
      <c r="BD1063" s="92"/>
      <c r="BE1063" s="299" t="str">
        <f t="shared" si="1855"/>
        <v>SOUTHERN CALIFORNIA GAS COMPANY</v>
      </c>
      <c r="BF1063" s="300">
        <f t="shared" si="1856"/>
        <v>4057146</v>
      </c>
      <c r="BG1063" s="231" t="str">
        <f t="shared" si="1857"/>
        <v>CA</v>
      </c>
      <c r="BH1063" s="231"/>
      <c r="BI1063" s="231" t="str">
        <f t="shared" si="1858"/>
        <v>2008 Y</v>
      </c>
      <c r="BJ1063" s="129"/>
      <c r="BK1063" s="129"/>
      <c r="BL1063" s="129">
        <f>INDEX('Dist. Plant Gas Additions'!$E$7:$AD$91,MATCH($C1063,'Dist. Plant Gas Additions'!$C$7:$C$91,0),MATCH(Calculation!$G1063,'Dist. Plant Gas Additions'!$E$5:$AD$5,0))</f>
        <v>243215</v>
      </c>
      <c r="BM1063" s="129">
        <f>INDEX('Gen. Plant Additions'!$E$7:$AD$91,MATCH($C1063,'Gen. Plant Additions'!$C$7:$C$91,0),MATCH(Calculation!$G1063,'Gen. Plant Additions'!$E$5:$AD$5,0))</f>
        <v>48771</v>
      </c>
      <c r="BN1063" s="301">
        <f t="shared" si="1903"/>
        <v>0.91098887054608213</v>
      </c>
      <c r="BO1063" s="231">
        <f t="shared" si="1850"/>
        <v>44429.838205402972</v>
      </c>
      <c r="BP1063" s="231">
        <f t="shared" si="1851"/>
        <v>-4341.1617945970283</v>
      </c>
      <c r="BQ1063" s="129">
        <f>INDEX('Dist Plant Depreciation'!$D$7:$AC$94,MATCH($C1063,'Dist Plant Depreciation'!$C$7:$C$94,0),MATCH(Calculation!$G1063,'Dist Plant Depreciation'!$D$5:$AC$5,0))</f>
        <v>2197951</v>
      </c>
      <c r="BR1063" s="129">
        <f>INDEX('Gen. Plant Depreciation'!$D$7:$AC$94,MATCH($C1063,'Gen. Plant Depreciation'!$C$7:$C$94,0),MATCH(Calculation!$G1063,'Gen. Plant Depreciation'!$D$5:$AC$5,0))</f>
        <v>345452</v>
      </c>
      <c r="BS1063" s="129"/>
      <c r="BT1063" s="129"/>
      <c r="BU1063" s="129"/>
      <c r="BV1063" s="129"/>
      <c r="BW1063" s="129"/>
      <c r="BX1063" s="137"/>
      <c r="BY1063" s="129">
        <f>INDEX('Gross Dx Plant'!$D$7:$AC$91,MATCH($C1063,'Gross Dx Plant'!$C$7:$C$91,0),MATCH(Calculation!$G1063,'Gross Dx Plant'!$D$5:$AC$5,0))</f>
        <v>6023217</v>
      </c>
      <c r="BZ1063" s="129">
        <f>INDEX('Gross Gen Plant'!$D$7:$AC$91,MATCH($C1063,'Gross Gen Plant'!$C$7:$C$91,0),MATCH(Calculation!$G1063,'Gross Gen Plant'!$D$5:$AC$5,0))</f>
        <v>588518</v>
      </c>
      <c r="CA1063" s="129">
        <f t="shared" si="1852"/>
        <v>4068332</v>
      </c>
      <c r="CB1063" s="129"/>
      <c r="CC1063" s="133">
        <v>2008</v>
      </c>
      <c r="CD1063" s="129"/>
      <c r="CE1063" s="129"/>
      <c r="CF1063" s="129"/>
      <c r="CG1063" s="137"/>
      <c r="CH1063" s="129">
        <f t="shared" si="1904"/>
        <v>291986</v>
      </c>
      <c r="CI1063" s="46">
        <f t="shared" si="1913"/>
        <v>287644.83820540295</v>
      </c>
      <c r="CJ1063" s="231">
        <f t="shared" si="1905"/>
        <v>504.74526361283966</v>
      </c>
      <c r="CK1063" s="443">
        <v>0.89130434782608692</v>
      </c>
      <c r="CL1063" s="231">
        <f>+CL1053*CK1063+CJ1054*CK1062+CJ1055*CK1061+CJ1056*CK1060+CJ1057*CK1059+CJ1058*CK1058+CJ1059*CK1057+CJ1060*CK1056+CJ1061*CK1055+CJ1062*CK1054+CJ1063</f>
        <v>15818.697547386588</v>
      </c>
      <c r="CM1063" s="134">
        <f t="shared" si="1906"/>
        <v>1.98725007981406E-2</v>
      </c>
      <c r="CN1063" s="135">
        <f t="shared" si="1907"/>
        <v>1.2477306614493025E-2</v>
      </c>
      <c r="CO1063" s="135">
        <f t="shared" si="1916"/>
        <v>1.2182620305570694E-2</v>
      </c>
      <c r="CP1063" s="134">
        <f>VLOOKUP($H1063,RoR!$E:$F,2,FALSE)</f>
        <v>5.6316666666666668E-2</v>
      </c>
      <c r="CQ1063" s="135">
        <v>1.9092304698479889E-2</v>
      </c>
      <c r="CR1063" s="135">
        <f t="shared" si="1914"/>
        <v>3.7224361968186778E-2</v>
      </c>
      <c r="CS1063" s="135">
        <f t="shared" si="1917"/>
        <v>1.871932130296293E-2</v>
      </c>
      <c r="CT1063" s="135">
        <f t="shared" si="1918"/>
        <v>6.9030581091053131E-2</v>
      </c>
      <c r="CU1063" s="139">
        <f t="shared" si="1908"/>
        <v>0.84923979999999999</v>
      </c>
      <c r="CV1063" s="335">
        <f t="shared" si="1909"/>
        <v>0.91060168006009956</v>
      </c>
      <c r="CW1063" s="335">
        <f t="shared" si="1910"/>
        <v>0.53108168097070152</v>
      </c>
      <c r="CX1063" s="335">
        <f t="shared" si="1911"/>
        <v>0.88825329850328805</v>
      </c>
      <c r="CY1063" s="335">
        <f t="shared" si="1912"/>
        <v>0.4295627335323573</v>
      </c>
      <c r="CZ1063" s="336">
        <f>INDEX('State Tax Lookup'!$D$7:$Z$91,MATCH(Calculation!$C1063,'State Tax Lookup'!$B$7:$B$91,0),MATCH($H1063,'State Tax Lookup'!$D$6:$Z$6,0))</f>
        <v>0.40745999999999999</v>
      </c>
      <c r="DA1063" s="302">
        <v>0.37</v>
      </c>
      <c r="DB1063" s="57">
        <f t="shared" si="1915"/>
        <v>15.190346266824235</v>
      </c>
      <c r="DC1063" s="56">
        <f t="shared" si="1919"/>
        <v>0.12012943373029152</v>
      </c>
      <c r="DD1063" s="303">
        <f>VLOOKUP($H1063,RoR!$E:$F,2,FALSE)</f>
        <v>5.6316666666666668E-2</v>
      </c>
      <c r="DE1063" s="304">
        <f>HLOOKUP($H1063,'GDP-PI'!$D$8:$CQ$11,3,FALSE)</f>
        <v>1.9092304698479889E-2</v>
      </c>
      <c r="DF1063" s="303">
        <f>VLOOKUP(H1063,'HW Dx Data'!$E:$F,2,FALSE)</f>
        <v>569.88120333515076</v>
      </c>
      <c r="DG1063" s="364">
        <f ca="1">VLOOKUP(CC1063,'ECI - Input Price'!M$13:N$33,2,FALSE)</f>
        <v>107.9</v>
      </c>
      <c r="DH1063" s="364"/>
      <c r="DI1063" s="364"/>
      <c r="DJ1063" s="56">
        <f t="shared" ca="1" si="1927"/>
        <v>3.1778595021460486E-2</v>
      </c>
      <c r="DK1063" s="53">
        <f>HLOOKUP(H1063,'GDP-PI'!$8:$9,2,FALSE)</f>
        <v>94.263999999999996</v>
      </c>
      <c r="DL1063" s="355">
        <f t="shared" si="1920"/>
        <v>1.8912333748032254E-2</v>
      </c>
    </row>
    <row r="1064" spans="1:116" s="126" customFormat="1" ht="21" customHeight="1" x14ac:dyDescent="0.4">
      <c r="A1064" s="233" t="s">
        <v>245</v>
      </c>
      <c r="B1064" s="126" t="s">
        <v>245</v>
      </c>
      <c r="C1064" s="126">
        <v>4057146</v>
      </c>
      <c r="D1064" s="127" t="s">
        <v>231</v>
      </c>
      <c r="E1064" s="127"/>
      <c r="F1064" s="144"/>
      <c r="G1064" s="126" t="s">
        <v>165</v>
      </c>
      <c r="H1064" s="128">
        <v>2009</v>
      </c>
      <c r="I1064" s="129"/>
      <c r="J1064" s="125">
        <f>IFERROR(INDEX('Labor Expenditures'!$E$7:$W$91,MATCH($C1064,'Labor Expenditures'!$C$7:$C$91,0),MATCH($G1064,'Labor Expenditures'!$E$5:$W$5,0)),"NA")</f>
        <v>339606.26198429655</v>
      </c>
      <c r="K1064" s="125">
        <f t="shared" ca="1" si="1921"/>
        <v>3061.5845119161286</v>
      </c>
      <c r="L1064" s="47"/>
      <c r="M1064" s="131">
        <f t="shared" ca="1" si="1928"/>
        <v>0.1524249891309013</v>
      </c>
      <c r="N1064" s="131"/>
      <c r="O1064" s="131"/>
      <c r="P1064" s="59">
        <f t="shared" ca="1" si="1930"/>
        <v>1.9104814085451054E-2</v>
      </c>
      <c r="Q1064" s="61"/>
      <c r="R1064" s="387"/>
      <c r="S1064" s="49">
        <f t="shared" ca="1" si="1935"/>
        <v>118.0401474747818</v>
      </c>
      <c r="T1064" s="61">
        <f ca="1">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</f>
        <v>4.3563143855006925E-2</v>
      </c>
      <c r="U1064" s="61"/>
      <c r="V1064" s="125">
        <f>IFERROR(INDEX('Non-Labor Expenditures'!$E$7:$AA$91,MATCH($C1064,'Non-Labor Expenditures'!$C$7:$C$91,0),MATCH($G1064,'Non-Labor Expenditures'!$E$5:$AA$5,0)),"NA")</f>
        <v>491813.29705353925</v>
      </c>
      <c r="W1064" s="125">
        <f t="shared" si="1922"/>
        <v>5177.0365693695649</v>
      </c>
      <c r="X1064" s="131">
        <f t="shared" si="1931"/>
        <v>0.17230740531347602</v>
      </c>
      <c r="Y1064" s="131">
        <f t="shared" si="1932"/>
        <v>2.1596858643915424E-2</v>
      </c>
      <c r="Z1064" s="131"/>
      <c r="AA1064" s="131"/>
      <c r="AB1064" s="131"/>
      <c r="AC1064" s="125">
        <f t="shared" si="1901"/>
        <v>228551.32949374474</v>
      </c>
      <c r="AD1064" s="129"/>
      <c r="AE1064" s="133">
        <v>17080.357266694209</v>
      </c>
      <c r="AF1064" s="134">
        <v>2.7827972151942961E-2</v>
      </c>
      <c r="AG1064" s="59">
        <f t="shared" si="1923"/>
        <v>3.487933555838436E-3</v>
      </c>
      <c r="AH1064" s="134"/>
      <c r="AI1064" s="134"/>
      <c r="AJ1064" s="129">
        <f t="shared" si="1902"/>
        <v>1059970.8885315806</v>
      </c>
      <c r="AK1064" s="134">
        <f t="shared" si="1933"/>
        <v>0.13084251347354647</v>
      </c>
      <c r="AL1064" s="129"/>
      <c r="AM1064" s="129"/>
      <c r="AN1064" s="129"/>
      <c r="AO1064" s="129"/>
      <c r="AP1064" s="133">
        <f t="shared" si="1934"/>
        <v>192.89881533791169</v>
      </c>
      <c r="AQ1064" s="134">
        <f>+BB1064/Outputs!$B$17</f>
        <v>0.15620780828962372</v>
      </c>
      <c r="AR1064" s="93">
        <f t="shared" si="1924"/>
        <v>0.32039206515828605</v>
      </c>
      <c r="AS1064" s="93">
        <f t="shared" si="1925"/>
        <v>0.46398755133253478</v>
      </c>
      <c r="AT1064" s="93">
        <f t="shared" si="1926"/>
        <v>0.21562038350917911</v>
      </c>
      <c r="AU1064" s="93">
        <f t="shared" ca="1" si="1929"/>
        <v>0.132215448107533</v>
      </c>
      <c r="AV1064" s="132">
        <f t="shared" ca="1" si="1937"/>
        <v>110.95070588502082</v>
      </c>
      <c r="AW1064" s="134">
        <f t="shared" ca="1" si="1938"/>
        <v>0.13221544810753308</v>
      </c>
      <c r="AX1064" s="56">
        <f>+AJ1064/$AL$14</f>
        <v>0.12533912053648893</v>
      </c>
      <c r="AY1064" s="135">
        <f t="shared" ca="1" si="1936"/>
        <v>1.6571767987135985E-2</v>
      </c>
      <c r="AZ1064" s="93"/>
      <c r="BA1064" s="93"/>
      <c r="BB1064" s="234">
        <f>IFERROR(INDEX('Total Customers'!$E$7:$AA$91,MATCH($C1064,'Total Customers'!$C$7:$C$91,0),MATCH($G1064,'Total Customers'!$E$5:$AA$5,0)),"NA")</f>
        <v>5494958</v>
      </c>
      <c r="BC1064" s="269">
        <f t="shared" si="1861"/>
        <v>5.0275781053051071E-3</v>
      </c>
      <c r="BD1064" s="92"/>
      <c r="BE1064" s="299" t="str">
        <f t="shared" si="1855"/>
        <v>SOUTHERN CALIFORNIA GAS COMPANY</v>
      </c>
      <c r="BF1064" s="300">
        <f t="shared" si="1856"/>
        <v>4057146</v>
      </c>
      <c r="BG1064" s="231" t="str">
        <f t="shared" si="1857"/>
        <v>CA</v>
      </c>
      <c r="BH1064" s="231"/>
      <c r="BI1064" s="231" t="str">
        <f t="shared" si="1858"/>
        <v>2009 Y</v>
      </c>
      <c r="BJ1064" s="129"/>
      <c r="BK1064" s="129"/>
      <c r="BL1064" s="129">
        <f>INDEX('Dist. Plant Gas Additions'!$E$7:$AD$91,MATCH($C1064,'Dist. Plant Gas Additions'!$C$7:$C$91,0),MATCH(Calculation!$G1064,'Dist. Plant Gas Additions'!$E$5:$AD$5,0))</f>
        <v>250929</v>
      </c>
      <c r="BM1064" s="129">
        <f>INDEX('Gen. Plant Additions'!$E$7:$AD$91,MATCH($C1064,'Gen. Plant Additions'!$C$7:$C$91,0),MATCH(Calculation!$G1064,'Gen. Plant Additions'!$E$5:$AD$5,0))</f>
        <v>69167</v>
      </c>
      <c r="BN1064" s="301">
        <f t="shared" si="1903"/>
        <v>0.90887337945444613</v>
      </c>
      <c r="BO1064" s="231">
        <f t="shared" si="1850"/>
        <v>62864.045036725678</v>
      </c>
      <c r="BP1064" s="231">
        <f t="shared" si="1851"/>
        <v>-6302.9549632743219</v>
      </c>
      <c r="BQ1064" s="129">
        <f>INDEX('Dist Plant Depreciation'!$D$7:$AC$94,MATCH($C1064,'Dist Plant Depreciation'!$C$7:$C$94,0),MATCH(Calculation!$G1064,'Dist Plant Depreciation'!$D$5:$AC$5,0))</f>
        <v>2368859</v>
      </c>
      <c r="BR1064" s="129">
        <f>INDEX('Gen. Plant Depreciation'!$D$7:$AC$94,MATCH($C1064,'Gen. Plant Depreciation'!$C$7:$C$94,0),MATCH(Calculation!$G1064,'Gen. Plant Depreciation'!$D$5:$AC$5,0))</f>
        <v>382593</v>
      </c>
      <c r="BS1064" s="129"/>
      <c r="BT1064" s="129"/>
      <c r="BU1064" s="129"/>
      <c r="BV1064" s="129"/>
      <c r="BW1064" s="129"/>
      <c r="BX1064" s="137"/>
      <c r="BY1064" s="129">
        <f>INDEX('Gross Dx Plant'!$D$7:$AC$91,MATCH($C1064,'Gross Dx Plant'!$C$7:$C$91,0),MATCH(Calculation!$G1064,'Gross Dx Plant'!$D$5:$AC$5,0))</f>
        <v>6249766</v>
      </c>
      <c r="BZ1064" s="129">
        <f>INDEX('Gross Gen Plant'!$D$7:$AC$91,MATCH($C1064,'Gross Gen Plant'!$C$7:$C$91,0),MATCH(Calculation!$G1064,'Gross Gen Plant'!$D$5:$AC$5,0))</f>
        <v>626622</v>
      </c>
      <c r="CA1064" s="129">
        <f t="shared" si="1852"/>
        <v>4124936</v>
      </c>
      <c r="CB1064" s="129"/>
      <c r="CC1064" s="133">
        <v>2009</v>
      </c>
      <c r="CD1064" s="129"/>
      <c r="CE1064" s="129"/>
      <c r="CF1064" s="129"/>
      <c r="CG1064" s="137"/>
      <c r="CH1064" s="129">
        <f t="shared" si="1904"/>
        <v>320096</v>
      </c>
      <c r="CI1064" s="46">
        <f t="shared" si="1913"/>
        <v>313793.0450367257</v>
      </c>
      <c r="CJ1064" s="231">
        <f t="shared" si="1905"/>
        <v>569.55872208131757</v>
      </c>
      <c r="CK1064" s="443">
        <v>0.87912087912087911</v>
      </c>
      <c r="CL1064" s="231">
        <f>+CL1053*CK1064+CJ1054*CK1063+CJ1055*CK1062+CJ1056*CK1061+CJ1057*CK1060+CJ1058*CK1059+CJ1059*CK1058+CJ1060*CK1057+CJ1061*CK1056+CJ1062*CK1055+CJ1063*CK1054+CJ1064</f>
        <v>16185.584471015947</v>
      </c>
      <c r="CM1064" s="134">
        <f t="shared" si="1906"/>
        <v>2.2928369165812906E-2</v>
      </c>
      <c r="CN1064" s="135">
        <f t="shared" si="1907"/>
        <v>1.2812167237209841E-2</v>
      </c>
      <c r="CO1064" s="135">
        <f t="shared" si="1916"/>
        <v>1.2488624439992884E-2</v>
      </c>
      <c r="CP1064" s="134">
        <f>VLOOKUP($H1064,RoR!$E:$F,2,FALSE)</f>
        <v>5.3133333333333324E-2</v>
      </c>
      <c r="CQ1064" s="135">
        <v>7.7972502758210105E-3</v>
      </c>
      <c r="CR1064" s="135">
        <f t="shared" si="1914"/>
        <v>4.5336083057512314E-2</v>
      </c>
      <c r="CS1064" s="135">
        <f t="shared" si="1917"/>
        <v>1.8413317168540742E-2</v>
      </c>
      <c r="CT1064" s="135">
        <f t="shared" si="1918"/>
        <v>6.3720160300892073E-2</v>
      </c>
      <c r="CU1064" s="139">
        <f t="shared" si="1908"/>
        <v>0.84923979999999999</v>
      </c>
      <c r="CV1064" s="335">
        <f t="shared" si="1909"/>
        <v>0.96515780330083989</v>
      </c>
      <c r="CW1064" s="335">
        <f t="shared" si="1910"/>
        <v>0.50448557089084056</v>
      </c>
      <c r="CX1064" s="335">
        <f t="shared" si="1911"/>
        <v>0.87391435735465484</v>
      </c>
      <c r="CY1064" s="335">
        <f t="shared" si="1912"/>
        <v>0.42551605393279146</v>
      </c>
      <c r="CZ1064" s="336">
        <f>INDEX('State Tax Lookup'!$D$7:$Z$91,MATCH(Calculation!$C1064,'State Tax Lookup'!$B$7:$B$91,0),MATCH($H1064,'State Tax Lookup'!$D$6:$Z$6,0))</f>
        <v>0.40745999999999999</v>
      </c>
      <c r="DA1064" s="302">
        <v>0.37</v>
      </c>
      <c r="DB1064" s="57">
        <f t="shared" si="1915"/>
        <v>14.448176204715651</v>
      </c>
      <c r="DC1064" s="56">
        <f t="shared" si="1919"/>
        <v>-5.0091919670932655E-2</v>
      </c>
      <c r="DD1064" s="303">
        <f>VLOOKUP($H1064,RoR!$E:$F,2,FALSE)</f>
        <v>5.3133333333333324E-2</v>
      </c>
      <c r="DE1064" s="304">
        <f>HLOOKUP($H1064,'GDP-PI'!$D$8:$CQ$11,3,FALSE)</f>
        <v>7.7972502758210105E-3</v>
      </c>
      <c r="DF1064" s="303">
        <f>VLOOKUP(H1064,'HW Dx Data'!$E:$F,2,FALSE)</f>
        <v>550.94063679692806</v>
      </c>
      <c r="DG1064" s="364">
        <f ca="1">VLOOKUP(CC1064,'ECI - Input Price'!M$13:N$33,2,FALSE)</f>
        <v>110.925</v>
      </c>
      <c r="DH1064" s="364"/>
      <c r="DI1064" s="364"/>
      <c r="DJ1064" s="56">
        <f t="shared" ca="1" si="1927"/>
        <v>2.7649425000884052E-2</v>
      </c>
      <c r="DK1064" s="53">
        <f>HLOOKUP(H1064,'GDP-PI'!$8:$9,2,FALSE)</f>
        <v>94.998999999999995</v>
      </c>
      <c r="DL1064" s="355">
        <f t="shared" si="1920"/>
        <v>7.7670088183096342E-3</v>
      </c>
    </row>
    <row r="1065" spans="1:116" s="126" customFormat="1" ht="21" customHeight="1" x14ac:dyDescent="0.4">
      <c r="A1065" s="233" t="s">
        <v>245</v>
      </c>
      <c r="B1065" s="126" t="s">
        <v>245</v>
      </c>
      <c r="C1065" s="126">
        <v>4057146</v>
      </c>
      <c r="D1065" s="127" t="s">
        <v>231</v>
      </c>
      <c r="E1065" s="127"/>
      <c r="F1065" s="144"/>
      <c r="G1065" s="126" t="s">
        <v>166</v>
      </c>
      <c r="H1065" s="128">
        <v>2010</v>
      </c>
      <c r="I1065" s="129"/>
      <c r="J1065" s="125">
        <f>IFERROR(INDEX('Labor Expenditures'!$E$7:$W$91,MATCH($C1065,'Labor Expenditures'!$C$7:$C$91,0),MATCH($G1065,'Labor Expenditures'!$E$5:$W$5,0)),"NA")</f>
        <v>319774.51322437549</v>
      </c>
      <c r="K1065" s="125">
        <f t="shared" ca="1" si="1921"/>
        <v>2734.8686185535644</v>
      </c>
      <c r="L1065" s="47"/>
      <c r="M1065" s="131">
        <f t="shared" ca="1" si="1928"/>
        <v>-0.11284919866818298</v>
      </c>
      <c r="N1065" s="131"/>
      <c r="O1065" s="131"/>
      <c r="P1065" s="59">
        <f t="shared" ca="1" si="1930"/>
        <v>-1.3210973667767752E-2</v>
      </c>
      <c r="Q1065" s="61"/>
      <c r="R1065" s="387"/>
      <c r="S1065" s="49">
        <f t="shared" ca="1" si="1935"/>
        <v>97.69139400358398</v>
      </c>
      <c r="T1065" s="61">
        <f ca="1">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</f>
        <v>-0.18921133020858763</v>
      </c>
      <c r="U1065" s="61"/>
      <c r="V1065" s="125">
        <f>IFERROR(INDEX('Non-Labor Expenditures'!$E$7:$AA$91,MATCH($C1065,'Non-Labor Expenditures'!$C$7:$C$91,0),MATCH($G1065,'Non-Labor Expenditures'!$E$5:$AA$5,0)),"NA")</f>
        <v>463093.22078944131</v>
      </c>
      <c r="W1065" s="125">
        <f t="shared" si="1922"/>
        <v>4818.4168058084188</v>
      </c>
      <c r="X1065" s="131">
        <f t="shared" si="1931"/>
        <v>-7.1787391128356831E-2</v>
      </c>
      <c r="Y1065" s="131">
        <f t="shared" si="1932"/>
        <v>-8.4039704762374681E-3</v>
      </c>
      <c r="Z1065" s="131"/>
      <c r="AA1065" s="131"/>
      <c r="AB1065" s="131"/>
      <c r="AC1065" s="125">
        <f t="shared" si="1901"/>
        <v>237673.81709095172</v>
      </c>
      <c r="AD1065" s="129"/>
      <c r="AE1065" s="133">
        <v>17721.254910113905</v>
      </c>
      <c r="AF1065" s="134">
        <v>3.6835656129164139E-2</v>
      </c>
      <c r="AG1065" s="59">
        <f t="shared" si="1923"/>
        <v>4.3122582074172798E-3</v>
      </c>
      <c r="AH1065" s="134"/>
      <c r="AI1065" s="134"/>
      <c r="AJ1065" s="129">
        <f t="shared" si="1902"/>
        <v>1020541.5511047685</v>
      </c>
      <c r="AK1065" s="134">
        <f t="shared" si="1933"/>
        <v>-3.7908025240323412E-2</v>
      </c>
      <c r="AL1065" s="129"/>
      <c r="AM1065" s="129"/>
      <c r="AN1065" s="129"/>
      <c r="AO1065" s="129"/>
      <c r="AP1065" s="133">
        <f t="shared" si="1934"/>
        <v>184.98570857422672</v>
      </c>
      <c r="AQ1065" s="134">
        <f>+BB1065/Outputs!$B$18</f>
        <v>0.15597254093338911</v>
      </c>
      <c r="AR1065" s="93">
        <f t="shared" si="1924"/>
        <v>0.31333806338233799</v>
      </c>
      <c r="AS1065" s="93">
        <f t="shared" si="1925"/>
        <v>0.45377203925516629</v>
      </c>
      <c r="AT1065" s="93">
        <f t="shared" si="1926"/>
        <v>0.23288989736249571</v>
      </c>
      <c r="AU1065" s="93">
        <f t="shared" ca="1" si="1929"/>
        <v>-6.0439166696215053E-2</v>
      </c>
      <c r="AV1065" s="132">
        <f t="shared" ca="1" si="1937"/>
        <v>104.44356157142056</v>
      </c>
      <c r="AW1065" s="134">
        <f t="shared" ca="1" si="1938"/>
        <v>-6.0439166696215081E-2</v>
      </c>
      <c r="AX1065" s="56">
        <f>+AJ1065/$AL$15</f>
        <v>0.11706750090988896</v>
      </c>
      <c r="AY1065" s="135">
        <f t="shared" ca="1" si="1936"/>
        <v>-7.0754622022020895E-3</v>
      </c>
      <c r="AZ1065" s="93"/>
      <c r="BA1065" s="93"/>
      <c r="BB1065" s="234">
        <f>IFERROR(INDEX('Total Customers'!$E$7:$AA$91,MATCH($C1065,'Total Customers'!$C$7:$C$91,0),MATCH($G1065,'Total Customers'!$E$5:$AA$5,0)),"NA")</f>
        <v>5516867</v>
      </c>
      <c r="BC1065" s="269">
        <f t="shared" si="1861"/>
        <v>3.9791821807409486E-3</v>
      </c>
      <c r="BD1065" s="92"/>
      <c r="BE1065" s="299" t="str">
        <f t="shared" si="1855"/>
        <v>SOUTHERN CALIFORNIA GAS COMPANY</v>
      </c>
      <c r="BF1065" s="300">
        <f t="shared" si="1856"/>
        <v>4057146</v>
      </c>
      <c r="BG1065" s="231" t="str">
        <f t="shared" si="1857"/>
        <v>CA</v>
      </c>
      <c r="BH1065" s="231"/>
      <c r="BI1065" s="231" t="str">
        <f t="shared" si="1858"/>
        <v>2010 Y</v>
      </c>
      <c r="BJ1065" s="129"/>
      <c r="BK1065" s="129"/>
      <c r="BL1065" s="129">
        <f>INDEX('Dist. Plant Gas Additions'!$E$7:$AD$91,MATCH($C1065,'Dist. Plant Gas Additions'!$C$7:$C$91,0),MATCH(Calculation!$G1065,'Dist. Plant Gas Additions'!$E$5:$AD$5,0))</f>
        <v>264309</v>
      </c>
      <c r="BM1065" s="129">
        <f>INDEX('Gen. Plant Additions'!$E$7:$AD$91,MATCH($C1065,'Gen. Plant Additions'!$C$7:$C$91,0),MATCH(Calculation!$G1065,'Gen. Plant Additions'!$E$5:$AD$5,0))</f>
        <v>168082</v>
      </c>
      <c r="BN1065" s="301">
        <f t="shared" si="1903"/>
        <v>0.89449847917644787</v>
      </c>
      <c r="BO1065" s="231">
        <f t="shared" si="1850"/>
        <v>150349.09337693572</v>
      </c>
      <c r="BP1065" s="231">
        <f t="shared" si="1851"/>
        <v>-17732.906623064278</v>
      </c>
      <c r="BQ1065" s="129">
        <f>INDEX('Dist Plant Depreciation'!$D$7:$AC$94,MATCH($C1065,'Dist Plant Depreciation'!$C$7:$C$94,0),MATCH(Calculation!$G1065,'Dist Plant Depreciation'!$D$5:$AC$5,0))</f>
        <v>2473715</v>
      </c>
      <c r="BR1065" s="129">
        <f>INDEX('Gen. Plant Depreciation'!$D$7:$AC$94,MATCH($C1065,'Gen. Plant Depreciation'!$C$7:$C$94,0),MATCH(Calculation!$G1065,'Gen. Plant Depreciation'!$D$5:$AC$5,0))</f>
        <v>425482</v>
      </c>
      <c r="BS1065" s="129"/>
      <c r="BT1065" s="129"/>
      <c r="BU1065" s="129"/>
      <c r="BV1065" s="129"/>
      <c r="BW1065" s="129"/>
      <c r="BX1065" s="137"/>
      <c r="BY1065" s="129">
        <f>INDEX('Gross Dx Plant'!$D$7:$AC$91,MATCH($C1065,'Gross Dx Plant'!$C$7:$C$91,0),MATCH(Calculation!$G1065,'Gross Dx Plant'!$D$5:$AC$5,0))</f>
        <v>6473956</v>
      </c>
      <c r="BZ1065" s="129">
        <f>INDEX('Gross Gen Plant'!$D$7:$AC$91,MATCH($C1065,'Gross Gen Plant'!$C$7:$C$91,0),MATCH(Calculation!$G1065,'Gross Gen Plant'!$D$5:$AC$5,0))</f>
        <v>763570</v>
      </c>
      <c r="CA1065" s="129">
        <f t="shared" si="1852"/>
        <v>4338329</v>
      </c>
      <c r="CB1065" s="129"/>
      <c r="CC1065" s="133">
        <v>2010</v>
      </c>
      <c r="CD1065" s="129"/>
      <c r="CE1065" s="129"/>
      <c r="CF1065" s="129"/>
      <c r="CG1065" s="137"/>
      <c r="CH1065" s="129">
        <f t="shared" si="1904"/>
        <v>432391</v>
      </c>
      <c r="CI1065" s="46">
        <f t="shared" si="1913"/>
        <v>414658.09337693569</v>
      </c>
      <c r="CJ1065" s="231">
        <f t="shared" si="1905"/>
        <v>728.76229079885798</v>
      </c>
      <c r="CK1065" s="443">
        <v>0.8666666666666667</v>
      </c>
      <c r="CL1065" s="231">
        <f>+CL1053*CK1065+CJ1054*CK1064+CJ1055*CK1063+CJ1056*CK1062+CJ1057*CK1061+CJ1058*CK1060+CJ1059*CK1059+CJ1060*CK1058+CJ1061*CK1057+CJ1062*CK1056+CJ1063*CK1055+CJ1064*CK1054+CJ1065</f>
        <v>16701.615365928632</v>
      </c>
      <c r="CM1065" s="134">
        <f t="shared" si="1906"/>
        <v>3.1384444622627274E-2</v>
      </c>
      <c r="CN1065" s="135">
        <f t="shared" si="1907"/>
        <v>1.3143263146729008E-2</v>
      </c>
      <c r="CO1065" s="135">
        <f t="shared" si="1916"/>
        <v>1.2810912332810625E-2</v>
      </c>
      <c r="CP1065" s="134">
        <f>VLOOKUP($H1065,RoR!$E:$F,2,FALSE)</f>
        <v>4.9433333333333322E-2</v>
      </c>
      <c r="CQ1065" s="135">
        <v>1.1684333519300205E-2</v>
      </c>
      <c r="CR1065" s="135">
        <f t="shared" si="1914"/>
        <v>3.7748999814033117E-2</v>
      </c>
      <c r="CS1065" s="135">
        <f t="shared" si="1917"/>
        <v>1.8091029275723002E-2</v>
      </c>
      <c r="CT1065" s="135">
        <f t="shared" si="1918"/>
        <v>4.7937530248493419E-2</v>
      </c>
      <c r="CU1065" s="139">
        <f t="shared" si="1908"/>
        <v>0.84923979999999999</v>
      </c>
      <c r="CV1065" s="335">
        <f t="shared" si="1909"/>
        <v>1.037398205301105</v>
      </c>
      <c r="CW1065" s="335">
        <f t="shared" si="1910"/>
        <v>0.46926837491571133</v>
      </c>
      <c r="CX1065" s="335">
        <f t="shared" si="1911"/>
        <v>0.8548537519972772</v>
      </c>
      <c r="CY1065" s="335">
        <f t="shared" si="1912"/>
        <v>0.41615833911547367</v>
      </c>
      <c r="CZ1065" s="336">
        <f>INDEX('State Tax Lookup'!$D$7:$Z$91,MATCH(Calculation!$C1065,'State Tax Lookup'!$B$7:$B$91,0),MATCH($H1065,'State Tax Lookup'!$D$6:$Z$6,0))</f>
        <v>0.40745999999999999</v>
      </c>
      <c r="DA1065" s="302">
        <v>0.37</v>
      </c>
      <c r="DB1065" s="57">
        <f t="shared" si="1915"/>
        <v>14.684290055546771</v>
      </c>
      <c r="DC1065" s="56">
        <f t="shared" si="1919"/>
        <v>1.6210026223165312E-2</v>
      </c>
      <c r="DD1065" s="303">
        <f>VLOOKUP($H1065,RoR!$E:$F,2,FALSE)</f>
        <v>4.9433333333333322E-2</v>
      </c>
      <c r="DE1065" s="304">
        <f>HLOOKUP($H1065,'GDP-PI'!$D$8:$CQ$11,3,FALSE)</f>
        <v>1.1684333519300205E-2</v>
      </c>
      <c r="DF1065" s="303">
        <f>VLOOKUP(H1065,'HW Dx Data'!$E:$F,2,FALSE)</f>
        <v>568.98950262971744</v>
      </c>
      <c r="DG1065" s="364">
        <f ca="1">VLOOKUP(CC1065,'ECI - Input Price'!M$13:N$33,2,FALSE)</f>
        <v>116.925</v>
      </c>
      <c r="DH1065" s="364"/>
      <c r="DI1065" s="364"/>
      <c r="DJ1065" s="56">
        <f t="shared" ca="1" si="1927"/>
        <v>5.2678406346976722E-2</v>
      </c>
      <c r="DK1065" s="53">
        <f>HLOOKUP(H1065,'GDP-PI'!$8:$9,2,FALSE)</f>
        <v>96.108999999999995</v>
      </c>
      <c r="DL1065" s="355">
        <f t="shared" si="1920"/>
        <v>1.1616598807150427E-2</v>
      </c>
    </row>
    <row r="1066" spans="1:116" s="126" customFormat="1" ht="21" customHeight="1" x14ac:dyDescent="0.4">
      <c r="A1066" s="233" t="s">
        <v>245</v>
      </c>
      <c r="B1066" s="126" t="s">
        <v>245</v>
      </c>
      <c r="C1066" s="126">
        <v>4057146</v>
      </c>
      <c r="D1066" s="127" t="s">
        <v>231</v>
      </c>
      <c r="E1066" s="127"/>
      <c r="F1066" s="144"/>
      <c r="G1066" s="126" t="s">
        <v>167</v>
      </c>
      <c r="H1066" s="128">
        <v>2011</v>
      </c>
      <c r="I1066" s="129"/>
      <c r="J1066" s="125">
        <f>IFERROR(INDEX('Labor Expenditures'!$E$7:$W$91,MATCH($C1066,'Labor Expenditures'!$C$7:$C$91,0),MATCH($G1066,'Labor Expenditures'!$E$5:$W$5,0)),"NA")</f>
        <v>340529.74706638954</v>
      </c>
      <c r="K1066" s="125">
        <f t="shared" ca="1" si="1921"/>
        <v>2817.2057668367283</v>
      </c>
      <c r="L1066" s="47"/>
      <c r="M1066" s="131">
        <f t="shared" ca="1" si="1928"/>
        <v>2.9662133268884821E-2</v>
      </c>
      <c r="N1066" s="131"/>
      <c r="O1066" s="131"/>
      <c r="P1066" s="59">
        <f t="shared" ca="1" si="1930"/>
        <v>3.574092749581296E-3</v>
      </c>
      <c r="Q1066" s="61"/>
      <c r="R1066" s="387"/>
      <c r="S1066" s="49">
        <f t="shared" ca="1" si="1935"/>
        <v>118.4206434052044</v>
      </c>
      <c r="T1066" s="61">
        <f ca="1">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</f>
        <v>0.19242959110852517</v>
      </c>
      <c r="U1066" s="61"/>
      <c r="V1066" s="125">
        <f>IFERROR(INDEX('Non-Labor Expenditures'!$E$7:$AA$91,MATCH($C1066,'Non-Labor Expenditures'!$C$7:$C$91,0),MATCH($G1066,'Non-Labor Expenditures'!$E$5:$AA$5,0)),"NA")</f>
        <v>493150.67593563092</v>
      </c>
      <c r="W1066" s="125">
        <f t="shared" si="1922"/>
        <v>5026.4052912552079</v>
      </c>
      <c r="X1066" s="131">
        <f t="shared" si="1931"/>
        <v>4.2259664217543985E-2</v>
      </c>
      <c r="Y1066" s="131">
        <f t="shared" si="1932"/>
        <v>5.0920127055764722E-3</v>
      </c>
      <c r="Z1066" s="131"/>
      <c r="AA1066" s="131"/>
      <c r="AB1066" s="131"/>
      <c r="AC1066" s="125">
        <f t="shared" si="1901"/>
        <v>259518.2944850761</v>
      </c>
      <c r="AD1066" s="129"/>
      <c r="AE1066" s="133">
        <v>18672.004328881005</v>
      </c>
      <c r="AF1066" s="134">
        <v>5.2260545857688676E-2</v>
      </c>
      <c r="AG1066" s="59">
        <f t="shared" si="1923"/>
        <v>6.2970534299048499E-3</v>
      </c>
      <c r="AH1066" s="134"/>
      <c r="AI1066" s="134"/>
      <c r="AJ1066" s="129">
        <f t="shared" si="1902"/>
        <v>1093198.7174870966</v>
      </c>
      <c r="AK1066" s="134">
        <f t="shared" si="1933"/>
        <v>6.8774583040856055E-2</v>
      </c>
      <c r="AL1066" s="129"/>
      <c r="AM1066" s="129"/>
      <c r="AN1066" s="129"/>
      <c r="AO1066" s="129"/>
      <c r="AP1066" s="133">
        <f t="shared" si="1934"/>
        <v>196.99407404064775</v>
      </c>
      <c r="AQ1066" s="134">
        <f>+BB1066/Outputs!$B$19</f>
        <v>0.1561352800156231</v>
      </c>
      <c r="AR1066" s="93">
        <f t="shared" si="1924"/>
        <v>0.31149848752947235</v>
      </c>
      <c r="AS1066" s="93">
        <f t="shared" si="1925"/>
        <v>0.45110798983484152</v>
      </c>
      <c r="AT1066" s="93">
        <f t="shared" si="1926"/>
        <v>0.23739352263568614</v>
      </c>
      <c r="AU1066" s="93">
        <f t="shared" ca="1" si="1929"/>
        <v>4.0675589733923628E-2</v>
      </c>
      <c r="AV1066" s="132">
        <f t="shared" ca="1" si="1937"/>
        <v>108.77944963894885</v>
      </c>
      <c r="AW1066" s="134">
        <f t="shared" ca="1" si="1938"/>
        <v>4.0675589733923566E-2</v>
      </c>
      <c r="AX1066" s="56">
        <f>+AJ1066/$AL$16</f>
        <v>0.12049344924663498</v>
      </c>
      <c r="AY1066" s="135">
        <f t="shared" ca="1" si="1936"/>
        <v>4.9011421071814658E-3</v>
      </c>
      <c r="AZ1066" s="93"/>
      <c r="BA1066" s="93"/>
      <c r="BB1066" s="234">
        <f>IFERROR(INDEX('Total Customers'!$E$7:$AA$91,MATCH($C1066,'Total Customers'!$C$7:$C$91,0),MATCH($G1066,'Total Customers'!$E$5:$AA$5,0)),"NA")</f>
        <v>5549399</v>
      </c>
      <c r="BC1066" s="269">
        <f t="shared" si="1861"/>
        <v>5.8795069114414107E-3</v>
      </c>
      <c r="BD1066" s="92"/>
      <c r="BE1066" s="299" t="str">
        <f t="shared" si="1855"/>
        <v>SOUTHERN CALIFORNIA GAS COMPANY</v>
      </c>
      <c r="BF1066" s="300">
        <f t="shared" si="1856"/>
        <v>4057146</v>
      </c>
      <c r="BG1066" s="231" t="str">
        <f t="shared" si="1857"/>
        <v>CA</v>
      </c>
      <c r="BH1066" s="231"/>
      <c r="BI1066" s="231" t="str">
        <f t="shared" si="1858"/>
        <v>2011 Y</v>
      </c>
      <c r="BJ1066" s="129"/>
      <c r="BK1066" s="129"/>
      <c r="BL1066" s="129">
        <f>INDEX('Dist. Plant Gas Additions'!$E$7:$AD$91,MATCH($C1066,'Dist. Plant Gas Additions'!$C$7:$C$91,0),MATCH(Calculation!$G1066,'Dist. Plant Gas Additions'!$E$5:$AD$5,0))</f>
        <v>499476</v>
      </c>
      <c r="BM1066" s="129">
        <f>INDEX('Gen. Plant Additions'!$E$7:$AD$91,MATCH($C1066,'Gen. Plant Additions'!$C$7:$C$91,0),MATCH(Calculation!$G1066,'Gen. Plant Additions'!$E$5:$AD$5,0))</f>
        <v>159691</v>
      </c>
      <c r="BN1066" s="301">
        <f t="shared" si="1903"/>
        <v>0.89496525379282532</v>
      </c>
      <c r="BO1066" s="231">
        <f t="shared" si="1850"/>
        <v>142917.89634343007</v>
      </c>
      <c r="BP1066" s="231">
        <f t="shared" si="1851"/>
        <v>-16773.103656569932</v>
      </c>
      <c r="BQ1066" s="129">
        <f>INDEX('Dist Plant Depreciation'!$D$7:$AC$94,MATCH($C1066,'Dist Plant Depreciation'!$C$7:$C$94,0),MATCH(Calculation!$G1066,'Dist Plant Depreciation'!$D$5:$AC$5,0))</f>
        <v>2637203</v>
      </c>
      <c r="BR1066" s="129">
        <f>INDEX('Gen. Plant Depreciation'!$D$7:$AC$94,MATCH($C1066,'Gen. Plant Depreciation'!$C$7:$C$94,0),MATCH(Calculation!$G1066,'Gen. Plant Depreciation'!$D$5:$AC$5,0))</f>
        <v>399254</v>
      </c>
      <c r="BS1066" s="129"/>
      <c r="BT1066" s="129"/>
      <c r="BU1066" s="129"/>
      <c r="BV1066" s="129"/>
      <c r="BW1066" s="129"/>
      <c r="BX1066" s="137"/>
      <c r="BY1066" s="129">
        <f>INDEX('Gross Dx Plant'!$D$7:$AC$91,MATCH($C1066,'Gross Dx Plant'!$C$7:$C$91,0),MATCH(Calculation!$G1066,'Gross Dx Plant'!$D$5:$AC$5,0))</f>
        <v>6931522</v>
      </c>
      <c r="BZ1066" s="129">
        <f>INDEX('Gross Gen Plant'!$D$7:$AC$91,MATCH($C1066,'Gross Gen Plant'!$C$7:$C$91,0),MATCH(Calculation!$G1066,'Gross Gen Plant'!$D$5:$AC$5,0))</f>
        <v>813496</v>
      </c>
      <c r="CA1066" s="129">
        <f t="shared" si="1852"/>
        <v>4708561</v>
      </c>
      <c r="CB1066" s="129"/>
      <c r="CC1066" s="133">
        <v>2011</v>
      </c>
      <c r="CD1066" s="129"/>
      <c r="CE1066" s="129"/>
      <c r="CF1066" s="129"/>
      <c r="CG1066" s="137"/>
      <c r="CH1066" s="129">
        <f t="shared" si="1904"/>
        <v>659167</v>
      </c>
      <c r="CI1066" s="46">
        <f t="shared" si="1913"/>
        <v>642393.89634343004</v>
      </c>
      <c r="CJ1066" s="231">
        <f t="shared" si="1905"/>
        <v>1050.3306764964509</v>
      </c>
      <c r="CK1066" s="443">
        <v>0.8539325842696629</v>
      </c>
      <c r="CL1066" s="231">
        <f>+CL1053*CK1066+CJ1054*CK1065+CJ1055*CK1064+CJ1056*CK1063+CJ1057*CK1062+CJ1058*CK1061+CJ1059*CK1060+CJ1060*CK1059+CJ1061*CK1058+CJ1062*CK1057+CJ1063*CK1056+CJ1064*CK1055+CJ1065*CK1054+CJ1066</f>
        <v>17527.31962881401</v>
      </c>
      <c r="CM1066" s="134">
        <f t="shared" si="1906"/>
        <v>4.8255342048775768E-2</v>
      </c>
      <c r="CN1066" s="135">
        <f t="shared" si="1907"/>
        <v>1.3449382511185831E-2</v>
      </c>
      <c r="CO1066" s="135">
        <f t="shared" si="1916"/>
        <v>1.3134937631708227E-2</v>
      </c>
      <c r="CP1066" s="134">
        <f>VLOOKUP($H1066,RoR!$E:$F,2,FALSE)</f>
        <v>4.6391666666666664E-2</v>
      </c>
      <c r="CQ1066" s="135">
        <v>2.0840920205183799E-2</v>
      </c>
      <c r="CR1066" s="135">
        <f t="shared" si="1914"/>
        <v>2.5550746461482865E-2</v>
      </c>
      <c r="CS1066" s="135">
        <f t="shared" si="1917"/>
        <v>1.7767003976825398E-2</v>
      </c>
      <c r="CT1066" s="135">
        <f t="shared" si="1918"/>
        <v>2.4810540821321614E-2</v>
      </c>
      <c r="CU1066" s="139">
        <f t="shared" si="1908"/>
        <v>0.84923979999999999</v>
      </c>
      <c r="CV1066" s="335">
        <f t="shared" si="1909"/>
        <v>1.1054151524782025</v>
      </c>
      <c r="CW1066" s="335">
        <f t="shared" si="1910"/>
        <v>0.43611011316687626</v>
      </c>
      <c r="CX1066" s="335">
        <f t="shared" si="1911"/>
        <v>0.83698442246886229</v>
      </c>
      <c r="CY1066" s="335">
        <f t="shared" si="1912"/>
        <v>0.40349573304423936</v>
      </c>
      <c r="CZ1066" s="336">
        <f>INDEX('State Tax Lookup'!$D$7:$Z$91,MATCH(Calculation!$C1066,'State Tax Lookup'!$B$7:$B$91,0),MATCH($H1066,'State Tax Lookup'!$D$6:$Z$6,0))</f>
        <v>0.40745999999999999</v>
      </c>
      <c r="DA1066" s="302">
        <v>0.37</v>
      </c>
      <c r="DB1066" s="57">
        <f t="shared" si="1915"/>
        <v>15.538514616645678</v>
      </c>
      <c r="DC1066" s="56">
        <f t="shared" si="1919"/>
        <v>5.6543537247181627E-2</v>
      </c>
      <c r="DD1066" s="303">
        <f>VLOOKUP($H1066,RoR!$E:$F,2,FALSE)</f>
        <v>4.6391666666666664E-2</v>
      </c>
      <c r="DE1066" s="304">
        <f>HLOOKUP($H1066,'GDP-PI'!$D$8:$CQ$11,3,FALSE)</f>
        <v>2.0840920205183799E-2</v>
      </c>
      <c r="DF1066" s="303">
        <f>VLOOKUP(H1066,'HW Dx Data'!$E:$F,2,FALSE)</f>
        <v>611.61109612283201</v>
      </c>
      <c r="DG1066" s="364">
        <f ca="1">VLOOKUP(CC1066,'ECI - Input Price'!M$13:N$33,2,FALSE)</f>
        <v>120.875</v>
      </c>
      <c r="DH1066" s="364"/>
      <c r="DI1066" s="364"/>
      <c r="DJ1066" s="56">
        <f t="shared" ca="1" si="1927"/>
        <v>3.3224250161508609E-2</v>
      </c>
      <c r="DK1066" s="53">
        <f>HLOOKUP(H1066,'GDP-PI'!$8:$9,2,FALSE)</f>
        <v>98.111999999999995</v>
      </c>
      <c r="DL1066" s="355">
        <f t="shared" si="1920"/>
        <v>2.0626719212849295E-2</v>
      </c>
    </row>
    <row r="1067" spans="1:116" s="126" customFormat="1" ht="21" customHeight="1" x14ac:dyDescent="0.4">
      <c r="A1067" s="233" t="s">
        <v>245</v>
      </c>
      <c r="B1067" s="126" t="s">
        <v>245</v>
      </c>
      <c r="C1067" s="126">
        <v>4057146</v>
      </c>
      <c r="D1067" s="127" t="s">
        <v>231</v>
      </c>
      <c r="E1067" s="127"/>
      <c r="F1067" s="144"/>
      <c r="G1067" s="126" t="s">
        <v>168</v>
      </c>
      <c r="H1067" s="128">
        <v>2012</v>
      </c>
      <c r="I1067" s="129"/>
      <c r="J1067" s="125">
        <f>IFERROR(INDEX('Labor Expenditures'!$E$7:$W$91,MATCH($C1067,'Labor Expenditures'!$C$7:$C$91,0),MATCH($G1067,'Labor Expenditures'!$E$5:$W$5,0)),"NA")</f>
        <v>332448.70543668472</v>
      </c>
      <c r="K1067" s="125">
        <f t="shared" ca="1" si="1921"/>
        <v>2663.8518063836914</v>
      </c>
      <c r="L1067" s="47"/>
      <c r="M1067" s="131">
        <f t="shared" ca="1" si="1928"/>
        <v>-5.5972408000593617E-2</v>
      </c>
      <c r="N1067" s="131"/>
      <c r="O1067" s="131"/>
      <c r="P1067" s="59">
        <f t="shared" ca="1" si="1930"/>
        <v>-6.5928090040341635E-3</v>
      </c>
      <c r="Q1067" s="61"/>
      <c r="R1067" s="387"/>
      <c r="S1067" s="49">
        <f t="shared" ca="1" si="1935"/>
        <v>117.32295747098533</v>
      </c>
      <c r="T1067" s="61">
        <f ca="1">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</f>
        <v>-9.3126079619133828E-3</v>
      </c>
      <c r="U1067" s="61"/>
      <c r="V1067" s="125">
        <f>IFERROR(INDEX('Non-Labor Expenditures'!$E$7:$AA$91,MATCH($C1067,'Non-Labor Expenditures'!$C$7:$C$91,0),MATCH($G1067,'Non-Labor Expenditures'!$E$5:$AA$5,0)),"NA")</f>
        <v>481447.81832543825</v>
      </c>
      <c r="W1067" s="125">
        <f t="shared" si="1922"/>
        <v>4814.4781832543822</v>
      </c>
      <c r="X1067" s="131">
        <f t="shared" si="1931"/>
        <v>-4.3077408577467002E-2</v>
      </c>
      <c r="Y1067" s="131">
        <f t="shared" si="1932"/>
        <v>-5.0739487058868533E-3</v>
      </c>
      <c r="Z1067" s="131"/>
      <c r="AA1067" s="131"/>
      <c r="AB1067" s="131"/>
      <c r="AC1067" s="125">
        <f t="shared" si="1901"/>
        <v>291928.08740620659</v>
      </c>
      <c r="AD1067" s="129"/>
      <c r="AE1067" s="133">
        <v>19422.077899915847</v>
      </c>
      <c r="AF1067" s="134">
        <v>3.9385147692969073E-2</v>
      </c>
      <c r="AG1067" s="59">
        <f t="shared" si="1923"/>
        <v>4.6390492317691248E-3</v>
      </c>
      <c r="AH1067" s="134"/>
      <c r="AI1067" s="134"/>
      <c r="AJ1067" s="129">
        <f t="shared" si="1902"/>
        <v>1105824.6111683296</v>
      </c>
      <c r="AK1067" s="134">
        <f t="shared" si="1933"/>
        <v>1.1483309213368256E-2</v>
      </c>
      <c r="AL1067" s="129"/>
      <c r="AM1067" s="129"/>
      <c r="AN1067" s="129"/>
      <c r="AO1067" s="129"/>
      <c r="AP1067" s="133">
        <f t="shared" si="1934"/>
        <v>198.29784885663511</v>
      </c>
      <c r="AQ1067" s="134">
        <f>+BB1067/Outputs!$B$20</f>
        <v>0.15614822884822585</v>
      </c>
      <c r="AR1067" s="93">
        <f t="shared" si="1924"/>
        <v>0.30063420734093166</v>
      </c>
      <c r="AS1067" s="93">
        <f t="shared" si="1925"/>
        <v>0.43537448295419773</v>
      </c>
      <c r="AT1067" s="93">
        <f t="shared" si="1926"/>
        <v>0.26399130970487056</v>
      </c>
      <c r="AU1067" s="93">
        <f t="shared" ca="1" si="1929"/>
        <v>-2.6351396476069239E-2</v>
      </c>
      <c r="AV1067" s="132">
        <f t="shared" ca="1" si="1937"/>
        <v>105.95039767305876</v>
      </c>
      <c r="AW1067" s="134">
        <f t="shared" ca="1" si="1938"/>
        <v>-2.6351396476069197E-2</v>
      </c>
      <c r="AX1067" s="56">
        <f>+AJ1067/$AL$17</f>
        <v>0.11778676743663133</v>
      </c>
      <c r="AY1067" s="135">
        <f t="shared" ca="1" si="1936"/>
        <v>-3.1038458083572289E-3</v>
      </c>
      <c r="AZ1067" s="93"/>
      <c r="BA1067" s="93"/>
      <c r="BB1067" s="234">
        <f>IFERROR(INDEX('Total Customers'!$E$7:$AA$91,MATCH($C1067,'Total Customers'!$C$7:$C$91,0),MATCH($G1067,'Total Customers'!$E$5:$AA$5,0)),"NA")</f>
        <v>5576584</v>
      </c>
      <c r="BC1067" s="269">
        <f t="shared" si="1861"/>
        <v>4.8867689442425857E-3</v>
      </c>
      <c r="BD1067" s="92"/>
      <c r="BE1067" s="299" t="str">
        <f t="shared" si="1855"/>
        <v>SOUTHERN CALIFORNIA GAS COMPANY</v>
      </c>
      <c r="BF1067" s="300">
        <f t="shared" si="1856"/>
        <v>4057146</v>
      </c>
      <c r="BG1067" s="231" t="str">
        <f t="shared" si="1857"/>
        <v>CA</v>
      </c>
      <c r="BH1067" s="231"/>
      <c r="BI1067" s="231" t="str">
        <f t="shared" si="1858"/>
        <v>2012 Y</v>
      </c>
      <c r="BJ1067" s="129"/>
      <c r="BK1067" s="129"/>
      <c r="BL1067" s="129">
        <f>INDEX('Dist. Plant Gas Additions'!$E$7:$AD$91,MATCH($C1067,'Dist. Plant Gas Additions'!$C$7:$C$91,0),MATCH(Calculation!$G1067,'Dist. Plant Gas Additions'!$E$5:$AD$5,0))</f>
        <v>338643</v>
      </c>
      <c r="BM1067" s="129">
        <f>INDEX('Gen. Plant Additions'!$E$7:$AD$91,MATCH($C1067,'Gen. Plant Additions'!$C$7:$C$91,0),MATCH(Calculation!$G1067,'Gen. Plant Additions'!$E$5:$AD$5,0))</f>
        <v>254673</v>
      </c>
      <c r="BN1067" s="301">
        <f t="shared" si="1903"/>
        <v>0.87625299282833291</v>
      </c>
      <c r="BO1067" s="231">
        <f t="shared" ref="BO1067:BO1086" si="1939">+BN1067*BM1067</f>
        <v>223157.97844257002</v>
      </c>
      <c r="BP1067" s="231">
        <f t="shared" ref="BP1067:BP1086" si="1940">+BO1067-BM1067</f>
        <v>-31515.02155742998</v>
      </c>
      <c r="BQ1067" s="129">
        <f>INDEX('Dist Plant Depreciation'!$D$7:$AC$94,MATCH($C1067,'Dist Plant Depreciation'!$C$7:$C$94,0),MATCH(Calculation!$G1067,'Dist Plant Depreciation'!$D$5:$AC$5,0))</f>
        <v>2807443</v>
      </c>
      <c r="BR1067" s="129">
        <f>INDEX('Gen. Plant Depreciation'!$D$7:$AC$94,MATCH($C1067,'Gen. Plant Depreciation'!$C$7:$C$94,0),MATCH(Calculation!$G1067,'Gen. Plant Depreciation'!$D$5:$AC$5,0))</f>
        <v>460539</v>
      </c>
      <c r="BS1067" s="129"/>
      <c r="BT1067" s="129"/>
      <c r="BU1067" s="129"/>
      <c r="BV1067" s="129"/>
      <c r="BW1067" s="129"/>
      <c r="BX1067" s="137"/>
      <c r="BY1067" s="129">
        <f>INDEX('Gross Dx Plant'!$D$7:$AC$91,MATCH($C1067,'Gross Dx Plant'!$C$7:$C$91,0),MATCH(Calculation!$G1067,'Gross Dx Plant'!$D$5:$AC$5,0))</f>
        <v>7248972</v>
      </c>
      <c r="BZ1067" s="129">
        <f>INDEX('Gross Gen Plant'!$D$7:$AC$91,MATCH($C1067,'Gross Gen Plant'!$C$7:$C$91,0),MATCH(Calculation!$G1067,'Gross Gen Plant'!$D$5:$AC$5,0))</f>
        <v>1023721</v>
      </c>
      <c r="CA1067" s="129">
        <f t="shared" si="1852"/>
        <v>5004711</v>
      </c>
      <c r="CB1067" s="129"/>
      <c r="CC1067" s="133">
        <v>2012</v>
      </c>
      <c r="CD1067" s="129"/>
      <c r="CE1067" s="129"/>
      <c r="CF1067" s="129"/>
      <c r="CG1067" s="137"/>
      <c r="CH1067" s="129">
        <f t="shared" si="1904"/>
        <v>593316</v>
      </c>
      <c r="CI1067" s="46">
        <f t="shared" si="1913"/>
        <v>561800.97844256996</v>
      </c>
      <c r="CJ1067" s="231">
        <f t="shared" si="1905"/>
        <v>839.86358275353143</v>
      </c>
      <c r="CK1067" s="443">
        <v>0.84090909090909094</v>
      </c>
      <c r="CL1067" s="231">
        <f>+CL1053*CK1067+CJ1054*CK1066+CJ1055*CK1065+CJ1056*CK1064+CJ1057*CK1063+CJ1058*CK1062+CJ1059*CK1061+CJ1060*CK1060+CJ1061*CK1059+CJ1062*CK1058+CJ1063*CK1057+CJ1064*CK1056+CJ1065*CK1055+CJ1066*CK1054+CJ1067</f>
        <v>18127.17730402153</v>
      </c>
      <c r="CM1067" s="134">
        <f t="shared" si="1906"/>
        <v>3.3651535352177096E-2</v>
      </c>
      <c r="CN1067" s="135">
        <f t="shared" si="1907"/>
        <v>1.36932464648761E-2</v>
      </c>
      <c r="CO1067" s="135">
        <f t="shared" si="1916"/>
        <v>1.342863070759698E-2</v>
      </c>
      <c r="CP1067" s="134">
        <f>VLOOKUP($H1067,RoR!$E:$F,2,FALSE)</f>
        <v>3.6733333333333333E-2</v>
      </c>
      <c r="CQ1067" s="135">
        <v>1.924331376386168E-2</v>
      </c>
      <c r="CR1067" s="135">
        <f t="shared" si="1914"/>
        <v>1.7490019569471653E-2</v>
      </c>
      <c r="CS1067" s="135">
        <f t="shared" si="1917"/>
        <v>1.7473310900936644E-2</v>
      </c>
      <c r="CT1067" s="135">
        <f t="shared" si="1918"/>
        <v>6.7122682943869583E-2</v>
      </c>
      <c r="CU1067" s="139">
        <f t="shared" si="1908"/>
        <v>0.84923979999999999</v>
      </c>
      <c r="CV1067" s="335">
        <f t="shared" si="1909"/>
        <v>1.3960631020522127</v>
      </c>
      <c r="CW1067" s="335">
        <f t="shared" si="1910"/>
        <v>0.29441923774954631</v>
      </c>
      <c r="CX1067" s="335">
        <f t="shared" si="1911"/>
        <v>0.76377954189366437</v>
      </c>
      <c r="CY1067" s="335">
        <f t="shared" si="1912"/>
        <v>0.31393465103033691</v>
      </c>
      <c r="CZ1067" s="336">
        <f>INDEX('State Tax Lookup'!$D$7:$Z$91,MATCH(Calculation!$C1067,'State Tax Lookup'!$B$7:$B$91,0),MATCH($H1067,'State Tax Lookup'!$D$6:$Z$6,0))</f>
        <v>0.40745999999999999</v>
      </c>
      <c r="DA1067" s="302">
        <v>0.37</v>
      </c>
      <c r="DB1067" s="57">
        <f t="shared" si="1915"/>
        <v>16.65560357136934</v>
      </c>
      <c r="DC1067" s="56">
        <f t="shared" si="1919"/>
        <v>6.9424954782342632E-2</v>
      </c>
      <c r="DD1067" s="303">
        <f>VLOOKUP($H1067,RoR!$E:$F,2,FALSE)</f>
        <v>3.6733333333333333E-2</v>
      </c>
      <c r="DE1067" s="304">
        <f>HLOOKUP($H1067,'GDP-PI'!$D$8:$CQ$11,3,FALSE)</f>
        <v>1.924331376386168E-2</v>
      </c>
      <c r="DF1067" s="303">
        <f>VLOOKUP(H1067,'HW Dx Data'!$E:$F,2,FALSE)</f>
        <v>668.91932211262167</v>
      </c>
      <c r="DG1067" s="364">
        <f ca="1">VLOOKUP(CC1067,'ECI - Input Price'!M$13:N$33,2,FALSE)</f>
        <v>124.80000000000001</v>
      </c>
      <c r="DH1067" s="364"/>
      <c r="DI1067" s="364"/>
      <c r="DJ1067" s="56">
        <f t="shared" ca="1" si="1927"/>
        <v>3.1955502161869064E-2</v>
      </c>
      <c r="DK1067" s="53">
        <f>HLOOKUP(H1067,'GDP-PI'!$8:$9,2,FALSE)</f>
        <v>100</v>
      </c>
      <c r="DL1067" s="355">
        <f t="shared" si="1920"/>
        <v>1.9060502738742411E-2</v>
      </c>
    </row>
    <row r="1068" spans="1:116" s="126" customFormat="1" ht="21" customHeight="1" x14ac:dyDescent="0.4">
      <c r="A1068" s="233" t="s">
        <v>245</v>
      </c>
      <c r="B1068" s="126" t="s">
        <v>245</v>
      </c>
      <c r="C1068" s="126">
        <v>4057146</v>
      </c>
      <c r="D1068" s="127" t="s">
        <v>231</v>
      </c>
      <c r="E1068" s="127"/>
      <c r="F1068" s="144"/>
      <c r="G1068" s="126" t="s">
        <v>169</v>
      </c>
      <c r="H1068" s="128">
        <v>2013</v>
      </c>
      <c r="I1068" s="129"/>
      <c r="J1068" s="125">
        <f>IFERROR(INDEX('Labor Expenditures'!$E$7:$W$91,MATCH($C1068,'Labor Expenditures'!$C$7:$C$91,0),MATCH($G1068,'Labor Expenditures'!$E$5:$W$5,0)),"NA")</f>
        <v>342855.63172203489</v>
      </c>
      <c r="K1068" s="125">
        <f t="shared" ca="1" si="1921"/>
        <v>2703.9087675239343</v>
      </c>
      <c r="L1068" s="47"/>
      <c r="M1068" s="131">
        <f t="shared" ca="1" si="1928"/>
        <v>1.4925294894001934E-2</v>
      </c>
      <c r="N1068" s="131"/>
      <c r="O1068" s="131"/>
      <c r="P1068" s="59">
        <f t="shared" ca="1" si="1930"/>
        <v>1.7396801011382848E-3</v>
      </c>
      <c r="Q1068" s="61"/>
      <c r="R1068" s="387"/>
      <c r="S1068" s="49">
        <f t="shared" ca="1" si="1935"/>
        <v>107.34913540490165</v>
      </c>
      <c r="T1068" s="61">
        <f ca="1">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</f>
        <v>-8.8843982065616514E-2</v>
      </c>
      <c r="U1068" s="61"/>
      <c r="V1068" s="125">
        <f>IFERROR(INDEX('Non-Labor Expenditures'!$E$7:$AA$91,MATCH($C1068,'Non-Labor Expenditures'!$C$7:$C$91,0),MATCH($G1068,'Non-Labor Expenditures'!$E$5:$AA$5,0)),"NA")</f>
        <v>496518.9913323361</v>
      </c>
      <c r="W1068" s="125">
        <f t="shared" si="1922"/>
        <v>4878.6907267382912</v>
      </c>
      <c r="X1068" s="131">
        <f t="shared" si="1931"/>
        <v>1.324922394528957E-2</v>
      </c>
      <c r="Y1068" s="131">
        <f t="shared" si="1932"/>
        <v>1.5443186494364053E-3</v>
      </c>
      <c r="Z1068" s="131"/>
      <c r="AA1068" s="131"/>
      <c r="AB1068" s="131"/>
      <c r="AC1068" s="125">
        <f t="shared" si="1901"/>
        <v>294813.6159980818</v>
      </c>
      <c r="AD1068" s="129"/>
      <c r="AE1068" s="133">
        <v>20185.587540694563</v>
      </c>
      <c r="AF1068" s="134">
        <v>3.8558406593730242E-2</v>
      </c>
      <c r="AG1068" s="59">
        <f t="shared" si="1923"/>
        <v>4.4943361695097273E-3</v>
      </c>
      <c r="AH1068" s="134"/>
      <c r="AI1068" s="134"/>
      <c r="AJ1068" s="129">
        <f t="shared" si="1902"/>
        <v>1134188.2390524528</v>
      </c>
      <c r="AK1068" s="134">
        <f t="shared" si="1933"/>
        <v>2.532587605560125E-2</v>
      </c>
      <c r="AL1068" s="129"/>
      <c r="AM1068" s="129"/>
      <c r="AN1068" s="129"/>
      <c r="AO1068" s="129"/>
      <c r="AP1068" s="133">
        <f t="shared" si="1934"/>
        <v>202.30435992577924</v>
      </c>
      <c r="AQ1068" s="134">
        <f>+BB1068/Outputs!$B$21</f>
        <v>0.1559810911169382</v>
      </c>
      <c r="AR1068" s="93">
        <f t="shared" si="1924"/>
        <v>0.30229164782070961</v>
      </c>
      <c r="AS1068" s="93">
        <f t="shared" si="1925"/>
        <v>0.4377747663360963</v>
      </c>
      <c r="AT1068" s="93">
        <f t="shared" si="1926"/>
        <v>0.25993358584319404</v>
      </c>
      <c r="AU1068" s="93">
        <f t="shared" ca="1" si="1929"/>
        <v>2.0384552638067148E-2</v>
      </c>
      <c r="AV1068" s="132">
        <f t="shared" ca="1" si="1937"/>
        <v>108.13231225404188</v>
      </c>
      <c r="AW1068" s="134">
        <f t="shared" ca="1" si="1938"/>
        <v>2.0384552638067186E-2</v>
      </c>
      <c r="AX1068" s="56">
        <f>+AJ1068/$AL$18</f>
        <v>0.116559177791349</v>
      </c>
      <c r="AY1068" s="135">
        <f t="shared" ca="1" si="1936"/>
        <v>2.3760066951375855E-3</v>
      </c>
      <c r="AZ1068" s="93"/>
      <c r="BA1068" s="93"/>
      <c r="BB1068" s="234">
        <f>IFERROR(INDEX('Total Customers'!$E$7:$AA$91,MATCH($C1068,'Total Customers'!$C$7:$C$91,0),MATCH($G1068,'Total Customers'!$E$5:$AA$5,0)),"NA")</f>
        <v>5606346</v>
      </c>
      <c r="BC1068" s="269">
        <f t="shared" si="1861"/>
        <v>5.3227678734814798E-3</v>
      </c>
      <c r="BD1068" s="92"/>
      <c r="BE1068" s="299" t="str">
        <f t="shared" si="1855"/>
        <v>SOUTHERN CALIFORNIA GAS COMPANY</v>
      </c>
      <c r="BF1068" s="300">
        <f t="shared" si="1856"/>
        <v>4057146</v>
      </c>
      <c r="BG1068" s="231" t="str">
        <f t="shared" si="1857"/>
        <v>CA</v>
      </c>
      <c r="BH1068" s="231"/>
      <c r="BI1068" s="231" t="str">
        <f t="shared" si="1858"/>
        <v>2013 Y</v>
      </c>
      <c r="BJ1068" s="129"/>
      <c r="BK1068" s="129"/>
      <c r="BL1068" s="129">
        <f>INDEX('Dist. Plant Gas Additions'!$E$7:$AD$91,MATCH($C1068,'Dist. Plant Gas Additions'!$C$7:$C$91,0),MATCH(Calculation!$G1068,'Dist. Plant Gas Additions'!$E$5:$AD$5,0))</f>
        <v>368615</v>
      </c>
      <c r="BM1068" s="129">
        <f>INDEX('Gen. Plant Additions'!$E$7:$AD$91,MATCH($C1068,'Gen. Plant Additions'!$C$7:$C$91,0),MATCH(Calculation!$G1068,'Gen. Plant Additions'!$E$5:$AD$5,0))</f>
        <v>234790</v>
      </c>
      <c r="BN1068" s="301">
        <f t="shared" si="1903"/>
        <v>0.86050364815969804</v>
      </c>
      <c r="BO1068" s="231">
        <f t="shared" si="1939"/>
        <v>202037.6515514155</v>
      </c>
      <c r="BP1068" s="231">
        <f t="shared" si="1940"/>
        <v>-32752.348448584497</v>
      </c>
      <c r="BQ1068" s="129">
        <f>INDEX('Dist Plant Depreciation'!$D$7:$AC$94,MATCH($C1068,'Dist Plant Depreciation'!$C$7:$C$94,0),MATCH(Calculation!$G1068,'Dist Plant Depreciation'!$D$5:$AC$5,0))</f>
        <v>2811114</v>
      </c>
      <c r="BR1068" s="129">
        <f>INDEX('Gen. Plant Depreciation'!$D$7:$AC$94,MATCH($C1068,'Gen. Plant Depreciation'!$C$7:$C$94,0),MATCH(Calculation!$G1068,'Gen. Plant Depreciation'!$D$5:$AC$5,0))</f>
        <v>570350</v>
      </c>
      <c r="BS1068" s="129"/>
      <c r="BT1068" s="129"/>
      <c r="BU1068" s="129"/>
      <c r="BV1068" s="129"/>
      <c r="BW1068" s="129"/>
      <c r="BX1068" s="137"/>
      <c r="BY1068" s="129">
        <f>INDEX('Gross Dx Plant'!$D$7:$AC$91,MATCH($C1068,'Gross Dx Plant'!$C$7:$C$91,0),MATCH(Calculation!$G1068,'Gross Dx Plant'!$D$5:$AC$5,0))</f>
        <v>7548301</v>
      </c>
      <c r="BZ1068" s="129">
        <f>INDEX('Gross Gen Plant'!$D$7:$AC$91,MATCH($C1068,'Gross Gen Plant'!$C$7:$C$91,0),MATCH(Calculation!$G1068,'Gross Gen Plant'!$D$5:$AC$5,0))</f>
        <v>1223656</v>
      </c>
      <c r="CA1068" s="129">
        <f t="shared" si="1852"/>
        <v>5390493</v>
      </c>
      <c r="CB1068" s="129"/>
      <c r="CC1068" s="133">
        <v>2013</v>
      </c>
      <c r="CD1068" s="129"/>
      <c r="CE1068" s="129"/>
      <c r="CF1068" s="129"/>
      <c r="CG1068" s="137"/>
      <c r="CH1068" s="129">
        <f t="shared" si="1904"/>
        <v>603405</v>
      </c>
      <c r="CI1068" s="46">
        <f t="shared" si="1913"/>
        <v>570652.65155141545</v>
      </c>
      <c r="CJ1068" s="231">
        <f t="shared" si="1905"/>
        <v>860.3905366818949</v>
      </c>
      <c r="CK1068" s="443">
        <v>0.82758620689655171</v>
      </c>
      <c r="CL1068" s="231">
        <f>+CL1053*CK1068+CJ1054*CK1067+CJ1055*CK1066+CJ1056*CK1065+CJ1057*CK1064+CJ1058*CK1063+CJ1059*CK1062+CJ1060*CK1061+CJ1061*CK1060+CJ1062*CK1059+CJ1063*CK1058+CJ1064*CK1057+CJ1065*CK1056+CJ1066*CK1055+CJ1067*CK1054+CJ1068</f>
        <v>18733.890541478606</v>
      </c>
      <c r="CM1068" s="134">
        <f t="shared" si="1906"/>
        <v>3.292189135174528E-2</v>
      </c>
      <c r="CN1068" s="135">
        <f t="shared" si="1907"/>
        <v>1.3994307826874997E-2</v>
      </c>
      <c r="CO1068" s="135">
        <f t="shared" si="1916"/>
        <v>1.3712312267645644E-2</v>
      </c>
      <c r="CP1068" s="134">
        <f>VLOOKUP($H1068,RoR!$E:$F,2,FALSE)</f>
        <v>4.2350000000000006E-2</v>
      </c>
      <c r="CQ1068" s="135">
        <v>1.7730000000000024E-2</v>
      </c>
      <c r="CR1068" s="135">
        <f t="shared" si="1914"/>
        <v>2.4619999999999982E-2</v>
      </c>
      <c r="CS1068" s="135">
        <f t="shared" si="1917"/>
        <v>1.7189629340887982E-2</v>
      </c>
      <c r="CT1068" s="135">
        <f t="shared" si="1918"/>
        <v>5.3376742735721204E-2</v>
      </c>
      <c r="CU1068" s="139">
        <f t="shared" si="1908"/>
        <v>0.84923979999999999</v>
      </c>
      <c r="CV1068" s="335">
        <f t="shared" si="1909"/>
        <v>1.2109103018193925</v>
      </c>
      <c r="CW1068" s="335">
        <f t="shared" si="1910"/>
        <v>0.38468122786304604</v>
      </c>
      <c r="CX1068" s="335">
        <f t="shared" si="1911"/>
        <v>0.80969194503422559</v>
      </c>
      <c r="CY1068" s="335">
        <f t="shared" si="1912"/>
        <v>0.37716621754800816</v>
      </c>
      <c r="CZ1068" s="336">
        <f>INDEX('State Tax Lookup'!$D$7:$Z$91,MATCH(Calculation!$C1068,'State Tax Lookup'!$B$7:$B$91,0),MATCH($H1068,'State Tax Lookup'!$D$6:$Z$6,0))</f>
        <v>0.40745999999999999</v>
      </c>
      <c r="DA1068" s="302">
        <v>0.37</v>
      </c>
      <c r="DB1068" s="57">
        <f t="shared" si="1915"/>
        <v>16.263625111267441</v>
      </c>
      <c r="DC1068" s="56">
        <f t="shared" si="1919"/>
        <v>-2.3815684795734048E-2</v>
      </c>
      <c r="DD1068" s="303">
        <f>VLOOKUP($H1068,RoR!$E:$F,2,FALSE)</f>
        <v>4.2350000000000006E-2</v>
      </c>
      <c r="DE1068" s="304">
        <f>HLOOKUP($H1068,'GDP-PI'!$D$8:$CQ$11,3,FALSE)</f>
        <v>1.7730000000000024E-2</v>
      </c>
      <c r="DF1068" s="303">
        <f>VLOOKUP(H1068,'HW Dx Data'!$E:$F,2,FALSE)</f>
        <v>663.24840548821396</v>
      </c>
      <c r="DG1068" s="364">
        <f ca="1">VLOOKUP(CC1068,'ECI - Input Price'!M$13:N$33,2,FALSE)</f>
        <v>126.8</v>
      </c>
      <c r="DH1068" s="364"/>
      <c r="DI1068" s="364"/>
      <c r="DJ1068" s="56">
        <f t="shared" ca="1" si="1927"/>
        <v>1.5898586067798204E-2</v>
      </c>
      <c r="DK1068" s="53">
        <f>HLOOKUP(H1068,'GDP-PI'!$8:$9,2,FALSE)</f>
        <v>101.773</v>
      </c>
      <c r="DL1068" s="355">
        <f t="shared" si="1920"/>
        <v>1.7574657016510519E-2</v>
      </c>
    </row>
    <row r="1069" spans="1:116" s="126" customFormat="1" ht="21" customHeight="1" x14ac:dyDescent="0.4">
      <c r="A1069" s="233" t="s">
        <v>245</v>
      </c>
      <c r="B1069" s="126" t="s">
        <v>245</v>
      </c>
      <c r="C1069" s="126">
        <v>4057146</v>
      </c>
      <c r="D1069" s="127" t="s">
        <v>231</v>
      </c>
      <c r="E1069" s="127"/>
      <c r="F1069" s="144"/>
      <c r="G1069" s="126" t="s">
        <v>170</v>
      </c>
      <c r="H1069" s="128">
        <v>2014</v>
      </c>
      <c r="I1069" s="129"/>
      <c r="J1069" s="125">
        <f>IFERROR(INDEX('Labor Expenditures'!$E$7:$W$91,MATCH($C1069,'Labor Expenditures'!$C$7:$C$91,0),MATCH($G1069,'Labor Expenditures'!$E$5:$W$5,0)),"NA")</f>
        <v>325151.92945943767</v>
      </c>
      <c r="K1069" s="125">
        <f t="shared" ca="1" si="1921"/>
        <v>2512.7660700111101</v>
      </c>
      <c r="L1069" s="47"/>
      <c r="M1069" s="131">
        <f t="shared" ca="1" si="1928"/>
        <v>-7.3314251500259733E-2</v>
      </c>
      <c r="N1069" s="131"/>
      <c r="O1069" s="131"/>
      <c r="P1069" s="59">
        <f t="shared" ca="1" si="1930"/>
        <v>-8.1804697286418943E-3</v>
      </c>
      <c r="Q1069" s="61"/>
      <c r="R1069" s="387"/>
      <c r="S1069" s="49">
        <f t="shared" ca="1" si="1935"/>
        <v>121.24195447394763</v>
      </c>
      <c r="T1069" s="61">
        <f ca="1">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</f>
        <v>0.12170170245283221</v>
      </c>
      <c r="U1069" s="61"/>
      <c r="V1069" s="125">
        <f>IFERROR(INDEX('Non-Labor Expenditures'!$E$7:$AA$91,MATCH($C1069,'Non-Labor Expenditures'!$C$7:$C$91,0),MATCH($G1069,'Non-Labor Expenditures'!$E$5:$AA$5,0)),"NA")</f>
        <v>470880.72386062267</v>
      </c>
      <c r="W1069" s="125">
        <f t="shared" si="1922"/>
        <v>4543.1196644439551</v>
      </c>
      <c r="X1069" s="131">
        <f t="shared" si="1931"/>
        <v>-7.1262963334841362E-2</v>
      </c>
      <c r="Y1069" s="131">
        <f t="shared" si="1932"/>
        <v>-7.9515851612005015E-3</v>
      </c>
      <c r="Z1069" s="131"/>
      <c r="AA1069" s="131"/>
      <c r="AB1069" s="131"/>
      <c r="AC1069" s="125">
        <f t="shared" si="1901"/>
        <v>309646.64022553258</v>
      </c>
      <c r="AD1069" s="129"/>
      <c r="AE1069" s="133">
        <v>20985.243312652434</v>
      </c>
      <c r="AF1069" s="134">
        <v>3.885062964800326E-2</v>
      </c>
      <c r="AG1069" s="59">
        <f t="shared" si="1923"/>
        <v>4.3349879903369403E-3</v>
      </c>
      <c r="AH1069" s="134"/>
      <c r="AI1069" s="134"/>
      <c r="AJ1069" s="129">
        <f t="shared" si="1902"/>
        <v>1105679.293545593</v>
      </c>
      <c r="AK1069" s="134">
        <f t="shared" si="1933"/>
        <v>-2.5457295785528765E-2</v>
      </c>
      <c r="AL1069" s="129"/>
      <c r="AM1069" s="129"/>
      <c r="AN1069" s="129"/>
      <c r="AO1069" s="129"/>
      <c r="AP1069" s="133">
        <f t="shared" si="1934"/>
        <v>196.09005973890697</v>
      </c>
      <c r="AQ1069" s="134">
        <f>+BB1069/Outputs!$B$22</f>
        <v>0.15604098676179731</v>
      </c>
      <c r="AR1069" s="93">
        <f t="shared" si="1924"/>
        <v>0.29407435895518103</v>
      </c>
      <c r="AS1069" s="93">
        <f t="shared" si="1925"/>
        <v>0.42587459728095717</v>
      </c>
      <c r="AT1069" s="93">
        <f t="shared" si="1926"/>
        <v>0.2800510437638617</v>
      </c>
      <c r="AU1069" s="93">
        <f t="shared" ca="1" si="1929"/>
        <v>-4.2144798740048242E-2</v>
      </c>
      <c r="AV1069" s="132">
        <f t="shared" ca="1" si="1937"/>
        <v>103.66979418139209</v>
      </c>
      <c r="AW1069" s="134">
        <f t="shared" ca="1" si="1938"/>
        <v>-4.2144798740048228E-2</v>
      </c>
      <c r="AX1069" s="56">
        <f>+AJ1069/$AL$19</f>
        <v>0.11158089404503997</v>
      </c>
      <c r="AY1069" s="135">
        <f t="shared" ca="1" si="1936"/>
        <v>-4.7025543227628558E-3</v>
      </c>
      <c r="AZ1069" s="93"/>
      <c r="BA1069" s="93"/>
      <c r="BB1069" s="234">
        <f>IFERROR(INDEX('Total Customers'!$E$7:$AA$91,MATCH($C1069,'Total Customers'!$C$7:$C$91,0),MATCH($G1069,'Total Customers'!$E$5:$AA$5,0)),"NA")</f>
        <v>5638630</v>
      </c>
      <c r="BC1069" s="269">
        <f t="shared" si="1861"/>
        <v>5.7419577774918198E-3</v>
      </c>
      <c r="BD1069" s="92"/>
      <c r="BE1069" s="299" t="str">
        <f t="shared" si="1855"/>
        <v>SOUTHERN CALIFORNIA GAS COMPANY</v>
      </c>
      <c r="BF1069" s="300">
        <f t="shared" si="1856"/>
        <v>4057146</v>
      </c>
      <c r="BG1069" s="231" t="str">
        <f t="shared" si="1857"/>
        <v>CA</v>
      </c>
      <c r="BH1069" s="231"/>
      <c r="BI1069" s="231" t="str">
        <f t="shared" si="1858"/>
        <v>2014 Y</v>
      </c>
      <c r="BJ1069" s="129"/>
      <c r="BK1069" s="129"/>
      <c r="BL1069" s="129">
        <f>INDEX('Dist. Plant Gas Additions'!$E$7:$AD$91,MATCH($C1069,'Dist. Plant Gas Additions'!$C$7:$C$91,0),MATCH(Calculation!$G1069,'Dist. Plant Gas Additions'!$E$5:$AD$5,0))</f>
        <v>537091</v>
      </c>
      <c r="BM1069" s="129">
        <f>INDEX('Gen. Plant Additions'!$E$7:$AD$91,MATCH($C1069,'Gen. Plant Additions'!$C$7:$C$91,0),MATCH(Calculation!$G1069,'Gen. Plant Additions'!$E$5:$AD$5,0))</f>
        <v>117124</v>
      </c>
      <c r="BN1069" s="301">
        <f t="shared" si="1903"/>
        <v>0.86150791469215604</v>
      </c>
      <c r="BO1069" s="231">
        <f t="shared" si="1939"/>
        <v>100903.25300040409</v>
      </c>
      <c r="BP1069" s="231">
        <f t="shared" si="1940"/>
        <v>-16220.746999595911</v>
      </c>
      <c r="BQ1069" s="129">
        <f>INDEX('Dist Plant Depreciation'!$D$7:$AC$94,MATCH($C1069,'Dist Plant Depreciation'!$C$7:$C$94,0),MATCH(Calculation!$G1069,'Dist Plant Depreciation'!$D$5:$AC$5,0))</f>
        <v>2958030</v>
      </c>
      <c r="BR1069" s="129">
        <f>INDEX('Gen. Plant Depreciation'!$D$7:$AC$94,MATCH($C1069,'Gen. Plant Depreciation'!$C$7:$C$94,0),MATCH(Calculation!$G1069,'Gen. Plant Depreciation'!$D$5:$AC$5,0))</f>
        <v>675741</v>
      </c>
      <c r="BS1069" s="129"/>
      <c r="BT1069" s="129"/>
      <c r="BU1069" s="129"/>
      <c r="BV1069" s="129"/>
      <c r="BW1069" s="129"/>
      <c r="BX1069" s="137"/>
      <c r="BY1069" s="129">
        <f>INDEX('Gross Dx Plant'!$D$7:$AC$91,MATCH($C1069,'Gross Dx Plant'!$C$7:$C$91,0),MATCH(Calculation!$G1069,'Gross Dx Plant'!$D$5:$AC$5,0))</f>
        <v>8054732</v>
      </c>
      <c r="BZ1069" s="129">
        <f>INDEX('Gross Gen Plant'!$D$7:$AC$91,MATCH($C1069,'Gross Gen Plant'!$C$7:$C$91,0),MATCH(Calculation!$G1069,'Gross Gen Plant'!$D$5:$AC$5,0))</f>
        <v>1294842</v>
      </c>
      <c r="CA1069" s="129">
        <f t="shared" si="1852"/>
        <v>5715803</v>
      </c>
      <c r="CB1069" s="129"/>
      <c r="CC1069" s="133">
        <v>2014</v>
      </c>
      <c r="CD1069" s="129"/>
      <c r="CE1069" s="129"/>
      <c r="CF1069" s="129"/>
      <c r="CG1069" s="137"/>
      <c r="CH1069" s="129">
        <f t="shared" si="1904"/>
        <v>654215</v>
      </c>
      <c r="CI1069" s="46">
        <f t="shared" si="1913"/>
        <v>637994.2530004041</v>
      </c>
      <c r="CJ1069" s="231">
        <f t="shared" si="1905"/>
        <v>932.10082538347456</v>
      </c>
      <c r="CK1069" s="443">
        <v>0.81395348837209303</v>
      </c>
      <c r="CL1069" s="231">
        <f>+CL1053*CK1069+CJ1054*CK1068+CJ1055*CK1067+CJ1056*CK1066+CJ1057*CK1065+CJ1058*CK1064+CJ1059*CK1063+CJ1060*CK1062+CJ1061*CK1061+CJ1062*CK1060+CJ1063*CK1059+CJ1064*CK1058+CJ1065*CK1057+CJ1066*CK1056+CJ1067*CK1055+CJ1068*CK1054+CJ1069</f>
        <v>19398.091451949953</v>
      </c>
      <c r="CM1069" s="134">
        <f t="shared" si="1906"/>
        <v>3.4840470468079345E-2</v>
      </c>
      <c r="CN1069" s="135">
        <f t="shared" si="1907"/>
        <v>1.4300281851170838E-2</v>
      </c>
      <c r="CO1069" s="135">
        <f t="shared" si="1916"/>
        <v>1.3995945380973979E-2</v>
      </c>
      <c r="CP1069" s="134">
        <f>VLOOKUP($H1069,RoR!$E:$F,2,FALSE)</f>
        <v>4.1625000000000002E-2</v>
      </c>
      <c r="CQ1069" s="135">
        <v>1.841352814597208E-2</v>
      </c>
      <c r="CR1069" s="135">
        <f t="shared" si="1914"/>
        <v>2.3211471854027922E-2</v>
      </c>
      <c r="CS1069" s="135">
        <f t="shared" si="1917"/>
        <v>1.6905996227559644E-2</v>
      </c>
      <c r="CT1069" s="135">
        <f t="shared" si="1918"/>
        <v>3.9072621432650924E-2</v>
      </c>
      <c r="CU1069" s="139">
        <f t="shared" si="1908"/>
        <v>0.84923979999999999</v>
      </c>
      <c r="CV1069" s="335">
        <f t="shared" si="1909"/>
        <v>1.2320012320012319</v>
      </c>
      <c r="CW1069" s="335">
        <f t="shared" si="1910"/>
        <v>0.37439939939939942</v>
      </c>
      <c r="CX1069" s="335">
        <f t="shared" si="1911"/>
        <v>0.80432100613819935</v>
      </c>
      <c r="CY1069" s="335">
        <f t="shared" si="1912"/>
        <v>0.37100152660040037</v>
      </c>
      <c r="CZ1069" s="336">
        <f>INDEX('State Tax Lookup'!$D$7:$Z$91,MATCH(Calculation!$C1069,'State Tax Lookup'!$B$7:$B$91,0),MATCH($H1069,'State Tax Lookup'!$D$6:$Z$6,0))</f>
        <v>0.40745999999999999</v>
      </c>
      <c r="DA1069" s="302">
        <v>0.37</v>
      </c>
      <c r="DB1069" s="57">
        <f t="shared" si="1915"/>
        <v>16.528688450482061</v>
      </c>
      <c r="DC1069" s="56">
        <f t="shared" si="1919"/>
        <v>1.6166539253377622E-2</v>
      </c>
      <c r="DD1069" s="303">
        <f>VLOOKUP($H1069,RoR!$E:$F,2,FALSE)</f>
        <v>4.1625000000000002E-2</v>
      </c>
      <c r="DE1069" s="304">
        <f>HLOOKUP($H1069,'GDP-PI'!$D$8:$CQ$11,3,FALSE)</f>
        <v>1.841352814597208E-2</v>
      </c>
      <c r="DF1069" s="303">
        <f>VLOOKUP(H1069,'HW Dx Data'!$E:$F,2,FALSE)</f>
        <v>684.46914285042885</v>
      </c>
      <c r="DG1069" s="364">
        <f ca="1">VLOOKUP(CC1069,'ECI - Input Price'!M$13:N$33,2,FALSE)</f>
        <v>129.4</v>
      </c>
      <c r="DH1069" s="364"/>
      <c r="DI1069" s="364"/>
      <c r="DJ1069" s="56">
        <f t="shared" ca="1" si="1927"/>
        <v>2.0297340063674733E-2</v>
      </c>
      <c r="DK1069" s="53">
        <f>HLOOKUP(H1069,'GDP-PI'!$8:$9,2,FALSE)</f>
        <v>103.64700000000001</v>
      </c>
      <c r="DL1069" s="355">
        <f t="shared" si="1920"/>
        <v>1.8246051898256087E-2</v>
      </c>
    </row>
    <row r="1070" spans="1:116" s="126" customFormat="1" ht="21" customHeight="1" x14ac:dyDescent="0.4">
      <c r="A1070" s="233" t="s">
        <v>245</v>
      </c>
      <c r="B1070" s="126" t="s">
        <v>245</v>
      </c>
      <c r="C1070" s="126">
        <v>4057146</v>
      </c>
      <c r="D1070" s="127" t="s">
        <v>231</v>
      </c>
      <c r="E1070" s="127"/>
      <c r="F1070" s="144"/>
      <c r="G1070" s="126" t="s">
        <v>171</v>
      </c>
      <c r="H1070" s="128">
        <v>2015</v>
      </c>
      <c r="I1070" s="129"/>
      <c r="J1070" s="125">
        <f>IFERROR(INDEX('Labor Expenditures'!$E$7:$W$91,MATCH($C1070,'Labor Expenditures'!$C$7:$C$91,0),MATCH($G1070,'Labor Expenditures'!$E$5:$W$5,0)),"NA")</f>
        <v>329477.68537948874</v>
      </c>
      <c r="K1070" s="125">
        <f t="shared" ca="1" si="1921"/>
        <v>2467.9976432920507</v>
      </c>
      <c r="L1070" s="47"/>
      <c r="M1070" s="131">
        <f t="shared" ca="1" si="1928"/>
        <v>-1.7977015153517871E-2</v>
      </c>
      <c r="N1070" s="131"/>
      <c r="O1070" s="131"/>
      <c r="P1070" s="59">
        <f t="shared" ca="1" si="1930"/>
        <v>-2.0185122534447765E-3</v>
      </c>
      <c r="Q1070" s="61"/>
      <c r="R1070" s="387"/>
      <c r="S1070" s="49">
        <f t="shared" ca="1" si="1935"/>
        <v>121.02403546879206</v>
      </c>
      <c r="T1070" s="61">
        <f ca="1">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</f>
        <v>-1.7990066536394615E-3</v>
      </c>
      <c r="U1070" s="61"/>
      <c r="V1070" s="125">
        <f>IFERROR(INDEX('Non-Labor Expenditures'!$E$7:$AA$91,MATCH($C1070,'Non-Labor Expenditures'!$C$7:$C$91,0),MATCH($G1070,'Non-Labor Expenditures'!$E$5:$AA$5,0)),"NA")</f>
        <v>477145.22637261578</v>
      </c>
      <c r="W1070" s="125">
        <f t="shared" si="1922"/>
        <v>4559.9176824378656</v>
      </c>
      <c r="X1070" s="131">
        <f t="shared" si="1931"/>
        <v>3.690644434543343E-3</v>
      </c>
      <c r="Y1070" s="131">
        <f t="shared" si="1932"/>
        <v>4.1439643626131747E-4</v>
      </c>
      <c r="Z1070" s="131"/>
      <c r="AA1070" s="131"/>
      <c r="AB1070" s="131"/>
      <c r="AC1070" s="125">
        <f t="shared" si="1901"/>
        <v>311778.79796683451</v>
      </c>
      <c r="AD1070" s="129"/>
      <c r="AE1070" s="133">
        <v>22146.856408188247</v>
      </c>
      <c r="AF1070" s="134">
        <v>5.387607222127163E-2</v>
      </c>
      <c r="AG1070" s="59">
        <f t="shared" si="1923"/>
        <v>6.0493642029795834E-3</v>
      </c>
      <c r="AH1070" s="134"/>
      <c r="AI1070" s="134"/>
      <c r="AJ1070" s="129">
        <f t="shared" si="1902"/>
        <v>1118401.7097189389</v>
      </c>
      <c r="AK1070" s="134">
        <f t="shared" si="1933"/>
        <v>1.1440729833527194E-2</v>
      </c>
      <c r="AL1070" s="129"/>
      <c r="AM1070" s="129"/>
      <c r="AN1070" s="129"/>
      <c r="AO1070" s="129"/>
      <c r="AP1070" s="133">
        <f t="shared" si="1934"/>
        <v>197.34013113269407</v>
      </c>
      <c r="AQ1070" s="134">
        <f>+BB1070/Outputs!$B$23</f>
        <v>0.15556134353804235</v>
      </c>
      <c r="AR1070" s="93">
        <f t="shared" si="1924"/>
        <v>0.29459690781614456</v>
      </c>
      <c r="AS1070" s="93">
        <f t="shared" si="1925"/>
        <v>0.42663134563029703</v>
      </c>
      <c r="AT1070" s="93">
        <f t="shared" si="1926"/>
        <v>0.27877174655355846</v>
      </c>
      <c r="AU1070" s="93">
        <f t="shared" ca="1" si="1929"/>
        <v>1.1335460520232861E-2</v>
      </c>
      <c r="AV1070" s="132">
        <f t="shared" ca="1" si="1937"/>
        <v>104.85162468228269</v>
      </c>
      <c r="AW1070" s="134">
        <f t="shared" ca="1" si="1938"/>
        <v>1.133546052023294E-2</v>
      </c>
      <c r="AX1070" s="56">
        <f>+AJ1070/$AL$20</f>
        <v>0.11228294776453919</v>
      </c>
      <c r="AY1070" s="135">
        <f t="shared" ca="1" si="1936"/>
        <v>1.2727789214803116E-3</v>
      </c>
      <c r="AZ1070" s="93"/>
      <c r="BA1070" s="93"/>
      <c r="BB1070" s="234">
        <f>IFERROR(INDEX('Total Customers'!$E$7:$AA$91,MATCH($C1070,'Total Customers'!$C$7:$C$91,0),MATCH($G1070,'Total Customers'!$E$5:$AA$5,0)),"NA")</f>
        <v>5667381</v>
      </c>
      <c r="BC1070" s="269">
        <f t="shared" si="1861"/>
        <v>5.0859780652192455E-3</v>
      </c>
      <c r="BD1070" s="92"/>
      <c r="BE1070" s="299" t="str">
        <f t="shared" si="1855"/>
        <v>SOUTHERN CALIFORNIA GAS COMPANY</v>
      </c>
      <c r="BF1070" s="300">
        <f t="shared" si="1856"/>
        <v>4057146</v>
      </c>
      <c r="BG1070" s="231" t="str">
        <f t="shared" si="1857"/>
        <v>CA</v>
      </c>
      <c r="BH1070" s="231"/>
      <c r="BI1070" s="231" t="str">
        <f t="shared" si="1858"/>
        <v>2015 Y</v>
      </c>
      <c r="BJ1070" s="129"/>
      <c r="BK1070" s="129"/>
      <c r="BL1070" s="129">
        <f>INDEX('Dist. Plant Gas Additions'!$E$7:$AD$91,MATCH($C1070,'Dist. Plant Gas Additions'!$C$7:$C$91,0),MATCH(Calculation!$G1070,'Dist. Plant Gas Additions'!$E$5:$AD$5,0))</f>
        <v>692498</v>
      </c>
      <c r="BM1070" s="129">
        <f>INDEX('Gen. Plant Additions'!$E$7:$AD$91,MATCH($C1070,'Gen. Plant Additions'!$C$7:$C$91,0),MATCH(Calculation!$G1070,'Gen. Plant Additions'!$E$5:$AD$5,0))</f>
        <v>204924</v>
      </c>
      <c r="BN1070" s="301">
        <f t="shared" si="1903"/>
        <v>0.85880568819423342</v>
      </c>
      <c r="BO1070" s="231">
        <f t="shared" si="1939"/>
        <v>175989.89684751508</v>
      </c>
      <c r="BP1070" s="231">
        <f t="shared" si="1940"/>
        <v>-28934.103152484924</v>
      </c>
      <c r="BQ1070" s="129">
        <f>INDEX('Dist Plant Depreciation'!$D$7:$AC$94,MATCH($C1070,'Dist Plant Depreciation'!$C$7:$C$94,0),MATCH(Calculation!$G1070,'Dist Plant Depreciation'!$D$5:$AC$5,0))</f>
        <v>3090323</v>
      </c>
      <c r="BR1070" s="129">
        <f>INDEX('Gen. Plant Depreciation'!$D$7:$AC$94,MATCH($C1070,'Gen. Plant Depreciation'!$C$7:$C$94,0),MATCH(Calculation!$G1070,'Gen. Plant Depreciation'!$D$5:$AC$5,0))</f>
        <v>766104</v>
      </c>
      <c r="BS1070" s="129"/>
      <c r="BT1070" s="129"/>
      <c r="BU1070" s="129"/>
      <c r="BV1070" s="129"/>
      <c r="BW1070" s="129"/>
      <c r="BX1070" s="137"/>
      <c r="BY1070" s="129">
        <f>INDEX('Gross Dx Plant'!$D$7:$AC$91,MATCH($C1070,'Gross Dx Plant'!$C$7:$C$91,0),MATCH(Calculation!$G1070,'Gross Dx Plant'!$D$5:$AC$5,0))</f>
        <v>8744904</v>
      </c>
      <c r="BZ1070" s="129">
        <f>INDEX('Gross Gen Plant'!$D$7:$AC$91,MATCH($C1070,'Gross Gen Plant'!$C$7:$C$91,0),MATCH(Calculation!$G1070,'Gross Gen Plant'!$D$5:$AC$5,0))</f>
        <v>1437730</v>
      </c>
      <c r="CA1070" s="129">
        <f t="shared" si="1852"/>
        <v>6326207</v>
      </c>
      <c r="CB1070" s="129"/>
      <c r="CC1070" s="133">
        <v>2015</v>
      </c>
      <c r="CD1070" s="129"/>
      <c r="CE1070" s="129"/>
      <c r="CF1070" s="129"/>
      <c r="CG1070" s="137"/>
      <c r="CH1070" s="129">
        <f t="shared" si="1904"/>
        <v>897422</v>
      </c>
      <c r="CI1070" s="46">
        <f t="shared" si="1913"/>
        <v>868487.89684751513</v>
      </c>
      <c r="CJ1070" s="231">
        <f t="shared" si="1905"/>
        <v>1285.4782213340818</v>
      </c>
      <c r="CK1070" s="443">
        <v>0.8</v>
      </c>
      <c r="CL1070" s="231">
        <f>+CL1053*CK1070+CJ1054*CK1069+CJ1055*CK1068+CJ1056*CK1067+CJ1057*CK1066+CJ1058*CK1065+CJ1059*CK1064+CJ1060*CK1063+CJ1061*CK1062+CJ1062*CK1061+CJ1063*CK1060+CJ1064*CK1059+CJ1065*CK1058+CJ1066*CK1057+CJ1067*CK1056+CJ1068*CK1055+CJ1069*CK1054+CJ1070</f>
        <v>20400.371721264124</v>
      </c>
      <c r="CM1070" s="134">
        <f t="shared" si="1906"/>
        <v>5.0378439850445121E-2</v>
      </c>
      <c r="CN1070" s="135">
        <f t="shared" si="1907"/>
        <v>1.4599268836390745E-2</v>
      </c>
      <c r="CO1070" s="135">
        <f t="shared" si="1916"/>
        <v>1.4297952838145528E-2</v>
      </c>
      <c r="CP1070" s="134">
        <f>VLOOKUP($H1070,RoR!$E:$F,2,FALSE)</f>
        <v>3.8866666666666674E-2</v>
      </c>
      <c r="CQ1070" s="135">
        <v>9.5709475431029478E-3</v>
      </c>
      <c r="CR1070" s="135">
        <f t="shared" si="1914"/>
        <v>2.9295719123563727E-2</v>
      </c>
      <c r="CS1070" s="135">
        <f t="shared" si="1917"/>
        <v>1.6603988770388097E-2</v>
      </c>
      <c r="CT1070" s="135">
        <f t="shared" si="1918"/>
        <v>3.5270373279175926E-3</v>
      </c>
      <c r="CU1070" s="139">
        <f t="shared" si="1908"/>
        <v>0.84923979999999999</v>
      </c>
      <c r="CV1070" s="335">
        <f t="shared" si="1909"/>
        <v>1.3194352816994324</v>
      </c>
      <c r="CW1070" s="335">
        <f t="shared" si="1910"/>
        <v>0.33177530017152673</v>
      </c>
      <c r="CX1070" s="335">
        <f t="shared" si="1911"/>
        <v>0.78242572977668579</v>
      </c>
      <c r="CY1070" s="335">
        <f t="shared" si="1912"/>
        <v>0.34251158643433932</v>
      </c>
      <c r="CZ1070" s="336">
        <f>INDEX('State Tax Lookup'!$D$7:$Z$91,MATCH(Calculation!$C1070,'State Tax Lookup'!$B$7:$B$91,0),MATCH($H1070,'State Tax Lookup'!$D$6:$Z$6,0))</f>
        <v>0.40745999999999999</v>
      </c>
      <c r="DA1070" s="302">
        <v>0.37</v>
      </c>
      <c r="DB1070" s="57">
        <f t="shared" si="1915"/>
        <v>16.072653267932377</v>
      </c>
      <c r="DC1070" s="56">
        <f t="shared" si="1919"/>
        <v>-2.7978292072712439E-2</v>
      </c>
      <c r="DD1070" s="303">
        <f>VLOOKUP($H1070,RoR!$E:$F,2,FALSE)</f>
        <v>3.8866666666666674E-2</v>
      </c>
      <c r="DE1070" s="304">
        <f>HLOOKUP($H1070,'GDP-PI'!$D$8:$CQ$11,3,FALSE)</f>
        <v>9.5709475431029478E-3</v>
      </c>
      <c r="DF1070" s="303">
        <f>VLOOKUP(H1070,'HW Dx Data'!$E:$F,2,FALSE)</f>
        <v>675.61463308665782</v>
      </c>
      <c r="DG1070" s="364">
        <f ca="1">VLOOKUP(CC1070,'ECI - Input Price'!M$13:N$33,2,FALSE)</f>
        <v>133.5</v>
      </c>
      <c r="DH1070" s="364"/>
      <c r="DI1070" s="364"/>
      <c r="DJ1070" s="56">
        <f t="shared" ca="1" si="1927"/>
        <v>3.1193095773504077E-2</v>
      </c>
      <c r="DK1070" s="53">
        <f>HLOOKUP(H1070,'GDP-PI'!$8:$9,2,FALSE)</f>
        <v>104.639</v>
      </c>
      <c r="DL1070" s="355">
        <f t="shared" si="1920"/>
        <v>9.5254361854427965E-3</v>
      </c>
    </row>
    <row r="1071" spans="1:116" s="126" customFormat="1" ht="21" customHeight="1" x14ac:dyDescent="0.4">
      <c r="A1071" s="233" t="s">
        <v>245</v>
      </c>
      <c r="B1071" s="126" t="s">
        <v>245</v>
      </c>
      <c r="C1071" s="126">
        <v>4057146</v>
      </c>
      <c r="D1071" s="127" t="s">
        <v>231</v>
      </c>
      <c r="E1071" s="127"/>
      <c r="F1071" s="144"/>
      <c r="G1071" s="126" t="s">
        <v>172</v>
      </c>
      <c r="H1071" s="128">
        <v>2016</v>
      </c>
      <c r="I1071" s="129"/>
      <c r="J1071" s="125">
        <f>IFERROR(INDEX('Labor Expenditures'!$E$7:$W$91,MATCH($C1071,'Labor Expenditures'!$C$7:$C$91,0),MATCH($G1071,'Labor Expenditures'!$E$5:$W$5,0)),"NA")</f>
        <v>333336.84980707971</v>
      </c>
      <c r="K1071" s="125">
        <f t="shared" ca="1" si="1921"/>
        <v>2434.0040146555657</v>
      </c>
      <c r="L1071" s="47"/>
      <c r="M1071" s="131">
        <f t="shared" ca="1" si="1928"/>
        <v>-1.3869507166174622E-2</v>
      </c>
      <c r="N1071" s="131"/>
      <c r="O1071" s="131"/>
      <c r="P1071" s="59">
        <f t="shared" ca="1" si="1930"/>
        <v>-1.5329515545755186E-3</v>
      </c>
      <c r="Q1071" s="61"/>
      <c r="R1071" s="387"/>
      <c r="S1071" s="49">
        <f t="shared" ca="1" si="1935"/>
        <v>299.51458436774027</v>
      </c>
      <c r="T1071" s="61">
        <f ca="1">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</f>
        <v>0.90617394598023915</v>
      </c>
      <c r="U1071" s="61"/>
      <c r="V1071" s="125">
        <f>IFERROR(INDEX('Non-Labor Expenditures'!$E$7:$AA$91,MATCH($C1071,'Non-Labor Expenditures'!$C$7:$C$91,0),MATCH($G1071,'Non-Labor Expenditures'!$E$5:$AA$5,0)),"NA")</f>
        <v>482734.01725625683</v>
      </c>
      <c r="W1071" s="125">
        <f t="shared" si="1922"/>
        <v>4565.4650947289174</v>
      </c>
      <c r="X1071" s="131">
        <f t="shared" si="1931"/>
        <v>1.2158203354033729E-3</v>
      </c>
      <c r="Y1071" s="131">
        <f t="shared" si="1932"/>
        <v>1.3438067055378909E-4</v>
      </c>
      <c r="Z1071" s="131"/>
      <c r="AA1071" s="131"/>
      <c r="AB1071" s="131"/>
      <c r="AC1071" s="125">
        <f t="shared" si="1901"/>
        <v>320425.71411543008</v>
      </c>
      <c r="AD1071" s="129"/>
      <c r="AE1071" s="133">
        <v>23321.376648173467</v>
      </c>
      <c r="AF1071" s="134">
        <v>5.1674829142211595E-2</v>
      </c>
      <c r="AG1071" s="59">
        <f t="shared" si="1923"/>
        <v>5.7114509345486744E-3</v>
      </c>
      <c r="AH1071" s="134"/>
      <c r="AI1071" s="134"/>
      <c r="AJ1071" s="129">
        <f t="shared" si="1902"/>
        <v>1136496.5811787667</v>
      </c>
      <c r="AK1071" s="134">
        <f t="shared" si="1933"/>
        <v>1.6049734889344067E-2</v>
      </c>
      <c r="AL1071" s="129"/>
      <c r="AM1071" s="129"/>
      <c r="AN1071" s="129"/>
      <c r="AO1071" s="129"/>
      <c r="AP1071" s="133">
        <f t="shared" si="1934"/>
        <v>199.33696470519556</v>
      </c>
      <c r="AQ1071" s="134">
        <f>+BB1071/Outputs!$B$24</f>
        <v>0.15514234337705998</v>
      </c>
      <c r="AR1071" s="93">
        <f t="shared" si="1924"/>
        <v>0.29330211399434652</v>
      </c>
      <c r="AS1071" s="93">
        <f t="shared" si="1925"/>
        <v>0.42475624234220599</v>
      </c>
      <c r="AT1071" s="93">
        <f t="shared" si="1926"/>
        <v>0.28194164366344743</v>
      </c>
      <c r="AU1071" s="93">
        <f t="shared" ca="1" si="1929"/>
        <v>1.0928016641996666E-2</v>
      </c>
      <c r="AV1071" s="132">
        <f t="shared" ca="1" si="1937"/>
        <v>106.003728621783</v>
      </c>
      <c r="AW1071" s="134">
        <f t="shared" ca="1" si="1938"/>
        <v>1.0928016641996595E-2</v>
      </c>
      <c r="AX1071" s="56">
        <f>+AJ1071/$AL$21</f>
        <v>0.11052675024489174</v>
      </c>
      <c r="AY1071" s="135">
        <f t="shared" ca="1" si="1936"/>
        <v>1.2078381660619781E-3</v>
      </c>
      <c r="AZ1071" s="93"/>
      <c r="BA1071" s="93"/>
      <c r="BB1071" s="234">
        <f>IFERROR(INDEX('Total Customers'!$E$7:$AA$91,MATCH($C1071,'Total Customers'!$C$7:$C$91,0),MATCH($G1071,'Total Customers'!$E$5:$AA$5,0)),"NA")</f>
        <v>5701384</v>
      </c>
      <c r="BC1071" s="269">
        <f t="shared" si="1861"/>
        <v>5.9818461183052656E-3</v>
      </c>
      <c r="BD1071" s="92"/>
      <c r="BE1071" s="299" t="str">
        <f t="shared" si="1855"/>
        <v>SOUTHERN CALIFORNIA GAS COMPANY</v>
      </c>
      <c r="BF1071" s="300">
        <f t="shared" si="1856"/>
        <v>4057146</v>
      </c>
      <c r="BG1071" s="231" t="str">
        <f t="shared" si="1857"/>
        <v>CA</v>
      </c>
      <c r="BH1071" s="231"/>
      <c r="BI1071" s="231" t="str">
        <f t="shared" si="1858"/>
        <v>2016 Y</v>
      </c>
      <c r="BJ1071" s="129"/>
      <c r="BK1071" s="129"/>
      <c r="BL1071" s="129">
        <f>INDEX('Dist. Plant Gas Additions'!$E$7:$AD$91,MATCH($C1071,'Dist. Plant Gas Additions'!$C$7:$C$91,0),MATCH(Calculation!$G1071,'Dist. Plant Gas Additions'!$E$5:$AD$5,0))</f>
        <v>736668</v>
      </c>
      <c r="BM1071" s="129">
        <f>INDEX('Gen. Plant Additions'!$E$7:$AD$91,MATCH($C1071,'Gen. Plant Additions'!$C$7:$C$91,0),MATCH(Calculation!$G1071,'Gen. Plant Additions'!$E$5:$AD$5,0))</f>
        <v>172543</v>
      </c>
      <c r="BN1071" s="301">
        <f t="shared" si="1903"/>
        <v>0.85882820138018023</v>
      </c>
      <c r="BO1071" s="231">
        <f t="shared" si="1939"/>
        <v>148184.79435074044</v>
      </c>
      <c r="BP1071" s="231">
        <f t="shared" si="1940"/>
        <v>-24358.205649259558</v>
      </c>
      <c r="BQ1071" s="129">
        <f>INDEX('Dist Plant Depreciation'!$D$7:$AC$94,MATCH($C1071,'Dist Plant Depreciation'!$C$7:$C$94,0),MATCH(Calculation!$G1071,'Dist Plant Depreciation'!$D$5:$AC$5,0))</f>
        <v>3198494</v>
      </c>
      <c r="BR1071" s="129">
        <f>INDEX('Gen. Plant Depreciation'!$D$7:$AC$94,MATCH($C1071,'Gen. Plant Depreciation'!$C$7:$C$94,0),MATCH(Calculation!$G1071,'Gen. Plant Depreciation'!$D$5:$AC$5,0))</f>
        <v>876767</v>
      </c>
      <c r="BS1071" s="129"/>
      <c r="BT1071" s="129"/>
      <c r="BU1071" s="129"/>
      <c r="BV1071" s="129"/>
      <c r="BW1071" s="129"/>
      <c r="BX1071" s="137"/>
      <c r="BY1071" s="129">
        <f>INDEX('Gross Dx Plant'!$D$7:$AC$91,MATCH($C1071,'Gross Dx Plant'!$C$7:$C$91,0),MATCH(Calculation!$G1071,'Gross Dx Plant'!$D$5:$AC$5,0))</f>
        <v>9452970</v>
      </c>
      <c r="BZ1071" s="129">
        <f>INDEX('Gross Gen Plant'!$D$7:$AC$91,MATCH($C1071,'Gross Gen Plant'!$C$7:$C$91,0),MATCH(Calculation!$G1071,'Gross Gen Plant'!$D$5:$AC$5,0))</f>
        <v>1553853</v>
      </c>
      <c r="CA1071" s="129">
        <f t="shared" si="1852"/>
        <v>6931562</v>
      </c>
      <c r="CB1071" s="129"/>
      <c r="CC1071" s="133">
        <v>2016</v>
      </c>
      <c r="CD1071" s="129"/>
      <c r="CE1071" s="129"/>
      <c r="CF1071" s="129"/>
      <c r="CG1071" s="137"/>
      <c r="CH1071" s="129">
        <f t="shared" si="1904"/>
        <v>909211</v>
      </c>
      <c r="CI1071" s="46">
        <f t="shared" si="1913"/>
        <v>884852.7943507405</v>
      </c>
      <c r="CJ1071" s="231">
        <f t="shared" si="1905"/>
        <v>1317.8112569073448</v>
      </c>
      <c r="CK1071" s="443">
        <v>0.7857142857142857</v>
      </c>
      <c r="CL1071" s="231">
        <f>+CL1053*CK1071+CJ1054*CK1070+CJ1055*CK1069+CJ1056*CK1068+CJ1057*CK1067+CJ1058*CK1066+CJ1059*CK1065+CJ1060*CK1064+CJ1061*CK1063+CJ1062*CK1062+CJ1063*CK1061+CJ1064*CK1060+CJ1065*CK1059+CJ1066*CK1058+CJ1067*CK1057+CJ1068*CK1056+CJ1069*CK1055+CJ1070*CK1054+CJ1071</f>
        <v>21415.794404916152</v>
      </c>
      <c r="CM1071" s="134">
        <f t="shared" si="1906"/>
        <v>4.8575583787930372E-2</v>
      </c>
      <c r="CN1071" s="135">
        <f t="shared" si="1907"/>
        <v>1.4822699183472465E-2</v>
      </c>
      <c r="CO1071" s="135">
        <f t="shared" si="1916"/>
        <v>1.4574083290344682E-2</v>
      </c>
      <c r="CP1071" s="134">
        <f>VLOOKUP($H1071,RoR!$E:$F,2,FALSE)</f>
        <v>3.6658333333333334E-2</v>
      </c>
      <c r="CQ1071" s="135">
        <v>1.0483662879041455E-2</v>
      </c>
      <c r="CR1071" s="135">
        <f t="shared" si="1914"/>
        <v>2.6174670454291879E-2</v>
      </c>
      <c r="CS1071" s="135">
        <f t="shared" si="1917"/>
        <v>1.6327858318188941E-2</v>
      </c>
      <c r="CT1071" s="135">
        <f t="shared" si="1918"/>
        <v>4.301363574220729E-3</v>
      </c>
      <c r="CU1071" s="139">
        <f t="shared" si="1908"/>
        <v>0.84923979999999999</v>
      </c>
      <c r="CV1071" s="335">
        <f t="shared" si="1909"/>
        <v>1.3989193348138562</v>
      </c>
      <c r="CW1071" s="335">
        <f t="shared" si="1910"/>
        <v>0.29302682427824522</v>
      </c>
      <c r="CX1071" s="335">
        <f t="shared" si="1911"/>
        <v>0.76309497491941802</v>
      </c>
      <c r="CY1071" s="335">
        <f t="shared" si="1912"/>
        <v>0.31280857135128509</v>
      </c>
      <c r="CZ1071" s="336">
        <f>INDEX('State Tax Lookup'!$D$7:$Z$91,MATCH(Calculation!$C1071,'State Tax Lookup'!$B$7:$B$91,0),MATCH($H1071,'State Tax Lookup'!$D$6:$Z$6,0))</f>
        <v>0.40745999999999999</v>
      </c>
      <c r="DA1071" s="302">
        <v>0.37</v>
      </c>
      <c r="DB1071" s="57">
        <f t="shared" si="1915"/>
        <v>15.706856644256023</v>
      </c>
      <c r="DC1071" s="56">
        <f t="shared" si="1919"/>
        <v>-2.3021927074405889E-2</v>
      </c>
      <c r="DD1071" s="303">
        <f>VLOOKUP($H1071,RoR!$E:$F,2,FALSE)</f>
        <v>3.6658333333333334E-2</v>
      </c>
      <c r="DE1071" s="304">
        <f>HLOOKUP($H1071,'GDP-PI'!$D$8:$CQ$11,3,FALSE)</f>
        <v>1.0483662879041455E-2</v>
      </c>
      <c r="DF1071" s="303">
        <f>VLOOKUP(H1071,'HW Dx Data'!$E:$F,2,FALSE)</f>
        <v>671.45639385971219</v>
      </c>
      <c r="DG1071" s="364">
        <f ca="1">VLOOKUP(CC1071,'ECI - Input Price'!M$13:N$33,2,FALSE)</f>
        <v>136.94999999999999</v>
      </c>
      <c r="DH1071" s="364"/>
      <c r="DI1071" s="364"/>
      <c r="DJ1071" s="56">
        <f t="shared" ca="1" si="1927"/>
        <v>2.5514417868782811E-2</v>
      </c>
      <c r="DK1071" s="53">
        <f>HLOOKUP(H1071,'GDP-PI'!$8:$9,2,FALSE)</f>
        <v>105.736</v>
      </c>
      <c r="DL1071" s="355">
        <f t="shared" si="1920"/>
        <v>1.0429090367205095E-2</v>
      </c>
    </row>
    <row r="1072" spans="1:116" s="126" customFormat="1" ht="21" customHeight="1" x14ac:dyDescent="0.4">
      <c r="A1072" s="233" t="s">
        <v>245</v>
      </c>
      <c r="B1072" s="126" t="s">
        <v>245</v>
      </c>
      <c r="C1072" s="126">
        <v>4057146</v>
      </c>
      <c r="D1072" s="127" t="s">
        <v>231</v>
      </c>
      <c r="E1072" s="127"/>
      <c r="F1072" s="144"/>
      <c r="G1072" s="126" t="s">
        <v>173</v>
      </c>
      <c r="H1072" s="128">
        <v>2017</v>
      </c>
      <c r="I1072" s="129"/>
      <c r="J1072" s="125">
        <f>IFERROR(INDEX('Labor Expenditures'!$E$7:$W$91,MATCH($C1072,'Labor Expenditures'!$C$7:$C$91,0),MATCH($G1072,'Labor Expenditures'!$E$5:$W$5,0)),"NA")</f>
        <v>353436.48538048775</v>
      </c>
      <c r="K1072" s="125">
        <f t="shared" ca="1" si="1921"/>
        <v>2516.4577100782326</v>
      </c>
      <c r="L1072" s="47"/>
      <c r="M1072" s="131">
        <f t="shared" ca="1" si="1928"/>
        <v>3.3314598067194688E-2</v>
      </c>
      <c r="N1072" s="131"/>
      <c r="O1072" s="131"/>
      <c r="P1072" s="59">
        <f t="shared" ca="1" si="1930"/>
        <v>3.781009305611119E-3</v>
      </c>
      <c r="Q1072" s="61"/>
      <c r="R1072" s="387"/>
      <c r="S1072" s="49">
        <f t="shared" ca="1" si="1935"/>
        <v>168.98141745465176</v>
      </c>
      <c r="T1072" s="61">
        <f ca="1">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</f>
        <v>-0.57237435910072443</v>
      </c>
      <c r="U1072" s="61"/>
      <c r="V1072" s="125">
        <f>IFERROR(INDEX('Non-Labor Expenditures'!$E$7:$AA$91,MATCH($C1072,'Non-Labor Expenditures'!$C$7:$C$91,0),MATCH($G1072,'Non-Labor Expenditures'!$E$5:$AA$5,0)),"NA")</f>
        <v>511842.04366063885</v>
      </c>
      <c r="W1072" s="125">
        <f t="shared" si="1922"/>
        <v>4750.2301014435025</v>
      </c>
      <c r="X1072" s="131">
        <f t="shared" si="1931"/>
        <v>3.9672667680614865E-2</v>
      </c>
      <c r="Y1072" s="131">
        <f t="shared" si="1932"/>
        <v>4.5026124996696837E-3</v>
      </c>
      <c r="Z1072" s="131"/>
      <c r="AA1072" s="131"/>
      <c r="AB1072" s="131"/>
      <c r="AC1072" s="125">
        <f t="shared" si="1901"/>
        <v>301341.45151617425</v>
      </c>
      <c r="AD1072" s="129"/>
      <c r="AE1072" s="133">
        <v>24437.60590302795</v>
      </c>
      <c r="AF1072" s="134">
        <v>4.6752778683477138E-2</v>
      </c>
      <c r="AG1072" s="59">
        <f t="shared" si="1923"/>
        <v>5.3061631093029625E-3</v>
      </c>
      <c r="AH1072" s="134"/>
      <c r="AI1072" s="134"/>
      <c r="AJ1072" s="129">
        <f t="shared" si="1902"/>
        <v>1166619.9805573008</v>
      </c>
      <c r="AK1072" s="134">
        <f t="shared" si="1933"/>
        <v>2.6160306257164451E-2</v>
      </c>
      <c r="AL1072" s="129"/>
      <c r="AM1072" s="129"/>
      <c r="AN1072" s="129"/>
      <c r="AO1072" s="129"/>
      <c r="AP1072" s="133">
        <f t="shared" si="1934"/>
        <v>203.10084387552476</v>
      </c>
      <c r="AQ1072" s="134">
        <f>+BB1072/Outputs!$B$25</f>
        <v>0.15512882185511076</v>
      </c>
      <c r="AR1072" s="93">
        <f t="shared" si="1924"/>
        <v>0.30295768225369257</v>
      </c>
      <c r="AS1072" s="93">
        <f t="shared" si="1925"/>
        <v>0.43873930859312821</v>
      </c>
      <c r="AT1072" s="93">
        <f t="shared" si="1926"/>
        <v>0.25830300915317922</v>
      </c>
      <c r="AU1072" s="93">
        <f t="shared" ca="1" si="1929"/>
        <v>3.9689633089822735E-2</v>
      </c>
      <c r="AV1072" s="132">
        <f t="shared" ca="1" si="1937"/>
        <v>110.295585441253</v>
      </c>
      <c r="AW1072" s="134">
        <f t="shared" ca="1" si="1938"/>
        <v>3.9689633089822721E-2</v>
      </c>
      <c r="AX1072" s="56">
        <f>+AJ1072/$AL$22</f>
        <v>0.11349406941620369</v>
      </c>
      <c r="AY1072" s="135">
        <f t="shared" ca="1" si="1936"/>
        <v>4.5045379729999942E-3</v>
      </c>
      <c r="AZ1072" s="93"/>
      <c r="BA1072" s="93"/>
      <c r="BB1072" s="234">
        <f>IFERROR(INDEX('Total Customers'!$E$7:$AA$91,MATCH($C1072,'Total Customers'!$C$7:$C$91,0),MATCH($G1072,'Total Customers'!$E$5:$AA$5,0)),"NA")</f>
        <v>5744043</v>
      </c>
      <c r="BC1072" s="269">
        <f t="shared" si="1861"/>
        <v>7.454365405130745E-3</v>
      </c>
      <c r="BD1072" s="92"/>
      <c r="BE1072" s="299" t="str">
        <f t="shared" si="1855"/>
        <v>SOUTHERN CALIFORNIA GAS COMPANY</v>
      </c>
      <c r="BF1072" s="300">
        <f t="shared" si="1856"/>
        <v>4057146</v>
      </c>
      <c r="BG1072" s="231" t="str">
        <f t="shared" si="1857"/>
        <v>CA</v>
      </c>
      <c r="BH1072" s="231"/>
      <c r="BI1072" s="231" t="str">
        <f t="shared" si="1858"/>
        <v>2017 Y</v>
      </c>
      <c r="BJ1072" s="129"/>
      <c r="BK1072" s="129"/>
      <c r="BL1072" s="129">
        <f>INDEX('Dist. Plant Gas Additions'!$E$7:$AD$91,MATCH($C1072,'Dist. Plant Gas Additions'!$C$7:$C$91,0),MATCH(Calculation!$G1072,'Dist. Plant Gas Additions'!$E$5:$AD$5,0))</f>
        <v>720721</v>
      </c>
      <c r="BM1072" s="129">
        <f>INDEX('Gen. Plant Additions'!$E$7:$AD$91,MATCH($C1072,'Gen. Plant Additions'!$C$7:$C$91,0),MATCH(Calculation!$G1072,'Gen. Plant Additions'!$E$5:$AD$5,0))</f>
        <v>212108</v>
      </c>
      <c r="BN1072" s="301">
        <f t="shared" si="1903"/>
        <v>0.85726393069391471</v>
      </c>
      <c r="BO1072" s="231">
        <f t="shared" si="1939"/>
        <v>181832.53781162488</v>
      </c>
      <c r="BP1072" s="231">
        <f t="shared" si="1940"/>
        <v>-30275.462188375124</v>
      </c>
      <c r="BQ1072" s="129">
        <f>INDEX('Dist Plant Depreciation'!$D$7:$AC$94,MATCH($C1072,'Dist Plant Depreciation'!$C$7:$C$94,0),MATCH(Calculation!$G1072,'Dist Plant Depreciation'!$D$5:$AC$5,0))</f>
        <v>3344614</v>
      </c>
      <c r="BR1072" s="129">
        <f>INDEX('Gen. Plant Depreciation'!$D$7:$AC$94,MATCH($C1072,'Gen. Plant Depreciation'!$C$7:$C$94,0),MATCH(Calculation!$G1072,'Gen. Plant Depreciation'!$D$5:$AC$5,0))</f>
        <v>964742</v>
      </c>
      <c r="BS1072" s="129"/>
      <c r="BT1072" s="129"/>
      <c r="BU1072" s="129"/>
      <c r="BV1072" s="129"/>
      <c r="BW1072" s="129"/>
      <c r="BX1072" s="137"/>
      <c r="BY1072" s="129">
        <f>INDEX('Gross Dx Plant'!$D$7:$AC$91,MATCH($C1072,'Gross Dx Plant'!$C$7:$C$91,0),MATCH(Calculation!$G1072,'Gross Dx Plant'!$D$5:$AC$5,0))</f>
        <v>10180779</v>
      </c>
      <c r="BZ1072" s="129">
        <f>INDEX('Gross Gen Plant'!$D$7:$AC$91,MATCH($C1072,'Gross Gen Plant'!$C$7:$C$91,0),MATCH(Calculation!$G1072,'Gross Gen Plant'!$D$5:$AC$5,0))</f>
        <v>1695119</v>
      </c>
      <c r="CA1072" s="129">
        <f t="shared" si="1852"/>
        <v>7566542</v>
      </c>
      <c r="CB1072" s="129"/>
      <c r="CC1072" s="133">
        <v>2017</v>
      </c>
      <c r="CD1072" s="129"/>
      <c r="CE1072" s="129"/>
      <c r="CF1072" s="129"/>
      <c r="CG1072" s="137"/>
      <c r="CH1072" s="129">
        <f t="shared" si="1904"/>
        <v>932829</v>
      </c>
      <c r="CI1072" s="46">
        <f t="shared" si="1913"/>
        <v>902553.53781162482</v>
      </c>
      <c r="CJ1072" s="231">
        <f t="shared" si="1905"/>
        <v>1266.8687900214502</v>
      </c>
      <c r="CK1072" s="443">
        <v>0.77108433734939763</v>
      </c>
      <c r="CL1072" s="231">
        <f>+CL1053*CK1072+CJ1054*CK1071+CJ1055*CK1070+CJ1056*CK1069+CJ1057*CK1068+CJ1058*CK1067+CJ1059*CK1066+CJ1060*CK1065+CJ1061*CK1064+CJ1062*CK1063+CJ1063*CK1062+CJ1064*CK1061+CJ1065*CK1060+CJ1066*CK1059+CJ1067*CK1058+CJ1068*CK1057+CJ1069*CK1056+CJ1070*CK1055+CJ1071*CK1054+CJ1072</f>
        <v>22360.28474887375</v>
      </c>
      <c r="CM1072" s="134">
        <f t="shared" si="1906"/>
        <v>4.3157676847035295E-2</v>
      </c>
      <c r="CN1072" s="135">
        <f t="shared" si="1907"/>
        <v>1.5053303182152724E-2</v>
      </c>
      <c r="CO1072" s="135">
        <f t="shared" si="1916"/>
        <v>1.4825090400671979E-2</v>
      </c>
      <c r="CP1072" s="134">
        <f>VLOOKUP($H1072,RoR!$E:$F,2,FALSE)</f>
        <v>3.7433333333333339E-2</v>
      </c>
      <c r="CQ1072" s="135">
        <v>1.9056896421275615E-2</v>
      </c>
      <c r="CR1072" s="135">
        <f t="shared" si="1914"/>
        <v>1.8376436912057724E-2</v>
      </c>
      <c r="CS1072" s="135">
        <f t="shared" si="1917"/>
        <v>1.6076851207861648E-2</v>
      </c>
      <c r="CT1072" s="135">
        <f t="shared" si="1918"/>
        <v>1.3976271617800498E-2</v>
      </c>
      <c r="CU1072" s="139">
        <f t="shared" si="1908"/>
        <v>0.90103980000000006</v>
      </c>
      <c r="CV1072" s="335">
        <f t="shared" si="1909"/>
        <v>1.3699568463593395</v>
      </c>
      <c r="CW1072" s="335">
        <f t="shared" si="1910"/>
        <v>0.30714603739982199</v>
      </c>
      <c r="CX1072" s="335">
        <f t="shared" si="1911"/>
        <v>0.77007188472689425</v>
      </c>
      <c r="CY1072" s="335">
        <f t="shared" si="1912"/>
        <v>0.32402839633793828</v>
      </c>
      <c r="CZ1072" s="336">
        <f>INDEX('State Tax Lookup'!$D$7:$Z$91,MATCH(Calculation!$C1072,'State Tax Lookup'!$B$7:$B$91,0),MATCH($H1072,'State Tax Lookup'!$D$6:$Z$6,0))</f>
        <v>0.26745999999999998</v>
      </c>
      <c r="DA1072" s="302">
        <v>0.37</v>
      </c>
      <c r="DB1072" s="57">
        <f t="shared" si="1915"/>
        <v>14.070991055414648</v>
      </c>
      <c r="DC1072" s="56">
        <f t="shared" si="1919"/>
        <v>-0.10998203981869918</v>
      </c>
      <c r="DD1072" s="303">
        <f>VLOOKUP($H1072,RoR!$E:$F,2,FALSE)</f>
        <v>3.7433333333333339E-2</v>
      </c>
      <c r="DE1072" s="304">
        <f>HLOOKUP($H1072,'GDP-PI'!$D$8:$CQ$11,3,FALSE)</f>
        <v>1.9056896421275615E-2</v>
      </c>
      <c r="DF1072" s="303">
        <f>VLOOKUP(H1072,'HW Dx Data'!$E:$F,2,FALSE)</f>
        <v>712.42858370229726</v>
      </c>
      <c r="DG1072" s="364">
        <f ca="1">VLOOKUP(CC1072,'ECI - Input Price'!M$13:N$33,2,FALSE)</f>
        <v>140.44999999999999</v>
      </c>
      <c r="DH1072" s="364"/>
      <c r="DI1072" s="364"/>
      <c r="DJ1072" s="56">
        <f t="shared" ca="1" si="1927"/>
        <v>2.5235657841165486E-2</v>
      </c>
      <c r="DK1072" s="53">
        <f>HLOOKUP(H1072,'GDP-PI'!$8:$9,2,FALSE)</f>
        <v>107.751</v>
      </c>
      <c r="DL1072" s="355">
        <f t="shared" si="1920"/>
        <v>1.8877588227745139E-2</v>
      </c>
    </row>
    <row r="1073" spans="1:116" s="126" customFormat="1" ht="21" customHeight="1" x14ac:dyDescent="0.4">
      <c r="A1073" s="233" t="s">
        <v>245</v>
      </c>
      <c r="B1073" s="126" t="s">
        <v>245</v>
      </c>
      <c r="C1073" s="126">
        <v>4057146</v>
      </c>
      <c r="D1073" s="127" t="s">
        <v>231</v>
      </c>
      <c r="E1073" s="127"/>
      <c r="F1073" s="144"/>
      <c r="G1073" s="126" t="s">
        <v>174</v>
      </c>
      <c r="H1073" s="128">
        <v>2018</v>
      </c>
      <c r="I1073" s="129"/>
      <c r="J1073" s="125">
        <f>IFERROR(INDEX('Labor Expenditures'!$E$7:$W$91,MATCH($C1073,'Labor Expenditures'!$C$7:$C$91,0),MATCH($G1073,'Labor Expenditures'!$E$5:$W$5,0)),"NA")</f>
        <v>365021.44782177889</v>
      </c>
      <c r="K1073" s="125">
        <f t="shared" ca="1" si="1921"/>
        <v>2526.9743705211417</v>
      </c>
      <c r="L1073" s="47"/>
      <c r="M1073" s="131">
        <f t="shared" ca="1" si="1928"/>
        <v>4.1704440617074835E-3</v>
      </c>
      <c r="N1073" s="131"/>
      <c r="O1073" s="131"/>
      <c r="P1073" s="59">
        <f t="shared" ca="1" si="1930"/>
        <v>4.5780582427378555E-4</v>
      </c>
      <c r="Q1073" s="61"/>
      <c r="R1073" s="387"/>
      <c r="S1073" s="49">
        <f t="shared" ca="1" si="1935"/>
        <v>116.21333007516505</v>
      </c>
      <c r="T1073" s="61">
        <f ca="1">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</f>
        <v>-0.37436119849574417</v>
      </c>
      <c r="U1073" s="61"/>
      <c r="V1073" s="125">
        <f>IFERROR(INDEX('Non-Labor Expenditures'!$E$7:$AA$91,MATCH($C1073,'Non-Labor Expenditures'!$C$7:$C$91,0),MATCH($G1073,'Non-Labor Expenditures'!$E$5:$AA$5,0)),"NA")</f>
        <v>528619.23304814287</v>
      </c>
      <c r="W1073" s="125">
        <f t="shared" si="1922"/>
        <v>4791.6030623823253</v>
      </c>
      <c r="X1073" s="131">
        <f t="shared" si="1931"/>
        <v>8.6719647071906592E-3</v>
      </c>
      <c r="Y1073" s="131">
        <f t="shared" si="1932"/>
        <v>9.5195520959059433E-4</v>
      </c>
      <c r="Z1073" s="131"/>
      <c r="AA1073" s="131"/>
      <c r="AB1073" s="131"/>
      <c r="AC1073" s="125">
        <f t="shared" si="1901"/>
        <v>327917.27620736562</v>
      </c>
      <c r="AD1073" s="129"/>
      <c r="AE1073" s="133">
        <v>25222.738318619908</v>
      </c>
      <c r="AF1073" s="134">
        <v>3.1622730543617847E-2</v>
      </c>
      <c r="AG1073" s="59">
        <f t="shared" si="1923"/>
        <v>3.4713498150557879E-3</v>
      </c>
      <c r="AH1073" s="134"/>
      <c r="AI1073" s="134"/>
      <c r="AJ1073" s="129">
        <f t="shared" si="1902"/>
        <v>1221557.9570772874</v>
      </c>
      <c r="AK1073" s="134">
        <f t="shared" si="1933"/>
        <v>4.601639569267265E-2</v>
      </c>
      <c r="AL1073" s="129"/>
      <c r="AM1073" s="129"/>
      <c r="AN1073" s="129"/>
      <c r="AO1073" s="129"/>
      <c r="AP1073" s="133">
        <f t="shared" si="1934"/>
        <v>211.44917551323323</v>
      </c>
      <c r="AQ1073" s="134">
        <f>+BB1073/Outputs!$B$26</f>
        <v>0.15465452876150898</v>
      </c>
      <c r="AR1073" s="93">
        <f t="shared" si="1924"/>
        <v>0.29881631543306642</v>
      </c>
      <c r="AS1073" s="93">
        <f t="shared" si="1925"/>
        <v>0.43274183593623577</v>
      </c>
      <c r="AT1073" s="93">
        <f t="shared" si="1926"/>
        <v>0.26844184863069781</v>
      </c>
      <c r="AU1073" s="93">
        <f t="shared" ca="1" si="1929"/>
        <v>1.3362114613209665E-2</v>
      </c>
      <c r="AV1073" s="132">
        <f t="shared" ca="1" si="1937"/>
        <v>111.77925812218957</v>
      </c>
      <c r="AW1073" s="134">
        <f t="shared" ca="1" si="1938"/>
        <v>1.3362114613209583E-2</v>
      </c>
      <c r="AX1073" s="56">
        <f>+AJ1073/$AL$23</f>
        <v>0.10977387959169711</v>
      </c>
      <c r="AY1073" s="135">
        <f t="shared" ca="1" si="1936"/>
        <v>1.4668111606409252E-3</v>
      </c>
      <c r="AZ1073" s="93"/>
      <c r="BA1073" s="93"/>
      <c r="BB1073" s="234">
        <f>IFERROR(INDEX('Total Customers'!$E$7:$AA$91,MATCH($C1073,'Total Customers'!$C$7:$C$91,0),MATCH($G1073,'Total Customers'!$E$5:$AA$5,0)),"NA")</f>
        <v>5777076</v>
      </c>
      <c r="BC1073" s="269">
        <f t="shared" si="1861"/>
        <v>5.7343545393703718E-3</v>
      </c>
      <c r="BD1073" s="92"/>
      <c r="BE1073" s="299" t="str">
        <f t="shared" si="1855"/>
        <v>SOUTHERN CALIFORNIA GAS COMPANY</v>
      </c>
      <c r="BF1073" s="300">
        <f t="shared" si="1856"/>
        <v>4057146</v>
      </c>
      <c r="BG1073" s="231" t="str">
        <f t="shared" si="1857"/>
        <v>CA</v>
      </c>
      <c r="BH1073" s="231"/>
      <c r="BI1073" s="231" t="str">
        <f t="shared" si="1858"/>
        <v>2018 Y</v>
      </c>
      <c r="BJ1073" s="129"/>
      <c r="BK1073" s="129"/>
      <c r="BL1073" s="129">
        <f>INDEX('Dist. Plant Gas Additions'!$E$7:$AD$91,MATCH($C1073,'Dist. Plant Gas Additions'!$C$7:$C$91,0),MATCH(Calculation!$G1073,'Dist. Plant Gas Additions'!$E$5:$AD$5,0))</f>
        <v>588006</v>
      </c>
      <c r="BM1073" s="129">
        <f>INDEX('Gen. Plant Additions'!$E$7:$AD$91,MATCH($C1073,'Gen. Plant Additions'!$C$7:$C$91,0),MATCH(Calculation!$G1073,'Gen. Plant Additions'!$E$5:$AD$5,0))</f>
        <v>161255</v>
      </c>
      <c r="BN1073" s="301">
        <f t="shared" si="1903"/>
        <v>0.85509932064541938</v>
      </c>
      <c r="BO1073" s="231">
        <f t="shared" si="1939"/>
        <v>137889.0409506771</v>
      </c>
      <c r="BP1073" s="231">
        <f t="shared" si="1940"/>
        <v>-23365.959049322904</v>
      </c>
      <c r="BQ1073" s="129">
        <f>INDEX('Dist Plant Depreciation'!$D$7:$AC$94,MATCH($C1073,'Dist Plant Depreciation'!$C$7:$C$94,0),MATCH(Calculation!$G1073,'Dist Plant Depreciation'!$D$5:$AC$5,0))</f>
        <v>3482276</v>
      </c>
      <c r="BR1073" s="129">
        <f>INDEX('Gen. Plant Depreciation'!$D$7:$AC$94,MATCH($C1073,'Gen. Plant Depreciation'!$C$7:$C$94,0),MATCH(Calculation!$G1073,'Gen. Plant Depreciation'!$D$5:$AC$5,0))</f>
        <v>1102814</v>
      </c>
      <c r="BS1073" s="129"/>
      <c r="BT1073" s="129"/>
      <c r="BU1073" s="129"/>
      <c r="BV1073" s="129"/>
      <c r="BW1073" s="129"/>
      <c r="BX1073" s="137"/>
      <c r="BY1073" s="129">
        <f>INDEX('Gross Dx Plant'!$D$7:$AC$91,MATCH($C1073,'Gross Dx Plant'!$C$7:$C$91,0),MATCH(Calculation!$G1073,'Gross Dx Plant'!$D$5:$AC$5,0))</f>
        <v>10767621</v>
      </c>
      <c r="BZ1073" s="129">
        <f>INDEX('Gross Gen Plant'!$D$7:$AC$91,MATCH($C1073,'Gross Gen Plant'!$C$7:$C$91,0),MATCH(Calculation!$G1073,'Gross Gen Plant'!$D$5:$AC$5,0))</f>
        <v>1824625</v>
      </c>
      <c r="CA1073" s="129">
        <f t="shared" si="1852"/>
        <v>8007156</v>
      </c>
      <c r="CB1073" s="129"/>
      <c r="CC1073" s="133">
        <v>2018</v>
      </c>
      <c r="CD1073" s="129"/>
      <c r="CE1073" s="129"/>
      <c r="CF1073" s="129"/>
      <c r="CG1073" s="137"/>
      <c r="CH1073" s="129">
        <f t="shared" si="1904"/>
        <v>749261</v>
      </c>
      <c r="CI1073" s="46">
        <f t="shared" si="1913"/>
        <v>725895.04095067712</v>
      </c>
      <c r="CJ1073" s="231">
        <f t="shared" si="1905"/>
        <v>961.27631879670798</v>
      </c>
      <c r="CK1073" s="443">
        <v>0.75609756097560976</v>
      </c>
      <c r="CL1073" s="231">
        <f>+CL1053*CK1073++CJ1054*CK1072+CJ1055*CK1071+CJ1056*CK1070+CJ1057*CK1069+CJ1058*CK1068+CJ1059*CK1067+CJ1060*CK1066+CJ1061*CK1065+CJ1062*CK1064+CJ1063*CK1063+CJ1064*CK1062+CJ1065*CK1061+CJ1066*CK1060+CJ1067*CK1059+CJ1068*CK1058+CJ1069*CK1057+CJ1070*CK1056+CJ1071*CK1055+CJ1072*CK1054+CJ1073</f>
        <v>22979.193330198654</v>
      </c>
      <c r="CM1073" s="134">
        <f t="shared" si="1906"/>
        <v>2.7302785730247126E-2</v>
      </c>
      <c r="CN1073" s="135">
        <f t="shared" si="1907"/>
        <v>1.531142117897441E-2</v>
      </c>
      <c r="CO1073" s="135">
        <f t="shared" si="1916"/>
        <v>1.5062474514866532E-2</v>
      </c>
      <c r="CP1073" s="134">
        <f>VLOOKUP($H1073,RoR!$E:$F,2,FALSE)</f>
        <v>3.9299999999999995E-2</v>
      </c>
      <c r="CQ1073" s="135">
        <v>2.386056741932796E-2</v>
      </c>
      <c r="CR1073" s="135">
        <f t="shared" si="1914"/>
        <v>1.5439432580672034E-2</v>
      </c>
      <c r="CS1073" s="135">
        <f t="shared" si="1917"/>
        <v>1.5839467093667091E-2</v>
      </c>
      <c r="CT1073" s="135">
        <f t="shared" si="1918"/>
        <v>3.8270792163076606E-2</v>
      </c>
      <c r="CU1073" s="139">
        <f t="shared" si="1908"/>
        <v>0.90103980000000006</v>
      </c>
      <c r="CV1073" s="335">
        <f t="shared" si="1909"/>
        <v>1.3048868010700074</v>
      </c>
      <c r="CW1073" s="335">
        <f t="shared" si="1910"/>
        <v>0.33886768447837151</v>
      </c>
      <c r="CX1073" s="335">
        <f t="shared" si="1911"/>
        <v>0.78602506232557801</v>
      </c>
      <c r="CY1073" s="335">
        <f t="shared" si="1912"/>
        <v>0.34756768162358759</v>
      </c>
      <c r="CZ1073" s="336">
        <f>INDEX('State Tax Lookup'!$D$7:$Z$91,MATCH(Calculation!$C1073,'State Tax Lookup'!$B$7:$B$91,0),MATCH($H1073,'State Tax Lookup'!$D$6:$Z$6,0))</f>
        <v>0.26745999999999998</v>
      </c>
      <c r="DA1073" s="302">
        <v>0.37</v>
      </c>
      <c r="DB1073" s="57">
        <f t="shared" si="1915"/>
        <v>14.665165488283071</v>
      </c>
      <c r="DC1073" s="56">
        <f t="shared" si="1919"/>
        <v>4.1359680809365487E-2</v>
      </c>
      <c r="DD1073" s="303">
        <f>VLOOKUP($H1073,RoR!$E:$F,2,FALSE)</f>
        <v>3.9299999999999995E-2</v>
      </c>
      <c r="DE1073" s="304">
        <f>HLOOKUP($H1073,'GDP-PI'!$D$8:$CQ$11,3,FALSE)</f>
        <v>2.386056741932796E-2</v>
      </c>
      <c r="DF1073" s="303">
        <f>VLOOKUP(H1073,'HW Dx Data'!$E:$F,2,FALSE)</f>
        <v>755.13671434174842</v>
      </c>
      <c r="DG1073" s="364">
        <f ca="1">VLOOKUP(CC1073,'ECI - Input Price'!M$13:N$33,2,FALSE)</f>
        <v>144.44999999999999</v>
      </c>
      <c r="DH1073" s="364"/>
      <c r="DI1073" s="364"/>
      <c r="DJ1073" s="56">
        <f t="shared" ca="1" si="1927"/>
        <v>2.80818733619915E-2</v>
      </c>
      <c r="DK1073" s="53">
        <f>HLOOKUP(H1073,'GDP-PI'!$8:$9,2,FALSE)</f>
        <v>110.322</v>
      </c>
      <c r="DL1073" s="355">
        <f t="shared" si="1920"/>
        <v>2.3580352716508712E-2</v>
      </c>
    </row>
    <row r="1074" spans="1:116" s="126" customFormat="1" ht="21" customHeight="1" x14ac:dyDescent="0.4">
      <c r="A1074" s="233" t="s">
        <v>245</v>
      </c>
      <c r="B1074" s="126" t="s">
        <v>245</v>
      </c>
      <c r="C1074" s="126">
        <v>4057146</v>
      </c>
      <c r="D1074" s="127" t="s">
        <v>231</v>
      </c>
      <c r="E1074" s="127"/>
      <c r="F1074" s="144"/>
      <c r="G1074" s="126" t="s">
        <v>175</v>
      </c>
      <c r="H1074" s="128">
        <v>2019</v>
      </c>
      <c r="I1074" s="129"/>
      <c r="J1074" s="125">
        <f>IFERROR(INDEX('Labor Expenditures'!$E$7:$W$91,MATCH($C1074,'Labor Expenditures'!$C$7:$C$91,0),MATCH($G1074,'Labor Expenditures'!$E$5:$W$5,0)),"NA")</f>
        <v>390454.18876962253</v>
      </c>
      <c r="K1074" s="125">
        <f t="shared" ca="1" si="1921"/>
        <v>2608.68006527224</v>
      </c>
      <c r="L1074" s="47"/>
      <c r="M1074" s="131">
        <f t="shared" ca="1" si="1928"/>
        <v>3.1821685196689278E-2</v>
      </c>
      <c r="N1074" s="131"/>
      <c r="O1074" s="131"/>
      <c r="P1074" s="59">
        <f t="shared" ca="1" si="1930"/>
        <v>3.6163202064352527E-3</v>
      </c>
      <c r="Q1074" s="61"/>
      <c r="R1074" s="387"/>
      <c r="S1074" s="49">
        <f t="shared" ca="1" si="1935"/>
        <v>116.36738782442443</v>
      </c>
      <c r="T1074" s="61">
        <f ca="1">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</f>
        <v>1.3247682196680273E-3</v>
      </c>
      <c r="U1074" s="61"/>
      <c r="V1074" s="125">
        <f>IFERROR(INDEX('Non-Labor Expenditures'!$E$7:$AA$91,MATCH($C1074,'Non-Labor Expenditures'!$C$7:$C$91,0),MATCH($G1074,'Non-Labor Expenditures'!$E$5:$AA$5,0)),"NA")</f>
        <v>565450.59212139202</v>
      </c>
      <c r="W1074" s="125">
        <f t="shared" si="1922"/>
        <v>5034.371980638829</v>
      </c>
      <c r="X1074" s="131">
        <f t="shared" si="1931"/>
        <v>4.9423763644458836E-2</v>
      </c>
      <c r="Y1074" s="131">
        <f t="shared" si="1932"/>
        <v>5.6166778736197092E-3</v>
      </c>
      <c r="Z1074" s="131"/>
      <c r="AA1074" s="131"/>
      <c r="AB1074" s="131"/>
      <c r="AC1074" s="125">
        <f t="shared" si="1901"/>
        <v>338845.75438815623</v>
      </c>
      <c r="AD1074" s="129"/>
      <c r="AE1074" s="133">
        <v>25955.284025264853</v>
      </c>
      <c r="AF1074" s="134">
        <v>2.8629310300199756E-2</v>
      </c>
      <c r="AG1074" s="59">
        <f t="shared" si="1923"/>
        <v>3.2535282998050908E-3</v>
      </c>
      <c r="AH1074" s="134"/>
      <c r="AI1074" s="134"/>
      <c r="AJ1074" s="129">
        <f t="shared" si="1902"/>
        <v>1294750.5352791706</v>
      </c>
      <c r="AK1074" s="134">
        <f t="shared" si="1933"/>
        <v>5.8190981690506377E-2</v>
      </c>
      <c r="AL1074" s="129"/>
      <c r="AM1074" s="129"/>
      <c r="AN1074" s="129"/>
      <c r="AO1074" s="129"/>
      <c r="AP1074" s="133">
        <f t="shared" si="1934"/>
        <v>222.76293633673976</v>
      </c>
      <c r="AQ1074" s="134">
        <f>+BB1074/Outputs!$B$27</f>
        <v>0.15431252210088375</v>
      </c>
      <c r="AR1074" s="93">
        <f t="shared" si="1924"/>
        <v>0.30156711901681804</v>
      </c>
      <c r="AS1074" s="93">
        <f t="shared" si="1925"/>
        <v>0.43672551330474724</v>
      </c>
      <c r="AT1074" s="93">
        <f t="shared" si="1926"/>
        <v>0.26170736767843483</v>
      </c>
      <c r="AU1074" s="93">
        <f t="shared" ca="1" si="1929"/>
        <v>3.8627683916476863E-2</v>
      </c>
      <c r="AV1074" s="132">
        <f t="shared" ca="1" si="1937"/>
        <v>116.18150898186575</v>
      </c>
      <c r="AW1074" s="134">
        <f t="shared" ca="1" si="1938"/>
        <v>3.862768391647687E-2</v>
      </c>
      <c r="AX1074" s="56">
        <f>+AJ1074/$AL$24</f>
        <v>0.11364326509054568</v>
      </c>
      <c r="AY1074" s="135">
        <f t="shared" ca="1" si="1936"/>
        <v>4.3897761231539885E-3</v>
      </c>
      <c r="AZ1074" s="93"/>
      <c r="BA1074" s="93"/>
      <c r="BB1074" s="234">
        <f>IFERROR(INDEX('Total Customers'!$E$7:$AA$91,MATCH($C1074,'Total Customers'!$C$7:$C$91,0),MATCH($G1074,'Total Customers'!$E$5:$AA$5,0)),"NA")</f>
        <v>5812235</v>
      </c>
      <c r="BC1074" s="269">
        <f t="shared" si="1861"/>
        <v>6.0675061466093951E-3</v>
      </c>
      <c r="BD1074" s="92"/>
      <c r="BE1074" s="299" t="str">
        <f t="shared" si="1855"/>
        <v>SOUTHERN CALIFORNIA GAS COMPANY</v>
      </c>
      <c r="BF1074" s="300">
        <f t="shared" si="1856"/>
        <v>4057146</v>
      </c>
      <c r="BG1074" s="231" t="str">
        <f t="shared" si="1857"/>
        <v>CA</v>
      </c>
      <c r="BH1074" s="231"/>
      <c r="BI1074" s="231" t="str">
        <f t="shared" si="1858"/>
        <v>2019 Y</v>
      </c>
      <c r="BJ1074" s="129"/>
      <c r="BK1074" s="129"/>
      <c r="BL1074" s="129">
        <f>INDEX('Dist. Plant Gas Additions'!$E$7:$AD$91,MATCH($C1074,'Dist. Plant Gas Additions'!$C$7:$C$91,0),MATCH(Calculation!$G1074,'Dist. Plant Gas Additions'!$E$5:$AD$5,0))</f>
        <v>590467</v>
      </c>
      <c r="BM1074" s="129">
        <f>INDEX('Gen. Plant Additions'!$E$7:$AD$91,MATCH($C1074,'Gen. Plant Additions'!$C$7:$C$91,0),MATCH(Calculation!$G1074,'Gen. Plant Additions'!$E$5:$AD$5,0))</f>
        <v>146442</v>
      </c>
      <c r="BN1074" s="301">
        <f t="shared" si="1903"/>
        <v>0.85677321670503304</v>
      </c>
      <c r="BO1074" s="231">
        <f t="shared" si="1939"/>
        <v>125467.58340071845</v>
      </c>
      <c r="BP1074" s="231">
        <f t="shared" si="1940"/>
        <v>-20974.416599281554</v>
      </c>
      <c r="BQ1074" s="129">
        <f>INDEX('Dist Plant Depreciation'!$D$7:$AC$94,MATCH($C1074,'Dist Plant Depreciation'!$C$7:$C$94,0),MATCH(Calculation!$G1074,'Dist Plant Depreciation'!$D$5:$AC$5,0))</f>
        <v>3677301</v>
      </c>
      <c r="BR1074" s="129">
        <f>INDEX('Gen. Plant Depreciation'!$D$7:$AC$94,MATCH($C1074,'Gen. Plant Depreciation'!$C$7:$C$94,0),MATCH(Calculation!$G1074,'Gen. Plant Depreciation'!$D$5:$AC$5,0))</f>
        <v>1213595</v>
      </c>
      <c r="BS1074" s="129"/>
      <c r="BT1074" s="129"/>
      <c r="BU1074" s="129"/>
      <c r="BV1074" s="129"/>
      <c r="BW1074" s="129"/>
      <c r="BX1074" s="137"/>
      <c r="BY1074" s="129">
        <f>INDEX('Gross Dx Plant'!$D$7:$AC$91,MATCH($C1074,'Gross Dx Plant'!$C$7:$C$91,0),MATCH(Calculation!$G1074,'Gross Dx Plant'!$D$5:$AC$5,0))</f>
        <v>11397559</v>
      </c>
      <c r="BZ1074" s="129">
        <f>INDEX('Gross Gen Plant'!$D$7:$AC$91,MATCH($C1074,'Gross Gen Plant'!$C$7:$C$91,0),MATCH(Calculation!$G1074,'Gross Gen Plant'!$D$5:$AC$5,0))</f>
        <v>1905330</v>
      </c>
      <c r="CA1074" s="129">
        <f t="shared" si="1852"/>
        <v>8411993</v>
      </c>
      <c r="CB1074" s="129"/>
      <c r="CC1074" s="133">
        <v>2019</v>
      </c>
      <c r="CD1074" s="129"/>
      <c r="CE1074" s="129"/>
      <c r="CF1074" s="129"/>
      <c r="CG1074" s="137"/>
      <c r="CH1074" s="129">
        <f t="shared" si="1904"/>
        <v>736909</v>
      </c>
      <c r="CI1074" s="46">
        <f t="shared" si="1913"/>
        <v>715934.5834007184</v>
      </c>
      <c r="CJ1074" s="231">
        <f t="shared" si="1905"/>
        <v>925.53097859136483</v>
      </c>
      <c r="CK1074" s="443">
        <v>0.7407407407407407</v>
      </c>
      <c r="CL1074" s="231">
        <f>CL1053*CK1074+CJ1054*CK1073+CJ1055*CK1072+CJ1056*CK1071+CJ1057*CK1070+CJ1058*CK1069+CJ1059*CK1068+CJ1060*CK1067+CJ1061*CK1066+CJ1062*CK1065+CJ1063*CK1064+CJ1064*CK1063+CJ1065*CK1062+CJ1066*CK1061+CJ1067*CK1060+CJ1068*CK1059+CJ1069*CK1058+CJ1070*CK1057+CJ1071*CK1056+CJ1072*CK1055+CJ1073*CK1054+CJ1074</f>
        <v>23544.879822731451</v>
      </c>
      <c r="CM1074" s="134">
        <f t="shared" si="1906"/>
        <v>2.4319210850113439E-2</v>
      </c>
      <c r="CN1074" s="135">
        <f t="shared" si="1907"/>
        <v>1.5659578684412274E-2</v>
      </c>
      <c r="CO1074" s="135">
        <f t="shared" si="1916"/>
        <v>1.5341434348513136E-2</v>
      </c>
      <c r="CP1074" s="134">
        <f>VLOOKUP($H1074,RoR!$E:$F,2,FALSE)</f>
        <v>3.3875000000000009E-2</v>
      </c>
      <c r="CQ1074" s="135">
        <v>1.8092492884465461E-2</v>
      </c>
      <c r="CR1074" s="135">
        <f t="shared" si="1914"/>
        <v>1.5782507115534548E-2</v>
      </c>
      <c r="CS1074" s="135">
        <f t="shared" si="1917"/>
        <v>1.5560507260020489E-2</v>
      </c>
      <c r="CT1074" s="135">
        <f t="shared" si="1918"/>
        <v>4.8445665544254078E-2</v>
      </c>
      <c r="CU1074" s="139">
        <f t="shared" si="1908"/>
        <v>0.90103980000000006</v>
      </c>
      <c r="CV1074" s="335">
        <f t="shared" si="1909"/>
        <v>1.513861292459078</v>
      </c>
      <c r="CW1074" s="335">
        <f t="shared" si="1910"/>
        <v>0.23699261992619944</v>
      </c>
      <c r="CX1074" s="335">
        <f t="shared" si="1911"/>
        <v>0.73619765810468829</v>
      </c>
      <c r="CY1074" s="335">
        <f t="shared" si="1912"/>
        <v>0.26412854465362851</v>
      </c>
      <c r="CZ1074" s="336">
        <f>INDEX('State Tax Lookup'!$D$7:$Z$91,MATCH(Calculation!$C1074,'State Tax Lookup'!$B$7:$B$91,0),MATCH($H1074,'State Tax Lookup'!$D$6:$Z$6,0))</f>
        <v>0.26745999999999998</v>
      </c>
      <c r="DA1074" s="302">
        <v>0.37</v>
      </c>
      <c r="DB1074" s="57">
        <f t="shared" si="1915"/>
        <v>14.745763679304357</v>
      </c>
      <c r="DC1074" s="56">
        <f t="shared" si="1919"/>
        <v>5.480846410794867E-3</v>
      </c>
      <c r="DD1074" s="303">
        <f>VLOOKUP($H1074,RoR!$E:$F,2,FALSE)</f>
        <v>3.3875000000000009E-2</v>
      </c>
      <c r="DE1074" s="304">
        <f>HLOOKUP($H1074,'GDP-PI'!$D$8:$CQ$11,3,FALSE)</f>
        <v>1.8092492884465461E-2</v>
      </c>
      <c r="DF1074" s="303">
        <f>VLOOKUP(H1074,'HW Dx Data'!$E:$F,2,FALSE)</f>
        <v>773.53929793938721</v>
      </c>
      <c r="DG1074" s="364">
        <f ca="1">VLOOKUP(CC1074,'ECI - Input Price'!M$13:N$33,2,FALSE)</f>
        <v>149.67500000000001</v>
      </c>
      <c r="DH1074" s="364"/>
      <c r="DI1074" s="364"/>
      <c r="DJ1074" s="56">
        <f t="shared" ca="1" si="1927"/>
        <v>3.5532849899171604E-2</v>
      </c>
      <c r="DK1074" s="53">
        <f>HLOOKUP(H1074,'GDP-PI'!$8:$9,2,FALSE)</f>
        <v>112.318</v>
      </c>
      <c r="DL1074" s="355">
        <f t="shared" si="1920"/>
        <v>1.7930771451401852E-2</v>
      </c>
    </row>
    <row r="1075" spans="1:116" s="126" customFormat="1" ht="21" customHeight="1" x14ac:dyDescent="0.4">
      <c r="A1075" s="233" t="s">
        <v>245</v>
      </c>
      <c r="B1075" s="126" t="s">
        <v>245</v>
      </c>
      <c r="C1075" s="126">
        <v>4057146</v>
      </c>
      <c r="D1075" s="126" t="s">
        <v>231</v>
      </c>
      <c r="G1075" s="127" t="s">
        <v>176</v>
      </c>
      <c r="H1075" s="128">
        <v>2020</v>
      </c>
      <c r="I1075" s="129"/>
      <c r="J1075" s="125">
        <v>499454</v>
      </c>
      <c r="K1075" s="125">
        <f t="shared" ca="1" si="1921"/>
        <v>3261.2079660463596</v>
      </c>
      <c r="L1075" s="47"/>
      <c r="M1075" s="131">
        <f t="shared" ca="1" si="1928"/>
        <v>0.22325329718086875</v>
      </c>
      <c r="N1075" s="131"/>
      <c r="O1075" s="131"/>
      <c r="P1075" s="59">
        <f t="shared" ca="1" si="1930"/>
        <v>3.0413566654589143E-2</v>
      </c>
      <c r="Q1075" s="61"/>
      <c r="R1075" s="387"/>
      <c r="S1075" s="49">
        <f t="shared" ca="1" si="1935"/>
        <v>118.67029735586654</v>
      </c>
      <c r="T1075" s="61">
        <f ca="1">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</f>
        <v>1.9596714699616023E-2</v>
      </c>
      <c r="U1075" s="61"/>
      <c r="V1075" s="125">
        <v>723302</v>
      </c>
      <c r="W1075" s="125">
        <f t="shared" si="1922"/>
        <v>6365.8062188113317</v>
      </c>
      <c r="X1075" s="131">
        <f t="shared" si="1931"/>
        <v>0.23465210073917844</v>
      </c>
      <c r="Y1075" s="131">
        <f t="shared" si="1932"/>
        <v>3.1966413919023308E-2</v>
      </c>
      <c r="Z1075" s="131"/>
      <c r="AA1075" s="131"/>
      <c r="AB1075" s="131"/>
      <c r="AC1075" s="125">
        <f t="shared" si="1901"/>
        <v>357785.54050660442</v>
      </c>
      <c r="AD1075" s="129"/>
      <c r="AE1075" s="133">
        <v>26628.046922826896</v>
      </c>
      <c r="AF1075" s="134">
        <v>2.5589843690292591E-2</v>
      </c>
      <c r="AG1075" s="59">
        <f t="shared" si="1923"/>
        <v>3.4860780404273651E-3</v>
      </c>
      <c r="AH1075" s="134"/>
      <c r="AI1075" s="134"/>
      <c r="AJ1075" s="129">
        <f t="shared" si="1902"/>
        <v>1580541.5405066044</v>
      </c>
      <c r="AK1075" s="134">
        <f t="shared" si="1933"/>
        <v>0.19944949572598711</v>
      </c>
      <c r="AL1075" s="129"/>
      <c r="AM1075" s="129"/>
      <c r="AN1075" s="129"/>
      <c r="AO1075" s="129"/>
      <c r="AP1075" s="133">
        <f t="shared" si="1934"/>
        <v>271.93352307788734</v>
      </c>
      <c r="AQ1075" s="134">
        <f>+BB1075/Outputs!$B$28</f>
        <v>0.15322283369744252</v>
      </c>
      <c r="AR1075" s="93">
        <f t="shared" si="1924"/>
        <v>0.316001817857892</v>
      </c>
      <c r="AS1075" s="93">
        <f t="shared" si="1925"/>
        <v>0.45762922483401675</v>
      </c>
      <c r="AT1075" s="93">
        <f t="shared" si="1926"/>
        <v>0.22636895730809131</v>
      </c>
      <c r="AU1075" s="93">
        <f t="shared" ca="1" si="1929"/>
        <v>0.18011315818469961</v>
      </c>
      <c r="AV1075" s="132">
        <f t="shared" ca="1" si="1937"/>
        <v>139.11026040071806</v>
      </c>
      <c r="AW1075" s="134">
        <f t="shared" ca="1" si="1938"/>
        <v>0.18011315818469964</v>
      </c>
      <c r="AX1075" s="56">
        <f>+AJ1075/$AL$25</f>
        <v>0.13622896968885337</v>
      </c>
      <c r="AY1075" s="135">
        <f t="shared" ca="1" si="1936"/>
        <v>2.45366299669071E-2</v>
      </c>
      <c r="AZ1075" s="93"/>
      <c r="BA1075" s="93"/>
      <c r="BB1075" s="234">
        <v>5812235</v>
      </c>
      <c r="BC1075" s="269">
        <f t="shared" si="1861"/>
        <v>0</v>
      </c>
      <c r="BD1075" s="92"/>
      <c r="BE1075" s="299" t="str">
        <f t="shared" si="1855"/>
        <v>SOUTHERN CALIFORNIA GAS COMPANY</v>
      </c>
      <c r="BF1075" s="300">
        <f t="shared" si="1856"/>
        <v>4057146</v>
      </c>
      <c r="BG1075" s="231" t="str">
        <f t="shared" si="1857"/>
        <v>CA</v>
      </c>
      <c r="BH1075" s="231"/>
      <c r="BI1075" s="231" t="str">
        <f t="shared" si="1858"/>
        <v>2020 Y</v>
      </c>
      <c r="BJ1075" s="129"/>
      <c r="BK1075" s="129"/>
      <c r="BL1075" s="129"/>
      <c r="BM1075" s="129"/>
      <c r="BN1075" s="301">
        <v>1</v>
      </c>
      <c r="BO1075" s="231">
        <f t="shared" si="1939"/>
        <v>0</v>
      </c>
      <c r="BP1075" s="231">
        <f t="shared" si="1940"/>
        <v>0</v>
      </c>
      <c r="BQ1075" s="129"/>
      <c r="BR1075" s="129"/>
      <c r="BS1075" s="129"/>
      <c r="BT1075" s="129"/>
      <c r="BU1075" s="129"/>
      <c r="BV1075" s="129"/>
      <c r="BW1075" s="129"/>
      <c r="BX1075" s="137"/>
      <c r="BY1075" s="129"/>
      <c r="BZ1075" s="129"/>
      <c r="CA1075" s="129"/>
      <c r="CB1075" s="129"/>
      <c r="CC1075" s="133">
        <v>2020</v>
      </c>
      <c r="CD1075" s="129"/>
      <c r="CE1075" s="129"/>
      <c r="CF1075" s="129"/>
      <c r="CG1075" s="137"/>
      <c r="CH1075" s="129">
        <v>736909</v>
      </c>
      <c r="CI1075" s="46">
        <f t="shared" si="1913"/>
        <v>736909</v>
      </c>
      <c r="CJ1075" s="231">
        <f t="shared" si="1905"/>
        <v>906.31777040472366</v>
      </c>
      <c r="CK1075" s="443">
        <v>0.72499999999999998</v>
      </c>
      <c r="CL1075" s="231">
        <f>CL1053*CK1075+CJ1054*CK1074+CJ1055*CK1073+CJ1056*CK1072+CJ1057*CK1071+CJ1058*CK1070+CJ1059*CK1069+CJ1060*CK1068+CJ1061*CK1067+CJ1062*CK1066+CJ1063*CK1065+CJ1064*CK1064+CJ1065*CK1063+CJ1066*CK1062+CJ1067*CK1061+CJ1068*CK1060+CJ1069*CK1059+CJ1070*CK1058+CJ1071*CK1057+CJ1072*CK1056+CJ1073*CK1055+CJ1074*CK1054+CJ1075</f>
        <v>24073.757538289614</v>
      </c>
      <c r="CM1075" s="134">
        <f t="shared" si="1906"/>
        <v>2.221396885932498E-2</v>
      </c>
      <c r="CN1075" s="135">
        <f t="shared" si="1907"/>
        <v>1.6030663893309004E-2</v>
      </c>
      <c r="CO1075" s="135">
        <f t="shared" si="1916"/>
        <v>1.5667221252231897E-2</v>
      </c>
      <c r="CP1075" s="134">
        <f>VLOOKUP($H1075,RoR!$E:$F,2,FALSE)</f>
        <v>2.4766666666666666E-2</v>
      </c>
      <c r="CQ1075" s="135">
        <v>1.1618796630994188E-2</v>
      </c>
      <c r="CR1075" s="135">
        <f t="shared" si="1914"/>
        <v>1.3147870035672478E-2</v>
      </c>
      <c r="CS1075" s="135">
        <f t="shared" si="1917"/>
        <v>1.5234720356301728E-2</v>
      </c>
      <c r="CT1075" s="135">
        <f t="shared" si="1918"/>
        <v>4.5144642961987357E-2</v>
      </c>
      <c r="CU1075" s="139">
        <f t="shared" si="1908"/>
        <v>0.90065499999999998</v>
      </c>
      <c r="CV1075" s="335">
        <f t="shared" si="1909"/>
        <v>2.0706077233668081</v>
      </c>
      <c r="CW1075" s="335">
        <f t="shared" si="1910"/>
        <v>-3.4421265141318998E-2</v>
      </c>
      <c r="CX1075" s="335">
        <f t="shared" si="1911"/>
        <v>0.62416226176410472</v>
      </c>
      <c r="CY1075" s="335">
        <f t="shared" si="1912"/>
        <v>-4.4485877841158712E-2</v>
      </c>
      <c r="CZ1075" s="336">
        <v>0.26849999999999996</v>
      </c>
      <c r="DA1075" s="302">
        <v>0.37</v>
      </c>
      <c r="DB1075" s="57">
        <f t="shared" si="1915"/>
        <v>15.195895804113626</v>
      </c>
      <c r="DC1075" s="56">
        <f t="shared" si="1919"/>
        <v>3.0069545154021902E-2</v>
      </c>
      <c r="DD1075" s="303">
        <f>VLOOKUP($H1075,RoR!$E:$F,2,FALSE)</f>
        <v>2.4766666666666666E-2</v>
      </c>
      <c r="DE1075" s="304">
        <f>HLOOKUP($H1075,'GDP-PI'!$D$8:$CQ$11,3,FALSE)</f>
        <v>1.1618796630994188E-2</v>
      </c>
      <c r="DF1075" s="303">
        <f>VLOOKUP(H1075,'HW Dx Data'!$E:$F,2,FALSE)</f>
        <v>813.080162458833</v>
      </c>
      <c r="DG1075" s="364">
        <f ca="1">VLOOKUP(CC1075,'ECI - Input Price'!M$13:N$33,2,FALSE)</f>
        <v>153.15</v>
      </c>
      <c r="DH1075" s="364"/>
      <c r="DI1075" s="364"/>
      <c r="DJ1075" s="56">
        <f t="shared" ca="1" si="1927"/>
        <v>2.2951556467368479E-2</v>
      </c>
      <c r="DK1075" s="53">
        <f>HLOOKUP(H1075,'GDP-PI'!$8:$9,2,FALSE)</f>
        <v>113.623</v>
      </c>
      <c r="DL1075" s="355">
        <f t="shared" si="1920"/>
        <v>1.1551816731392881E-2</v>
      </c>
    </row>
    <row r="1076" spans="1:116" s="126" customFormat="1" ht="21" customHeight="1" x14ac:dyDescent="0.4">
      <c r="A1076" s="233" t="s">
        <v>245</v>
      </c>
      <c r="B1076" s="126" t="s">
        <v>245</v>
      </c>
      <c r="C1076" s="126">
        <v>4057146</v>
      </c>
      <c r="D1076" s="126" t="s">
        <v>231</v>
      </c>
      <c r="G1076" s="127" t="s">
        <v>177</v>
      </c>
      <c r="H1076" s="128">
        <v>2021</v>
      </c>
      <c r="I1076" s="129"/>
      <c r="J1076" s="125">
        <v>552931</v>
      </c>
      <c r="K1076" s="125">
        <f t="shared" ca="1" si="1921"/>
        <v>3516.2543720190779</v>
      </c>
      <c r="L1076" s="47"/>
      <c r="M1076" s="130">
        <f t="shared" ca="1" si="1928"/>
        <v>7.5298655719654939E-2</v>
      </c>
      <c r="N1076" s="130"/>
      <c r="O1076" s="130"/>
      <c r="P1076" s="59">
        <f t="shared" ca="1" si="1930"/>
        <v>9.9056407587442327E-3</v>
      </c>
      <c r="Q1076" s="61"/>
      <c r="R1076" s="387"/>
      <c r="S1076" s="132">
        <f ca="1">+S1075*EXP(T1076)</f>
        <v>120.92554051597328</v>
      </c>
      <c r="T1076" s="134">
        <f ca="1">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</f>
        <v>1.8825951132394964E-2</v>
      </c>
      <c r="U1076" s="134"/>
      <c r="V1076" s="125">
        <v>779432</v>
      </c>
      <c r="W1076" s="125">
        <f t="shared" si="1922"/>
        <v>6578.0403409570426</v>
      </c>
      <c r="X1076" s="131">
        <f t="shared" si="1931"/>
        <v>3.2795992083400179E-2</v>
      </c>
      <c r="Y1076" s="131">
        <f t="shared" si="1932"/>
        <v>4.3143574450291754E-3</v>
      </c>
      <c r="Z1076" s="131"/>
      <c r="AA1076" s="131"/>
      <c r="AB1076" s="131"/>
      <c r="AC1076" s="125">
        <f t="shared" si="1901"/>
        <v>357437.28734830889</v>
      </c>
      <c r="AD1076" s="129"/>
      <c r="AE1076" s="133">
        <v>27302.497888456684</v>
      </c>
      <c r="AF1076" s="134"/>
      <c r="AG1076" s="59">
        <f t="shared" si="1923"/>
        <v>0</v>
      </c>
      <c r="AH1076" s="134"/>
      <c r="AI1076" s="134"/>
      <c r="AJ1076" s="129">
        <f t="shared" si="1902"/>
        <v>1689800.2873483088</v>
      </c>
      <c r="AK1076" s="134">
        <f t="shared" si="1933"/>
        <v>6.6842813314736377E-2</v>
      </c>
      <c r="AL1076" s="129"/>
      <c r="AM1076" s="134"/>
      <c r="AN1076" s="134"/>
      <c r="AO1076" s="134"/>
      <c r="AP1076" s="133">
        <f t="shared" si="1934"/>
        <v>277.15883658068077</v>
      </c>
      <c r="AQ1076" s="134">
        <f>+BB1076/Outputs!$B$29</f>
        <v>0.15792422104321899</v>
      </c>
      <c r="AR1076" s="93">
        <f t="shared" si="1924"/>
        <v>0.32721677475133931</v>
      </c>
      <c r="AS1076" s="93">
        <f t="shared" si="1925"/>
        <v>0.46125687504948337</v>
      </c>
      <c r="AT1076" s="93">
        <f t="shared" si="1926"/>
        <v>0.21152635019917734</v>
      </c>
      <c r="AU1076" s="93">
        <f t="shared" ca="1" si="1929"/>
        <v>3.9284638307344612E-2</v>
      </c>
      <c r="AV1076" s="132">
        <f t="shared" ca="1" si="1937"/>
        <v>144.68391946297521</v>
      </c>
      <c r="AW1076" s="134">
        <f t="shared" ca="1" si="1938"/>
        <v>3.9284638307344626E-2</v>
      </c>
      <c r="AX1076" s="56">
        <f>+AJ1076/$AL$26</f>
        <v>0.13155136255850314</v>
      </c>
      <c r="AY1076" s="135">
        <f t="shared" ca="1" si="1936"/>
        <v>5.1679476969491538E-3</v>
      </c>
      <c r="AZ1076" s="93"/>
      <c r="BA1076" s="93"/>
      <c r="BB1076" s="234">
        <v>6096866</v>
      </c>
      <c r="BC1076" s="269">
        <f t="shared" si="1861"/>
        <v>4.7809690185874838E-2</v>
      </c>
      <c r="BD1076" s="91"/>
      <c r="BE1076" s="299" t="str">
        <f t="shared" si="1855"/>
        <v>SOUTHERN CALIFORNIA GAS COMPANY</v>
      </c>
      <c r="BF1076" s="300">
        <f t="shared" si="1856"/>
        <v>4057146</v>
      </c>
      <c r="BG1076" s="231" t="str">
        <f t="shared" si="1857"/>
        <v>CA</v>
      </c>
      <c r="BH1076" s="231"/>
      <c r="BI1076" s="231" t="str">
        <f t="shared" si="1858"/>
        <v>2021 Y</v>
      </c>
      <c r="BJ1076" s="129"/>
      <c r="BK1076" s="129"/>
      <c r="BL1076" s="129">
        <f>INDEX('Dist. Plant Gas Additions'!$D$7:$AD$91,MATCH($C1076,'Dist. Plant Gas Additions'!$C$7:$C$91,0),MATCH(Calculation!$G1076,'Dist. Plant Gas Additions'!$D$5:$AD$5,0))</f>
        <v>773734.55299999996</v>
      </c>
      <c r="BM1076" s="129">
        <f>INDEX('Gen. Plant Additions'!$D$7:$AD$91,MATCH($C1076,'Gen. Plant Additions'!$C$7:$C$91,0),MATCH(Calculation!$G1076,'Gen. Plant Additions'!$D$5:$AD$5,0))</f>
        <v>246919.97399999999</v>
      </c>
      <c r="BN1076" s="343">
        <v>1</v>
      </c>
      <c r="BO1076" s="231">
        <f t="shared" si="1939"/>
        <v>246919.97399999999</v>
      </c>
      <c r="BP1076" s="231">
        <f t="shared" si="1940"/>
        <v>0</v>
      </c>
      <c r="BQ1076" s="129"/>
      <c r="BR1076" s="129"/>
      <c r="BS1076" s="137"/>
      <c r="BT1076" s="137"/>
      <c r="BU1076" s="333"/>
      <c r="BV1076" s="93"/>
      <c r="BW1076" s="334"/>
      <c r="BX1076" s="334"/>
      <c r="BY1076" s="129"/>
      <c r="BZ1076" s="129"/>
      <c r="CA1076" s="129"/>
      <c r="CB1076" s="129"/>
      <c r="CC1076" s="133">
        <v>2021</v>
      </c>
      <c r="CD1076" s="129"/>
      <c r="CE1076" s="129"/>
      <c r="CF1076" s="129"/>
      <c r="CG1076" s="137"/>
      <c r="CH1076" s="129">
        <f>+BM1076+BL1076</f>
        <v>1020654.527</v>
      </c>
      <c r="CI1076" s="46">
        <f t="shared" si="1913"/>
        <v>1020654.527</v>
      </c>
      <c r="CJ1076" s="231">
        <f t="shared" si="1905"/>
        <v>1093.922738044314</v>
      </c>
      <c r="CK1076" s="443">
        <v>0.70886075949367089</v>
      </c>
      <c r="CL1076" s="129">
        <f>CL1053*CK1076+CJ1054*CK1075+CJ1055*CK1074+CJ1056*CK1073+CJ1057*CK1072+CJ1058*CK1071+CJ1059*CK1070+CJ1060*CK1069+CJ1061*CK1068+CJ1062*CK1067+CJ1063*CK1066+CJ1064*CK1065+CJ1065*CK1064+CJ1066*CK1063+CJ1067*CK1062+CJ1058*CK1061+CJ1069*CK1060+CJ1070*CK1059+CJ1071*CK1058+CJ1072*CK1057+CJ1073*CK1056+CJ1074*CK1055+CJ1076+CJ1075*CK1054</f>
        <v>24637.996510846435</v>
      </c>
      <c r="CM1076" s="134"/>
      <c r="CN1076" s="135">
        <f t="shared" si="1907"/>
        <v>2.2002538018629801E-2</v>
      </c>
      <c r="CO1076" s="135">
        <f t="shared" si="1916"/>
        <v>1.7897593532117024E-2</v>
      </c>
      <c r="CP1076" s="134">
        <f>VLOOKUP($H1076,RoR!$E:$F,2,FALSE)</f>
        <v>2.7033333333333336E-2</v>
      </c>
      <c r="CQ1076" s="135"/>
      <c r="CR1076" s="135"/>
      <c r="CS1076" s="135">
        <f t="shared" si="1917"/>
        <v>1.3004348076416601E-2</v>
      </c>
      <c r="CT1076" s="135">
        <f t="shared" si="1918"/>
        <v>7.433422950153494E-2</v>
      </c>
      <c r="CU1076" s="139">
        <f t="shared" si="1908"/>
        <v>0.90065499999999998</v>
      </c>
      <c r="CV1076" s="335">
        <f t="shared" si="1909"/>
        <v>1.8969932656739068</v>
      </c>
      <c r="CW1076" s="335">
        <f t="shared" si="1910"/>
        <v>5.0215782983970621E-2</v>
      </c>
      <c r="CX1076" s="335">
        <f t="shared" si="1911"/>
        <v>0.655952481704143</v>
      </c>
      <c r="CY1076" s="335">
        <f t="shared" si="1912"/>
        <v>6.2485378865697057E-2</v>
      </c>
      <c r="CZ1076" s="336">
        <f>CZ1075</f>
        <v>0.26849999999999996</v>
      </c>
      <c r="DA1076" s="302">
        <v>0.37</v>
      </c>
      <c r="DB1076" s="141">
        <f t="shared" si="1915"/>
        <v>14.847590235126377</v>
      </c>
      <c r="DC1076" s="135">
        <f>LN(DB1077/DB1075)</f>
        <v>0.17909296441926872</v>
      </c>
      <c r="DD1076" s="336">
        <f>VLOOKUP($H1076,RoR!$E:$F,2,FALSE)</f>
        <v>2.7033333333333336E-2</v>
      </c>
      <c r="DE1076" s="342">
        <f>HLOOKUP($H1076,'GDP-PI'!$D$8:$CR$11,3,FALSE)</f>
        <v>4.2834637353352578E-2</v>
      </c>
      <c r="DF1076" s="336">
        <f>VLOOKUP(H1076,'HW Dx Data'!$E:$F,2,FALSE)</f>
        <v>933.02249921662576</v>
      </c>
      <c r="DG1076" s="364">
        <f ca="1">VLOOKUP(CC1076,'ECI - Input Price'!M$13:N$33,2,FALSE)</f>
        <v>157.25</v>
      </c>
      <c r="DH1076" s="364"/>
      <c r="DI1076" s="364"/>
      <c r="DJ1076" s="135">
        <f t="shared" ca="1" si="1927"/>
        <v>2.6419062301765574E-2</v>
      </c>
      <c r="DK1076" s="137">
        <f>HLOOKUP(H1076,'GDP-PI'!$8:$9,2,FALSE)</f>
        <v>118.49</v>
      </c>
      <c r="DL1076" s="356">
        <f t="shared" si="1920"/>
        <v>4.194261824609434E-2</v>
      </c>
    </row>
    <row r="1077" spans="1:116" s="126" customFormat="1" ht="21" customHeight="1" thickBot="1" x14ac:dyDescent="0.45">
      <c r="A1077" s="235"/>
      <c r="B1077" s="236"/>
      <c r="C1077" s="236"/>
      <c r="D1077" s="236"/>
      <c r="E1077" s="236"/>
      <c r="F1077" s="236"/>
      <c r="G1077" s="237" t="s">
        <v>178</v>
      </c>
      <c r="H1077" s="238"/>
      <c r="I1077" s="239"/>
      <c r="J1077" s="240">
        <v>518026.25397634279</v>
      </c>
      <c r="K1077" s="240">
        <f t="shared" ca="1" si="1921"/>
        <v>3186.8732942254246</v>
      </c>
      <c r="L1077" s="47"/>
      <c r="M1077" s="241">
        <f t="shared" ref="M1077" ca="1" si="1941">LN(K1077/K1076)</f>
        <v>-9.8356046619425624E-2</v>
      </c>
      <c r="N1077" s="241"/>
      <c r="O1077" s="241"/>
      <c r="P1077" s="242">
        <f t="shared" ca="1" si="1930"/>
        <v>-1.2606728522580171E-2</v>
      </c>
      <c r="Q1077" s="61"/>
      <c r="R1077" s="387"/>
      <c r="S1077" s="206">
        <f ca="1">+S1076*EXP(T1077)</f>
        <v>119.67881597631931</v>
      </c>
      <c r="T1077" s="243">
        <f ca="1">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</f>
        <v>-1.0363367612547894E-2</v>
      </c>
      <c r="U1077" s="243"/>
      <c r="V1077" s="239">
        <v>730229.7797015917</v>
      </c>
      <c r="W1077" s="240">
        <f t="shared" si="1922"/>
        <v>5738.5444377335298</v>
      </c>
      <c r="X1077" s="244">
        <f t="shared" ref="X1077" si="1942">LN(W1077/W1076)</f>
        <v>-0.13653128455897623</v>
      </c>
      <c r="Y1077" s="244">
        <f t="shared" si="1932"/>
        <v>-1.749981722968327E-2</v>
      </c>
      <c r="Z1077" s="206"/>
      <c r="AA1077" s="243"/>
      <c r="AB1077" s="243"/>
      <c r="AC1077" s="240">
        <f t="shared" si="1901"/>
        <v>447827.52428291342</v>
      </c>
      <c r="AD1077" s="243"/>
      <c r="AE1077" s="245">
        <v>28201.638429280029</v>
      </c>
      <c r="AF1077" s="243">
        <v>3.24018808344715E-2</v>
      </c>
      <c r="AG1077" s="242">
        <f t="shared" si="1923"/>
        <v>4.1530920501688731E-3</v>
      </c>
      <c r="AH1077" s="206"/>
      <c r="AI1077" s="243"/>
      <c r="AJ1077" s="239">
        <f t="shared" si="1902"/>
        <v>1696083.5579608479</v>
      </c>
      <c r="AK1077" s="243">
        <f t="shared" si="1933"/>
        <v>3.7114550363917891E-3</v>
      </c>
      <c r="AL1077" s="239"/>
      <c r="AM1077" s="243"/>
      <c r="AN1077" s="243"/>
      <c r="AO1077" s="243"/>
      <c r="AP1077" s="245">
        <f t="shared" si="1934"/>
        <v>276.66285316383261</v>
      </c>
      <c r="AQ1077" s="243"/>
      <c r="AR1077" s="207">
        <f t="shared" si="1924"/>
        <v>0.30542496066594194</v>
      </c>
      <c r="AS1077" s="207">
        <f t="shared" si="1925"/>
        <v>0.43053879997488204</v>
      </c>
      <c r="AT1077" s="207">
        <f t="shared" si="1926"/>
        <v>0.26403623935917608</v>
      </c>
      <c r="AU1077" s="207"/>
      <c r="AV1077" s="206"/>
      <c r="AW1077" s="243"/>
      <c r="AX1077" s="248">
        <f>+AJ1077/$AL$27</f>
        <v>0.12817441281836051</v>
      </c>
      <c r="AY1077" s="249"/>
      <c r="AZ1077" s="206"/>
      <c r="BA1077" s="243"/>
      <c r="BB1077" s="250">
        <v>6130507</v>
      </c>
      <c r="BC1077" s="270">
        <f t="shared" si="1861"/>
        <v>5.5025858592965791E-3</v>
      </c>
      <c r="BD1077" s="91"/>
      <c r="BE1077" s="306">
        <f t="shared" si="1855"/>
        <v>0</v>
      </c>
      <c r="BF1077" s="307">
        <f t="shared" si="1856"/>
        <v>0</v>
      </c>
      <c r="BG1077" s="308">
        <f t="shared" si="1857"/>
        <v>0</v>
      </c>
      <c r="BH1077" s="308"/>
      <c r="BI1077" s="308" t="str">
        <f t="shared" si="1858"/>
        <v>2022Y</v>
      </c>
      <c r="BJ1077" s="239"/>
      <c r="BK1077" s="239"/>
      <c r="BL1077" s="239"/>
      <c r="BM1077" s="239"/>
      <c r="BN1077" s="337"/>
      <c r="BO1077" s="308">
        <f t="shared" si="1939"/>
        <v>0</v>
      </c>
      <c r="BP1077" s="308">
        <f t="shared" si="1940"/>
        <v>0</v>
      </c>
      <c r="BQ1077" s="239"/>
      <c r="BR1077" s="239"/>
      <c r="BS1077" s="310"/>
      <c r="BT1077" s="310"/>
      <c r="BU1077" s="311"/>
      <c r="BV1077" s="207"/>
      <c r="BW1077" s="312"/>
      <c r="BX1077" s="312"/>
      <c r="BY1077" s="239"/>
      <c r="BZ1077" s="239"/>
      <c r="CA1077" s="239"/>
      <c r="CB1077" s="239"/>
      <c r="CC1077" s="245">
        <v>2022</v>
      </c>
      <c r="CD1077" s="239"/>
      <c r="CE1077" s="239"/>
      <c r="CF1077" s="239"/>
      <c r="CG1077" s="310"/>
      <c r="CH1077" s="239">
        <v>1211115.325</v>
      </c>
      <c r="CI1077" s="313">
        <f t="shared" si="1913"/>
        <v>1211115.325</v>
      </c>
      <c r="CJ1077" s="308">
        <f t="shared" si="1905"/>
        <v>1174.9161581668784</v>
      </c>
      <c r="CK1077" s="443">
        <v>0.69230769230769229</v>
      </c>
      <c r="CL1077" s="239">
        <f>+CL1053*CK1077+CJ1054*CK1076+CJ1055*CK1075+CJ1056*CK1074+CJ1057*CK1073+CJ1058*CK1072+CJ1059*CK1071+CJ1060*CK1070+CJ1061*CK1069+CJ1062*CK1068+CJ1063*CK1067+CJ1064*CK1066+CJ1065*CK1065+CJ1066*CK1064+CJ1067*CK1063+CJ1068*CK1062+CJ1069*CK1061+CJ1070*CK1060+CJ1071*CK1059+CJ1072*CK1058+CJ1073*CK1057+CJ1074*CK1056+CJ1075*CK1055+CJ1076*CK1054+CJ1077*CK1053</f>
        <v>25531.686366476257</v>
      </c>
      <c r="CM1077" s="243">
        <f t="shared" ref="CM1077" si="1943">LN(CL1077/CL1076)</f>
        <v>3.5630458456610073E-2</v>
      </c>
      <c r="CN1077" s="249">
        <f t="shared" si="1907"/>
        <v>1.1414333239849741E-2</v>
      </c>
      <c r="CO1077" s="249">
        <f t="shared" si="1916"/>
        <v>1.6482511717262848E-2</v>
      </c>
      <c r="CP1077" s="243"/>
      <c r="CQ1077" s="249"/>
      <c r="CR1077" s="249"/>
      <c r="CS1077" s="248">
        <f t="shared" si="1917"/>
        <v>1.4419429891270777E-2</v>
      </c>
      <c r="CT1077" s="249">
        <f t="shared" si="1918"/>
        <v>0.10114668178709289</v>
      </c>
      <c r="CU1077" s="314">
        <f t="shared" si="1908"/>
        <v>0.90065499999999998</v>
      </c>
      <c r="CV1077" s="315">
        <f t="shared" si="1909"/>
        <v>1.2820512820512819</v>
      </c>
      <c r="CW1077" s="315">
        <f t="shared" si="1910"/>
        <v>0.35000000000000003</v>
      </c>
      <c r="CX1077" s="315">
        <f t="shared" si="1911"/>
        <v>0.79171095533705893</v>
      </c>
      <c r="CY1077" s="315">
        <f t="shared" si="1912"/>
        <v>0.35525491585637264</v>
      </c>
      <c r="CZ1077" s="316">
        <f>CZ1076</f>
        <v>0.26849999999999996</v>
      </c>
      <c r="DA1077" s="317">
        <v>0.37</v>
      </c>
      <c r="DB1077" s="318">
        <f t="shared" si="1915"/>
        <v>18.176296278220732</v>
      </c>
      <c r="DC1077" s="249">
        <f>LN(DB1077/DB1076)</f>
        <v>0.20228076457215588</v>
      </c>
      <c r="DD1077" s="316">
        <v>0.04</v>
      </c>
      <c r="DE1077" s="319">
        <v>7.0000000000000001E-3</v>
      </c>
      <c r="DF1077" s="316">
        <v>1030.81</v>
      </c>
      <c r="DG1077" s="364">
        <f ca="1">VLOOKUP(CC1077,'ECI - Input Price'!M$13:N$33,2,FALSE)</f>
        <v>162.55000000000001</v>
      </c>
      <c r="DH1077" s="364"/>
      <c r="DI1077" s="364"/>
      <c r="DJ1077" s="249">
        <f t="shared" ca="1" si="1927"/>
        <v>3.3148751169364422E-2</v>
      </c>
      <c r="DK1077" s="310">
        <v>127.25</v>
      </c>
      <c r="DL1077" s="357">
        <f t="shared" si="1920"/>
        <v>7.1325086601983473E-2</v>
      </c>
    </row>
    <row r="1078" spans="1:116" s="126" customFormat="1" ht="21" customHeight="1" x14ac:dyDescent="0.4">
      <c r="A1078" s="251" t="s">
        <v>246</v>
      </c>
      <c r="B1078" s="265" t="s">
        <v>247</v>
      </c>
      <c r="C1078" s="265">
        <v>4063060</v>
      </c>
      <c r="D1078" s="252" t="s">
        <v>203</v>
      </c>
      <c r="E1078" s="252" t="s">
        <v>15</v>
      </c>
      <c r="F1078" s="266"/>
      <c r="G1078" s="265" t="s">
        <v>150</v>
      </c>
      <c r="H1078" s="253">
        <v>1998</v>
      </c>
      <c r="I1078" s="254"/>
      <c r="J1078" s="255"/>
      <c r="K1078" s="255"/>
      <c r="L1078" s="47"/>
      <c r="M1078" s="255"/>
      <c r="N1078" s="255"/>
      <c r="O1078" s="255"/>
      <c r="P1078" s="219"/>
      <c r="Q1078" s="218"/>
      <c r="R1078" s="385"/>
      <c r="S1078" s="257"/>
      <c r="T1078" s="258"/>
      <c r="U1078" s="258"/>
      <c r="V1078" s="259"/>
      <c r="W1078" s="259"/>
      <c r="X1078" s="259"/>
      <c r="Y1078" s="255"/>
      <c r="Z1078" s="259"/>
      <c r="AA1078" s="259"/>
      <c r="AB1078" s="259"/>
      <c r="AC1078" s="255"/>
      <c r="AD1078" s="254"/>
      <c r="AE1078" s="260">
        <v>1304.554492673321</v>
      </c>
      <c r="AF1078" s="256"/>
      <c r="AG1078" s="225"/>
      <c r="AH1078" s="256"/>
      <c r="AI1078" s="256"/>
      <c r="AJ1078" s="254">
        <f t="shared" si="1902"/>
        <v>0</v>
      </c>
      <c r="AK1078" s="254"/>
      <c r="AL1078" s="254"/>
      <c r="AM1078" s="256"/>
      <c r="AN1078" s="256"/>
      <c r="AO1078" s="256"/>
      <c r="AP1078" s="226">
        <f>+(AP1075+AP1076+AP1077)/3</f>
        <v>275.25173760746685</v>
      </c>
      <c r="AQ1078" s="256"/>
      <c r="AR1078" s="261"/>
      <c r="AS1078" s="261"/>
      <c r="AT1078" s="261"/>
      <c r="AU1078" s="261"/>
      <c r="AV1078" s="261"/>
      <c r="AW1078" s="256">
        <f ca="1">AVERAGE(AW1087:AW1101)</f>
        <v>7.0681484984347794E-3</v>
      </c>
      <c r="AX1078" s="223"/>
      <c r="AY1078" s="261"/>
      <c r="AZ1078" s="261"/>
      <c r="BA1078" s="261"/>
      <c r="BB1078" s="262">
        <f>IFERROR(INDEX('Total Customers'!$E$7:$AA$91,MATCH($C1078,'Total Customers'!$C$7:$C$91,0),MATCH($G1078,'Total Customers'!$E$5:$AA$5,0)),"NA")</f>
        <v>157317</v>
      </c>
      <c r="BC1078" s="268"/>
      <c r="BD1078" s="92"/>
      <c r="BE1078" s="320" t="str">
        <f t="shared" si="1855"/>
        <v>SOUTHERN CONNECTICUT GAS COMPANY</v>
      </c>
      <c r="BF1078" s="321">
        <f t="shared" si="1856"/>
        <v>4063060</v>
      </c>
      <c r="BG1078" s="322" t="str">
        <f t="shared" si="1857"/>
        <v>CT</v>
      </c>
      <c r="BH1078" s="322"/>
      <c r="BI1078" s="322" t="str">
        <f t="shared" si="1858"/>
        <v>1998 Y</v>
      </c>
      <c r="BJ1078" s="254">
        <f>INDEX('Gross Dx Plant'!$D$7:$AC$91,MATCH($C1078,'Gross Dx Plant'!$C$7:$C$91,0),MATCH(Calculation!$G1078,'Gross Dx Plant'!$D$5:$AC$5,0))</f>
        <v>369400</v>
      </c>
      <c r="BK1078" s="254">
        <f>INDEX('Gross Gen Plant'!$D$7:$AC$91,MATCH($C1078,'Gross Gen Plant'!$C$7:$C$91,0),MATCH(Calculation!$G1078,'Gross Gen Plant'!$D$5:$AC$5,0))</f>
        <v>27404</v>
      </c>
      <c r="BL1078" s="254">
        <f>INDEX('Dist. Plant Gas Additions'!$E$7:$AD$91,MATCH($C1078,'Dist. Plant Gas Additions'!$C$7:$C$91,0),MATCH(Calculation!$G1078,'Dist. Plant Gas Additions'!$E$5:$AD$5,0))</f>
        <v>17352</v>
      </c>
      <c r="BM1078" s="254">
        <f>INDEX('Gen. Plant Additions'!$E$7:$AD$91,MATCH($C1078,'Gen. Plant Additions'!$C$7:$C$91,0),MATCH(Calculation!$G1078,'Gen. Plant Additions'!$E$5:$AD$5,0))</f>
        <v>3041</v>
      </c>
      <c r="BN1078" s="338">
        <f>+(BY1078/(BY1078+BZ1078))</f>
        <v>0.93093819618753848</v>
      </c>
      <c r="BO1078" s="322">
        <f t="shared" si="1939"/>
        <v>2830.9830546063044</v>
      </c>
      <c r="BP1078" s="322">
        <f t="shared" si="1940"/>
        <v>-210.01694539369555</v>
      </c>
      <c r="BQ1078" s="254">
        <f>INDEX('Dist Plant Depreciation'!$D$7:$AC$94,MATCH($C1078,'Dist Plant Depreciation'!$C$7:$C$94,0),MATCH(Calculation!$G1078,'Dist Plant Depreciation'!$D$5:$AC$5,0))</f>
        <v>124149</v>
      </c>
      <c r="BR1078" s="254">
        <f>INDEX('Gen. Plant Depreciation'!$D$7:$AC$94,MATCH($C1078,'Gen. Plant Depreciation'!$C$7:$C$94,0),MATCH(Calculation!$G1078,'Gen. Plant Depreciation'!$D$5:$AC$5,0))</f>
        <v>9501</v>
      </c>
      <c r="BS1078" s="254"/>
      <c r="BT1078" s="254"/>
      <c r="BU1078" s="254"/>
      <c r="BV1078" s="254"/>
      <c r="BW1078" s="254"/>
      <c r="BX1078" s="323"/>
      <c r="BY1078" s="254">
        <f>INDEX('Gross Dx Plant'!$D$7:$AC$91,MATCH($C1078,'Gross Dx Plant'!$C$7:$C$91,0),MATCH(Calculation!$G1078,'Gross Dx Plant'!$D$5:$AC$5,0))</f>
        <v>369400</v>
      </c>
      <c r="BZ1078" s="254">
        <f>INDEX('Gross Gen Plant'!$D$7:$AC$91,MATCH($C1078,'Gross Gen Plant'!$C$7:$C$91,0),MATCH(Calculation!$G1078,'Gross Gen Plant'!$D$5:$AC$5,0))</f>
        <v>27404</v>
      </c>
      <c r="CA1078" s="254">
        <f t="shared" si="1852"/>
        <v>263154</v>
      </c>
      <c r="CB1078" s="254"/>
      <c r="CC1078" s="260">
        <v>1998</v>
      </c>
      <c r="CD1078" s="254">
        <f>BJ1078+BK1078</f>
        <v>396804</v>
      </c>
      <c r="CE1078" s="254">
        <f>124149+9501</f>
        <v>133650</v>
      </c>
      <c r="CF1078" s="254">
        <f>+CD1078-CE1078</f>
        <v>263154</v>
      </c>
      <c r="CG1078" s="254">
        <f>CF1078/$BX$3</f>
        <v>1304.554492673321</v>
      </c>
      <c r="CH1078" s="323"/>
      <c r="CI1078" s="344"/>
      <c r="CJ1078" s="344"/>
      <c r="CK1078" s="443">
        <v>1</v>
      </c>
      <c r="CL1078" s="254">
        <f>+CG1078</f>
        <v>1304.554492673321</v>
      </c>
      <c r="CM1078" s="256"/>
      <c r="CN1078" s="325"/>
      <c r="CO1078" s="325"/>
      <c r="CP1078" s="256" t="e">
        <f>VLOOKUP($H1078,RoR!$E:$F,2,FALSE)</f>
        <v>#N/A</v>
      </c>
      <c r="CQ1078" s="325">
        <v>1.1028127770464469E-2</v>
      </c>
      <c r="CR1078" s="325"/>
      <c r="CS1078" s="325"/>
      <c r="CT1078" s="325"/>
      <c r="CU1078" s="327"/>
      <c r="CV1078" s="331" t="e">
        <f>2/(DD1078*39)</f>
        <v>#N/A</v>
      </c>
      <c r="CW1078" s="328" t="e">
        <f>+(DD1078*40-(1+DD1078))/(DD1078*40)</f>
        <v>#N/A</v>
      </c>
      <c r="CX1078" s="328" t="e">
        <f>+(1-(1/(1+DD1078)^40))</f>
        <v>#N/A</v>
      </c>
      <c r="CY1078" s="328" t="e">
        <f>+CX1078*CW1078*CV1078</f>
        <v>#N/A</v>
      </c>
      <c r="CZ1078" s="329">
        <f>INDEX('State Tax Lookup'!$D$7:$Z$91,MATCH(Calculation!$C1078,'State Tax Lookup'!$B$7:$B$91,0),MATCH($H1078,'State Tax Lookup'!$D$6:$Z$6,0))</f>
        <v>0.40200000000000002</v>
      </c>
      <c r="DA1078" s="330">
        <v>0.37</v>
      </c>
      <c r="DB1078" s="344"/>
      <c r="DC1078" s="326"/>
      <c r="DD1078" s="351" t="e">
        <f>VLOOKUP($H1078,RoR!$E:$F,2,FALSE)</f>
        <v>#N/A</v>
      </c>
      <c r="DE1078" s="354">
        <f>HLOOKUP($H1078,'GDP-PI'!$D$8:$CQ$11,3,FALSE)</f>
        <v>1.1028127770464469E-2</v>
      </c>
      <c r="DF1078" s="351">
        <f>VLOOKUP(H1078,'HW Dx Data'!$E:$F,2,FALSE)</f>
        <v>329.24564746449528</v>
      </c>
      <c r="DG1078" s="330"/>
      <c r="DH1078" s="330"/>
      <c r="DI1078" s="330"/>
      <c r="DJ1078" s="326"/>
      <c r="DK1078" s="344">
        <f>HLOOKUP(H1078,'GDP-PI'!$8:$9,2,FALSE)</f>
        <v>75.266999999999996</v>
      </c>
      <c r="DL1078" s="292"/>
    </row>
    <row r="1079" spans="1:116" s="126" customFormat="1" ht="21" customHeight="1" x14ac:dyDescent="0.4">
      <c r="A1079" s="233" t="s">
        <v>246</v>
      </c>
      <c r="B1079" s="126" t="s">
        <v>247</v>
      </c>
      <c r="C1079" s="126">
        <v>4063060</v>
      </c>
      <c r="D1079" s="127" t="s">
        <v>203</v>
      </c>
      <c r="E1079" s="127" t="s">
        <v>15</v>
      </c>
      <c r="F1079" s="144"/>
      <c r="G1079" s="126" t="s">
        <v>155</v>
      </c>
      <c r="H1079" s="128">
        <v>1999</v>
      </c>
      <c r="I1079" s="129"/>
      <c r="J1079" s="125"/>
      <c r="K1079" s="129"/>
      <c r="L1079" s="47"/>
      <c r="M1079" s="129"/>
      <c r="N1079" s="129"/>
      <c r="O1079" s="129"/>
      <c r="P1079" s="47"/>
      <c r="Q1079" s="47"/>
      <c r="R1079" s="386"/>
      <c r="S1079" s="119"/>
      <c r="T1079" s="47"/>
      <c r="U1079" s="46"/>
      <c r="V1079" s="135"/>
      <c r="W1079" s="135"/>
      <c r="X1079" s="135"/>
      <c r="Y1079" s="143"/>
      <c r="Z1079" s="135"/>
      <c r="AA1079" s="135"/>
      <c r="AB1079" s="135"/>
      <c r="AC1079" s="125">
        <f t="shared" ref="AC1079:AC1102" si="1944">+CL1078*DB1079</f>
        <v>0</v>
      </c>
      <c r="AD1079" s="129"/>
      <c r="AE1079" s="133">
        <v>1317.6272827273499</v>
      </c>
      <c r="AF1079" s="134">
        <v>9.9710084828256822E-3</v>
      </c>
      <c r="AG1079" s="61"/>
      <c r="AH1079" s="134"/>
      <c r="AI1079" s="134"/>
      <c r="AJ1079" s="129">
        <f t="shared" si="1902"/>
        <v>0</v>
      </c>
      <c r="AK1079" s="134"/>
      <c r="AL1079" s="129"/>
      <c r="AM1079" s="134"/>
      <c r="AN1079" s="134"/>
      <c r="AO1079" s="134"/>
      <c r="AP1079" s="133"/>
      <c r="AQ1079" s="134"/>
      <c r="AR1079" s="93"/>
      <c r="AS1079" s="93"/>
      <c r="AT1079" s="93"/>
      <c r="AU1079" s="93"/>
      <c r="AV1079" s="93"/>
      <c r="AW1079" s="134"/>
      <c r="AX1079" s="62"/>
      <c r="AY1079" s="93"/>
      <c r="AZ1079" s="93"/>
      <c r="BA1079" s="93"/>
      <c r="BB1079" s="234">
        <f>IFERROR(INDEX('Total Customers'!$E$7:$AA$91,MATCH($C1079,'Total Customers'!$C$7:$C$91,0),MATCH($G1079,'Total Customers'!$E$5:$AA$5,0)),"NA")</f>
        <v>160630</v>
      </c>
      <c r="BC1079" s="269">
        <f t="shared" si="1861"/>
        <v>2.084070560055163E-2</v>
      </c>
      <c r="BD1079" s="92"/>
      <c r="BE1079" s="299" t="str">
        <f t="shared" si="1855"/>
        <v>SOUTHERN CONNECTICUT GAS COMPANY</v>
      </c>
      <c r="BF1079" s="300">
        <f t="shared" si="1856"/>
        <v>4063060</v>
      </c>
      <c r="BG1079" s="231" t="str">
        <f t="shared" si="1857"/>
        <v>CT</v>
      </c>
      <c r="BH1079" s="231"/>
      <c r="BI1079" s="231" t="str">
        <f t="shared" si="1858"/>
        <v>1999 Y</v>
      </c>
      <c r="BJ1079" s="129"/>
      <c r="BK1079" s="129"/>
      <c r="BL1079" s="129"/>
      <c r="BM1079" s="129"/>
      <c r="BN1079" s="301"/>
      <c r="BO1079" s="231">
        <f t="shared" si="1939"/>
        <v>0</v>
      </c>
      <c r="BP1079" s="231">
        <f t="shared" si="1940"/>
        <v>0</v>
      </c>
      <c r="BQ1079" s="129"/>
      <c r="BR1079" s="129"/>
      <c r="BS1079" s="129"/>
      <c r="BT1079" s="129"/>
      <c r="BU1079" s="129"/>
      <c r="BV1079" s="129"/>
      <c r="BW1079" s="129"/>
      <c r="BX1079" s="137"/>
      <c r="BY1079" s="129"/>
      <c r="BZ1079" s="129"/>
      <c r="CA1079" s="129"/>
      <c r="CB1079" s="129"/>
      <c r="CC1079" s="133">
        <v>1999</v>
      </c>
      <c r="CD1079" s="129"/>
      <c r="CE1079" s="129"/>
      <c r="CF1079" s="129"/>
      <c r="CG1079" s="137"/>
      <c r="CH1079" s="129">
        <v>6560</v>
      </c>
      <c r="CI1079" s="46">
        <f>+CH1079+BP1079</f>
        <v>6560</v>
      </c>
      <c r="CJ1079" s="231">
        <f t="shared" ref="CJ1079:CJ1102" si="1945">+CI1079/$DF1079</f>
        <v>19.563110913100139</v>
      </c>
      <c r="CK1079" s="443">
        <v>0.99009900990099009</v>
      </c>
      <c r="CL1079" s="231">
        <f>+CL1078*CK1079+CJ1079</f>
        <v>1311.2012224708437</v>
      </c>
      <c r="CM1079" s="134">
        <f t="shared" ref="CM1079:CM1100" si="1946">LN(CL1079/CL1078)</f>
        <v>5.0820832119563043E-3</v>
      </c>
      <c r="CN1079" s="135">
        <f t="shared" ref="CN1079:CN1102" si="1947">+(CL1078-CL1079+CJ1079)/CL1078</f>
        <v>9.9009900990098525E-3</v>
      </c>
      <c r="CO1079" s="135"/>
      <c r="CP1079" s="134">
        <f>VLOOKUP($H1079,RoR!$E:$F,2,FALSE)</f>
        <v>7.0416666666666669E-2</v>
      </c>
      <c r="CQ1079" s="135">
        <v>1.4335631817396832E-2</v>
      </c>
      <c r="CR1079" s="135">
        <f>+CP1079-CQ1079</f>
        <v>5.6081034849269837E-2</v>
      </c>
      <c r="CS1079" s="135"/>
      <c r="CT1079" s="135"/>
      <c r="CU1079" s="139">
        <f t="shared" ref="CU1079:CU1102" si="1948">1-CZ1079*DA1079</f>
        <v>0.85126000000000002</v>
      </c>
      <c r="CV1079" s="335">
        <f t="shared" ref="CV1079:CV1102" si="1949">2/(DD1079*39)</f>
        <v>0.72826581702321336</v>
      </c>
      <c r="CW1079" s="335">
        <f t="shared" ref="CW1079:CW1102" si="1950">+(DD1079*40-(1+DD1079))/(DD1079*40)</f>
        <v>0.61997041420118348</v>
      </c>
      <c r="CX1079" s="335">
        <f t="shared" ref="CX1079:CX1102" si="1951">+(1-(1/(1+DD1079)^40))</f>
        <v>0.93425155319585029</v>
      </c>
      <c r="CY1079" s="335">
        <f t="shared" ref="CY1079:CY1102" si="1952">+CX1079*CW1079*CV1079</f>
        <v>0.42181762214141483</v>
      </c>
      <c r="CZ1079" s="336">
        <f>INDEX('State Tax Lookup'!$D$7:$Z$91,MATCH(Calculation!$C1079,'State Tax Lookup'!$B$7:$B$91,0),MATCH($H1079,'State Tax Lookup'!$D$6:$Z$6,0))</f>
        <v>0.40200000000000002</v>
      </c>
      <c r="DA1079" s="302">
        <v>0.37</v>
      </c>
      <c r="DB1079" s="57"/>
      <c r="DC1079" s="56"/>
      <c r="DD1079" s="303">
        <f>VLOOKUP($H1079,RoR!$E:$F,2,FALSE)</f>
        <v>7.0416666666666669E-2</v>
      </c>
      <c r="DE1079" s="304">
        <f>HLOOKUP($H1079,'GDP-PI'!$D$8:$CQ$11,3,FALSE)</f>
        <v>1.4335631817396832E-2</v>
      </c>
      <c r="DF1079" s="303">
        <f>VLOOKUP(H1079,'HW Dx Data'!$E:$F,2,FALSE)</f>
        <v>335.32499146683239</v>
      </c>
      <c r="DG1079" s="364"/>
      <c r="DH1079" s="364"/>
      <c r="DI1079" s="364"/>
      <c r="DJ1079" s="56"/>
      <c r="DK1079" s="53">
        <f>HLOOKUP(H1079,'GDP-PI'!$8:$9,2,FALSE)</f>
        <v>76.346000000000004</v>
      </c>
      <c r="DL1079" s="298"/>
    </row>
    <row r="1080" spans="1:116" s="126" customFormat="1" ht="21" customHeight="1" x14ac:dyDescent="0.4">
      <c r="A1080" s="233" t="s">
        <v>246</v>
      </c>
      <c r="B1080" s="126" t="s">
        <v>247</v>
      </c>
      <c r="C1080" s="126">
        <v>4063060</v>
      </c>
      <c r="D1080" s="127" t="s">
        <v>203</v>
      </c>
      <c r="E1080" s="127" t="s">
        <v>15</v>
      </c>
      <c r="F1080" s="144"/>
      <c r="G1080" s="126" t="s">
        <v>156</v>
      </c>
      <c r="H1080" s="128">
        <v>2000</v>
      </c>
      <c r="I1080" s="129"/>
      <c r="J1080" s="125"/>
      <c r="K1080" s="125"/>
      <c r="L1080" s="47"/>
      <c r="M1080" s="125"/>
      <c r="N1080" s="125"/>
      <c r="O1080" s="125"/>
      <c r="P1080" s="47"/>
      <c r="Q1080" s="47"/>
      <c r="R1080" s="386"/>
      <c r="S1080" s="119"/>
      <c r="T1080" s="47"/>
      <c r="U1080" s="47"/>
      <c r="V1080" s="125"/>
      <c r="W1080" s="125"/>
      <c r="X1080" s="125"/>
      <c r="Y1080" s="125"/>
      <c r="Z1080" s="125"/>
      <c r="AA1080" s="125"/>
      <c r="AB1080" s="125"/>
      <c r="AC1080" s="125">
        <f t="shared" si="1944"/>
        <v>0</v>
      </c>
      <c r="AD1080" s="129"/>
      <c r="AE1080" s="133">
        <v>1329.7732933948048</v>
      </c>
      <c r="AF1080" s="134">
        <v>9.1758655625142176E-3</v>
      </c>
      <c r="AG1080" s="61"/>
      <c r="AH1080" s="134"/>
      <c r="AI1080" s="134"/>
      <c r="AJ1080" s="129">
        <f t="shared" si="1902"/>
        <v>0</v>
      </c>
      <c r="AK1080" s="134"/>
      <c r="AL1080" s="129"/>
      <c r="AM1080" s="129"/>
      <c r="AN1080" s="129"/>
      <c r="AO1080" s="129"/>
      <c r="AP1080" s="133"/>
      <c r="AQ1080" s="134"/>
      <c r="AR1080" s="93"/>
      <c r="AS1080" s="93"/>
      <c r="AT1080" s="93"/>
      <c r="AU1080" s="93"/>
      <c r="AV1080" s="93"/>
      <c r="AW1080" s="134"/>
      <c r="AX1080" s="62"/>
      <c r="AY1080" s="93"/>
      <c r="AZ1080" s="93"/>
      <c r="BA1080" s="132"/>
      <c r="BB1080" s="234">
        <f>IFERROR(INDEX('Total Customers'!$E$7:$AA$91,MATCH($C1080,'Total Customers'!$C$7:$C$91,0),MATCH($G1080,'Total Customers'!$E$5:$AA$5,0)),"NA")</f>
        <v>166295</v>
      </c>
      <c r="BC1080" s="269">
        <f t="shared" si="1861"/>
        <v>3.4659736031691438E-2</v>
      </c>
      <c r="BD1080" s="92"/>
      <c r="BE1080" s="299" t="str">
        <f t="shared" si="1855"/>
        <v>SOUTHERN CONNECTICUT GAS COMPANY</v>
      </c>
      <c r="BF1080" s="300">
        <f t="shared" si="1856"/>
        <v>4063060</v>
      </c>
      <c r="BG1080" s="231" t="str">
        <f t="shared" si="1857"/>
        <v>CT</v>
      </c>
      <c r="BH1080" s="231"/>
      <c r="BI1080" s="231" t="str">
        <f t="shared" si="1858"/>
        <v>2000 Y</v>
      </c>
      <c r="BJ1080" s="129"/>
      <c r="BK1080" s="129"/>
      <c r="BL1080" s="129">
        <f>INDEX('Dist. Plant Gas Additions'!$E$7:$AD$91,MATCH($C1080,'Dist. Plant Gas Additions'!$C$7:$C$91,0),MATCH(Calculation!$G1080,'Dist. Plant Gas Additions'!$E$5:$AD$5,0))</f>
        <v>6183</v>
      </c>
      <c r="BM1080" s="129">
        <f>INDEX('Gen. Plant Additions'!$E$7:$AD$91,MATCH($C1080,'Gen. Plant Additions'!$C$7:$C$91,0),MATCH(Calculation!$G1080,'Gen. Plant Additions'!$E$5:$AD$5,0))</f>
        <v>377</v>
      </c>
      <c r="BN1080" s="301">
        <f t="shared" ref="BN1080:BN1100" si="1953">+(BY1080/(BY1080+BZ1080))</f>
        <v>0.92841113001868603</v>
      </c>
      <c r="BO1080" s="231">
        <f t="shared" si="1939"/>
        <v>350.01099601704465</v>
      </c>
      <c r="BP1080" s="231">
        <f t="shared" si="1940"/>
        <v>-26.989003982955353</v>
      </c>
      <c r="BQ1080" s="129">
        <f>INDEX('Dist Plant Depreciation'!$D$7:$AC$94,MATCH($C1080,'Dist Plant Depreciation'!$C$7:$C$94,0),MATCH(Calculation!$G1080,'Dist Plant Depreciation'!$D$5:$AC$5,0))</f>
        <v>146272</v>
      </c>
      <c r="BR1080" s="129">
        <f>INDEX('Gen. Plant Depreciation'!$D$7:$AC$94,MATCH($C1080,'Gen. Plant Depreciation'!$C$7:$C$94,0),MATCH(Calculation!$G1080,'Gen. Plant Depreciation'!$D$5:$AC$5,0))</f>
        <v>11305</v>
      </c>
      <c r="BS1080" s="129"/>
      <c r="BT1080" s="129"/>
      <c r="BU1080" s="129"/>
      <c r="BV1080" s="129"/>
      <c r="BW1080" s="129"/>
      <c r="BX1080" s="137"/>
      <c r="BY1080" s="129">
        <f>INDEX('Gross Dx Plant'!$D$7:$AC$91,MATCH($C1080,'Gross Dx Plant'!$C$7:$C$91,0),MATCH(Calculation!$G1080,'Gross Dx Plant'!$D$5:$AC$5,0))</f>
        <v>400459</v>
      </c>
      <c r="BZ1080" s="129">
        <f>INDEX('Gross Gen Plant'!$D$7:$AC$91,MATCH($C1080,'Gross Gen Plant'!$C$7:$C$91,0),MATCH(Calculation!$G1080,'Gross Gen Plant'!$D$5:$AC$5,0))</f>
        <v>30879</v>
      </c>
      <c r="CA1080" s="129">
        <f t="shared" si="1852"/>
        <v>273761</v>
      </c>
      <c r="CB1080" s="129"/>
      <c r="CC1080" s="133">
        <v>2000</v>
      </c>
      <c r="CD1080" s="129"/>
      <c r="CE1080" s="129"/>
      <c r="CF1080" s="129"/>
      <c r="CG1080" s="137"/>
      <c r="CH1080" s="129">
        <f t="shared" ref="CH1080:CH1101" si="1954">+BM1080+BL1080</f>
        <v>6560</v>
      </c>
      <c r="CI1080" s="46">
        <f t="shared" ref="CI1080:CI1102" si="1955">+CH1080+BP1080</f>
        <v>6533.0109960170448</v>
      </c>
      <c r="CJ1080" s="231">
        <f t="shared" si="1945"/>
        <v>18.852454061576033</v>
      </c>
      <c r="CK1080" s="443">
        <v>0.98</v>
      </c>
      <c r="CL1080" s="231">
        <f>+CL1078*CK1080+CJ1079*CK1079+CJ1080</f>
        <v>1316.6852736270744</v>
      </c>
      <c r="CM1080" s="134">
        <f t="shared" si="1946"/>
        <v>4.1737412368750542E-3</v>
      </c>
      <c r="CN1080" s="135">
        <f t="shared" si="1947"/>
        <v>1.0195538774860059E-2</v>
      </c>
      <c r="CO1080" s="135"/>
      <c r="CP1080" s="134">
        <f>VLOOKUP($H1080,RoR!$E:$F,2,FALSE)</f>
        <v>7.6225000000000001E-2</v>
      </c>
      <c r="CQ1080" s="135">
        <v>2.2568307442433211E-2</v>
      </c>
      <c r="CR1080" s="135">
        <f t="shared" ref="CR1080:CR1100" si="1956">+CP1080-CQ1080</f>
        <v>5.365669255756679E-2</v>
      </c>
      <c r="CS1080" s="135"/>
      <c r="CT1080" s="135"/>
      <c r="CU1080" s="139">
        <f t="shared" si="1948"/>
        <v>0.85126000000000002</v>
      </c>
      <c r="CV1080" s="335">
        <f t="shared" si="1949"/>
        <v>0.67277207323124022</v>
      </c>
      <c r="CW1080" s="335">
        <f t="shared" si="1950"/>
        <v>0.6470236142997704</v>
      </c>
      <c r="CX1080" s="335">
        <f t="shared" si="1951"/>
        <v>0.94704866037543145</v>
      </c>
      <c r="CY1080" s="335">
        <f t="shared" si="1952"/>
        <v>0.41224973107878493</v>
      </c>
      <c r="CZ1080" s="336">
        <f>INDEX('State Tax Lookup'!$D$7:$Z$91,MATCH(Calculation!$C1080,'State Tax Lookup'!$B$7:$B$91,0),MATCH($H1080,'State Tax Lookup'!$D$6:$Z$6,0))</f>
        <v>0.40200000000000002</v>
      </c>
      <c r="DA1080" s="302">
        <v>0.37</v>
      </c>
      <c r="DB1080" s="57"/>
      <c r="DC1080" s="56"/>
      <c r="DD1080" s="303">
        <f>VLOOKUP($H1080,RoR!$E:$F,2,FALSE)</f>
        <v>7.6225000000000001E-2</v>
      </c>
      <c r="DE1080" s="304">
        <f>HLOOKUP($H1080,'GDP-PI'!$D$8:$CQ$11,3,FALSE)</f>
        <v>2.2568307442433211E-2</v>
      </c>
      <c r="DF1080" s="303">
        <f>VLOOKUP(H1080,'HW Dx Data'!$E:$F,2,FALSE)</f>
        <v>346.53371782150339</v>
      </c>
      <c r="DG1080" s="364"/>
      <c r="DH1080" s="364"/>
      <c r="DI1080" s="364"/>
      <c r="DJ1080" s="56"/>
      <c r="DK1080" s="53">
        <f>HLOOKUP(H1080,'GDP-PI'!$8:$9,2,FALSE)</f>
        <v>78.069000000000003</v>
      </c>
      <c r="DL1080" s="298"/>
    </row>
    <row r="1081" spans="1:116" s="126" customFormat="1" ht="21" customHeight="1" x14ac:dyDescent="0.4">
      <c r="A1081" s="233" t="s">
        <v>246</v>
      </c>
      <c r="B1081" s="126" t="s">
        <v>247</v>
      </c>
      <c r="C1081" s="126">
        <v>4063060</v>
      </c>
      <c r="D1081" s="127" t="s">
        <v>203</v>
      </c>
      <c r="E1081" s="127" t="s">
        <v>15</v>
      </c>
      <c r="F1081" s="144"/>
      <c r="G1081" s="126" t="s">
        <v>157</v>
      </c>
      <c r="H1081" s="128">
        <v>2001</v>
      </c>
      <c r="I1081" s="129"/>
      <c r="J1081" s="125"/>
      <c r="K1081" s="125"/>
      <c r="L1081" s="47"/>
      <c r="M1081" s="125"/>
      <c r="N1081" s="125"/>
      <c r="O1081" s="125"/>
      <c r="P1081" s="47"/>
      <c r="Q1081" s="47"/>
      <c r="R1081" s="386"/>
      <c r="S1081" s="119"/>
      <c r="T1081" s="47"/>
      <c r="U1081" s="47"/>
      <c r="V1081" s="125"/>
      <c r="W1081" s="125"/>
      <c r="X1081" s="125"/>
      <c r="Y1081" s="125"/>
      <c r="Z1081" s="125"/>
      <c r="AA1081" s="125"/>
      <c r="AB1081" s="125"/>
      <c r="AC1081" s="125">
        <f t="shared" si="1944"/>
        <v>13701.669022997203</v>
      </c>
      <c r="AD1081" s="129"/>
      <c r="AE1081" s="133">
        <v>1417.3063573144834</v>
      </c>
      <c r="AF1081" s="134">
        <v>6.374966708124187E-2</v>
      </c>
      <c r="AG1081" s="61"/>
      <c r="AH1081" s="134"/>
      <c r="AI1081" s="134"/>
      <c r="AJ1081" s="129">
        <f t="shared" si="1902"/>
        <v>13701.669022997203</v>
      </c>
      <c r="AK1081" s="134"/>
      <c r="AL1081" s="129"/>
      <c r="AM1081" s="129"/>
      <c r="AN1081" s="129"/>
      <c r="AO1081" s="129"/>
      <c r="AP1081" s="133"/>
      <c r="AQ1081" s="134"/>
      <c r="AR1081" s="93"/>
      <c r="AS1081" s="93"/>
      <c r="AT1081" s="93"/>
      <c r="AU1081" s="93"/>
      <c r="AV1081" s="93"/>
      <c r="AW1081" s="134"/>
      <c r="AX1081" s="62"/>
      <c r="AY1081" s="93"/>
      <c r="AZ1081" s="93"/>
      <c r="BA1081" s="132"/>
      <c r="BB1081" s="234">
        <f>IFERROR(INDEX('Total Customers'!$E$7:$AA$91,MATCH($C1081,'Total Customers'!$C$7:$C$91,0),MATCH($G1081,'Total Customers'!$E$5:$AA$5,0)),"NA")</f>
        <v>166886</v>
      </c>
      <c r="BC1081" s="269">
        <f t="shared" si="1861"/>
        <v>3.5476249836743738E-3</v>
      </c>
      <c r="BD1081" s="92"/>
      <c r="BE1081" s="299" t="str">
        <f t="shared" si="1855"/>
        <v>SOUTHERN CONNECTICUT GAS COMPANY</v>
      </c>
      <c r="BF1081" s="300">
        <f t="shared" si="1856"/>
        <v>4063060</v>
      </c>
      <c r="BG1081" s="231" t="str">
        <f t="shared" si="1857"/>
        <v>CT</v>
      </c>
      <c r="BH1081" s="231"/>
      <c r="BI1081" s="231" t="str">
        <f t="shared" si="1858"/>
        <v>2001 Y</v>
      </c>
      <c r="BJ1081" s="129"/>
      <c r="BK1081" s="129"/>
      <c r="BL1081" s="129">
        <f>INDEX('Dist. Plant Gas Additions'!$E$7:$AD$91,MATCH($C1081,'Dist. Plant Gas Additions'!$C$7:$C$91,0),MATCH(Calculation!$G1081,'Dist. Plant Gas Additions'!$E$5:$AD$5,0))</f>
        <v>24279</v>
      </c>
      <c r="BM1081" s="129">
        <f>INDEX('Gen. Plant Additions'!$E$7:$AD$91,MATCH($C1081,'Gen. Plant Additions'!$C$7:$C$91,0),MATCH(Calculation!$G1081,'Gen. Plant Additions'!$E$5:$AD$5,0))</f>
        <v>9131</v>
      </c>
      <c r="BN1081" s="301">
        <f t="shared" si="1953"/>
        <v>0.92167241856682847</v>
      </c>
      <c r="BO1081" s="231">
        <f t="shared" si="1939"/>
        <v>8415.7908539337113</v>
      </c>
      <c r="BP1081" s="231">
        <f t="shared" si="1940"/>
        <v>-715.20914606628867</v>
      </c>
      <c r="BQ1081" s="129">
        <f>INDEX('Dist Plant Depreciation'!$D$7:$AC$94,MATCH($C1081,'Dist Plant Depreciation'!$C$7:$C$94,0),MATCH(Calculation!$G1081,'Dist Plant Depreciation'!$D$5:$AC$5,0))</f>
        <v>155339</v>
      </c>
      <c r="BR1081" s="129">
        <f>INDEX('Gen. Plant Depreciation'!$D$7:$AC$94,MATCH($C1081,'Gen. Plant Depreciation'!$C$7:$C$94,0),MATCH(Calculation!$G1081,'Gen. Plant Depreciation'!$D$5:$AC$5,0))</f>
        <v>10655</v>
      </c>
      <c r="BS1081" s="129"/>
      <c r="BT1081" s="129"/>
      <c r="BU1081" s="129"/>
      <c r="BV1081" s="129"/>
      <c r="BW1081" s="129"/>
      <c r="BX1081" s="137"/>
      <c r="BY1081" s="129">
        <f>INDEX('Gross Dx Plant'!$D$7:$AC$91,MATCH($C1081,'Gross Dx Plant'!$C$7:$C$91,0),MATCH(Calculation!$G1081,'Gross Dx Plant'!$D$5:$AC$5,0))</f>
        <v>422761</v>
      </c>
      <c r="BZ1081" s="129">
        <f>INDEX('Gross Gen Plant'!$D$7:$AC$91,MATCH($C1081,'Gross Gen Plant'!$C$7:$C$91,0),MATCH(Calculation!$G1081,'Gross Gen Plant'!$D$5:$AC$5,0))</f>
        <v>35928</v>
      </c>
      <c r="CA1081" s="129">
        <f t="shared" si="1852"/>
        <v>292695</v>
      </c>
      <c r="CB1081" s="129"/>
      <c r="CC1081" s="133">
        <v>2001</v>
      </c>
      <c r="CD1081" s="129"/>
      <c r="CE1081" s="129"/>
      <c r="CF1081" s="129"/>
      <c r="CG1081" s="137"/>
      <c r="CH1081" s="129">
        <f t="shared" si="1954"/>
        <v>33410</v>
      </c>
      <c r="CI1081" s="46">
        <f t="shared" si="1955"/>
        <v>32694.790853933711</v>
      </c>
      <c r="CJ1081" s="231">
        <f t="shared" si="1945"/>
        <v>92.502569513349798</v>
      </c>
      <c r="CK1081" s="443">
        <v>0.96969696969696972</v>
      </c>
      <c r="CL1081" s="231">
        <f>+CL1078*CK1081+CJ1079*CK1080+CJ1080*CK1078+CJ1081</f>
        <v>1395.5494106196511</v>
      </c>
      <c r="CM1081" s="134">
        <f t="shared" si="1946"/>
        <v>5.8170758462005284E-2</v>
      </c>
      <c r="CN1081" s="135">
        <f t="shared" si="1947"/>
        <v>1.0358156800222472E-2</v>
      </c>
      <c r="CO1081" s="135">
        <f>+(CN1081+CN1080+CN1079)/3</f>
        <v>1.0151561891364127E-2</v>
      </c>
      <c r="CP1081" s="134">
        <f>VLOOKUP($H1081,RoR!$E:$F,2,FALSE)</f>
        <v>7.0824999999999999E-2</v>
      </c>
      <c r="CQ1081" s="135">
        <v>2.2454495382290052E-2</v>
      </c>
      <c r="CR1081" s="135">
        <f t="shared" si="1956"/>
        <v>4.8370504617709947E-2</v>
      </c>
      <c r="CS1081" s="135">
        <f>+$CR$2-CO1081</f>
        <v>2.0750379717169497E-2</v>
      </c>
      <c r="CT1081" s="135">
        <f>+((DF1079/DF1078-1)+(DF1080/DF1079-1)+(DF1081/DF1080-1))/3</f>
        <v>2.3947275901631187E-2</v>
      </c>
      <c r="CU1081" s="139">
        <f t="shared" si="1948"/>
        <v>0.85126000000000002</v>
      </c>
      <c r="CV1081" s="335">
        <f t="shared" si="1949"/>
        <v>0.72406708481540816</v>
      </c>
      <c r="CW1081" s="335">
        <f t="shared" si="1950"/>
        <v>0.62201729615248857</v>
      </c>
      <c r="CX1081" s="335">
        <f t="shared" si="1951"/>
        <v>0.9352469954311422</v>
      </c>
      <c r="CY1081" s="335">
        <f t="shared" si="1952"/>
        <v>0.42121864641655071</v>
      </c>
      <c r="CZ1081" s="336">
        <f>INDEX('State Tax Lookup'!$D$7:$Z$91,MATCH(Calculation!$C1081,'State Tax Lookup'!$B$7:$B$91,0),MATCH($H1081,'State Tax Lookup'!$D$6:$Z$6,0))</f>
        <v>0.40200000000000002</v>
      </c>
      <c r="DA1081" s="302">
        <v>0.37</v>
      </c>
      <c r="DB1081" s="57">
        <f t="shared" ref="DB1081:DB1102" si="1957">+(DF1081*CS1081-CT1081)*CU1081/(1-CZ1081)</f>
        <v>10.406183844718791</v>
      </c>
      <c r="DC1081" s="56"/>
      <c r="DD1081" s="303">
        <f>VLOOKUP($H1081,RoR!$E:$F,2,FALSE)</f>
        <v>7.0824999999999999E-2</v>
      </c>
      <c r="DE1081" s="304">
        <f>HLOOKUP($H1081,'GDP-PI'!$D$8:$CQ$11,3,FALSE)</f>
        <v>2.2454495382290052E-2</v>
      </c>
      <c r="DF1081" s="303">
        <f>VLOOKUP(H1081,'HW Dx Data'!$E:$F,2,FALSE)</f>
        <v>353.44738017483138</v>
      </c>
      <c r="DG1081" s="364"/>
      <c r="DH1081" s="364"/>
      <c r="DI1081" s="364"/>
      <c r="DJ1081" s="56"/>
      <c r="DK1081" s="53">
        <f>HLOOKUP(H1081,'GDP-PI'!$8:$9,2,FALSE)</f>
        <v>79.822000000000003</v>
      </c>
      <c r="DL1081" s="298"/>
    </row>
    <row r="1082" spans="1:116" s="126" customFormat="1" ht="21" customHeight="1" x14ac:dyDescent="0.4">
      <c r="A1082" s="233" t="s">
        <v>246</v>
      </c>
      <c r="B1082" s="126" t="s">
        <v>247</v>
      </c>
      <c r="C1082" s="126">
        <v>4063060</v>
      </c>
      <c r="D1082" s="127" t="s">
        <v>203</v>
      </c>
      <c r="E1082" s="127" t="s">
        <v>15</v>
      </c>
      <c r="F1082" s="144"/>
      <c r="G1082" s="126" t="s">
        <v>158</v>
      </c>
      <c r="H1082" s="128">
        <v>2002</v>
      </c>
      <c r="I1082" s="129"/>
      <c r="J1082" s="125"/>
      <c r="K1082" s="125"/>
      <c r="L1082" s="47"/>
      <c r="M1082" s="125"/>
      <c r="N1082" s="125"/>
      <c r="O1082" s="125"/>
      <c r="P1082" s="47"/>
      <c r="Q1082" s="47"/>
      <c r="R1082" s="386"/>
      <c r="S1082" s="119"/>
      <c r="T1082" s="47"/>
      <c r="U1082" s="47"/>
      <c r="V1082" s="125"/>
      <c r="W1082" s="125"/>
      <c r="X1082" s="125"/>
      <c r="Y1082" s="125"/>
      <c r="Z1082" s="125"/>
      <c r="AA1082" s="125"/>
      <c r="AB1082" s="125"/>
      <c r="AC1082" s="125">
        <f t="shared" si="1944"/>
        <v>14606.727912197752</v>
      </c>
      <c r="AD1082" s="129"/>
      <c r="AE1082" s="133">
        <v>1478.7626069036603</v>
      </c>
      <c r="AF1082" s="134">
        <v>4.2447522961274735E-2</v>
      </c>
      <c r="AG1082" s="61"/>
      <c r="AH1082" s="134"/>
      <c r="AI1082" s="134"/>
      <c r="AJ1082" s="129">
        <f t="shared" si="1902"/>
        <v>14606.727912197752</v>
      </c>
      <c r="AK1082" s="134"/>
      <c r="AL1082" s="129"/>
      <c r="AM1082" s="129"/>
      <c r="AN1082" s="129"/>
      <c r="AO1082" s="129"/>
      <c r="AP1082" s="133"/>
      <c r="AQ1082" s="134"/>
      <c r="AR1082" s="93"/>
      <c r="AS1082" s="93"/>
      <c r="AT1082" s="93"/>
      <c r="AU1082" s="93"/>
      <c r="AV1082" s="93"/>
      <c r="AW1082" s="134"/>
      <c r="AX1082" s="62"/>
      <c r="AY1082" s="93"/>
      <c r="AZ1082" s="93"/>
      <c r="BA1082" s="132"/>
      <c r="BB1082" s="234">
        <f>IFERROR(INDEX('Total Customers'!$E$7:$AA$91,MATCH($C1082,'Total Customers'!$C$7:$C$91,0),MATCH($G1082,'Total Customers'!$E$5:$AA$5,0)),"NA")</f>
        <v>169319</v>
      </c>
      <c r="BC1082" s="269">
        <f t="shared" si="1861"/>
        <v>1.4473565073393615E-2</v>
      </c>
      <c r="BD1082" s="92"/>
      <c r="BE1082" s="299" t="str">
        <f t="shared" si="1855"/>
        <v>SOUTHERN CONNECTICUT GAS COMPANY</v>
      </c>
      <c r="BF1082" s="300">
        <f t="shared" si="1856"/>
        <v>4063060</v>
      </c>
      <c r="BG1082" s="231" t="str">
        <f t="shared" si="1857"/>
        <v>CT</v>
      </c>
      <c r="BH1082" s="231"/>
      <c r="BI1082" s="231" t="str">
        <f t="shared" si="1858"/>
        <v>2002 Y</v>
      </c>
      <c r="BJ1082" s="129"/>
      <c r="BK1082" s="129"/>
      <c r="BL1082" s="129">
        <f>INDEX('Dist. Plant Gas Additions'!$E$7:$AD$91,MATCH($C1082,'Dist. Plant Gas Additions'!$C$7:$C$91,0),MATCH(Calculation!$G1082,'Dist. Plant Gas Additions'!$E$5:$AD$5,0))</f>
        <v>21583</v>
      </c>
      <c r="BM1082" s="129">
        <f>INDEX('Gen. Plant Additions'!$E$7:$AD$91,MATCH($C1082,'Gen. Plant Additions'!$C$7:$C$91,0),MATCH(Calculation!$G1082,'Gen. Plant Additions'!$E$5:$AD$5,0))</f>
        <v>3469</v>
      </c>
      <c r="BN1082" s="301">
        <f t="shared" si="1953"/>
        <v>0.91903040763067279</v>
      </c>
      <c r="BO1082" s="231">
        <f t="shared" si="1939"/>
        <v>3188.1164840708038</v>
      </c>
      <c r="BP1082" s="231">
        <f t="shared" si="1940"/>
        <v>-280.88351592919616</v>
      </c>
      <c r="BQ1082" s="129">
        <f>INDEX('Dist Plant Depreciation'!$D$7:$AC$94,MATCH($C1082,'Dist Plant Depreciation'!$C$7:$C$94,0),MATCH(Calculation!$G1082,'Dist Plant Depreciation'!$D$5:$AC$5,0))</f>
        <v>164620</v>
      </c>
      <c r="BR1082" s="129">
        <f>INDEX('Gen. Plant Depreciation'!$D$7:$AC$94,MATCH($C1082,'Gen. Plant Depreciation'!$C$7:$C$94,0),MATCH(Calculation!$G1082,'Gen. Plant Depreciation'!$D$5:$AC$5,0))</f>
        <v>14310</v>
      </c>
      <c r="BS1082" s="129"/>
      <c r="BT1082" s="129"/>
      <c r="BU1082" s="129"/>
      <c r="BV1082" s="129"/>
      <c r="BW1082" s="129"/>
      <c r="BX1082" s="137"/>
      <c r="BY1082" s="129">
        <f>INDEX('Gross Dx Plant'!$D$7:$AC$91,MATCH($C1082,'Gross Dx Plant'!$C$7:$C$91,0),MATCH(Calculation!$G1082,'Gross Dx Plant'!$D$5:$AC$5,0))</f>
        <v>440903</v>
      </c>
      <c r="BZ1082" s="129">
        <f>INDEX('Gross Gen Plant'!$D$7:$AC$91,MATCH($C1082,'Gross Gen Plant'!$C$7:$C$91,0),MATCH(Calculation!$G1082,'Gross Gen Plant'!$D$5:$AC$5,0))</f>
        <v>38845</v>
      </c>
      <c r="CA1082" s="129">
        <f t="shared" si="1852"/>
        <v>300818</v>
      </c>
      <c r="CB1082" s="129"/>
      <c r="CC1082" s="133">
        <v>2002</v>
      </c>
      <c r="CD1082" s="129"/>
      <c r="CE1082" s="129"/>
      <c r="CF1082" s="129"/>
      <c r="CG1082" s="137"/>
      <c r="CH1082" s="129">
        <f t="shared" si="1954"/>
        <v>25052</v>
      </c>
      <c r="CI1082" s="46">
        <f t="shared" si="1955"/>
        <v>24771.116484070804</v>
      </c>
      <c r="CJ1082" s="231">
        <f t="shared" si="1945"/>
        <v>68.551936423267463</v>
      </c>
      <c r="CK1082" s="443">
        <v>0.95918367346938771</v>
      </c>
      <c r="CL1082" s="231">
        <f>+CL1078*CK1082+CJ1079*CK1081+CJ1080*CK1080+CJ1081*CK1079+CJ1082</f>
        <v>1448.8917037857457</v>
      </c>
      <c r="CM1082" s="134">
        <f t="shared" si="1946"/>
        <v>3.7510741481574385E-2</v>
      </c>
      <c r="CN1082" s="135">
        <f t="shared" si="1947"/>
        <v>1.0898677711754762E-2</v>
      </c>
      <c r="CO1082" s="135">
        <f t="shared" ref="CO1082:CO1102" si="1958">+(CN1082+CN1081+CN1080)/3</f>
        <v>1.0484124428945765E-2</v>
      </c>
      <c r="CP1082" s="134">
        <f>VLOOKUP($H1082,RoR!$E:$F,2,FALSE)</f>
        <v>6.4916666666666664E-2</v>
      </c>
      <c r="CQ1082" s="135">
        <v>1.5246423291824351E-2</v>
      </c>
      <c r="CR1082" s="135">
        <f t="shared" si="1956"/>
        <v>4.9670243374842313E-2</v>
      </c>
      <c r="CS1082" s="135">
        <f t="shared" ref="CS1082:CS1102" si="1959">+$CR$2-CO1082</f>
        <v>2.041781717958786E-2</v>
      </c>
      <c r="CT1082" s="135">
        <f t="shared" ref="CT1082:CT1102" si="1960">+((DF1080/DF1079-1)+(DF1081/DF1080-1)+(DF1082/DF1081-1))/3</f>
        <v>2.5243621214759093E-2</v>
      </c>
      <c r="CU1082" s="139">
        <f t="shared" si="1948"/>
        <v>0.85126000000000002</v>
      </c>
      <c r="CV1082" s="335">
        <f t="shared" si="1949"/>
        <v>0.78996741384417901</v>
      </c>
      <c r="CW1082" s="335">
        <f t="shared" si="1950"/>
        <v>0.58989088575096271</v>
      </c>
      <c r="CX1082" s="335">
        <f t="shared" si="1951"/>
        <v>0.91920675783645744</v>
      </c>
      <c r="CY1082" s="335">
        <f t="shared" si="1952"/>
        <v>0.42834536472275586</v>
      </c>
      <c r="CZ1082" s="336">
        <f>INDEX('State Tax Lookup'!$D$7:$Z$91,MATCH(Calculation!$C1082,'State Tax Lookup'!$B$7:$B$91,0),MATCH($H1082,'State Tax Lookup'!$D$6:$Z$6,0))</f>
        <v>0.40200000000000002</v>
      </c>
      <c r="DA1082" s="302">
        <v>0.37</v>
      </c>
      <c r="DB1082" s="57">
        <f t="shared" si="1957"/>
        <v>10.466650482631124</v>
      </c>
      <c r="DC1082" s="56">
        <f t="shared" ref="DC1082:DC1100" si="1961">LN(DB1082/DB1081)</f>
        <v>5.7938281032189377E-3</v>
      </c>
      <c r="DD1082" s="303">
        <f>VLOOKUP($H1082,RoR!$E:$F,2,FALSE)</f>
        <v>6.4916666666666664E-2</v>
      </c>
      <c r="DE1082" s="304">
        <f>HLOOKUP($H1082,'GDP-PI'!$D$8:$CQ$11,3,FALSE)</f>
        <v>1.5246423291824351E-2</v>
      </c>
      <c r="DF1082" s="303">
        <f>VLOOKUP(H1082,'HW Dx Data'!$E:$F,2,FALSE)</f>
        <v>361.34816573413599</v>
      </c>
      <c r="DG1082" s="364"/>
      <c r="DH1082" s="364"/>
      <c r="DI1082" s="364"/>
      <c r="DJ1082" s="56"/>
      <c r="DK1082" s="53">
        <f>HLOOKUP(H1082,'GDP-PI'!$8:$9,2,FALSE)</f>
        <v>81.039000000000001</v>
      </c>
      <c r="DL1082" s="355">
        <f>LN(DK1082/DK1081)</f>
        <v>1.513136459537477E-2</v>
      </c>
    </row>
    <row r="1083" spans="1:116" s="126" customFormat="1" ht="21" customHeight="1" x14ac:dyDescent="0.4">
      <c r="A1083" s="233" t="s">
        <v>246</v>
      </c>
      <c r="B1083" s="126" t="s">
        <v>247</v>
      </c>
      <c r="C1083" s="126">
        <v>4063060</v>
      </c>
      <c r="D1083" s="127" t="s">
        <v>203</v>
      </c>
      <c r="E1083" s="127" t="s">
        <v>15</v>
      </c>
      <c r="F1083" s="144"/>
      <c r="G1083" s="126" t="s">
        <v>159</v>
      </c>
      <c r="H1083" s="128">
        <v>2003</v>
      </c>
      <c r="I1083" s="129"/>
      <c r="J1083" s="125"/>
      <c r="K1083" s="125"/>
      <c r="L1083" s="47"/>
      <c r="M1083" s="125"/>
      <c r="N1083" s="125"/>
      <c r="O1083" s="125"/>
      <c r="P1083" s="59"/>
      <c r="Q1083" s="59"/>
      <c r="R1083" s="386"/>
      <c r="S1083" s="119"/>
      <c r="T1083" s="59"/>
      <c r="U1083" s="59"/>
      <c r="V1083" s="125"/>
      <c r="W1083" s="125"/>
      <c r="X1083" s="125"/>
      <c r="Y1083" s="125"/>
      <c r="Z1083" s="125"/>
      <c r="AA1083" s="125"/>
      <c r="AB1083" s="125"/>
      <c r="AC1083" s="125">
        <f t="shared" si="1944"/>
        <v>15288.071993729831</v>
      </c>
      <c r="AD1083" s="129"/>
      <c r="AE1083" s="133">
        <v>1530.0542487285893</v>
      </c>
      <c r="AF1083" s="134">
        <v>3.4097529808366923E-2</v>
      </c>
      <c r="AG1083" s="61"/>
      <c r="AH1083" s="134"/>
      <c r="AI1083" s="134"/>
      <c r="AJ1083" s="129">
        <f t="shared" si="1902"/>
        <v>15288.071993729831</v>
      </c>
      <c r="AK1083" s="134"/>
      <c r="AL1083" s="129"/>
      <c r="AM1083" s="129"/>
      <c r="AN1083" s="129"/>
      <c r="AO1083" s="129"/>
      <c r="AP1083" s="133"/>
      <c r="AQ1083" s="134"/>
      <c r="AR1083" s="93"/>
      <c r="AS1083" s="93"/>
      <c r="AT1083" s="93"/>
      <c r="AU1083" s="93"/>
      <c r="AV1083" s="93"/>
      <c r="AW1083" s="134"/>
      <c r="AX1083" s="62"/>
      <c r="AY1083" s="93"/>
      <c r="AZ1083" s="93"/>
      <c r="BA1083" s="132"/>
      <c r="BB1083" s="234">
        <f>IFERROR(INDEX('Total Customers'!$E$7:$AA$91,MATCH($C1083,'Total Customers'!$C$7:$C$91,0),MATCH($G1083,'Total Customers'!$E$5:$AA$5,0)),"NA")</f>
        <v>170057</v>
      </c>
      <c r="BC1083" s="269">
        <f t="shared" si="1861"/>
        <v>4.3491653109638713E-3</v>
      </c>
      <c r="BD1083" s="92"/>
      <c r="BE1083" s="299" t="str">
        <f t="shared" si="1855"/>
        <v>SOUTHERN CONNECTICUT GAS COMPANY</v>
      </c>
      <c r="BF1083" s="300">
        <f t="shared" si="1856"/>
        <v>4063060</v>
      </c>
      <c r="BG1083" s="231" t="str">
        <f t="shared" si="1857"/>
        <v>CT</v>
      </c>
      <c r="BH1083" s="231"/>
      <c r="BI1083" s="231" t="str">
        <f t="shared" si="1858"/>
        <v>2003 Y</v>
      </c>
      <c r="BJ1083" s="129"/>
      <c r="BK1083" s="129"/>
      <c r="BL1083" s="129">
        <f>INDEX('Dist. Plant Gas Additions'!$E$7:$AD$91,MATCH($C1083,'Dist. Plant Gas Additions'!$C$7:$C$91,0),MATCH(Calculation!$G1083,'Dist. Plant Gas Additions'!$E$5:$AD$5,0))</f>
        <v>21551</v>
      </c>
      <c r="BM1083" s="129">
        <f>INDEX('Gen. Plant Additions'!$E$7:$AD$91,MATCH($C1083,'Gen. Plant Additions'!$C$7:$C$91,0),MATCH(Calculation!$G1083,'Gen. Plant Additions'!$E$5:$AD$5,0))</f>
        <v>478</v>
      </c>
      <c r="BN1083" s="301">
        <f t="shared" si="1953"/>
        <v>0.92190110910735812</v>
      </c>
      <c r="BO1083" s="231">
        <f t="shared" si="1939"/>
        <v>440.6687301533172</v>
      </c>
      <c r="BP1083" s="231">
        <f t="shared" si="1940"/>
        <v>-37.331269846682801</v>
      </c>
      <c r="BQ1083" s="129">
        <f>INDEX('Dist Plant Depreciation'!$D$7:$AC$94,MATCH($C1083,'Dist Plant Depreciation'!$C$7:$C$94,0),MATCH(Calculation!$G1083,'Dist Plant Depreciation'!$D$5:$AC$5,0))</f>
        <v>174494</v>
      </c>
      <c r="BR1083" s="129">
        <f>INDEX('Gen. Plant Depreciation'!$D$7:$AC$94,MATCH($C1083,'Gen. Plant Depreciation'!$C$7:$C$94,0),MATCH(Calculation!$G1083,'Gen. Plant Depreciation'!$D$5:$AC$5,0))</f>
        <v>18049</v>
      </c>
      <c r="BS1083" s="129"/>
      <c r="BT1083" s="129"/>
      <c r="BU1083" s="129"/>
      <c r="BV1083" s="129"/>
      <c r="BW1083" s="129"/>
      <c r="BX1083" s="137"/>
      <c r="BY1083" s="129">
        <f>INDEX('Gross Dx Plant'!$D$7:$AC$91,MATCH($C1083,'Gross Dx Plant'!$C$7:$C$91,0),MATCH(Calculation!$G1083,'Gross Dx Plant'!$D$5:$AC$5,0))</f>
        <v>459576</v>
      </c>
      <c r="BZ1083" s="129">
        <f>INDEX('Gross Gen Plant'!$D$7:$AC$91,MATCH($C1083,'Gross Gen Plant'!$C$7:$C$91,0),MATCH(Calculation!$G1083,'Gross Gen Plant'!$D$5:$AC$5,0))</f>
        <v>38933</v>
      </c>
      <c r="CA1083" s="129">
        <f t="shared" si="1852"/>
        <v>305966</v>
      </c>
      <c r="CB1083" s="129"/>
      <c r="CC1083" s="133">
        <v>2003</v>
      </c>
      <c r="CD1083" s="129"/>
      <c r="CE1083" s="129"/>
      <c r="CF1083" s="129"/>
      <c r="CG1083" s="137"/>
      <c r="CH1083" s="129">
        <f t="shared" si="1954"/>
        <v>22029</v>
      </c>
      <c r="CI1083" s="46">
        <f t="shared" si="1955"/>
        <v>21991.668730153317</v>
      </c>
      <c r="CJ1083" s="231">
        <f t="shared" si="1945"/>
        <v>59.560407866125722</v>
      </c>
      <c r="CK1083" s="443">
        <v>0.94845360824742264</v>
      </c>
      <c r="CL1083" s="231">
        <f>+CL1078*CK1083+CJ1079*CK1082+CJ1080*CK1081+CJ1081*CK1080+CJ1082*CK1079+CJ1083</f>
        <v>1492.4413302650564</v>
      </c>
      <c r="CM1083" s="134">
        <f t="shared" si="1946"/>
        <v>2.9614333849507853E-2</v>
      </c>
      <c r="CN1083" s="135">
        <f t="shared" si="1947"/>
        <v>1.1050364457868802E-2</v>
      </c>
      <c r="CO1083" s="135">
        <f t="shared" si="1958"/>
        <v>1.0769066323282011E-2</v>
      </c>
      <c r="CP1083" s="134">
        <f>VLOOKUP($H1083,RoR!$E:$F,2,FALSE)</f>
        <v>5.6666666666666671E-2</v>
      </c>
      <c r="CQ1083" s="135">
        <v>1.8855119140166909E-2</v>
      </c>
      <c r="CR1083" s="135">
        <f t="shared" si="1956"/>
        <v>3.7811547526499761E-2</v>
      </c>
      <c r="CS1083" s="135">
        <f t="shared" si="1959"/>
        <v>2.0132875285251615E-2</v>
      </c>
      <c r="CT1083" s="135">
        <f t="shared" si="1960"/>
        <v>2.1375012817671957E-2</v>
      </c>
      <c r="CU1083" s="139">
        <f t="shared" si="1948"/>
        <v>0.85126000000000002</v>
      </c>
      <c r="CV1083" s="335">
        <f t="shared" si="1949"/>
        <v>0.90497737556561086</v>
      </c>
      <c r="CW1083" s="335">
        <f t="shared" si="1950"/>
        <v>0.5338235294117647</v>
      </c>
      <c r="CX1083" s="335">
        <f t="shared" si="1951"/>
        <v>0.88972433127405692</v>
      </c>
      <c r="CY1083" s="335">
        <f t="shared" si="1952"/>
        <v>0.42982423775949252</v>
      </c>
      <c r="CZ1083" s="336">
        <f>INDEX('State Tax Lookup'!$D$7:$Z$91,MATCH(Calculation!$C1083,'State Tax Lookup'!$B$7:$B$91,0),MATCH($H1083,'State Tax Lookup'!$D$6:$Z$6,0))</f>
        <v>0.40200000000000002</v>
      </c>
      <c r="DA1083" s="302">
        <v>0.37</v>
      </c>
      <c r="DB1083" s="57">
        <f t="shared" si="1957"/>
        <v>10.551562931711388</v>
      </c>
      <c r="DC1083" s="56">
        <f t="shared" si="1961"/>
        <v>8.0799361361061778E-3</v>
      </c>
      <c r="DD1083" s="303">
        <f>VLOOKUP($H1083,RoR!$E:$F,2,FALSE)</f>
        <v>5.6666666666666671E-2</v>
      </c>
      <c r="DE1083" s="304">
        <f>HLOOKUP($H1083,'GDP-PI'!$D$8:$CQ$11,3,FALSE)</f>
        <v>1.8855119140166909E-2</v>
      </c>
      <c r="DF1083" s="303">
        <f>VLOOKUP(H1083,'HW Dx Data'!$E:$F,2,FALSE)</f>
        <v>369.23301095560191</v>
      </c>
      <c r="DG1083" s="364">
        <f ca="1">VLOOKUP(CC1083,'ECI - Input Price'!M$13:N$33,2,FALSE)</f>
        <v>89.25</v>
      </c>
      <c r="DH1083" s="364"/>
      <c r="DI1083" s="364"/>
      <c r="DJ1083" s="56"/>
      <c r="DK1083" s="53">
        <f>HLOOKUP(H1083,'GDP-PI'!$8:$9,2,FALSE)</f>
        <v>82.566999999999993</v>
      </c>
      <c r="DL1083" s="355">
        <f t="shared" ref="DL1083:DL1102" si="1962">LN(DK1083/DK1082)</f>
        <v>1.8679564681853753E-2</v>
      </c>
    </row>
    <row r="1084" spans="1:116" s="126" customFormat="1" ht="21" customHeight="1" x14ac:dyDescent="0.4">
      <c r="A1084" s="233" t="s">
        <v>246</v>
      </c>
      <c r="B1084" s="126" t="s">
        <v>247</v>
      </c>
      <c r="C1084" s="126">
        <v>4063060</v>
      </c>
      <c r="D1084" s="127" t="s">
        <v>203</v>
      </c>
      <c r="E1084" s="127" t="s">
        <v>15</v>
      </c>
      <c r="F1084" s="144"/>
      <c r="G1084" s="126" t="s">
        <v>160</v>
      </c>
      <c r="H1084" s="128">
        <v>2004</v>
      </c>
      <c r="I1084" s="129"/>
      <c r="J1084" s="125">
        <f>IFERROR(INDEX('Labor Expenditures'!$E$7:$W$91,MATCH($C1084,'Labor Expenditures'!$C$7:$C$91,0),MATCH($G1084,'Labor Expenditures'!$E$5:$W$5,0)),"NA")</f>
        <v>16337.957017161254</v>
      </c>
      <c r="K1084" s="125">
        <f t="shared" ref="K1084:K1102" ca="1" si="1963">+J1084/DG1084</f>
        <v>173.16329641930318</v>
      </c>
      <c r="L1084" s="47"/>
      <c r="M1084" s="131"/>
      <c r="N1084" s="131"/>
      <c r="O1084" s="131"/>
      <c r="P1084" s="59"/>
      <c r="Q1084" s="59"/>
      <c r="R1084" s="386"/>
      <c r="S1084" s="119"/>
      <c r="T1084" s="59"/>
      <c r="U1084" s="59"/>
      <c r="V1084" s="125">
        <f>IFERROR(INDEX('Non-Labor Expenditures'!$E$7:$AA$91,MATCH($C1084,'Non-Labor Expenditures'!$C$7:$C$91,0),MATCH($G1084,'Non-Labor Expenditures'!$E$5:$AA$5,0)),"NA")</f>
        <v>23660.413270296627</v>
      </c>
      <c r="W1084" s="125">
        <f t="shared" ref="W1084:W1102" si="1964">+V1084/DK1084</f>
        <v>279.08671200425374</v>
      </c>
      <c r="X1084" s="125"/>
      <c r="Y1084" s="125"/>
      <c r="Z1084" s="125"/>
      <c r="AA1084" s="125"/>
      <c r="AB1084" s="125"/>
      <c r="AC1084" s="125">
        <f t="shared" si="1944"/>
        <v>17336.751023409655</v>
      </c>
      <c r="AD1084" s="129"/>
      <c r="AE1084" s="133">
        <v>1570.1396636979371</v>
      </c>
      <c r="AF1084" s="134">
        <v>2.5861381711972463E-2</v>
      </c>
      <c r="AG1084" s="59">
        <f t="shared" ref="AG1084:AG1102" si="1965">+AF1084*$AX1084</f>
        <v>0</v>
      </c>
      <c r="AH1084" s="134"/>
      <c r="AI1084" s="134"/>
      <c r="AJ1084" s="129">
        <f t="shared" si="1902"/>
        <v>57335.121310867537</v>
      </c>
      <c r="AK1084" s="134"/>
      <c r="AL1084" s="129"/>
      <c r="AM1084" s="129"/>
      <c r="AN1084" s="129"/>
      <c r="AO1084" s="129"/>
      <c r="AP1084" s="133"/>
      <c r="AQ1084" s="134"/>
      <c r="AR1084" s="93">
        <f t="shared" ref="AR1084:AR1102" si="1966">+J1084/AJ1084</f>
        <v>0.28495548005519766</v>
      </c>
      <c r="AS1084" s="93">
        <f t="shared" ref="AS1084:AS1102" si="1967">+V1084/AJ1084</f>
        <v>0.41266875746213749</v>
      </c>
      <c r="AT1084" s="93">
        <f t="shared" ref="AT1084:AT1102" si="1968">+AC1084/AJ1084</f>
        <v>0.30237576248266479</v>
      </c>
      <c r="AU1084" s="93"/>
      <c r="AV1084" s="93"/>
      <c r="AW1084" s="134"/>
      <c r="AX1084" s="62"/>
      <c r="AY1084" s="93"/>
      <c r="AZ1084" s="93"/>
      <c r="BA1084" s="132"/>
      <c r="BB1084" s="234">
        <f>IFERROR(INDEX('Total Customers'!$E$7:$AA$91,MATCH($C1084,'Total Customers'!$C$7:$C$91,0),MATCH($G1084,'Total Customers'!$E$5:$AA$5,0)),"NA")</f>
        <v>170817</v>
      </c>
      <c r="BC1084" s="269">
        <f t="shared" si="1861"/>
        <v>4.4591330480541081E-3</v>
      </c>
      <c r="BD1084" s="92"/>
      <c r="BE1084" s="299" t="str">
        <f t="shared" si="1855"/>
        <v>SOUTHERN CONNECTICUT GAS COMPANY</v>
      </c>
      <c r="BF1084" s="300">
        <f t="shared" si="1856"/>
        <v>4063060</v>
      </c>
      <c r="BG1084" s="231" t="str">
        <f t="shared" si="1857"/>
        <v>CT</v>
      </c>
      <c r="BH1084" s="231"/>
      <c r="BI1084" s="231" t="str">
        <f t="shared" si="1858"/>
        <v>2004 Y</v>
      </c>
      <c r="BJ1084" s="129"/>
      <c r="BK1084" s="129"/>
      <c r="BL1084" s="129">
        <f>INDEX('Dist. Plant Gas Additions'!$E$7:$AD$91,MATCH($C1084,'Dist. Plant Gas Additions'!$C$7:$C$91,0),MATCH(Calculation!$G1084,'Dist. Plant Gas Additions'!$E$5:$AD$5,0))</f>
        <v>18949</v>
      </c>
      <c r="BM1084" s="129">
        <f>INDEX('Gen. Plant Additions'!$E$7:$AD$91,MATCH($C1084,'Gen. Plant Additions'!$C$7:$C$91,0),MATCH(Calculation!$G1084,'Gen. Plant Additions'!$E$5:$AD$5,0))</f>
        <v>1389</v>
      </c>
      <c r="BN1084" s="301">
        <f t="shared" si="1953"/>
        <v>0.92340359337325972</v>
      </c>
      <c r="BO1084" s="231">
        <f t="shared" si="1939"/>
        <v>1282.6075911954576</v>
      </c>
      <c r="BP1084" s="231">
        <f t="shared" si="1940"/>
        <v>-106.39240880454236</v>
      </c>
      <c r="BQ1084" s="129">
        <f>INDEX('Dist Plant Depreciation'!$D$7:$AC$94,MATCH($C1084,'Dist Plant Depreciation'!$C$7:$C$94,0),MATCH(Calculation!$G1084,'Dist Plant Depreciation'!$D$5:$AC$5,0))</f>
        <v>187598</v>
      </c>
      <c r="BR1084" s="129">
        <f>INDEX('Gen. Plant Depreciation'!$D$7:$AC$94,MATCH($C1084,'Gen. Plant Depreciation'!$C$7:$C$94,0),MATCH(Calculation!$G1084,'Gen. Plant Depreciation'!$D$5:$AC$5,0))</f>
        <v>21304</v>
      </c>
      <c r="BS1084" s="129"/>
      <c r="BT1084" s="129"/>
      <c r="BU1084" s="129"/>
      <c r="BV1084" s="129"/>
      <c r="BW1084" s="129"/>
      <c r="BX1084" s="137"/>
      <c r="BY1084" s="129">
        <f>INDEX('Gross Dx Plant'!$D$7:$AC$91,MATCH($C1084,'Gross Dx Plant'!$C$7:$C$91,0),MATCH(Calculation!$G1084,'Gross Dx Plant'!$D$5:$AC$5,0))</f>
        <v>474888</v>
      </c>
      <c r="BZ1084" s="129">
        <f>INDEX('Gross Gen Plant'!$D$7:$AC$91,MATCH($C1084,'Gross Gen Plant'!$C$7:$C$91,0),MATCH(Calculation!$G1084,'Gross Gen Plant'!$D$5:$AC$5,0))</f>
        <v>39392</v>
      </c>
      <c r="CA1084" s="129">
        <f t="shared" si="1852"/>
        <v>305378</v>
      </c>
      <c r="CB1084" s="129"/>
      <c r="CC1084" s="133">
        <v>2004</v>
      </c>
      <c r="CD1084" s="129"/>
      <c r="CE1084" s="129"/>
      <c r="CF1084" s="129"/>
      <c r="CG1084" s="137"/>
      <c r="CH1084" s="129">
        <f t="shared" si="1954"/>
        <v>20338</v>
      </c>
      <c r="CI1084" s="46">
        <f t="shared" si="1955"/>
        <v>20231.607591195458</v>
      </c>
      <c r="CJ1084" s="231">
        <f t="shared" si="1945"/>
        <v>48.764117121216827</v>
      </c>
      <c r="CK1084" s="443">
        <v>0.9375</v>
      </c>
      <c r="CL1084" s="231">
        <f>+CL1078*CK1084+CJ1079*CK1083+CJ1080*CK1082+CJ1081*CK1081+CJ1082*CK1080+CJ1083*CK1079+CJ1084</f>
        <v>1524.2726831758559</v>
      </c>
      <c r="CM1084" s="134">
        <f t="shared" si="1946"/>
        <v>2.1104111420703384E-2</v>
      </c>
      <c r="CN1084" s="135">
        <f t="shared" si="1947"/>
        <v>1.1345681647271224E-2</v>
      </c>
      <c r="CO1084" s="135">
        <f t="shared" si="1958"/>
        <v>1.1098241272298262E-2</v>
      </c>
      <c r="CP1084" s="134">
        <f>VLOOKUP($H1084,RoR!$E:$F,2,FALSE)</f>
        <v>5.6283333333333331E-2</v>
      </c>
      <c r="CQ1084" s="135">
        <v>2.6778252812867276E-2</v>
      </c>
      <c r="CR1084" s="135">
        <f t="shared" si="1956"/>
        <v>2.9505080520466055E-2</v>
      </c>
      <c r="CS1084" s="135">
        <f t="shared" si="1959"/>
        <v>1.9803700336235363E-2</v>
      </c>
      <c r="CT1084" s="135">
        <f t="shared" si="1960"/>
        <v>5.5940039414565046E-2</v>
      </c>
      <c r="CU1084" s="139">
        <f t="shared" si="1948"/>
        <v>0.85126000000000002</v>
      </c>
      <c r="CV1084" s="335">
        <f t="shared" si="1949"/>
        <v>0.91114097628755619</v>
      </c>
      <c r="CW1084" s="335">
        <f t="shared" si="1950"/>
        <v>0.53081877405981637</v>
      </c>
      <c r="CX1084" s="335">
        <f t="shared" si="1951"/>
        <v>0.88811215519385678</v>
      </c>
      <c r="CY1084" s="335">
        <f t="shared" si="1952"/>
        <v>0.42953609753547711</v>
      </c>
      <c r="CZ1084" s="336">
        <f>INDEX('State Tax Lookup'!$D$7:$Z$91,MATCH(Calculation!$C1084,'State Tax Lookup'!$B$7:$B$91,0),MATCH($H1084,'State Tax Lookup'!$D$6:$Z$6,0))</f>
        <v>0.40200000000000002</v>
      </c>
      <c r="DA1084" s="302">
        <v>0.37</v>
      </c>
      <c r="DB1084" s="57">
        <f t="shared" si="1957"/>
        <v>11.616370219612358</v>
      </c>
      <c r="DC1084" s="56">
        <f t="shared" si="1961"/>
        <v>9.6141334962081992E-2</v>
      </c>
      <c r="DD1084" s="303">
        <f>VLOOKUP($H1084,RoR!$E:$F,2,FALSE)</f>
        <v>5.6283333333333331E-2</v>
      </c>
      <c r="DE1084" s="304">
        <f>HLOOKUP($H1084,'GDP-PI'!$D$8:$CQ$11,3,FALSE)</f>
        <v>2.6778252812867276E-2</v>
      </c>
      <c r="DF1084" s="303">
        <f>VLOOKUP(H1084,'HW Dx Data'!$E:$F,2,FALSE)</f>
        <v>414.88719135228365</v>
      </c>
      <c r="DG1084" s="364">
        <f ca="1">VLOOKUP(CC1084,'ECI - Input Price'!M$13:N$33,2,FALSE)</f>
        <v>94.35</v>
      </c>
      <c r="DH1084" s="364"/>
      <c r="DI1084" s="364"/>
      <c r="DJ1084" s="56">
        <f t="shared" ref="DJ1084:DJ1102" ca="1" si="1969">LN(DG1084/DG1083)</f>
        <v>5.5569851154810786E-2</v>
      </c>
      <c r="DK1084" s="53">
        <f>HLOOKUP(H1084,'GDP-PI'!$8:$9,2,FALSE)</f>
        <v>84.778000000000006</v>
      </c>
      <c r="DL1084" s="355">
        <f t="shared" si="1962"/>
        <v>2.6425990216022755E-2</v>
      </c>
    </row>
    <row r="1085" spans="1:116" s="126" customFormat="1" ht="21" customHeight="1" x14ac:dyDescent="0.4">
      <c r="A1085" s="233" t="s">
        <v>246</v>
      </c>
      <c r="B1085" s="126" t="s">
        <v>247</v>
      </c>
      <c r="C1085" s="126">
        <v>4063060</v>
      </c>
      <c r="D1085" s="127" t="s">
        <v>203</v>
      </c>
      <c r="E1085" s="127" t="s">
        <v>15</v>
      </c>
      <c r="F1085" s="144"/>
      <c r="G1085" s="126" t="s">
        <v>161</v>
      </c>
      <c r="H1085" s="128">
        <v>2005</v>
      </c>
      <c r="I1085" s="129"/>
      <c r="J1085" s="125">
        <f>IFERROR(INDEX('Labor Expenditures'!$E$7:$W$91,MATCH($C1085,'Labor Expenditures'!$C$7:$C$91,0),MATCH($G1085,'Labor Expenditures'!$E$5:$W$5,0)),"NA")</f>
        <v>16966.167671511615</v>
      </c>
      <c r="K1085" s="125">
        <f t="shared" ca="1" si="1963"/>
        <v>170.98682460581119</v>
      </c>
      <c r="L1085" s="47"/>
      <c r="M1085" s="131">
        <f t="shared" ref="M1085:M1101" ca="1" si="1970">LN(K1085/K1084)</f>
        <v>-1.2648554787691332E-2</v>
      </c>
      <c r="N1085" s="131"/>
      <c r="O1085" s="131"/>
      <c r="P1085" s="59"/>
      <c r="Q1085" s="61"/>
      <c r="R1085" s="387"/>
      <c r="S1085" s="49">
        <v>100</v>
      </c>
      <c r="T1085" s="46"/>
      <c r="U1085" s="46"/>
      <c r="V1085" s="125">
        <f>IFERROR(INDEX('Non-Labor Expenditures'!$E$7:$AA$91,MATCH($C1085,'Non-Labor Expenditures'!$C$7:$C$91,0),MATCH($G1085,'Non-Labor Expenditures'!$E$5:$AA$5,0)),"NA")</f>
        <v>24570.179631361247</v>
      </c>
      <c r="W1085" s="125">
        <f t="shared" si="1964"/>
        <v>281.10082294737549</v>
      </c>
      <c r="X1085" s="131">
        <f>LN(W1085/W1084)</f>
        <v>7.1908762561449071E-3</v>
      </c>
      <c r="Y1085" s="131"/>
      <c r="Z1085" s="131"/>
      <c r="AA1085" s="131"/>
      <c r="AB1085" s="131"/>
      <c r="AC1085" s="125">
        <f t="shared" si="1944"/>
        <v>19704.343300446912</v>
      </c>
      <c r="AD1085" s="129"/>
      <c r="AE1085" s="133">
        <v>1605.5630170489383</v>
      </c>
      <c r="AF1085" s="134">
        <v>2.2309911335244015E-2</v>
      </c>
      <c r="AG1085" s="59">
        <f t="shared" si="1965"/>
        <v>0</v>
      </c>
      <c r="AH1085" s="134"/>
      <c r="AI1085" s="134"/>
      <c r="AJ1085" s="129">
        <f t="shared" si="1902"/>
        <v>61240.690603319774</v>
      </c>
      <c r="AK1085" s="134">
        <f>LN(AJ1085/AJ1084)</f>
        <v>6.5898474409534585E-2</v>
      </c>
      <c r="AL1085" s="129"/>
      <c r="AM1085" s="129"/>
      <c r="AN1085" s="129"/>
      <c r="AO1085" s="129"/>
      <c r="AP1085" s="133"/>
      <c r="AQ1085" s="134"/>
      <c r="AR1085" s="93">
        <f t="shared" si="1966"/>
        <v>0.27704076332855565</v>
      </c>
      <c r="AS1085" s="93">
        <f t="shared" si="1967"/>
        <v>0.4012067693767864</v>
      </c>
      <c r="AT1085" s="93">
        <f t="shared" si="1968"/>
        <v>0.32175246729465795</v>
      </c>
      <c r="AU1085" s="93">
        <f t="shared" ref="AU1085:AU1101" ca="1" si="1971">+(((AR1085+AR1084)/2)*M1085+((AS1084+AS1085)/2)*X1085+((AT1084+AT1085)/2)*AF1085)</f>
        <v>6.3341416973211016E-3</v>
      </c>
      <c r="AV1085" s="132">
        <v>100</v>
      </c>
      <c r="AW1085" s="134"/>
      <c r="AX1085" s="15"/>
      <c r="AY1085" s="93"/>
      <c r="AZ1085" s="93"/>
      <c r="BA1085" s="132"/>
      <c r="BB1085" s="234">
        <f>IFERROR(INDEX('Total Customers'!$E$7:$AA$91,MATCH($C1085,'Total Customers'!$C$7:$C$91,0),MATCH($G1085,'Total Customers'!$E$5:$AA$5,0)),"NA")</f>
        <v>173639</v>
      </c>
      <c r="BC1085" s="269">
        <f t="shared" si="1861"/>
        <v>1.6385623355662095E-2</v>
      </c>
      <c r="BD1085" s="92"/>
      <c r="BE1085" s="299" t="str">
        <f t="shared" si="1855"/>
        <v>SOUTHERN CONNECTICUT GAS COMPANY</v>
      </c>
      <c r="BF1085" s="300">
        <f t="shared" si="1856"/>
        <v>4063060</v>
      </c>
      <c r="BG1085" s="231" t="str">
        <f t="shared" si="1857"/>
        <v>CT</v>
      </c>
      <c r="BH1085" s="231"/>
      <c r="BI1085" s="231" t="str">
        <f t="shared" si="1858"/>
        <v>2005 Y</v>
      </c>
      <c r="BJ1085" s="129"/>
      <c r="BK1085" s="129"/>
      <c r="BL1085" s="129">
        <f>INDEX('Dist. Plant Gas Additions'!$E$7:$AD$91,MATCH($C1085,'Dist. Plant Gas Additions'!$C$7:$C$91,0),MATCH(Calculation!$G1085,'Dist. Plant Gas Additions'!$E$5:$AD$5,0))</f>
        <v>20007</v>
      </c>
      <c r="BM1085" s="129">
        <f>INDEX('Gen. Plant Additions'!$E$7:$AD$91,MATCH($C1085,'Gen. Plant Additions'!$C$7:$C$91,0),MATCH(Calculation!$G1085,'Gen. Plant Additions'!$E$5:$AD$5,0))</f>
        <v>1057</v>
      </c>
      <c r="BN1085" s="301">
        <f t="shared" si="1953"/>
        <v>0.9253014142108873</v>
      </c>
      <c r="BO1085" s="231">
        <f t="shared" si="1939"/>
        <v>978.04359482090786</v>
      </c>
      <c r="BP1085" s="231">
        <f t="shared" si="1940"/>
        <v>-78.956405179092144</v>
      </c>
      <c r="BQ1085" s="129">
        <f>INDEX('Dist Plant Depreciation'!$D$7:$AC$94,MATCH($C1085,'Dist Plant Depreciation'!$C$7:$C$94,0),MATCH(Calculation!$G1085,'Dist Plant Depreciation'!$D$5:$AC$5,0))</f>
        <v>186923</v>
      </c>
      <c r="BR1085" s="129">
        <f>INDEX('Gen. Plant Depreciation'!$D$7:$AC$94,MATCH($C1085,'Gen. Plant Depreciation'!$C$7:$C$94,0),MATCH(Calculation!$G1085,'Gen. Plant Depreciation'!$D$5:$AC$5,0))</f>
        <v>24623</v>
      </c>
      <c r="BS1085" s="129"/>
      <c r="BT1085" s="129"/>
      <c r="BU1085" s="129"/>
      <c r="BV1085" s="129"/>
      <c r="BW1085" s="129"/>
      <c r="BX1085" s="137"/>
      <c r="BY1085" s="129">
        <f>INDEX('Gross Dx Plant'!$D$7:$AC$91,MATCH($C1085,'Gross Dx Plant'!$C$7:$C$91,0),MATCH(Calculation!$G1085,'Gross Dx Plant'!$D$5:$AC$5,0))</f>
        <v>500465</v>
      </c>
      <c r="BZ1085" s="129">
        <f>INDEX('Gross Gen Plant'!$D$7:$AC$91,MATCH($C1085,'Gross Gen Plant'!$C$7:$C$91,0),MATCH(Calculation!$G1085,'Gross Gen Plant'!$D$5:$AC$5,0))</f>
        <v>40402</v>
      </c>
      <c r="CA1085" s="129">
        <f t="shared" si="1852"/>
        <v>329321</v>
      </c>
      <c r="CB1085" s="129"/>
      <c r="CC1085" s="133">
        <v>2005</v>
      </c>
      <c r="CD1085" s="129"/>
      <c r="CE1085" s="129"/>
      <c r="CF1085" s="129"/>
      <c r="CG1085" s="137"/>
      <c r="CH1085" s="129">
        <f t="shared" si="1954"/>
        <v>21064</v>
      </c>
      <c r="CI1085" s="46">
        <f t="shared" si="1955"/>
        <v>20985.043594820909</v>
      </c>
      <c r="CJ1085" s="231">
        <f t="shared" si="1945"/>
        <v>44.724666867877417</v>
      </c>
      <c r="CK1085" s="443">
        <v>0.9263157894736842</v>
      </c>
      <c r="CL1085" s="231">
        <f>+CL1078*CK1085+CJ1079*CK1084+CJ1080*CK1083+CJ1081*CK1082+CJ1082*CK1081+CJ1083*CK1080+CJ1084*CK1079+CJ1085</f>
        <v>1551.2272494569481</v>
      </c>
      <c r="CM1085" s="134">
        <f t="shared" si="1946"/>
        <v>1.7529024259273902E-2</v>
      </c>
      <c r="CN1085" s="135">
        <f t="shared" si="1947"/>
        <v>1.1658085054546036E-2</v>
      </c>
      <c r="CO1085" s="135">
        <f t="shared" si="1958"/>
        <v>1.1351377053228686E-2</v>
      </c>
      <c r="CP1085" s="134">
        <f>VLOOKUP($H1085,RoR!$E:$F,2,FALSE)</f>
        <v>5.2350000000000001E-2</v>
      </c>
      <c r="CQ1085" s="135">
        <v>3.1010403642454332E-2</v>
      </c>
      <c r="CR1085" s="135">
        <f t="shared" si="1956"/>
        <v>2.1339596357545669E-2</v>
      </c>
      <c r="CS1085" s="135">
        <f t="shared" si="1959"/>
        <v>1.955056455530494E-2</v>
      </c>
      <c r="CT1085" s="135">
        <f t="shared" si="1960"/>
        <v>9.2129610649277341E-2</v>
      </c>
      <c r="CU1085" s="139">
        <f t="shared" si="1948"/>
        <v>0.85126000000000002</v>
      </c>
      <c r="CV1085" s="335">
        <f t="shared" si="1949"/>
        <v>0.97959983346802826</v>
      </c>
      <c r="CW1085" s="335">
        <f t="shared" si="1950"/>
        <v>0.49744508118433622</v>
      </c>
      <c r="CX1085" s="335">
        <f t="shared" si="1951"/>
        <v>0.87010519444335932</v>
      </c>
      <c r="CY1085" s="335">
        <f t="shared" si="1952"/>
        <v>0.42399975420741998</v>
      </c>
      <c r="CZ1085" s="336">
        <f>INDEX('State Tax Lookup'!$D$7:$Z$91,MATCH(Calculation!$C1085,'State Tax Lookup'!$B$7:$B$91,0),MATCH($H1085,'State Tax Lookup'!$D$6:$Z$6,0))</f>
        <v>0.40200000000000002</v>
      </c>
      <c r="DA1085" s="302">
        <v>0.37</v>
      </c>
      <c r="DB1085" s="57">
        <f t="shared" si="1957"/>
        <v>12.927046136779461</v>
      </c>
      <c r="DC1085" s="56">
        <f t="shared" si="1961"/>
        <v>0.10690638722226574</v>
      </c>
      <c r="DD1085" s="303">
        <f>VLOOKUP($H1085,RoR!$E:$F,2,FALSE)</f>
        <v>5.2350000000000001E-2</v>
      </c>
      <c r="DE1085" s="304">
        <f>HLOOKUP($H1085,'GDP-PI'!$D$8:$CQ$11,3,FALSE)</f>
        <v>3.1010403642454332E-2</v>
      </c>
      <c r="DF1085" s="303">
        <f>VLOOKUP(H1085,'HW Dx Data'!$E:$F,2,FALSE)</f>
        <v>469.20514034936258</v>
      </c>
      <c r="DG1085" s="364">
        <f ca="1">VLOOKUP(CC1085,'ECI - Input Price'!M$13:N$33,2,FALSE)</f>
        <v>99.224999999999994</v>
      </c>
      <c r="DH1085" s="364"/>
      <c r="DI1085" s="364"/>
      <c r="DJ1085" s="56">
        <f t="shared" ca="1" si="1969"/>
        <v>5.0378726854569796E-2</v>
      </c>
      <c r="DK1085" s="53">
        <f>HLOOKUP(H1085,'GDP-PI'!$8:$9,2,FALSE)</f>
        <v>87.406999999999996</v>
      </c>
      <c r="DL1085" s="355">
        <f t="shared" si="1962"/>
        <v>3.0539295810733648E-2</v>
      </c>
    </row>
    <row r="1086" spans="1:116" s="126" customFormat="1" ht="21" customHeight="1" x14ac:dyDescent="0.4">
      <c r="A1086" s="233" t="s">
        <v>246</v>
      </c>
      <c r="B1086" s="126" t="s">
        <v>247</v>
      </c>
      <c r="C1086" s="126">
        <v>4063060</v>
      </c>
      <c r="D1086" s="127" t="s">
        <v>203</v>
      </c>
      <c r="E1086" s="127" t="s">
        <v>15</v>
      </c>
      <c r="F1086" s="144"/>
      <c r="G1086" s="126" t="s">
        <v>162</v>
      </c>
      <c r="H1086" s="128">
        <v>2006</v>
      </c>
      <c r="I1086" s="129"/>
      <c r="J1086" s="125">
        <f>IFERROR(INDEX('Labor Expenditures'!$E$7:$W$91,MATCH($C1086,'Labor Expenditures'!$C$7:$C$91,0),MATCH($G1086,'Labor Expenditures'!$E$5:$W$5,0)),"NA")</f>
        <v>17332.909498127203</v>
      </c>
      <c r="K1086" s="125">
        <f t="shared" ca="1" si="1963"/>
        <v>158.43610144540403</v>
      </c>
      <c r="L1086" s="47"/>
      <c r="M1086" s="131">
        <f t="shared" ca="1" si="1970"/>
        <v>-7.6235137867907837E-2</v>
      </c>
      <c r="N1086" s="131"/>
      <c r="O1086" s="131"/>
      <c r="P1086" s="59">
        <f t="shared" ref="P1086:P1102" ca="1" si="1972">+M1086*$AX1086</f>
        <v>-6.4471827572960664E-4</v>
      </c>
      <c r="Q1086" s="61"/>
      <c r="R1086" s="387"/>
      <c r="S1086" s="49">
        <f ca="1">+S1085*EXP(T1086)</f>
        <v>115.34424493690231</v>
      </c>
      <c r="T1086" s="61">
        <f ca="1">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</f>
        <v>0.14275090520584741</v>
      </c>
      <c r="U1086" s="61"/>
      <c r="V1086" s="125">
        <f>IFERROR(INDEX('Non-Labor Expenditures'!$E$7:$AA$91,MATCH($C1086,'Non-Labor Expenditures'!$C$7:$C$91,0),MATCH($G1086,'Non-Labor Expenditures'!$E$5:$AA$5,0)),"NA")</f>
        <v>25101.290294225266</v>
      </c>
      <c r="W1086" s="125">
        <f t="shared" si="1964"/>
        <v>278.67409345899222</v>
      </c>
      <c r="X1086" s="131">
        <f t="shared" ref="X1086:X1101" si="1973">LN(W1086/W1085)</f>
        <v>-8.6704302746102926E-3</v>
      </c>
      <c r="Y1086" s="131">
        <f t="shared" ref="Y1086:Y1102" si="1974">+X1086*AX1086</f>
        <v>-7.3325568928153063E-5</v>
      </c>
      <c r="Z1086" s="131"/>
      <c r="AA1086" s="131"/>
      <c r="AB1086" s="131"/>
      <c r="AC1086" s="125">
        <f t="shared" si="1944"/>
        <v>19414.531668932017</v>
      </c>
      <c r="AD1086" s="129"/>
      <c r="AE1086" s="133">
        <v>1646.7499276707292</v>
      </c>
      <c r="AF1086" s="134">
        <v>2.5329120107889E-2</v>
      </c>
      <c r="AG1086" s="59">
        <f t="shared" si="1965"/>
        <v>2.1420760948844155E-4</v>
      </c>
      <c r="AH1086" s="134"/>
      <c r="AI1086" s="134"/>
      <c r="AJ1086" s="129">
        <f t="shared" si="1902"/>
        <v>61848.731461284486</v>
      </c>
      <c r="AK1086" s="134">
        <f t="shared" ref="AK1086:AK1102" si="1975">LN(AJ1086/AJ1085)</f>
        <v>9.879740982240098E-3</v>
      </c>
      <c r="AL1086" s="129"/>
      <c r="AM1086" s="129"/>
      <c r="AN1086" s="129"/>
      <c r="AO1086" s="129"/>
      <c r="AP1086" s="133">
        <f t="shared" ref="AP1086:AP1102" si="1976">+(AJ1086*1000)/BB1086</f>
        <v>355.12592708592382</v>
      </c>
      <c r="AQ1086" s="134">
        <f>+BB1086/Outputs!$B$14</f>
        <v>5.0217048313062123E-3</v>
      </c>
      <c r="AR1086" s="93">
        <f t="shared" si="1966"/>
        <v>0.28024680682379238</v>
      </c>
      <c r="AS1086" s="93">
        <f t="shared" si="1967"/>
        <v>0.40584971916421514</v>
      </c>
      <c r="AT1086" s="93">
        <f t="shared" si="1968"/>
        <v>0.31390347401199248</v>
      </c>
      <c r="AU1086" s="93">
        <f t="shared" ca="1" si="1971"/>
        <v>-1.6690908034776401E-2</v>
      </c>
      <c r="AV1086" s="132">
        <f ca="1">+AV1085*EXP(AU1086)</f>
        <v>98.344761341704313</v>
      </c>
      <c r="AW1086" s="134">
        <f ca="1">LN(AV1086/AV1085)</f>
        <v>-1.6690908034776443E-2</v>
      </c>
      <c r="AX1086" s="56">
        <f>+AJ1086/$AL$11</f>
        <v>8.4569700240682468E-3</v>
      </c>
      <c r="AY1086" s="135">
        <f ca="1">+AX1086*AW1086</f>
        <v>-1.4115450892458422E-4</v>
      </c>
      <c r="AZ1086" s="93"/>
      <c r="BA1086" s="132"/>
      <c r="BB1086" s="234">
        <f>IFERROR(INDEX('Total Customers'!$E$7:$AA$91,MATCH($C1086,'Total Customers'!$C$7:$C$91,0),MATCH($G1086,'Total Customers'!$E$5:$AA$5,0)),"NA")</f>
        <v>174160</v>
      </c>
      <c r="BC1086" s="269">
        <f t="shared" si="1861"/>
        <v>2.9959855531780078E-3</v>
      </c>
      <c r="BD1086" s="92"/>
      <c r="BE1086" s="299" t="str">
        <f t="shared" si="1855"/>
        <v>SOUTHERN CONNECTICUT GAS COMPANY</v>
      </c>
      <c r="BF1086" s="300">
        <f t="shared" si="1856"/>
        <v>4063060</v>
      </c>
      <c r="BG1086" s="231" t="str">
        <f t="shared" si="1857"/>
        <v>CT</v>
      </c>
      <c r="BH1086" s="231"/>
      <c r="BI1086" s="231" t="str">
        <f t="shared" si="1858"/>
        <v>2006 Y</v>
      </c>
      <c r="BJ1086" s="129"/>
      <c r="BK1086" s="129"/>
      <c r="BL1086" s="129">
        <f>INDEX('Dist. Plant Gas Additions'!$E$7:$AD$91,MATCH($C1086,'Dist. Plant Gas Additions'!$C$7:$C$91,0),MATCH(Calculation!$G1086,'Dist. Plant Gas Additions'!$E$5:$AD$5,0))</f>
        <v>21924</v>
      </c>
      <c r="BM1086" s="129">
        <f>INDEX('Gen. Plant Additions'!$E$7:$AD$91,MATCH($C1086,'Gen. Plant Additions'!$C$7:$C$91,0),MATCH(Calculation!$G1086,'Gen. Plant Additions'!$E$5:$AD$5,0))</f>
        <v>1680</v>
      </c>
      <c r="BN1086" s="301">
        <f t="shared" si="1953"/>
        <v>0.92587993636417076</v>
      </c>
      <c r="BO1086" s="231">
        <f t="shared" si="1939"/>
        <v>1555.4782930918068</v>
      </c>
      <c r="BP1086" s="231">
        <f t="shared" si="1940"/>
        <v>-124.52170690819321</v>
      </c>
      <c r="BQ1086" s="129">
        <f>INDEX('Dist Plant Depreciation'!$D$7:$AC$94,MATCH($C1086,'Dist Plant Depreciation'!$C$7:$C$94,0),MATCH(Calculation!$G1086,'Dist Plant Depreciation'!$D$5:$AC$5,0))</f>
        <v>196343</v>
      </c>
      <c r="BR1086" s="129">
        <f>INDEX('Gen. Plant Depreciation'!$D$7:$AC$94,MATCH($C1086,'Gen. Plant Depreciation'!$C$7:$C$94,0),MATCH(Calculation!$G1086,'Gen. Plant Depreciation'!$D$5:$AC$5,0))</f>
        <v>27386</v>
      </c>
      <c r="BS1086" s="129"/>
      <c r="BT1086" s="129"/>
      <c r="BU1086" s="129"/>
      <c r="BV1086" s="129"/>
      <c r="BW1086" s="129"/>
      <c r="BX1086" s="137"/>
      <c r="BY1086" s="129">
        <f>INDEX('Gross Dx Plant'!$D$7:$AC$91,MATCH($C1086,'Gross Dx Plant'!$C$7:$C$91,0),MATCH(Calculation!$G1086,'Gross Dx Plant'!$D$5:$AC$5,0))</f>
        <v>519714</v>
      </c>
      <c r="BZ1086" s="129">
        <f>INDEX('Gross Gen Plant'!$D$7:$AC$91,MATCH($C1086,'Gross Gen Plant'!$C$7:$C$91,0),MATCH(Calculation!$G1086,'Gross Gen Plant'!$D$5:$AC$5,0))</f>
        <v>41605</v>
      </c>
      <c r="CA1086" s="129">
        <f t="shared" ref="CA1086:CA1130" si="1977">IF(OR(BQ1086="NA",BR1086="NA"),"NA",(SUM(BY1086:BZ1086)-SUM(BQ1086:BR1086)))</f>
        <v>337590</v>
      </c>
      <c r="CB1086" s="134"/>
      <c r="CC1086" s="133">
        <v>2006</v>
      </c>
      <c r="CD1086" s="129"/>
      <c r="CE1086" s="129"/>
      <c r="CF1086" s="129"/>
      <c r="CG1086" s="137"/>
      <c r="CH1086" s="129">
        <f t="shared" si="1954"/>
        <v>23604</v>
      </c>
      <c r="CI1086" s="46">
        <f t="shared" si="1955"/>
        <v>23479.478293091808</v>
      </c>
      <c r="CJ1086" s="231">
        <f t="shared" si="1945"/>
        <v>50.922159767161403</v>
      </c>
      <c r="CK1086" s="443">
        <v>0.91489361702127658</v>
      </c>
      <c r="CL1086" s="231">
        <f>+CL1078*CK1086+CJ1079*CK1085+CJ1080*CK1084+CJ1081*CK1083+CJ1082*CK1082+CJ1083*CK1081+CJ1084*CK1080+CJ1085*CK1079+CJ1086</f>
        <v>1583.5610565967008</v>
      </c>
      <c r="CM1086" s="134">
        <f t="shared" si="1946"/>
        <v>2.0629752768758027E-2</v>
      </c>
      <c r="CN1086" s="135">
        <f t="shared" si="1947"/>
        <v>1.1982997741895061E-2</v>
      </c>
      <c r="CO1086" s="135">
        <f t="shared" si="1958"/>
        <v>1.1662254814570774E-2</v>
      </c>
      <c r="CP1086" s="134">
        <f>VLOOKUP($H1086,RoR!$E:$F,2,FALSE)</f>
        <v>5.5874999999999994E-2</v>
      </c>
      <c r="CQ1086" s="135">
        <v>3.0512430354548314E-2</v>
      </c>
      <c r="CR1086" s="135">
        <f t="shared" si="1956"/>
        <v>2.536256964545168E-2</v>
      </c>
      <c r="CS1086" s="135">
        <f t="shared" si="1959"/>
        <v>1.9239686793962853E-2</v>
      </c>
      <c r="CT1086" s="135">
        <f t="shared" si="1960"/>
        <v>7.9087823893859641E-2</v>
      </c>
      <c r="CU1086" s="139">
        <f t="shared" si="1948"/>
        <v>0.85126000000000002</v>
      </c>
      <c r="CV1086" s="335">
        <f t="shared" si="1949"/>
        <v>0.91779957551769631</v>
      </c>
      <c r="CW1086" s="335">
        <f t="shared" si="1950"/>
        <v>0.52757270693512304</v>
      </c>
      <c r="CX1086" s="335">
        <f t="shared" si="1951"/>
        <v>0.88636824549024895</v>
      </c>
      <c r="CY1086" s="335">
        <f t="shared" si="1952"/>
        <v>0.42918482841932087</v>
      </c>
      <c r="CZ1086" s="336">
        <f>INDEX('State Tax Lookup'!$D$7:$Z$91,MATCH(Calculation!$C1086,'State Tax Lookup'!$B$7:$B$91,0),MATCH($H1086,'State Tax Lookup'!$D$6:$Z$6,0))</f>
        <v>0.40200000000000002</v>
      </c>
      <c r="DA1086" s="302">
        <v>0.37</v>
      </c>
      <c r="DB1086" s="57">
        <f t="shared" si="1957"/>
        <v>12.515594781956437</v>
      </c>
      <c r="DC1086" s="56">
        <f t="shared" si="1961"/>
        <v>-3.2346267039602833E-2</v>
      </c>
      <c r="DD1086" s="303">
        <f>VLOOKUP($H1086,RoR!$E:$F,2,FALSE)</f>
        <v>5.5874999999999994E-2</v>
      </c>
      <c r="DE1086" s="304">
        <f>HLOOKUP($H1086,'GDP-PI'!$D$8:$CQ$11,3,FALSE)</f>
        <v>3.0512430354548314E-2</v>
      </c>
      <c r="DF1086" s="303">
        <f>VLOOKUP(H1086,'HW Dx Data'!$E:$F,2,FALSE)</f>
        <v>461.08567272971823</v>
      </c>
      <c r="DG1086" s="364">
        <f ca="1">VLOOKUP(CC1086,'ECI - Input Price'!M$13:N$33,2,FALSE)</f>
        <v>109.4</v>
      </c>
      <c r="DH1086" s="364"/>
      <c r="DI1086" s="364"/>
      <c r="DJ1086" s="56">
        <f t="shared" ca="1" si="1969"/>
        <v>9.7620891318751846E-2</v>
      </c>
      <c r="DK1086" s="53">
        <f>HLOOKUP(H1086,'GDP-PI'!$8:$9,2,FALSE)</f>
        <v>90.073999999999998</v>
      </c>
      <c r="DL1086" s="355">
        <f t="shared" si="1962"/>
        <v>3.005618372545445E-2</v>
      </c>
    </row>
    <row r="1087" spans="1:116" s="126" customFormat="1" ht="21" customHeight="1" x14ac:dyDescent="0.4">
      <c r="A1087" s="233" t="s">
        <v>246</v>
      </c>
      <c r="B1087" s="126" t="s">
        <v>247</v>
      </c>
      <c r="C1087" s="126">
        <v>4063060</v>
      </c>
      <c r="D1087" s="127" t="s">
        <v>203</v>
      </c>
      <c r="E1087" s="127" t="s">
        <v>15</v>
      </c>
      <c r="F1087" s="144"/>
      <c r="G1087" s="126" t="s">
        <v>163</v>
      </c>
      <c r="H1087" s="128">
        <v>2007</v>
      </c>
      <c r="I1087" s="129"/>
      <c r="J1087" s="125">
        <f>IFERROR(INDEX('Labor Expenditures'!$E$7:$W$91,MATCH($C1087,'Labor Expenditures'!$C$7:$C$91,0),MATCH($G1087,'Labor Expenditures'!$E$5:$W$5,0)),"NA")</f>
        <v>18421.396064993696</v>
      </c>
      <c r="K1087" s="125">
        <f t="shared" ca="1" si="1963"/>
        <v>176.23913958377133</v>
      </c>
      <c r="L1087" s="47"/>
      <c r="M1087" s="131">
        <f t="shared" ca="1" si="1970"/>
        <v>0.10649045383347319</v>
      </c>
      <c r="N1087" s="131"/>
      <c r="O1087" s="131"/>
      <c r="P1087" s="59">
        <f t="shared" ca="1" si="1972"/>
        <v>9.1958307473042299E-4</v>
      </c>
      <c r="Q1087" s="61"/>
      <c r="R1087" s="387"/>
      <c r="S1087" s="49">
        <f t="shared" ref="S1087:S1100" ca="1" si="1978">+S1086*EXP(T1087)</f>
        <v>119.9679767537737</v>
      </c>
      <c r="T1087" s="61">
        <f ca="1">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</f>
        <v>3.9303755589319297E-2</v>
      </c>
      <c r="U1087" s="61"/>
      <c r="V1087" s="125">
        <f>IFERROR(INDEX('Non-Labor Expenditures'!$E$7:$AA$91,MATCH($C1087,'Non-Labor Expenditures'!$C$7:$C$91,0),MATCH($G1087,'Non-Labor Expenditures'!$E$5:$AA$5,0)),"NA")</f>
        <v>26677.622144295365</v>
      </c>
      <c r="W1087" s="125">
        <f t="shared" si="1964"/>
        <v>288.41296184020587</v>
      </c>
      <c r="X1087" s="131">
        <f t="shared" si="1973"/>
        <v>3.4350373138182733E-2</v>
      </c>
      <c r="Y1087" s="131">
        <f t="shared" si="1974"/>
        <v>2.9662773151426208E-4</v>
      </c>
      <c r="Z1087" s="131"/>
      <c r="AA1087" s="131"/>
      <c r="AB1087" s="131"/>
      <c r="AC1087" s="125">
        <f t="shared" si="1944"/>
        <v>21094.148558567747</v>
      </c>
      <c r="AD1087" s="129"/>
      <c r="AE1087" s="133">
        <v>1685.1327878274133</v>
      </c>
      <c r="AF1087" s="134">
        <v>2.304076191537251E-2</v>
      </c>
      <c r="AG1087" s="59">
        <f t="shared" si="1965"/>
        <v>1.9896520226501171E-4</v>
      </c>
      <c r="AH1087" s="134"/>
      <c r="AI1087" s="134"/>
      <c r="AJ1087" s="129">
        <f t="shared" si="1902"/>
        <v>66193.166767856805</v>
      </c>
      <c r="AK1087" s="134">
        <f t="shared" si="1975"/>
        <v>6.7885647880430153E-2</v>
      </c>
      <c r="AL1087" s="129"/>
      <c r="AM1087" s="129"/>
      <c r="AN1087" s="129"/>
      <c r="AO1087" s="129"/>
      <c r="AP1087" s="133">
        <f t="shared" si="1976"/>
        <v>379.14361270581151</v>
      </c>
      <c r="AQ1087" s="134">
        <f>+BB1087/Outputs!$B$15</f>
        <v>4.9960868002617521E-3</v>
      </c>
      <c r="AR1087" s="93">
        <f t="shared" si="1966"/>
        <v>0.27829754889350705</v>
      </c>
      <c r="AS1087" s="93">
        <f t="shared" si="1967"/>
        <v>0.40302682961000041</v>
      </c>
      <c r="AT1087" s="93">
        <f t="shared" si="1968"/>
        <v>0.31867562149649259</v>
      </c>
      <c r="AU1087" s="93">
        <f t="shared" ca="1" si="1971"/>
        <v>5.0919978765916279E-2</v>
      </c>
      <c r="AV1087" s="132">
        <f ca="1">+AV1086*EXP(AU1087)</f>
        <v>103.48216269265659</v>
      </c>
      <c r="AW1087" s="134">
        <f ca="1">LN(AV1087/AV1086)</f>
        <v>5.0919978765916384E-2</v>
      </c>
      <c r="AX1087" s="56">
        <f>+AJ1087/$AL$12</f>
        <v>8.6353568946981995E-3</v>
      </c>
      <c r="AY1087" s="135">
        <f t="shared" ref="AY1087:AY1101" ca="1" si="1979">+AX1087*AW1087</f>
        <v>4.3971218971414195E-4</v>
      </c>
      <c r="AZ1087" s="93"/>
      <c r="BA1087" s="132"/>
      <c r="BB1087" s="234">
        <f>IFERROR(INDEX('Total Customers'!$E$7:$AA$91,MATCH($C1087,'Total Customers'!$C$7:$C$91,0),MATCH($G1087,'Total Customers'!$E$5:$AA$5,0)),"NA")</f>
        <v>174586</v>
      </c>
      <c r="BC1087" s="269">
        <f t="shared" si="1861"/>
        <v>2.4430399882996098E-3</v>
      </c>
      <c r="BD1087" s="92"/>
      <c r="BE1087" s="299" t="str">
        <f t="shared" si="1855"/>
        <v>SOUTHERN CONNECTICUT GAS COMPANY</v>
      </c>
      <c r="BF1087" s="300">
        <f t="shared" si="1856"/>
        <v>4063060</v>
      </c>
      <c r="BG1087" s="231" t="str">
        <f t="shared" si="1857"/>
        <v>CT</v>
      </c>
      <c r="BH1087" s="231"/>
      <c r="BI1087" s="231" t="str">
        <f t="shared" si="1858"/>
        <v>2007 Y</v>
      </c>
      <c r="BJ1087" s="129"/>
      <c r="BK1087" s="129"/>
      <c r="BL1087" s="129">
        <f>INDEX('Dist. Plant Gas Additions'!$E$7:$AD$91,MATCH($C1087,'Dist. Plant Gas Additions'!$C$7:$C$91,0),MATCH(Calculation!$G1087,'Dist. Plant Gas Additions'!$E$5:$AD$5,0))</f>
        <v>21336</v>
      </c>
      <c r="BM1087" s="129">
        <f>INDEX('Gen. Plant Additions'!$E$7:$AD$91,MATCH($C1087,'Gen. Plant Additions'!$C$7:$C$91,0),MATCH(Calculation!$G1087,'Gen. Plant Additions'!$E$5:$AD$5,0))</f>
        <v>3056</v>
      </c>
      <c r="BN1087" s="301">
        <f t="shared" si="1953"/>
        <v>0.94781826043220063</v>
      </c>
      <c r="BO1087" s="231">
        <f t="shared" ref="BO1087:BO1100" si="1980">+BN1087*BM1087</f>
        <v>2896.5326038808053</v>
      </c>
      <c r="BP1087" s="231">
        <f t="shared" ref="BP1087:BP1100" si="1981">+BO1087-BM1087</f>
        <v>-159.46739611919475</v>
      </c>
      <c r="BQ1087" s="129">
        <f>INDEX('Dist Plant Depreciation'!$D$7:$AC$94,MATCH($C1087,'Dist Plant Depreciation'!$C$7:$C$94,0),MATCH(Calculation!$G1087,'Dist Plant Depreciation'!$D$5:$AC$5,0))</f>
        <v>204864</v>
      </c>
      <c r="BR1087" s="129">
        <f>INDEX('Gen. Plant Depreciation'!$D$7:$AC$94,MATCH($C1087,'Gen. Plant Depreciation'!$C$7:$C$94,0),MATCH(Calculation!$G1087,'Gen. Plant Depreciation'!$D$5:$AC$5,0))</f>
        <v>14818</v>
      </c>
      <c r="BS1087" s="129"/>
      <c r="BT1087" s="129"/>
      <c r="BU1087" s="129"/>
      <c r="BV1087" s="129"/>
      <c r="BW1087" s="129"/>
      <c r="BX1087" s="137"/>
      <c r="BY1087" s="129">
        <f>INDEX('Gross Dx Plant'!$D$7:$AC$91,MATCH($C1087,'Gross Dx Plant'!$C$7:$C$91,0),MATCH(Calculation!$G1087,'Gross Dx Plant'!$D$5:$AC$5,0))</f>
        <v>537067</v>
      </c>
      <c r="BZ1087" s="129">
        <f>INDEX('Gross Gen Plant'!$D$7:$AC$91,MATCH($C1087,'Gross Gen Plant'!$C$7:$C$91,0),MATCH(Calculation!$G1087,'Gross Gen Plant'!$D$5:$AC$5,0))</f>
        <v>29568</v>
      </c>
      <c r="CA1087" s="129">
        <f t="shared" si="1977"/>
        <v>346953</v>
      </c>
      <c r="CB1087" s="129"/>
      <c r="CC1087" s="133">
        <v>2007</v>
      </c>
      <c r="CD1087" s="129"/>
      <c r="CE1087" s="129"/>
      <c r="CF1087" s="129"/>
      <c r="CG1087" s="137"/>
      <c r="CH1087" s="129">
        <f t="shared" si="1954"/>
        <v>24392</v>
      </c>
      <c r="CI1087" s="46">
        <f t="shared" si="1955"/>
        <v>24232.532603880805</v>
      </c>
      <c r="CJ1087" s="231">
        <f t="shared" si="1945"/>
        <v>48.65752367071812</v>
      </c>
      <c r="CK1087" s="443">
        <v>0.90322580645161288</v>
      </c>
      <c r="CL1087" s="231">
        <f>+CL1078*CK1087+CJ1079*CK1086+CJ1080*CK1085+CJ1081*CK1084+CJ1082*CK1083+CJ1083*CK1082+CJ1084*CK1081+CJ1085*CK1080+CJ1086*CK1079+CJ1087</f>
        <v>1612.7297298292185</v>
      </c>
      <c r="CM1087" s="134">
        <f t="shared" si="1946"/>
        <v>1.8252083395762331E-2</v>
      </c>
      <c r="CN1087" s="135">
        <f t="shared" si="1947"/>
        <v>1.2306977591432294E-2</v>
      </c>
      <c r="CO1087" s="135">
        <f t="shared" si="1958"/>
        <v>1.1982686795957797E-2</v>
      </c>
      <c r="CP1087" s="134">
        <f>VLOOKUP($H1087,RoR!$E:$F,2,FALSE)</f>
        <v>5.5558333333333321E-2</v>
      </c>
      <c r="CQ1087" s="135">
        <v>2.691120634145272E-2</v>
      </c>
      <c r="CR1087" s="135">
        <f t="shared" si="1956"/>
        <v>2.86471269918806E-2</v>
      </c>
      <c r="CS1087" s="135">
        <f t="shared" si="1959"/>
        <v>1.8919254812575829E-2</v>
      </c>
      <c r="CT1087" s="135">
        <f t="shared" si="1960"/>
        <v>6.4575155250632399E-2</v>
      </c>
      <c r="CU1087" s="139">
        <f t="shared" si="1948"/>
        <v>0.85126000000000002</v>
      </c>
      <c r="CV1087" s="335">
        <f t="shared" si="1949"/>
        <v>0.92303077153834634</v>
      </c>
      <c r="CW1087" s="335">
        <f t="shared" si="1950"/>
        <v>0.52502249887505614</v>
      </c>
      <c r="CX1087" s="335">
        <f t="shared" si="1951"/>
        <v>0.88499666072084604</v>
      </c>
      <c r="CY1087" s="335">
        <f t="shared" si="1952"/>
        <v>0.42887993290280618</v>
      </c>
      <c r="CZ1087" s="336">
        <f>INDEX('State Tax Lookup'!$D$7:$Z$91,MATCH(Calculation!$C1087,'State Tax Lookup'!$B$7:$B$91,0),MATCH($H1087,'State Tax Lookup'!$D$6:$Z$6,0))</f>
        <v>0.40200000000000002</v>
      </c>
      <c r="DA1087" s="302">
        <v>0.37</v>
      </c>
      <c r="DB1087" s="57">
        <f t="shared" si="1957"/>
        <v>13.320704289042121</v>
      </c>
      <c r="DC1087" s="56">
        <f t="shared" si="1961"/>
        <v>6.2344088986825433E-2</v>
      </c>
      <c r="DD1087" s="303">
        <f>VLOOKUP($H1087,RoR!$E:$F,2,FALSE)</f>
        <v>5.5558333333333321E-2</v>
      </c>
      <c r="DE1087" s="304">
        <f>HLOOKUP($H1087,'GDP-PI'!$D$8:$CQ$11,3,FALSE)</f>
        <v>2.691120634145272E-2</v>
      </c>
      <c r="DF1087" s="303">
        <f>VLOOKUP(H1087,'HW Dx Data'!$E:$F,2,FALSE)</f>
        <v>498.0223154772637</v>
      </c>
      <c r="DG1087" s="364">
        <f ca="1">VLOOKUP(CC1087,'ECI - Input Price'!M$13:N$33,2,FALSE)</f>
        <v>104.52499999999999</v>
      </c>
      <c r="DH1087" s="364"/>
      <c r="DI1087" s="364"/>
      <c r="DJ1087" s="56">
        <f t="shared" ca="1" si="1969"/>
        <v>-4.5584612745252218E-2</v>
      </c>
      <c r="DK1087" s="53">
        <f>HLOOKUP(H1087,'GDP-PI'!$8:$9,2,FALSE)</f>
        <v>92.498000000000005</v>
      </c>
      <c r="DL1087" s="355">
        <f t="shared" si="1962"/>
        <v>2.6555467950038037E-2</v>
      </c>
    </row>
    <row r="1088" spans="1:116" s="126" customFormat="1" ht="21" customHeight="1" x14ac:dyDescent="0.4">
      <c r="A1088" s="233" t="s">
        <v>246</v>
      </c>
      <c r="B1088" s="126" t="s">
        <v>247</v>
      </c>
      <c r="C1088" s="126">
        <v>4063060</v>
      </c>
      <c r="D1088" s="127" t="s">
        <v>203</v>
      </c>
      <c r="E1088" s="127" t="s">
        <v>15</v>
      </c>
      <c r="F1088" s="144"/>
      <c r="G1088" s="126" t="s">
        <v>164</v>
      </c>
      <c r="H1088" s="128">
        <v>2008</v>
      </c>
      <c r="I1088" s="129"/>
      <c r="J1088" s="125">
        <f>IFERROR(INDEX('Labor Expenditures'!$E$7:$W$91,MATCH($C1088,'Labor Expenditures'!$C$7:$C$91,0),MATCH($G1088,'Labor Expenditures'!$E$5:$W$5,0)),"NA")</f>
        <v>18740.557178305695</v>
      </c>
      <c r="K1088" s="125">
        <f t="shared" ca="1" si="1963"/>
        <v>173.68449655519643</v>
      </c>
      <c r="L1088" s="47"/>
      <c r="M1088" s="131">
        <f t="shared" ca="1" si="1970"/>
        <v>-1.4601405291243937E-2</v>
      </c>
      <c r="N1088" s="131"/>
      <c r="O1088" s="131"/>
      <c r="P1088" s="59">
        <f t="shared" ca="1" si="1972"/>
        <v>-1.264258673666379E-4</v>
      </c>
      <c r="Q1088" s="61"/>
      <c r="R1088" s="387"/>
      <c r="S1088" s="49">
        <f t="shared" ca="1" si="1978"/>
        <v>113.89627009627493</v>
      </c>
      <c r="T1088" s="61">
        <f ca="1">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</f>
        <v>-5.1936724045646809E-2</v>
      </c>
      <c r="U1088" s="61"/>
      <c r="V1088" s="125">
        <f>IFERROR(INDEX('Non-Labor Expenditures'!$E$7:$AA$91,MATCH($C1088,'Non-Labor Expenditures'!$C$7:$C$91,0),MATCH($G1088,'Non-Labor Expenditures'!$E$5:$AA$5,0)),"NA")</f>
        <v>27139.827047444385</v>
      </c>
      <c r="W1088" s="125">
        <f t="shared" si="1964"/>
        <v>287.9129577298267</v>
      </c>
      <c r="X1088" s="131">
        <f t="shared" si="1973"/>
        <v>-1.7351440178157939E-3</v>
      </c>
      <c r="Y1088" s="131">
        <f t="shared" si="1974"/>
        <v>-1.5023696903334584E-5</v>
      </c>
      <c r="Z1088" s="131"/>
      <c r="AA1088" s="131"/>
      <c r="AB1088" s="131"/>
      <c r="AC1088" s="125">
        <f t="shared" si="1944"/>
        <v>24164.019849871922</v>
      </c>
      <c r="AD1088" s="129"/>
      <c r="AE1088" s="133">
        <v>1735.1859193341413</v>
      </c>
      <c r="AF1088" s="134">
        <v>2.9270199243860973E-2</v>
      </c>
      <c r="AG1088" s="59">
        <f t="shared" si="1965"/>
        <v>2.5343521761008353E-4</v>
      </c>
      <c r="AH1088" s="134"/>
      <c r="AI1088" s="134"/>
      <c r="AJ1088" s="129">
        <f t="shared" si="1902"/>
        <v>70044.404075622006</v>
      </c>
      <c r="AK1088" s="134">
        <f t="shared" si="1975"/>
        <v>5.6552148289793124E-2</v>
      </c>
      <c r="AL1088" s="129"/>
      <c r="AM1088" s="129"/>
      <c r="AN1088" s="129"/>
      <c r="AO1088" s="129"/>
      <c r="AP1088" s="133">
        <f t="shared" si="1976"/>
        <v>400.19885316083514</v>
      </c>
      <c r="AQ1088" s="134">
        <f>+BB1088/Outputs!$B$16</f>
        <v>4.9818419682101309E-3</v>
      </c>
      <c r="AR1088" s="93">
        <f t="shared" si="1966"/>
        <v>0.26755252508212984</v>
      </c>
      <c r="AS1088" s="93">
        <f t="shared" si="1967"/>
        <v>0.38746602823750814</v>
      </c>
      <c r="AT1088" s="93">
        <f t="shared" si="1968"/>
        <v>0.34498144668036196</v>
      </c>
      <c r="AU1088" s="93">
        <f t="shared" ca="1" si="1971"/>
        <v>5.0417887516695922E-3</v>
      </c>
      <c r="AV1088" s="132">
        <f t="shared" ref="AV1088:AV1101" ca="1" si="1982">+AV1087*EXP(AU1088)</f>
        <v>104.00521534903515</v>
      </c>
      <c r="AW1088" s="134">
        <f t="shared" ref="AW1088:AW1101" ca="1" si="1983">LN(AV1088/AV1087)</f>
        <v>5.0417887516696286E-3</v>
      </c>
      <c r="AX1088" s="56">
        <f>+AJ1088/$AL$13</f>
        <v>8.6584725815707642E-3</v>
      </c>
      <c r="AY1088" s="135">
        <f t="shared" ca="1" si="1979"/>
        <v>4.3654189668403371E-5</v>
      </c>
      <c r="AZ1088" s="93"/>
      <c r="BA1088" s="132"/>
      <c r="BB1088" s="234">
        <f>IFERROR(INDEX('Total Customers'!$E$7:$AA$91,MATCH($C1088,'Total Customers'!$C$7:$C$91,0),MATCH($G1088,'Total Customers'!$E$5:$AA$5,0)),"NA")</f>
        <v>175024</v>
      </c>
      <c r="BC1088" s="269">
        <f t="shared" si="1861"/>
        <v>2.505650462843421E-3</v>
      </c>
      <c r="BD1088" s="92"/>
      <c r="BE1088" s="299" t="str">
        <f t="shared" si="1855"/>
        <v>SOUTHERN CONNECTICUT GAS COMPANY</v>
      </c>
      <c r="BF1088" s="300">
        <f t="shared" si="1856"/>
        <v>4063060</v>
      </c>
      <c r="BG1088" s="231" t="str">
        <f t="shared" si="1857"/>
        <v>CT</v>
      </c>
      <c r="BH1088" s="231"/>
      <c r="BI1088" s="231" t="str">
        <f t="shared" si="1858"/>
        <v>2008 Y</v>
      </c>
      <c r="BJ1088" s="129"/>
      <c r="BK1088" s="129"/>
      <c r="BL1088" s="129">
        <f>INDEX('Dist. Plant Gas Additions'!$E$7:$AD$91,MATCH($C1088,'Dist. Plant Gas Additions'!$C$7:$C$91,0),MATCH(Calculation!$G1088,'Dist. Plant Gas Additions'!$E$5:$AD$5,0))</f>
        <v>20247</v>
      </c>
      <c r="BM1088" s="129">
        <f>INDEX('Gen. Plant Additions'!$E$7:$AD$91,MATCH($C1088,'Gen. Plant Additions'!$C$7:$C$91,0),MATCH(Calculation!$G1088,'Gen. Plant Additions'!$E$5:$AD$5,0))</f>
        <v>14659</v>
      </c>
      <c r="BN1088" s="301">
        <f t="shared" si="1953"/>
        <v>0.93100810096243358</v>
      </c>
      <c r="BO1088" s="231">
        <f t="shared" si="1980"/>
        <v>13647.647752008314</v>
      </c>
      <c r="BP1088" s="231">
        <f t="shared" si="1981"/>
        <v>-1011.3522479916865</v>
      </c>
      <c r="BQ1088" s="129">
        <f>INDEX('Dist Plant Depreciation'!$D$7:$AC$94,MATCH($C1088,'Dist Plant Depreciation'!$C$7:$C$94,0),MATCH(Calculation!$G1088,'Dist Plant Depreciation'!$D$5:$AC$5,0))</f>
        <v>213241</v>
      </c>
      <c r="BR1088" s="129">
        <f>INDEX('Gen. Plant Depreciation'!$D$7:$AC$94,MATCH($C1088,'Gen. Plant Depreciation'!$C$7:$C$94,0),MATCH(Calculation!$G1088,'Gen. Plant Depreciation'!$D$5:$AC$5,0))</f>
        <v>13566</v>
      </c>
      <c r="BS1088" s="129"/>
      <c r="BT1088" s="129"/>
      <c r="BU1088" s="129"/>
      <c r="BV1088" s="129"/>
      <c r="BW1088" s="129"/>
      <c r="BX1088" s="137"/>
      <c r="BY1088" s="129">
        <f>INDEX('Gross Dx Plant'!$D$7:$AC$91,MATCH($C1088,'Gross Dx Plant'!$C$7:$C$91,0),MATCH(Calculation!$G1088,'Gross Dx Plant'!$D$5:$AC$5,0))</f>
        <v>550034</v>
      </c>
      <c r="BZ1088" s="129">
        <f>INDEX('Gross Gen Plant'!$D$7:$AC$91,MATCH($C1088,'Gross Gen Plant'!$C$7:$C$91,0),MATCH(Calculation!$G1088,'Gross Gen Plant'!$D$5:$AC$5,0))</f>
        <v>40760</v>
      </c>
      <c r="CA1088" s="129">
        <f t="shared" si="1977"/>
        <v>363987</v>
      </c>
      <c r="CB1088" s="129"/>
      <c r="CC1088" s="133">
        <v>2008</v>
      </c>
      <c r="CD1088" s="129"/>
      <c r="CE1088" s="129"/>
      <c r="CF1088" s="129"/>
      <c r="CG1088" s="137"/>
      <c r="CH1088" s="129">
        <f t="shared" si="1954"/>
        <v>34906</v>
      </c>
      <c r="CI1088" s="46">
        <f t="shared" si="1955"/>
        <v>33894.647752008314</v>
      </c>
      <c r="CJ1088" s="231">
        <f t="shared" si="1945"/>
        <v>59.476690148130146</v>
      </c>
      <c r="CK1088" s="443">
        <v>0.89130434782608692</v>
      </c>
      <c r="CL1088" s="231">
        <f>+CL1078*CK1088+CJ1079*CK1087+CJ1080*CK1086+CJ1081*CK1085+CJ1082*CK1084+CJ1083*CK1083+CJ1084*CK1082+CJ1085*CK1081+CJ1086*CK1080+CJ1087*CK1079+CJ1088</f>
        <v>1651.816594323195</v>
      </c>
      <c r="CM1088" s="134">
        <f t="shared" si="1946"/>
        <v>2.3947420898775763E-2</v>
      </c>
      <c r="CN1088" s="135">
        <f t="shared" si="1947"/>
        <v>1.2643051887133551E-2</v>
      </c>
      <c r="CO1088" s="135">
        <f t="shared" si="1958"/>
        <v>1.2311009073486969E-2</v>
      </c>
      <c r="CP1088" s="134">
        <f>VLOOKUP($H1088,RoR!$E:$F,2,FALSE)</f>
        <v>5.6316666666666668E-2</v>
      </c>
      <c r="CQ1088" s="135">
        <v>1.9092304698479889E-2</v>
      </c>
      <c r="CR1088" s="135">
        <f t="shared" si="1956"/>
        <v>3.7224361968186778E-2</v>
      </c>
      <c r="CS1088" s="135">
        <f t="shared" si="1959"/>
        <v>1.8590932535046657E-2</v>
      </c>
      <c r="CT1088" s="135">
        <f t="shared" si="1960"/>
        <v>6.9030581091053131E-2</v>
      </c>
      <c r="CU1088" s="139">
        <f t="shared" si="1948"/>
        <v>0.85126000000000002</v>
      </c>
      <c r="CV1088" s="335">
        <f t="shared" si="1949"/>
        <v>0.91060168006009956</v>
      </c>
      <c r="CW1088" s="335">
        <f t="shared" si="1950"/>
        <v>0.53108168097070152</v>
      </c>
      <c r="CX1088" s="335">
        <f t="shared" si="1951"/>
        <v>0.88825329850328805</v>
      </c>
      <c r="CY1088" s="335">
        <f t="shared" si="1952"/>
        <v>0.4295627335323573</v>
      </c>
      <c r="CZ1088" s="336">
        <f>INDEX('State Tax Lookup'!$D$7:$Z$91,MATCH(Calculation!$C1088,'State Tax Lookup'!$B$7:$B$91,0),MATCH($H1088,'State Tax Lookup'!$D$6:$Z$6,0))</f>
        <v>0.40200000000000002</v>
      </c>
      <c r="DA1088" s="302">
        <v>0.37</v>
      </c>
      <c r="DB1088" s="57">
        <f t="shared" si="1957"/>
        <v>14.983304023564315</v>
      </c>
      <c r="DC1088" s="56">
        <f t="shared" si="1961"/>
        <v>0.11761697782235121</v>
      </c>
      <c r="DD1088" s="303">
        <f>VLOOKUP($H1088,RoR!$E:$F,2,FALSE)</f>
        <v>5.6316666666666668E-2</v>
      </c>
      <c r="DE1088" s="304">
        <f>HLOOKUP($H1088,'GDP-PI'!$D$8:$CQ$11,3,FALSE)</f>
        <v>1.9092304698479889E-2</v>
      </c>
      <c r="DF1088" s="303">
        <f>VLOOKUP(H1088,'HW Dx Data'!$E:$F,2,FALSE)</f>
        <v>569.88120333515076</v>
      </c>
      <c r="DG1088" s="364">
        <f ca="1">VLOOKUP(CC1088,'ECI - Input Price'!M$13:N$33,2,FALSE)</f>
        <v>107.9</v>
      </c>
      <c r="DH1088" s="364"/>
      <c r="DI1088" s="364"/>
      <c r="DJ1088" s="56">
        <f t="shared" ca="1" si="1969"/>
        <v>3.1778595021460486E-2</v>
      </c>
      <c r="DK1088" s="53">
        <f>HLOOKUP(H1088,'GDP-PI'!$8:$9,2,FALSE)</f>
        <v>94.263999999999996</v>
      </c>
      <c r="DL1088" s="355">
        <f t="shared" si="1962"/>
        <v>1.8912333748032254E-2</v>
      </c>
    </row>
    <row r="1089" spans="1:116" s="126" customFormat="1" ht="21" customHeight="1" x14ac:dyDescent="0.4">
      <c r="A1089" s="233" t="s">
        <v>246</v>
      </c>
      <c r="B1089" s="126" t="s">
        <v>247</v>
      </c>
      <c r="C1089" s="126">
        <v>4063060</v>
      </c>
      <c r="D1089" s="127" t="s">
        <v>203</v>
      </c>
      <c r="E1089" s="127" t="s">
        <v>15</v>
      </c>
      <c r="F1089" s="144"/>
      <c r="G1089" s="126" t="s">
        <v>165</v>
      </c>
      <c r="H1089" s="128">
        <v>2009</v>
      </c>
      <c r="I1089" s="129"/>
      <c r="J1089" s="125">
        <f>IFERROR(INDEX('Labor Expenditures'!$E$7:$W$91,MATCH($C1089,'Labor Expenditures'!$C$7:$C$91,0),MATCH($G1089,'Labor Expenditures'!$E$5:$W$5,0)),"NA")</f>
        <v>21985.0094955288</v>
      </c>
      <c r="K1089" s="125">
        <f t="shared" ca="1" si="1963"/>
        <v>198.19706554454632</v>
      </c>
      <c r="L1089" s="47"/>
      <c r="M1089" s="131">
        <f t="shared" ca="1" si="1970"/>
        <v>0.13202140113954899</v>
      </c>
      <c r="N1089" s="131"/>
      <c r="O1089" s="131"/>
      <c r="P1089" s="59">
        <f t="shared" ca="1" si="1972"/>
        <v>1.2072492816480012E-3</v>
      </c>
      <c r="Q1089" s="61"/>
      <c r="R1089" s="387"/>
      <c r="S1089" s="49">
        <f t="shared" ca="1" si="1978"/>
        <v>116.71632901444626</v>
      </c>
      <c r="T1089" s="61">
        <f ca="1">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</f>
        <v>2.4458329769555875E-2</v>
      </c>
      <c r="U1089" s="61"/>
      <c r="V1089" s="125">
        <f>IFERROR(INDEX('Non-Labor Expenditures'!$E$7:$AA$91,MATCH($C1089,'Non-Labor Expenditures'!$C$7:$C$91,0),MATCH($G1089,'Non-Labor Expenditures'!$E$5:$AA$5,0)),"NA")</f>
        <v>31838.399982887706</v>
      </c>
      <c r="W1089" s="125">
        <f t="shared" si="1964"/>
        <v>335.1445802891368</v>
      </c>
      <c r="X1089" s="131">
        <f t="shared" si="1973"/>
        <v>0.1519038173221233</v>
      </c>
      <c r="Y1089" s="131">
        <f t="shared" si="1974"/>
        <v>1.3890609610170742E-3</v>
      </c>
      <c r="Z1089" s="131"/>
      <c r="AA1089" s="131"/>
      <c r="AB1089" s="131"/>
      <c r="AC1089" s="125">
        <f t="shared" si="1944"/>
        <v>23508.709913947965</v>
      </c>
      <c r="AD1089" s="129"/>
      <c r="AE1089" s="133">
        <v>1760.6769286756651</v>
      </c>
      <c r="AF1089" s="134">
        <v>1.4583787893556641E-2</v>
      </c>
      <c r="AG1089" s="59">
        <f t="shared" si="1965"/>
        <v>1.333591925720659E-4</v>
      </c>
      <c r="AH1089" s="134"/>
      <c r="AI1089" s="134"/>
      <c r="AJ1089" s="129">
        <f t="shared" si="1902"/>
        <v>77332.119392364475</v>
      </c>
      <c r="AK1089" s="134">
        <f t="shared" si="1975"/>
        <v>9.8980000486719358E-2</v>
      </c>
      <c r="AL1089" s="129"/>
      <c r="AM1089" s="129"/>
      <c r="AN1089" s="129"/>
      <c r="AO1089" s="129"/>
      <c r="AP1089" s="133">
        <f t="shared" si="1976"/>
        <v>440.08718069863687</v>
      </c>
      <c r="AQ1089" s="134">
        <f>+BB1089/Outputs!$B$17</f>
        <v>4.9952767742087708E-3</v>
      </c>
      <c r="AR1089" s="93">
        <f t="shared" si="1966"/>
        <v>0.28429337858933074</v>
      </c>
      <c r="AS1089" s="93">
        <f t="shared" si="1967"/>
        <v>0.4117099108760664</v>
      </c>
      <c r="AT1089" s="93">
        <f t="shared" si="1968"/>
        <v>0.30399671053460275</v>
      </c>
      <c r="AU1089" s="93">
        <f t="shared" ca="1" si="1971"/>
        <v>0.10185895253577293</v>
      </c>
      <c r="AV1089" s="132">
        <f t="shared" ca="1" si="1982"/>
        <v>115.15741264443851</v>
      </c>
      <c r="AW1089" s="134">
        <f t="shared" ca="1" si="1983"/>
        <v>0.10185895253577293</v>
      </c>
      <c r="AX1089" s="56">
        <f>+AJ1089/$AL$14</f>
        <v>9.1443453199827589E-3</v>
      </c>
      <c r="AY1089" s="135">
        <f t="shared" ca="1" si="1979"/>
        <v>9.3143343591884113E-4</v>
      </c>
      <c r="AZ1089" s="93"/>
      <c r="BA1089" s="132"/>
      <c r="BB1089" s="234">
        <f>IFERROR(INDEX('Total Customers'!$E$7:$AA$91,MATCH($C1089,'Total Customers'!$C$7:$C$91,0),MATCH($G1089,'Total Customers'!$E$5:$AA$5,0)),"NA")</f>
        <v>175720</v>
      </c>
      <c r="BC1089" s="269">
        <f t="shared" si="1861"/>
        <v>3.9687117301437933E-3</v>
      </c>
      <c r="BD1089" s="92"/>
      <c r="BE1089" s="299" t="str">
        <f t="shared" si="1855"/>
        <v>SOUTHERN CONNECTICUT GAS COMPANY</v>
      </c>
      <c r="BF1089" s="300">
        <f t="shared" si="1856"/>
        <v>4063060</v>
      </c>
      <c r="BG1089" s="231" t="str">
        <f t="shared" si="1857"/>
        <v>CT</v>
      </c>
      <c r="BH1089" s="231"/>
      <c r="BI1089" s="231" t="str">
        <f t="shared" si="1858"/>
        <v>2009 Y</v>
      </c>
      <c r="BJ1089" s="129"/>
      <c r="BK1089" s="129"/>
      <c r="BL1089" s="129">
        <f>INDEX('Dist. Plant Gas Additions'!$E$7:$AD$91,MATCH($C1089,'Dist. Plant Gas Additions'!$C$7:$C$91,0),MATCH(Calculation!$G1089,'Dist. Plant Gas Additions'!$E$5:$AD$5,0))</f>
        <v>20092</v>
      </c>
      <c r="BM1089" s="129">
        <f>INDEX('Gen. Plant Additions'!$E$7:$AD$91,MATCH($C1089,'Gen. Plant Additions'!$C$7:$C$91,0),MATCH(Calculation!$G1089,'Gen. Plant Additions'!$E$5:$AD$5,0))</f>
        <v>502</v>
      </c>
      <c r="BN1089" s="301">
        <f t="shared" si="1953"/>
        <v>0.93325587910548602</v>
      </c>
      <c r="BO1089" s="231">
        <f t="shared" si="1980"/>
        <v>468.49445131095399</v>
      </c>
      <c r="BP1089" s="231">
        <f t="shared" si="1981"/>
        <v>-33.505548689046009</v>
      </c>
      <c r="BQ1089" s="129">
        <f>INDEX('Dist Plant Depreciation'!$D$7:$AC$94,MATCH($C1089,'Dist Plant Depreciation'!$C$7:$C$94,0),MATCH(Calculation!$G1089,'Dist Plant Depreciation'!$D$5:$AC$5,0))</f>
        <v>234072</v>
      </c>
      <c r="BR1089" s="129">
        <f>INDEX('Gen. Plant Depreciation'!$D$7:$AC$94,MATCH($C1089,'Gen. Plant Depreciation'!$C$7:$C$94,0),MATCH(Calculation!$G1089,'Gen. Plant Depreciation'!$D$5:$AC$5,0))</f>
        <v>15445</v>
      </c>
      <c r="BS1089" s="129"/>
      <c r="BT1089" s="129"/>
      <c r="BU1089" s="129"/>
      <c r="BV1089" s="129"/>
      <c r="BW1089" s="129"/>
      <c r="BX1089" s="137"/>
      <c r="BY1089" s="129">
        <f>INDEX('Gross Dx Plant'!$D$7:$AC$91,MATCH($C1089,'Gross Dx Plant'!$C$7:$C$91,0),MATCH(Calculation!$G1089,'Gross Dx Plant'!$D$5:$AC$5,0))</f>
        <v>566309</v>
      </c>
      <c r="BZ1089" s="129">
        <f>INDEX('Gross Gen Plant'!$D$7:$AC$91,MATCH($C1089,'Gross Gen Plant'!$C$7:$C$91,0),MATCH(Calculation!$G1089,'Gross Gen Plant'!$D$5:$AC$5,0))</f>
        <v>40501</v>
      </c>
      <c r="CA1089" s="129">
        <f t="shared" si="1977"/>
        <v>357293</v>
      </c>
      <c r="CB1089" s="129"/>
      <c r="CC1089" s="133">
        <v>2009</v>
      </c>
      <c r="CD1089" s="129"/>
      <c r="CE1089" s="129"/>
      <c r="CF1089" s="129"/>
      <c r="CG1089" s="137"/>
      <c r="CH1089" s="129">
        <f t="shared" si="1954"/>
        <v>20594</v>
      </c>
      <c r="CI1089" s="46">
        <f t="shared" si="1955"/>
        <v>20560.494451310955</v>
      </c>
      <c r="CJ1089" s="231">
        <f t="shared" si="1945"/>
        <v>37.3188925958449</v>
      </c>
      <c r="CK1089" s="443">
        <v>0.87912087912087911</v>
      </c>
      <c r="CL1089" s="231">
        <f>+CL1078*CK1089+CJ1079*CK1088+CJ1080*CK1087+CJ1081*CK1086+CJ1082*CK1085+CJ1083*CK1084+CJ1084*CK1083+CJ1085*CK1082+CJ1086*CK1081+CJ1087*CK1080+CJ1088*CK1079+CJ1089</f>
        <v>1667.7142501207493</v>
      </c>
      <c r="CM1089" s="134">
        <f t="shared" si="1946"/>
        <v>9.5783278334873739E-3</v>
      </c>
      <c r="CN1089" s="135">
        <f t="shared" si="1947"/>
        <v>1.2968290106727979E-2</v>
      </c>
      <c r="CO1089" s="135">
        <f t="shared" si="1958"/>
        <v>1.2639439861764608E-2</v>
      </c>
      <c r="CP1089" s="134">
        <f>VLOOKUP($H1089,RoR!$E:$F,2,FALSE)</f>
        <v>5.3133333333333324E-2</v>
      </c>
      <c r="CQ1089" s="135">
        <v>7.7972502758210105E-3</v>
      </c>
      <c r="CR1089" s="135">
        <f t="shared" si="1956"/>
        <v>4.5336083057512314E-2</v>
      </c>
      <c r="CS1089" s="135">
        <f t="shared" si="1959"/>
        <v>1.8262501746769015E-2</v>
      </c>
      <c r="CT1089" s="135">
        <f t="shared" si="1960"/>
        <v>6.3720160300892073E-2</v>
      </c>
      <c r="CU1089" s="139">
        <f t="shared" si="1948"/>
        <v>0.85126000000000002</v>
      </c>
      <c r="CV1089" s="335">
        <f t="shared" si="1949"/>
        <v>0.96515780330083989</v>
      </c>
      <c r="CW1089" s="335">
        <f t="shared" si="1950"/>
        <v>0.50448557089084056</v>
      </c>
      <c r="CX1089" s="335">
        <f t="shared" si="1951"/>
        <v>0.87391435735465484</v>
      </c>
      <c r="CY1089" s="335">
        <f t="shared" si="1952"/>
        <v>0.42551605393279146</v>
      </c>
      <c r="CZ1089" s="336">
        <f>INDEX('State Tax Lookup'!$D$7:$Z$91,MATCH(Calculation!$C1089,'State Tax Lookup'!$B$7:$B$91,0),MATCH($H1089,'State Tax Lookup'!$D$6:$Z$6,0))</f>
        <v>0.40200000000000002</v>
      </c>
      <c r="DA1089" s="302">
        <v>0.37</v>
      </c>
      <c r="DB1089" s="57">
        <f t="shared" si="1957"/>
        <v>14.232033988967327</v>
      </c>
      <c r="DC1089" s="56">
        <f t="shared" si="1961"/>
        <v>-5.144117752144127E-2</v>
      </c>
      <c r="DD1089" s="303">
        <f>VLOOKUP($H1089,RoR!$E:$F,2,FALSE)</f>
        <v>5.3133333333333324E-2</v>
      </c>
      <c r="DE1089" s="304">
        <f>HLOOKUP($H1089,'GDP-PI'!$D$8:$CQ$11,3,FALSE)</f>
        <v>7.7972502758210105E-3</v>
      </c>
      <c r="DF1089" s="303">
        <f>VLOOKUP(H1089,'HW Dx Data'!$E:$F,2,FALSE)</f>
        <v>550.94063679692806</v>
      </c>
      <c r="DG1089" s="364">
        <f ca="1">VLOOKUP(CC1089,'ECI - Input Price'!M$13:N$33,2,FALSE)</f>
        <v>110.925</v>
      </c>
      <c r="DH1089" s="364"/>
      <c r="DI1089" s="364"/>
      <c r="DJ1089" s="56">
        <f t="shared" ca="1" si="1969"/>
        <v>2.7649425000884052E-2</v>
      </c>
      <c r="DK1089" s="53">
        <f>HLOOKUP(H1089,'GDP-PI'!$8:$9,2,FALSE)</f>
        <v>94.998999999999995</v>
      </c>
      <c r="DL1089" s="355">
        <f t="shared" si="1962"/>
        <v>7.7670088183096342E-3</v>
      </c>
    </row>
    <row r="1090" spans="1:116" s="126" customFormat="1" ht="21" customHeight="1" x14ac:dyDescent="0.4">
      <c r="A1090" s="233" t="s">
        <v>246</v>
      </c>
      <c r="B1090" s="126" t="s">
        <v>247</v>
      </c>
      <c r="C1090" s="126">
        <v>4063060</v>
      </c>
      <c r="D1090" s="127" t="s">
        <v>203</v>
      </c>
      <c r="E1090" s="127" t="s">
        <v>15</v>
      </c>
      <c r="F1090" s="144"/>
      <c r="G1090" s="126" t="s">
        <v>166</v>
      </c>
      <c r="H1090" s="128">
        <v>2010</v>
      </c>
      <c r="I1090" s="129"/>
      <c r="J1090" s="125">
        <f>IFERROR(INDEX('Labor Expenditures'!$E$7:$W$91,MATCH($C1090,'Labor Expenditures'!$C$7:$C$91,0),MATCH($G1090,'Labor Expenditures'!$E$5:$W$5,0)),"NA")</f>
        <v>19376.118294045609</v>
      </c>
      <c r="K1090" s="125">
        <f t="shared" ca="1" si="1963"/>
        <v>165.7140756386197</v>
      </c>
      <c r="L1090" s="47"/>
      <c r="M1090" s="131">
        <f t="shared" ca="1" si="1970"/>
        <v>-0.17899794891296428</v>
      </c>
      <c r="N1090" s="131"/>
      <c r="O1090" s="131"/>
      <c r="P1090" s="59">
        <f t="shared" ca="1" si="1972"/>
        <v>-1.4685831240656784E-3</v>
      </c>
      <c r="Q1090" s="61"/>
      <c r="R1090" s="387"/>
      <c r="S1090" s="49">
        <f t="shared" ca="1" si="1978"/>
        <v>97.880377562245044</v>
      </c>
      <c r="T1090" s="61">
        <f ca="1">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</f>
        <v>-0.17600035654081989</v>
      </c>
      <c r="U1090" s="61"/>
      <c r="V1090" s="125">
        <f>IFERROR(INDEX('Non-Labor Expenditures'!$E$7:$AA$91,MATCH($C1090,'Non-Labor Expenditures'!$C$7:$C$91,0),MATCH($G1090,'Non-Labor Expenditures'!$E$5:$AA$5,0)),"NA")</f>
        <v>28060.238249477898</v>
      </c>
      <c r="W1090" s="125">
        <f t="shared" si="1964"/>
        <v>291.96264917414499</v>
      </c>
      <c r="X1090" s="131">
        <f t="shared" si="1973"/>
        <v>-0.13793614137313759</v>
      </c>
      <c r="Y1090" s="131">
        <f t="shared" si="1974"/>
        <v>-1.1316927967583872E-3</v>
      </c>
      <c r="Z1090" s="131"/>
      <c r="AA1090" s="131"/>
      <c r="AB1090" s="131"/>
      <c r="AC1090" s="125">
        <f t="shared" si="1944"/>
        <v>24086.495321470011</v>
      </c>
      <c r="AD1090" s="129"/>
      <c r="AE1090" s="133">
        <v>1782.5355952655013</v>
      </c>
      <c r="AF1090" s="134">
        <v>1.2338488731320303E-2</v>
      </c>
      <c r="AG1090" s="59">
        <f t="shared" si="1965"/>
        <v>1.0123074838193945E-4</v>
      </c>
      <c r="AH1090" s="134"/>
      <c r="AI1090" s="134"/>
      <c r="AJ1090" s="129">
        <f t="shared" si="1902"/>
        <v>71522.851864993514</v>
      </c>
      <c r="AK1090" s="134">
        <f t="shared" si="1975"/>
        <v>-7.8092380222375565E-2</v>
      </c>
      <c r="AL1090" s="129"/>
      <c r="AM1090" s="129"/>
      <c r="AN1090" s="129"/>
      <c r="AO1090" s="129"/>
      <c r="AP1090" s="133">
        <f t="shared" si="1976"/>
        <v>407.32409144490362</v>
      </c>
      <c r="AQ1090" s="134">
        <f>+BB1090/Outputs!$B$18</f>
        <v>4.9643267469699119E-3</v>
      </c>
      <c r="AR1090" s="93">
        <f t="shared" si="1966"/>
        <v>0.27090807747179818</v>
      </c>
      <c r="AS1090" s="93">
        <f t="shared" si="1967"/>
        <v>0.39232549482848339</v>
      </c>
      <c r="AT1090" s="93">
        <f t="shared" si="1968"/>
        <v>0.33676642769971843</v>
      </c>
      <c r="AU1090" s="93">
        <f t="shared" ca="1" si="1971"/>
        <v>-0.10118970724907728</v>
      </c>
      <c r="AV1090" s="132">
        <f t="shared" ca="1" si="1982"/>
        <v>104.07484364580516</v>
      </c>
      <c r="AW1090" s="134">
        <f t="shared" ca="1" si="1983"/>
        <v>-0.10118970724907732</v>
      </c>
      <c r="AX1090" s="56">
        <f>+AJ1090/$AL$15</f>
        <v>8.2044690064005162E-3</v>
      </c>
      <c r="AY1090" s="135">
        <f t="shared" ca="1" si="1979"/>
        <v>-8.3020781689179652E-4</v>
      </c>
      <c r="AZ1090" s="93"/>
      <c r="BA1090" s="132"/>
      <c r="BB1090" s="234">
        <f>IFERROR(INDEX('Total Customers'!$E$7:$AA$91,MATCH($C1090,'Total Customers'!$C$7:$C$91,0),MATCH($G1090,'Total Customers'!$E$5:$AA$5,0)),"NA")</f>
        <v>175592</v>
      </c>
      <c r="BC1090" s="269">
        <f t="shared" si="1861"/>
        <v>-7.2869703092402229E-4</v>
      </c>
      <c r="BD1090" s="92"/>
      <c r="BE1090" s="299" t="str">
        <f t="shared" si="1855"/>
        <v>SOUTHERN CONNECTICUT GAS COMPANY</v>
      </c>
      <c r="BF1090" s="300">
        <f t="shared" si="1856"/>
        <v>4063060</v>
      </c>
      <c r="BG1090" s="231" t="str">
        <f t="shared" si="1857"/>
        <v>CT</v>
      </c>
      <c r="BH1090" s="231"/>
      <c r="BI1090" s="231" t="str">
        <f t="shared" si="1858"/>
        <v>2010 Y</v>
      </c>
      <c r="BJ1090" s="129"/>
      <c r="BK1090" s="129"/>
      <c r="BL1090" s="129">
        <f>INDEX('Dist. Plant Gas Additions'!$E$7:$AD$91,MATCH($C1090,'Dist. Plant Gas Additions'!$C$7:$C$91,0),MATCH(Calculation!$G1090,'Dist. Plant Gas Additions'!$E$5:$AD$5,0))</f>
        <v>19771</v>
      </c>
      <c r="BM1090" s="129">
        <f>INDEX('Gen. Plant Additions'!$E$7:$AD$91,MATCH($C1090,'Gen. Plant Additions'!$C$7:$C$91,0),MATCH(Calculation!$G1090,'Gen. Plant Additions'!$E$5:$AD$5,0))</f>
        <v>-227</v>
      </c>
      <c r="BN1090" s="301">
        <f t="shared" si="1953"/>
        <v>0.95501796651291848</v>
      </c>
      <c r="BO1090" s="231">
        <f t="shared" si="1980"/>
        <v>-216.78907839843251</v>
      </c>
      <c r="BP1090" s="231">
        <f t="shared" si="1981"/>
        <v>10.210921601567492</v>
      </c>
      <c r="BQ1090" s="129">
        <f>INDEX('Dist Plant Depreciation'!$D$7:$AC$94,MATCH($C1090,'Dist Plant Depreciation'!$C$7:$C$94,0),MATCH(Calculation!$G1090,'Dist Plant Depreciation'!$D$5:$AC$5,0))</f>
        <v>243628</v>
      </c>
      <c r="BR1090" s="129">
        <f>INDEX('Gen. Plant Depreciation'!$D$7:$AC$94,MATCH($C1090,'Gen. Plant Depreciation'!$C$7:$C$94,0),MATCH(Calculation!$G1090,'Gen. Plant Depreciation'!$D$5:$AC$5,0))</f>
        <v>15098</v>
      </c>
      <c r="BS1090" s="129"/>
      <c r="BT1090" s="129"/>
      <c r="BU1090" s="129"/>
      <c r="BV1090" s="129"/>
      <c r="BW1090" s="129"/>
      <c r="BX1090" s="137"/>
      <c r="BY1090" s="129">
        <f>INDEX('Gross Dx Plant'!$D$7:$AC$91,MATCH($C1090,'Gross Dx Plant'!$C$7:$C$91,0),MATCH(Calculation!$G1090,'Gross Dx Plant'!$D$5:$AC$5,0))</f>
        <v>580989</v>
      </c>
      <c r="BZ1090" s="129">
        <f>INDEX('Gross Gen Plant'!$D$7:$AC$91,MATCH($C1090,'Gross Gen Plant'!$C$7:$C$91,0),MATCH(Calculation!$G1090,'Gross Gen Plant'!$D$5:$AC$5,0))</f>
        <v>27365</v>
      </c>
      <c r="CA1090" s="129">
        <f t="shared" si="1977"/>
        <v>349628</v>
      </c>
      <c r="CB1090" s="129"/>
      <c r="CC1090" s="133">
        <v>2010</v>
      </c>
      <c r="CD1090" s="129"/>
      <c r="CE1090" s="129"/>
      <c r="CF1090" s="129"/>
      <c r="CG1090" s="137"/>
      <c r="CH1090" s="129">
        <f t="shared" si="1954"/>
        <v>19544</v>
      </c>
      <c r="CI1090" s="46">
        <f t="shared" si="1955"/>
        <v>19554.210921601567</v>
      </c>
      <c r="CJ1090" s="231">
        <f t="shared" si="1945"/>
        <v>34.366558312986847</v>
      </c>
      <c r="CK1090" s="443">
        <v>0.8666666666666667</v>
      </c>
      <c r="CL1090" s="231">
        <f>+CL1078*CK1090+CJ1079*CK1089+CJ1080*CK1088+CJ1081*CK1087+CJ1082*CK1086+CJ1083*CK1085+CJ1084*CK1084+CJ1085*CK1083+CJ1086*CK1082+CJ1087*CK1081+CJ1088*CK1080+CJ1089*CK1079+CJ1090</f>
        <v>1679.8211926967317</v>
      </c>
      <c r="CM1090" s="134">
        <f t="shared" si="1946"/>
        <v>7.2333784485910822E-3</v>
      </c>
      <c r="CN1090" s="135">
        <f t="shared" si="1947"/>
        <v>1.334737994557085E-2</v>
      </c>
      <c r="CO1090" s="135">
        <f t="shared" si="1958"/>
        <v>1.298624064647746E-2</v>
      </c>
      <c r="CP1090" s="134">
        <f>VLOOKUP($H1090,RoR!$E:$F,2,FALSE)</f>
        <v>4.9433333333333322E-2</v>
      </c>
      <c r="CQ1090" s="135">
        <v>1.1684333519300205E-2</v>
      </c>
      <c r="CR1090" s="135">
        <f t="shared" si="1956"/>
        <v>3.7748999814033117E-2</v>
      </c>
      <c r="CS1090" s="135">
        <f t="shared" si="1959"/>
        <v>1.7915700962056164E-2</v>
      </c>
      <c r="CT1090" s="135">
        <f t="shared" si="1960"/>
        <v>4.7937530248493419E-2</v>
      </c>
      <c r="CU1090" s="139">
        <f t="shared" si="1948"/>
        <v>0.85126000000000002</v>
      </c>
      <c r="CV1090" s="335">
        <f t="shared" si="1949"/>
        <v>1.037398205301105</v>
      </c>
      <c r="CW1090" s="335">
        <f t="shared" si="1950"/>
        <v>0.46926837491571133</v>
      </c>
      <c r="CX1090" s="335">
        <f t="shared" si="1951"/>
        <v>0.8548537519972772</v>
      </c>
      <c r="CY1090" s="335">
        <f t="shared" si="1952"/>
        <v>0.41615833911547367</v>
      </c>
      <c r="CZ1090" s="336">
        <f>INDEX('State Tax Lookup'!$D$7:$Z$91,MATCH(Calculation!$C1090,'State Tax Lookup'!$B$7:$B$91,0),MATCH($H1090,'State Tax Lookup'!$D$6:$Z$6,0))</f>
        <v>0.40200000000000002</v>
      </c>
      <c r="DA1090" s="302">
        <v>0.37</v>
      </c>
      <c r="DB1090" s="57">
        <f t="shared" si="1957"/>
        <v>14.442819157853961</v>
      </c>
      <c r="DC1090" s="56">
        <f t="shared" si="1961"/>
        <v>1.470200837959639E-2</v>
      </c>
      <c r="DD1090" s="303">
        <f>VLOOKUP($H1090,RoR!$E:$F,2,FALSE)</f>
        <v>4.9433333333333322E-2</v>
      </c>
      <c r="DE1090" s="304">
        <f>HLOOKUP($H1090,'GDP-PI'!$D$8:$CQ$11,3,FALSE)</f>
        <v>1.1684333519300205E-2</v>
      </c>
      <c r="DF1090" s="303">
        <f>VLOOKUP(H1090,'HW Dx Data'!$E:$F,2,FALSE)</f>
        <v>568.98950262971744</v>
      </c>
      <c r="DG1090" s="364">
        <f ca="1">VLOOKUP(CC1090,'ECI - Input Price'!M$13:N$33,2,FALSE)</f>
        <v>116.925</v>
      </c>
      <c r="DH1090" s="364"/>
      <c r="DI1090" s="364"/>
      <c r="DJ1090" s="56">
        <f t="shared" ca="1" si="1969"/>
        <v>5.2678406346976722E-2</v>
      </c>
      <c r="DK1090" s="53">
        <f>HLOOKUP(H1090,'GDP-PI'!$8:$9,2,FALSE)</f>
        <v>96.108999999999995</v>
      </c>
      <c r="DL1090" s="355">
        <f t="shared" si="1962"/>
        <v>1.1616598807150427E-2</v>
      </c>
    </row>
    <row r="1091" spans="1:116" s="126" customFormat="1" ht="21" customHeight="1" x14ac:dyDescent="0.4">
      <c r="A1091" s="233" t="s">
        <v>246</v>
      </c>
      <c r="B1091" s="126" t="s">
        <v>247</v>
      </c>
      <c r="C1091" s="126">
        <v>4063060</v>
      </c>
      <c r="D1091" s="127" t="s">
        <v>203</v>
      </c>
      <c r="E1091" s="127" t="s">
        <v>15</v>
      </c>
      <c r="F1091" s="144"/>
      <c r="G1091" s="126" t="s">
        <v>167</v>
      </c>
      <c r="H1091" s="128">
        <v>2011</v>
      </c>
      <c r="I1091" s="129"/>
      <c r="J1091" s="125">
        <f>IFERROR(INDEX('Labor Expenditures'!$E$7:$W$91,MATCH($C1091,'Labor Expenditures'!$C$7:$C$91,0),MATCH($G1091,'Labor Expenditures'!$E$5:$W$5,0)),"NA")</f>
        <v>20628.136247997336</v>
      </c>
      <c r="K1091" s="125">
        <f t="shared" ca="1" si="1963"/>
        <v>170.65676316854052</v>
      </c>
      <c r="L1091" s="47"/>
      <c r="M1091" s="131">
        <f t="shared" ca="1" si="1970"/>
        <v>2.9390439032048864E-2</v>
      </c>
      <c r="N1091" s="131"/>
      <c r="O1091" s="131"/>
      <c r="P1091" s="59">
        <f t="shared" ca="1" si="1972"/>
        <v>2.465416469430057E-4</v>
      </c>
      <c r="Q1091" s="61"/>
      <c r="R1091" s="387"/>
      <c r="S1091" s="49">
        <f t="shared" ca="1" si="1978"/>
        <v>118.22641939367588</v>
      </c>
      <c r="T1091" s="61">
        <f ca="1">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</f>
        <v>0.18885549835894389</v>
      </c>
      <c r="U1091" s="61"/>
      <c r="V1091" s="125">
        <f>IFERROR(INDEX('Non-Labor Expenditures'!$E$7:$AA$91,MATCH($C1091,'Non-Labor Expenditures'!$C$7:$C$91,0),MATCH($G1091,'Non-Labor Expenditures'!$E$5:$AA$5,0)),"NA")</f>
        <v>29873.394091497375</v>
      </c>
      <c r="W1091" s="125">
        <f t="shared" si="1964"/>
        <v>304.48257187191552</v>
      </c>
      <c r="X1091" s="131">
        <f t="shared" si="1973"/>
        <v>4.1987969980707945E-2</v>
      </c>
      <c r="Y1091" s="131">
        <f t="shared" si="1974"/>
        <v>3.5221601349844068E-4</v>
      </c>
      <c r="Z1091" s="131"/>
      <c r="AA1091" s="131"/>
      <c r="AB1091" s="131"/>
      <c r="AC1091" s="125">
        <f t="shared" si="1944"/>
        <v>25604.644780868945</v>
      </c>
      <c r="AD1091" s="129"/>
      <c r="AE1091" s="133">
        <v>1810.0097302681097</v>
      </c>
      <c r="AF1091" s="134">
        <v>1.5295378701680037E-2</v>
      </c>
      <c r="AG1091" s="59">
        <f t="shared" si="1965"/>
        <v>1.2830525776144858E-4</v>
      </c>
      <c r="AH1091" s="134"/>
      <c r="AI1091" s="134"/>
      <c r="AJ1091" s="129">
        <f t="shared" si="1902"/>
        <v>76106.175120363652</v>
      </c>
      <c r="AK1091" s="134">
        <f t="shared" si="1975"/>
        <v>6.2112401249728624E-2</v>
      </c>
      <c r="AL1091" s="129"/>
      <c r="AM1091" s="129"/>
      <c r="AN1091" s="129"/>
      <c r="AO1091" s="129"/>
      <c r="AP1091" s="133">
        <f t="shared" si="1976"/>
        <v>429.35013240717626</v>
      </c>
      <c r="AQ1091" s="134">
        <f>+BB1091/Outputs!$B$19</f>
        <v>4.9872758474006525E-3</v>
      </c>
      <c r="AR1091" s="93">
        <f t="shared" si="1966"/>
        <v>0.27104418551285053</v>
      </c>
      <c r="AS1091" s="93">
        <f t="shared" si="1967"/>
        <v>0.39252260469340261</v>
      </c>
      <c r="AT1091" s="93">
        <f t="shared" si="1968"/>
        <v>0.33643320979374691</v>
      </c>
      <c r="AU1091" s="93">
        <f t="shared" ca="1" si="1971"/>
        <v>2.9589618391484069E-2</v>
      </c>
      <c r="AV1091" s="132">
        <f t="shared" ca="1" si="1982"/>
        <v>107.20039240764524</v>
      </c>
      <c r="AW1091" s="134">
        <f t="shared" ca="1" si="1983"/>
        <v>2.9589618391484045E-2</v>
      </c>
      <c r="AX1091" s="56">
        <f>+AJ1091/$AL$16</f>
        <v>8.3884982689154067E-3</v>
      </c>
      <c r="AY1091" s="135">
        <f t="shared" ca="1" si="1979"/>
        <v>2.4821246265483137E-4</v>
      </c>
      <c r="AZ1091" s="93"/>
      <c r="BA1091" s="132"/>
      <c r="BB1091" s="234">
        <f>IFERROR(INDEX('Total Customers'!$E$7:$AA$91,MATCH($C1091,'Total Customers'!$C$7:$C$91,0),MATCH($G1091,'Total Customers'!$E$5:$AA$5,0)),"NA")</f>
        <v>177259</v>
      </c>
      <c r="BC1091" s="269">
        <f t="shared" si="1861"/>
        <v>9.4488177870174477E-3</v>
      </c>
      <c r="BD1091" s="92"/>
      <c r="BE1091" s="299" t="str">
        <f t="shared" ref="BE1091:BE1154" si="1984">A1091</f>
        <v>SOUTHERN CONNECTICUT GAS COMPANY</v>
      </c>
      <c r="BF1091" s="300">
        <f t="shared" ref="BF1091:BF1154" si="1985">C1091</f>
        <v>4063060</v>
      </c>
      <c r="BG1091" s="231" t="str">
        <f t="shared" ref="BG1091:BG1154" si="1986">D1091</f>
        <v>CT</v>
      </c>
      <c r="BH1091" s="231"/>
      <c r="BI1091" s="231" t="str">
        <f t="shared" ref="BI1091:BI1154" si="1987">G1091</f>
        <v>2011 Y</v>
      </c>
      <c r="BJ1091" s="129"/>
      <c r="BK1091" s="129"/>
      <c r="BL1091" s="129">
        <f>INDEX('Dist. Plant Gas Additions'!$E$7:$AD$91,MATCH($C1091,'Dist. Plant Gas Additions'!$C$7:$C$91,0),MATCH(Calculation!$G1091,'Dist. Plant Gas Additions'!$E$5:$AD$5,0))</f>
        <v>23801</v>
      </c>
      <c r="BM1091" s="129">
        <f>INDEX('Gen. Plant Additions'!$E$7:$AD$91,MATCH($C1091,'Gen. Plant Additions'!$C$7:$C$91,0),MATCH(Calculation!$G1091,'Gen. Plant Additions'!$E$5:$AD$5,0))</f>
        <v>1017</v>
      </c>
      <c r="BN1091" s="301">
        <f t="shared" si="1953"/>
        <v>0.95611989344223069</v>
      </c>
      <c r="BO1091" s="231">
        <f t="shared" si="1980"/>
        <v>972.37393163074864</v>
      </c>
      <c r="BP1091" s="231">
        <f t="shared" si="1981"/>
        <v>-44.626068369251357</v>
      </c>
      <c r="BQ1091" s="129">
        <f>INDEX('Dist Plant Depreciation'!$D$7:$AC$94,MATCH($C1091,'Dist Plant Depreciation'!$C$7:$C$94,0),MATCH(Calculation!$G1091,'Dist Plant Depreciation'!$D$5:$AC$5,0))</f>
        <v>252807</v>
      </c>
      <c r="BR1091" s="129">
        <f>INDEX('Gen. Plant Depreciation'!$D$7:$AC$94,MATCH($C1091,'Gen. Plant Depreciation'!$C$7:$C$94,0),MATCH(Calculation!$G1091,'Gen. Plant Depreciation'!$D$5:$AC$5,0))</f>
        <v>6858</v>
      </c>
      <c r="BS1091" s="129"/>
      <c r="BT1091" s="129"/>
      <c r="BU1091" s="129"/>
      <c r="BV1091" s="129"/>
      <c r="BW1091" s="129"/>
      <c r="BX1091" s="137"/>
      <c r="BY1091" s="129">
        <f>INDEX('Gross Dx Plant'!$D$7:$AC$91,MATCH($C1091,'Gross Dx Plant'!$C$7:$C$91,0),MATCH(Calculation!$G1091,'Gross Dx Plant'!$D$5:$AC$5,0))</f>
        <v>599382</v>
      </c>
      <c r="BZ1091" s="129">
        <f>INDEX('Gross Gen Plant'!$D$7:$AC$91,MATCH($C1091,'Gross Gen Plant'!$C$7:$C$91,0),MATCH(Calculation!$G1091,'Gross Gen Plant'!$D$5:$AC$5,0))</f>
        <v>27508</v>
      </c>
      <c r="CA1091" s="129">
        <f t="shared" si="1977"/>
        <v>367225</v>
      </c>
      <c r="CB1091" s="129"/>
      <c r="CC1091" s="133">
        <v>2011</v>
      </c>
      <c r="CD1091" s="129"/>
      <c r="CE1091" s="129"/>
      <c r="CF1091" s="129"/>
      <c r="CG1091" s="137"/>
      <c r="CH1091" s="129">
        <f t="shared" si="1954"/>
        <v>24818</v>
      </c>
      <c r="CI1091" s="46">
        <f t="shared" si="1955"/>
        <v>24773.373931630747</v>
      </c>
      <c r="CJ1091" s="231">
        <f t="shared" si="1945"/>
        <v>40.505108701715614</v>
      </c>
      <c r="CK1091" s="443">
        <v>0.8539325842696629</v>
      </c>
      <c r="CL1091" s="231">
        <f>+CL1078*CK1091+CJ1079*CK1090+CJ1080*CK1089+CJ1081*CK1088+CJ1082*CK1087+CJ1083*CK1086+CJ1084*CK1085+CJ1085*CK1084+CJ1086*CK1083+CJ1087*CK1082+CJ1088*CK1081+CJ1089*CK1080+CJ1090*CK1079+CJ1091</f>
        <v>1697.2345691123398</v>
      </c>
      <c r="CM1091" s="134">
        <f t="shared" si="1946"/>
        <v>1.03128476262162E-2</v>
      </c>
      <c r="CN1091" s="135">
        <f t="shared" si="1947"/>
        <v>1.3746541826298043E-2</v>
      </c>
      <c r="CO1091" s="135">
        <f t="shared" si="1958"/>
        <v>1.3354070626198958E-2</v>
      </c>
      <c r="CP1091" s="134">
        <f>VLOOKUP($H1091,RoR!$E:$F,2,FALSE)</f>
        <v>4.6391666666666664E-2</v>
      </c>
      <c r="CQ1091" s="135">
        <v>2.0840920205183799E-2</v>
      </c>
      <c r="CR1091" s="135">
        <f t="shared" si="1956"/>
        <v>2.5550746461482865E-2</v>
      </c>
      <c r="CS1091" s="135">
        <f t="shared" si="1959"/>
        <v>1.7547870982334665E-2</v>
      </c>
      <c r="CT1091" s="135">
        <f t="shared" si="1960"/>
        <v>2.4810540821321614E-2</v>
      </c>
      <c r="CU1091" s="139">
        <f t="shared" si="1948"/>
        <v>0.85126000000000002</v>
      </c>
      <c r="CV1091" s="335">
        <f t="shared" si="1949"/>
        <v>1.1054151524782025</v>
      </c>
      <c r="CW1091" s="335">
        <f t="shared" si="1950"/>
        <v>0.43611011316687626</v>
      </c>
      <c r="CX1091" s="335">
        <f t="shared" si="1951"/>
        <v>0.83698442246886229</v>
      </c>
      <c r="CY1091" s="335">
        <f t="shared" si="1952"/>
        <v>0.40349573304423936</v>
      </c>
      <c r="CZ1091" s="336">
        <f>INDEX('State Tax Lookup'!$D$7:$Z$91,MATCH(Calculation!$C1091,'State Tax Lookup'!$B$7:$B$91,0),MATCH($H1091,'State Tax Lookup'!$D$6:$Z$6,0))</f>
        <v>0.40200000000000002</v>
      </c>
      <c r="DA1091" s="302">
        <v>0.37</v>
      </c>
      <c r="DB1091" s="57">
        <f t="shared" si="1957"/>
        <v>15.242482290489537</v>
      </c>
      <c r="DC1091" s="56">
        <f t="shared" si="1961"/>
        <v>5.3889070000731357E-2</v>
      </c>
      <c r="DD1091" s="303">
        <f>VLOOKUP($H1091,RoR!$E:$F,2,FALSE)</f>
        <v>4.6391666666666664E-2</v>
      </c>
      <c r="DE1091" s="304">
        <f>HLOOKUP($H1091,'GDP-PI'!$D$8:$CQ$11,3,FALSE)</f>
        <v>2.0840920205183799E-2</v>
      </c>
      <c r="DF1091" s="303">
        <f>VLOOKUP(H1091,'HW Dx Data'!$E:$F,2,FALSE)</f>
        <v>611.61109612283201</v>
      </c>
      <c r="DG1091" s="364">
        <f ca="1">VLOOKUP(CC1091,'ECI - Input Price'!M$13:N$33,2,FALSE)</f>
        <v>120.875</v>
      </c>
      <c r="DH1091" s="364"/>
      <c r="DI1091" s="364"/>
      <c r="DJ1091" s="56">
        <f t="shared" ca="1" si="1969"/>
        <v>3.3224250161508609E-2</v>
      </c>
      <c r="DK1091" s="53">
        <f>HLOOKUP(H1091,'GDP-PI'!$8:$9,2,FALSE)</f>
        <v>98.111999999999995</v>
      </c>
      <c r="DL1091" s="355">
        <f t="shared" si="1962"/>
        <v>2.0626719212849295E-2</v>
      </c>
    </row>
    <row r="1092" spans="1:116" s="126" customFormat="1" ht="21" customHeight="1" x14ac:dyDescent="0.4">
      <c r="A1092" s="233" t="s">
        <v>246</v>
      </c>
      <c r="B1092" s="126" t="s">
        <v>247</v>
      </c>
      <c r="C1092" s="126">
        <v>4063060</v>
      </c>
      <c r="D1092" s="127" t="s">
        <v>203</v>
      </c>
      <c r="E1092" s="127" t="s">
        <v>15</v>
      </c>
      <c r="F1092" s="144"/>
      <c r="G1092" s="126" t="s">
        <v>168</v>
      </c>
      <c r="H1092" s="128">
        <v>2012</v>
      </c>
      <c r="I1092" s="129"/>
      <c r="J1092" s="125">
        <f>IFERROR(INDEX('Labor Expenditures'!$E$7:$W$91,MATCH($C1092,'Labor Expenditures'!$C$7:$C$91,0),MATCH($G1092,'Labor Expenditures'!$E$5:$W$5,0)),"NA")</f>
        <v>22392.395419090866</v>
      </c>
      <c r="K1092" s="125">
        <f t="shared" ca="1" si="1963"/>
        <v>179.42624534527937</v>
      </c>
      <c r="L1092" s="47"/>
      <c r="M1092" s="131">
        <f t="shared" ca="1" si="1970"/>
        <v>5.0109927670438079E-2</v>
      </c>
      <c r="N1092" s="131"/>
      <c r="O1092" s="131"/>
      <c r="P1092" s="59">
        <f t="shared" ca="1" si="1972"/>
        <v>4.3972164919153827E-4</v>
      </c>
      <c r="Q1092" s="61"/>
      <c r="R1092" s="387"/>
      <c r="S1092" s="49">
        <f t="shared" ca="1" si="1978"/>
        <v>117.90530418377075</v>
      </c>
      <c r="T1092" s="61">
        <f ca="1">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</f>
        <v>-2.7197989578792194E-3</v>
      </c>
      <c r="U1092" s="61"/>
      <c r="V1092" s="125">
        <f>IFERROR(INDEX('Non-Labor Expenditures'!$E$7:$AA$91,MATCH($C1092,'Non-Labor Expenditures'!$C$7:$C$91,0),MATCH($G1092,'Non-Labor Expenditures'!$E$5:$AA$5,0)),"NA")</f>
        <v>32428.370889400398</v>
      </c>
      <c r="W1092" s="125">
        <f t="shared" si="1964"/>
        <v>324.28370889400395</v>
      </c>
      <c r="X1092" s="131">
        <f t="shared" si="1973"/>
        <v>6.3004927093564478E-2</v>
      </c>
      <c r="Y1092" s="131">
        <f t="shared" si="1974"/>
        <v>5.5287707918842027E-4</v>
      </c>
      <c r="Z1092" s="131"/>
      <c r="AA1092" s="131"/>
      <c r="AB1092" s="131"/>
      <c r="AC1092" s="125">
        <f t="shared" si="1944"/>
        <v>27563.413151938123</v>
      </c>
      <c r="AD1092" s="129"/>
      <c r="AE1092" s="133">
        <v>1857.1866003144576</v>
      </c>
      <c r="AF1092" s="134">
        <v>2.5730541042289931E-2</v>
      </c>
      <c r="AG1092" s="59">
        <f t="shared" si="1965"/>
        <v>2.2578910941795373E-4</v>
      </c>
      <c r="AH1092" s="134"/>
      <c r="AI1092" s="134"/>
      <c r="AJ1092" s="129">
        <f t="shared" si="1902"/>
        <v>82384.179460429383</v>
      </c>
      <c r="AK1092" s="134">
        <f t="shared" si="1975"/>
        <v>7.9264015252406492E-2</v>
      </c>
      <c r="AL1092" s="129"/>
      <c r="AM1092" s="129"/>
      <c r="AN1092" s="129"/>
      <c r="AO1092" s="129"/>
      <c r="AP1092" s="133">
        <f t="shared" si="1976"/>
        <v>455.89416941286481</v>
      </c>
      <c r="AQ1092" s="134">
        <f>+BB1092/Outputs!$B$20</f>
        <v>5.0599776291245756E-3</v>
      </c>
      <c r="AR1092" s="93">
        <f t="shared" si="1966"/>
        <v>0.27180455720684016</v>
      </c>
      <c r="AS1092" s="93">
        <f t="shared" si="1967"/>
        <v>0.39362376492414219</v>
      </c>
      <c r="AT1092" s="93">
        <f t="shared" si="1968"/>
        <v>0.3345716778690177</v>
      </c>
      <c r="AU1092" s="93">
        <f t="shared" ca="1" si="1971"/>
        <v>4.699926236893983E-2</v>
      </c>
      <c r="AV1092" s="132">
        <f t="shared" ca="1" si="1982"/>
        <v>112.35900778490398</v>
      </c>
      <c r="AW1092" s="134">
        <f t="shared" ca="1" si="1983"/>
        <v>4.6999262368939788E-2</v>
      </c>
      <c r="AX1092" s="56">
        <f>+AJ1092/$AL$17</f>
        <v>8.7751403690600072E-3</v>
      </c>
      <c r="AY1092" s="135">
        <f t="shared" ca="1" si="1979"/>
        <v>4.1242512452972638E-4</v>
      </c>
      <c r="AZ1092" s="93"/>
      <c r="BA1092" s="132"/>
      <c r="BB1092" s="234">
        <f>IFERROR(INDEX('Total Customers'!$E$7:$AA$91,MATCH($C1092,'Total Customers'!$C$7:$C$91,0),MATCH($G1092,'Total Customers'!$E$5:$AA$5,0)),"NA")</f>
        <v>180709</v>
      </c>
      <c r="BC1092" s="269">
        <f t="shared" ref="BC1092:BC1155" si="1988">LN(BB1092/BB1091)</f>
        <v>1.9276062803016813E-2</v>
      </c>
      <c r="BD1092" s="92"/>
      <c r="BE1092" s="299" t="str">
        <f t="shared" si="1984"/>
        <v>SOUTHERN CONNECTICUT GAS COMPANY</v>
      </c>
      <c r="BF1092" s="300">
        <f t="shared" si="1985"/>
        <v>4063060</v>
      </c>
      <c r="BG1092" s="231" t="str">
        <f t="shared" si="1986"/>
        <v>CT</v>
      </c>
      <c r="BH1092" s="231"/>
      <c r="BI1092" s="231" t="str">
        <f t="shared" si="1987"/>
        <v>2012 Y</v>
      </c>
      <c r="BJ1092" s="129"/>
      <c r="BK1092" s="129"/>
      <c r="BL1092" s="129">
        <f>INDEX('Dist. Plant Gas Additions'!$E$7:$AD$91,MATCH($C1092,'Dist. Plant Gas Additions'!$C$7:$C$91,0),MATCH(Calculation!$G1092,'Dist. Plant Gas Additions'!$E$5:$AD$5,0))</f>
        <v>36182</v>
      </c>
      <c r="BM1092" s="129">
        <f>INDEX('Gen. Plant Additions'!$E$7:$AD$91,MATCH($C1092,'Gen. Plant Additions'!$C$7:$C$91,0),MATCH(Calculation!$G1092,'Gen. Plant Additions'!$E$5:$AD$5,0))</f>
        <v>4592</v>
      </c>
      <c r="BN1092" s="301">
        <f t="shared" si="1953"/>
        <v>0.95366527833219106</v>
      </c>
      <c r="BO1092" s="231">
        <f t="shared" si="1980"/>
        <v>4379.2309581014215</v>
      </c>
      <c r="BP1092" s="231">
        <f t="shared" si="1981"/>
        <v>-212.76904189857851</v>
      </c>
      <c r="BQ1092" s="129">
        <f>INDEX('Dist Plant Depreciation'!$D$7:$AC$94,MATCH($C1092,'Dist Plant Depreciation'!$C$7:$C$94,0),MATCH(Calculation!$G1092,'Dist Plant Depreciation'!$D$5:$AC$5,0))</f>
        <v>268871</v>
      </c>
      <c r="BR1092" s="129">
        <f>INDEX('Gen. Plant Depreciation'!$D$7:$AC$94,MATCH($C1092,'Gen. Plant Depreciation'!$C$7:$C$94,0),MATCH(Calculation!$G1092,'Gen. Plant Depreciation'!$D$5:$AC$5,0))</f>
        <v>5458</v>
      </c>
      <c r="BS1092" s="129"/>
      <c r="BT1092" s="129"/>
      <c r="BU1092" s="129"/>
      <c r="BV1092" s="129"/>
      <c r="BW1092" s="129"/>
      <c r="BX1092" s="137"/>
      <c r="BY1092" s="129">
        <f>INDEX('Gross Dx Plant'!$D$7:$AC$91,MATCH($C1092,'Gross Dx Plant'!$C$7:$C$91,0),MATCH(Calculation!$G1092,'Gross Dx Plant'!$D$5:$AC$5,0))</f>
        <v>633105</v>
      </c>
      <c r="BZ1092" s="129">
        <f>INDEX('Gross Gen Plant'!$D$7:$AC$91,MATCH($C1092,'Gross Gen Plant'!$C$7:$C$91,0),MATCH(Calculation!$G1092,'Gross Gen Plant'!$D$5:$AC$5,0))</f>
        <v>30760</v>
      </c>
      <c r="CA1092" s="129">
        <f t="shared" si="1977"/>
        <v>389536</v>
      </c>
      <c r="CB1092" s="129"/>
      <c r="CC1092" s="133">
        <v>2012</v>
      </c>
      <c r="CD1092" s="129"/>
      <c r="CE1092" s="129"/>
      <c r="CF1092" s="129"/>
      <c r="CG1092" s="137"/>
      <c r="CH1092" s="129">
        <f t="shared" si="1954"/>
        <v>40774</v>
      </c>
      <c r="CI1092" s="46">
        <f t="shared" si="1955"/>
        <v>40561.23095810142</v>
      </c>
      <c r="CJ1092" s="231">
        <f t="shared" si="1945"/>
        <v>60.636955186162773</v>
      </c>
      <c r="CK1092" s="443">
        <v>0.84090909090909094</v>
      </c>
      <c r="CL1092" s="231">
        <f>+CL1078*CK1092+CJ1079*CK1091+CJ1080*CK1090+CJ1081*CK1089+CJ1082*CK1088+CJ1083*CK1087+CJ1084*CK1086+CJ1085*CK1085+CJ1086*CK1084+CJ1087*CK1083+CJ1088*CK1082+CJ1089*CK1081+CJ1090*CK1080+CJ1091*CK1079+CJ1092</f>
        <v>1733.8635913258909</v>
      </c>
      <c r="CM1092" s="134">
        <f t="shared" si="1946"/>
        <v>2.1352005750121986E-2</v>
      </c>
      <c r="CN1092" s="135">
        <f t="shared" si="1947"/>
        <v>1.4145324052153845E-2</v>
      </c>
      <c r="CO1092" s="135">
        <f t="shared" si="1958"/>
        <v>1.3746415274674247E-2</v>
      </c>
      <c r="CP1092" s="134">
        <f>VLOOKUP($H1092,RoR!$E:$F,2,FALSE)</f>
        <v>3.6733333333333333E-2</v>
      </c>
      <c r="CQ1092" s="135">
        <v>1.924331376386168E-2</v>
      </c>
      <c r="CR1092" s="135">
        <f t="shared" si="1956"/>
        <v>1.7490019569471653E-2</v>
      </c>
      <c r="CS1092" s="135">
        <f t="shared" si="1959"/>
        <v>1.7155526333859378E-2</v>
      </c>
      <c r="CT1092" s="135">
        <f t="shared" si="1960"/>
        <v>6.7122682943869583E-2</v>
      </c>
      <c r="CU1092" s="139">
        <f t="shared" si="1948"/>
        <v>0.85126000000000002</v>
      </c>
      <c r="CV1092" s="335">
        <f t="shared" si="1949"/>
        <v>1.3960631020522127</v>
      </c>
      <c r="CW1092" s="335">
        <f t="shared" si="1950"/>
        <v>0.29441923774954631</v>
      </c>
      <c r="CX1092" s="335">
        <f t="shared" si="1951"/>
        <v>0.76377954189366437</v>
      </c>
      <c r="CY1092" s="335">
        <f t="shared" si="1952"/>
        <v>0.31393465103033691</v>
      </c>
      <c r="CZ1092" s="336">
        <f>INDEX('State Tax Lookup'!$D$7:$Z$91,MATCH(Calculation!$C1092,'State Tax Lookup'!$B$7:$B$91,0),MATCH($H1092,'State Tax Lookup'!$D$6:$Z$6,0))</f>
        <v>0.40200000000000002</v>
      </c>
      <c r="DA1092" s="302">
        <v>0.37</v>
      </c>
      <c r="DB1092" s="57">
        <f t="shared" si="1957"/>
        <v>16.240190751213543</v>
      </c>
      <c r="DC1092" s="56">
        <f t="shared" si="1961"/>
        <v>6.3402663480549223E-2</v>
      </c>
      <c r="DD1092" s="303">
        <f>VLOOKUP($H1092,RoR!$E:$F,2,FALSE)</f>
        <v>3.6733333333333333E-2</v>
      </c>
      <c r="DE1092" s="304">
        <f>HLOOKUP($H1092,'GDP-PI'!$D$8:$CQ$11,3,FALSE)</f>
        <v>1.924331376386168E-2</v>
      </c>
      <c r="DF1092" s="303">
        <f>VLOOKUP(H1092,'HW Dx Data'!$E:$F,2,FALSE)</f>
        <v>668.91932211262167</v>
      </c>
      <c r="DG1092" s="364">
        <f ca="1">VLOOKUP(CC1092,'ECI - Input Price'!M$13:N$33,2,FALSE)</f>
        <v>124.80000000000001</v>
      </c>
      <c r="DH1092" s="364"/>
      <c r="DI1092" s="364"/>
      <c r="DJ1092" s="56">
        <f t="shared" ca="1" si="1969"/>
        <v>3.1955502161869064E-2</v>
      </c>
      <c r="DK1092" s="53">
        <f>HLOOKUP(H1092,'GDP-PI'!$8:$9,2,FALSE)</f>
        <v>100</v>
      </c>
      <c r="DL1092" s="355">
        <f t="shared" si="1962"/>
        <v>1.9060502738742411E-2</v>
      </c>
    </row>
    <row r="1093" spans="1:116" s="126" customFormat="1" ht="21" customHeight="1" x14ac:dyDescent="0.4">
      <c r="A1093" s="233" t="s">
        <v>246</v>
      </c>
      <c r="B1093" s="126" t="s">
        <v>247</v>
      </c>
      <c r="C1093" s="126">
        <v>4063060</v>
      </c>
      <c r="D1093" s="127" t="s">
        <v>203</v>
      </c>
      <c r="E1093" s="127" t="s">
        <v>15</v>
      </c>
      <c r="F1093" s="144"/>
      <c r="G1093" s="126" t="s">
        <v>169</v>
      </c>
      <c r="H1093" s="128">
        <v>2013</v>
      </c>
      <c r="I1093" s="129"/>
      <c r="J1093" s="125">
        <f>IFERROR(INDEX('Labor Expenditures'!$E$7:$W$91,MATCH($C1093,'Labor Expenditures'!$C$7:$C$91,0),MATCH($G1093,'Labor Expenditures'!$E$5:$W$5,0)),"NA")</f>
        <v>22354.797738245295</v>
      </c>
      <c r="K1093" s="125">
        <f t="shared" ca="1" si="1963"/>
        <v>176.29966670540455</v>
      </c>
      <c r="L1093" s="47"/>
      <c r="M1093" s="131">
        <f t="shared" ca="1" si="1970"/>
        <v>-1.7579035143612805E-2</v>
      </c>
      <c r="N1093" s="131"/>
      <c r="O1093" s="131"/>
      <c r="P1093" s="59">
        <f t="shared" ca="1" si="1972"/>
        <v>-1.4822844800287067E-4</v>
      </c>
      <c r="Q1093" s="61"/>
      <c r="R1093" s="387"/>
      <c r="S1093" s="49">
        <f t="shared" ca="1" si="1978"/>
        <v>107.69445887397579</v>
      </c>
      <c r="T1093" s="61">
        <f ca="1">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</f>
        <v>-9.05836621667548E-2</v>
      </c>
      <c r="U1093" s="61"/>
      <c r="V1093" s="125">
        <f>IFERROR(INDEX('Non-Labor Expenditures'!$E$7:$AA$91,MATCH($C1093,'Non-Labor Expenditures'!$C$7:$C$91,0),MATCH($G1093,'Non-Labor Expenditures'!$E$5:$AA$5,0)),"NA")</f>
        <v>32373.922425257879</v>
      </c>
      <c r="W1093" s="125">
        <f t="shared" si="1964"/>
        <v>318.09932325133269</v>
      </c>
      <c r="X1093" s="131">
        <f t="shared" si="1973"/>
        <v>-1.9255106092324979E-2</v>
      </c>
      <c r="Y1093" s="131">
        <f t="shared" si="1974"/>
        <v>-1.6236127118916333E-4</v>
      </c>
      <c r="Z1093" s="131"/>
      <c r="AA1093" s="131"/>
      <c r="AB1093" s="131"/>
      <c r="AC1093" s="125">
        <f t="shared" si="1944"/>
        <v>27320.638616668912</v>
      </c>
      <c r="AD1093" s="129"/>
      <c r="AE1093" s="133">
        <v>1915.3350739310081</v>
      </c>
      <c r="AF1093" s="134">
        <v>3.0829818514371197E-2</v>
      </c>
      <c r="AG1093" s="59">
        <f t="shared" si="1965"/>
        <v>2.5996057879523776E-4</v>
      </c>
      <c r="AH1093" s="134"/>
      <c r="AI1093" s="134"/>
      <c r="AJ1093" s="129">
        <f t="shared" si="1902"/>
        <v>82049.358780172086</v>
      </c>
      <c r="AK1093" s="134">
        <f t="shared" si="1975"/>
        <v>-4.072419125423314E-3</v>
      </c>
      <c r="AL1093" s="129"/>
      <c r="AM1093" s="129"/>
      <c r="AN1093" s="129"/>
      <c r="AO1093" s="129"/>
      <c r="AP1093" s="133">
        <f t="shared" si="1976"/>
        <v>444.77947211594216</v>
      </c>
      <c r="AQ1093" s="134">
        <f>+BB1093/Outputs!$B$21</f>
        <v>5.132423835511369E-3</v>
      </c>
      <c r="AR1093" s="93">
        <f t="shared" si="1966"/>
        <v>0.27245548375507256</v>
      </c>
      <c r="AS1093" s="93">
        <f t="shared" si="1967"/>
        <v>0.3945664281422917</v>
      </c>
      <c r="AT1093" s="93">
        <f t="shared" si="1968"/>
        <v>0.33297808810263574</v>
      </c>
      <c r="AU1093" s="93">
        <f t="shared" ca="1" si="1971"/>
        <v>-2.0819070207704314E-3</v>
      </c>
      <c r="AV1093" s="132">
        <f t="shared" ca="1" si="1982"/>
        <v>112.12533010974919</v>
      </c>
      <c r="AW1093" s="134">
        <f t="shared" ca="1" si="1983"/>
        <v>-2.0819070207704353E-3</v>
      </c>
      <c r="AX1093" s="56">
        <f>+AJ1093/$AL$18</f>
        <v>8.4321151184869342E-3</v>
      </c>
      <c r="AY1093" s="135">
        <f t="shared" ca="1" si="1979"/>
        <v>-1.7554879665122481E-5</v>
      </c>
      <c r="AZ1093" s="93"/>
      <c r="BA1093" s="132"/>
      <c r="BB1093" s="234">
        <f>IFERROR(INDEX('Total Customers'!$E$7:$AA$91,MATCH($C1093,'Total Customers'!$C$7:$C$91,0),MATCH($G1093,'Total Customers'!$E$5:$AA$5,0)),"NA")</f>
        <v>184472</v>
      </c>
      <c r="BC1093" s="269">
        <f t="shared" si="1988"/>
        <v>2.0609687779333433E-2</v>
      </c>
      <c r="BD1093" s="92"/>
      <c r="BE1093" s="299" t="str">
        <f t="shared" si="1984"/>
        <v>SOUTHERN CONNECTICUT GAS COMPANY</v>
      </c>
      <c r="BF1093" s="300">
        <f t="shared" si="1985"/>
        <v>4063060</v>
      </c>
      <c r="BG1093" s="231" t="str">
        <f t="shared" si="1986"/>
        <v>CT</v>
      </c>
      <c r="BH1093" s="231"/>
      <c r="BI1093" s="231" t="str">
        <f t="shared" si="1987"/>
        <v>2013 Y</v>
      </c>
      <c r="BJ1093" s="129"/>
      <c r="BK1093" s="129"/>
      <c r="BL1093" s="129">
        <f>INDEX('Dist. Plant Gas Additions'!$E$7:$AD$91,MATCH($C1093,'Dist. Plant Gas Additions'!$C$7:$C$91,0),MATCH(Calculation!$G1093,'Dist. Plant Gas Additions'!$E$5:$AD$5,0))</f>
        <v>46418</v>
      </c>
      <c r="BM1093" s="129">
        <f>INDEX('Gen. Plant Additions'!$E$7:$AD$91,MATCH($C1093,'Gen. Plant Additions'!$C$7:$C$91,0),MATCH(Calculation!$G1093,'Gen. Plant Additions'!$E$5:$AD$5,0))</f>
        <v>1823</v>
      </c>
      <c r="BN1093" s="301">
        <f t="shared" si="1953"/>
        <v>0.9535681098127593</v>
      </c>
      <c r="BO1093" s="231">
        <f t="shared" si="1980"/>
        <v>1738.3546641886603</v>
      </c>
      <c r="BP1093" s="231">
        <f t="shared" si="1981"/>
        <v>-84.645335811339692</v>
      </c>
      <c r="BQ1093" s="129">
        <f>INDEX('Dist Plant Depreciation'!$D$7:$AC$94,MATCH($C1093,'Dist Plant Depreciation'!$C$7:$C$94,0),MATCH(Calculation!$G1093,'Dist Plant Depreciation'!$D$5:$AC$5,0))</f>
        <v>259052</v>
      </c>
      <c r="BR1093" s="129">
        <f>INDEX('Gen. Plant Depreciation'!$D$7:$AC$94,MATCH($C1093,'Gen. Plant Depreciation'!$C$7:$C$94,0),MATCH(Calculation!$G1093,'Gen. Plant Depreciation'!$D$5:$AC$5,0))</f>
        <v>6199</v>
      </c>
      <c r="BS1093" s="129"/>
      <c r="BT1093" s="129"/>
      <c r="BU1093" s="129"/>
      <c r="BV1093" s="129"/>
      <c r="BW1093" s="129"/>
      <c r="BX1093" s="137"/>
      <c r="BY1093" s="129">
        <f>INDEX('Gross Dx Plant'!$D$7:$AC$91,MATCH($C1093,'Gross Dx Plant'!$C$7:$C$91,0),MATCH(Calculation!$G1093,'Gross Dx Plant'!$D$5:$AC$5,0))</f>
        <v>651616</v>
      </c>
      <c r="BZ1093" s="129">
        <f>INDEX('Gross Gen Plant'!$D$7:$AC$91,MATCH($C1093,'Gross Gen Plant'!$C$7:$C$91,0),MATCH(Calculation!$G1093,'Gross Gen Plant'!$D$5:$AC$5,0))</f>
        <v>31729</v>
      </c>
      <c r="CA1093" s="129">
        <f t="shared" si="1977"/>
        <v>418094</v>
      </c>
      <c r="CB1093" s="129"/>
      <c r="CC1093" s="133">
        <v>2013</v>
      </c>
      <c r="CD1093" s="129"/>
      <c r="CE1093" s="129"/>
      <c r="CF1093" s="129"/>
      <c r="CG1093" s="137"/>
      <c r="CH1093" s="129">
        <f t="shared" si="1954"/>
        <v>48241</v>
      </c>
      <c r="CI1093" s="46">
        <f t="shared" si="1955"/>
        <v>48156.354664188657</v>
      </c>
      <c r="CJ1093" s="231">
        <f t="shared" si="1945"/>
        <v>72.606815584789828</v>
      </c>
      <c r="CK1093" s="443">
        <v>0.82758620689655171</v>
      </c>
      <c r="CL1093" s="231">
        <f>+CL1078*CK1093+CJ1079*CK1092+CJ1080*CK1091+CJ1081*CK1090+CJ1082*CK1089+CJ1083*CK1088+CJ1084*CK1087+CJ1085*CK1086+CJ1086*CK1085+CJ1087*CK1084+CJ1088*CK1083+CJ1089*CK1082+CJ1090*CK1081+CJ1091*CK1080+CJ1092*CK1079+CJ1093</f>
        <v>1781.3214726422318</v>
      </c>
      <c r="CM1093" s="134">
        <f t="shared" si="1946"/>
        <v>2.7003281013459123E-2</v>
      </c>
      <c r="CN1093" s="135">
        <f t="shared" si="1947"/>
        <v>1.450456333143106E-2</v>
      </c>
      <c r="CO1093" s="135">
        <f t="shared" si="1958"/>
        <v>1.4132143069960983E-2</v>
      </c>
      <c r="CP1093" s="134">
        <f>VLOOKUP($H1093,RoR!$E:$F,2,FALSE)</f>
        <v>4.2350000000000006E-2</v>
      </c>
      <c r="CQ1093" s="135">
        <v>1.7730000000000024E-2</v>
      </c>
      <c r="CR1093" s="135">
        <f t="shared" si="1956"/>
        <v>2.4619999999999982E-2</v>
      </c>
      <c r="CS1093" s="135">
        <f t="shared" si="1959"/>
        <v>1.676979853857264E-2</v>
      </c>
      <c r="CT1093" s="135">
        <f t="shared" si="1960"/>
        <v>5.3376742735721204E-2</v>
      </c>
      <c r="CU1093" s="139">
        <f t="shared" si="1948"/>
        <v>0.85126000000000002</v>
      </c>
      <c r="CV1093" s="335">
        <f t="shared" si="1949"/>
        <v>1.2109103018193925</v>
      </c>
      <c r="CW1093" s="335">
        <f t="shared" si="1950"/>
        <v>0.38468122786304604</v>
      </c>
      <c r="CX1093" s="335">
        <f t="shared" si="1951"/>
        <v>0.80969194503422559</v>
      </c>
      <c r="CY1093" s="335">
        <f t="shared" si="1952"/>
        <v>0.37716621754800816</v>
      </c>
      <c r="CZ1093" s="336">
        <f>INDEX('State Tax Lookup'!$D$7:$Z$91,MATCH(Calculation!$C1093,'State Tax Lookup'!$B$7:$B$91,0),MATCH($H1093,'State Tax Lookup'!$D$6:$Z$6,0))</f>
        <v>0.40200000000000002</v>
      </c>
      <c r="DA1093" s="302">
        <v>0.37</v>
      </c>
      <c r="DB1093" s="57">
        <f t="shared" si="1957"/>
        <v>15.757086516694622</v>
      </c>
      <c r="DC1093" s="56">
        <f t="shared" si="1961"/>
        <v>-3.0198878780932518E-2</v>
      </c>
      <c r="DD1093" s="303">
        <f>VLOOKUP($H1093,RoR!$E:$F,2,FALSE)</f>
        <v>4.2350000000000006E-2</v>
      </c>
      <c r="DE1093" s="304">
        <f>HLOOKUP($H1093,'GDP-PI'!$D$8:$CQ$11,3,FALSE)</f>
        <v>1.7730000000000024E-2</v>
      </c>
      <c r="DF1093" s="303">
        <f>VLOOKUP(H1093,'HW Dx Data'!$E:$F,2,FALSE)</f>
        <v>663.24840548821396</v>
      </c>
      <c r="DG1093" s="364">
        <f ca="1">VLOOKUP(CC1093,'ECI - Input Price'!M$13:N$33,2,FALSE)</f>
        <v>126.8</v>
      </c>
      <c r="DH1093" s="364"/>
      <c r="DI1093" s="364"/>
      <c r="DJ1093" s="56">
        <f t="shared" ca="1" si="1969"/>
        <v>1.5898586067798204E-2</v>
      </c>
      <c r="DK1093" s="53">
        <f>HLOOKUP(H1093,'GDP-PI'!$8:$9,2,FALSE)</f>
        <v>101.773</v>
      </c>
      <c r="DL1093" s="355">
        <f t="shared" si="1962"/>
        <v>1.7574657016510519E-2</v>
      </c>
    </row>
    <row r="1094" spans="1:116" s="126" customFormat="1" ht="21" customHeight="1" x14ac:dyDescent="0.4">
      <c r="A1094" s="233" t="s">
        <v>246</v>
      </c>
      <c r="B1094" s="126" t="s">
        <v>247</v>
      </c>
      <c r="C1094" s="126">
        <v>4063060</v>
      </c>
      <c r="D1094" s="127" t="s">
        <v>203</v>
      </c>
      <c r="E1094" s="127" t="s">
        <v>15</v>
      </c>
      <c r="F1094" s="144"/>
      <c r="G1094" s="126" t="s">
        <v>170</v>
      </c>
      <c r="H1094" s="128">
        <v>2014</v>
      </c>
      <c r="I1094" s="129"/>
      <c r="J1094" s="125">
        <f>IFERROR(INDEX('Labor Expenditures'!$E$7:$W$91,MATCH($C1094,'Labor Expenditures'!$C$7:$C$91,0),MATCH($G1094,'Labor Expenditures'!$E$5:$W$5,0)),"NA")</f>
        <v>24481.773885588635</v>
      </c>
      <c r="K1094" s="125">
        <f t="shared" ca="1" si="1963"/>
        <v>189.19454316529084</v>
      </c>
      <c r="L1094" s="47"/>
      <c r="M1094" s="131">
        <f t="shared" ca="1" si="1970"/>
        <v>7.0590615675582988E-2</v>
      </c>
      <c r="N1094" s="131"/>
      <c r="O1094" s="131"/>
      <c r="P1094" s="59">
        <f t="shared" ca="1" si="1972"/>
        <v>6.2909036908595007E-4</v>
      </c>
      <c r="Q1094" s="61"/>
      <c r="R1094" s="387"/>
      <c r="S1094" s="49">
        <f t="shared" ca="1" si="1978"/>
        <v>122.63105629132237</v>
      </c>
      <c r="T1094" s="61">
        <f ca="1">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</f>
        <v>0.1298821721814741</v>
      </c>
      <c r="U1094" s="61"/>
      <c r="V1094" s="125">
        <f>IFERROR(INDEX('Non-Labor Expenditures'!$E$7:$AA$91,MATCH($C1094,'Non-Labor Expenditures'!$C$7:$C$91,0),MATCH($G1094,'Non-Labor Expenditures'!$E$5:$AA$5,0)),"NA")</f>
        <v>35454.181150956916</v>
      </c>
      <c r="W1094" s="125">
        <f t="shared" si="1964"/>
        <v>342.06664110834771</v>
      </c>
      <c r="X1094" s="131">
        <f t="shared" si="1973"/>
        <v>7.2641903841001595E-2</v>
      </c>
      <c r="Y1094" s="131">
        <f t="shared" si="1974"/>
        <v>6.4737106570170709E-4</v>
      </c>
      <c r="Z1094" s="131"/>
      <c r="AA1094" s="131"/>
      <c r="AB1094" s="131"/>
      <c r="AC1094" s="125">
        <f t="shared" si="1944"/>
        <v>28373.134324862938</v>
      </c>
      <c r="AD1094" s="129"/>
      <c r="AE1094" s="133">
        <v>1973.8602167199347</v>
      </c>
      <c r="AF1094" s="134">
        <v>3.0098545646692735E-2</v>
      </c>
      <c r="AG1094" s="59">
        <f t="shared" si="1965"/>
        <v>2.682326114967954E-4</v>
      </c>
      <c r="AH1094" s="134"/>
      <c r="AI1094" s="134"/>
      <c r="AJ1094" s="129">
        <f t="shared" si="1902"/>
        <v>88309.089361408493</v>
      </c>
      <c r="AK1094" s="134">
        <f t="shared" si="1975"/>
        <v>7.3522037070730184E-2</v>
      </c>
      <c r="AL1094" s="129"/>
      <c r="AM1094" s="129"/>
      <c r="AN1094" s="129"/>
      <c r="AO1094" s="129"/>
      <c r="AP1094" s="133">
        <f t="shared" si="1976"/>
        <v>471.34883355257153</v>
      </c>
      <c r="AQ1094" s="134">
        <f>+BB1094/Outputs!$B$22</f>
        <v>5.1847528626226182E-3</v>
      </c>
      <c r="AR1094" s="93">
        <f t="shared" si="1966"/>
        <v>0.27722824527604395</v>
      </c>
      <c r="AS1094" s="93">
        <f t="shared" si="1967"/>
        <v>0.40147827825354709</v>
      </c>
      <c r="AT1094" s="93">
        <f t="shared" si="1968"/>
        <v>0.3212934764704089</v>
      </c>
      <c r="AU1094" s="93">
        <f t="shared" ca="1" si="1971"/>
        <v>5.8160669212968287E-2</v>
      </c>
      <c r="AV1094" s="132">
        <f t="shared" ca="1" si="1982"/>
        <v>118.83998610948383</v>
      </c>
      <c r="AW1094" s="134">
        <f t="shared" ca="1" si="1983"/>
        <v>5.8160669212968204E-2</v>
      </c>
      <c r="AX1094" s="56">
        <f>+AJ1094/$AL$19</f>
        <v>8.9118130372611258E-3</v>
      </c>
      <c r="AY1094" s="135">
        <f t="shared" ca="1" si="1979"/>
        <v>5.1831701014796181E-4</v>
      </c>
      <c r="AZ1094" s="93"/>
      <c r="BA1094" s="93"/>
      <c r="BB1094" s="234">
        <f>IFERROR(INDEX('Total Customers'!$E$7:$AA$91,MATCH($C1094,'Total Customers'!$C$7:$C$91,0),MATCH($G1094,'Total Customers'!$E$5:$AA$5,0)),"NA")</f>
        <v>187354</v>
      </c>
      <c r="BC1094" s="269">
        <f t="shared" si="1988"/>
        <v>1.5502184979421461E-2</v>
      </c>
      <c r="BD1094" s="92"/>
      <c r="BE1094" s="299" t="str">
        <f t="shared" si="1984"/>
        <v>SOUTHERN CONNECTICUT GAS COMPANY</v>
      </c>
      <c r="BF1094" s="300">
        <f t="shared" si="1985"/>
        <v>4063060</v>
      </c>
      <c r="BG1094" s="231" t="str">
        <f t="shared" si="1986"/>
        <v>CT</v>
      </c>
      <c r="BH1094" s="231"/>
      <c r="BI1094" s="231" t="str">
        <f t="shared" si="1987"/>
        <v>2014 Y</v>
      </c>
      <c r="BJ1094" s="129"/>
      <c r="BK1094" s="129"/>
      <c r="BL1094" s="129">
        <f>INDEX('Dist. Plant Gas Additions'!$E$7:$AD$91,MATCH($C1094,'Dist. Plant Gas Additions'!$C$7:$C$91,0),MATCH(Calculation!$G1094,'Dist. Plant Gas Additions'!$E$5:$AD$5,0))</f>
        <v>48986</v>
      </c>
      <c r="BM1094" s="129">
        <f>INDEX('Gen. Plant Additions'!$E$7:$AD$91,MATCH($C1094,'Gen. Plant Additions'!$C$7:$C$91,0),MATCH(Calculation!$G1094,'Gen. Plant Additions'!$E$5:$AD$5,0))</f>
        <v>1675</v>
      </c>
      <c r="BN1094" s="301">
        <f t="shared" si="1953"/>
        <v>0.95645805957074026</v>
      </c>
      <c r="BO1094" s="231">
        <f t="shared" si="1980"/>
        <v>1602.0672497809899</v>
      </c>
      <c r="BP1094" s="231">
        <f t="shared" si="1981"/>
        <v>-72.932750219010131</v>
      </c>
      <c r="BQ1094" s="129">
        <f>INDEX('Dist Plant Depreciation'!$D$7:$AC$94,MATCH($C1094,'Dist Plant Depreciation'!$C$7:$C$94,0),MATCH(Calculation!$G1094,'Dist Plant Depreciation'!$D$5:$AC$5,0))</f>
        <v>275715</v>
      </c>
      <c r="BR1094" s="129">
        <f>INDEX('Gen. Plant Depreciation'!$D$7:$AC$94,MATCH($C1094,'Gen. Plant Depreciation'!$C$7:$C$94,0),MATCH(Calculation!$G1094,'Gen. Plant Depreciation'!$D$5:$AC$5,0))</f>
        <v>5812</v>
      </c>
      <c r="BS1094" s="129"/>
      <c r="BT1094" s="129"/>
      <c r="BU1094" s="129"/>
      <c r="BV1094" s="129"/>
      <c r="BW1094" s="129"/>
      <c r="BX1094" s="137"/>
      <c r="BY1094" s="129">
        <f>INDEX('Gross Dx Plant'!$D$7:$AC$91,MATCH($C1094,'Gross Dx Plant'!$C$7:$C$91,0),MATCH(Calculation!$G1094,'Gross Dx Plant'!$D$5:$AC$5,0))</f>
        <v>698750</v>
      </c>
      <c r="BZ1094" s="129">
        <f>INDEX('Gross Gen Plant'!$D$7:$AC$91,MATCH($C1094,'Gross Gen Plant'!$C$7:$C$91,0),MATCH(Calculation!$G1094,'Gross Gen Plant'!$D$5:$AC$5,0))</f>
        <v>31810</v>
      </c>
      <c r="CA1094" s="129">
        <f t="shared" si="1977"/>
        <v>449033</v>
      </c>
      <c r="CB1094" s="129"/>
      <c r="CC1094" s="133">
        <v>2014</v>
      </c>
      <c r="CD1094" s="129"/>
      <c r="CE1094" s="129"/>
      <c r="CF1094" s="129"/>
      <c r="CG1094" s="137"/>
      <c r="CH1094" s="129">
        <f t="shared" si="1954"/>
        <v>50661</v>
      </c>
      <c r="CI1094" s="46">
        <f t="shared" si="1955"/>
        <v>50588.067249780986</v>
      </c>
      <c r="CJ1094" s="231">
        <f t="shared" si="1945"/>
        <v>73.908470203799325</v>
      </c>
      <c r="CK1094" s="443">
        <v>0.81395348837209303</v>
      </c>
      <c r="CL1094" s="231">
        <f>+CL1078*CK1094+CJ1079*CK1093+CJ1080*CK1092+CJ1081*CK1091+CJ1082*CK1090+CJ1083*CK1089+CJ1084*CK1088+CJ1085*CK1087+CJ1086*CK1086+CJ1087*CK1085+CJ1088*CK1084+CJ1089*CK1083+CJ1090*CK1082+CJ1091*CK1081+CJ1092*CK1080+CJ1093*CK1079+CJ1094</f>
        <v>1828.7909904089156</v>
      </c>
      <c r="CM1094" s="134">
        <f t="shared" si="1946"/>
        <v>2.6299598319994816E-2</v>
      </c>
      <c r="CN1094" s="135">
        <f t="shared" si="1947"/>
        <v>1.4842325118272262E-2</v>
      </c>
      <c r="CO1094" s="135">
        <f t="shared" si="1958"/>
        <v>1.4497404167285724E-2</v>
      </c>
      <c r="CP1094" s="134">
        <f>VLOOKUP($H1094,RoR!$E:$F,2,FALSE)</f>
        <v>4.1625000000000002E-2</v>
      </c>
      <c r="CQ1094" s="135">
        <v>1.841352814597208E-2</v>
      </c>
      <c r="CR1094" s="135">
        <f t="shared" si="1956"/>
        <v>2.3211471854027922E-2</v>
      </c>
      <c r="CS1094" s="135">
        <f t="shared" si="1959"/>
        <v>1.6404537441247903E-2</v>
      </c>
      <c r="CT1094" s="135">
        <f t="shared" si="1960"/>
        <v>3.9072621432650924E-2</v>
      </c>
      <c r="CU1094" s="139">
        <f t="shared" si="1948"/>
        <v>0.85126000000000002</v>
      </c>
      <c r="CV1094" s="335">
        <f t="shared" si="1949"/>
        <v>1.2320012320012319</v>
      </c>
      <c r="CW1094" s="335">
        <f t="shared" si="1950"/>
        <v>0.37439939939939942</v>
      </c>
      <c r="CX1094" s="335">
        <f t="shared" si="1951"/>
        <v>0.80432100613819935</v>
      </c>
      <c r="CY1094" s="335">
        <f t="shared" si="1952"/>
        <v>0.37100152660040037</v>
      </c>
      <c r="CZ1094" s="336">
        <f>INDEX('State Tax Lookup'!$D$7:$Z$91,MATCH(Calculation!$C1094,'State Tax Lookup'!$B$7:$B$91,0),MATCH($H1094,'State Tax Lookup'!$D$6:$Z$6,0))</f>
        <v>0.40200000000000002</v>
      </c>
      <c r="DA1094" s="302">
        <v>0.37</v>
      </c>
      <c r="DB1094" s="57">
        <f t="shared" si="1957"/>
        <v>15.928138048421493</v>
      </c>
      <c r="DC1094" s="56">
        <f t="shared" si="1961"/>
        <v>1.0797032104306714E-2</v>
      </c>
      <c r="DD1094" s="303">
        <f>VLOOKUP($H1094,RoR!$E:$F,2,FALSE)</f>
        <v>4.1625000000000002E-2</v>
      </c>
      <c r="DE1094" s="304">
        <f>HLOOKUP($H1094,'GDP-PI'!$D$8:$CQ$11,3,FALSE)</f>
        <v>1.841352814597208E-2</v>
      </c>
      <c r="DF1094" s="303">
        <f>VLOOKUP(H1094,'HW Dx Data'!$E:$F,2,FALSE)</f>
        <v>684.46914285042885</v>
      </c>
      <c r="DG1094" s="364">
        <f ca="1">VLOOKUP(CC1094,'ECI - Input Price'!M$13:N$33,2,FALSE)</f>
        <v>129.4</v>
      </c>
      <c r="DH1094" s="364"/>
      <c r="DI1094" s="364"/>
      <c r="DJ1094" s="56">
        <f t="shared" ca="1" si="1969"/>
        <v>2.0297340063674733E-2</v>
      </c>
      <c r="DK1094" s="53">
        <f>HLOOKUP(H1094,'GDP-PI'!$8:$9,2,FALSE)</f>
        <v>103.64700000000001</v>
      </c>
      <c r="DL1094" s="355">
        <f t="shared" si="1962"/>
        <v>1.8246051898256087E-2</v>
      </c>
    </row>
    <row r="1095" spans="1:116" s="126" customFormat="1" ht="21" customHeight="1" x14ac:dyDescent="0.4">
      <c r="A1095" s="233" t="s">
        <v>246</v>
      </c>
      <c r="B1095" s="126" t="s">
        <v>247</v>
      </c>
      <c r="C1095" s="126">
        <v>4063060</v>
      </c>
      <c r="D1095" s="127" t="s">
        <v>203</v>
      </c>
      <c r="E1095" s="127" t="s">
        <v>15</v>
      </c>
      <c r="F1095" s="144"/>
      <c r="G1095" s="126" t="s">
        <v>171</v>
      </c>
      <c r="H1095" s="128">
        <v>2015</v>
      </c>
      <c r="I1095" s="129"/>
      <c r="J1095" s="125">
        <f>IFERROR(INDEX('Labor Expenditures'!$E$7:$W$91,MATCH($C1095,'Labor Expenditures'!$C$7:$C$91,0),MATCH($G1095,'Labor Expenditures'!$E$5:$W$5,0)),"NA")</f>
        <v>24327.971143364772</v>
      </c>
      <c r="K1095" s="125">
        <f t="shared" ca="1" si="1963"/>
        <v>182.23199358325672</v>
      </c>
      <c r="L1095" s="47"/>
      <c r="M1095" s="131">
        <f t="shared" ca="1" si="1970"/>
        <v>-3.7495249213669916E-2</v>
      </c>
      <c r="N1095" s="131"/>
      <c r="O1095" s="131"/>
      <c r="P1095" s="59">
        <f t="shared" ca="1" si="1972"/>
        <v>-3.3048024556340367E-4</v>
      </c>
      <c r="Q1095" s="61"/>
      <c r="R1095" s="387"/>
      <c r="S1095" s="49">
        <f t="shared" ca="1" si="1978"/>
        <v>122.65797744945274</v>
      </c>
      <c r="T1095" s="61">
        <f ca="1">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</f>
        <v>2.1950559980531457E-4</v>
      </c>
      <c r="U1095" s="61"/>
      <c r="V1095" s="125">
        <f>IFERROR(INDEX('Non-Labor Expenditures'!$E$7:$AA$91,MATCH($C1095,'Non-Labor Expenditures'!$C$7:$C$91,0),MATCH($G1095,'Non-Labor Expenditures'!$E$5:$AA$5,0)),"NA")</f>
        <v>35231.446053827021</v>
      </c>
      <c r="W1095" s="125">
        <f t="shared" si="1964"/>
        <v>336.69517153094949</v>
      </c>
      <c r="X1095" s="131">
        <f t="shared" si="1973"/>
        <v>-1.582758962560861E-2</v>
      </c>
      <c r="Y1095" s="131">
        <f t="shared" si="1974"/>
        <v>-1.3950315882260938E-4</v>
      </c>
      <c r="Z1095" s="131"/>
      <c r="AA1095" s="131"/>
      <c r="AB1095" s="131"/>
      <c r="AC1095" s="125">
        <f t="shared" si="1944"/>
        <v>28232.246021310671</v>
      </c>
      <c r="AD1095" s="129"/>
      <c r="AE1095" s="133">
        <v>2071.4787529855853</v>
      </c>
      <c r="AF1095" s="134">
        <v>4.8271599351655835E-2</v>
      </c>
      <c r="AG1095" s="59">
        <f t="shared" si="1965"/>
        <v>4.2546216766196145E-4</v>
      </c>
      <c r="AH1095" s="134"/>
      <c r="AI1095" s="134"/>
      <c r="AJ1095" s="129">
        <f t="shared" si="1902"/>
        <v>87791.663218502465</v>
      </c>
      <c r="AK1095" s="134">
        <f t="shared" si="1975"/>
        <v>-5.8764954079569224E-3</v>
      </c>
      <c r="AL1095" s="129"/>
      <c r="AM1095" s="129"/>
      <c r="AN1095" s="129"/>
      <c r="AO1095" s="129"/>
      <c r="AP1095" s="133">
        <f t="shared" si="1976"/>
        <v>462.16841383532221</v>
      </c>
      <c r="AQ1095" s="134">
        <f>+BB1095/Outputs!$B$23</f>
        <v>5.2140151814590151E-3</v>
      </c>
      <c r="AR1095" s="93">
        <f t="shared" si="1966"/>
        <v>0.27711026595789051</v>
      </c>
      <c r="AS1095" s="93">
        <f t="shared" si="1967"/>
        <v>0.40130742216536391</v>
      </c>
      <c r="AT1095" s="93">
        <f t="shared" si="1968"/>
        <v>0.32158231187674557</v>
      </c>
      <c r="AU1095" s="93">
        <f t="shared" ca="1" si="1971"/>
        <v>-1.2292903815073475E-3</v>
      </c>
      <c r="AV1095" s="132">
        <f t="shared" ca="1" si="1982"/>
        <v>118.69398701364869</v>
      </c>
      <c r="AW1095" s="134">
        <f t="shared" ca="1" si="1983"/>
        <v>-1.2292903815072458E-3</v>
      </c>
      <c r="AX1095" s="56">
        <f>+AJ1095/$AL$20</f>
        <v>8.8139231634422124E-3</v>
      </c>
      <c r="AY1095" s="135">
        <f t="shared" ca="1" si="1979"/>
        <v>-1.0834870968163427E-5</v>
      </c>
      <c r="AZ1095" s="93"/>
      <c r="BA1095" s="93"/>
      <c r="BB1095" s="234">
        <f>IFERROR(INDEX('Total Customers'!$E$7:$AA$91,MATCH($C1095,'Total Customers'!$C$7:$C$91,0),MATCH($G1095,'Total Customers'!$E$5:$AA$5,0)),"NA")</f>
        <v>189956</v>
      </c>
      <c r="BC1095" s="269">
        <f t="shared" si="1988"/>
        <v>1.3792590969128962E-2</v>
      </c>
      <c r="BD1095" s="92"/>
      <c r="BE1095" s="299" t="str">
        <f t="shared" si="1984"/>
        <v>SOUTHERN CONNECTICUT GAS COMPANY</v>
      </c>
      <c r="BF1095" s="300">
        <f t="shared" si="1985"/>
        <v>4063060</v>
      </c>
      <c r="BG1095" s="231" t="str">
        <f t="shared" si="1986"/>
        <v>CT</v>
      </c>
      <c r="BH1095" s="231"/>
      <c r="BI1095" s="231" t="str">
        <f t="shared" si="1987"/>
        <v>2015 Y</v>
      </c>
      <c r="BJ1095" s="129"/>
      <c r="BK1095" s="129"/>
      <c r="BL1095" s="129">
        <f>INDEX('Dist. Plant Gas Additions'!$E$7:$AD$91,MATCH($C1095,'Dist. Plant Gas Additions'!$C$7:$C$91,0),MATCH(Calculation!$G1095,'Dist. Plant Gas Additions'!$E$5:$AD$5,0))</f>
        <v>60039</v>
      </c>
      <c r="BM1095" s="129">
        <f>INDEX('Gen. Plant Additions'!$E$7:$AD$91,MATCH($C1095,'Gen. Plant Additions'!$C$7:$C$91,0),MATCH(Calculation!$G1095,'Gen. Plant Additions'!$E$5:$AD$5,0))</f>
        <v>17022</v>
      </c>
      <c r="BN1095" s="301">
        <f t="shared" si="1953"/>
        <v>0.94000835885695755</v>
      </c>
      <c r="BO1095" s="231">
        <f t="shared" si="1980"/>
        <v>16000.822284463131</v>
      </c>
      <c r="BP1095" s="231">
        <f t="shared" si="1981"/>
        <v>-1021.1777155368691</v>
      </c>
      <c r="BQ1095" s="129">
        <f>INDEX('Dist Plant Depreciation'!$D$7:$AC$94,MATCH($C1095,'Dist Plant Depreciation'!$C$7:$C$94,0),MATCH(Calculation!$G1095,'Dist Plant Depreciation'!$D$5:$AC$5,0))</f>
        <v>289605</v>
      </c>
      <c r="BR1095" s="129">
        <f>INDEX('Gen. Plant Depreciation'!$D$7:$AC$94,MATCH($C1095,'Gen. Plant Depreciation'!$C$7:$C$94,0),MATCH(Calculation!$G1095,'Gen. Plant Depreciation'!$D$5:$AC$5,0))</f>
        <v>6649</v>
      </c>
      <c r="BS1095" s="129"/>
      <c r="BT1095" s="129"/>
      <c r="BU1095" s="129"/>
      <c r="BV1095" s="129"/>
      <c r="BW1095" s="129"/>
      <c r="BX1095" s="137"/>
      <c r="BY1095" s="129">
        <f>INDEX('Gross Dx Plant'!$D$7:$AC$91,MATCH($C1095,'Gross Dx Plant'!$C$7:$C$91,0),MATCH(Calculation!$G1095,'Gross Dx Plant'!$D$5:$AC$5,0))</f>
        <v>753459</v>
      </c>
      <c r="BZ1095" s="129">
        <f>INDEX('Gross Gen Plant'!$D$7:$AC$91,MATCH($C1095,'Gross Gen Plant'!$C$7:$C$91,0),MATCH(Calculation!$G1095,'Gross Gen Plant'!$D$5:$AC$5,0))</f>
        <v>48086</v>
      </c>
      <c r="CA1095" s="129">
        <f t="shared" si="1977"/>
        <v>505291</v>
      </c>
      <c r="CB1095" s="129"/>
      <c r="CC1095" s="133">
        <v>2015</v>
      </c>
      <c r="CD1095" s="129"/>
      <c r="CE1095" s="129"/>
      <c r="CF1095" s="129"/>
      <c r="CG1095" s="137"/>
      <c r="CH1095" s="129">
        <f t="shared" si="1954"/>
        <v>77061</v>
      </c>
      <c r="CI1095" s="46">
        <f t="shared" si="1955"/>
        <v>76039.822284463124</v>
      </c>
      <c r="CJ1095" s="231">
        <f t="shared" si="1945"/>
        <v>112.54910500837222</v>
      </c>
      <c r="CK1095" s="443">
        <v>0.8</v>
      </c>
      <c r="CL1095" s="231">
        <f>+CL1078*CK1095+CJ1079*CK1094+CJ1080*CK1093+CJ1081*CK1092+CJ1082*CK1091+CJ1083*CK1090+CJ1084*CK1089+CJ1085*CK1088+CJ1086*CK1087+CJ1087*CK1086+CJ1088*CK1085+CJ1089*CK1084+CJ1090*CK1083+CJ1091*CK1082+CJ1092*CK1081+CJ1093*CK1080+CJ1094*CK1079+CJ1095</f>
        <v>1913.5641450081539</v>
      </c>
      <c r="CM1095" s="134">
        <f t="shared" si="1946"/>
        <v>4.5312460125316652E-2</v>
      </c>
      <c r="CN1095" s="135">
        <f t="shared" si="1947"/>
        <v>1.5188149195181268E-2</v>
      </c>
      <c r="CO1095" s="135">
        <f t="shared" si="1958"/>
        <v>1.4845012548294864E-2</v>
      </c>
      <c r="CP1095" s="134">
        <f>VLOOKUP($H1095,RoR!$E:$F,2,FALSE)</f>
        <v>3.8866666666666674E-2</v>
      </c>
      <c r="CQ1095" s="135">
        <v>9.5709475431029478E-3</v>
      </c>
      <c r="CR1095" s="135">
        <f t="shared" si="1956"/>
        <v>2.9295719123563727E-2</v>
      </c>
      <c r="CS1095" s="135">
        <f t="shared" si="1959"/>
        <v>1.6056929060238763E-2</v>
      </c>
      <c r="CT1095" s="135">
        <f t="shared" si="1960"/>
        <v>3.5270373279175926E-3</v>
      </c>
      <c r="CU1095" s="139">
        <f t="shared" si="1948"/>
        <v>0.85126000000000002</v>
      </c>
      <c r="CV1095" s="335">
        <f t="shared" si="1949"/>
        <v>1.3194352816994324</v>
      </c>
      <c r="CW1095" s="335">
        <f t="shared" si="1950"/>
        <v>0.33177530017152673</v>
      </c>
      <c r="CX1095" s="335">
        <f t="shared" si="1951"/>
        <v>0.78242572977668579</v>
      </c>
      <c r="CY1095" s="335">
        <f t="shared" si="1952"/>
        <v>0.34251158643433932</v>
      </c>
      <c r="CZ1095" s="336">
        <f>INDEX('State Tax Lookup'!$D$7:$Z$91,MATCH(Calculation!$C1095,'State Tax Lookup'!$B$7:$B$91,0),MATCH($H1095,'State Tax Lookup'!$D$6:$Z$6,0))</f>
        <v>0.40200000000000002</v>
      </c>
      <c r="DA1095" s="302">
        <v>0.37</v>
      </c>
      <c r="DB1095" s="57">
        <f t="shared" si="1957"/>
        <v>15.437655899101937</v>
      </c>
      <c r="DC1095" s="56">
        <f t="shared" si="1961"/>
        <v>-3.1277520687850703E-2</v>
      </c>
      <c r="DD1095" s="303">
        <f>VLOOKUP($H1095,RoR!$E:$F,2,FALSE)</f>
        <v>3.8866666666666674E-2</v>
      </c>
      <c r="DE1095" s="304">
        <f>HLOOKUP($H1095,'GDP-PI'!$D$8:$CQ$11,3,FALSE)</f>
        <v>9.5709475431029478E-3</v>
      </c>
      <c r="DF1095" s="303">
        <f>VLOOKUP(H1095,'HW Dx Data'!$E:$F,2,FALSE)</f>
        <v>675.61463308665782</v>
      </c>
      <c r="DG1095" s="364">
        <f ca="1">VLOOKUP(CC1095,'ECI - Input Price'!M$13:N$33,2,FALSE)</f>
        <v>133.5</v>
      </c>
      <c r="DH1095" s="364"/>
      <c r="DI1095" s="364"/>
      <c r="DJ1095" s="56">
        <f t="shared" ca="1" si="1969"/>
        <v>3.1193095773504077E-2</v>
      </c>
      <c r="DK1095" s="53">
        <f>HLOOKUP(H1095,'GDP-PI'!$8:$9,2,FALSE)</f>
        <v>104.639</v>
      </c>
      <c r="DL1095" s="355">
        <f t="shared" si="1962"/>
        <v>9.5254361854427965E-3</v>
      </c>
    </row>
    <row r="1096" spans="1:116" s="126" customFormat="1" ht="21" customHeight="1" x14ac:dyDescent="0.4">
      <c r="A1096" s="233" t="s">
        <v>246</v>
      </c>
      <c r="B1096" s="126" t="s">
        <v>247</v>
      </c>
      <c r="C1096" s="126">
        <v>4063060</v>
      </c>
      <c r="D1096" s="127" t="s">
        <v>203</v>
      </c>
      <c r="E1096" s="127" t="s">
        <v>15</v>
      </c>
      <c r="F1096" s="144"/>
      <c r="G1096" s="126" t="s">
        <v>172</v>
      </c>
      <c r="H1096" s="128">
        <v>2016</v>
      </c>
      <c r="I1096" s="129"/>
      <c r="J1096" s="125">
        <f>IFERROR(INDEX('Labor Expenditures'!$E$7:$W$91,MATCH($C1096,'Labor Expenditures'!$C$7:$C$91,0),MATCH($G1096,'Labor Expenditures'!$E$5:$W$5,0)),"NA")</f>
        <v>22670.999405857019</v>
      </c>
      <c r="K1096" s="125">
        <f t="shared" ca="1" si="1963"/>
        <v>165.54216433630538</v>
      </c>
      <c r="L1096" s="47"/>
      <c r="M1096" s="131">
        <f t="shared" ca="1" si="1970"/>
        <v>-9.605463359453402E-2</v>
      </c>
      <c r="N1096" s="131"/>
      <c r="O1096" s="131"/>
      <c r="P1096" s="59">
        <f t="shared" ca="1" si="1972"/>
        <v>-7.874342325741669E-4</v>
      </c>
      <c r="Q1096" s="61"/>
      <c r="R1096" s="387"/>
      <c r="S1096" s="49">
        <f t="shared" ca="1" si="1978"/>
        <v>304.0240191104287</v>
      </c>
      <c r="T1096" s="61">
        <f ca="1">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</f>
        <v>0.90770689753481471</v>
      </c>
      <c r="U1096" s="61"/>
      <c r="V1096" s="125">
        <f>IFERROR(INDEX('Non-Labor Expenditures'!$E$7:$AA$91,MATCH($C1096,'Non-Labor Expenditures'!$C$7:$C$91,0),MATCH($G1096,'Non-Labor Expenditures'!$E$5:$AA$5,0)),"NA")</f>
        <v>32831.841498284688</v>
      </c>
      <c r="W1096" s="125">
        <f t="shared" si="1964"/>
        <v>310.50769367372214</v>
      </c>
      <c r="X1096" s="131">
        <f t="shared" si="1973"/>
        <v>-8.096930609295637E-2</v>
      </c>
      <c r="Y1096" s="131">
        <f t="shared" si="1974"/>
        <v>-6.6376811840754399E-4</v>
      </c>
      <c r="Z1096" s="131"/>
      <c r="AA1096" s="131"/>
      <c r="AB1096" s="131"/>
      <c r="AC1096" s="125">
        <f t="shared" si="1944"/>
        <v>28791.167116445351</v>
      </c>
      <c r="AD1096" s="129"/>
      <c r="AE1096" s="133">
        <v>2137.1413385232622</v>
      </c>
      <c r="AF1096" s="134">
        <v>3.1206387249701477E-2</v>
      </c>
      <c r="AG1096" s="59">
        <f t="shared" si="1965"/>
        <v>2.5582292780490366E-4</v>
      </c>
      <c r="AH1096" s="134"/>
      <c r="AI1096" s="134"/>
      <c r="AJ1096" s="129">
        <f t="shared" si="1902"/>
        <v>84294.008020587062</v>
      </c>
      <c r="AK1096" s="134">
        <f t="shared" si="1975"/>
        <v>-4.0655760931855307E-2</v>
      </c>
      <c r="AL1096" s="129"/>
      <c r="AM1096" s="129"/>
      <c r="AN1096" s="129"/>
      <c r="AO1096" s="129"/>
      <c r="AP1096" s="133">
        <f t="shared" si="1976"/>
        <v>434.91545127923274</v>
      </c>
      <c r="AQ1096" s="134">
        <f>+BB1096/Outputs!$B$24</f>
        <v>5.2740218105483917E-3</v>
      </c>
      <c r="AR1096" s="93">
        <f t="shared" si="1966"/>
        <v>0.26895149415982328</v>
      </c>
      <c r="AS1096" s="93">
        <f t="shared" si="1967"/>
        <v>0.38949199675338952</v>
      </c>
      <c r="AT1096" s="93">
        <f t="shared" si="1968"/>
        <v>0.34155650908678714</v>
      </c>
      <c r="AU1096" s="93">
        <f t="shared" ca="1" si="1971"/>
        <v>-4.7894037824679728E-2</v>
      </c>
      <c r="AV1096" s="132">
        <f t="shared" ca="1" si="1982"/>
        <v>113.1432376140648</v>
      </c>
      <c r="AW1096" s="134">
        <f t="shared" ca="1" si="1983"/>
        <v>-4.7894037824679672E-2</v>
      </c>
      <c r="AX1096" s="56">
        <f>+AJ1096/$AL$21</f>
        <v>8.1977745696067677E-3</v>
      </c>
      <c r="AY1096" s="135">
        <f t="shared" ca="1" si="1979"/>
        <v>-3.9262452531494367E-4</v>
      </c>
      <c r="AZ1096" s="93"/>
      <c r="BA1096" s="93"/>
      <c r="BB1096" s="234">
        <f>IFERROR(INDEX('Total Customers'!$E$7:$AA$91,MATCH($C1096,'Total Customers'!$C$7:$C$91,0),MATCH($G1096,'Total Customers'!$E$5:$AA$5,0)),"NA")</f>
        <v>193817</v>
      </c>
      <c r="BC1096" s="269">
        <f t="shared" si="1988"/>
        <v>2.012194851322608E-2</v>
      </c>
      <c r="BD1096" s="92"/>
      <c r="BE1096" s="299" t="str">
        <f t="shared" si="1984"/>
        <v>SOUTHERN CONNECTICUT GAS COMPANY</v>
      </c>
      <c r="BF1096" s="300">
        <f t="shared" si="1985"/>
        <v>4063060</v>
      </c>
      <c r="BG1096" s="231" t="str">
        <f t="shared" si="1986"/>
        <v>CT</v>
      </c>
      <c r="BH1096" s="231"/>
      <c r="BI1096" s="231" t="str">
        <f t="shared" si="1987"/>
        <v>2016 Y</v>
      </c>
      <c r="BJ1096" s="129"/>
      <c r="BK1096" s="129"/>
      <c r="BL1096" s="129">
        <f>INDEX('Dist. Plant Gas Additions'!$E$7:$AD$91,MATCH($C1096,'Dist. Plant Gas Additions'!$C$7:$C$91,0),MATCH(Calculation!$G1096,'Dist. Plant Gas Additions'!$E$5:$AD$5,0))</f>
        <v>45675</v>
      </c>
      <c r="BM1096" s="129">
        <f>INDEX('Gen. Plant Additions'!$E$7:$AD$91,MATCH($C1096,'Gen. Plant Additions'!$C$7:$C$91,0),MATCH(Calculation!$G1096,'Gen. Plant Additions'!$E$5:$AD$5,0))</f>
        <v>10258</v>
      </c>
      <c r="BN1096" s="301">
        <f t="shared" si="1953"/>
        <v>0.95252306877405613</v>
      </c>
      <c r="BO1096" s="231">
        <f t="shared" si="1980"/>
        <v>9770.9816394842674</v>
      </c>
      <c r="BP1096" s="231">
        <f t="shared" si="1981"/>
        <v>-487.01836051573264</v>
      </c>
      <c r="BQ1096" s="129">
        <f>INDEX('Dist Plant Depreciation'!$D$7:$AC$94,MATCH($C1096,'Dist Plant Depreciation'!$C$7:$C$94,0),MATCH(Calculation!$G1096,'Dist Plant Depreciation'!$D$5:$AC$5,0))</f>
        <v>305546</v>
      </c>
      <c r="BR1096" s="129">
        <f>INDEX('Gen. Plant Depreciation'!$D$7:$AC$94,MATCH($C1096,'Gen. Plant Depreciation'!$C$7:$C$94,0),MATCH(Calculation!$G1096,'Gen. Plant Depreciation'!$D$5:$AC$5,0))</f>
        <v>7264</v>
      </c>
      <c r="BS1096" s="129"/>
      <c r="BT1096" s="129"/>
      <c r="BU1096" s="129"/>
      <c r="BV1096" s="129"/>
      <c r="BW1096" s="129"/>
      <c r="BX1096" s="137"/>
      <c r="BY1096" s="129">
        <f>INDEX('Gross Dx Plant'!$D$7:$AC$91,MATCH($C1096,'Gross Dx Plant'!$C$7:$C$91,0),MATCH(Calculation!$G1096,'Gross Dx Plant'!$D$5:$AC$5,0))</f>
        <v>816418</v>
      </c>
      <c r="BZ1096" s="129">
        <f>INDEX('Gross Gen Plant'!$D$7:$AC$91,MATCH($C1096,'Gross Gen Plant'!$C$7:$C$91,0),MATCH(Calculation!$G1096,'Gross Gen Plant'!$D$5:$AC$5,0))</f>
        <v>40693</v>
      </c>
      <c r="CA1096" s="129">
        <f t="shared" si="1977"/>
        <v>544301</v>
      </c>
      <c r="CB1096" s="129"/>
      <c r="CC1096" s="133">
        <v>2016</v>
      </c>
      <c r="CD1096" s="129"/>
      <c r="CE1096" s="129"/>
      <c r="CF1096" s="129"/>
      <c r="CG1096" s="137"/>
      <c r="CH1096" s="129">
        <f t="shared" si="1954"/>
        <v>55933</v>
      </c>
      <c r="CI1096" s="46">
        <f t="shared" si="1955"/>
        <v>55445.981639484264</v>
      </c>
      <c r="CJ1096" s="231">
        <f t="shared" si="1945"/>
        <v>82.575699846665884</v>
      </c>
      <c r="CK1096" s="443">
        <v>0.7857142857142857</v>
      </c>
      <c r="CL1096" s="231">
        <f>+CL1078*CK1096+CJ1079*CK1095+CJ1080*CK1094+CJ1081*CK1093+CJ1082*CK1092+CJ1083*CK1091+CJ1084*CK1090+CJ1085*CK1089+CJ1086*CK1088+CJ1087*CK1087+CJ1088*CK1086+CJ1089*CK1085+CJ1090*CK1084+CJ1091*CK1083+CJ1092*CK1082+CJ1093*CK1081+CJ1094*CK1080+CJ1095*CK1079+CJ1096</f>
        <v>1966.6086109055725</v>
      </c>
      <c r="CM1096" s="134">
        <f t="shared" si="1946"/>
        <v>2.7342994262042123E-2</v>
      </c>
      <c r="CN1096" s="135">
        <f t="shared" si="1947"/>
        <v>1.5432581147741689E-2</v>
      </c>
      <c r="CO1096" s="135">
        <f t="shared" si="1958"/>
        <v>1.5154351820398407E-2</v>
      </c>
      <c r="CP1096" s="134">
        <f>VLOOKUP($H1096,RoR!$E:$F,2,FALSE)</f>
        <v>3.6658333333333334E-2</v>
      </c>
      <c r="CQ1096" s="135">
        <v>1.0483662879041455E-2</v>
      </c>
      <c r="CR1096" s="135">
        <f t="shared" si="1956"/>
        <v>2.6174670454291879E-2</v>
      </c>
      <c r="CS1096" s="135">
        <f t="shared" si="1959"/>
        <v>1.5747589788135216E-2</v>
      </c>
      <c r="CT1096" s="135">
        <f t="shared" si="1960"/>
        <v>4.301363574220729E-3</v>
      </c>
      <c r="CU1096" s="139">
        <f t="shared" si="1948"/>
        <v>0.85126000000000002</v>
      </c>
      <c r="CV1096" s="335">
        <f t="shared" si="1949"/>
        <v>1.3989193348138562</v>
      </c>
      <c r="CW1096" s="335">
        <f t="shared" si="1950"/>
        <v>0.29302682427824522</v>
      </c>
      <c r="CX1096" s="335">
        <f t="shared" si="1951"/>
        <v>0.76309497491941802</v>
      </c>
      <c r="CY1096" s="335">
        <f t="shared" si="1952"/>
        <v>0.31280857135128509</v>
      </c>
      <c r="CZ1096" s="336">
        <f>INDEX('State Tax Lookup'!$D$7:$Z$91,MATCH(Calculation!$C1096,'State Tax Lookup'!$B$7:$B$91,0),MATCH($H1096,'State Tax Lookup'!$D$6:$Z$6,0))</f>
        <v>0.40200000000000002</v>
      </c>
      <c r="DA1096" s="302">
        <v>0.37</v>
      </c>
      <c r="DB1096" s="57">
        <f t="shared" si="1957"/>
        <v>15.045833290486673</v>
      </c>
      <c r="DC1096" s="56">
        <f t="shared" si="1961"/>
        <v>-2.5708617976731265E-2</v>
      </c>
      <c r="DD1096" s="303">
        <f>VLOOKUP($H1096,RoR!$E:$F,2,FALSE)</f>
        <v>3.6658333333333334E-2</v>
      </c>
      <c r="DE1096" s="304">
        <f>HLOOKUP($H1096,'GDP-PI'!$D$8:$CQ$11,3,FALSE)</f>
        <v>1.0483662879041455E-2</v>
      </c>
      <c r="DF1096" s="303">
        <f>VLOOKUP(H1096,'HW Dx Data'!$E:$F,2,FALSE)</f>
        <v>671.45639385971219</v>
      </c>
      <c r="DG1096" s="364">
        <f ca="1">VLOOKUP(CC1096,'ECI - Input Price'!M$13:N$33,2,FALSE)</f>
        <v>136.94999999999999</v>
      </c>
      <c r="DH1096" s="364"/>
      <c r="DI1096" s="364"/>
      <c r="DJ1096" s="56">
        <f t="shared" ca="1" si="1969"/>
        <v>2.5514417868782811E-2</v>
      </c>
      <c r="DK1096" s="53">
        <f>HLOOKUP(H1096,'GDP-PI'!$8:$9,2,FALSE)</f>
        <v>105.736</v>
      </c>
      <c r="DL1096" s="355">
        <f t="shared" si="1962"/>
        <v>1.0429090367205095E-2</v>
      </c>
    </row>
    <row r="1097" spans="1:116" s="126" customFormat="1" ht="21" customHeight="1" x14ac:dyDescent="0.4">
      <c r="A1097" s="233" t="s">
        <v>246</v>
      </c>
      <c r="B1097" s="126" t="s">
        <v>247</v>
      </c>
      <c r="C1097" s="126">
        <v>4063060</v>
      </c>
      <c r="D1097" s="127" t="s">
        <v>203</v>
      </c>
      <c r="E1097" s="127" t="s">
        <v>15</v>
      </c>
      <c r="F1097" s="144"/>
      <c r="G1097" s="126" t="s">
        <v>173</v>
      </c>
      <c r="H1097" s="128">
        <v>2017</v>
      </c>
      <c r="I1097" s="129"/>
      <c r="J1097" s="125">
        <f>IFERROR(INDEX('Labor Expenditures'!$E$7:$W$91,MATCH($C1097,'Labor Expenditures'!$C$7:$C$91,0),MATCH($G1097,'Labor Expenditures'!$E$5:$W$5,0)),"NA")</f>
        <v>26472.130414093761</v>
      </c>
      <c r="K1097" s="125">
        <f t="shared" ca="1" si="1963"/>
        <v>188.4808146250891</v>
      </c>
      <c r="L1097" s="47"/>
      <c r="M1097" s="131">
        <f t="shared" ca="1" si="1970"/>
        <v>0.12977029075840532</v>
      </c>
      <c r="N1097" s="131"/>
      <c r="O1097" s="131"/>
      <c r="P1097" s="59">
        <f t="shared" ca="1" si="1972"/>
        <v>1.1518334664039199E-3</v>
      </c>
      <c r="Q1097" s="61"/>
      <c r="R1097" s="387"/>
      <c r="S1097" s="49">
        <f t="shared" ca="1" si="1978"/>
        <v>170.87825435669396</v>
      </c>
      <c r="T1097" s="61">
        <f ca="1">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</f>
        <v>-0.57615536840633552</v>
      </c>
      <c r="U1097" s="61"/>
      <c r="V1097" s="125">
        <f>IFERROR(INDEX('Non-Labor Expenditures'!$E$7:$AA$91,MATCH($C1097,'Non-Labor Expenditures'!$C$7:$C$91,0),MATCH($G1097,'Non-Labor Expenditures'!$E$5:$AA$5,0)),"NA")</f>
        <v>38336.589151553228</v>
      </c>
      <c r="W1097" s="125">
        <f t="shared" si="1964"/>
        <v>355.78870870389346</v>
      </c>
      <c r="X1097" s="131">
        <f t="shared" si="1973"/>
        <v>0.13612836037182582</v>
      </c>
      <c r="Y1097" s="131">
        <f t="shared" si="1974"/>
        <v>1.2082673182483123E-3</v>
      </c>
      <c r="Z1097" s="131"/>
      <c r="AA1097" s="131"/>
      <c r="AB1097" s="131"/>
      <c r="AC1097" s="125">
        <f t="shared" si="1944"/>
        <v>26428.209100347798</v>
      </c>
      <c r="AD1097" s="129"/>
      <c r="AE1097" s="133">
        <v>2184.6702334050888</v>
      </c>
      <c r="AF1097" s="134">
        <v>2.1995781324079363E-2</v>
      </c>
      <c r="AG1097" s="59">
        <f t="shared" si="1965"/>
        <v>1.9523326102385217E-4</v>
      </c>
      <c r="AH1097" s="134"/>
      <c r="AI1097" s="134"/>
      <c r="AJ1097" s="129">
        <f t="shared" si="1902"/>
        <v>91236.928665994783</v>
      </c>
      <c r="AK1097" s="134">
        <f t="shared" si="1975"/>
        <v>7.9148951458032274E-2</v>
      </c>
      <c r="AL1097" s="129"/>
      <c r="AM1097" s="129"/>
      <c r="AN1097" s="129"/>
      <c r="AO1097" s="129"/>
      <c r="AP1097" s="133">
        <f t="shared" si="1976"/>
        <v>465.15753212465853</v>
      </c>
      <c r="AQ1097" s="134">
        <f>+BB1097/Outputs!$B$25</f>
        <v>5.2971883003496206E-3</v>
      </c>
      <c r="AR1097" s="93">
        <f t="shared" si="1966"/>
        <v>0.29014710163035418</v>
      </c>
      <c r="AS1097" s="93">
        <f t="shared" si="1967"/>
        <v>0.42018719516411984</v>
      </c>
      <c r="AT1097" s="93">
        <f t="shared" si="1968"/>
        <v>0.28966570320552609</v>
      </c>
      <c r="AU1097" s="93">
        <f t="shared" ca="1" si="1971"/>
        <v>9.8329456954853109E-2</v>
      </c>
      <c r="AV1097" s="132">
        <f t="shared" ca="1" si="1982"/>
        <v>124.83390109781116</v>
      </c>
      <c r="AW1097" s="134">
        <f t="shared" ca="1" si="1983"/>
        <v>9.8329456954853012E-2</v>
      </c>
      <c r="AX1097" s="56">
        <f>+AJ1097/$AL$22</f>
        <v>8.8759411701427107E-3</v>
      </c>
      <c r="AY1097" s="135">
        <f t="shared" ca="1" si="1979"/>
        <v>8.7276647522335532E-4</v>
      </c>
      <c r="AZ1097" s="93"/>
      <c r="BA1097" s="93"/>
      <c r="BB1097" s="234">
        <f>IFERROR(INDEX('Total Customers'!$E$7:$AA$91,MATCH($C1097,'Total Customers'!$C$7:$C$91,0),MATCH($G1097,'Total Customers'!$E$5:$AA$5,0)),"NA")</f>
        <v>196142</v>
      </c>
      <c r="BC1097" s="269">
        <f t="shared" si="1988"/>
        <v>1.1924471802593744E-2</v>
      </c>
      <c r="BD1097" s="92"/>
      <c r="BE1097" s="299" t="str">
        <f t="shared" si="1984"/>
        <v>SOUTHERN CONNECTICUT GAS COMPANY</v>
      </c>
      <c r="BF1097" s="300">
        <f t="shared" si="1985"/>
        <v>4063060</v>
      </c>
      <c r="BG1097" s="231" t="str">
        <f t="shared" si="1986"/>
        <v>CT</v>
      </c>
      <c r="BH1097" s="231"/>
      <c r="BI1097" s="231" t="str">
        <f t="shared" si="1987"/>
        <v>2017 Y</v>
      </c>
      <c r="BJ1097" s="129"/>
      <c r="BK1097" s="129"/>
      <c r="BL1097" s="129">
        <f>INDEX('Dist. Plant Gas Additions'!$E$7:$AD$91,MATCH($C1097,'Dist. Plant Gas Additions'!$C$7:$C$91,0),MATCH(Calculation!$G1097,'Dist. Plant Gas Additions'!$E$5:$AD$5,0))</f>
        <v>45219</v>
      </c>
      <c r="BM1097" s="129">
        <f>INDEX('Gen. Plant Additions'!$E$7:$AD$91,MATCH($C1097,'Gen. Plant Additions'!$C$7:$C$91,0),MATCH(Calculation!$G1097,'Gen. Plant Additions'!$E$5:$AD$5,0))</f>
        <v>1990</v>
      </c>
      <c r="BN1097" s="301">
        <f t="shared" si="1953"/>
        <v>0.94837067232447181</v>
      </c>
      <c r="BO1097" s="231">
        <f t="shared" si="1980"/>
        <v>1887.2576379256989</v>
      </c>
      <c r="BP1097" s="231">
        <f t="shared" si="1981"/>
        <v>-102.74236207430113</v>
      </c>
      <c r="BQ1097" s="129">
        <f>INDEX('Dist Plant Depreciation'!$D$7:$AC$94,MATCH($C1097,'Dist Plant Depreciation'!$C$7:$C$94,0),MATCH(Calculation!$G1097,'Dist Plant Depreciation'!$D$5:$AC$5,0))</f>
        <v>316286</v>
      </c>
      <c r="BR1097" s="129">
        <f>INDEX('Gen. Plant Depreciation'!$D$7:$AC$94,MATCH($C1097,'Gen. Plant Depreciation'!$C$7:$C$94,0),MATCH(Calculation!$G1097,'Gen. Plant Depreciation'!$D$5:$AC$5,0))</f>
        <v>9210</v>
      </c>
      <c r="BS1097" s="129"/>
      <c r="BT1097" s="129"/>
      <c r="BU1097" s="129"/>
      <c r="BV1097" s="129"/>
      <c r="BW1097" s="129"/>
      <c r="BX1097" s="137"/>
      <c r="BY1097" s="129">
        <f>INDEX('Gross Dx Plant'!$D$7:$AC$91,MATCH($C1097,'Gross Dx Plant'!$C$7:$C$91,0),MATCH(Calculation!$G1097,'Gross Dx Plant'!$D$5:$AC$5,0))</f>
        <v>851965</v>
      </c>
      <c r="BZ1097" s="129">
        <f>INDEX('Gross Gen Plant'!$D$7:$AC$91,MATCH($C1097,'Gross Gen Plant'!$C$7:$C$91,0),MATCH(Calculation!$G1097,'Gross Gen Plant'!$D$5:$AC$5,0))</f>
        <v>46381</v>
      </c>
      <c r="CA1097" s="129">
        <f t="shared" si="1977"/>
        <v>572850</v>
      </c>
      <c r="CB1097" s="129"/>
      <c r="CC1097" s="133">
        <v>2017</v>
      </c>
      <c r="CD1097" s="129"/>
      <c r="CE1097" s="129"/>
      <c r="CF1097" s="129"/>
      <c r="CG1097" s="137"/>
      <c r="CH1097" s="129">
        <f t="shared" si="1954"/>
        <v>47209</v>
      </c>
      <c r="CI1097" s="46">
        <f t="shared" si="1955"/>
        <v>47106.257637925701</v>
      </c>
      <c r="CJ1097" s="231">
        <f t="shared" si="1945"/>
        <v>66.120673307529742</v>
      </c>
      <c r="CK1097" s="443">
        <v>0.77108433734939763</v>
      </c>
      <c r="CL1097" s="231">
        <f>+CL1078*CK1097+CJ1079*CK1096+CJ1080*CK1095+CJ1081*CK1094+CJ1082*CK1093+CJ1083*CK1092+CJ1084*CK1091+CJ1085*CK1090+CJ1086*CK1089+CJ1087*CK1088+CJ1088*CK1087+CJ1089*CK1086+CJ1090*CK1085+CJ1091*CK1084+CJ1092*CK1083+CJ1093*CK1082+CJ1094*CK1081+CJ1095*CK1080+CJ1096*CK1079+CJ1097</f>
        <v>2001.6947414217473</v>
      </c>
      <c r="CM1097" s="134">
        <f t="shared" si="1946"/>
        <v>1.7683650525622381E-2</v>
      </c>
      <c r="CN1097" s="135">
        <f t="shared" si="1947"/>
        <v>1.5780741841186371E-2</v>
      </c>
      <c r="CO1097" s="135">
        <f t="shared" si="1958"/>
        <v>1.5467157394703107E-2</v>
      </c>
      <c r="CP1097" s="134">
        <f>VLOOKUP($H1097,RoR!$E:$F,2,FALSE)</f>
        <v>3.7433333333333339E-2</v>
      </c>
      <c r="CQ1097" s="135">
        <v>1.9056896421275615E-2</v>
      </c>
      <c r="CR1097" s="135">
        <f t="shared" si="1956"/>
        <v>1.8376436912057724E-2</v>
      </c>
      <c r="CS1097" s="135">
        <f t="shared" si="1959"/>
        <v>1.5434784213830518E-2</v>
      </c>
      <c r="CT1097" s="135">
        <f t="shared" si="1960"/>
        <v>1.3976271617800498E-2</v>
      </c>
      <c r="CU1097" s="139">
        <f t="shared" si="1948"/>
        <v>0.90305999999999997</v>
      </c>
      <c r="CV1097" s="335">
        <f t="shared" si="1949"/>
        <v>1.3699568463593395</v>
      </c>
      <c r="CW1097" s="335">
        <f t="shared" si="1950"/>
        <v>0.30714603739982199</v>
      </c>
      <c r="CX1097" s="335">
        <f t="shared" si="1951"/>
        <v>0.77007188472689425</v>
      </c>
      <c r="CY1097" s="335">
        <f t="shared" si="1952"/>
        <v>0.32402839633793828</v>
      </c>
      <c r="CZ1097" s="336">
        <f>INDEX('State Tax Lookup'!$D$7:$Z$91,MATCH(Calculation!$C1097,'State Tax Lookup'!$B$7:$B$91,0),MATCH($H1097,'State Tax Lookup'!$D$6:$Z$6,0))</f>
        <v>0.26200000000000001</v>
      </c>
      <c r="DA1097" s="302">
        <v>0.37</v>
      </c>
      <c r="DB1097" s="57">
        <f t="shared" si="1957"/>
        <v>13.438469125881785</v>
      </c>
      <c r="DC1097" s="56">
        <f t="shared" si="1961"/>
        <v>-0.1129796708045826</v>
      </c>
      <c r="DD1097" s="303">
        <f>VLOOKUP($H1097,RoR!$E:$F,2,FALSE)</f>
        <v>3.7433333333333339E-2</v>
      </c>
      <c r="DE1097" s="304">
        <f>HLOOKUP($H1097,'GDP-PI'!$D$8:$CQ$11,3,FALSE)</f>
        <v>1.9056896421275615E-2</v>
      </c>
      <c r="DF1097" s="303">
        <f>VLOOKUP(H1097,'HW Dx Data'!$E:$F,2,FALSE)</f>
        <v>712.42858370229726</v>
      </c>
      <c r="DG1097" s="364">
        <f ca="1">VLOOKUP(CC1097,'ECI - Input Price'!M$13:N$33,2,FALSE)</f>
        <v>140.44999999999999</v>
      </c>
      <c r="DH1097" s="364"/>
      <c r="DI1097" s="364"/>
      <c r="DJ1097" s="56">
        <f t="shared" ca="1" si="1969"/>
        <v>2.5235657841165486E-2</v>
      </c>
      <c r="DK1097" s="53">
        <f>HLOOKUP(H1097,'GDP-PI'!$8:$9,2,FALSE)</f>
        <v>107.751</v>
      </c>
      <c r="DL1097" s="355">
        <f t="shared" si="1962"/>
        <v>1.8877588227745139E-2</v>
      </c>
    </row>
    <row r="1098" spans="1:116" s="126" customFormat="1" ht="21" customHeight="1" x14ac:dyDescent="0.4">
      <c r="A1098" s="233" t="s">
        <v>246</v>
      </c>
      <c r="B1098" s="126" t="s">
        <v>247</v>
      </c>
      <c r="C1098" s="126">
        <v>4063060</v>
      </c>
      <c r="D1098" s="127" t="s">
        <v>203</v>
      </c>
      <c r="E1098" s="127" t="s">
        <v>15</v>
      </c>
      <c r="F1098" s="144"/>
      <c r="G1098" s="126" t="s">
        <v>174</v>
      </c>
      <c r="H1098" s="128">
        <v>2018</v>
      </c>
      <c r="I1098" s="129"/>
      <c r="J1098" s="125">
        <f>IFERROR(INDEX('Labor Expenditures'!$E$7:$W$91,MATCH($C1098,'Labor Expenditures'!$C$7:$C$91,0),MATCH($G1098,'Labor Expenditures'!$E$5:$W$5,0)),"NA")</f>
        <v>24724.924755787975</v>
      </c>
      <c r="K1098" s="125">
        <f t="shared" ca="1" si="1963"/>
        <v>171.16597269496697</v>
      </c>
      <c r="L1098" s="47"/>
      <c r="M1098" s="131">
        <f t="shared" ca="1" si="1970"/>
        <v>-9.6362536201096097E-2</v>
      </c>
      <c r="N1098" s="131"/>
      <c r="O1098" s="131"/>
      <c r="P1098" s="59">
        <f t="shared" ca="1" si="1972"/>
        <v>-7.6520494214789032E-4</v>
      </c>
      <c r="Q1098" s="61"/>
      <c r="R1098" s="387"/>
      <c r="S1098" s="49">
        <f t="shared" ca="1" si="1978"/>
        <v>117.46405075970124</v>
      </c>
      <c r="T1098" s="61">
        <f ca="1">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</f>
        <v>-0.37481900432001797</v>
      </c>
      <c r="U1098" s="61"/>
      <c r="V1098" s="125">
        <f>IFERROR(INDEX('Non-Labor Expenditures'!$E$7:$AA$91,MATCH($C1098,'Non-Labor Expenditures'!$C$7:$C$91,0),MATCH($G1098,'Non-Labor Expenditures'!$E$5:$AA$5,0)),"NA")</f>
        <v>35806.309025323688</v>
      </c>
      <c r="W1098" s="125">
        <f t="shared" si="1964"/>
        <v>324.56181926835706</v>
      </c>
      <c r="X1098" s="131">
        <f t="shared" si="1973"/>
        <v>-9.1861015555613115E-2</v>
      </c>
      <c r="Y1098" s="131">
        <f t="shared" si="1974"/>
        <v>-7.2945883187619791E-4</v>
      </c>
      <c r="Z1098" s="131"/>
      <c r="AA1098" s="131"/>
      <c r="AB1098" s="131"/>
      <c r="AC1098" s="125">
        <f t="shared" si="1944"/>
        <v>27834.646526429118</v>
      </c>
      <c r="AD1098" s="129"/>
      <c r="AE1098" s="133">
        <v>2238.330281868457</v>
      </c>
      <c r="AF1098" s="134">
        <v>2.4265283799904877E-2</v>
      </c>
      <c r="AG1098" s="59">
        <f t="shared" si="1965"/>
        <v>1.9268811115099259E-4</v>
      </c>
      <c r="AH1098" s="134"/>
      <c r="AI1098" s="134"/>
      <c r="AJ1098" s="129">
        <f t="shared" si="1902"/>
        <v>88365.880307540778</v>
      </c>
      <c r="AK1098" s="134">
        <f t="shared" si="1975"/>
        <v>-3.1973808939213498E-2</v>
      </c>
      <c r="AL1098" s="129"/>
      <c r="AM1098" s="129"/>
      <c r="AN1098" s="129"/>
      <c r="AO1098" s="129"/>
      <c r="AP1098" s="133">
        <f t="shared" si="1976"/>
        <v>444.83873558392918</v>
      </c>
      <c r="AQ1098" s="134">
        <f>+BB1098/Outputs!$B$26</f>
        <v>5.3178559836996216E-3</v>
      </c>
      <c r="AR1098" s="93">
        <f t="shared" si="1966"/>
        <v>0.27980171384857527</v>
      </c>
      <c r="AS1098" s="93">
        <f t="shared" si="1967"/>
        <v>0.40520514140420016</v>
      </c>
      <c r="AT1098" s="93">
        <f t="shared" si="1968"/>
        <v>0.31499314474722462</v>
      </c>
      <c r="AU1098" s="93">
        <f t="shared" ca="1" si="1971"/>
        <v>-5.8035436542824718E-2</v>
      </c>
      <c r="AV1098" s="132">
        <f t="shared" ca="1" si="1982"/>
        <v>117.79532987606677</v>
      </c>
      <c r="AW1098" s="134">
        <f t="shared" ca="1" si="1983"/>
        <v>-5.803543654282467E-2</v>
      </c>
      <c r="AX1098" s="56">
        <f>+AJ1098/$AL$23</f>
        <v>7.9408966629002688E-3</v>
      </c>
      <c r="AY1098" s="135">
        <f t="shared" ca="1" si="1979"/>
        <v>-4.6085340437287671E-4</v>
      </c>
      <c r="AZ1098" s="93"/>
      <c r="BA1098" s="93"/>
      <c r="BB1098" s="234">
        <f>IFERROR(INDEX('Total Customers'!$E$7:$AA$91,MATCH($C1098,'Total Customers'!$C$7:$C$91,0),MATCH($G1098,'Total Customers'!$E$5:$AA$5,0)),"NA")</f>
        <v>198647</v>
      </c>
      <c r="BC1098" s="269">
        <f t="shared" si="1988"/>
        <v>1.2690493498097833E-2</v>
      </c>
      <c r="BD1098" s="92"/>
      <c r="BE1098" s="299" t="str">
        <f t="shared" si="1984"/>
        <v>SOUTHERN CONNECTICUT GAS COMPANY</v>
      </c>
      <c r="BF1098" s="300">
        <f t="shared" si="1985"/>
        <v>4063060</v>
      </c>
      <c r="BG1098" s="231" t="str">
        <f t="shared" si="1986"/>
        <v>CT</v>
      </c>
      <c r="BH1098" s="231"/>
      <c r="BI1098" s="231" t="str">
        <f t="shared" si="1987"/>
        <v>2018 Y</v>
      </c>
      <c r="BJ1098" s="129"/>
      <c r="BK1098" s="129"/>
      <c r="BL1098" s="129">
        <f>INDEX('Dist. Plant Gas Additions'!$E$7:$AD$91,MATCH($C1098,'Dist. Plant Gas Additions'!$C$7:$C$91,0),MATCH(Calculation!$G1098,'Dist. Plant Gas Additions'!$E$5:$AD$5,0))</f>
        <v>54189</v>
      </c>
      <c r="BM1098" s="129">
        <f>INDEX('Gen. Plant Additions'!$E$7:$AD$91,MATCH($C1098,'Gen. Plant Additions'!$C$7:$C$91,0),MATCH(Calculation!$G1098,'Gen. Plant Additions'!$E$5:$AD$5,0))</f>
        <v>1285</v>
      </c>
      <c r="BN1098" s="301">
        <f t="shared" si="1953"/>
        <v>0.94726969110690984</v>
      </c>
      <c r="BO1098" s="231">
        <f t="shared" si="1980"/>
        <v>1217.2415530723792</v>
      </c>
      <c r="BP1098" s="231">
        <f t="shared" si="1981"/>
        <v>-67.758446927620753</v>
      </c>
      <c r="BQ1098" s="129">
        <f>INDEX('Dist Plant Depreciation'!$D$7:$AC$94,MATCH($C1098,'Dist Plant Depreciation'!$C$7:$C$94,0),MATCH(Calculation!$G1098,'Dist Plant Depreciation'!$D$5:$AC$5,0))</f>
        <v>325116</v>
      </c>
      <c r="BR1098" s="129">
        <f>INDEX('Gen. Plant Depreciation'!$D$7:$AC$94,MATCH($C1098,'Gen. Plant Depreciation'!$C$7:$C$94,0),MATCH(Calculation!$G1098,'Gen. Plant Depreciation'!$D$5:$AC$5,0))</f>
        <v>12541</v>
      </c>
      <c r="BS1098" s="129"/>
      <c r="BT1098" s="129"/>
      <c r="BU1098" s="129"/>
      <c r="BV1098" s="129"/>
      <c r="BW1098" s="129"/>
      <c r="BX1098" s="137"/>
      <c r="BY1098" s="129">
        <f>INDEX('Gross Dx Plant'!$D$7:$AC$91,MATCH($C1098,'Gross Dx Plant'!$C$7:$C$91,0),MATCH(Calculation!$G1098,'Gross Dx Plant'!$D$5:$AC$5,0))</f>
        <v>901383</v>
      </c>
      <c r="BZ1098" s="129">
        <f>INDEX('Gross Gen Plant'!$D$7:$AC$91,MATCH($C1098,'Gross Gen Plant'!$C$7:$C$91,0),MATCH(Calculation!$G1098,'Gross Gen Plant'!$D$5:$AC$5,0))</f>
        <v>50176</v>
      </c>
      <c r="CA1098" s="129">
        <f t="shared" si="1977"/>
        <v>613902</v>
      </c>
      <c r="CB1098" s="129"/>
      <c r="CC1098" s="133">
        <v>2018</v>
      </c>
      <c r="CD1098" s="129"/>
      <c r="CE1098" s="129"/>
      <c r="CF1098" s="129"/>
      <c r="CG1098" s="137"/>
      <c r="CH1098" s="129">
        <f t="shared" si="1954"/>
        <v>55474</v>
      </c>
      <c r="CI1098" s="46">
        <f t="shared" si="1955"/>
        <v>55406.241553072381</v>
      </c>
      <c r="CJ1098" s="231">
        <f t="shared" si="1945"/>
        <v>73.372464218442772</v>
      </c>
      <c r="CK1098" s="443">
        <v>0.75609756097560976</v>
      </c>
      <c r="CL1098" s="231">
        <f>+CL1078*CK1098++CJ1079*CK1097+CJ1080*CK1096+CJ1081*CK1095+CJ1082*CK1094+CJ1083*CK1093+CJ1084*CK1092+CJ1085*CK1091+CJ1086*CK1090+CJ1087*CK1089+CJ1088*CK1088+CJ1089*CK1087+CJ1090*CK1086+CJ1091*CK1085+CJ1092*CK1084+CJ1093*CK1083+CJ1094*CK1082+CJ1095*CK1081+CJ1096*CK1080+CJ1097*CK1079+CJ1098</f>
        <v>2042.6516745361537</v>
      </c>
      <c r="CM1098" s="134">
        <f t="shared" si="1946"/>
        <v>2.0254611798821553E-2</v>
      </c>
      <c r="CN1098" s="135">
        <f t="shared" si="1947"/>
        <v>1.6194043194124857E-2</v>
      </c>
      <c r="CO1098" s="135">
        <f t="shared" si="1958"/>
        <v>1.5802455394350972E-2</v>
      </c>
      <c r="CP1098" s="134">
        <f>VLOOKUP($H1098,RoR!$E:$F,2,FALSE)</f>
        <v>3.9299999999999995E-2</v>
      </c>
      <c r="CQ1098" s="135">
        <v>2.386056741932796E-2</v>
      </c>
      <c r="CR1098" s="135">
        <f t="shared" si="1956"/>
        <v>1.5439432580672034E-2</v>
      </c>
      <c r="CS1098" s="135">
        <f t="shared" si="1959"/>
        <v>1.5099486214182653E-2</v>
      </c>
      <c r="CT1098" s="135">
        <f t="shared" si="1960"/>
        <v>3.8270792163076606E-2</v>
      </c>
      <c r="CU1098" s="139">
        <f t="shared" si="1948"/>
        <v>0.90305999999999997</v>
      </c>
      <c r="CV1098" s="335">
        <f t="shared" si="1949"/>
        <v>1.3048868010700074</v>
      </c>
      <c r="CW1098" s="335">
        <f t="shared" si="1950"/>
        <v>0.33886768447837151</v>
      </c>
      <c r="CX1098" s="335">
        <f t="shared" si="1951"/>
        <v>0.78602506232557801</v>
      </c>
      <c r="CY1098" s="335">
        <f t="shared" si="1952"/>
        <v>0.34756768162358759</v>
      </c>
      <c r="CZ1098" s="336">
        <f>INDEX('State Tax Lookup'!$D$7:$Z$91,MATCH(Calculation!$C1098,'State Tax Lookup'!$B$7:$B$91,0),MATCH($H1098,'State Tax Lookup'!$D$6:$Z$6,0))</f>
        <v>0.26200000000000001</v>
      </c>
      <c r="DA1098" s="302">
        <v>0.37</v>
      </c>
      <c r="DB1098" s="57">
        <f t="shared" si="1957"/>
        <v>13.90554011580155</v>
      </c>
      <c r="DC1098" s="56">
        <f t="shared" si="1961"/>
        <v>3.4165905927913652E-2</v>
      </c>
      <c r="DD1098" s="303">
        <f>VLOOKUP($H1098,RoR!$E:$F,2,FALSE)</f>
        <v>3.9299999999999995E-2</v>
      </c>
      <c r="DE1098" s="304">
        <f>HLOOKUP($H1098,'GDP-PI'!$D$8:$CQ$11,3,FALSE)</f>
        <v>2.386056741932796E-2</v>
      </c>
      <c r="DF1098" s="303">
        <f>VLOOKUP(H1098,'HW Dx Data'!$E:$F,2,FALSE)</f>
        <v>755.13671434174842</v>
      </c>
      <c r="DG1098" s="364">
        <f ca="1">VLOOKUP(CC1098,'ECI - Input Price'!M$13:N$33,2,FALSE)</f>
        <v>144.44999999999999</v>
      </c>
      <c r="DH1098" s="364"/>
      <c r="DI1098" s="364"/>
      <c r="DJ1098" s="56">
        <f t="shared" ca="1" si="1969"/>
        <v>2.80818733619915E-2</v>
      </c>
      <c r="DK1098" s="53">
        <f>HLOOKUP(H1098,'GDP-PI'!$8:$9,2,FALSE)</f>
        <v>110.322</v>
      </c>
      <c r="DL1098" s="355">
        <f t="shared" si="1962"/>
        <v>2.3580352716508712E-2</v>
      </c>
    </row>
    <row r="1099" spans="1:116" s="126" customFormat="1" ht="21" customHeight="1" x14ac:dyDescent="0.4">
      <c r="A1099" s="233" t="s">
        <v>246</v>
      </c>
      <c r="B1099" s="126" t="s">
        <v>247</v>
      </c>
      <c r="C1099" s="126">
        <v>4063060</v>
      </c>
      <c r="D1099" s="127" t="s">
        <v>203</v>
      </c>
      <c r="E1099" s="127" t="s">
        <v>15</v>
      </c>
      <c r="F1099" s="144"/>
      <c r="G1099" s="126" t="s">
        <v>175</v>
      </c>
      <c r="H1099" s="128">
        <v>2019</v>
      </c>
      <c r="I1099" s="129"/>
      <c r="J1099" s="125">
        <f>IFERROR(INDEX('Labor Expenditures'!$E$7:$W$91,MATCH($C1099,'Labor Expenditures'!$C$7:$C$91,0),MATCH($G1099,'Labor Expenditures'!$E$5:$W$5,0)),"NA")</f>
        <v>22004.515553041456</v>
      </c>
      <c r="K1099" s="125">
        <f t="shared" ca="1" si="1963"/>
        <v>147.01530351121733</v>
      </c>
      <c r="L1099" s="47"/>
      <c r="M1099" s="131">
        <f t="shared" ca="1" si="1970"/>
        <v>-0.1520969994512531</v>
      </c>
      <c r="N1099" s="131"/>
      <c r="O1099" s="131"/>
      <c r="P1099" s="59">
        <f t="shared" ca="1" si="1972"/>
        <v>-1.0972592628848065E-3</v>
      </c>
      <c r="Q1099" s="61"/>
      <c r="R1099" s="387"/>
      <c r="S1099" s="49">
        <f t="shared" ca="1" si="1978"/>
        <v>117.19518395959044</v>
      </c>
      <c r="T1099" s="61">
        <f ca="1">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</f>
        <v>-2.2915519867672263E-3</v>
      </c>
      <c r="U1099" s="61"/>
      <c r="V1099" s="125">
        <f>IFERROR(INDEX('Non-Labor Expenditures'!$E$7:$AA$91,MATCH($C1099,'Non-Labor Expenditures'!$C$7:$C$91,0),MATCH($G1099,'Non-Labor Expenditures'!$E$5:$AA$5,0)),"NA")</f>
        <v>31866.648397395031</v>
      </c>
      <c r="W1099" s="125">
        <f t="shared" si="1964"/>
        <v>283.7180896863818</v>
      </c>
      <c r="X1099" s="131">
        <f t="shared" si="1973"/>
        <v>-0.13449492100348334</v>
      </c>
      <c r="Y1099" s="131">
        <f t="shared" si="1974"/>
        <v>-9.7027422246636946E-4</v>
      </c>
      <c r="Z1099" s="131"/>
      <c r="AA1099" s="131"/>
      <c r="AB1099" s="131"/>
      <c r="AC1099" s="125">
        <f t="shared" si="1944"/>
        <v>28321.111836739427</v>
      </c>
      <c r="AD1099" s="129"/>
      <c r="AE1099" s="133">
        <v>2304.0096118533838</v>
      </c>
      <c r="AF1099" s="134">
        <v>2.8920736605592863E-2</v>
      </c>
      <c r="AG1099" s="59">
        <f t="shared" si="1965"/>
        <v>2.0864018517412653E-4</v>
      </c>
      <c r="AH1099" s="134"/>
      <c r="AI1099" s="134"/>
      <c r="AJ1099" s="129">
        <f t="shared" si="1902"/>
        <v>82192.275787175909</v>
      </c>
      <c r="AK1099" s="134">
        <f t="shared" si="1975"/>
        <v>-7.2424596645562098E-2</v>
      </c>
      <c r="AL1099" s="129"/>
      <c r="AM1099" s="129"/>
      <c r="AN1099" s="129"/>
      <c r="AO1099" s="129"/>
      <c r="AP1099" s="133">
        <f t="shared" si="1976"/>
        <v>410.28645771294174</v>
      </c>
      <c r="AQ1099" s="134">
        <f>+BB1099/Outputs!$B$27</f>
        <v>5.318655085341171E-3</v>
      </c>
      <c r="AR1099" s="93">
        <f t="shared" si="1966"/>
        <v>0.26771999366483928</v>
      </c>
      <c r="AS1099" s="93">
        <f t="shared" si="1967"/>
        <v>0.38770855402408799</v>
      </c>
      <c r="AT1099" s="93">
        <f t="shared" si="1968"/>
        <v>0.34457145231107278</v>
      </c>
      <c r="AU1099" s="93">
        <f t="shared" ca="1" si="1971"/>
        <v>-8.542208984526381E-2</v>
      </c>
      <c r="AV1099" s="132">
        <f t="shared" ca="1" si="1982"/>
        <v>108.15079854704548</v>
      </c>
      <c r="AW1099" s="134">
        <f t="shared" ca="1" si="1983"/>
        <v>-8.5422089845263768E-2</v>
      </c>
      <c r="AX1099" s="56">
        <f>+AJ1099/$AL$24</f>
        <v>7.2142071628209653E-3</v>
      </c>
      <c r="AY1099" s="135">
        <f t="shared" ca="1" si="1979"/>
        <v>-6.1625265242483797E-4</v>
      </c>
      <c r="AZ1099" s="93"/>
      <c r="BA1099" s="93"/>
      <c r="BB1099" s="234">
        <f>IFERROR(INDEX('Total Customers'!$E$7:$AA$91,MATCH($C1099,'Total Customers'!$C$7:$C$91,0),MATCH($G1099,'Total Customers'!$E$5:$AA$5,0)),"NA")</f>
        <v>200329</v>
      </c>
      <c r="BC1099" s="269">
        <f t="shared" si="1988"/>
        <v>8.4316348090215966E-3</v>
      </c>
      <c r="BD1099" s="92"/>
      <c r="BE1099" s="299" t="str">
        <f t="shared" si="1984"/>
        <v>SOUTHERN CONNECTICUT GAS COMPANY</v>
      </c>
      <c r="BF1099" s="300">
        <f t="shared" si="1985"/>
        <v>4063060</v>
      </c>
      <c r="BG1099" s="231" t="str">
        <f t="shared" si="1986"/>
        <v>CT</v>
      </c>
      <c r="BH1099" s="231"/>
      <c r="BI1099" s="231" t="str">
        <f t="shared" si="1987"/>
        <v>2019 Y</v>
      </c>
      <c r="BJ1099" s="129"/>
      <c r="BK1099" s="129"/>
      <c r="BL1099" s="129">
        <f>INDEX('Dist. Plant Gas Additions'!$E$7:$AD$91,MATCH($C1099,'Dist. Plant Gas Additions'!$C$7:$C$91,0),MATCH(Calculation!$G1099,'Dist. Plant Gas Additions'!$E$5:$AD$5,0))</f>
        <v>62806</v>
      </c>
      <c r="BM1099" s="129">
        <f>INDEX('Gen. Plant Additions'!$E$7:$AD$91,MATCH($C1099,'Gen. Plant Additions'!$C$7:$C$91,0),MATCH(Calculation!$G1099,'Gen. Plant Additions'!$E$5:$AD$5,0))</f>
        <v>4212</v>
      </c>
      <c r="BN1099" s="301">
        <f t="shared" si="1953"/>
        <v>0.95150862709289452</v>
      </c>
      <c r="BO1099" s="231">
        <f t="shared" si="1980"/>
        <v>4007.7543373152716</v>
      </c>
      <c r="BP1099" s="231">
        <f t="shared" si="1981"/>
        <v>-204.24566268472836</v>
      </c>
      <c r="BQ1099" s="129">
        <f>INDEX('Dist Plant Depreciation'!$D$7:$AC$94,MATCH($C1099,'Dist Plant Depreciation'!$C$7:$C$94,0),MATCH(Calculation!$G1099,'Dist Plant Depreciation'!$D$5:$AC$5,0))</f>
        <v>344935</v>
      </c>
      <c r="BR1099" s="129">
        <f>INDEX('Gen. Plant Depreciation'!$D$7:$AC$94,MATCH($C1099,'Gen. Plant Depreciation'!$C$7:$C$94,0),MATCH(Calculation!$G1099,'Gen. Plant Depreciation'!$D$5:$AC$5,0))</f>
        <v>15083</v>
      </c>
      <c r="BS1099" s="129"/>
      <c r="BT1099" s="129"/>
      <c r="BU1099" s="129"/>
      <c r="BV1099" s="129"/>
      <c r="BW1099" s="129"/>
      <c r="BX1099" s="137"/>
      <c r="BY1099" s="129">
        <f>INDEX('Gross Dx Plant'!$D$7:$AC$91,MATCH($C1099,'Gross Dx Plant'!$C$7:$C$91,0),MATCH(Calculation!$G1099,'Gross Dx Plant'!$D$5:$AC$5,0))</f>
        <v>960763</v>
      </c>
      <c r="BZ1099" s="129">
        <f>INDEX('Gross Gen Plant'!$D$7:$AC$91,MATCH($C1099,'Gross Gen Plant'!$C$7:$C$91,0),MATCH(Calculation!$G1099,'Gross Gen Plant'!$D$5:$AC$5,0))</f>
        <v>48963</v>
      </c>
      <c r="CA1099" s="129">
        <f t="shared" si="1977"/>
        <v>649708</v>
      </c>
      <c r="CB1099" s="129"/>
      <c r="CC1099" s="133">
        <v>2019</v>
      </c>
      <c r="CD1099" s="129"/>
      <c r="CE1099" s="129"/>
      <c r="CF1099" s="129"/>
      <c r="CG1099" s="137"/>
      <c r="CH1099" s="129">
        <f t="shared" si="1954"/>
        <v>67018</v>
      </c>
      <c r="CI1099" s="46">
        <f t="shared" si="1955"/>
        <v>66813.754337315273</v>
      </c>
      <c r="CJ1099" s="231">
        <f t="shared" si="1945"/>
        <v>86.374091808003584</v>
      </c>
      <c r="CK1099" s="443">
        <v>0.7407407407407407</v>
      </c>
      <c r="CL1099" s="231">
        <f>CL1078*CK1099+CJ1079*CK1098+CJ1080*CK1097+CJ1081*CK1096+CJ1082*CK1095+CJ1083*CK1094+CJ1084*CK1093+CJ1085*CK1092+CJ1086*CK1091+CJ1087*CK1090+CJ1088*CK1089+CJ1089*CK1088+CJ1090*CK1087+CJ1091*CK1086+CJ1092*CK1085+CJ1093*CK1084+CJ1094*CK1083+CJ1095*CK1082+CJ1096*CK1081+CJ1097*CK1080+CJ1098*CK1079+CJ1099</f>
        <v>2095.1184486759566</v>
      </c>
      <c r="CM1099" s="134">
        <f t="shared" si="1946"/>
        <v>2.5361286269554174E-2</v>
      </c>
      <c r="CN1099" s="135">
        <f t="shared" si="1947"/>
        <v>1.6599657244987846E-2</v>
      </c>
      <c r="CO1099" s="135">
        <f t="shared" si="1958"/>
        <v>1.6191480760099689E-2</v>
      </c>
      <c r="CP1099" s="134">
        <f>VLOOKUP($H1099,RoR!$E:$F,2,FALSE)</f>
        <v>3.3875000000000009E-2</v>
      </c>
      <c r="CQ1099" s="135">
        <v>1.8092492884465461E-2</v>
      </c>
      <c r="CR1099" s="135">
        <f t="shared" si="1956"/>
        <v>1.5782507115534548E-2</v>
      </c>
      <c r="CS1099" s="135">
        <f t="shared" si="1959"/>
        <v>1.4710460848433936E-2</v>
      </c>
      <c r="CT1099" s="135">
        <f t="shared" si="1960"/>
        <v>4.8445665544254078E-2</v>
      </c>
      <c r="CU1099" s="139">
        <f t="shared" si="1948"/>
        <v>0.90305999999999997</v>
      </c>
      <c r="CV1099" s="335">
        <f t="shared" si="1949"/>
        <v>1.513861292459078</v>
      </c>
      <c r="CW1099" s="335">
        <f t="shared" si="1950"/>
        <v>0.23699261992619944</v>
      </c>
      <c r="CX1099" s="335">
        <f t="shared" si="1951"/>
        <v>0.73619765810468829</v>
      </c>
      <c r="CY1099" s="335">
        <f t="shared" si="1952"/>
        <v>0.26412854465362851</v>
      </c>
      <c r="CZ1099" s="336">
        <f>INDEX('State Tax Lookup'!$D$7:$Z$91,MATCH(Calculation!$C1099,'State Tax Lookup'!$B$7:$B$91,0),MATCH($H1099,'State Tax Lookup'!$D$6:$Z$6,0))</f>
        <v>0.26200000000000001</v>
      </c>
      <c r="DA1099" s="302">
        <v>0.37</v>
      </c>
      <c r="DB1099" s="57">
        <f t="shared" si="1957"/>
        <v>13.864875832621143</v>
      </c>
      <c r="DC1099" s="56">
        <f t="shared" si="1961"/>
        <v>-2.9286066380735149E-3</v>
      </c>
      <c r="DD1099" s="303">
        <f>VLOOKUP($H1099,RoR!$E:$F,2,FALSE)</f>
        <v>3.3875000000000009E-2</v>
      </c>
      <c r="DE1099" s="304">
        <f>HLOOKUP($H1099,'GDP-PI'!$D$8:$CQ$11,3,FALSE)</f>
        <v>1.8092492884465461E-2</v>
      </c>
      <c r="DF1099" s="303">
        <f>VLOOKUP(H1099,'HW Dx Data'!$E:$F,2,FALSE)</f>
        <v>773.53929793938721</v>
      </c>
      <c r="DG1099" s="364">
        <f ca="1">VLOOKUP(CC1099,'ECI - Input Price'!M$13:N$33,2,FALSE)</f>
        <v>149.67500000000001</v>
      </c>
      <c r="DH1099" s="364"/>
      <c r="DI1099" s="364"/>
      <c r="DJ1099" s="56">
        <f t="shared" ca="1" si="1969"/>
        <v>3.5532849899171604E-2</v>
      </c>
      <c r="DK1099" s="53">
        <f>HLOOKUP(H1099,'GDP-PI'!$8:$9,2,FALSE)</f>
        <v>112.318</v>
      </c>
      <c r="DL1099" s="355">
        <f t="shared" si="1962"/>
        <v>1.7930771451401852E-2</v>
      </c>
    </row>
    <row r="1100" spans="1:116" s="126" customFormat="1" ht="21" customHeight="1" x14ac:dyDescent="0.4">
      <c r="A1100" s="233" t="s">
        <v>246</v>
      </c>
      <c r="B1100" s="126" t="s">
        <v>247</v>
      </c>
      <c r="C1100" s="126">
        <v>4063060</v>
      </c>
      <c r="D1100" s="126" t="s">
        <v>203</v>
      </c>
      <c r="E1100" s="126" t="s">
        <v>15</v>
      </c>
      <c r="G1100" s="127" t="s">
        <v>176</v>
      </c>
      <c r="H1100" s="128">
        <v>2020</v>
      </c>
      <c r="I1100" s="129"/>
      <c r="J1100" s="125">
        <v>22005</v>
      </c>
      <c r="K1100" s="125">
        <f t="shared" ca="1" si="1963"/>
        <v>143.68266405484817</v>
      </c>
      <c r="L1100" s="47"/>
      <c r="M1100" s="131">
        <f t="shared" ca="1" si="1970"/>
        <v>-2.2929540912210639E-2</v>
      </c>
      <c r="N1100" s="131"/>
      <c r="O1100" s="131"/>
      <c r="P1100" s="59">
        <f t="shared" ca="1" si="1972"/>
        <v>-1.6519860102978451E-4</v>
      </c>
      <c r="Q1100" s="61"/>
      <c r="R1100" s="387"/>
      <c r="S1100" s="49">
        <f t="shared" ca="1" si="1978"/>
        <v>115.93433252026981</v>
      </c>
      <c r="T1100" s="61">
        <f ca="1">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</f>
        <v>-1.0816851954973119E-2</v>
      </c>
      <c r="U1100" s="61"/>
      <c r="V1100" s="125">
        <v>31867</v>
      </c>
      <c r="W1100" s="125">
        <f t="shared" si="1964"/>
        <v>280.46258239969018</v>
      </c>
      <c r="X1100" s="131">
        <f t="shared" si="1973"/>
        <v>-1.1540783231387361E-2</v>
      </c>
      <c r="Y1100" s="131">
        <f t="shared" si="1974"/>
        <v>-8.3146943583066262E-5</v>
      </c>
      <c r="Z1100" s="131"/>
      <c r="AA1100" s="131"/>
      <c r="AB1100" s="131"/>
      <c r="AC1100" s="125">
        <f t="shared" si="1944"/>
        <v>29716.676390498978</v>
      </c>
      <c r="AD1100" s="129"/>
      <c r="AE1100" s="133">
        <v>2369.2261871296264</v>
      </c>
      <c r="AF1100" s="134">
        <v>2.7912483876085498E-2</v>
      </c>
      <c r="AG1100" s="59">
        <f t="shared" si="1965"/>
        <v>2.0109880547761845E-4</v>
      </c>
      <c r="AH1100" s="134"/>
      <c r="AI1100" s="134"/>
      <c r="AJ1100" s="129">
        <f t="shared" si="1902"/>
        <v>83588.676390498978</v>
      </c>
      <c r="AK1100" s="134">
        <f t="shared" si="1975"/>
        <v>1.6846731921103954E-2</v>
      </c>
      <c r="AL1100" s="129"/>
      <c r="AM1100" s="129"/>
      <c r="AN1100" s="129"/>
      <c r="AO1100" s="129"/>
      <c r="AP1100" s="133">
        <f t="shared" si="1976"/>
        <v>409.50552069850227</v>
      </c>
      <c r="AQ1100" s="134">
        <f>+BB1100/Outputs!$B$28</f>
        <v>5.3810621967548917E-3</v>
      </c>
      <c r="AR1100" s="93">
        <f t="shared" si="1966"/>
        <v>0.26325336098396668</v>
      </c>
      <c r="AS1100" s="93">
        <f t="shared" si="1967"/>
        <v>0.38123584887416795</v>
      </c>
      <c r="AT1100" s="93">
        <f t="shared" si="1968"/>
        <v>0.35551079014186537</v>
      </c>
      <c r="AU1100" s="93">
        <f t="shared" ca="1" si="1971"/>
        <v>-7.5408081257473739E-4</v>
      </c>
      <c r="AV1100" s="132">
        <f t="shared" ca="1" si="1982"/>
        <v>108.06927484658878</v>
      </c>
      <c r="AW1100" s="134">
        <f t="shared" ca="1" si="1983"/>
        <v>-7.5408081257471267E-4</v>
      </c>
      <c r="AX1100" s="56">
        <f>+AJ1100/$AL$25</f>
        <v>7.2046187781200409E-3</v>
      </c>
      <c r="AY1100" s="135">
        <f t="shared" ca="1" si="1979"/>
        <v>-5.4328647824957943E-6</v>
      </c>
      <c r="AZ1100" s="93"/>
      <c r="BA1100" s="93"/>
      <c r="BB1100" s="234">
        <f>IFERROR(INDEX('Total Customers'!$E$7:$AA$91,MATCH($C1100,'Total Customers'!$C$7:$C$91,0),MATCH($G1100,'Total Customers'!$E$5:$AA$5,0)),"NA")</f>
        <v>204121</v>
      </c>
      <c r="BC1100" s="269">
        <f t="shared" si="1988"/>
        <v>1.8751940245231264E-2</v>
      </c>
      <c r="BD1100" s="92"/>
      <c r="BE1100" s="299" t="str">
        <f t="shared" si="1984"/>
        <v>SOUTHERN CONNECTICUT GAS COMPANY</v>
      </c>
      <c r="BF1100" s="300">
        <f t="shared" si="1985"/>
        <v>4063060</v>
      </c>
      <c r="BG1100" s="231" t="str">
        <f t="shared" si="1986"/>
        <v>CT</v>
      </c>
      <c r="BH1100" s="231"/>
      <c r="BI1100" s="231" t="str">
        <f t="shared" si="1987"/>
        <v>2020 Y</v>
      </c>
      <c r="BJ1100" s="129"/>
      <c r="BK1100" s="129"/>
      <c r="BL1100" s="129">
        <f>INDEX('Dist. Plant Gas Additions'!$E$7:$AD$91,MATCH($C1100,'Dist. Plant Gas Additions'!$C$7:$C$91,0),MATCH(Calculation!$G1100,'Dist. Plant Gas Additions'!$E$5:$AD$5,0))</f>
        <v>65744</v>
      </c>
      <c r="BM1100" s="129">
        <f>INDEX('Gen. Plant Additions'!$E$7:$AD$91,MATCH($C1100,'Gen. Plant Additions'!$C$7:$C$91,0),MATCH(Calculation!$G1100,'Gen. Plant Additions'!$E$5:$AD$5,0))</f>
        <v>5366</v>
      </c>
      <c r="BN1100" s="301">
        <f t="shared" si="1953"/>
        <v>0.95051477820975216</v>
      </c>
      <c r="BO1100" s="231">
        <f t="shared" si="1980"/>
        <v>5100.4622998735304</v>
      </c>
      <c r="BP1100" s="231">
        <f t="shared" si="1981"/>
        <v>-265.53770012646964</v>
      </c>
      <c r="BQ1100" s="129">
        <f>INDEX('Dist Plant Depreciation'!$D$7:$AC$94,MATCH($C1100,'Dist Plant Depreciation'!$C$7:$C$94,0),MATCH(Calculation!$G1100,'Dist Plant Depreciation'!$D$5:$AC$5,0))</f>
        <v>361896</v>
      </c>
      <c r="BR1100" s="129">
        <f>INDEX('Gen. Plant Depreciation'!$D$7:$AC$94,MATCH($C1100,'Gen. Plant Depreciation'!$C$7:$C$94,0),MATCH(Calculation!$G1100,'Gen. Plant Depreciation'!$D$5:$AC$5,0))</f>
        <v>18158</v>
      </c>
      <c r="BS1100" s="129"/>
      <c r="BT1100" s="129"/>
      <c r="BU1100" s="129"/>
      <c r="BV1100" s="129"/>
      <c r="BW1100" s="129"/>
      <c r="BX1100" s="137"/>
      <c r="BY1100" s="129">
        <f>INDEX('Gross Dx Plant'!$D$7:$AC$91,MATCH($C1100,'Gross Dx Plant'!$C$7:$C$91,0),MATCH(Calculation!$G1100,'Gross Dx Plant'!$D$5:$AC$5,0))</f>
        <v>1014627</v>
      </c>
      <c r="BZ1100" s="129">
        <f>INDEX('Gross Gen Plant'!$D$7:$AC$91,MATCH($C1100,'Gross Gen Plant'!$C$7:$C$91,0),MATCH(Calculation!$G1100,'Gross Gen Plant'!$D$5:$AC$5,0))</f>
        <v>52823</v>
      </c>
      <c r="CA1100" s="129">
        <f t="shared" si="1977"/>
        <v>687396</v>
      </c>
      <c r="CB1100" s="129"/>
      <c r="CC1100" s="133">
        <v>2020</v>
      </c>
      <c r="CD1100" s="129"/>
      <c r="CE1100" s="129"/>
      <c r="CF1100" s="129"/>
      <c r="CG1100" s="137"/>
      <c r="CH1100" s="129">
        <f t="shared" si="1954"/>
        <v>71110</v>
      </c>
      <c r="CI1100" s="46">
        <f t="shared" si="1955"/>
        <v>70844.462299873529</v>
      </c>
      <c r="CJ1100" s="231">
        <f t="shared" si="1945"/>
        <v>87.130968840308469</v>
      </c>
      <c r="CK1100" s="443">
        <v>0.72499999999999998</v>
      </c>
      <c r="CL1100" s="231">
        <f>CL1078*CK1100+CJ1079*CK1099+CJ1080*CK1098+CJ1081*CK1097+CJ1082*CK1096+CJ1083*CK1095+CJ1084*CK1094+CJ1085*CK1093+CJ1086*CK1092+CJ1087*CK1091+CJ1088*CK1090+CJ1089*CK1089+CJ1090*CK1088+CJ1091*CK1087+CJ1092*CK1086+CJ1093*CK1085+CJ1094*CK1084+CJ1095*CK1083+CJ1096*CK1082+CJ1097*CK1081+CJ1098*CK1080+CJ1099*CK1079+CJ1100</f>
        <v>2146.6795017303325</v>
      </c>
      <c r="CM1100" s="134">
        <f t="shared" si="1946"/>
        <v>2.4312139973883446E-2</v>
      </c>
      <c r="CN1100" s="135">
        <f t="shared" si="1947"/>
        <v>1.6977520201023277E-2</v>
      </c>
      <c r="CO1100" s="135">
        <f t="shared" si="1958"/>
        <v>1.6590406880045327E-2</v>
      </c>
      <c r="CP1100" s="134">
        <f>VLOOKUP($H1100,RoR!$E:$F,2,FALSE)</f>
        <v>2.4766666666666666E-2</v>
      </c>
      <c r="CQ1100" s="135">
        <v>1.1618796630994188E-2</v>
      </c>
      <c r="CR1100" s="135">
        <f t="shared" si="1956"/>
        <v>1.3147870035672478E-2</v>
      </c>
      <c r="CS1100" s="135">
        <f t="shared" si="1959"/>
        <v>1.4311534728488298E-2</v>
      </c>
      <c r="CT1100" s="135">
        <f t="shared" si="1960"/>
        <v>4.5144642961987357E-2</v>
      </c>
      <c r="CU1100" s="139">
        <f t="shared" si="1948"/>
        <v>0.90305999999999997</v>
      </c>
      <c r="CV1100" s="335">
        <f t="shared" si="1949"/>
        <v>2.0706077233668081</v>
      </c>
      <c r="CW1100" s="335">
        <f t="shared" si="1950"/>
        <v>-3.4421265141318998E-2</v>
      </c>
      <c r="CX1100" s="335">
        <f t="shared" si="1951"/>
        <v>0.62416226176410472</v>
      </c>
      <c r="CY1100" s="335">
        <f t="shared" si="1952"/>
        <v>-4.4485877841158712E-2</v>
      </c>
      <c r="CZ1100" s="336">
        <f>INDEX('State Tax Lookup'!$D$7:$Z$91,MATCH(Calculation!$C1100,'State Tax Lookup'!$B$7:$B$91,0),MATCH($H1100,'State Tax Lookup'!$D$6:$Z$6,0))</f>
        <v>0.26200000000000001</v>
      </c>
      <c r="DA1100" s="302">
        <v>0.37</v>
      </c>
      <c r="DB1100" s="57">
        <f t="shared" si="1957"/>
        <v>14.183769136909135</v>
      </c>
      <c r="DC1100" s="56">
        <f t="shared" si="1961"/>
        <v>2.2739568762822519E-2</v>
      </c>
      <c r="DD1100" s="303">
        <f>VLOOKUP($H1100,RoR!$E:$F,2,FALSE)</f>
        <v>2.4766666666666666E-2</v>
      </c>
      <c r="DE1100" s="304">
        <f>HLOOKUP($H1100,'GDP-PI'!$D$8:$CQ$11,3,FALSE)</f>
        <v>1.1618796630994188E-2</v>
      </c>
      <c r="DF1100" s="303">
        <f>VLOOKUP(H1100,'HW Dx Data'!$E:$F,2,FALSE)</f>
        <v>813.080162458833</v>
      </c>
      <c r="DG1100" s="364">
        <f ca="1">VLOOKUP(CC1100,'ECI - Input Price'!M$13:N$33,2,FALSE)</f>
        <v>153.15</v>
      </c>
      <c r="DH1100" s="364"/>
      <c r="DI1100" s="364"/>
      <c r="DJ1100" s="56">
        <f t="shared" ca="1" si="1969"/>
        <v>2.2951556467368479E-2</v>
      </c>
      <c r="DK1100" s="53">
        <f>HLOOKUP(H1100,'GDP-PI'!$8:$9,2,FALSE)</f>
        <v>113.623</v>
      </c>
      <c r="DL1100" s="355">
        <f t="shared" si="1962"/>
        <v>1.1551816731392881E-2</v>
      </c>
    </row>
    <row r="1101" spans="1:116" s="126" customFormat="1" ht="21" customHeight="1" x14ac:dyDescent="0.4">
      <c r="A1101" s="233" t="s">
        <v>246</v>
      </c>
      <c r="B1101" s="126" t="s">
        <v>247</v>
      </c>
      <c r="C1101" s="126">
        <v>4063060</v>
      </c>
      <c r="D1101" s="126" t="s">
        <v>203</v>
      </c>
      <c r="E1101" s="126" t="s">
        <v>15</v>
      </c>
      <c r="G1101" s="127" t="s">
        <v>177</v>
      </c>
      <c r="H1101" s="128">
        <v>2021</v>
      </c>
      <c r="I1101" s="129"/>
      <c r="J1101" s="125">
        <v>23586.548241640005</v>
      </c>
      <c r="K1101" s="125">
        <f t="shared" ca="1" si="1963"/>
        <v>149.99394748260735</v>
      </c>
      <c r="L1101" s="47"/>
      <c r="M1101" s="130">
        <f t="shared" ca="1" si="1970"/>
        <v>4.298779719980942E-2</v>
      </c>
      <c r="N1101" s="130"/>
      <c r="O1101" s="130"/>
      <c r="P1101" s="59">
        <f t="shared" ca="1" si="1972"/>
        <v>2.8852062752028802E-4</v>
      </c>
      <c r="Q1101" s="61"/>
      <c r="R1101" s="387"/>
      <c r="S1101" s="132">
        <f ca="1">+S1100*EXP(T1101)</f>
        <v>116.97312905481901</v>
      </c>
      <c r="T1101" s="134">
        <f ca="1">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</f>
        <v>8.9203103736507292E-3</v>
      </c>
      <c r="U1101" s="134"/>
      <c r="V1101" s="125">
        <v>33248.507762311812</v>
      </c>
      <c r="W1101" s="125">
        <f t="shared" si="1964"/>
        <v>280.60180405360632</v>
      </c>
      <c r="X1101" s="131">
        <f t="shared" si="1973"/>
        <v>4.9627693410967874E-4</v>
      </c>
      <c r="Y1101" s="131">
        <f t="shared" si="1974"/>
        <v>3.3308553073243759E-6</v>
      </c>
      <c r="Z1101" s="131"/>
      <c r="AA1101" s="131"/>
      <c r="AB1101" s="131"/>
      <c r="AC1101" s="125">
        <f t="shared" si="1944"/>
        <v>29377.735143246511</v>
      </c>
      <c r="AD1101" s="129"/>
      <c r="AE1101" s="133">
        <v>2396.9020327835201</v>
      </c>
      <c r="AF1101" s="134"/>
      <c r="AG1101" s="59">
        <f t="shared" si="1965"/>
        <v>0</v>
      </c>
      <c r="AH1101" s="134"/>
      <c r="AI1101" s="134"/>
      <c r="AJ1101" s="129">
        <f t="shared" si="1902"/>
        <v>86212.791147198324</v>
      </c>
      <c r="AK1101" s="134">
        <f t="shared" si="1975"/>
        <v>3.0910494797618069E-2</v>
      </c>
      <c r="AL1101" s="129"/>
      <c r="AM1101" s="134"/>
      <c r="AN1101" s="134"/>
      <c r="AO1101" s="134"/>
      <c r="AP1101" s="133">
        <f t="shared" si="1976"/>
        <v>416.61773574889855</v>
      </c>
      <c r="AQ1101" s="134">
        <f>+BB1101/Outputs!$B$29</f>
        <v>5.3601389109713942E-3</v>
      </c>
      <c r="AR1101" s="93">
        <f t="shared" si="1966"/>
        <v>0.27358525258008076</v>
      </c>
      <c r="AS1101" s="93">
        <f t="shared" si="1967"/>
        <v>0.38565631990204152</v>
      </c>
      <c r="AT1101" s="93">
        <f t="shared" si="1968"/>
        <v>0.34075842751787772</v>
      </c>
      <c r="AU1101" s="93">
        <f t="shared" ca="1" si="1971"/>
        <v>1.1729050171615555E-2</v>
      </c>
      <c r="AV1101" s="132">
        <f t="shared" ca="1" si="1982"/>
        <v>109.34428752009309</v>
      </c>
      <c r="AW1101" s="134">
        <f t="shared" ca="1" si="1983"/>
        <v>1.1729050171615508E-2</v>
      </c>
      <c r="AX1101" s="56">
        <f>+AJ1101/$AL$26</f>
        <v>6.7116867184245288E-3</v>
      </c>
      <c r="AY1101" s="135">
        <f t="shared" ca="1" si="1979"/>
        <v>7.8721710256566743E-5</v>
      </c>
      <c r="AZ1101" s="93"/>
      <c r="BA1101" s="93"/>
      <c r="BB1101" s="234">
        <f>INDEX('Total Customers'!$D$7:$D$91,MATCH(Calculation!$C1101,'Total Customers'!$C$7:$C$91,0))</f>
        <v>206935</v>
      </c>
      <c r="BC1101" s="269">
        <f t="shared" si="1988"/>
        <v>1.369177902943287E-2</v>
      </c>
      <c r="BD1101" s="91"/>
      <c r="BE1101" s="299" t="str">
        <f t="shared" si="1984"/>
        <v>SOUTHERN CONNECTICUT GAS COMPANY</v>
      </c>
      <c r="BF1101" s="300">
        <f t="shared" si="1985"/>
        <v>4063060</v>
      </c>
      <c r="BG1101" s="231" t="str">
        <f t="shared" si="1986"/>
        <v>CT</v>
      </c>
      <c r="BH1101" s="231"/>
      <c r="BI1101" s="231" t="str">
        <f t="shared" si="1987"/>
        <v>2021 Y</v>
      </c>
      <c r="BJ1101" s="129"/>
      <c r="BK1101" s="129"/>
      <c r="BL1101" s="129">
        <f>INDEX('Dist. Plant Gas Additions'!$D$7:$AD$91,MATCH($C1101,'Dist. Plant Gas Additions'!$C$7:$C$91,0),MATCH(Calculation!$G1101,'Dist. Plant Gas Additions'!$D$5:$AD$5,0))</f>
        <v>52875</v>
      </c>
      <c r="BM1101" s="129">
        <f>INDEX('Gen. Plant Additions'!$D$7:$AD$91,MATCH($C1101,'Gen. Plant Additions'!$C$7:$C$91,0),MATCH(Calculation!$G1101,'Gen. Plant Additions'!$D$5:$AD$5,0))</f>
        <v>6616</v>
      </c>
      <c r="BN1101" s="343"/>
      <c r="BO1101" s="231">
        <f t="shared" ref="BO1101:BO1148" si="1989">+BN1101*BM1101</f>
        <v>0</v>
      </c>
      <c r="BP1101" s="231">
        <f t="shared" ref="BP1101:BP1148" si="1990">+BO1101-BM1101</f>
        <v>-6616</v>
      </c>
      <c r="BQ1101" s="129"/>
      <c r="BR1101" s="129"/>
      <c r="BS1101" s="137"/>
      <c r="BT1101" s="137"/>
      <c r="BU1101" s="333"/>
      <c r="BV1101" s="93"/>
      <c r="BW1101" s="334"/>
      <c r="BX1101" s="334"/>
      <c r="BY1101" s="129"/>
      <c r="BZ1101" s="129"/>
      <c r="CA1101" s="129"/>
      <c r="CB1101" s="129"/>
      <c r="CC1101" s="133">
        <v>2021</v>
      </c>
      <c r="CD1101" s="129"/>
      <c r="CE1101" s="129"/>
      <c r="CF1101" s="129"/>
      <c r="CG1101" s="137"/>
      <c r="CH1101" s="129">
        <f t="shared" si="1954"/>
        <v>59491</v>
      </c>
      <c r="CI1101" s="46">
        <f t="shared" si="1955"/>
        <v>52875</v>
      </c>
      <c r="CJ1101" s="231">
        <f t="shared" si="1945"/>
        <v>56.670659115288572</v>
      </c>
      <c r="CK1101" s="443">
        <v>0.70886075949367089</v>
      </c>
      <c r="CL1101" s="129">
        <f>CL1078*CK1101+CJ1079*CK1100+CJ1080*CK1099+CJ1081*CK1098+CJ1082*CK1097+CJ1083*CK1096+CJ1084*CK1095+CJ1085*CK1094+CJ1086*CK1093+CJ1087*CK1092+CJ1088*CK1091+CJ1089*CK1090+CJ1090*CK1089+CJ1091*CK1088+CJ1092*CK1087+CJ1083*CK1086+CJ1094*CK1085+CJ1095*CK1084+CJ1096*CK1083+CJ1097*CK1082+CJ1098*CK1081+CJ1099*CK1080+CJ1101+CJ1100*CK1079</f>
        <v>2154.1276361127275</v>
      </c>
      <c r="CM1101" s="134"/>
      <c r="CN1101" s="135">
        <f t="shared" si="1947"/>
        <v>2.2929610448703563E-2</v>
      </c>
      <c r="CO1101" s="135">
        <f t="shared" si="1958"/>
        <v>1.8835595964904896E-2</v>
      </c>
      <c r="CP1101" s="134">
        <f>VLOOKUP($H1101,RoR!$E:$F,2,FALSE)</f>
        <v>2.7033333333333336E-2</v>
      </c>
      <c r="CQ1101" s="135"/>
      <c r="CR1101" s="135"/>
      <c r="CS1101" s="135">
        <f t="shared" si="1959"/>
        <v>1.2066345643628729E-2</v>
      </c>
      <c r="CT1101" s="135">
        <f t="shared" si="1960"/>
        <v>7.433422950153494E-2</v>
      </c>
      <c r="CU1101" s="139">
        <f t="shared" si="1948"/>
        <v>0.90305999999999997</v>
      </c>
      <c r="CV1101" s="335">
        <f t="shared" si="1949"/>
        <v>1.8969932656739068</v>
      </c>
      <c r="CW1101" s="335">
        <f t="shared" si="1950"/>
        <v>5.0215782983970621E-2</v>
      </c>
      <c r="CX1101" s="335">
        <f t="shared" si="1951"/>
        <v>0.655952481704143</v>
      </c>
      <c r="CY1101" s="335">
        <f t="shared" si="1952"/>
        <v>6.2485378865697057E-2</v>
      </c>
      <c r="CZ1101" s="336">
        <f>CZ1100</f>
        <v>0.26200000000000001</v>
      </c>
      <c r="DA1101" s="302">
        <v>0.37</v>
      </c>
      <c r="DB1101" s="141">
        <f t="shared" si="1957"/>
        <v>13.685198521515003</v>
      </c>
      <c r="DC1101" s="135">
        <f>LN(DB1102/DB1100)</f>
        <v>0.17177420687928954</v>
      </c>
      <c r="DD1101" s="336">
        <f>VLOOKUP($H1101,RoR!$E:$F,2,FALSE)</f>
        <v>2.7033333333333336E-2</v>
      </c>
      <c r="DE1101" s="342">
        <f>HLOOKUP($H1101,'GDP-PI'!$D$8:$CR$11,3,FALSE)</f>
        <v>4.2834637353352578E-2</v>
      </c>
      <c r="DF1101" s="336">
        <f>VLOOKUP(H1101,'HW Dx Data'!$E:$F,2,FALSE)</f>
        <v>933.02249921662576</v>
      </c>
      <c r="DG1101" s="364">
        <f ca="1">VLOOKUP(CC1101,'ECI - Input Price'!M$13:N$33,2,FALSE)</f>
        <v>157.25</v>
      </c>
      <c r="DH1101" s="364"/>
      <c r="DI1101" s="364"/>
      <c r="DJ1101" s="135">
        <f t="shared" ca="1" si="1969"/>
        <v>2.6419062301765574E-2</v>
      </c>
      <c r="DK1101" s="137">
        <f>HLOOKUP(H1101,'GDP-PI'!$8:$9,2,FALSE)</f>
        <v>118.49</v>
      </c>
      <c r="DL1101" s="356">
        <f t="shared" si="1962"/>
        <v>4.194261824609434E-2</v>
      </c>
    </row>
    <row r="1102" spans="1:116" s="126" customFormat="1" ht="21" customHeight="1" thickBot="1" x14ac:dyDescent="0.45">
      <c r="A1102" s="235"/>
      <c r="B1102" s="236"/>
      <c r="C1102" s="236"/>
      <c r="D1102" s="236"/>
      <c r="E1102" s="236"/>
      <c r="F1102" s="236"/>
      <c r="G1102" s="237" t="s">
        <v>178</v>
      </c>
      <c r="H1102" s="238"/>
      <c r="I1102" s="239"/>
      <c r="J1102" s="240">
        <v>32225.325509375602</v>
      </c>
      <c r="K1102" s="240">
        <f t="shared" ca="1" si="1963"/>
        <v>198.24869584359027</v>
      </c>
      <c r="L1102" s="47"/>
      <c r="M1102" s="241">
        <f t="shared" ref="M1102" ca="1" si="1991">LN(K1102/K1101)</f>
        <v>0.27892733898455707</v>
      </c>
      <c r="N1102" s="241"/>
      <c r="O1102" s="241"/>
      <c r="P1102" s="242">
        <f t="shared" ca="1" si="1972"/>
        <v>2.4015266629568719E-3</v>
      </c>
      <c r="Q1102" s="61"/>
      <c r="R1102" s="387"/>
      <c r="S1102" s="206">
        <f ca="1">+S1101*EXP(T1102)</f>
        <v>117.2358365637663</v>
      </c>
      <c r="T1102" s="243">
        <f ca="1">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</f>
        <v>2.2433609100322763E-3</v>
      </c>
      <c r="U1102" s="243"/>
      <c r="V1102" s="239">
        <v>45426.061260204166</v>
      </c>
      <c r="W1102" s="240">
        <f t="shared" si="1964"/>
        <v>356.98279968726257</v>
      </c>
      <c r="X1102" s="244">
        <f t="shared" ref="X1102" si="1992">LN(W1102/W1101)</f>
        <v>0.24075100355193821</v>
      </c>
      <c r="Y1102" s="244">
        <f t="shared" si="1974"/>
        <v>2.0728335783378148E-3</v>
      </c>
      <c r="Z1102" s="206"/>
      <c r="AA1102" s="243"/>
      <c r="AB1102" s="243"/>
      <c r="AC1102" s="240">
        <f t="shared" si="1944"/>
        <v>36279.699107192617</v>
      </c>
      <c r="AD1102" s="243"/>
      <c r="AE1102" s="245">
        <v>2442.2060152332633</v>
      </c>
      <c r="AF1102" s="243">
        <v>1.8724651597483495E-2</v>
      </c>
      <c r="AG1102" s="242">
        <f t="shared" si="1965"/>
        <v>1.6121671769300553E-4</v>
      </c>
      <c r="AH1102" s="206"/>
      <c r="AI1102" s="243"/>
      <c r="AJ1102" s="239">
        <f t="shared" si="1902"/>
        <v>113931.08587677238</v>
      </c>
      <c r="AK1102" s="243">
        <f t="shared" si="1975"/>
        <v>0.27877519991217431</v>
      </c>
      <c r="AL1102" s="239"/>
      <c r="AM1102" s="243"/>
      <c r="AN1102" s="243"/>
      <c r="AO1102" s="243"/>
      <c r="AP1102" s="245">
        <f t="shared" si="1976"/>
        <v>547.64555454663275</v>
      </c>
      <c r="AQ1102" s="243"/>
      <c r="AR1102" s="207">
        <f t="shared" si="1966"/>
        <v>0.28284927911799634</v>
      </c>
      <c r="AS1102" s="207">
        <f t="shared" si="1967"/>
        <v>0.39871524887717558</v>
      </c>
      <c r="AT1102" s="207">
        <f t="shared" si="1968"/>
        <v>0.31843547200482808</v>
      </c>
      <c r="AU1102" s="207"/>
      <c r="AV1102" s="206"/>
      <c r="AW1102" s="243"/>
      <c r="AX1102" s="248">
        <f>+AJ1102/$AL$27</f>
        <v>8.6098647472122956E-3</v>
      </c>
      <c r="AY1102" s="249"/>
      <c r="AZ1102" s="206"/>
      <c r="BA1102" s="243"/>
      <c r="BB1102" s="250">
        <v>208038</v>
      </c>
      <c r="BC1102" s="270">
        <f t="shared" si="1988"/>
        <v>5.3160210306264707E-3</v>
      </c>
      <c r="BD1102" s="91"/>
      <c r="BE1102" s="306">
        <f t="shared" si="1984"/>
        <v>0</v>
      </c>
      <c r="BF1102" s="307">
        <f t="shared" si="1985"/>
        <v>0</v>
      </c>
      <c r="BG1102" s="308">
        <f t="shared" si="1986"/>
        <v>0</v>
      </c>
      <c r="BH1102" s="308"/>
      <c r="BI1102" s="308" t="str">
        <f t="shared" si="1987"/>
        <v>2022Y</v>
      </c>
      <c r="BJ1102" s="239"/>
      <c r="BK1102" s="239"/>
      <c r="BL1102" s="239"/>
      <c r="BM1102" s="239"/>
      <c r="BN1102" s="337"/>
      <c r="BO1102" s="308">
        <f t="shared" si="1989"/>
        <v>0</v>
      </c>
      <c r="BP1102" s="308">
        <f t="shared" si="1990"/>
        <v>0</v>
      </c>
      <c r="BQ1102" s="239"/>
      <c r="BR1102" s="239"/>
      <c r="BS1102" s="310"/>
      <c r="BT1102" s="310"/>
      <c r="BU1102" s="311"/>
      <c r="BV1102" s="207"/>
      <c r="BW1102" s="312"/>
      <c r="BX1102" s="312"/>
      <c r="BY1102" s="239"/>
      <c r="BZ1102" s="239"/>
      <c r="CA1102" s="239"/>
      <c r="CB1102" s="239"/>
      <c r="CC1102" s="245">
        <v>2022</v>
      </c>
      <c r="CD1102" s="239"/>
      <c r="CE1102" s="239"/>
      <c r="CF1102" s="239"/>
      <c r="CG1102" s="310"/>
      <c r="CH1102" s="239">
        <v>110889</v>
      </c>
      <c r="CI1102" s="313">
        <f t="shared" si="1955"/>
        <v>110889</v>
      </c>
      <c r="CJ1102" s="308">
        <f t="shared" si="1945"/>
        <v>107.57462577972663</v>
      </c>
      <c r="CK1102" s="443">
        <v>0.69230769230769229</v>
      </c>
      <c r="CL1102" s="239">
        <f>+CL1078*CK1102+CJ1079*CK1101+CJ1080*CK1100+CJ1081*CK1099+CJ1082*CK1098+CJ1083*CK1097+CJ1084*CK1096+CJ1085*CK1095+CJ1086*CK1094+CJ1087*CK1093+CJ1088*CK1092+CJ1089*CK1091+CJ1090*CK1090+CJ1091*CK1089+CJ1092*CK1088+CJ1093*CK1087+CJ1094*CK1086+CJ1095*CK1085+CJ1096*CK1084+CJ1097*CK1083+CJ1098*CK1082+CJ1099*CK1081+CJ1100*CK1080+CJ1101*CK1079+CJ1102*CK1078</f>
        <v>2234.888385119998</v>
      </c>
      <c r="CM1102" s="243">
        <f t="shared" ref="CM1102" si="1993">LN(CL1102/CL1101)</f>
        <v>3.680545490498268E-2</v>
      </c>
      <c r="CN1102" s="249">
        <f t="shared" si="1947"/>
        <v>1.2447673166128445E-2</v>
      </c>
      <c r="CO1102" s="249">
        <f t="shared" si="1958"/>
        <v>1.745160127195176E-2</v>
      </c>
      <c r="CP1102" s="243"/>
      <c r="CQ1102" s="249"/>
      <c r="CR1102" s="249"/>
      <c r="CS1102" s="248">
        <f t="shared" si="1959"/>
        <v>1.3450340336581865E-2</v>
      </c>
      <c r="CT1102" s="249">
        <f t="shared" si="1960"/>
        <v>0.10114668178709289</v>
      </c>
      <c r="CU1102" s="314">
        <f t="shared" si="1948"/>
        <v>0.90305999999999997</v>
      </c>
      <c r="CV1102" s="315">
        <f t="shared" si="1949"/>
        <v>1.2820512820512819</v>
      </c>
      <c r="CW1102" s="315">
        <f t="shared" si="1950"/>
        <v>0.35000000000000003</v>
      </c>
      <c r="CX1102" s="315">
        <f t="shared" si="1951"/>
        <v>0.79171095533705893</v>
      </c>
      <c r="CY1102" s="315">
        <f t="shared" si="1952"/>
        <v>0.35525491585637264</v>
      </c>
      <c r="CZ1102" s="316">
        <f>CZ1101</f>
        <v>0.26200000000000001</v>
      </c>
      <c r="DA1102" s="317">
        <v>0.37</v>
      </c>
      <c r="DB1102" s="318">
        <f t="shared" si="1957"/>
        <v>16.841944970661928</v>
      </c>
      <c r="DC1102" s="249">
        <f>LN(DB1102/DB1101)</f>
        <v>0.20755765032310194</v>
      </c>
      <c r="DD1102" s="316">
        <v>0.04</v>
      </c>
      <c r="DE1102" s="319">
        <v>7.0000000000000001E-3</v>
      </c>
      <c r="DF1102" s="316">
        <v>1030.81</v>
      </c>
      <c r="DG1102" s="364">
        <f ca="1">VLOOKUP(CC1102,'ECI - Input Price'!M$13:N$33,2,FALSE)</f>
        <v>162.55000000000001</v>
      </c>
      <c r="DH1102" s="364"/>
      <c r="DI1102" s="364"/>
      <c r="DJ1102" s="249">
        <f t="shared" ca="1" si="1969"/>
        <v>3.3148751169364422E-2</v>
      </c>
      <c r="DK1102" s="310">
        <v>127.25</v>
      </c>
      <c r="DL1102" s="357">
        <f t="shared" si="1962"/>
        <v>7.1325086601983473E-2</v>
      </c>
    </row>
    <row r="1103" spans="1:116" s="126" customFormat="1" ht="21" customHeight="1" x14ac:dyDescent="0.4">
      <c r="A1103" s="251" t="s">
        <v>248</v>
      </c>
      <c r="B1103" s="265" t="s">
        <v>248</v>
      </c>
      <c r="C1103" s="265">
        <v>4057100</v>
      </c>
      <c r="D1103" s="252" t="s">
        <v>249</v>
      </c>
      <c r="E1103" s="252"/>
      <c r="F1103" s="266"/>
      <c r="G1103" s="265" t="s">
        <v>150</v>
      </c>
      <c r="H1103" s="253">
        <v>1998</v>
      </c>
      <c r="I1103" s="254"/>
      <c r="J1103" s="255"/>
      <c r="K1103" s="255"/>
      <c r="L1103" s="47"/>
      <c r="M1103" s="255"/>
      <c r="N1103" s="255"/>
      <c r="O1103" s="255"/>
      <c r="P1103" s="219"/>
      <c r="Q1103" s="218"/>
      <c r="R1103" s="385"/>
      <c r="S1103" s="257"/>
      <c r="T1103" s="258"/>
      <c r="U1103" s="258"/>
      <c r="V1103" s="259"/>
      <c r="W1103" s="259"/>
      <c r="X1103" s="259"/>
      <c r="Y1103" s="255"/>
      <c r="Z1103" s="259"/>
      <c r="AA1103" s="259"/>
      <c r="AB1103" s="259"/>
      <c r="AC1103" s="255"/>
      <c r="AD1103" s="254"/>
      <c r="AE1103" s="260">
        <v>309.97012685873955</v>
      </c>
      <c r="AF1103" s="256"/>
      <c r="AG1103" s="225"/>
      <c r="AH1103" s="256"/>
      <c r="AI1103" s="256"/>
      <c r="AJ1103" s="254">
        <f t="shared" si="1902"/>
        <v>0</v>
      </c>
      <c r="AK1103" s="254"/>
      <c r="AL1103" s="254"/>
      <c r="AM1103" s="256"/>
      <c r="AN1103" s="256"/>
      <c r="AO1103" s="256"/>
      <c r="AP1103" s="226">
        <f>+(AP1100+AP1101+AP1102)/3</f>
        <v>457.92293699801121</v>
      </c>
      <c r="AQ1103" s="256"/>
      <c r="AR1103" s="261"/>
      <c r="AS1103" s="261"/>
      <c r="AT1103" s="261"/>
      <c r="AU1103" s="261"/>
      <c r="AV1103" s="261"/>
      <c r="AW1103" s="256">
        <f ca="1">AVERAGE(AW1112:AW1126)</f>
        <v>2.1274509169991154E-2</v>
      </c>
      <c r="AX1103" s="223"/>
      <c r="AY1103" s="261"/>
      <c r="AZ1103" s="261"/>
      <c r="BA1103" s="261"/>
      <c r="BB1103" s="262">
        <f>IFERROR(INDEX('Total Customers'!$E$7:$AA$91,MATCH($C1103,'Total Customers'!$C$7:$C$91,0),MATCH($G1103,'Total Customers'!$E$5:$AA$5,0)),"NA")</f>
        <v>106897</v>
      </c>
      <c r="BC1103" s="268"/>
      <c r="BD1103" s="92"/>
      <c r="BE1103" s="320" t="str">
        <f t="shared" si="1984"/>
        <v>SOUTHERN INDIANA GAS AND ELECTRIC COMPANY</v>
      </c>
      <c r="BF1103" s="321">
        <f t="shared" si="1985"/>
        <v>4057100</v>
      </c>
      <c r="BG1103" s="322" t="str">
        <f t="shared" si="1986"/>
        <v>TX</v>
      </c>
      <c r="BH1103" s="322"/>
      <c r="BI1103" s="322" t="str">
        <f t="shared" si="1987"/>
        <v>1998 Y</v>
      </c>
      <c r="BJ1103" s="254">
        <f>INDEX('Gross Dx Plant'!$D$7:$AC$91,MATCH($C1103,'Gross Dx Plant'!$C$7:$C$91,0),MATCH(Calculation!$G1103,'Gross Dx Plant'!$D$5:$AC$5,0))</f>
        <v>100643</v>
      </c>
      <c r="BK1103" s="254">
        <f>INDEX('Gross Gen Plant'!$D$7:$AC$91,MATCH($C1103,'Gross Gen Plant'!$C$7:$C$91,0),MATCH(Calculation!$G1103,'Gross Gen Plant'!$D$5:$AC$5,0))</f>
        <v>5445</v>
      </c>
      <c r="BL1103" s="254">
        <f>INDEX('Dist. Plant Gas Additions'!$E$7:$AD$91,MATCH($C1103,'Dist. Plant Gas Additions'!$C$7:$C$91,0),MATCH(Calculation!$G1103,'Dist. Plant Gas Additions'!$E$5:$AD$5,0))</f>
        <v>4833</v>
      </c>
      <c r="BM1103" s="254">
        <f>INDEX('Gen. Plant Additions'!$E$7:$AD$91,MATCH($C1103,'Gen. Plant Additions'!$C$7:$C$91,0),MATCH(Calculation!$G1103,'Gen. Plant Additions'!$E$5:$AD$5,0))</f>
        <v>279</v>
      </c>
      <c r="BN1103" s="338">
        <f>+(BY1103/(BY1103+BZ1103))</f>
        <v>0.94867468516703113</v>
      </c>
      <c r="BO1103" s="322">
        <f t="shared" si="1989"/>
        <v>264.68023716160167</v>
      </c>
      <c r="BP1103" s="322">
        <f t="shared" si="1990"/>
        <v>-14.319762838398333</v>
      </c>
      <c r="BQ1103" s="254">
        <f>INDEX('Dist Plant Depreciation'!$D$7:$AC$94,MATCH($C1103,'Dist Plant Depreciation'!$C$7:$C$94,0),MATCH(Calculation!$G1103,'Dist Plant Depreciation'!$D$5:$AC$5,0))</f>
        <v>40959</v>
      </c>
      <c r="BR1103" s="254">
        <f>INDEX('Gen. Plant Depreciation'!$D$7:$AC$94,MATCH($C1103,'Gen. Plant Depreciation'!$C$7:$C$94,0),MATCH(Calculation!$G1103,'Gen. Plant Depreciation'!$D$5:$AC$5,0))</f>
        <v>2602</v>
      </c>
      <c r="BS1103" s="254"/>
      <c r="BT1103" s="254"/>
      <c r="BU1103" s="254"/>
      <c r="BV1103" s="254"/>
      <c r="BW1103" s="254"/>
      <c r="BX1103" s="323"/>
      <c r="BY1103" s="254">
        <f>INDEX('Gross Dx Plant'!$D$7:$AC$91,MATCH($C1103,'Gross Dx Plant'!$C$7:$C$91,0),MATCH(Calculation!$G1103,'Gross Dx Plant'!$D$5:$AC$5,0))</f>
        <v>100643</v>
      </c>
      <c r="BZ1103" s="254">
        <f>INDEX('Gross Gen Plant'!$D$7:$AC$91,MATCH($C1103,'Gross Gen Plant'!$C$7:$C$91,0),MATCH(Calculation!$G1103,'Gross Gen Plant'!$D$5:$AC$5,0))</f>
        <v>5445</v>
      </c>
      <c r="CA1103" s="254">
        <f t="shared" si="1977"/>
        <v>62527</v>
      </c>
      <c r="CB1103" s="254"/>
      <c r="CC1103" s="260">
        <v>1998</v>
      </c>
      <c r="CD1103" s="254">
        <f>BJ1103+BK1103</f>
        <v>106088</v>
      </c>
      <c r="CE1103" s="254">
        <f>40959+2602</f>
        <v>43561</v>
      </c>
      <c r="CF1103" s="254">
        <f>+CD1103-CE1103</f>
        <v>62527</v>
      </c>
      <c r="CG1103" s="254">
        <f>CF1103/$BX$3</f>
        <v>309.97012685873955</v>
      </c>
      <c r="CH1103" s="323"/>
      <c r="CI1103" s="344"/>
      <c r="CJ1103" s="344"/>
      <c r="CK1103" s="443">
        <v>1</v>
      </c>
      <c r="CL1103" s="254">
        <f>+CG1103</f>
        <v>309.97012685873955</v>
      </c>
      <c r="CM1103" s="256"/>
      <c r="CN1103" s="325"/>
      <c r="CO1103" s="325"/>
      <c r="CP1103" s="256" t="e">
        <f>VLOOKUP($H1103,RoR!$E:$F,2,FALSE)</f>
        <v>#N/A</v>
      </c>
      <c r="CQ1103" s="325">
        <v>1.1028127770464469E-2</v>
      </c>
      <c r="CR1103" s="325"/>
      <c r="CS1103" s="325"/>
      <c r="CT1103" s="325"/>
      <c r="CU1103" s="327"/>
      <c r="CV1103" s="331" t="e">
        <f>2/(DD1103*39)</f>
        <v>#N/A</v>
      </c>
      <c r="CW1103" s="328" t="e">
        <f>+(DD1103*40-(1+DD1103))/(DD1103*40)</f>
        <v>#N/A</v>
      </c>
      <c r="CX1103" s="328" t="e">
        <f>+(1-(1/(1+DD1103)^40))</f>
        <v>#N/A</v>
      </c>
      <c r="CY1103" s="328" t="e">
        <f>+CX1103*CW1103*CV1103</f>
        <v>#N/A</v>
      </c>
      <c r="CZ1103" s="329">
        <f>INDEX('State Tax Lookup'!$D$7:$Z$91,MATCH(Calculation!$C1103,'State Tax Lookup'!$B$7:$B$91,0),MATCH($H1103,'State Tax Lookup'!$D$6:$Z$6,0))</f>
        <v>0.35</v>
      </c>
      <c r="DA1103" s="330">
        <v>0.37</v>
      </c>
      <c r="DB1103" s="344"/>
      <c r="DC1103" s="326"/>
      <c r="DD1103" s="351" t="e">
        <f>VLOOKUP($H1103,RoR!$E:$F,2,FALSE)</f>
        <v>#N/A</v>
      </c>
      <c r="DE1103" s="354">
        <f>HLOOKUP($H1103,'GDP-PI'!$D$8:$CQ$11,3,FALSE)</f>
        <v>1.1028127770464469E-2</v>
      </c>
      <c r="DF1103" s="351">
        <f>VLOOKUP(H1103,'HW Dx Data'!$E:$F,2,FALSE)</f>
        <v>329.24564746449528</v>
      </c>
      <c r="DG1103" s="330"/>
      <c r="DH1103" s="330"/>
      <c r="DI1103" s="330"/>
      <c r="DJ1103" s="326"/>
      <c r="DK1103" s="344">
        <f>HLOOKUP(H1103,'GDP-PI'!$8:$9,2,FALSE)</f>
        <v>75.266999999999996</v>
      </c>
      <c r="DL1103" s="292"/>
    </row>
    <row r="1104" spans="1:116" s="126" customFormat="1" ht="21" customHeight="1" x14ac:dyDescent="0.4">
      <c r="A1104" s="233" t="s">
        <v>248</v>
      </c>
      <c r="B1104" s="126" t="s">
        <v>248</v>
      </c>
      <c r="C1104" s="126">
        <v>4057100</v>
      </c>
      <c r="D1104" s="127" t="s">
        <v>249</v>
      </c>
      <c r="E1104" s="127"/>
      <c r="F1104" s="144"/>
      <c r="G1104" s="126" t="s">
        <v>155</v>
      </c>
      <c r="H1104" s="128">
        <v>1999</v>
      </c>
      <c r="I1104" s="129"/>
      <c r="J1104" s="125"/>
      <c r="K1104" s="129"/>
      <c r="L1104" s="47"/>
      <c r="M1104" s="129"/>
      <c r="N1104" s="129"/>
      <c r="O1104" s="129"/>
      <c r="P1104" s="47"/>
      <c r="Q1104" s="47"/>
      <c r="R1104" s="386"/>
      <c r="S1104" s="119"/>
      <c r="T1104" s="47"/>
      <c r="U1104" s="46"/>
      <c r="V1104" s="135"/>
      <c r="W1104" s="135"/>
      <c r="X1104" s="135"/>
      <c r="Y1104" s="143"/>
      <c r="Z1104" s="135"/>
      <c r="AA1104" s="135"/>
      <c r="AB1104" s="135"/>
      <c r="AC1104" s="125">
        <f t="shared" ref="AC1104:AC1127" si="1994">+CL1103*DB1104</f>
        <v>0</v>
      </c>
      <c r="AD1104" s="129"/>
      <c r="AE1104" s="133">
        <v>327.97320474796931</v>
      </c>
      <c r="AF1104" s="134">
        <v>5.6455984341562897E-2</v>
      </c>
      <c r="AG1104" s="61"/>
      <c r="AH1104" s="134"/>
      <c r="AI1104" s="134"/>
      <c r="AJ1104" s="129">
        <f t="shared" si="1902"/>
        <v>0</v>
      </c>
      <c r="AK1104" s="134"/>
      <c r="AL1104" s="129"/>
      <c r="AM1104" s="134"/>
      <c r="AN1104" s="134"/>
      <c r="AO1104" s="134"/>
      <c r="AP1104" s="133"/>
      <c r="AQ1104" s="134"/>
      <c r="AR1104" s="93"/>
      <c r="AS1104" s="93"/>
      <c r="AT1104" s="93"/>
      <c r="AU1104" s="93"/>
      <c r="AV1104" s="93"/>
      <c r="AW1104" s="134"/>
      <c r="AX1104" s="62"/>
      <c r="AY1104" s="93"/>
      <c r="AZ1104" s="93"/>
      <c r="BA1104" s="93"/>
      <c r="BB1104" s="234">
        <f>IFERROR(INDEX('Total Customers'!$E$7:$AA$91,MATCH($C1104,'Total Customers'!$C$7:$C$91,0),MATCH($G1104,'Total Customers'!$E$5:$AA$5,0)),"NA")</f>
        <v>107987</v>
      </c>
      <c r="BC1104" s="269">
        <f t="shared" si="1988"/>
        <v>1.0145095482397139E-2</v>
      </c>
      <c r="BD1104" s="92"/>
      <c r="BE1104" s="299" t="str">
        <f t="shared" si="1984"/>
        <v>SOUTHERN INDIANA GAS AND ELECTRIC COMPANY</v>
      </c>
      <c r="BF1104" s="300">
        <f t="shared" si="1985"/>
        <v>4057100</v>
      </c>
      <c r="BG1104" s="231" t="str">
        <f t="shared" si="1986"/>
        <v>TX</v>
      </c>
      <c r="BH1104" s="231"/>
      <c r="BI1104" s="231" t="str">
        <f t="shared" si="1987"/>
        <v>1999 Y</v>
      </c>
      <c r="BJ1104" s="129"/>
      <c r="BK1104" s="129"/>
      <c r="BL1104" s="129">
        <f>INDEX('Dist. Plant Gas Additions'!$E$7:$AD$91,MATCH($C1104,'Dist. Plant Gas Additions'!$C$7:$C$91,0),MATCH(Calculation!$G1104,'Dist. Plant Gas Additions'!$E$5:$AD$5,0))</f>
        <v>6078</v>
      </c>
      <c r="BM1104" s="129">
        <f>INDEX('Gen. Plant Additions'!$E$7:$AD$91,MATCH($C1104,'Gen. Plant Additions'!$C$7:$C$91,0),MATCH(Calculation!$G1104,'Gen. Plant Additions'!$E$5:$AD$5,0))</f>
        <v>476</v>
      </c>
      <c r="BN1104" s="301">
        <f t="shared" ref="BN1104:BN1125" si="1995">+(BY1104/(BY1104+BZ1104))</f>
        <v>0.95017117117117122</v>
      </c>
      <c r="BO1104" s="231">
        <f t="shared" si="1989"/>
        <v>452.28147747747749</v>
      </c>
      <c r="BP1104" s="231">
        <f t="shared" si="1990"/>
        <v>-23.718522522522505</v>
      </c>
      <c r="BQ1104" s="129">
        <f>INDEX('Dist Plant Depreciation'!$D$7:$AC$94,MATCH($C1104,'Dist Plant Depreciation'!$C$7:$C$94,0),MATCH(Calculation!$G1104,'Dist Plant Depreciation'!$D$5:$AC$5,0))</f>
        <v>42676</v>
      </c>
      <c r="BR1104" s="129">
        <f>INDEX('Gen. Plant Depreciation'!$D$7:$AC$94,MATCH($C1104,'Gen. Plant Depreciation'!$C$7:$C$94,0),MATCH(Calculation!$G1104,'Gen. Plant Depreciation'!$D$5:$AC$5,0))</f>
        <v>2632</v>
      </c>
      <c r="BS1104" s="129"/>
      <c r="BT1104" s="129"/>
      <c r="BU1104" s="129"/>
      <c r="BV1104" s="129"/>
      <c r="BW1104" s="129"/>
      <c r="BX1104" s="137"/>
      <c r="BY1104" s="129">
        <f>INDEX('Gross Dx Plant'!$D$7:$AC$91,MATCH($C1104,'Gross Dx Plant'!$C$7:$C$91,0),MATCH(Calculation!$G1104,'Gross Dx Plant'!$D$5:$AC$5,0))</f>
        <v>105469</v>
      </c>
      <c r="BZ1104" s="129">
        <f>INDEX('Gross Gen Plant'!$D$7:$AC$91,MATCH($C1104,'Gross Gen Plant'!$C$7:$C$91,0),MATCH(Calculation!$G1104,'Gross Gen Plant'!$D$5:$AC$5,0))</f>
        <v>5531</v>
      </c>
      <c r="CA1104" s="129">
        <f t="shared" si="1977"/>
        <v>65692</v>
      </c>
      <c r="CB1104" s="129"/>
      <c r="CC1104" s="133">
        <v>1999</v>
      </c>
      <c r="CD1104" s="129"/>
      <c r="CE1104" s="129"/>
      <c r="CF1104" s="129"/>
      <c r="CG1104" s="137"/>
      <c r="CH1104" s="129">
        <f t="shared" ref="CH1104:CH1123" si="1996">+BM1104+BL1104</f>
        <v>6554</v>
      </c>
      <c r="CI1104" s="46">
        <f>+CH1104+BP1104</f>
        <v>6530.2814774774779</v>
      </c>
      <c r="CJ1104" s="231">
        <f t="shared" ref="CJ1104:CJ1126" si="1997">+CI1104/$DF1104</f>
        <v>19.474484883788925</v>
      </c>
      <c r="CK1104" s="443">
        <v>0.99009900990099009</v>
      </c>
      <c r="CL1104" s="231">
        <f>+CL1103*CK1104+CJ1104</f>
        <v>326.37560058551128</v>
      </c>
      <c r="CM1104" s="134">
        <f t="shared" ref="CM1104:CM1125" si="1998">LN(CL1104/CL1103)</f>
        <v>5.1572939323702251E-2</v>
      </c>
      <c r="CN1104" s="135">
        <f t="shared" ref="CN1104:CN1127" si="1999">+(CL1103-CL1104+CJ1104)/CL1103</f>
        <v>9.9009900990098057E-3</v>
      </c>
      <c r="CO1104" s="135"/>
      <c r="CP1104" s="134">
        <f>VLOOKUP($H1104,RoR!$E:$F,2,FALSE)</f>
        <v>7.0416666666666669E-2</v>
      </c>
      <c r="CQ1104" s="135">
        <v>1.4335631817396832E-2</v>
      </c>
      <c r="CR1104" s="135">
        <f>+CP1104-CQ1104</f>
        <v>5.6081034849269837E-2</v>
      </c>
      <c r="CS1104" s="135"/>
      <c r="CT1104" s="135"/>
      <c r="CU1104" s="139">
        <f t="shared" ref="CU1104:CU1127" si="2000">1-CZ1104*DA1104</f>
        <v>0.87050000000000005</v>
      </c>
      <c r="CV1104" s="335">
        <f t="shared" ref="CV1104:CV1127" si="2001">2/(DD1104*39)</f>
        <v>0.72826581702321336</v>
      </c>
      <c r="CW1104" s="335">
        <f t="shared" ref="CW1104:CW1127" si="2002">+(DD1104*40-(1+DD1104))/(DD1104*40)</f>
        <v>0.61997041420118348</v>
      </c>
      <c r="CX1104" s="335">
        <f t="shared" ref="CX1104:CX1127" si="2003">+(1-(1/(1+DD1104)^40))</f>
        <v>0.93425155319585029</v>
      </c>
      <c r="CY1104" s="335">
        <f t="shared" ref="CY1104:CY1127" si="2004">+CX1104*CW1104*CV1104</f>
        <v>0.42181762214141483</v>
      </c>
      <c r="CZ1104" s="336">
        <f>INDEX('State Tax Lookup'!$D$7:$Z$91,MATCH(Calculation!$C1104,'State Tax Lookup'!$B$7:$B$91,0),MATCH($H1104,'State Tax Lookup'!$D$6:$Z$6,0))</f>
        <v>0.35</v>
      </c>
      <c r="DA1104" s="302">
        <v>0.37</v>
      </c>
      <c r="DB1104" s="57"/>
      <c r="DC1104" s="56"/>
      <c r="DD1104" s="303">
        <f>VLOOKUP($H1104,RoR!$E:$F,2,FALSE)</f>
        <v>7.0416666666666669E-2</v>
      </c>
      <c r="DE1104" s="304">
        <f>HLOOKUP($H1104,'GDP-PI'!$D$8:$CQ$11,3,FALSE)</f>
        <v>1.4335631817396832E-2</v>
      </c>
      <c r="DF1104" s="303">
        <f>VLOOKUP(H1104,'HW Dx Data'!$E:$F,2,FALSE)</f>
        <v>335.32499146683239</v>
      </c>
      <c r="DG1104" s="364"/>
      <c r="DH1104" s="364"/>
      <c r="DI1104" s="364"/>
      <c r="DJ1104" s="56"/>
      <c r="DK1104" s="53">
        <f>HLOOKUP(H1104,'GDP-PI'!$8:$9,2,FALSE)</f>
        <v>76.346000000000004</v>
      </c>
      <c r="DL1104" s="298"/>
    </row>
    <row r="1105" spans="1:116" s="126" customFormat="1" ht="21" customHeight="1" x14ac:dyDescent="0.4">
      <c r="A1105" s="233" t="s">
        <v>248</v>
      </c>
      <c r="B1105" s="126" t="s">
        <v>248</v>
      </c>
      <c r="C1105" s="126">
        <v>4057100</v>
      </c>
      <c r="D1105" s="127" t="s">
        <v>249</v>
      </c>
      <c r="E1105" s="127"/>
      <c r="F1105" s="144"/>
      <c r="G1105" s="126" t="s">
        <v>156</v>
      </c>
      <c r="H1105" s="128">
        <v>2000</v>
      </c>
      <c r="I1105" s="129"/>
      <c r="J1105" s="125"/>
      <c r="K1105" s="125"/>
      <c r="L1105" s="47"/>
      <c r="M1105" s="125"/>
      <c r="N1105" s="125"/>
      <c r="O1105" s="125"/>
      <c r="P1105" s="47"/>
      <c r="Q1105" s="47"/>
      <c r="R1105" s="386"/>
      <c r="S1105" s="119"/>
      <c r="T1105" s="47"/>
      <c r="U1105" s="47"/>
      <c r="V1105" s="125"/>
      <c r="W1105" s="125"/>
      <c r="X1105" s="125"/>
      <c r="Y1105" s="125"/>
      <c r="Z1105" s="125"/>
      <c r="AA1105" s="125"/>
      <c r="AB1105" s="125"/>
      <c r="AC1105" s="125">
        <f t="shared" si="1994"/>
        <v>0</v>
      </c>
      <c r="AD1105" s="129"/>
      <c r="AE1105" s="133">
        <v>340.77053251580475</v>
      </c>
      <c r="AF1105" s="134">
        <v>3.8277413388609752E-2</v>
      </c>
      <c r="AG1105" s="61"/>
      <c r="AH1105" s="134"/>
      <c r="AI1105" s="134"/>
      <c r="AJ1105" s="129">
        <f t="shared" si="1902"/>
        <v>0</v>
      </c>
      <c r="AK1105" s="134"/>
      <c r="AL1105" s="129"/>
      <c r="AM1105" s="129"/>
      <c r="AN1105" s="129"/>
      <c r="AO1105" s="129"/>
      <c r="AP1105" s="133"/>
      <c r="AQ1105" s="134"/>
      <c r="AR1105" s="93"/>
      <c r="AS1105" s="93"/>
      <c r="AT1105" s="93"/>
      <c r="AU1105" s="93"/>
      <c r="AV1105" s="93"/>
      <c r="AW1105" s="134"/>
      <c r="AX1105" s="62"/>
      <c r="AY1105" s="93"/>
      <c r="AZ1105" s="93"/>
      <c r="BA1105" s="93"/>
      <c r="BB1105" s="234">
        <f>IFERROR(INDEX('Total Customers'!$E$7:$AA$91,MATCH($C1105,'Total Customers'!$C$7:$C$91,0),MATCH($G1105,'Total Customers'!$E$5:$AA$5,0)),"NA")</f>
        <v>109459</v>
      </c>
      <c r="BC1105" s="269">
        <f t="shared" si="1988"/>
        <v>1.3539200407931648E-2</v>
      </c>
      <c r="BD1105" s="92"/>
      <c r="BE1105" s="299" t="str">
        <f t="shared" si="1984"/>
        <v>SOUTHERN INDIANA GAS AND ELECTRIC COMPANY</v>
      </c>
      <c r="BF1105" s="300">
        <f t="shared" si="1985"/>
        <v>4057100</v>
      </c>
      <c r="BG1105" s="231" t="str">
        <f t="shared" si="1986"/>
        <v>TX</v>
      </c>
      <c r="BH1105" s="231"/>
      <c r="BI1105" s="231" t="str">
        <f t="shared" si="1987"/>
        <v>2000 Y</v>
      </c>
      <c r="BJ1105" s="129"/>
      <c r="BK1105" s="129"/>
      <c r="BL1105" s="129">
        <f>INDEX('Dist. Plant Gas Additions'!$E$7:$AD$91,MATCH($C1105,'Dist. Plant Gas Additions'!$C$7:$C$91,0),MATCH(Calculation!$G1105,'Dist. Plant Gas Additions'!$E$5:$AD$5,0))</f>
        <v>4657</v>
      </c>
      <c r="BM1105" s="129">
        <f>INDEX('Gen. Plant Additions'!$E$7:$AD$91,MATCH($C1105,'Gen. Plant Additions'!$C$7:$C$91,0),MATCH(Calculation!$G1105,'Gen. Plant Additions'!$E$5:$AD$5,0))</f>
        <v>362</v>
      </c>
      <c r="BN1105" s="301">
        <f t="shared" si="1995"/>
        <v>0.94926382982424096</v>
      </c>
      <c r="BO1105" s="231">
        <f t="shared" si="1989"/>
        <v>343.63350639637525</v>
      </c>
      <c r="BP1105" s="231">
        <f t="shared" si="1990"/>
        <v>-18.366493603624747</v>
      </c>
      <c r="BQ1105" s="129">
        <f>INDEX('Dist Plant Depreciation'!$D$7:$AC$94,MATCH($C1105,'Dist Plant Depreciation'!$C$7:$C$94,0),MATCH(Calculation!$G1105,'Dist Plant Depreciation'!$D$5:$AC$5,0))</f>
        <v>44809</v>
      </c>
      <c r="BR1105" s="129">
        <f>INDEX('Gen. Plant Depreciation'!$D$7:$AC$94,MATCH($C1105,'Gen. Plant Depreciation'!$C$7:$C$94,0),MATCH(Calculation!$G1105,'Gen. Plant Depreciation'!$D$5:$AC$5,0))</f>
        <v>2855</v>
      </c>
      <c r="BS1105" s="129"/>
      <c r="BT1105" s="129"/>
      <c r="BU1105" s="129"/>
      <c r="BV1105" s="129"/>
      <c r="BW1105" s="129"/>
      <c r="BX1105" s="137"/>
      <c r="BY1105" s="129">
        <f>INDEX('Gross Dx Plant'!$D$7:$AC$91,MATCH($C1105,'Gross Dx Plant'!$C$7:$C$91,0),MATCH(Calculation!$G1105,'Gross Dx Plant'!$D$5:$AC$5,0))</f>
        <v>109153</v>
      </c>
      <c r="BZ1105" s="129">
        <f>INDEX('Gross Gen Plant'!$D$7:$AC$91,MATCH($C1105,'Gross Gen Plant'!$C$7:$C$91,0),MATCH(Calculation!$G1105,'Gross Gen Plant'!$D$5:$AC$5,0))</f>
        <v>5834</v>
      </c>
      <c r="CA1105" s="129">
        <f t="shared" si="1977"/>
        <v>67323</v>
      </c>
      <c r="CB1105" s="129"/>
      <c r="CC1105" s="133">
        <v>2000</v>
      </c>
      <c r="CD1105" s="129"/>
      <c r="CE1105" s="129"/>
      <c r="CF1105" s="129"/>
      <c r="CG1105" s="137"/>
      <c r="CH1105" s="129">
        <f t="shared" si="1996"/>
        <v>5019</v>
      </c>
      <c r="CI1105" s="46">
        <f t="shared" ref="CI1105:CI1127" si="2005">+CH1105+BP1105</f>
        <v>5000.6335063963752</v>
      </c>
      <c r="CJ1105" s="231">
        <f t="shared" si="1997"/>
        <v>14.430438509225125</v>
      </c>
      <c r="CK1105" s="443">
        <v>0.98</v>
      </c>
      <c r="CL1105" s="231">
        <f>+CL1103*CK1105+CJ1104*CK1104+CJ1105</f>
        <v>337.48283103256102</v>
      </c>
      <c r="CM1105" s="134">
        <f t="shared" si="1998"/>
        <v>3.346577081629238E-2</v>
      </c>
      <c r="CN1105" s="135">
        <f t="shared" si="1999"/>
        <v>1.0182158397299345E-2</v>
      </c>
      <c r="CO1105" s="135"/>
      <c r="CP1105" s="134">
        <f>VLOOKUP($H1105,RoR!$E:$F,2,FALSE)</f>
        <v>7.6225000000000001E-2</v>
      </c>
      <c r="CQ1105" s="135">
        <v>2.2568307442433211E-2</v>
      </c>
      <c r="CR1105" s="135">
        <f t="shared" ref="CR1105:CR1125" si="2006">+CP1105-CQ1105</f>
        <v>5.365669255756679E-2</v>
      </c>
      <c r="CS1105" s="135"/>
      <c r="CT1105" s="135"/>
      <c r="CU1105" s="139">
        <f t="shared" si="2000"/>
        <v>0.87050000000000005</v>
      </c>
      <c r="CV1105" s="335">
        <f t="shared" si="2001"/>
        <v>0.67277207323124022</v>
      </c>
      <c r="CW1105" s="335">
        <f t="shared" si="2002"/>
        <v>0.6470236142997704</v>
      </c>
      <c r="CX1105" s="335">
        <f t="shared" si="2003"/>
        <v>0.94704866037543145</v>
      </c>
      <c r="CY1105" s="335">
        <f t="shared" si="2004"/>
        <v>0.41224973107878493</v>
      </c>
      <c r="CZ1105" s="336">
        <f>INDEX('State Tax Lookup'!$D$7:$Z$91,MATCH(Calculation!$C1105,'State Tax Lookup'!$B$7:$B$91,0),MATCH($H1105,'State Tax Lookup'!$D$6:$Z$6,0))</f>
        <v>0.35</v>
      </c>
      <c r="DA1105" s="302">
        <v>0.37</v>
      </c>
      <c r="DB1105" s="57"/>
      <c r="DC1105" s="56"/>
      <c r="DD1105" s="303">
        <f>VLOOKUP($H1105,RoR!$E:$F,2,FALSE)</f>
        <v>7.6225000000000001E-2</v>
      </c>
      <c r="DE1105" s="304">
        <f>HLOOKUP($H1105,'GDP-PI'!$D$8:$CQ$11,3,FALSE)</f>
        <v>2.2568307442433211E-2</v>
      </c>
      <c r="DF1105" s="303">
        <f>VLOOKUP(H1105,'HW Dx Data'!$E:$F,2,FALSE)</f>
        <v>346.53371782150339</v>
      </c>
      <c r="DG1105" s="364"/>
      <c r="DH1105" s="364"/>
      <c r="DI1105" s="364"/>
      <c r="DJ1105" s="56"/>
      <c r="DK1105" s="53">
        <f>HLOOKUP(H1105,'GDP-PI'!$8:$9,2,FALSE)</f>
        <v>78.069000000000003</v>
      </c>
      <c r="DL1105" s="298"/>
    </row>
    <row r="1106" spans="1:116" s="126" customFormat="1" ht="21" customHeight="1" x14ac:dyDescent="0.4">
      <c r="A1106" s="233" t="s">
        <v>248</v>
      </c>
      <c r="B1106" s="126" t="s">
        <v>248</v>
      </c>
      <c r="C1106" s="126">
        <v>4057100</v>
      </c>
      <c r="D1106" s="127" t="s">
        <v>249</v>
      </c>
      <c r="E1106" s="127"/>
      <c r="F1106" s="144"/>
      <c r="G1106" s="126" t="s">
        <v>157</v>
      </c>
      <c r="H1106" s="128">
        <v>2001</v>
      </c>
      <c r="I1106" s="129"/>
      <c r="J1106" s="125"/>
      <c r="K1106" s="125"/>
      <c r="L1106" s="47"/>
      <c r="M1106" s="125"/>
      <c r="N1106" s="125"/>
      <c r="O1106" s="125"/>
      <c r="P1106" s="47"/>
      <c r="Q1106" s="47"/>
      <c r="R1106" s="386"/>
      <c r="S1106" s="119"/>
      <c r="T1106" s="47"/>
      <c r="U1106" s="47"/>
      <c r="V1106" s="125"/>
      <c r="W1106" s="125"/>
      <c r="X1106" s="125"/>
      <c r="Y1106" s="125"/>
      <c r="Z1106" s="125"/>
      <c r="AA1106" s="125"/>
      <c r="AB1106" s="125"/>
      <c r="AC1106" s="125">
        <f t="shared" si="1994"/>
        <v>3321.323149445439</v>
      </c>
      <c r="AD1106" s="129"/>
      <c r="AE1106" s="133">
        <v>347.27709486039299</v>
      </c>
      <c r="AF1106" s="134">
        <v>1.8913679952129444E-2</v>
      </c>
      <c r="AG1106" s="61"/>
      <c r="AH1106" s="134"/>
      <c r="AI1106" s="134"/>
      <c r="AJ1106" s="129">
        <f t="shared" si="1902"/>
        <v>3321.323149445439</v>
      </c>
      <c r="AK1106" s="134"/>
      <c r="AL1106" s="129"/>
      <c r="AM1106" s="129"/>
      <c r="AN1106" s="129"/>
      <c r="AO1106" s="129"/>
      <c r="AP1106" s="133"/>
      <c r="AQ1106" s="134"/>
      <c r="AR1106" s="93"/>
      <c r="AS1106" s="93"/>
      <c r="AT1106" s="93"/>
      <c r="AU1106" s="93"/>
      <c r="AV1106" s="93"/>
      <c r="AW1106" s="134"/>
      <c r="AX1106" s="62"/>
      <c r="AY1106" s="93"/>
      <c r="AZ1106" s="93"/>
      <c r="BA1106" s="93"/>
      <c r="BB1106" s="234">
        <f>IFERROR(INDEX('Total Customers'!$E$7:$AA$91,MATCH($C1106,'Total Customers'!$C$7:$C$91,0),MATCH($G1106,'Total Customers'!$E$5:$AA$5,0)),"NA")</f>
        <v>109380</v>
      </c>
      <c r="BC1106" s="269">
        <f t="shared" si="1988"/>
        <v>-7.219919980598706E-4</v>
      </c>
      <c r="BD1106" s="92"/>
      <c r="BE1106" s="299" t="str">
        <f t="shared" si="1984"/>
        <v>SOUTHERN INDIANA GAS AND ELECTRIC COMPANY</v>
      </c>
      <c r="BF1106" s="300">
        <f t="shared" si="1985"/>
        <v>4057100</v>
      </c>
      <c r="BG1106" s="231" t="str">
        <f t="shared" si="1986"/>
        <v>TX</v>
      </c>
      <c r="BH1106" s="231"/>
      <c r="BI1106" s="231" t="str">
        <f t="shared" si="1987"/>
        <v>2001 Y</v>
      </c>
      <c r="BJ1106" s="129"/>
      <c r="BK1106" s="129"/>
      <c r="BL1106" s="129">
        <f>INDEX('Dist. Plant Gas Additions'!$E$7:$AD$91,MATCH($C1106,'Dist. Plant Gas Additions'!$C$7:$C$91,0),MATCH(Calculation!$G1106,'Dist. Plant Gas Additions'!$E$5:$AD$5,0))</f>
        <v>2640</v>
      </c>
      <c r="BM1106" s="129">
        <f>INDEX('Gen. Plant Additions'!$E$7:$AD$91,MATCH($C1106,'Gen. Plant Additions'!$C$7:$C$91,0),MATCH(Calculation!$G1106,'Gen. Plant Additions'!$E$5:$AD$5,0))</f>
        <v>274</v>
      </c>
      <c r="BN1106" s="301">
        <f t="shared" si="1995"/>
        <v>0.94817057612818723</v>
      </c>
      <c r="BO1106" s="231">
        <f t="shared" si="1989"/>
        <v>259.79873785912332</v>
      </c>
      <c r="BP1106" s="231">
        <f t="shared" si="1990"/>
        <v>-14.201262140876679</v>
      </c>
      <c r="BQ1106" s="129">
        <f>INDEX('Dist Plant Depreciation'!$D$7:$AC$94,MATCH($C1106,'Dist Plant Depreciation'!$C$7:$C$94,0),MATCH(Calculation!$G1106,'Dist Plant Depreciation'!$D$5:$AC$5,0))</f>
        <v>47829</v>
      </c>
      <c r="BR1106" s="129">
        <f>INDEX('Gen. Plant Depreciation'!$D$7:$AC$94,MATCH($C1106,'Gen. Plant Depreciation'!$C$7:$C$94,0),MATCH(Calculation!$G1106,'Gen. Plant Depreciation'!$D$5:$AC$5,0))</f>
        <v>3029</v>
      </c>
      <c r="BS1106" s="129"/>
      <c r="BT1106" s="129"/>
      <c r="BU1106" s="129"/>
      <c r="BV1106" s="129"/>
      <c r="BW1106" s="129"/>
      <c r="BX1106" s="137"/>
      <c r="BY1106" s="129">
        <f>INDEX('Gross Dx Plant'!$D$7:$AC$91,MATCH($C1106,'Gross Dx Plant'!$C$7:$C$91,0),MATCH(Calculation!$G1106,'Gross Dx Plant'!$D$5:$AC$5,0))</f>
        <v>111484</v>
      </c>
      <c r="BZ1106" s="129">
        <f>INDEX('Gross Gen Plant'!$D$7:$AC$91,MATCH($C1106,'Gross Gen Plant'!$C$7:$C$91,0),MATCH(Calculation!$G1106,'Gross Gen Plant'!$D$5:$AC$5,0))</f>
        <v>6094</v>
      </c>
      <c r="CA1106" s="129">
        <f t="shared" si="1977"/>
        <v>66720</v>
      </c>
      <c r="CB1106" s="129"/>
      <c r="CC1106" s="133">
        <v>2001</v>
      </c>
      <c r="CD1106" s="129"/>
      <c r="CE1106" s="129"/>
      <c r="CF1106" s="129"/>
      <c r="CG1106" s="137"/>
      <c r="CH1106" s="129">
        <f t="shared" si="1996"/>
        <v>2914</v>
      </c>
      <c r="CI1106" s="46">
        <f t="shared" si="2005"/>
        <v>2899.7987378591233</v>
      </c>
      <c r="CJ1106" s="231">
        <f t="shared" si="1997"/>
        <v>8.2043294151020412</v>
      </c>
      <c r="CK1106" s="443">
        <v>0.96969696969696972</v>
      </c>
      <c r="CL1106" s="231">
        <f>+CL1103*CK1106+CJ1104*CK1105+CJ1105*CK1103+CJ1106</f>
        <v>342.29685582194531</v>
      </c>
      <c r="CM1106" s="134">
        <f t="shared" si="1998"/>
        <v>1.416372204430117E-2</v>
      </c>
      <c r="CN1106" s="135">
        <f t="shared" si="1999"/>
        <v>1.0045858082157213E-2</v>
      </c>
      <c r="CO1106" s="135">
        <f>+(CN1106+CN1105+CN1104)/3</f>
        <v>1.0043002192822122E-2</v>
      </c>
      <c r="CP1106" s="134">
        <f>VLOOKUP($H1106,RoR!$E:$F,2,FALSE)</f>
        <v>7.0824999999999999E-2</v>
      </c>
      <c r="CQ1106" s="135">
        <v>2.2454495382290052E-2</v>
      </c>
      <c r="CR1106" s="135">
        <f t="shared" si="2006"/>
        <v>4.8370504617709947E-2</v>
      </c>
      <c r="CS1106" s="135">
        <f>+$CR$2-CO1106</f>
        <v>2.0858939415711503E-2</v>
      </c>
      <c r="CT1106" s="135">
        <f>+((DF1104/DF1103-1)+(DF1105/DF1104-1)+(DF1106/DF1105-1))/3</f>
        <v>2.3947275901631187E-2</v>
      </c>
      <c r="CU1106" s="139">
        <f t="shared" si="2000"/>
        <v>0.87050000000000005</v>
      </c>
      <c r="CV1106" s="335">
        <f t="shared" si="2001"/>
        <v>0.72406708481540816</v>
      </c>
      <c r="CW1106" s="335">
        <f t="shared" si="2002"/>
        <v>0.62201729615248857</v>
      </c>
      <c r="CX1106" s="335">
        <f t="shared" si="2003"/>
        <v>0.9352469954311422</v>
      </c>
      <c r="CY1106" s="335">
        <f t="shared" si="2004"/>
        <v>0.42121864641655071</v>
      </c>
      <c r="CZ1106" s="336">
        <f>INDEX('State Tax Lookup'!$D$7:$Z$91,MATCH(Calculation!$C1106,'State Tax Lookup'!$B$7:$B$91,0),MATCH($H1106,'State Tax Lookup'!$D$6:$Z$6,0))</f>
        <v>0.35</v>
      </c>
      <c r="DA1106" s="302">
        <v>0.37</v>
      </c>
      <c r="DB1106" s="57">
        <f t="shared" ref="DB1106:DB1127" si="2007">+(DF1106*CS1106-CT1106)*CU1106/(1-CZ1106)</f>
        <v>9.8414581247986241</v>
      </c>
      <c r="DC1106" s="56"/>
      <c r="DD1106" s="303">
        <f>VLOOKUP($H1106,RoR!$E:$F,2,FALSE)</f>
        <v>7.0824999999999999E-2</v>
      </c>
      <c r="DE1106" s="304">
        <f>HLOOKUP($H1106,'GDP-PI'!$D$8:$CQ$11,3,FALSE)</f>
        <v>2.2454495382290052E-2</v>
      </c>
      <c r="DF1106" s="303">
        <f>VLOOKUP(H1106,'HW Dx Data'!$E:$F,2,FALSE)</f>
        <v>353.44738017483138</v>
      </c>
      <c r="DG1106" s="364"/>
      <c r="DH1106" s="364"/>
      <c r="DI1106" s="364"/>
      <c r="DJ1106" s="56"/>
      <c r="DK1106" s="53">
        <f>HLOOKUP(H1106,'GDP-PI'!$8:$9,2,FALSE)</f>
        <v>79.822000000000003</v>
      </c>
      <c r="DL1106" s="298"/>
    </row>
    <row r="1107" spans="1:116" s="126" customFormat="1" ht="21" customHeight="1" x14ac:dyDescent="0.4">
      <c r="A1107" s="233" t="s">
        <v>248</v>
      </c>
      <c r="B1107" s="126" t="s">
        <v>248</v>
      </c>
      <c r="C1107" s="126">
        <v>4057100</v>
      </c>
      <c r="D1107" s="127" t="s">
        <v>249</v>
      </c>
      <c r="E1107" s="127"/>
      <c r="F1107" s="144"/>
      <c r="G1107" s="126" t="s">
        <v>158</v>
      </c>
      <c r="H1107" s="128">
        <v>2002</v>
      </c>
      <c r="I1107" s="129"/>
      <c r="J1107" s="125"/>
      <c r="K1107" s="125"/>
      <c r="L1107" s="47"/>
      <c r="M1107" s="125"/>
      <c r="N1107" s="125"/>
      <c r="O1107" s="125"/>
      <c r="P1107" s="47"/>
      <c r="Q1107" s="47"/>
      <c r="R1107" s="386"/>
      <c r="S1107" s="119"/>
      <c r="T1107" s="47"/>
      <c r="U1107" s="47"/>
      <c r="V1107" s="125"/>
      <c r="W1107" s="125"/>
      <c r="X1107" s="125"/>
      <c r="Y1107" s="125"/>
      <c r="Z1107" s="125"/>
      <c r="AA1107" s="125"/>
      <c r="AB1107" s="125"/>
      <c r="AC1107" s="125">
        <f t="shared" si="1994"/>
        <v>3372.6425097134966</v>
      </c>
      <c r="AD1107" s="129"/>
      <c r="AE1107" s="133">
        <v>372.70880744712861</v>
      </c>
      <c r="AF1107" s="134">
        <v>7.0674432125040432E-2</v>
      </c>
      <c r="AG1107" s="61"/>
      <c r="AH1107" s="134"/>
      <c r="AI1107" s="134"/>
      <c r="AJ1107" s="129">
        <f t="shared" si="1902"/>
        <v>3372.6425097134966</v>
      </c>
      <c r="AK1107" s="134"/>
      <c r="AL1107" s="129"/>
      <c r="AM1107" s="129"/>
      <c r="AN1107" s="129"/>
      <c r="AO1107" s="129"/>
      <c r="AP1107" s="133"/>
      <c r="AQ1107" s="134"/>
      <c r="AR1107" s="93"/>
      <c r="AS1107" s="93"/>
      <c r="AT1107" s="93"/>
      <c r="AU1107" s="93"/>
      <c r="AV1107" s="93"/>
      <c r="AW1107" s="134"/>
      <c r="AX1107" s="62"/>
      <c r="AY1107" s="93"/>
      <c r="AZ1107" s="93"/>
      <c r="BA1107" s="93"/>
      <c r="BB1107" s="234">
        <f>IFERROR(INDEX('Total Customers'!$E$7:$AA$91,MATCH($C1107,'Total Customers'!$C$7:$C$91,0),MATCH($G1107,'Total Customers'!$E$5:$AA$5,0)),"NA")</f>
        <v>110380</v>
      </c>
      <c r="BC1107" s="269">
        <f t="shared" si="1988"/>
        <v>9.1009000927284919E-3</v>
      </c>
      <c r="BD1107" s="92"/>
      <c r="BE1107" s="299" t="str">
        <f t="shared" si="1984"/>
        <v>SOUTHERN INDIANA GAS AND ELECTRIC COMPANY</v>
      </c>
      <c r="BF1107" s="300">
        <f t="shared" si="1985"/>
        <v>4057100</v>
      </c>
      <c r="BG1107" s="231" t="str">
        <f t="shared" si="1986"/>
        <v>TX</v>
      </c>
      <c r="BH1107" s="231"/>
      <c r="BI1107" s="231" t="str">
        <f t="shared" si="1987"/>
        <v>2002 Y</v>
      </c>
      <c r="BJ1107" s="129"/>
      <c r="BK1107" s="129"/>
      <c r="BL1107" s="129">
        <f>INDEX('Dist. Plant Gas Additions'!$E$7:$AD$91,MATCH($C1107,'Dist. Plant Gas Additions'!$C$7:$C$91,0),MATCH(Calculation!$G1107,'Dist. Plant Gas Additions'!$E$5:$AD$5,0))</f>
        <v>9240</v>
      </c>
      <c r="BM1107" s="129">
        <f>INDEX('Gen. Plant Additions'!$E$7:$AD$91,MATCH($C1107,'Gen. Plant Additions'!$C$7:$C$91,0),MATCH(Calculation!$G1107,'Gen. Plant Additions'!$E$5:$AD$5,0))</f>
        <v>665</v>
      </c>
      <c r="BN1107" s="301">
        <f t="shared" si="1995"/>
        <v>0.94769689385546108</v>
      </c>
      <c r="BO1107" s="231">
        <f t="shared" si="1989"/>
        <v>630.2184344138816</v>
      </c>
      <c r="BP1107" s="231">
        <f t="shared" si="1990"/>
        <v>-34.781565586118404</v>
      </c>
      <c r="BQ1107" s="129">
        <f>INDEX('Dist Plant Depreciation'!$D$7:$AC$94,MATCH($C1107,'Dist Plant Depreciation'!$C$7:$C$94,0),MATCH(Calculation!$G1107,'Dist Plant Depreciation'!$D$5:$AC$5,0))</f>
        <v>49467</v>
      </c>
      <c r="BR1107" s="129">
        <f>INDEX('Gen. Plant Depreciation'!$D$7:$AC$94,MATCH($C1107,'Gen. Plant Depreciation'!$C$7:$C$94,0),MATCH(Calculation!$G1107,'Gen. Plant Depreciation'!$D$5:$AC$5,0))</f>
        <v>3403</v>
      </c>
      <c r="BS1107" s="129"/>
      <c r="BT1107" s="129"/>
      <c r="BU1107" s="129"/>
      <c r="BV1107" s="129"/>
      <c r="BW1107" s="129"/>
      <c r="BX1107" s="137"/>
      <c r="BY1107" s="129">
        <f>INDEX('Gross Dx Plant'!$D$7:$AC$91,MATCH($C1107,'Gross Dx Plant'!$C$7:$C$91,0),MATCH(Calculation!$G1107,'Gross Dx Plant'!$D$5:$AC$5,0))</f>
        <v>118899</v>
      </c>
      <c r="BZ1107" s="129">
        <f>INDEX('Gross Gen Plant'!$D$7:$AC$91,MATCH($C1107,'Gross Gen Plant'!$C$7:$C$91,0),MATCH(Calculation!$G1107,'Gross Gen Plant'!$D$5:$AC$5,0))</f>
        <v>6562</v>
      </c>
      <c r="CA1107" s="129">
        <f t="shared" si="1977"/>
        <v>72591</v>
      </c>
      <c r="CB1107" s="129"/>
      <c r="CC1107" s="133">
        <v>2002</v>
      </c>
      <c r="CD1107" s="129"/>
      <c r="CE1107" s="129"/>
      <c r="CF1107" s="129"/>
      <c r="CG1107" s="137"/>
      <c r="CH1107" s="129">
        <f t="shared" si="1996"/>
        <v>9905</v>
      </c>
      <c r="CI1107" s="46">
        <f t="shared" si="2005"/>
        <v>9870.2184344138823</v>
      </c>
      <c r="CJ1107" s="231">
        <f t="shared" si="1997"/>
        <v>27.314981423417418</v>
      </c>
      <c r="CK1107" s="443">
        <v>0.95918367346938771</v>
      </c>
      <c r="CL1107" s="231">
        <f>+CL1103*CK1107+CJ1104*CK1106+CJ1105*CK1105+CJ1106*CK1104+CJ1107</f>
        <v>365.78254351760961</v>
      </c>
      <c r="CM1107" s="134">
        <f t="shared" si="1998"/>
        <v>6.6360653385449303E-2</v>
      </c>
      <c r="CN1107" s="135">
        <f t="shared" si="1999"/>
        <v>1.118705492797465E-2</v>
      </c>
      <c r="CO1107" s="135">
        <f t="shared" ref="CO1107:CO1127" si="2008">+(CN1107+CN1106+CN1105)/3</f>
        <v>1.0471690469143737E-2</v>
      </c>
      <c r="CP1107" s="134">
        <f>VLOOKUP($H1107,RoR!$E:$F,2,FALSE)</f>
        <v>6.4916666666666664E-2</v>
      </c>
      <c r="CQ1107" s="135">
        <v>1.5246423291824351E-2</v>
      </c>
      <c r="CR1107" s="135">
        <f t="shared" si="2006"/>
        <v>4.9670243374842313E-2</v>
      </c>
      <c r="CS1107" s="135">
        <f t="shared" ref="CS1107:CS1127" si="2009">+$CR$2-CO1107</f>
        <v>2.0430251139389888E-2</v>
      </c>
      <c r="CT1107" s="135">
        <f t="shared" ref="CT1107:CT1127" si="2010">+((DF1105/DF1104-1)+(DF1106/DF1105-1)+(DF1107/DF1106-1))/3</f>
        <v>2.5243621214759093E-2</v>
      </c>
      <c r="CU1107" s="139">
        <f t="shared" si="2000"/>
        <v>0.87050000000000005</v>
      </c>
      <c r="CV1107" s="335">
        <f t="shared" si="2001"/>
        <v>0.78996741384417901</v>
      </c>
      <c r="CW1107" s="335">
        <f t="shared" si="2002"/>
        <v>0.58989088575096271</v>
      </c>
      <c r="CX1107" s="335">
        <f t="shared" si="2003"/>
        <v>0.91920675783645744</v>
      </c>
      <c r="CY1107" s="335">
        <f t="shared" si="2004"/>
        <v>0.42834536472275586</v>
      </c>
      <c r="CZ1107" s="336">
        <f>INDEX('State Tax Lookup'!$D$7:$Z$91,MATCH(Calculation!$C1107,'State Tax Lookup'!$B$7:$B$91,0),MATCH($H1107,'State Tax Lookup'!$D$6:$Z$6,0))</f>
        <v>0.35</v>
      </c>
      <c r="DA1107" s="302">
        <v>0.37</v>
      </c>
      <c r="DB1107" s="57">
        <f t="shared" si="2007"/>
        <v>9.8529754286374889</v>
      </c>
      <c r="DC1107" s="56">
        <f t="shared" ref="DC1107:DC1125" si="2011">LN(DB1107/DB1106)</f>
        <v>1.1696000416112167E-3</v>
      </c>
      <c r="DD1107" s="303">
        <f>VLOOKUP($H1107,RoR!$E:$F,2,FALSE)</f>
        <v>6.4916666666666664E-2</v>
      </c>
      <c r="DE1107" s="304">
        <f>HLOOKUP($H1107,'GDP-PI'!$D$8:$CQ$11,3,FALSE)</f>
        <v>1.5246423291824351E-2</v>
      </c>
      <c r="DF1107" s="303">
        <f>VLOOKUP(H1107,'HW Dx Data'!$E:$F,2,FALSE)</f>
        <v>361.34816573413599</v>
      </c>
      <c r="DG1107" s="364"/>
      <c r="DH1107" s="364"/>
      <c r="DI1107" s="364"/>
      <c r="DJ1107" s="56"/>
      <c r="DK1107" s="53">
        <f>HLOOKUP(H1107,'GDP-PI'!$8:$9,2,FALSE)</f>
        <v>81.039000000000001</v>
      </c>
      <c r="DL1107" s="355">
        <f>LN(DK1107/DK1106)</f>
        <v>1.513136459537477E-2</v>
      </c>
    </row>
    <row r="1108" spans="1:116" s="126" customFormat="1" ht="21" customHeight="1" x14ac:dyDescent="0.4">
      <c r="A1108" s="233" t="s">
        <v>248</v>
      </c>
      <c r="B1108" s="126" t="s">
        <v>248</v>
      </c>
      <c r="C1108" s="126">
        <v>4057100</v>
      </c>
      <c r="D1108" s="127" t="s">
        <v>249</v>
      </c>
      <c r="E1108" s="127"/>
      <c r="F1108" s="144"/>
      <c r="G1108" s="126" t="s">
        <v>159</v>
      </c>
      <c r="H1108" s="128">
        <v>2003</v>
      </c>
      <c r="I1108" s="129"/>
      <c r="J1108" s="125"/>
      <c r="K1108" s="125"/>
      <c r="L1108" s="47"/>
      <c r="M1108" s="125"/>
      <c r="N1108" s="125"/>
      <c r="O1108" s="125"/>
      <c r="P1108" s="59"/>
      <c r="Q1108" s="59"/>
      <c r="R1108" s="386"/>
      <c r="S1108" s="119"/>
      <c r="T1108" s="59"/>
      <c r="U1108" s="59"/>
      <c r="V1108" s="125"/>
      <c r="W1108" s="125"/>
      <c r="X1108" s="125"/>
      <c r="Y1108" s="125"/>
      <c r="Z1108" s="125"/>
      <c r="AA1108" s="125"/>
      <c r="AB1108" s="125"/>
      <c r="AC1108" s="125">
        <f t="shared" si="1994"/>
        <v>3634.0430957228082</v>
      </c>
      <c r="AD1108" s="129"/>
      <c r="AE1108" s="133">
        <v>388.66365166655174</v>
      </c>
      <c r="AF1108" s="134">
        <v>4.191688325074E-2</v>
      </c>
      <c r="AG1108" s="61"/>
      <c r="AH1108" s="134"/>
      <c r="AI1108" s="134"/>
      <c r="AJ1108" s="129">
        <f t="shared" si="1902"/>
        <v>3634.0430957228082</v>
      </c>
      <c r="AK1108" s="134"/>
      <c r="AL1108" s="129"/>
      <c r="AM1108" s="129"/>
      <c r="AN1108" s="129"/>
      <c r="AO1108" s="129"/>
      <c r="AP1108" s="133"/>
      <c r="AQ1108" s="134"/>
      <c r="AR1108" s="93"/>
      <c r="AS1108" s="93"/>
      <c r="AT1108" s="93"/>
      <c r="AU1108" s="93"/>
      <c r="AV1108" s="93"/>
      <c r="AW1108" s="134"/>
      <c r="AX1108" s="62"/>
      <c r="AY1108" s="93"/>
      <c r="AZ1108" s="93"/>
      <c r="BA1108" s="93"/>
      <c r="BB1108" s="234">
        <f>IFERROR(INDEX('Total Customers'!$E$7:$AA$91,MATCH($C1108,'Total Customers'!$C$7:$C$91,0),MATCH($G1108,'Total Customers'!$E$5:$AA$5,0)),"NA")</f>
        <v>110360</v>
      </c>
      <c r="BC1108" s="269">
        <f t="shared" si="1988"/>
        <v>-1.8120866226990195E-4</v>
      </c>
      <c r="BD1108" s="92"/>
      <c r="BE1108" s="299" t="str">
        <f t="shared" si="1984"/>
        <v>SOUTHERN INDIANA GAS AND ELECTRIC COMPANY</v>
      </c>
      <c r="BF1108" s="300">
        <f t="shared" si="1985"/>
        <v>4057100</v>
      </c>
      <c r="BG1108" s="231" t="str">
        <f t="shared" si="1986"/>
        <v>TX</v>
      </c>
      <c r="BH1108" s="231"/>
      <c r="BI1108" s="231" t="str">
        <f t="shared" si="1987"/>
        <v>2003 Y</v>
      </c>
      <c r="BJ1108" s="129"/>
      <c r="BK1108" s="129"/>
      <c r="BL1108" s="129">
        <f>INDEX('Dist. Plant Gas Additions'!$E$7:$AD$91,MATCH($C1108,'Dist. Plant Gas Additions'!$C$7:$C$91,0),MATCH(Calculation!$G1108,'Dist. Plant Gas Additions'!$E$5:$AD$5,0))</f>
        <v>6283</v>
      </c>
      <c r="BM1108" s="129">
        <f>INDEX('Gen. Plant Additions'!$E$7:$AD$91,MATCH($C1108,'Gen. Plant Additions'!$C$7:$C$91,0),MATCH(Calculation!$G1108,'Gen. Plant Additions'!$E$5:$AD$5,0))</f>
        <v>385</v>
      </c>
      <c r="BN1108" s="301">
        <f t="shared" si="1995"/>
        <v>0.9495131598965465</v>
      </c>
      <c r="BO1108" s="231">
        <f t="shared" si="1989"/>
        <v>365.56256656017041</v>
      </c>
      <c r="BP1108" s="231">
        <f t="shared" si="1990"/>
        <v>-19.43743343982959</v>
      </c>
      <c r="BQ1108" s="129">
        <f>INDEX('Dist Plant Depreciation'!$D$7:$AC$94,MATCH($C1108,'Dist Plant Depreciation'!$C$7:$C$94,0),MATCH(Calculation!$G1108,'Dist Plant Depreciation'!$D$5:$AC$5,0))</f>
        <v>52431</v>
      </c>
      <c r="BR1108" s="129">
        <f>INDEX('Gen. Plant Depreciation'!$D$7:$AC$94,MATCH($C1108,'Gen. Plant Depreciation'!$C$7:$C$94,0),MATCH(Calculation!$G1108,'Gen. Plant Depreciation'!$D$5:$AC$5,0))</f>
        <v>3466</v>
      </c>
      <c r="BS1108" s="129"/>
      <c r="BT1108" s="129"/>
      <c r="BU1108" s="129"/>
      <c r="BV1108" s="129"/>
      <c r="BW1108" s="129"/>
      <c r="BX1108" s="137"/>
      <c r="BY1108" s="129">
        <f>INDEX('Gross Dx Plant'!$D$7:$AC$91,MATCH($C1108,'Gross Dx Plant'!$C$7:$C$91,0),MATCH(Calculation!$G1108,'Gross Dx Plant'!$D$5:$AC$5,0))</f>
        <v>124823</v>
      </c>
      <c r="BZ1108" s="129">
        <f>INDEX('Gross Gen Plant'!$D$7:$AC$91,MATCH($C1108,'Gross Gen Plant'!$C$7:$C$91,0),MATCH(Calculation!$G1108,'Gross Gen Plant'!$D$5:$AC$5,0))</f>
        <v>6637</v>
      </c>
      <c r="CA1108" s="129">
        <f t="shared" si="1977"/>
        <v>75563</v>
      </c>
      <c r="CB1108" s="129"/>
      <c r="CC1108" s="133">
        <v>2003</v>
      </c>
      <c r="CD1108" s="129"/>
      <c r="CE1108" s="129"/>
      <c r="CF1108" s="129"/>
      <c r="CG1108" s="137"/>
      <c r="CH1108" s="129">
        <f t="shared" si="1996"/>
        <v>6668</v>
      </c>
      <c r="CI1108" s="46">
        <f t="shared" si="2005"/>
        <v>6648.5625665601701</v>
      </c>
      <c r="CJ1108" s="231">
        <f t="shared" si="1997"/>
        <v>18.006414294738182</v>
      </c>
      <c r="CK1108" s="443">
        <v>0.94845360824742264</v>
      </c>
      <c r="CL1108" s="231">
        <f>+CL1103*CK1108+CJ1104*CK1107+CJ1105*CK1106+CJ1106*CK1105+CJ1107*CK1104+CJ1108</f>
        <v>379.75623889596136</v>
      </c>
      <c r="CM1108" s="134">
        <f t="shared" si="1998"/>
        <v>3.74905568629917E-2</v>
      </c>
      <c r="CN1108" s="135">
        <f t="shared" si="1999"/>
        <v>1.1024908071350563E-2</v>
      </c>
      <c r="CO1108" s="135">
        <f t="shared" si="2008"/>
        <v>1.0752607027160807E-2</v>
      </c>
      <c r="CP1108" s="134">
        <f>VLOOKUP($H1108,RoR!$E:$F,2,FALSE)</f>
        <v>5.6666666666666671E-2</v>
      </c>
      <c r="CQ1108" s="135">
        <v>1.8855119140166909E-2</v>
      </c>
      <c r="CR1108" s="135">
        <f t="shared" si="2006"/>
        <v>3.7811547526499761E-2</v>
      </c>
      <c r="CS1108" s="135">
        <f t="shared" si="2009"/>
        <v>2.0149334581372816E-2</v>
      </c>
      <c r="CT1108" s="135">
        <f t="shared" si="2010"/>
        <v>2.1375012817671957E-2</v>
      </c>
      <c r="CU1108" s="139">
        <f t="shared" si="2000"/>
        <v>0.87050000000000005</v>
      </c>
      <c r="CV1108" s="335">
        <f t="shared" si="2001"/>
        <v>0.90497737556561086</v>
      </c>
      <c r="CW1108" s="335">
        <f t="shared" si="2002"/>
        <v>0.5338235294117647</v>
      </c>
      <c r="CX1108" s="335">
        <f t="shared" si="2003"/>
        <v>0.88972433127405692</v>
      </c>
      <c r="CY1108" s="335">
        <f t="shared" si="2004"/>
        <v>0.42982423775949252</v>
      </c>
      <c r="CZ1108" s="336">
        <f>INDEX('State Tax Lookup'!$D$7:$Z$91,MATCH(Calculation!$C1108,'State Tax Lookup'!$B$7:$B$91,0),MATCH($H1108,'State Tax Lookup'!$D$6:$Z$6,0))</f>
        <v>0.35</v>
      </c>
      <c r="DA1108" s="302">
        <v>0.37</v>
      </c>
      <c r="DB1108" s="57">
        <f t="shared" si="2007"/>
        <v>9.9349823006188842</v>
      </c>
      <c r="DC1108" s="56">
        <f t="shared" si="2011"/>
        <v>8.2886109420250691E-3</v>
      </c>
      <c r="DD1108" s="303">
        <f>VLOOKUP($H1108,RoR!$E:$F,2,FALSE)</f>
        <v>5.6666666666666671E-2</v>
      </c>
      <c r="DE1108" s="304">
        <f>HLOOKUP($H1108,'GDP-PI'!$D$8:$CQ$11,3,FALSE)</f>
        <v>1.8855119140166909E-2</v>
      </c>
      <c r="DF1108" s="303">
        <f>VLOOKUP(H1108,'HW Dx Data'!$E:$F,2,FALSE)</f>
        <v>369.23301095560191</v>
      </c>
      <c r="DG1108" s="364">
        <f ca="1">VLOOKUP(CC1108,'ECI - Input Price'!M$13:N$33,2,FALSE)</f>
        <v>89.25</v>
      </c>
      <c r="DH1108" s="364"/>
      <c r="DI1108" s="364"/>
      <c r="DJ1108" s="56"/>
      <c r="DK1108" s="53">
        <f>HLOOKUP(H1108,'GDP-PI'!$8:$9,2,FALSE)</f>
        <v>82.566999999999993</v>
      </c>
      <c r="DL1108" s="355">
        <f t="shared" ref="DL1108:DL1127" si="2012">LN(DK1108/DK1107)</f>
        <v>1.8679564681853753E-2</v>
      </c>
    </row>
    <row r="1109" spans="1:116" s="126" customFormat="1" ht="21" customHeight="1" x14ac:dyDescent="0.4">
      <c r="A1109" s="233" t="s">
        <v>248</v>
      </c>
      <c r="B1109" s="126" t="s">
        <v>248</v>
      </c>
      <c r="C1109" s="126">
        <v>4057100</v>
      </c>
      <c r="D1109" s="127" t="s">
        <v>249</v>
      </c>
      <c r="E1109" s="127"/>
      <c r="F1109" s="144"/>
      <c r="G1109" s="126" t="s">
        <v>160</v>
      </c>
      <c r="H1109" s="128">
        <v>2004</v>
      </c>
      <c r="I1109" s="129"/>
      <c r="J1109" s="125">
        <f>IFERROR(INDEX('Labor Expenditures'!$E$7:$W$91,MATCH($C1109,'Labor Expenditures'!$C$7:$C$91,0),MATCH($G1109,'Labor Expenditures'!$E$5:$W$5,0)),"NA")</f>
        <v>5881.2659814697126</v>
      </c>
      <c r="K1109" s="125">
        <f t="shared" ref="K1109:K1127" ca="1" si="2013">+J1109/DG1109</f>
        <v>62.334562601692774</v>
      </c>
      <c r="L1109" s="47"/>
      <c r="M1109" s="131"/>
      <c r="N1109" s="131"/>
      <c r="O1109" s="131"/>
      <c r="P1109" s="59"/>
      <c r="Q1109" s="59"/>
      <c r="R1109" s="386"/>
      <c r="S1109" s="119"/>
      <c r="T1109" s="59"/>
      <c r="U1109" s="59"/>
      <c r="V1109" s="125">
        <f>IFERROR(INDEX('Non-Labor Expenditures'!$E$7:$AA$91,MATCH($C1109,'Non-Labor Expenditures'!$C$7:$C$91,0),MATCH($G1109,'Non-Labor Expenditures'!$E$5:$AA$5,0)),"NA")</f>
        <v>8517.1716101312286</v>
      </c>
      <c r="W1109" s="125">
        <f t="shared" ref="W1109:W1127" si="2014">+V1109/DK1109</f>
        <v>100.46440833861648</v>
      </c>
      <c r="X1109" s="125"/>
      <c r="Y1109" s="125"/>
      <c r="Z1109" s="125"/>
      <c r="AA1109" s="125"/>
      <c r="AB1109" s="125"/>
      <c r="AC1109" s="125">
        <f t="shared" si="1994"/>
        <v>4134.3004630398009</v>
      </c>
      <c r="AD1109" s="129"/>
      <c r="AE1109" s="133">
        <v>399.95284758602878</v>
      </c>
      <c r="AF1109" s="134">
        <v>2.8632338202474211E-2</v>
      </c>
      <c r="AG1109" s="59">
        <f t="shared" ref="AG1109:AG1127" si="2015">+AF1109*$AX1109</f>
        <v>0</v>
      </c>
      <c r="AH1109" s="134"/>
      <c r="AI1109" s="134"/>
      <c r="AJ1109" s="129">
        <f t="shared" si="1902"/>
        <v>18532.738054640744</v>
      </c>
      <c r="AK1109" s="134"/>
      <c r="AL1109" s="129"/>
      <c r="AM1109" s="129"/>
      <c r="AN1109" s="129"/>
      <c r="AO1109" s="129"/>
      <c r="AP1109" s="133"/>
      <c r="AQ1109" s="134"/>
      <c r="AR1109" s="93">
        <f t="shared" ref="AR1109:AR1127" si="2016">+J1109/AJ1109</f>
        <v>0.31734468830939944</v>
      </c>
      <c r="AS1109" s="93">
        <f t="shared" ref="AS1109:AS1127" si="2017">+V1109/AJ1109</f>
        <v>0.45957438048386279</v>
      </c>
      <c r="AT1109" s="93">
        <f t="shared" ref="AT1109:AT1127" si="2018">+AC1109/AJ1109</f>
        <v>0.22308093120673766</v>
      </c>
      <c r="AU1109" s="93"/>
      <c r="AV1109" s="93"/>
      <c r="AW1109" s="134"/>
      <c r="AX1109" s="62"/>
      <c r="AY1109" s="93"/>
      <c r="AZ1109" s="93"/>
      <c r="BA1109" s="93"/>
      <c r="BB1109" s="234">
        <f>IFERROR(INDEX('Total Customers'!$E$7:$AA$91,MATCH($C1109,'Total Customers'!$C$7:$C$91,0),MATCH($G1109,'Total Customers'!$E$5:$AA$5,0)),"NA")</f>
        <v>110737</v>
      </c>
      <c r="BC1109" s="269">
        <f t="shared" si="1988"/>
        <v>3.4102711965714604E-3</v>
      </c>
      <c r="BD1109" s="92"/>
      <c r="BE1109" s="299" t="str">
        <f t="shared" si="1984"/>
        <v>SOUTHERN INDIANA GAS AND ELECTRIC COMPANY</v>
      </c>
      <c r="BF1109" s="300">
        <f t="shared" si="1985"/>
        <v>4057100</v>
      </c>
      <c r="BG1109" s="231" t="str">
        <f t="shared" si="1986"/>
        <v>TX</v>
      </c>
      <c r="BH1109" s="231"/>
      <c r="BI1109" s="231" t="str">
        <f t="shared" si="1987"/>
        <v>2004 Y</v>
      </c>
      <c r="BJ1109" s="129"/>
      <c r="BK1109" s="129"/>
      <c r="BL1109" s="129">
        <f>INDEX('Dist. Plant Gas Additions'!$E$7:$AD$91,MATCH($C1109,'Dist. Plant Gas Additions'!$C$7:$C$91,0),MATCH(Calculation!$G1109,'Dist. Plant Gas Additions'!$E$5:$AD$5,0))</f>
        <v>4967</v>
      </c>
      <c r="BM1109" s="129">
        <f>INDEX('Gen. Plant Additions'!$E$7:$AD$91,MATCH($C1109,'Gen. Plant Additions'!$C$7:$C$91,0),MATCH(Calculation!$G1109,'Gen. Plant Additions'!$E$5:$AD$5,0))</f>
        <v>655</v>
      </c>
      <c r="BN1109" s="301">
        <f t="shared" si="1995"/>
        <v>0.94700268965771339</v>
      </c>
      <c r="BO1109" s="231">
        <f t="shared" si="1989"/>
        <v>620.28676172580231</v>
      </c>
      <c r="BP1109" s="231">
        <f t="shared" si="1990"/>
        <v>-34.713238274197693</v>
      </c>
      <c r="BQ1109" s="129">
        <f>INDEX('Dist Plant Depreciation'!$D$7:$AC$94,MATCH($C1109,'Dist Plant Depreciation'!$C$7:$C$94,0),MATCH(Calculation!$G1109,'Dist Plant Depreciation'!$D$5:$AC$5,0))</f>
        <v>54559</v>
      </c>
      <c r="BR1109" s="129">
        <f>INDEX('Gen. Plant Depreciation'!$D$7:$AC$94,MATCH($C1109,'Gen. Plant Depreciation'!$C$7:$C$94,0),MATCH(Calculation!$G1109,'Gen. Plant Depreciation'!$D$5:$AC$5,0))</f>
        <v>3779</v>
      </c>
      <c r="BS1109" s="129"/>
      <c r="BT1109" s="129"/>
      <c r="BU1109" s="129"/>
      <c r="BV1109" s="129"/>
      <c r="BW1109" s="129"/>
      <c r="BX1109" s="137"/>
      <c r="BY1109" s="129">
        <f>INDEX('Gross Dx Plant'!$D$7:$AC$91,MATCH($C1109,'Gross Dx Plant'!$C$7:$C$91,0),MATCH(Calculation!$G1109,'Gross Dx Plant'!$D$5:$AC$5,0))</f>
        <v>128513</v>
      </c>
      <c r="BZ1109" s="129">
        <f>INDEX('Gross Gen Plant'!$D$7:$AC$91,MATCH($C1109,'Gross Gen Plant'!$C$7:$C$91,0),MATCH(Calculation!$G1109,'Gross Gen Plant'!$D$5:$AC$5,0))</f>
        <v>7192</v>
      </c>
      <c r="CA1109" s="129">
        <f t="shared" si="1977"/>
        <v>77367</v>
      </c>
      <c r="CB1109" s="129"/>
      <c r="CC1109" s="133">
        <v>2004</v>
      </c>
      <c r="CD1109" s="129"/>
      <c r="CE1109" s="129"/>
      <c r="CF1109" s="129"/>
      <c r="CG1109" s="137"/>
      <c r="CH1109" s="129">
        <f t="shared" si="1996"/>
        <v>5622</v>
      </c>
      <c r="CI1109" s="46">
        <f t="shared" si="2005"/>
        <v>5587.2867617258025</v>
      </c>
      <c r="CJ1109" s="231">
        <f t="shared" si="1997"/>
        <v>13.467002303721635</v>
      </c>
      <c r="CK1109" s="443">
        <v>0.9375</v>
      </c>
      <c r="CL1109" s="231">
        <f>+CL1103*CK1109+CJ1104*CK1108+CJ1105*CK1107+CJ1106*CK1106+CJ1107*CK1105+CJ1108*CK1104+CJ1109</f>
        <v>388.92861084188871</v>
      </c>
      <c r="CM1109" s="134">
        <f t="shared" si="1998"/>
        <v>2.3866236793267829E-2</v>
      </c>
      <c r="CN1109" s="135">
        <f t="shared" si="1999"/>
        <v>1.1308913239397356E-2</v>
      </c>
      <c r="CO1109" s="135">
        <f t="shared" si="2008"/>
        <v>1.1173625412907522E-2</v>
      </c>
      <c r="CP1109" s="134">
        <f>VLOOKUP($H1109,RoR!$E:$F,2,FALSE)</f>
        <v>5.6283333333333331E-2</v>
      </c>
      <c r="CQ1109" s="135">
        <v>2.6778252812867276E-2</v>
      </c>
      <c r="CR1109" s="135">
        <f t="shared" si="2006"/>
        <v>2.9505080520466055E-2</v>
      </c>
      <c r="CS1109" s="135">
        <f t="shared" si="2009"/>
        <v>1.9728316195626101E-2</v>
      </c>
      <c r="CT1109" s="135">
        <f t="shared" si="2010"/>
        <v>5.5940039414565046E-2</v>
      </c>
      <c r="CU1109" s="139">
        <f t="shared" si="2000"/>
        <v>0.87050000000000005</v>
      </c>
      <c r="CV1109" s="335">
        <f t="shared" si="2001"/>
        <v>0.91114097628755619</v>
      </c>
      <c r="CW1109" s="335">
        <f t="shared" si="2002"/>
        <v>0.53081877405981637</v>
      </c>
      <c r="CX1109" s="335">
        <f t="shared" si="2003"/>
        <v>0.88811215519385678</v>
      </c>
      <c r="CY1109" s="335">
        <f t="shared" si="2004"/>
        <v>0.42953609753547711</v>
      </c>
      <c r="CZ1109" s="336">
        <f>INDEX('State Tax Lookup'!$D$7:$Z$91,MATCH(Calculation!$C1109,'State Tax Lookup'!$B$7:$B$91,0),MATCH($H1109,'State Tax Lookup'!$D$6:$Z$6,0))</f>
        <v>0.35</v>
      </c>
      <c r="DA1109" s="302">
        <v>0.37</v>
      </c>
      <c r="DB1109" s="57">
        <f t="shared" si="2007"/>
        <v>10.886721637698862</v>
      </c>
      <c r="DC1109" s="56">
        <f t="shared" si="2011"/>
        <v>9.1481753767833962E-2</v>
      </c>
      <c r="DD1109" s="303">
        <f>VLOOKUP($H1109,RoR!$E:$F,2,FALSE)</f>
        <v>5.6283333333333331E-2</v>
      </c>
      <c r="DE1109" s="304">
        <f>HLOOKUP($H1109,'GDP-PI'!$D$8:$CQ$11,3,FALSE)</f>
        <v>2.6778252812867276E-2</v>
      </c>
      <c r="DF1109" s="303">
        <f>VLOOKUP(H1109,'HW Dx Data'!$E:$F,2,FALSE)</f>
        <v>414.88719135228365</v>
      </c>
      <c r="DG1109" s="364">
        <f ca="1">VLOOKUP(CC1109,'ECI - Input Price'!M$13:N$33,2,FALSE)</f>
        <v>94.35</v>
      </c>
      <c r="DH1109" s="364"/>
      <c r="DI1109" s="364"/>
      <c r="DJ1109" s="56">
        <f t="shared" ref="DJ1109:DJ1127" ca="1" si="2019">LN(DG1109/DG1108)</f>
        <v>5.5569851154810786E-2</v>
      </c>
      <c r="DK1109" s="53">
        <f>HLOOKUP(H1109,'GDP-PI'!$8:$9,2,FALSE)</f>
        <v>84.778000000000006</v>
      </c>
      <c r="DL1109" s="355">
        <f t="shared" si="2012"/>
        <v>2.6425990216022755E-2</v>
      </c>
    </row>
    <row r="1110" spans="1:116" s="126" customFormat="1" ht="21" customHeight="1" x14ac:dyDescent="0.4">
      <c r="A1110" s="233" t="s">
        <v>248</v>
      </c>
      <c r="B1110" s="126" t="s">
        <v>248</v>
      </c>
      <c r="C1110" s="126">
        <v>4057100</v>
      </c>
      <c r="D1110" s="127" t="s">
        <v>249</v>
      </c>
      <c r="E1110" s="127"/>
      <c r="F1110" s="144"/>
      <c r="G1110" s="126" t="s">
        <v>161</v>
      </c>
      <c r="H1110" s="128">
        <v>2005</v>
      </c>
      <c r="I1110" s="129"/>
      <c r="J1110" s="125">
        <f>IFERROR(INDEX('Labor Expenditures'!$E$7:$W$91,MATCH($C1110,'Labor Expenditures'!$C$7:$C$91,0),MATCH($G1110,'Labor Expenditures'!$E$5:$W$5,0)),"NA")</f>
        <v>6525.1436522031454</v>
      </c>
      <c r="K1110" s="125">
        <f t="shared" ca="1" si="2013"/>
        <v>65.761084930240827</v>
      </c>
      <c r="L1110" s="47"/>
      <c r="M1110" s="131">
        <f t="shared" ref="M1110:M1126" ca="1" si="2020">LN(K1110/K1109)</f>
        <v>5.3512200067946707E-2</v>
      </c>
      <c r="N1110" s="131"/>
      <c r="O1110" s="131"/>
      <c r="P1110" s="59"/>
      <c r="Q1110" s="61"/>
      <c r="R1110" s="387"/>
      <c r="S1110" s="49">
        <v>100</v>
      </c>
      <c r="T1110" s="46"/>
      <c r="U1110" s="46"/>
      <c r="V1110" s="125">
        <f>IFERROR(INDEX('Non-Labor Expenditures'!$E$7:$AA$91,MATCH($C1110,'Non-Labor Expenditures'!$C$7:$C$91,0),MATCH($G1110,'Non-Labor Expenditures'!$E$5:$AA$5,0)),"NA")</f>
        <v>9449.62673711356</v>
      </c>
      <c r="W1110" s="125">
        <f t="shared" si="2014"/>
        <v>108.1106403047074</v>
      </c>
      <c r="X1110" s="131">
        <f>LN(W1110/W1109)</f>
        <v>7.3351631111782778E-2</v>
      </c>
      <c r="Y1110" s="131"/>
      <c r="Z1110" s="131"/>
      <c r="AA1110" s="131"/>
      <c r="AB1110" s="131"/>
      <c r="AC1110" s="125">
        <f t="shared" si="1994"/>
        <v>4738.524559526566</v>
      </c>
      <c r="AD1110" s="129"/>
      <c r="AE1110" s="133">
        <v>413.88239857635693</v>
      </c>
      <c r="AF1110" s="134">
        <v>3.4235212937925481E-2</v>
      </c>
      <c r="AG1110" s="59">
        <f t="shared" si="2015"/>
        <v>0</v>
      </c>
      <c r="AH1110" s="134"/>
      <c r="AI1110" s="134"/>
      <c r="AJ1110" s="129">
        <f t="shared" si="1902"/>
        <v>20713.294948843271</v>
      </c>
      <c r="AK1110" s="134">
        <f>LN(AJ1110/AJ1109)</f>
        <v>0.11123696944685256</v>
      </c>
      <c r="AL1110" s="129"/>
      <c r="AM1110" s="129"/>
      <c r="AN1110" s="129"/>
      <c r="AO1110" s="129"/>
      <c r="AP1110" s="133"/>
      <c r="AQ1110" s="134"/>
      <c r="AR1110" s="93">
        <f t="shared" si="2016"/>
        <v>0.31502200245391382</v>
      </c>
      <c r="AS1110" s="93">
        <f t="shared" si="2017"/>
        <v>0.45621069754724231</v>
      </c>
      <c r="AT1110" s="93">
        <f t="shared" si="2018"/>
        <v>0.22876729999884388</v>
      </c>
      <c r="AU1110" s="93">
        <f t="shared" ref="AU1110:AU1126" ca="1" si="2021">+(((AR1110+AR1109)/2)*M1110+((AS1109+AS1110)/2)*X1110+((AT1109+AT1110)/2)*AF1110)</f>
        <v>5.824139125239635E-2</v>
      </c>
      <c r="AV1110" s="132">
        <v>100</v>
      </c>
      <c r="AW1110" s="134"/>
      <c r="AX1110" s="15"/>
      <c r="AY1110" s="93"/>
      <c r="AZ1110" s="93"/>
      <c r="BA1110" s="93"/>
      <c r="BB1110" s="234">
        <f>IFERROR(INDEX('Total Customers'!$E$7:$AA$91,MATCH($C1110,'Total Customers'!$C$7:$C$91,0),MATCH($G1110,'Total Customers'!$E$5:$AA$5,0)),"NA")</f>
        <v>111253</v>
      </c>
      <c r="BC1110" s="269">
        <f t="shared" si="1988"/>
        <v>4.6488664292436595E-3</v>
      </c>
      <c r="BD1110" s="92"/>
      <c r="BE1110" s="299" t="str">
        <f t="shared" si="1984"/>
        <v>SOUTHERN INDIANA GAS AND ELECTRIC COMPANY</v>
      </c>
      <c r="BF1110" s="300">
        <f t="shared" si="1985"/>
        <v>4057100</v>
      </c>
      <c r="BG1110" s="231" t="str">
        <f t="shared" si="1986"/>
        <v>TX</v>
      </c>
      <c r="BH1110" s="231"/>
      <c r="BI1110" s="231" t="str">
        <f t="shared" si="1987"/>
        <v>2005 Y</v>
      </c>
      <c r="BJ1110" s="129"/>
      <c r="BK1110" s="129"/>
      <c r="BL1110" s="129">
        <f>INDEX('Dist. Plant Gas Additions'!$E$7:$AD$91,MATCH($C1110,'Dist. Plant Gas Additions'!$C$7:$C$91,0),MATCH(Calculation!$G1110,'Dist. Plant Gas Additions'!$E$5:$AD$5,0))</f>
        <v>7584</v>
      </c>
      <c r="BM1110" s="129">
        <f>INDEX('Gen. Plant Additions'!$E$7:$AD$91,MATCH($C1110,'Gen. Plant Additions'!$C$7:$C$91,0),MATCH(Calculation!$G1110,'Gen. Plant Additions'!$E$5:$AD$5,0))</f>
        <v>79</v>
      </c>
      <c r="BN1110" s="301">
        <f t="shared" si="1995"/>
        <v>0.94927738992962774</v>
      </c>
      <c r="BO1110" s="231">
        <f t="shared" si="1989"/>
        <v>74.99291380444059</v>
      </c>
      <c r="BP1110" s="231">
        <f t="shared" si="1990"/>
        <v>-4.0070861955594097</v>
      </c>
      <c r="BQ1110" s="129">
        <f>INDEX('Dist Plant Depreciation'!$D$7:$AC$94,MATCH($C1110,'Dist Plant Depreciation'!$C$7:$C$94,0),MATCH(Calculation!$G1110,'Dist Plant Depreciation'!$D$5:$AC$5,0))</f>
        <v>55435</v>
      </c>
      <c r="BR1110" s="129">
        <f>INDEX('Gen. Plant Depreciation'!$D$7:$AC$94,MATCH($C1110,'Gen. Plant Depreciation'!$C$7:$C$94,0),MATCH(Calculation!$G1110,'Gen. Plant Depreciation'!$D$5:$AC$5,0))</f>
        <v>4130</v>
      </c>
      <c r="BS1110" s="129"/>
      <c r="BT1110" s="129"/>
      <c r="BU1110" s="129"/>
      <c r="BV1110" s="129"/>
      <c r="BW1110" s="129"/>
      <c r="BX1110" s="137"/>
      <c r="BY1110" s="129">
        <f>INDEX('Gross Dx Plant'!$D$7:$AC$91,MATCH($C1110,'Gross Dx Plant'!$C$7:$C$91,0),MATCH(Calculation!$G1110,'Gross Dx Plant'!$D$5:$AC$5,0))</f>
        <v>135703</v>
      </c>
      <c r="BZ1110" s="129">
        <f>INDEX('Gross Gen Plant'!$D$7:$AC$91,MATCH($C1110,'Gross Gen Plant'!$C$7:$C$91,0),MATCH(Calculation!$G1110,'Gross Gen Plant'!$D$5:$AC$5,0))</f>
        <v>7251</v>
      </c>
      <c r="CA1110" s="129">
        <f t="shared" si="1977"/>
        <v>83389</v>
      </c>
      <c r="CB1110" s="129"/>
      <c r="CC1110" s="133">
        <v>2005</v>
      </c>
      <c r="CD1110" s="129"/>
      <c r="CE1110" s="129"/>
      <c r="CF1110" s="129"/>
      <c r="CG1110" s="137"/>
      <c r="CH1110" s="129">
        <f t="shared" si="1996"/>
        <v>7663</v>
      </c>
      <c r="CI1110" s="46">
        <f t="shared" si="2005"/>
        <v>7658.9929138044408</v>
      </c>
      <c r="CJ1110" s="231">
        <f t="shared" si="1997"/>
        <v>16.323335477743655</v>
      </c>
      <c r="CK1110" s="443">
        <v>0.9263157894736842</v>
      </c>
      <c r="CL1110" s="231">
        <f>+CL1103*CK1110+CJ1104*CK1109+CJ1105*CK1108+CJ1106*CK1107+CJ1107*CK1106+CJ1108*CK1105+CJ1109*CK1104+CJ1110</f>
        <v>400.73415449981428</v>
      </c>
      <c r="CM1110" s="134">
        <f t="shared" si="1998"/>
        <v>2.9902444004276035E-2</v>
      </c>
      <c r="CN1110" s="135">
        <f t="shared" si="1999"/>
        <v>1.1615992482627372E-2</v>
      </c>
      <c r="CO1110" s="135">
        <f t="shared" si="2008"/>
        <v>1.1316604597791763E-2</v>
      </c>
      <c r="CP1110" s="134">
        <f>VLOOKUP($H1110,RoR!$E:$F,2,FALSE)</f>
        <v>5.2350000000000001E-2</v>
      </c>
      <c r="CQ1110" s="135">
        <v>3.1010403642454332E-2</v>
      </c>
      <c r="CR1110" s="135">
        <f t="shared" si="2006"/>
        <v>2.1339596357545669E-2</v>
      </c>
      <c r="CS1110" s="135">
        <f t="shared" si="2009"/>
        <v>1.958533701074186E-2</v>
      </c>
      <c r="CT1110" s="135">
        <f t="shared" si="2010"/>
        <v>9.2129610649277341E-2</v>
      </c>
      <c r="CU1110" s="139">
        <f t="shared" si="2000"/>
        <v>0.87050000000000005</v>
      </c>
      <c r="CV1110" s="335">
        <f t="shared" si="2001"/>
        <v>0.97959983346802826</v>
      </c>
      <c r="CW1110" s="335">
        <f t="shared" si="2002"/>
        <v>0.49744508118433622</v>
      </c>
      <c r="CX1110" s="335">
        <f t="shared" si="2003"/>
        <v>0.87010519444335932</v>
      </c>
      <c r="CY1110" s="335">
        <f t="shared" si="2004"/>
        <v>0.42399975420741998</v>
      </c>
      <c r="CZ1110" s="336">
        <f>INDEX('State Tax Lookup'!$D$7:$Z$91,MATCH(Calculation!$C1110,'State Tax Lookup'!$B$7:$B$91,0),MATCH($H1110,'State Tax Lookup'!$D$6:$Z$6,0))</f>
        <v>0.35</v>
      </c>
      <c r="DA1110" s="302">
        <v>0.37</v>
      </c>
      <c r="DB1110" s="57">
        <f t="shared" si="2007"/>
        <v>12.183532986347769</v>
      </c>
      <c r="DC1110" s="56">
        <f t="shared" si="2011"/>
        <v>0.11254143652968311</v>
      </c>
      <c r="DD1110" s="303">
        <f>VLOOKUP($H1110,RoR!$E:$F,2,FALSE)</f>
        <v>5.2350000000000001E-2</v>
      </c>
      <c r="DE1110" s="304">
        <f>HLOOKUP($H1110,'GDP-PI'!$D$8:$CQ$11,3,FALSE)</f>
        <v>3.1010403642454332E-2</v>
      </c>
      <c r="DF1110" s="303">
        <f>VLOOKUP(H1110,'HW Dx Data'!$E:$F,2,FALSE)</f>
        <v>469.20514034936258</v>
      </c>
      <c r="DG1110" s="364">
        <f ca="1">VLOOKUP(CC1110,'ECI - Input Price'!M$13:N$33,2,FALSE)</f>
        <v>99.224999999999994</v>
      </c>
      <c r="DH1110" s="364"/>
      <c r="DI1110" s="364"/>
      <c r="DJ1110" s="56">
        <f t="shared" ca="1" si="2019"/>
        <v>5.0378726854569796E-2</v>
      </c>
      <c r="DK1110" s="53">
        <f>HLOOKUP(H1110,'GDP-PI'!$8:$9,2,FALSE)</f>
        <v>87.406999999999996</v>
      </c>
      <c r="DL1110" s="355">
        <f t="shared" si="2012"/>
        <v>3.0539295810733648E-2</v>
      </c>
    </row>
    <row r="1111" spans="1:116" s="126" customFormat="1" ht="21" customHeight="1" x14ac:dyDescent="0.4">
      <c r="A1111" s="233" t="s">
        <v>248</v>
      </c>
      <c r="B1111" s="126" t="s">
        <v>248</v>
      </c>
      <c r="C1111" s="126">
        <v>4057100</v>
      </c>
      <c r="D1111" s="127" t="s">
        <v>249</v>
      </c>
      <c r="E1111" s="127"/>
      <c r="F1111" s="144"/>
      <c r="G1111" s="126" t="s">
        <v>162</v>
      </c>
      <c r="H1111" s="128">
        <v>2006</v>
      </c>
      <c r="I1111" s="129"/>
      <c r="J1111" s="125">
        <f>IFERROR(INDEX('Labor Expenditures'!$E$7:$W$91,MATCH($C1111,'Labor Expenditures'!$C$7:$C$91,0),MATCH($G1111,'Labor Expenditures'!$E$5:$W$5,0)),"NA")</f>
        <v>5964.5204064844684</v>
      </c>
      <c r="K1111" s="125">
        <f t="shared" ca="1" si="2013"/>
        <v>54.520296220150527</v>
      </c>
      <c r="L1111" s="47"/>
      <c r="M1111" s="131">
        <f t="shared" ca="1" si="2020"/>
        <v>-0.18745520889089864</v>
      </c>
      <c r="N1111" s="131"/>
      <c r="O1111" s="131"/>
      <c r="P1111" s="59">
        <f t="shared" ref="P1111:P1127" ca="1" si="2022">+M1111*$AX1111</f>
        <v>-4.955385980323732E-4</v>
      </c>
      <c r="Q1111" s="61"/>
      <c r="R1111" s="387"/>
      <c r="S1111" s="49">
        <f ca="1">+S1110*EXP(T1111)</f>
        <v>115.41863345685582</v>
      </c>
      <c r="T1111" s="61">
        <f ca="1">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</f>
        <v>0.14339562348157703</v>
      </c>
      <c r="U1111" s="61"/>
      <c r="V1111" s="125">
        <f>IFERROR(INDEX('Non-Labor Expenditures'!$E$7:$AA$91,MATCH($C1111,'Non-Labor Expenditures'!$C$7:$C$91,0),MATCH($G1111,'Non-Labor Expenditures'!$E$5:$AA$5,0)),"NA")</f>
        <v>8637.739567334258</v>
      </c>
      <c r="W1111" s="125">
        <f t="shared" si="2014"/>
        <v>95.896036229480856</v>
      </c>
      <c r="X1111" s="131">
        <f t="shared" ref="X1111:X1126" si="2023">LN(W1111/W1110)</f>
        <v>-0.11989050129760079</v>
      </c>
      <c r="Y1111" s="131">
        <f t="shared" ref="Y1111:Y1127" si="2024">+X1111*AX1111</f>
        <v>-3.1693102198610614E-4</v>
      </c>
      <c r="Z1111" s="131"/>
      <c r="AA1111" s="131"/>
      <c r="AB1111" s="131"/>
      <c r="AC1111" s="125">
        <f t="shared" si="1994"/>
        <v>4730.5944297201258</v>
      </c>
      <c r="AD1111" s="129"/>
      <c r="AE1111" s="133">
        <v>429.80867933926442</v>
      </c>
      <c r="AF1111" s="134">
        <v>3.7758305844481824E-2</v>
      </c>
      <c r="AG1111" s="59">
        <f t="shared" si="2015"/>
        <v>9.9814233239802665E-5</v>
      </c>
      <c r="AH1111" s="134"/>
      <c r="AI1111" s="134"/>
      <c r="AJ1111" s="129">
        <f t="shared" si="1902"/>
        <v>19332.854403538855</v>
      </c>
      <c r="AK1111" s="134">
        <f t="shared" ref="AK1111:AK1127" si="2025">LN(AJ1111/AJ1110)</f>
        <v>-6.8969812824801455E-2</v>
      </c>
      <c r="AL1111" s="129"/>
      <c r="AM1111" s="129"/>
      <c r="AN1111" s="129"/>
      <c r="AO1111" s="129"/>
      <c r="AP1111" s="133">
        <f t="shared" ref="AP1111:AP1127" si="2026">+(AJ1111*1000)/BB1111</f>
        <v>174.01465722948771</v>
      </c>
      <c r="AQ1111" s="134">
        <f>+BB1111/Outputs!$B$14</f>
        <v>3.2034128677841576E-3</v>
      </c>
      <c r="AR1111" s="93">
        <f t="shared" si="2016"/>
        <v>0.30851731885968531</v>
      </c>
      <c r="AS1111" s="93">
        <f t="shared" si="2017"/>
        <v>0.44679070079548783</v>
      </c>
      <c r="AT1111" s="93">
        <f t="shared" si="2018"/>
        <v>0.2446919803448267</v>
      </c>
      <c r="AU1111" s="93">
        <f t="shared" ca="1" si="2021"/>
        <v>-0.10363498186807486</v>
      </c>
      <c r="AV1111" s="132">
        <f ca="1">+AV1110*EXP(AU1111)</f>
        <v>90.155432104185365</v>
      </c>
      <c r="AW1111" s="134">
        <f ca="1">LN(AV1111/AV1110)</f>
        <v>-0.10363498186807486</v>
      </c>
      <c r="AX1111" s="56">
        <f>+AJ1111/$AL$11</f>
        <v>2.6435040187161888E-3</v>
      </c>
      <c r="AY1111" s="135">
        <f ca="1">+AX1111*AW1111</f>
        <v>-2.7395949104783526E-4</v>
      </c>
      <c r="AZ1111" s="93"/>
      <c r="BA1111" s="93"/>
      <c r="BB1111" s="234">
        <f>IFERROR(INDEX('Total Customers'!$E$7:$AA$91,MATCH($C1111,'Total Customers'!$C$7:$C$91,0),MATCH($G1111,'Total Customers'!$E$5:$AA$5,0)),"NA")</f>
        <v>111099</v>
      </c>
      <c r="BC1111" s="269">
        <f t="shared" si="1988"/>
        <v>-1.3851912699145588E-3</v>
      </c>
      <c r="BD1111" s="92"/>
      <c r="BE1111" s="299" t="str">
        <f t="shared" si="1984"/>
        <v>SOUTHERN INDIANA GAS AND ELECTRIC COMPANY</v>
      </c>
      <c r="BF1111" s="300">
        <f t="shared" si="1985"/>
        <v>4057100</v>
      </c>
      <c r="BG1111" s="231" t="str">
        <f t="shared" si="1986"/>
        <v>TX</v>
      </c>
      <c r="BH1111" s="231"/>
      <c r="BI1111" s="231" t="str">
        <f t="shared" si="1987"/>
        <v>2006 Y</v>
      </c>
      <c r="BJ1111" s="129"/>
      <c r="BK1111" s="129"/>
      <c r="BL1111" s="129">
        <f>INDEX('Dist. Plant Gas Additions'!$E$7:$AD$91,MATCH($C1111,'Dist. Plant Gas Additions'!$C$7:$C$91,0),MATCH(Calculation!$G1111,'Dist. Plant Gas Additions'!$E$5:$AD$5,0))</f>
        <v>7668</v>
      </c>
      <c r="BM1111" s="129">
        <f>INDEX('Gen. Plant Additions'!$E$7:$AD$91,MATCH($C1111,'Gen. Plant Additions'!$C$7:$C$91,0),MATCH(Calculation!$G1111,'Gen. Plant Additions'!$E$5:$AD$5,0))</f>
        <v>857</v>
      </c>
      <c r="BN1111" s="301">
        <f t="shared" si="1995"/>
        <v>0.94789034025911834</v>
      </c>
      <c r="BO1111" s="231">
        <f t="shared" si="1989"/>
        <v>812.34202160206439</v>
      </c>
      <c r="BP1111" s="231">
        <f t="shared" si="1990"/>
        <v>-44.657978397935608</v>
      </c>
      <c r="BQ1111" s="129">
        <f>INDEX('Dist Plant Depreciation'!$D$7:$AC$94,MATCH($C1111,'Dist Plant Depreciation'!$C$7:$C$94,0),MATCH(Calculation!$G1111,'Dist Plant Depreciation'!$D$5:$AC$5,0))</f>
        <v>60000</v>
      </c>
      <c r="BR1111" s="129">
        <f>INDEX('Gen. Plant Depreciation'!$D$7:$AC$94,MATCH($C1111,'Gen. Plant Depreciation'!$C$7:$C$94,0),MATCH(Calculation!$G1111,'Gen. Plant Depreciation'!$D$5:$AC$5,0))</f>
        <v>4276</v>
      </c>
      <c r="BS1111" s="129"/>
      <c r="BT1111" s="129"/>
      <c r="BU1111" s="129"/>
      <c r="BV1111" s="129"/>
      <c r="BW1111" s="129"/>
      <c r="BX1111" s="137"/>
      <c r="BY1111" s="129">
        <f>INDEX('Gross Dx Plant'!$D$7:$AC$91,MATCH($C1111,'Gross Dx Plant'!$C$7:$C$91,0),MATCH(Calculation!$G1111,'Gross Dx Plant'!$D$5:$AC$5,0))</f>
        <v>142521</v>
      </c>
      <c r="BZ1111" s="129">
        <f>INDEX('Gross Gen Plant'!$D$7:$AC$91,MATCH($C1111,'Gross Gen Plant'!$C$7:$C$91,0),MATCH(Calculation!$G1111,'Gross Gen Plant'!$D$5:$AC$5,0))</f>
        <v>7835</v>
      </c>
      <c r="CA1111" s="129">
        <f t="shared" si="1977"/>
        <v>86080</v>
      </c>
      <c r="CB1111" s="134"/>
      <c r="CC1111" s="133">
        <v>2006</v>
      </c>
      <c r="CD1111" s="129"/>
      <c r="CE1111" s="129"/>
      <c r="CF1111" s="129"/>
      <c r="CG1111" s="137"/>
      <c r="CH1111" s="129">
        <f t="shared" si="1996"/>
        <v>8525</v>
      </c>
      <c r="CI1111" s="46">
        <f t="shared" si="2005"/>
        <v>8480.3420216020641</v>
      </c>
      <c r="CJ1111" s="231">
        <f t="shared" si="1997"/>
        <v>18.392117827901188</v>
      </c>
      <c r="CK1111" s="443">
        <v>0.91489361702127658</v>
      </c>
      <c r="CL1111" s="231">
        <f>+CL1103*CK1111+CJ1104*CK1110+CJ1105*CK1109+CJ1106*CK1108+CJ1107*CK1107+CJ1108*CK1106+CJ1109*CK1105+CJ1110*CK1104+CJ1111</f>
        <v>414.35152328898056</v>
      </c>
      <c r="CM1111" s="134">
        <f t="shared" si="1998"/>
        <v>3.3416452528001489E-2</v>
      </c>
      <c r="CN1111" s="135">
        <f t="shared" si="1999"/>
        <v>1.191500396240152E-2</v>
      </c>
      <c r="CO1111" s="135">
        <f t="shared" si="2008"/>
        <v>1.1613303228142085E-2</v>
      </c>
      <c r="CP1111" s="134">
        <f>VLOOKUP($H1111,RoR!$E:$F,2,FALSE)</f>
        <v>5.5874999999999994E-2</v>
      </c>
      <c r="CQ1111" s="135">
        <v>3.0512430354548314E-2</v>
      </c>
      <c r="CR1111" s="135">
        <f t="shared" si="2006"/>
        <v>2.536256964545168E-2</v>
      </c>
      <c r="CS1111" s="135">
        <f t="shared" si="2009"/>
        <v>1.9288638380391541E-2</v>
      </c>
      <c r="CT1111" s="135">
        <f t="shared" si="2010"/>
        <v>7.9087823893859641E-2</v>
      </c>
      <c r="CU1111" s="139">
        <f t="shared" si="2000"/>
        <v>0.87050000000000005</v>
      </c>
      <c r="CV1111" s="335">
        <f t="shared" si="2001"/>
        <v>0.91779957551769631</v>
      </c>
      <c r="CW1111" s="335">
        <f t="shared" si="2002"/>
        <v>0.52757270693512304</v>
      </c>
      <c r="CX1111" s="335">
        <f t="shared" si="2003"/>
        <v>0.88636824549024895</v>
      </c>
      <c r="CY1111" s="335">
        <f t="shared" si="2004"/>
        <v>0.42918482841932087</v>
      </c>
      <c r="CZ1111" s="336">
        <f>INDEX('State Tax Lookup'!$D$7:$Z$91,MATCH(Calculation!$C1111,'State Tax Lookup'!$B$7:$B$91,0),MATCH($H1111,'State Tax Lookup'!$D$6:$Z$6,0))</f>
        <v>0.35</v>
      </c>
      <c r="DA1111" s="302">
        <v>0.37</v>
      </c>
      <c r="DB1111" s="57">
        <f t="shared" si="2007"/>
        <v>11.804819670598649</v>
      </c>
      <c r="DC1111" s="56">
        <f t="shared" si="2011"/>
        <v>-3.1577390040841147E-2</v>
      </c>
      <c r="DD1111" s="303">
        <f>VLOOKUP($H1111,RoR!$E:$F,2,FALSE)</f>
        <v>5.5874999999999994E-2</v>
      </c>
      <c r="DE1111" s="304">
        <f>HLOOKUP($H1111,'GDP-PI'!$D$8:$CQ$11,3,FALSE)</f>
        <v>3.0512430354548314E-2</v>
      </c>
      <c r="DF1111" s="303">
        <f>VLOOKUP(H1111,'HW Dx Data'!$E:$F,2,FALSE)</f>
        <v>461.08567272971823</v>
      </c>
      <c r="DG1111" s="364">
        <f ca="1">VLOOKUP(CC1111,'ECI - Input Price'!M$13:N$33,2,FALSE)</f>
        <v>109.4</v>
      </c>
      <c r="DH1111" s="364"/>
      <c r="DI1111" s="364"/>
      <c r="DJ1111" s="56">
        <f t="shared" ca="1" si="2019"/>
        <v>9.7620891318751846E-2</v>
      </c>
      <c r="DK1111" s="53">
        <f>HLOOKUP(H1111,'GDP-PI'!$8:$9,2,FALSE)</f>
        <v>90.073999999999998</v>
      </c>
      <c r="DL1111" s="355">
        <f t="shared" si="2012"/>
        <v>3.005618372545445E-2</v>
      </c>
    </row>
    <row r="1112" spans="1:116" s="126" customFormat="1" ht="21" customHeight="1" x14ac:dyDescent="0.4">
      <c r="A1112" s="233" t="s">
        <v>248</v>
      </c>
      <c r="B1112" s="126" t="s">
        <v>248</v>
      </c>
      <c r="C1112" s="126">
        <v>4057100</v>
      </c>
      <c r="D1112" s="127" t="s">
        <v>249</v>
      </c>
      <c r="E1112" s="127"/>
      <c r="F1112" s="144"/>
      <c r="G1112" s="126" t="s">
        <v>163</v>
      </c>
      <c r="H1112" s="128">
        <v>2007</v>
      </c>
      <c r="I1112" s="129"/>
      <c r="J1112" s="125">
        <f>IFERROR(INDEX('Labor Expenditures'!$E$7:$W$91,MATCH($C1112,'Labor Expenditures'!$C$7:$C$91,0),MATCH($G1112,'Labor Expenditures'!$E$5:$W$5,0)),"NA")</f>
        <v>6706.5096520008301</v>
      </c>
      <c r="K1112" s="125">
        <f t="shared" ca="1" si="2013"/>
        <v>64.161776149254536</v>
      </c>
      <c r="L1112" s="47"/>
      <c r="M1112" s="131">
        <f t="shared" ca="1" si="2020"/>
        <v>0.16283460624753707</v>
      </c>
      <c r="N1112" s="131"/>
      <c r="O1112" s="131"/>
      <c r="P1112" s="59">
        <f t="shared" ca="1" si="2022"/>
        <v>4.5949881584512564E-4</v>
      </c>
      <c r="Q1112" s="61"/>
      <c r="R1112" s="387"/>
      <c r="S1112" s="49">
        <f t="shared" ref="S1112:S1125" ca="1" si="2027">+S1111*EXP(T1112)</f>
        <v>119.9350063113713</v>
      </c>
      <c r="T1112" s="61">
        <f ca="1">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</f>
        <v>3.8384172514588873E-2</v>
      </c>
      <c r="U1112" s="61"/>
      <c r="V1112" s="125">
        <f>IFERROR(INDEX('Non-Labor Expenditures'!$E$7:$AA$91,MATCH($C1112,'Non-Labor Expenditures'!$C$7:$C$91,0),MATCH($G1112,'Non-Labor Expenditures'!$E$5:$AA$5,0)),"NA")</f>
        <v>9712.2785793167386</v>
      </c>
      <c r="W1112" s="125">
        <f t="shared" si="2014"/>
        <v>104.99987653048431</v>
      </c>
      <c r="X1112" s="131">
        <f t="shared" si="2023"/>
        <v>9.0694525552246691E-2</v>
      </c>
      <c r="Y1112" s="131">
        <f t="shared" si="2024"/>
        <v>2.5592856491169353E-4</v>
      </c>
      <c r="Z1112" s="131"/>
      <c r="AA1112" s="131"/>
      <c r="AB1112" s="131"/>
      <c r="AC1112" s="125">
        <f t="shared" si="1994"/>
        <v>5211.910848079262</v>
      </c>
      <c r="AD1112" s="129"/>
      <c r="AE1112" s="133">
        <v>440.32287786733889</v>
      </c>
      <c r="AF1112" s="134">
        <v>2.4168093230859316E-2</v>
      </c>
      <c r="AG1112" s="59">
        <f t="shared" si="2015"/>
        <v>6.8199324926868386E-5</v>
      </c>
      <c r="AH1112" s="134"/>
      <c r="AI1112" s="134"/>
      <c r="AJ1112" s="129">
        <f t="shared" si="1902"/>
        <v>21630.699079396829</v>
      </c>
      <c r="AK1112" s="134">
        <f t="shared" si="2025"/>
        <v>0.11230761000010951</v>
      </c>
      <c r="AL1112" s="129"/>
      <c r="AM1112" s="129"/>
      <c r="AN1112" s="129"/>
      <c r="AO1112" s="129"/>
      <c r="AP1112" s="133">
        <f t="shared" si="2026"/>
        <v>193.6187461232463</v>
      </c>
      <c r="AQ1112" s="134">
        <f>+BB1112/Outputs!$B$15</f>
        <v>3.1970079224659617E-3</v>
      </c>
      <c r="AR1112" s="93">
        <f t="shared" si="2016"/>
        <v>0.31004590408216437</v>
      </c>
      <c r="AS1112" s="93">
        <f t="shared" si="2017"/>
        <v>0.44900437769797524</v>
      </c>
      <c r="AT1112" s="93">
        <f t="shared" si="2018"/>
        <v>0.2409497182198605</v>
      </c>
      <c r="AU1112" s="93">
        <f t="shared" ca="1" si="2021"/>
        <v>9.6852121165325017E-2</v>
      </c>
      <c r="AV1112" s="132">
        <f ca="1">+AV1111*EXP(AU1112)</f>
        <v>99.324009097491071</v>
      </c>
      <c r="AW1112" s="134">
        <f ca="1">LN(AV1112/AV1111)</f>
        <v>9.6852121165325003E-2</v>
      </c>
      <c r="AX1112" s="56">
        <f>+AJ1112/$AL$12</f>
        <v>2.8218744555233372E-3</v>
      </c>
      <c r="AY1112" s="135">
        <f t="shared" ref="AY1112:AY1126" ca="1" si="2028">+AX1112*AW1112</f>
        <v>2.7330452667968178E-4</v>
      </c>
      <c r="AZ1112" s="93"/>
      <c r="BA1112" s="93"/>
      <c r="BB1112" s="234">
        <f>IFERROR(INDEX('Total Customers'!$E$7:$AA$91,MATCH($C1112,'Total Customers'!$C$7:$C$91,0),MATCH($G1112,'Total Customers'!$E$5:$AA$5,0)),"NA")</f>
        <v>111718</v>
      </c>
      <c r="BC1112" s="269">
        <f t="shared" si="1988"/>
        <v>5.5561433141481072E-3</v>
      </c>
      <c r="BD1112" s="92"/>
      <c r="BE1112" s="299" t="str">
        <f t="shared" si="1984"/>
        <v>SOUTHERN INDIANA GAS AND ELECTRIC COMPANY</v>
      </c>
      <c r="BF1112" s="300">
        <f t="shared" si="1985"/>
        <v>4057100</v>
      </c>
      <c r="BG1112" s="231" t="str">
        <f t="shared" si="1986"/>
        <v>TX</v>
      </c>
      <c r="BH1112" s="231"/>
      <c r="BI1112" s="231" t="str">
        <f t="shared" si="1987"/>
        <v>2007 Y</v>
      </c>
      <c r="BJ1112" s="129"/>
      <c r="BK1112" s="129"/>
      <c r="BL1112" s="129">
        <f>INDEX('Dist. Plant Gas Additions'!$E$7:$AD$91,MATCH($C1112,'Dist. Plant Gas Additions'!$C$7:$C$91,0),MATCH(Calculation!$G1112,'Dist. Plant Gas Additions'!$E$5:$AD$5,0))</f>
        <v>6228</v>
      </c>
      <c r="BM1112" s="129">
        <f>INDEX('Gen. Plant Additions'!$E$7:$AD$91,MATCH($C1112,'Gen. Plant Additions'!$C$7:$C$91,0),MATCH(Calculation!$G1112,'Gen. Plant Additions'!$E$5:$AD$5,0))</f>
        <v>373</v>
      </c>
      <c r="BN1112" s="301">
        <f t="shared" si="1995"/>
        <v>0.94764051157078466</v>
      </c>
      <c r="BO1112" s="231">
        <f t="shared" si="1989"/>
        <v>353.46991081590267</v>
      </c>
      <c r="BP1112" s="231">
        <f t="shared" si="1990"/>
        <v>-19.530089184097335</v>
      </c>
      <c r="BQ1112" s="129">
        <f>INDEX('Dist Plant Depreciation'!$D$7:$AC$94,MATCH($C1112,'Dist Plant Depreciation'!$C$7:$C$94,0),MATCH(Calculation!$G1112,'Dist Plant Depreciation'!$D$5:$AC$5,0))</f>
        <v>63079</v>
      </c>
      <c r="BR1112" s="129">
        <f>INDEX('Gen. Plant Depreciation'!$D$7:$AC$94,MATCH($C1112,'Gen. Plant Depreciation'!$C$7:$C$94,0),MATCH(Calculation!$G1112,'Gen. Plant Depreciation'!$D$5:$AC$5,0))</f>
        <v>4663</v>
      </c>
      <c r="BS1112" s="129"/>
      <c r="BT1112" s="129"/>
      <c r="BU1112" s="129"/>
      <c r="BV1112" s="129"/>
      <c r="BW1112" s="129"/>
      <c r="BX1112" s="137"/>
      <c r="BY1112" s="129">
        <f>INDEX('Gross Dx Plant'!$D$7:$AC$91,MATCH($C1112,'Gross Dx Plant'!$C$7:$C$91,0),MATCH(Calculation!$G1112,'Gross Dx Plant'!$D$5:$AC$5,0))</f>
        <v>147378</v>
      </c>
      <c r="BZ1112" s="129">
        <f>INDEX('Gross Gen Plant'!$D$7:$AC$91,MATCH($C1112,'Gross Gen Plant'!$C$7:$C$91,0),MATCH(Calculation!$G1112,'Gross Gen Plant'!$D$5:$AC$5,0))</f>
        <v>8143</v>
      </c>
      <c r="CA1112" s="129">
        <f t="shared" si="1977"/>
        <v>87779</v>
      </c>
      <c r="CB1112" s="129"/>
      <c r="CC1112" s="133">
        <v>2007</v>
      </c>
      <c r="CD1112" s="129"/>
      <c r="CE1112" s="129"/>
      <c r="CF1112" s="129"/>
      <c r="CG1112" s="137"/>
      <c r="CH1112" s="129">
        <f t="shared" si="1996"/>
        <v>6601</v>
      </c>
      <c r="CI1112" s="46">
        <f t="shared" si="2005"/>
        <v>6581.4699108159029</v>
      </c>
      <c r="CJ1112" s="231">
        <f t="shared" si="1997"/>
        <v>13.2152108575873</v>
      </c>
      <c r="CK1112" s="443">
        <v>0.90322580645161288</v>
      </c>
      <c r="CL1112" s="231">
        <f>+CL1103*CK1112+CJ1104*CK1111+CJ1105*CK1110+CJ1106*CK1109+CJ1107*CK1108+CJ1108*CK1107+CJ1109*CK1106+CJ1110*CK1105+CJ1111*CK1104+CJ1112</f>
        <v>422.50826149110674</v>
      </c>
      <c r="CM1112" s="134">
        <f t="shared" si="1998"/>
        <v>1.9494296808895667E-2</v>
      </c>
      <c r="CN1112" s="135">
        <f t="shared" si="1999"/>
        <v>1.2208167150705029E-2</v>
      </c>
      <c r="CO1112" s="135">
        <f t="shared" si="2008"/>
        <v>1.1913054531911308E-2</v>
      </c>
      <c r="CP1112" s="134">
        <f>VLOOKUP($H1112,RoR!$E:$F,2,FALSE)</f>
        <v>5.5558333333333321E-2</v>
      </c>
      <c r="CQ1112" s="135">
        <v>2.691120634145272E-2</v>
      </c>
      <c r="CR1112" s="135">
        <f t="shared" si="2006"/>
        <v>2.86471269918806E-2</v>
      </c>
      <c r="CS1112" s="135">
        <f t="shared" si="2009"/>
        <v>1.8988887076622316E-2</v>
      </c>
      <c r="CT1112" s="135">
        <f t="shared" si="2010"/>
        <v>6.4575155250632399E-2</v>
      </c>
      <c r="CU1112" s="139">
        <f t="shared" si="2000"/>
        <v>0.87050000000000005</v>
      </c>
      <c r="CV1112" s="335">
        <f t="shared" si="2001"/>
        <v>0.92303077153834634</v>
      </c>
      <c r="CW1112" s="335">
        <f t="shared" si="2002"/>
        <v>0.52502249887505614</v>
      </c>
      <c r="CX1112" s="335">
        <f t="shared" si="2003"/>
        <v>0.88499666072084604</v>
      </c>
      <c r="CY1112" s="335">
        <f t="shared" si="2004"/>
        <v>0.42887993290280618</v>
      </c>
      <c r="CZ1112" s="336">
        <f>INDEX('State Tax Lookup'!$D$7:$Z$91,MATCH(Calculation!$C1112,'State Tax Lookup'!$B$7:$B$91,0),MATCH($H1112,'State Tax Lookup'!$D$6:$Z$6,0))</f>
        <v>0.35</v>
      </c>
      <c r="DA1112" s="302">
        <v>0.37</v>
      </c>
      <c r="DB1112" s="57">
        <f t="shared" si="2007"/>
        <v>12.578476378483897</v>
      </c>
      <c r="DC1112" s="56">
        <f t="shared" si="2011"/>
        <v>6.3479234608514234E-2</v>
      </c>
      <c r="DD1112" s="303">
        <f>VLOOKUP($H1112,RoR!$E:$F,2,FALSE)</f>
        <v>5.5558333333333321E-2</v>
      </c>
      <c r="DE1112" s="304">
        <f>HLOOKUP($H1112,'GDP-PI'!$D$8:$CQ$11,3,FALSE)</f>
        <v>2.691120634145272E-2</v>
      </c>
      <c r="DF1112" s="303">
        <f>VLOOKUP(H1112,'HW Dx Data'!$E:$F,2,FALSE)</f>
        <v>498.0223154772637</v>
      </c>
      <c r="DG1112" s="364">
        <f ca="1">VLOOKUP(CC1112,'ECI - Input Price'!M$13:N$33,2,FALSE)</f>
        <v>104.52499999999999</v>
      </c>
      <c r="DH1112" s="364"/>
      <c r="DI1112" s="364"/>
      <c r="DJ1112" s="56">
        <f t="shared" ca="1" si="2019"/>
        <v>-4.5584612745252218E-2</v>
      </c>
      <c r="DK1112" s="53">
        <f>HLOOKUP(H1112,'GDP-PI'!$8:$9,2,FALSE)</f>
        <v>92.498000000000005</v>
      </c>
      <c r="DL1112" s="355">
        <f t="shared" si="2012"/>
        <v>2.6555467950038037E-2</v>
      </c>
    </row>
    <row r="1113" spans="1:116" s="126" customFormat="1" ht="21" customHeight="1" x14ac:dyDescent="0.4">
      <c r="A1113" s="233" t="s">
        <v>248</v>
      </c>
      <c r="B1113" s="126" t="s">
        <v>248</v>
      </c>
      <c r="C1113" s="126">
        <v>4057100</v>
      </c>
      <c r="D1113" s="127" t="s">
        <v>249</v>
      </c>
      <c r="E1113" s="127"/>
      <c r="F1113" s="144"/>
      <c r="G1113" s="126" t="s">
        <v>164</v>
      </c>
      <c r="H1113" s="128">
        <v>2008</v>
      </c>
      <c r="I1113" s="129"/>
      <c r="J1113" s="125">
        <f>IFERROR(INDEX('Labor Expenditures'!$E$7:$W$91,MATCH($C1113,'Labor Expenditures'!$C$7:$C$91,0),MATCH($G1113,'Labor Expenditures'!$E$5:$W$5,0)),"NA")</f>
        <v>7048.922127048053</v>
      </c>
      <c r="K1113" s="125">
        <f t="shared" ca="1" si="2013"/>
        <v>65.328286626951368</v>
      </c>
      <c r="L1113" s="47"/>
      <c r="M1113" s="131">
        <f t="shared" ca="1" si="2020"/>
        <v>1.8017475773593514E-2</v>
      </c>
      <c r="N1113" s="131"/>
      <c r="O1113" s="131"/>
      <c r="P1113" s="59">
        <f t="shared" ca="1" si="2022"/>
        <v>5.176476202339387E-5</v>
      </c>
      <c r="Q1113" s="61"/>
      <c r="R1113" s="387"/>
      <c r="S1113" s="49">
        <f t="shared" ca="1" si="2027"/>
        <v>113.87936471036446</v>
      </c>
      <c r="T1113" s="61">
        <f ca="1">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</f>
        <v>-5.1810298178280173E-2</v>
      </c>
      <c r="U1113" s="61"/>
      <c r="V1113" s="125">
        <f>IFERROR(INDEX('Non-Labor Expenditures'!$E$7:$AA$91,MATCH($C1113,'Non-Labor Expenditures'!$C$7:$C$91,0),MATCH($G1113,'Non-Labor Expenditures'!$E$5:$AA$5,0)),"NA")</f>
        <v>10208.1557970137</v>
      </c>
      <c r="W1113" s="125">
        <f t="shared" si="2014"/>
        <v>108.29325932502016</v>
      </c>
      <c r="X1113" s="131">
        <f t="shared" si="2023"/>
        <v>3.0883737047021839E-2</v>
      </c>
      <c r="Y1113" s="131">
        <f t="shared" si="2024"/>
        <v>8.8729926362670841E-5</v>
      </c>
      <c r="Z1113" s="131"/>
      <c r="AA1113" s="131"/>
      <c r="AB1113" s="131"/>
      <c r="AC1113" s="125">
        <f t="shared" si="1994"/>
        <v>5984.8651811217787</v>
      </c>
      <c r="AD1113" s="129"/>
      <c r="AE1113" s="133">
        <v>453.80461474321373</v>
      </c>
      <c r="AF1113" s="134">
        <v>3.0158470268645463E-2</v>
      </c>
      <c r="AG1113" s="59">
        <f t="shared" si="2015"/>
        <v>8.6646212602880461E-5</v>
      </c>
      <c r="AH1113" s="134"/>
      <c r="AI1113" s="134"/>
      <c r="AJ1113" s="129">
        <f t="shared" si="1902"/>
        <v>23241.943105183531</v>
      </c>
      <c r="AK1113" s="134">
        <f t="shared" si="2025"/>
        <v>7.1844979525673008E-2</v>
      </c>
      <c r="AL1113" s="129"/>
      <c r="AM1113" s="129"/>
      <c r="AN1113" s="129"/>
      <c r="AO1113" s="129"/>
      <c r="AP1113" s="133">
        <f t="shared" si="2026"/>
        <v>209.12499757226115</v>
      </c>
      <c r="AQ1113" s="134">
        <f>+BB1113/Outputs!$B$16</f>
        <v>3.1634343547450958E-3</v>
      </c>
      <c r="AR1113" s="93">
        <f t="shared" si="2016"/>
        <v>0.30328454446117148</v>
      </c>
      <c r="AS1113" s="93">
        <f t="shared" si="2017"/>
        <v>0.43921266611899706</v>
      </c>
      <c r="AT1113" s="93">
        <f t="shared" si="2018"/>
        <v>0.25750278941983146</v>
      </c>
      <c r="AU1113" s="93">
        <f t="shared" ca="1" si="2021"/>
        <v>2.6757346625873334E-2</v>
      </c>
      <c r="AV1113" s="132">
        <f t="shared" ref="AV1113:AV1126" ca="1" si="2029">+AV1112*EXP(AU1113)</f>
        <v>102.01753108633935</v>
      </c>
      <c r="AW1113" s="134">
        <f t="shared" ref="AW1113:AW1126" ca="1" si="2030">LN(AV1113/AV1112)</f>
        <v>2.6757346625873386E-2</v>
      </c>
      <c r="AX1113" s="56">
        <f>+AJ1113/$AL$13</f>
        <v>2.8730307549107693E-3</v>
      </c>
      <c r="AY1113" s="135">
        <f t="shared" ca="1" si="2028"/>
        <v>7.6874679775942143E-5</v>
      </c>
      <c r="AZ1113" s="93"/>
      <c r="BA1113" s="93"/>
      <c r="BB1113" s="234">
        <f>IFERROR(INDEX('Total Customers'!$E$7:$AA$91,MATCH($C1113,'Total Customers'!$C$7:$C$91,0),MATCH($G1113,'Total Customers'!$E$5:$AA$5,0)),"NA")</f>
        <v>111139</v>
      </c>
      <c r="BC1113" s="269">
        <f t="shared" si="1988"/>
        <v>-5.1961688684461849E-3</v>
      </c>
      <c r="BD1113" s="92"/>
      <c r="BE1113" s="299" t="str">
        <f t="shared" si="1984"/>
        <v>SOUTHERN INDIANA GAS AND ELECTRIC COMPANY</v>
      </c>
      <c r="BF1113" s="300">
        <f t="shared" si="1985"/>
        <v>4057100</v>
      </c>
      <c r="BG1113" s="231" t="str">
        <f t="shared" si="1986"/>
        <v>TX</v>
      </c>
      <c r="BH1113" s="231"/>
      <c r="BI1113" s="231" t="str">
        <f t="shared" si="1987"/>
        <v>2008 Y</v>
      </c>
      <c r="BJ1113" s="129"/>
      <c r="BK1113" s="129"/>
      <c r="BL1113" s="129">
        <f>INDEX('Dist. Plant Gas Additions'!$E$7:$AD$91,MATCH($C1113,'Dist. Plant Gas Additions'!$C$7:$C$91,0),MATCH(Calculation!$G1113,'Dist. Plant Gas Additions'!$E$5:$AD$5,0))</f>
        <v>8705</v>
      </c>
      <c r="BM1113" s="129">
        <f>INDEX('Gen. Plant Additions'!$E$7:$AD$91,MATCH($C1113,'Gen. Plant Additions'!$C$7:$C$91,0),MATCH(Calculation!$G1113,'Gen. Plant Additions'!$E$5:$AD$5,0))</f>
        <v>630</v>
      </c>
      <c r="BN1113" s="301">
        <f t="shared" si="1995"/>
        <v>0.94620965417425595</v>
      </c>
      <c r="BO1113" s="231">
        <f t="shared" si="1989"/>
        <v>596.11208212978124</v>
      </c>
      <c r="BP1113" s="231">
        <f t="shared" si="1990"/>
        <v>-33.887917870218757</v>
      </c>
      <c r="BQ1113" s="129">
        <f>INDEX('Dist Plant Depreciation'!$D$7:$AC$94,MATCH($C1113,'Dist Plant Depreciation'!$C$7:$C$94,0),MATCH(Calculation!$G1113,'Dist Plant Depreciation'!$D$5:$AC$5,0))</f>
        <v>65386</v>
      </c>
      <c r="BR1113" s="129">
        <f>INDEX('Gen. Plant Depreciation'!$D$7:$AC$94,MATCH($C1113,'Gen. Plant Depreciation'!$C$7:$C$94,0),MATCH(Calculation!$G1113,'Gen. Plant Depreciation'!$D$5:$AC$5,0))</f>
        <v>5141</v>
      </c>
      <c r="BS1113" s="129"/>
      <c r="BT1113" s="129"/>
      <c r="BU1113" s="129"/>
      <c r="BV1113" s="129"/>
      <c r="BW1113" s="129"/>
      <c r="BX1113" s="137"/>
      <c r="BY1113" s="129">
        <f>INDEX('Gross Dx Plant'!$D$7:$AC$91,MATCH($C1113,'Gross Dx Plant'!$C$7:$C$91,0),MATCH(Calculation!$G1113,'Gross Dx Plant'!$D$5:$AC$5,0))</f>
        <v>154288</v>
      </c>
      <c r="BZ1113" s="129">
        <f>INDEX('Gross Gen Plant'!$D$7:$AC$91,MATCH($C1113,'Gross Gen Plant'!$C$7:$C$91,0),MATCH(Calculation!$G1113,'Gross Gen Plant'!$D$5:$AC$5,0))</f>
        <v>8771</v>
      </c>
      <c r="CA1113" s="129">
        <f t="shared" si="1977"/>
        <v>92532</v>
      </c>
      <c r="CB1113" s="129"/>
      <c r="CC1113" s="133">
        <v>2008</v>
      </c>
      <c r="CD1113" s="129"/>
      <c r="CE1113" s="129"/>
      <c r="CF1113" s="129"/>
      <c r="CG1113" s="137"/>
      <c r="CH1113" s="129">
        <f t="shared" si="1996"/>
        <v>9335</v>
      </c>
      <c r="CI1113" s="46">
        <f t="shared" si="2005"/>
        <v>9301.1120821297809</v>
      </c>
      <c r="CJ1113" s="231">
        <f t="shared" si="1997"/>
        <v>16.3211420690774</v>
      </c>
      <c r="CK1113" s="443">
        <v>0.89130434782608692</v>
      </c>
      <c r="CL1113" s="231">
        <f>+CL1103*CK1113+CJ1104*CK1112+CJ1105*CK1111+CJ1106*CK1110+CJ1107*CK1109+CJ1108*CK1108+CJ1109*CK1107+CJ1110*CK1106+CJ1111*CK1105+CJ1112*CK1104+CJ1113</f>
        <v>433.53154115041502</v>
      </c>
      <c r="CM1113" s="134">
        <f t="shared" si="1998"/>
        <v>2.5755552428456174E-2</v>
      </c>
      <c r="CN1113" s="135">
        <f t="shared" si="1999"/>
        <v>1.2539074126200551E-2</v>
      </c>
      <c r="CO1113" s="135">
        <f t="shared" si="2008"/>
        <v>1.2220748413102367E-2</v>
      </c>
      <c r="CP1113" s="134">
        <f>VLOOKUP($H1113,RoR!$E:$F,2,FALSE)</f>
        <v>5.6316666666666668E-2</v>
      </c>
      <c r="CQ1113" s="135">
        <v>1.9092304698479889E-2</v>
      </c>
      <c r="CR1113" s="135">
        <f t="shared" si="2006"/>
        <v>3.7224361968186778E-2</v>
      </c>
      <c r="CS1113" s="135">
        <f t="shared" si="2009"/>
        <v>1.868119319543126E-2</v>
      </c>
      <c r="CT1113" s="135">
        <f t="shared" si="2010"/>
        <v>6.9030581091053131E-2</v>
      </c>
      <c r="CU1113" s="139">
        <f t="shared" si="2000"/>
        <v>0.87050000000000005</v>
      </c>
      <c r="CV1113" s="335">
        <f t="shared" si="2001"/>
        <v>0.91060168006009956</v>
      </c>
      <c r="CW1113" s="335">
        <f t="shared" si="2002"/>
        <v>0.53108168097070152</v>
      </c>
      <c r="CX1113" s="335">
        <f t="shared" si="2003"/>
        <v>0.88825329850328805</v>
      </c>
      <c r="CY1113" s="335">
        <f t="shared" si="2004"/>
        <v>0.4295627335323573</v>
      </c>
      <c r="CZ1113" s="336">
        <f>INDEX('State Tax Lookup'!$D$7:$Z$91,MATCH(Calculation!$C1113,'State Tax Lookup'!$B$7:$B$91,0),MATCH($H1113,'State Tax Lookup'!$D$6:$Z$6,0))</f>
        <v>0.35</v>
      </c>
      <c r="DA1113" s="302">
        <v>0.37</v>
      </c>
      <c r="DB1113" s="57">
        <f t="shared" si="2007"/>
        <v>14.165084393853332</v>
      </c>
      <c r="DC1113" s="56">
        <f t="shared" si="2011"/>
        <v>0.11879296182943405</v>
      </c>
      <c r="DD1113" s="303">
        <f>VLOOKUP($H1113,RoR!$E:$F,2,FALSE)</f>
        <v>5.6316666666666668E-2</v>
      </c>
      <c r="DE1113" s="304">
        <f>HLOOKUP($H1113,'GDP-PI'!$D$8:$CQ$11,3,FALSE)</f>
        <v>1.9092304698479889E-2</v>
      </c>
      <c r="DF1113" s="303">
        <f>VLOOKUP(H1113,'HW Dx Data'!$E:$F,2,FALSE)</f>
        <v>569.88120333515076</v>
      </c>
      <c r="DG1113" s="364">
        <f ca="1">VLOOKUP(CC1113,'ECI - Input Price'!M$13:N$33,2,FALSE)</f>
        <v>107.9</v>
      </c>
      <c r="DH1113" s="364"/>
      <c r="DI1113" s="364"/>
      <c r="DJ1113" s="56">
        <f t="shared" ca="1" si="2019"/>
        <v>3.1778595021460486E-2</v>
      </c>
      <c r="DK1113" s="53">
        <f>HLOOKUP(H1113,'GDP-PI'!$8:$9,2,FALSE)</f>
        <v>94.263999999999996</v>
      </c>
      <c r="DL1113" s="355">
        <f t="shared" si="2012"/>
        <v>1.8912333748032254E-2</v>
      </c>
    </row>
    <row r="1114" spans="1:116" s="126" customFormat="1" ht="21" customHeight="1" x14ac:dyDescent="0.4">
      <c r="A1114" s="233" t="s">
        <v>248</v>
      </c>
      <c r="B1114" s="126" t="s">
        <v>248</v>
      </c>
      <c r="C1114" s="126">
        <v>4057100</v>
      </c>
      <c r="D1114" s="127" t="s">
        <v>249</v>
      </c>
      <c r="E1114" s="127"/>
      <c r="F1114" s="144"/>
      <c r="G1114" s="126" t="s">
        <v>165</v>
      </c>
      <c r="H1114" s="128">
        <v>2009</v>
      </c>
      <c r="I1114" s="129"/>
      <c r="J1114" s="125">
        <f>IFERROR(INDEX('Labor Expenditures'!$E$7:$W$91,MATCH($C1114,'Labor Expenditures'!$C$7:$C$91,0),MATCH($G1114,'Labor Expenditures'!$E$5:$W$5,0)),"NA")</f>
        <v>7588.0488369707928</v>
      </c>
      <c r="K1114" s="125">
        <f t="shared" ca="1" si="2013"/>
        <v>68.407021293403588</v>
      </c>
      <c r="L1114" s="47"/>
      <c r="M1114" s="131">
        <f t="shared" ca="1" si="2020"/>
        <v>4.6050347775687006E-2</v>
      </c>
      <c r="N1114" s="131"/>
      <c r="O1114" s="131"/>
      <c r="P1114" s="59">
        <f t="shared" ca="1" si="2022"/>
        <v>1.3294882329376793E-4</v>
      </c>
      <c r="Q1114" s="61"/>
      <c r="R1114" s="387"/>
      <c r="S1114" s="49">
        <f t="shared" ca="1" si="2027"/>
        <v>116.55820527036968</v>
      </c>
      <c r="T1114" s="61">
        <f ca="1">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</f>
        <v>2.3251080487907871E-2</v>
      </c>
      <c r="U1114" s="61"/>
      <c r="V1114" s="125">
        <f>IFERROR(INDEX('Non-Labor Expenditures'!$E$7:$AA$91,MATCH($C1114,'Non-Labor Expenditures'!$C$7:$C$91,0),MATCH($G1114,'Non-Labor Expenditures'!$E$5:$AA$5,0)),"NA")</f>
        <v>10988.911967961423</v>
      </c>
      <c r="W1114" s="125">
        <f t="shared" si="2014"/>
        <v>115.67397517828002</v>
      </c>
      <c r="X1114" s="131">
        <f t="shared" si="2023"/>
        <v>6.5932763958261129E-2</v>
      </c>
      <c r="Y1114" s="131">
        <f t="shared" si="2024"/>
        <v>1.9034999317387455E-4</v>
      </c>
      <c r="Z1114" s="131"/>
      <c r="AA1114" s="131"/>
      <c r="AB1114" s="131"/>
      <c r="AC1114" s="125">
        <f t="shared" si="1994"/>
        <v>5838.1600378761432</v>
      </c>
      <c r="AD1114" s="129"/>
      <c r="AE1114" s="133">
        <v>467.36720576694449</v>
      </c>
      <c r="AF1114" s="134">
        <v>2.9448515136514128E-2</v>
      </c>
      <c r="AG1114" s="59">
        <f t="shared" si="2015"/>
        <v>8.5018802772545587E-5</v>
      </c>
      <c r="AH1114" s="134"/>
      <c r="AI1114" s="134"/>
      <c r="AJ1114" s="129">
        <f t="shared" si="1902"/>
        <v>24415.120842808359</v>
      </c>
      <c r="AK1114" s="134">
        <f t="shared" si="2025"/>
        <v>4.9244108166236492E-2</v>
      </c>
      <c r="AL1114" s="129"/>
      <c r="AM1114" s="129"/>
      <c r="AN1114" s="129"/>
      <c r="AO1114" s="129"/>
      <c r="AP1114" s="133">
        <f t="shared" si="2026"/>
        <v>220.56607773579503</v>
      </c>
      <c r="AQ1114" s="134">
        <f>+BB1114/Outputs!$B$17</f>
        <v>3.1467230364642129E-3</v>
      </c>
      <c r="AR1114" s="93">
        <f t="shared" si="2016"/>
        <v>0.31079300757202288</v>
      </c>
      <c r="AS1114" s="93">
        <f t="shared" si="2017"/>
        <v>0.45008632309097429</v>
      </c>
      <c r="AT1114" s="93">
        <f t="shared" si="2018"/>
        <v>0.23912066933700282</v>
      </c>
      <c r="AU1114" s="93">
        <f t="shared" ca="1" si="2021"/>
        <v>5.0768624309310513E-2</v>
      </c>
      <c r="AV1114" s="132">
        <f t="shared" ca="1" si="2029"/>
        <v>107.33054692578233</v>
      </c>
      <c r="AW1114" s="134">
        <f t="shared" ca="1" si="2030"/>
        <v>5.0768624309310569E-2</v>
      </c>
      <c r="AX1114" s="56">
        <f>+AJ1114/$AL$14</f>
        <v>2.8870319056300445E-3</v>
      </c>
      <c r="AY1114" s="135">
        <f t="shared" ca="1" si="2028"/>
        <v>1.4657063818592468E-4</v>
      </c>
      <c r="AZ1114" s="93"/>
      <c r="BA1114" s="93"/>
      <c r="BB1114" s="234">
        <f>IFERROR(INDEX('Total Customers'!$E$7:$AA$91,MATCH($C1114,'Total Customers'!$C$7:$C$91,0),MATCH($G1114,'Total Customers'!$E$5:$AA$5,0)),"NA")</f>
        <v>110693</v>
      </c>
      <c r="BC1114" s="269">
        <f t="shared" si="1988"/>
        <v>-4.021066401121101E-3</v>
      </c>
      <c r="BD1114" s="92"/>
      <c r="BE1114" s="299" t="str">
        <f t="shared" si="1984"/>
        <v>SOUTHERN INDIANA GAS AND ELECTRIC COMPANY</v>
      </c>
      <c r="BF1114" s="300">
        <f t="shared" si="1985"/>
        <v>4057100</v>
      </c>
      <c r="BG1114" s="231" t="str">
        <f t="shared" si="1986"/>
        <v>TX</v>
      </c>
      <c r="BH1114" s="231"/>
      <c r="BI1114" s="231" t="str">
        <f t="shared" si="1987"/>
        <v>2009 Y</v>
      </c>
      <c r="BJ1114" s="129"/>
      <c r="BK1114" s="129"/>
      <c r="BL1114" s="129">
        <f>INDEX('Dist. Plant Gas Additions'!$E$7:$AD$91,MATCH($C1114,'Dist. Plant Gas Additions'!$C$7:$C$91,0),MATCH(Calculation!$G1114,'Dist. Plant Gas Additions'!$E$5:$AD$5,0))</f>
        <v>7915</v>
      </c>
      <c r="BM1114" s="129">
        <f>INDEX('Gen. Plant Additions'!$E$7:$AD$91,MATCH($C1114,'Gen. Plant Additions'!$C$7:$C$91,0),MATCH(Calculation!$G1114,'Gen. Plant Additions'!$E$5:$AD$5,0))</f>
        <v>1254</v>
      </c>
      <c r="BN1114" s="301">
        <f t="shared" si="1995"/>
        <v>0.94179227535592358</v>
      </c>
      <c r="BO1114" s="231">
        <f t="shared" si="1989"/>
        <v>1181.0075132963282</v>
      </c>
      <c r="BP1114" s="231">
        <f t="shared" si="1990"/>
        <v>-72.99248670367183</v>
      </c>
      <c r="BQ1114" s="129">
        <f>INDEX('Dist Plant Depreciation'!$D$7:$AC$94,MATCH($C1114,'Dist Plant Depreciation'!$C$7:$C$94,0),MATCH(Calculation!$G1114,'Dist Plant Depreciation'!$D$5:$AC$5,0))</f>
        <v>68167</v>
      </c>
      <c r="BR1114" s="129">
        <f>INDEX('Gen. Plant Depreciation'!$D$7:$AC$94,MATCH($C1114,'Gen. Plant Depreciation'!$C$7:$C$94,0),MATCH(Calculation!$G1114,'Gen. Plant Depreciation'!$D$5:$AC$5,0))</f>
        <v>5436</v>
      </c>
      <c r="BS1114" s="129"/>
      <c r="BT1114" s="129"/>
      <c r="BU1114" s="129"/>
      <c r="BV1114" s="129"/>
      <c r="BW1114" s="129"/>
      <c r="BX1114" s="137"/>
      <c r="BY1114" s="129">
        <f>INDEX('Gross Dx Plant'!$D$7:$AC$91,MATCH($C1114,'Gross Dx Plant'!$C$7:$C$91,0),MATCH(Calculation!$G1114,'Gross Dx Plant'!$D$5:$AC$5,0))</f>
        <v>162203</v>
      </c>
      <c r="BZ1114" s="129">
        <f>INDEX('Gross Gen Plant'!$D$7:$AC$91,MATCH($C1114,'Gross Gen Plant'!$C$7:$C$91,0),MATCH(Calculation!$G1114,'Gross Gen Plant'!$D$5:$AC$5,0))</f>
        <v>10025</v>
      </c>
      <c r="CA1114" s="129">
        <f t="shared" si="1977"/>
        <v>98625</v>
      </c>
      <c r="CB1114" s="129"/>
      <c r="CC1114" s="133">
        <v>2009</v>
      </c>
      <c r="CD1114" s="129"/>
      <c r="CE1114" s="129"/>
      <c r="CF1114" s="129"/>
      <c r="CG1114" s="137"/>
      <c r="CH1114" s="129">
        <f t="shared" si="1996"/>
        <v>9169</v>
      </c>
      <c r="CI1114" s="46">
        <f t="shared" si="2005"/>
        <v>9096.0075132963284</v>
      </c>
      <c r="CJ1114" s="231">
        <f t="shared" si="1997"/>
        <v>16.50995934186107</v>
      </c>
      <c r="CK1114" s="443">
        <v>0.87912087912087911</v>
      </c>
      <c r="CL1114" s="231">
        <f>+CL1103*CK1114+CJ1104*CK1113+CJ1105*CK1112+CJ1106*CK1111+CJ1107*CK1110+CJ1108*CK1109+CJ1109*CK1108+CJ1110*CK1107+CJ1111*CK1106+CJ1112*CK1105+CJ1113*CK1104+CJ1114</f>
        <v>444.4673458540563</v>
      </c>
      <c r="CM1114" s="134">
        <f t="shared" si="1998"/>
        <v>2.4912036750288483E-2</v>
      </c>
      <c r="CN1114" s="135">
        <f t="shared" si="1999"/>
        <v>1.2857552701767134E-2</v>
      </c>
      <c r="CO1114" s="135">
        <f t="shared" si="2008"/>
        <v>1.2534931326224239E-2</v>
      </c>
      <c r="CP1114" s="134">
        <f>VLOOKUP($H1114,RoR!$E:$F,2,FALSE)</f>
        <v>5.3133333333333324E-2</v>
      </c>
      <c r="CQ1114" s="135">
        <v>7.7972502758210105E-3</v>
      </c>
      <c r="CR1114" s="135">
        <f t="shared" si="2006"/>
        <v>4.5336083057512314E-2</v>
      </c>
      <c r="CS1114" s="135">
        <f t="shared" si="2009"/>
        <v>1.8367010282309387E-2</v>
      </c>
      <c r="CT1114" s="135">
        <f t="shared" si="2010"/>
        <v>6.3720160300892073E-2</v>
      </c>
      <c r="CU1114" s="139">
        <f t="shared" si="2000"/>
        <v>0.87050000000000005</v>
      </c>
      <c r="CV1114" s="335">
        <f t="shared" si="2001"/>
        <v>0.96515780330083989</v>
      </c>
      <c r="CW1114" s="335">
        <f t="shared" si="2002"/>
        <v>0.50448557089084056</v>
      </c>
      <c r="CX1114" s="335">
        <f t="shared" si="2003"/>
        <v>0.87391435735465484</v>
      </c>
      <c r="CY1114" s="335">
        <f t="shared" si="2004"/>
        <v>0.42551605393279146</v>
      </c>
      <c r="CZ1114" s="336">
        <f>INDEX('State Tax Lookup'!$D$7:$Z$91,MATCH(Calculation!$C1114,'State Tax Lookup'!$B$7:$B$91,0),MATCH($H1114,'State Tax Lookup'!$D$6:$Z$6,0))</f>
        <v>0.35</v>
      </c>
      <c r="DA1114" s="302">
        <v>0.37</v>
      </c>
      <c r="DB1114" s="57">
        <f t="shared" si="2007"/>
        <v>13.466517389678407</v>
      </c>
      <c r="DC1114" s="56">
        <f t="shared" si="2011"/>
        <v>-5.0573679866153368E-2</v>
      </c>
      <c r="DD1114" s="303">
        <f>VLOOKUP($H1114,RoR!$E:$F,2,FALSE)</f>
        <v>5.3133333333333324E-2</v>
      </c>
      <c r="DE1114" s="304">
        <f>HLOOKUP($H1114,'GDP-PI'!$D$8:$CQ$11,3,FALSE)</f>
        <v>7.7972502758210105E-3</v>
      </c>
      <c r="DF1114" s="303">
        <f>VLOOKUP(H1114,'HW Dx Data'!$E:$F,2,FALSE)</f>
        <v>550.94063679692806</v>
      </c>
      <c r="DG1114" s="364">
        <f ca="1">VLOOKUP(CC1114,'ECI - Input Price'!M$13:N$33,2,FALSE)</f>
        <v>110.925</v>
      </c>
      <c r="DH1114" s="364"/>
      <c r="DI1114" s="364"/>
      <c r="DJ1114" s="56">
        <f t="shared" ca="1" si="2019"/>
        <v>2.7649425000884052E-2</v>
      </c>
      <c r="DK1114" s="53">
        <f>HLOOKUP(H1114,'GDP-PI'!$8:$9,2,FALSE)</f>
        <v>94.998999999999995</v>
      </c>
      <c r="DL1114" s="355">
        <f t="shared" si="2012"/>
        <v>7.7670088183096342E-3</v>
      </c>
    </row>
    <row r="1115" spans="1:116" s="126" customFormat="1" ht="21" customHeight="1" x14ac:dyDescent="0.4">
      <c r="A1115" s="233" t="s">
        <v>248</v>
      </c>
      <c r="B1115" s="126" t="s">
        <v>248</v>
      </c>
      <c r="C1115" s="126">
        <v>4057100</v>
      </c>
      <c r="D1115" s="127" t="s">
        <v>249</v>
      </c>
      <c r="E1115" s="127"/>
      <c r="F1115" s="144"/>
      <c r="G1115" s="126" t="s">
        <v>166</v>
      </c>
      <c r="H1115" s="128">
        <v>2010</v>
      </c>
      <c r="I1115" s="129"/>
      <c r="J1115" s="125">
        <f>IFERROR(INDEX('Labor Expenditures'!$E$7:$W$91,MATCH($C1115,'Labor Expenditures'!$C$7:$C$91,0),MATCH($G1115,'Labor Expenditures'!$E$5:$W$5,0)),"NA")</f>
        <v>8900.7405034214189</v>
      </c>
      <c r="K1115" s="125">
        <f t="shared" ca="1" si="2013"/>
        <v>76.123502274290516</v>
      </c>
      <c r="L1115" s="47"/>
      <c r="M1115" s="131">
        <f t="shared" ca="1" si="2020"/>
        <v>0.10688158143009388</v>
      </c>
      <c r="N1115" s="131"/>
      <c r="O1115" s="131"/>
      <c r="P1115" s="59">
        <f t="shared" ca="1" si="2022"/>
        <v>3.4173464404180307E-4</v>
      </c>
      <c r="Q1115" s="61"/>
      <c r="R1115" s="387"/>
      <c r="S1115" s="49">
        <f t="shared" ca="1" si="2027"/>
        <v>97.891428382516338</v>
      </c>
      <c r="T1115" s="61">
        <f ca="1">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</f>
        <v>-0.17453177341675422</v>
      </c>
      <c r="U1115" s="61"/>
      <c r="V1115" s="125">
        <f>IFERROR(INDEX('Non-Labor Expenditures'!$E$7:$AA$91,MATCH($C1115,'Non-Labor Expenditures'!$C$7:$C$91,0),MATCH($G1115,'Non-Labor Expenditures'!$E$5:$AA$5,0)),"NA")</f>
        <v>12889.934677965635</v>
      </c>
      <c r="W1115" s="125">
        <f t="shared" si="2014"/>
        <v>134.11787322691563</v>
      </c>
      <c r="X1115" s="131">
        <f t="shared" si="2023"/>
        <v>0.14794338896992043</v>
      </c>
      <c r="Y1115" s="131">
        <f t="shared" si="2024"/>
        <v>4.730223925535845E-4</v>
      </c>
      <c r="Z1115" s="131"/>
      <c r="AA1115" s="131"/>
      <c r="AB1115" s="131"/>
      <c r="AC1115" s="125">
        <f t="shared" si="1994"/>
        <v>6082.1173192169672</v>
      </c>
      <c r="AD1115" s="129"/>
      <c r="AE1115" s="133">
        <v>476.88846995865737</v>
      </c>
      <c r="AF1115" s="134">
        <v>2.0167391405948077E-2</v>
      </c>
      <c r="AG1115" s="59">
        <f t="shared" si="2015"/>
        <v>6.448160881555672E-5</v>
      </c>
      <c r="AH1115" s="134"/>
      <c r="AI1115" s="134"/>
      <c r="AJ1115" s="129">
        <f t="shared" si="1902"/>
        <v>27872.79250060402</v>
      </c>
      <c r="AK1115" s="134">
        <f t="shared" si="2025"/>
        <v>0.13244838680818088</v>
      </c>
      <c r="AL1115" s="129"/>
      <c r="AM1115" s="129"/>
      <c r="AN1115" s="129"/>
      <c r="AO1115" s="129"/>
      <c r="AP1115" s="133">
        <f t="shared" si="2026"/>
        <v>251.89596663959099</v>
      </c>
      <c r="AQ1115" s="134">
        <f>+BB1115/Outputs!$B$18</f>
        <v>3.1283468677713948E-3</v>
      </c>
      <c r="AR1115" s="93">
        <f t="shared" si="2016"/>
        <v>0.31933436533955234</v>
      </c>
      <c r="AS1115" s="93">
        <f t="shared" si="2017"/>
        <v>0.46245580444393231</v>
      </c>
      <c r="AT1115" s="93">
        <f t="shared" si="2018"/>
        <v>0.21820983021651541</v>
      </c>
      <c r="AU1115" s="93">
        <f t="shared" ca="1" si="2021"/>
        <v>0.10578837411544434</v>
      </c>
      <c r="AV1115" s="132">
        <f t="shared" ca="1" si="2029"/>
        <v>119.3071989261833</v>
      </c>
      <c r="AW1115" s="134">
        <f t="shared" ca="1" si="2030"/>
        <v>0.10578837411544428</v>
      </c>
      <c r="AX1115" s="56">
        <f>+AJ1115/$AL$15</f>
        <v>3.1973202442304367E-3</v>
      </c>
      <c r="AY1115" s="135">
        <f t="shared" ca="1" si="2028"/>
        <v>3.3823931016353315E-4</v>
      </c>
      <c r="AZ1115" s="93"/>
      <c r="BA1115" s="93"/>
      <c r="BB1115" s="234">
        <f>IFERROR(INDEX('Total Customers'!$E$7:$AA$91,MATCH($C1115,'Total Customers'!$C$7:$C$91,0),MATCH($G1115,'Total Customers'!$E$5:$AA$5,0)),"NA")</f>
        <v>110652</v>
      </c>
      <c r="BC1115" s="269">
        <f t="shared" si="1988"/>
        <v>-3.7046240456219853E-4</v>
      </c>
      <c r="BD1115" s="92"/>
      <c r="BE1115" s="299" t="str">
        <f t="shared" si="1984"/>
        <v>SOUTHERN INDIANA GAS AND ELECTRIC COMPANY</v>
      </c>
      <c r="BF1115" s="300">
        <f t="shared" si="1985"/>
        <v>4057100</v>
      </c>
      <c r="BG1115" s="231" t="str">
        <f t="shared" si="1986"/>
        <v>TX</v>
      </c>
      <c r="BH1115" s="231"/>
      <c r="BI1115" s="231" t="str">
        <f t="shared" si="1987"/>
        <v>2010 Y</v>
      </c>
      <c r="BJ1115" s="129"/>
      <c r="BK1115" s="129"/>
      <c r="BL1115" s="129">
        <f>INDEX('Dist. Plant Gas Additions'!$E$7:$AD$91,MATCH($C1115,'Dist. Plant Gas Additions'!$C$7:$C$91,0),MATCH(Calculation!$G1115,'Dist. Plant Gas Additions'!$E$5:$AD$5,0))</f>
        <v>6739</v>
      </c>
      <c r="BM1115" s="129">
        <f>INDEX('Gen. Plant Additions'!$E$7:$AD$91,MATCH($C1115,'Gen. Plant Additions'!$C$7:$C$91,0),MATCH(Calculation!$G1115,'Gen. Plant Additions'!$E$5:$AD$5,0))</f>
        <v>539</v>
      </c>
      <c r="BN1115" s="301">
        <f t="shared" si="1995"/>
        <v>0.94079861889601368</v>
      </c>
      <c r="BO1115" s="231">
        <f t="shared" si="1989"/>
        <v>507.09045558495137</v>
      </c>
      <c r="BP1115" s="231">
        <f t="shared" si="1990"/>
        <v>-31.909544415048629</v>
      </c>
      <c r="BQ1115" s="129">
        <f>INDEX('Dist Plant Depreciation'!$D$7:$AC$94,MATCH($C1115,'Dist Plant Depreciation'!$C$7:$C$94,0),MATCH(Calculation!$G1115,'Dist Plant Depreciation'!$D$5:$AC$5,0))</f>
        <v>71320</v>
      </c>
      <c r="BR1115" s="129">
        <f>INDEX('Gen. Plant Depreciation'!$D$7:$AC$94,MATCH($C1115,'Gen. Plant Depreciation'!$C$7:$C$94,0),MATCH(Calculation!$G1115,'Gen. Plant Depreciation'!$D$5:$AC$5,0))</f>
        <v>5988</v>
      </c>
      <c r="BS1115" s="129"/>
      <c r="BT1115" s="129"/>
      <c r="BU1115" s="129"/>
      <c r="BV1115" s="129"/>
      <c r="BW1115" s="129"/>
      <c r="BX1115" s="137"/>
      <c r="BY1115" s="129">
        <f>INDEX('Gross Dx Plant'!$D$7:$AC$91,MATCH($C1115,'Gross Dx Plant'!$C$7:$C$91,0),MATCH(Calculation!$G1115,'Gross Dx Plant'!$D$5:$AC$5,0))</f>
        <v>167846</v>
      </c>
      <c r="BZ1115" s="129">
        <f>INDEX('Gross Gen Plant'!$D$7:$AC$91,MATCH($C1115,'Gross Gen Plant'!$C$7:$C$91,0),MATCH(Calculation!$G1115,'Gross Gen Plant'!$D$5:$AC$5,0))</f>
        <v>10562</v>
      </c>
      <c r="CA1115" s="129">
        <f t="shared" si="1977"/>
        <v>101100</v>
      </c>
      <c r="CB1115" s="129"/>
      <c r="CC1115" s="133">
        <v>2010</v>
      </c>
      <c r="CD1115" s="129"/>
      <c r="CE1115" s="129"/>
      <c r="CF1115" s="129"/>
      <c r="CG1115" s="137"/>
      <c r="CH1115" s="129">
        <f t="shared" si="1996"/>
        <v>7278</v>
      </c>
      <c r="CI1115" s="46">
        <f t="shared" si="2005"/>
        <v>7246.0904555849511</v>
      </c>
      <c r="CJ1115" s="231">
        <f t="shared" si="1997"/>
        <v>12.735016062854337</v>
      </c>
      <c r="CK1115" s="443">
        <v>0.8666666666666667</v>
      </c>
      <c r="CL1115" s="231">
        <f>+CL1103*CK1115+CJ1104*CK1114+CJ1105*CK1113+CJ1106*CK1112+CJ1107*CK1111+CJ1108*CK1110+CJ1109*CK1109+CJ1110*CK1108+CJ1111*CK1107+CJ1112*CK1106+CJ1113*CK1105+CJ1114*CK1104+CJ1115</f>
        <v>451.34304538961749</v>
      </c>
      <c r="CM1115" s="134">
        <f t="shared" si="1998"/>
        <v>1.5351093551202072E-2</v>
      </c>
      <c r="CN1115" s="135">
        <f t="shared" si="1999"/>
        <v>1.3182782901709721E-2</v>
      </c>
      <c r="CO1115" s="135">
        <f t="shared" si="2008"/>
        <v>1.2859803243225804E-2</v>
      </c>
      <c r="CP1115" s="134">
        <f>VLOOKUP($H1115,RoR!$E:$F,2,FALSE)</f>
        <v>4.9433333333333322E-2</v>
      </c>
      <c r="CQ1115" s="135">
        <v>1.1684333519300205E-2</v>
      </c>
      <c r="CR1115" s="135">
        <f t="shared" si="2006"/>
        <v>3.7748999814033117E-2</v>
      </c>
      <c r="CS1115" s="135">
        <f t="shared" si="2009"/>
        <v>1.8042138365307821E-2</v>
      </c>
      <c r="CT1115" s="135">
        <f t="shared" si="2010"/>
        <v>4.7937530248493419E-2</v>
      </c>
      <c r="CU1115" s="139">
        <f t="shared" si="2000"/>
        <v>0.87050000000000005</v>
      </c>
      <c r="CV1115" s="335">
        <f t="shared" si="2001"/>
        <v>1.037398205301105</v>
      </c>
      <c r="CW1115" s="335">
        <f t="shared" si="2002"/>
        <v>0.46926837491571133</v>
      </c>
      <c r="CX1115" s="335">
        <f t="shared" si="2003"/>
        <v>0.8548537519972772</v>
      </c>
      <c r="CY1115" s="335">
        <f t="shared" si="2004"/>
        <v>0.41615833911547367</v>
      </c>
      <c r="CZ1115" s="336">
        <f>INDEX('State Tax Lookup'!$D$7:$Z$91,MATCH(Calculation!$C1115,'State Tax Lookup'!$B$7:$B$91,0),MATCH($H1115,'State Tax Lookup'!$D$6:$Z$6,0))</f>
        <v>0.35</v>
      </c>
      <c r="DA1115" s="302">
        <v>0.37</v>
      </c>
      <c r="DB1115" s="57">
        <f t="shared" si="2007"/>
        <v>13.684058853705013</v>
      </c>
      <c r="DC1115" s="56">
        <f t="shared" si="2011"/>
        <v>1.6025156707265634E-2</v>
      </c>
      <c r="DD1115" s="303">
        <f>VLOOKUP($H1115,RoR!$E:$F,2,FALSE)</f>
        <v>4.9433333333333322E-2</v>
      </c>
      <c r="DE1115" s="304">
        <f>HLOOKUP($H1115,'GDP-PI'!$D$8:$CQ$11,3,FALSE)</f>
        <v>1.1684333519300205E-2</v>
      </c>
      <c r="DF1115" s="303">
        <f>VLOOKUP(H1115,'HW Dx Data'!$E:$F,2,FALSE)</f>
        <v>568.98950262971744</v>
      </c>
      <c r="DG1115" s="364">
        <f ca="1">VLOOKUP(CC1115,'ECI - Input Price'!M$13:N$33,2,FALSE)</f>
        <v>116.925</v>
      </c>
      <c r="DH1115" s="364"/>
      <c r="DI1115" s="364"/>
      <c r="DJ1115" s="56">
        <f t="shared" ca="1" si="2019"/>
        <v>5.2678406346976722E-2</v>
      </c>
      <c r="DK1115" s="53">
        <f>HLOOKUP(H1115,'GDP-PI'!$8:$9,2,FALSE)</f>
        <v>96.108999999999995</v>
      </c>
      <c r="DL1115" s="355">
        <f t="shared" si="2012"/>
        <v>1.1616598807150427E-2</v>
      </c>
    </row>
    <row r="1116" spans="1:116" s="126" customFormat="1" ht="21" customHeight="1" x14ac:dyDescent="0.4">
      <c r="A1116" s="233" t="s">
        <v>248</v>
      </c>
      <c r="B1116" s="126" t="s">
        <v>248</v>
      </c>
      <c r="C1116" s="126">
        <v>4057100</v>
      </c>
      <c r="D1116" s="127" t="s">
        <v>249</v>
      </c>
      <c r="E1116" s="127"/>
      <c r="F1116" s="144"/>
      <c r="G1116" s="126" t="s">
        <v>167</v>
      </c>
      <c r="H1116" s="128">
        <v>2011</v>
      </c>
      <c r="I1116" s="129"/>
      <c r="J1116" s="125">
        <f>IFERROR(INDEX('Labor Expenditures'!$E$7:$W$91,MATCH($C1116,'Labor Expenditures'!$C$7:$C$91,0),MATCH($G1116,'Labor Expenditures'!$E$5:$W$5,0)),"NA")</f>
        <v>8582.8965210708011</v>
      </c>
      <c r="K1116" s="125">
        <f t="shared" ca="1" si="2013"/>
        <v>71.00638280099939</v>
      </c>
      <c r="L1116" s="47"/>
      <c r="M1116" s="131">
        <f t="shared" ca="1" si="2020"/>
        <v>-6.958727967245118E-2</v>
      </c>
      <c r="N1116" s="131"/>
      <c r="O1116" s="131"/>
      <c r="P1116" s="59">
        <f t="shared" ca="1" si="2022"/>
        <v>-2.1125660607072198E-4</v>
      </c>
      <c r="Q1116" s="61"/>
      <c r="R1116" s="387"/>
      <c r="S1116" s="49">
        <f t="shared" ca="1" si="2027"/>
        <v>118.21061987439673</v>
      </c>
      <c r="T1116" s="61">
        <f ca="1">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</f>
        <v>0.18860895671200087</v>
      </c>
      <c r="U1116" s="61"/>
      <c r="V1116" s="125">
        <f>IFERROR(INDEX('Non-Labor Expenditures'!$E$7:$AA$91,MATCH($C1116,'Non-Labor Expenditures'!$C$7:$C$91,0),MATCH($G1116,'Non-Labor Expenditures'!$E$5:$AA$5,0)),"NA")</f>
        <v>12429.637226454826</v>
      </c>
      <c r="W1116" s="125">
        <f t="shared" si="2014"/>
        <v>126.68824635574472</v>
      </c>
      <c r="X1116" s="131">
        <f t="shared" si="2023"/>
        <v>-5.6989748723791811E-2</v>
      </c>
      <c r="Y1116" s="131">
        <f t="shared" si="2024"/>
        <v>-1.7301238032125293E-4</v>
      </c>
      <c r="Z1116" s="131"/>
      <c r="AA1116" s="131"/>
      <c r="AB1116" s="131"/>
      <c r="AC1116" s="125">
        <f t="shared" si="1994"/>
        <v>6530.7753548278097</v>
      </c>
      <c r="AD1116" s="129"/>
      <c r="AE1116" s="133">
        <v>489.30753157507428</v>
      </c>
      <c r="AF1116" s="134">
        <v>2.5708542778434849E-2</v>
      </c>
      <c r="AG1116" s="59">
        <f t="shared" si="2015"/>
        <v>7.8047302897317112E-5</v>
      </c>
      <c r="AH1116" s="134"/>
      <c r="AI1116" s="134"/>
      <c r="AJ1116" s="129">
        <f t="shared" si="1902"/>
        <v>27543.309102353436</v>
      </c>
      <c r="AK1116" s="134">
        <f t="shared" si="2025"/>
        <v>-1.1891391536611945E-2</v>
      </c>
      <c r="AL1116" s="129"/>
      <c r="AM1116" s="129"/>
      <c r="AN1116" s="129"/>
      <c r="AO1116" s="129"/>
      <c r="AP1116" s="133">
        <f t="shared" si="2026"/>
        <v>249.61989743027013</v>
      </c>
      <c r="AQ1116" s="134">
        <f>+BB1116/Outputs!$B$19</f>
        <v>3.1045024753498292E-3</v>
      </c>
      <c r="AR1116" s="93">
        <f t="shared" si="2016"/>
        <v>0.31161457358576555</v>
      </c>
      <c r="AS1116" s="93">
        <f t="shared" si="2017"/>
        <v>0.45127610412623864</v>
      </c>
      <c r="AT1116" s="93">
        <f t="shared" si="2018"/>
        <v>0.23710932228799581</v>
      </c>
      <c r="AU1116" s="93">
        <f t="shared" ca="1" si="2021"/>
        <v>-4.213689011617712E-2</v>
      </c>
      <c r="AV1116" s="132">
        <f t="shared" ca="1" si="2029"/>
        <v>114.38440848833221</v>
      </c>
      <c r="AW1116" s="134">
        <f t="shared" ca="1" si="2030"/>
        <v>-4.2136890116177113E-2</v>
      </c>
      <c r="AX1116" s="56">
        <f>+AJ1116/$AL$16</f>
        <v>3.0358509064459965E-3</v>
      </c>
      <c r="AY1116" s="135">
        <f t="shared" ca="1" si="2028"/>
        <v>-1.2792131605401163E-4</v>
      </c>
      <c r="AZ1116" s="93"/>
      <c r="BA1116" s="93"/>
      <c r="BB1116" s="234">
        <f>IFERROR(INDEX('Total Customers'!$E$7:$AA$91,MATCH($C1116,'Total Customers'!$C$7:$C$91,0),MATCH($G1116,'Total Customers'!$E$5:$AA$5,0)),"NA")</f>
        <v>110341</v>
      </c>
      <c r="BC1116" s="269">
        <f t="shared" si="1988"/>
        <v>-2.8145706452858007E-3</v>
      </c>
      <c r="BD1116" s="92"/>
      <c r="BE1116" s="299" t="str">
        <f t="shared" si="1984"/>
        <v>SOUTHERN INDIANA GAS AND ELECTRIC COMPANY</v>
      </c>
      <c r="BF1116" s="300">
        <f t="shared" si="1985"/>
        <v>4057100</v>
      </c>
      <c r="BG1116" s="231" t="str">
        <f t="shared" si="1986"/>
        <v>TX</v>
      </c>
      <c r="BH1116" s="231"/>
      <c r="BI1116" s="231" t="str">
        <f t="shared" si="1987"/>
        <v>2011 Y</v>
      </c>
      <c r="BJ1116" s="129"/>
      <c r="BK1116" s="129"/>
      <c r="BL1116" s="129">
        <f>INDEX('Dist. Plant Gas Additions'!$E$7:$AD$91,MATCH($C1116,'Dist. Plant Gas Additions'!$C$7:$C$91,0),MATCH(Calculation!$G1116,'Dist. Plant Gas Additions'!$E$5:$AD$5,0))</f>
        <v>9131</v>
      </c>
      <c r="BM1116" s="129">
        <f>INDEX('Gen. Plant Additions'!$E$7:$AD$91,MATCH($C1116,'Gen. Plant Additions'!$C$7:$C$91,0),MATCH(Calculation!$G1116,'Gen. Plant Additions'!$E$5:$AD$5,0))</f>
        <v>574</v>
      </c>
      <c r="BN1116" s="301">
        <f t="shared" si="1995"/>
        <v>0.94171606059466173</v>
      </c>
      <c r="BO1116" s="231">
        <f t="shared" si="1989"/>
        <v>540.54501878133578</v>
      </c>
      <c r="BP1116" s="231">
        <f t="shared" si="1990"/>
        <v>-33.454981218664216</v>
      </c>
      <c r="BQ1116" s="129">
        <f>INDEX('Dist Plant Depreciation'!$D$7:$AC$94,MATCH($C1116,'Dist Plant Depreciation'!$C$7:$C$94,0),MATCH(Calculation!$G1116,'Dist Plant Depreciation'!$D$5:$AC$5,0))</f>
        <v>74076</v>
      </c>
      <c r="BR1116" s="129">
        <f>INDEX('Gen. Plant Depreciation'!$D$7:$AC$94,MATCH($C1116,'Gen. Plant Depreciation'!$C$7:$C$94,0),MATCH(Calculation!$G1116,'Gen. Plant Depreciation'!$D$5:$AC$5,0))</f>
        <v>6258</v>
      </c>
      <c r="BS1116" s="129"/>
      <c r="BT1116" s="129"/>
      <c r="BU1116" s="129"/>
      <c r="BV1116" s="129"/>
      <c r="BW1116" s="129"/>
      <c r="BX1116" s="137"/>
      <c r="BY1116" s="129">
        <f>INDEX('Gross Dx Plant'!$D$7:$AC$91,MATCH($C1116,'Gross Dx Plant'!$C$7:$C$91,0),MATCH(Calculation!$G1116,'Gross Dx Plant'!$D$5:$AC$5,0))</f>
        <v>175243</v>
      </c>
      <c r="BZ1116" s="129">
        <f>INDEX('Gross Gen Plant'!$D$7:$AC$91,MATCH($C1116,'Gross Gen Plant'!$C$7:$C$91,0),MATCH(Calculation!$G1116,'Gross Gen Plant'!$D$5:$AC$5,0))</f>
        <v>10846</v>
      </c>
      <c r="CA1116" s="129">
        <f t="shared" si="1977"/>
        <v>105755</v>
      </c>
      <c r="CB1116" s="129"/>
      <c r="CC1116" s="133">
        <v>2011</v>
      </c>
      <c r="CD1116" s="129"/>
      <c r="CE1116" s="129"/>
      <c r="CF1116" s="129"/>
      <c r="CG1116" s="137"/>
      <c r="CH1116" s="129">
        <f t="shared" si="1996"/>
        <v>9705</v>
      </c>
      <c r="CI1116" s="46">
        <f t="shared" si="2005"/>
        <v>9671.5450187813367</v>
      </c>
      <c r="CJ1116" s="231">
        <f t="shared" si="1997"/>
        <v>15.813226869315933</v>
      </c>
      <c r="CK1116" s="443">
        <v>0.8539325842696629</v>
      </c>
      <c r="CL1116" s="231">
        <f>+CL1103*CK1116+CJ1104*CK1115+CJ1105*CK1114+CJ1106*CK1113+CJ1107*CK1112+CJ1108*CK1111+CJ1109*CK1110+CJ1110*CK1109+CJ1111*CK1108+CJ1112*CK1107+CJ1113*CK1106+CJ1114*CK1105+CJ1115*CK1104+CJ1116</f>
        <v>461.04186698930522</v>
      </c>
      <c r="CM1116" s="134">
        <f t="shared" si="1998"/>
        <v>2.1261173476078143E-2</v>
      </c>
      <c r="CN1116" s="135">
        <f t="shared" si="1999"/>
        <v>1.3547135226931434E-2</v>
      </c>
      <c r="CO1116" s="135">
        <f t="shared" si="2008"/>
        <v>1.3195823610136097E-2</v>
      </c>
      <c r="CP1116" s="134">
        <f>VLOOKUP($H1116,RoR!$E:$F,2,FALSE)</f>
        <v>4.6391666666666664E-2</v>
      </c>
      <c r="CQ1116" s="135">
        <v>2.0840920205183799E-2</v>
      </c>
      <c r="CR1116" s="135">
        <f t="shared" si="2006"/>
        <v>2.5550746461482865E-2</v>
      </c>
      <c r="CS1116" s="135">
        <f t="shared" si="2009"/>
        <v>1.7706117998397528E-2</v>
      </c>
      <c r="CT1116" s="135">
        <f t="shared" si="2010"/>
        <v>2.4810540821321614E-2</v>
      </c>
      <c r="CU1116" s="139">
        <f t="shared" si="2000"/>
        <v>0.87050000000000005</v>
      </c>
      <c r="CV1116" s="335">
        <f t="shared" si="2001"/>
        <v>1.1054151524782025</v>
      </c>
      <c r="CW1116" s="335">
        <f t="shared" si="2002"/>
        <v>0.43611011316687626</v>
      </c>
      <c r="CX1116" s="335">
        <f t="shared" si="2003"/>
        <v>0.83698442246886229</v>
      </c>
      <c r="CY1116" s="335">
        <f t="shared" si="2004"/>
        <v>0.40349573304423936</v>
      </c>
      <c r="CZ1116" s="336">
        <f>INDEX('State Tax Lookup'!$D$7:$Z$91,MATCH(Calculation!$C1116,'State Tax Lookup'!$B$7:$B$91,0),MATCH($H1116,'State Tax Lookup'!$D$6:$Z$6,0))</f>
        <v>0.35</v>
      </c>
      <c r="DA1116" s="302">
        <v>0.37</v>
      </c>
      <c r="DB1116" s="57">
        <f t="shared" si="2007"/>
        <v>14.46964879937428</v>
      </c>
      <c r="DC1116" s="56">
        <f t="shared" si="2011"/>
        <v>5.5821701380333093E-2</v>
      </c>
      <c r="DD1116" s="303">
        <f>VLOOKUP($H1116,RoR!$E:$F,2,FALSE)</f>
        <v>4.6391666666666664E-2</v>
      </c>
      <c r="DE1116" s="304">
        <f>HLOOKUP($H1116,'GDP-PI'!$D$8:$CQ$11,3,FALSE)</f>
        <v>2.0840920205183799E-2</v>
      </c>
      <c r="DF1116" s="303">
        <f>VLOOKUP(H1116,'HW Dx Data'!$E:$F,2,FALSE)</f>
        <v>611.61109612283201</v>
      </c>
      <c r="DG1116" s="364">
        <f ca="1">VLOOKUP(CC1116,'ECI - Input Price'!M$13:N$33,2,FALSE)</f>
        <v>120.875</v>
      </c>
      <c r="DH1116" s="364"/>
      <c r="DI1116" s="364"/>
      <c r="DJ1116" s="56">
        <f t="shared" ca="1" si="2019"/>
        <v>3.3224250161508609E-2</v>
      </c>
      <c r="DK1116" s="53">
        <f>HLOOKUP(H1116,'GDP-PI'!$8:$9,2,FALSE)</f>
        <v>98.111999999999995</v>
      </c>
      <c r="DL1116" s="355">
        <f t="shared" si="2012"/>
        <v>2.0626719212849295E-2</v>
      </c>
    </row>
    <row r="1117" spans="1:116" s="126" customFormat="1" ht="21" customHeight="1" x14ac:dyDescent="0.4">
      <c r="A1117" s="233" t="s">
        <v>248</v>
      </c>
      <c r="B1117" s="126" t="s">
        <v>248</v>
      </c>
      <c r="C1117" s="126">
        <v>4057100</v>
      </c>
      <c r="D1117" s="127" t="s">
        <v>249</v>
      </c>
      <c r="E1117" s="127"/>
      <c r="F1117" s="144"/>
      <c r="G1117" s="126" t="s">
        <v>168</v>
      </c>
      <c r="H1117" s="128">
        <v>2012</v>
      </c>
      <c r="I1117" s="129"/>
      <c r="J1117" s="125">
        <f>IFERROR(INDEX('Labor Expenditures'!$E$7:$W$91,MATCH($C1117,'Labor Expenditures'!$C$7:$C$91,0),MATCH($G1117,'Labor Expenditures'!$E$5:$W$5,0)),"NA")</f>
        <v>7910.6379025588967</v>
      </c>
      <c r="K1117" s="125">
        <f t="shared" ca="1" si="2013"/>
        <v>63.38652165511936</v>
      </c>
      <c r="L1117" s="47"/>
      <c r="M1117" s="131">
        <f t="shared" ca="1" si="2020"/>
        <v>-0.11351852495459229</v>
      </c>
      <c r="N1117" s="131"/>
      <c r="O1117" s="131"/>
      <c r="P1117" s="59">
        <f t="shared" ca="1" si="2022"/>
        <v>-3.2036451823224923E-4</v>
      </c>
      <c r="Q1117" s="61"/>
      <c r="R1117" s="387"/>
      <c r="S1117" s="49">
        <f t="shared" ca="1" si="2027"/>
        <v>117.83772038694434</v>
      </c>
      <c r="T1117" s="61">
        <f ca="1">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</f>
        <v>-3.1595206070707572E-3</v>
      </c>
      <c r="U1117" s="61"/>
      <c r="V1117" s="125">
        <f>IFERROR(INDEX('Non-Labor Expenditures'!$E$7:$AA$91,MATCH($C1117,'Non-Labor Expenditures'!$C$7:$C$91,0),MATCH($G1117,'Non-Labor Expenditures'!$E$5:$AA$5,0)),"NA")</f>
        <v>11456.081186259413</v>
      </c>
      <c r="W1117" s="125">
        <f t="shared" si="2014"/>
        <v>114.56081186259412</v>
      </c>
      <c r="X1117" s="131">
        <f t="shared" si="2023"/>
        <v>-0.10062352553146603</v>
      </c>
      <c r="Y1117" s="131">
        <f t="shared" si="2024"/>
        <v>-2.8397309859878032E-4</v>
      </c>
      <c r="Z1117" s="131"/>
      <c r="AA1117" s="131"/>
      <c r="AB1117" s="131"/>
      <c r="AC1117" s="125">
        <f t="shared" si="1994"/>
        <v>7128.4941412152639</v>
      </c>
      <c r="AD1117" s="129"/>
      <c r="AE1117" s="133">
        <v>499.36185175522138</v>
      </c>
      <c r="AF1117" s="134">
        <v>2.0339796045257309E-2</v>
      </c>
      <c r="AG1117" s="59">
        <f t="shared" si="2015"/>
        <v>5.7401635227268344E-5</v>
      </c>
      <c r="AH1117" s="134"/>
      <c r="AI1117" s="134"/>
      <c r="AJ1117" s="129">
        <f t="shared" si="1902"/>
        <v>26495.213230033572</v>
      </c>
      <c r="AK1117" s="134">
        <f t="shared" si="2025"/>
        <v>-3.8795558457131611E-2</v>
      </c>
      <c r="AL1117" s="129"/>
      <c r="AM1117" s="129"/>
      <c r="AN1117" s="129"/>
      <c r="AO1117" s="129"/>
      <c r="AP1117" s="133">
        <f t="shared" si="2026"/>
        <v>239.74964917867356</v>
      </c>
      <c r="AQ1117" s="134">
        <f>+BB1117/Outputs!$B$20</f>
        <v>3.0944128280816956E-3</v>
      </c>
      <c r="AR1117" s="93">
        <f t="shared" si="2016"/>
        <v>0.29856856911767804</v>
      </c>
      <c r="AS1117" s="93">
        <f t="shared" si="2017"/>
        <v>0.43238305299892454</v>
      </c>
      <c r="AT1117" s="93">
        <f t="shared" si="2018"/>
        <v>0.26904837788339742</v>
      </c>
      <c r="AU1117" s="93">
        <f t="shared" ca="1" si="2021"/>
        <v>-7.3944422840863708E-2</v>
      </c>
      <c r="AV1117" s="132">
        <f t="shared" ca="1" si="2029"/>
        <v>106.23146625893681</v>
      </c>
      <c r="AW1117" s="134">
        <f t="shared" ca="1" si="2030"/>
        <v>-7.3944422840863722E-2</v>
      </c>
      <c r="AX1117" s="56">
        <f>+AJ1117/$AL$17</f>
        <v>2.8221342583547122E-3</v>
      </c>
      <c r="AY1117" s="135">
        <f t="shared" ca="1" si="2028"/>
        <v>-2.0868108891346817E-4</v>
      </c>
      <c r="AZ1117" s="93"/>
      <c r="BA1117" s="93"/>
      <c r="BB1117" s="234">
        <f>IFERROR(INDEX('Total Customers'!$E$7:$AA$91,MATCH($C1117,'Total Customers'!$C$7:$C$91,0),MATCH($G1117,'Total Customers'!$E$5:$AA$5,0)),"NA")</f>
        <v>110512</v>
      </c>
      <c r="BC1117" s="269">
        <f t="shared" si="1988"/>
        <v>1.5485416468984669E-3</v>
      </c>
      <c r="BD1117" s="92"/>
      <c r="BE1117" s="299" t="str">
        <f t="shared" si="1984"/>
        <v>SOUTHERN INDIANA GAS AND ELECTRIC COMPANY</v>
      </c>
      <c r="BF1117" s="300">
        <f t="shared" si="1985"/>
        <v>4057100</v>
      </c>
      <c r="BG1117" s="231" t="str">
        <f t="shared" si="1986"/>
        <v>TX</v>
      </c>
      <c r="BH1117" s="231"/>
      <c r="BI1117" s="231" t="str">
        <f t="shared" si="1987"/>
        <v>2012 Y</v>
      </c>
      <c r="BJ1117" s="129"/>
      <c r="BK1117" s="129"/>
      <c r="BL1117" s="129">
        <f>INDEX('Dist. Plant Gas Additions'!$E$7:$AD$91,MATCH($C1117,'Dist. Plant Gas Additions'!$C$7:$C$91,0),MATCH(Calculation!$G1117,'Dist. Plant Gas Additions'!$E$5:$AD$5,0))</f>
        <v>9032</v>
      </c>
      <c r="BM1117" s="129">
        <f>INDEX('Gen. Plant Additions'!$E$7:$AD$91,MATCH($C1117,'Gen. Plant Additions'!$C$7:$C$91,0),MATCH(Calculation!$G1117,'Gen. Plant Additions'!$E$5:$AD$5,0))</f>
        <v>136</v>
      </c>
      <c r="BN1117" s="301">
        <f t="shared" si="1995"/>
        <v>0.94457090062608717</v>
      </c>
      <c r="BO1117" s="231">
        <f t="shared" si="1989"/>
        <v>128.46164248514785</v>
      </c>
      <c r="BP1117" s="231">
        <f t="shared" si="1990"/>
        <v>-7.5383575148521516</v>
      </c>
      <c r="BQ1117" s="129">
        <f>INDEX('Dist Plant Depreciation'!$D$7:$AC$94,MATCH($C1117,'Dist Plant Depreciation'!$C$7:$C$94,0),MATCH(Calculation!$G1117,'Dist Plant Depreciation'!$D$5:$AC$5,0))</f>
        <v>77555</v>
      </c>
      <c r="BR1117" s="129">
        <f>INDEX('Gen. Plant Depreciation'!$D$7:$AC$94,MATCH($C1117,'Gen. Plant Depreciation'!$C$7:$C$94,0),MATCH(Calculation!$G1117,'Gen. Plant Depreciation'!$D$5:$AC$5,0))</f>
        <v>6032</v>
      </c>
      <c r="BS1117" s="129"/>
      <c r="BT1117" s="129"/>
      <c r="BU1117" s="129"/>
      <c r="BV1117" s="129"/>
      <c r="BW1117" s="129"/>
      <c r="BX1117" s="137"/>
      <c r="BY1117" s="129">
        <f>INDEX('Gross Dx Plant'!$D$7:$AC$91,MATCH($C1117,'Gross Dx Plant'!$C$7:$C$91,0),MATCH(Calculation!$G1117,'Gross Dx Plant'!$D$5:$AC$5,0))</f>
        <v>183004</v>
      </c>
      <c r="BZ1117" s="129">
        <f>INDEX('Gross Gen Plant'!$D$7:$AC$91,MATCH($C1117,'Gross Gen Plant'!$C$7:$C$91,0),MATCH(Calculation!$G1117,'Gross Gen Plant'!$D$5:$AC$5,0))</f>
        <v>10739</v>
      </c>
      <c r="CA1117" s="129">
        <f t="shared" si="1977"/>
        <v>110156</v>
      </c>
      <c r="CB1117" s="129"/>
      <c r="CC1117" s="133">
        <v>2012</v>
      </c>
      <c r="CD1117" s="129"/>
      <c r="CE1117" s="129"/>
      <c r="CF1117" s="129"/>
      <c r="CG1117" s="137"/>
      <c r="CH1117" s="129">
        <f t="shared" si="1996"/>
        <v>9168</v>
      </c>
      <c r="CI1117" s="46">
        <f t="shared" si="2005"/>
        <v>9160.4616424851483</v>
      </c>
      <c r="CJ1117" s="231">
        <f t="shared" si="1997"/>
        <v>13.694419251568368</v>
      </c>
      <c r="CK1117" s="443">
        <v>0.84090909090909094</v>
      </c>
      <c r="CL1117" s="231">
        <f>+CL1103*CK1117+CJ1104*CK1116+CJ1105*CK1115+CJ1106*CK1114+CJ1107*CK1113+CJ1108*CK1112+CJ1109*CK1111+CJ1110*CK1110+CJ1111*CK1109+CJ1112*CK1108+CJ1113*CK1107+CJ1114*CK1106+CJ1115*CK1105+CJ1116*CK1104+CJ1117</f>
        <v>468.32948042712383</v>
      </c>
      <c r="CM1117" s="134">
        <f t="shared" si="1998"/>
        <v>1.5683209582712281E-2</v>
      </c>
      <c r="CN1117" s="135">
        <f t="shared" si="1999"/>
        <v>1.3896364457283398E-2</v>
      </c>
      <c r="CO1117" s="135">
        <f t="shared" si="2008"/>
        <v>1.3542094195308186E-2</v>
      </c>
      <c r="CP1117" s="134">
        <f>VLOOKUP($H1117,RoR!$E:$F,2,FALSE)</f>
        <v>3.6733333333333333E-2</v>
      </c>
      <c r="CQ1117" s="135">
        <v>1.924331376386168E-2</v>
      </c>
      <c r="CR1117" s="135">
        <f t="shared" si="2006"/>
        <v>1.7490019569471653E-2</v>
      </c>
      <c r="CS1117" s="135">
        <f t="shared" si="2009"/>
        <v>1.7359847413225438E-2</v>
      </c>
      <c r="CT1117" s="135">
        <f t="shared" si="2010"/>
        <v>6.7122682943869583E-2</v>
      </c>
      <c r="CU1117" s="139">
        <f t="shared" si="2000"/>
        <v>0.87050000000000005</v>
      </c>
      <c r="CV1117" s="335">
        <f t="shared" si="2001"/>
        <v>1.3960631020522127</v>
      </c>
      <c r="CW1117" s="335">
        <f t="shared" si="2002"/>
        <v>0.29441923774954631</v>
      </c>
      <c r="CX1117" s="335">
        <f t="shared" si="2003"/>
        <v>0.76377954189366437</v>
      </c>
      <c r="CY1117" s="335">
        <f t="shared" si="2004"/>
        <v>0.31393465103033691</v>
      </c>
      <c r="CZ1117" s="336">
        <f>INDEX('State Tax Lookup'!$D$7:$Z$91,MATCH(Calculation!$C1117,'State Tax Lookup'!$B$7:$B$91,0),MATCH($H1117,'State Tax Lookup'!$D$6:$Z$6,0))</f>
        <v>0.35</v>
      </c>
      <c r="DA1117" s="302">
        <v>0.37</v>
      </c>
      <c r="DB1117" s="57">
        <f t="shared" si="2007"/>
        <v>15.461706737754087</v>
      </c>
      <c r="DC1117" s="56">
        <f t="shared" si="2011"/>
        <v>6.6313164674363351E-2</v>
      </c>
      <c r="DD1117" s="303">
        <f>VLOOKUP($H1117,RoR!$E:$F,2,FALSE)</f>
        <v>3.6733333333333333E-2</v>
      </c>
      <c r="DE1117" s="304">
        <f>HLOOKUP($H1117,'GDP-PI'!$D$8:$CQ$11,3,FALSE)</f>
        <v>1.924331376386168E-2</v>
      </c>
      <c r="DF1117" s="303">
        <f>VLOOKUP(H1117,'HW Dx Data'!$E:$F,2,FALSE)</f>
        <v>668.91932211262167</v>
      </c>
      <c r="DG1117" s="364">
        <f ca="1">VLOOKUP(CC1117,'ECI - Input Price'!M$13:N$33,2,FALSE)</f>
        <v>124.80000000000001</v>
      </c>
      <c r="DH1117" s="364"/>
      <c r="DI1117" s="364"/>
      <c r="DJ1117" s="56">
        <f t="shared" ca="1" si="2019"/>
        <v>3.1955502161869064E-2</v>
      </c>
      <c r="DK1117" s="53">
        <f>HLOOKUP(H1117,'GDP-PI'!$8:$9,2,FALSE)</f>
        <v>100</v>
      </c>
      <c r="DL1117" s="355">
        <f t="shared" si="2012"/>
        <v>1.9060502738742411E-2</v>
      </c>
    </row>
    <row r="1118" spans="1:116" s="126" customFormat="1" ht="21" customHeight="1" x14ac:dyDescent="0.4">
      <c r="A1118" s="233" t="s">
        <v>248</v>
      </c>
      <c r="B1118" s="126" t="s">
        <v>248</v>
      </c>
      <c r="C1118" s="126">
        <v>4057100</v>
      </c>
      <c r="D1118" s="127" t="s">
        <v>249</v>
      </c>
      <c r="E1118" s="127"/>
      <c r="F1118" s="144"/>
      <c r="G1118" s="126" t="s">
        <v>169</v>
      </c>
      <c r="H1118" s="128">
        <v>2013</v>
      </c>
      <c r="I1118" s="129"/>
      <c r="J1118" s="125">
        <f>IFERROR(INDEX('Labor Expenditures'!$E$7:$W$91,MATCH($C1118,'Labor Expenditures'!$C$7:$C$91,0),MATCH($G1118,'Labor Expenditures'!$E$5:$W$5,0)),"NA")</f>
        <v>9730.2025496140704</v>
      </c>
      <c r="K1118" s="125">
        <f t="shared" ca="1" si="2013"/>
        <v>76.736613167303403</v>
      </c>
      <c r="L1118" s="47"/>
      <c r="M1118" s="131">
        <f t="shared" ca="1" si="2020"/>
        <v>0.19112770332951659</v>
      </c>
      <c r="N1118" s="131"/>
      <c r="O1118" s="131"/>
      <c r="P1118" s="59">
        <f t="shared" ca="1" si="2022"/>
        <v>6.0610772730553669E-4</v>
      </c>
      <c r="Q1118" s="61"/>
      <c r="R1118" s="387"/>
      <c r="S1118" s="49">
        <f t="shared" ca="1" si="2027"/>
        <v>107.64868338966009</v>
      </c>
      <c r="T1118" s="61">
        <f ca="1">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</f>
        <v>-9.0435433718751929E-2</v>
      </c>
      <c r="U1118" s="61"/>
      <c r="V1118" s="125">
        <f>IFERROR(INDEX('Non-Labor Expenditures'!$E$7:$AA$91,MATCH($C1118,'Non-Labor Expenditures'!$C$7:$C$91,0),MATCH($G1118,'Non-Labor Expenditures'!$E$5:$AA$5,0)),"NA")</f>
        <v>14091.15064299294</v>
      </c>
      <c r="W1118" s="125">
        <f t="shared" si="2014"/>
        <v>138.45666967656393</v>
      </c>
      <c r="X1118" s="131">
        <f t="shared" si="2023"/>
        <v>0.18945163238080417</v>
      </c>
      <c r="Y1118" s="131">
        <f t="shared" si="2024"/>
        <v>6.0079253994216699E-4</v>
      </c>
      <c r="Z1118" s="131"/>
      <c r="AA1118" s="131"/>
      <c r="AB1118" s="131"/>
      <c r="AC1118" s="125">
        <f t="shared" si="1994"/>
        <v>7036.4385742829681</v>
      </c>
      <c r="AD1118" s="129"/>
      <c r="AE1118" s="133">
        <v>514.47832198869617</v>
      </c>
      <c r="AF1118" s="134">
        <v>2.9822433481073603E-2</v>
      </c>
      <c r="AG1118" s="59">
        <f t="shared" si="2015"/>
        <v>9.4573455679371315E-5</v>
      </c>
      <c r="AH1118" s="134"/>
      <c r="AI1118" s="134"/>
      <c r="AJ1118" s="129">
        <f t="shared" ref="AJ1118:AJ1181" si="2031">+J1118+V1118+AC1118</f>
        <v>30857.791766889979</v>
      </c>
      <c r="AK1118" s="134">
        <f t="shared" si="2025"/>
        <v>0.15242520404310037</v>
      </c>
      <c r="AL1118" s="129"/>
      <c r="AM1118" s="129"/>
      <c r="AN1118" s="129"/>
      <c r="AO1118" s="129"/>
      <c r="AP1118" s="133">
        <f t="shared" si="2026"/>
        <v>278.13092527864637</v>
      </c>
      <c r="AQ1118" s="134">
        <f>+BB1118/Outputs!$B$21</f>
        <v>3.0867938076156809E-3</v>
      </c>
      <c r="AR1118" s="93">
        <f t="shared" si="2016"/>
        <v>0.31532400708123431</v>
      </c>
      <c r="AS1118" s="93">
        <f t="shared" si="2017"/>
        <v>0.45664805665428615</v>
      </c>
      <c r="AT1118" s="93">
        <f t="shared" si="2018"/>
        <v>0.22802793626447948</v>
      </c>
      <c r="AU1118" s="93">
        <f t="shared" ca="1" si="2021"/>
        <v>0.15029214922737458</v>
      </c>
      <c r="AV1118" s="132">
        <f t="shared" ca="1" si="2029"/>
        <v>123.4594184603924</v>
      </c>
      <c r="AW1118" s="134">
        <f t="shared" ca="1" si="2030"/>
        <v>0.15029214922737461</v>
      </c>
      <c r="AX1118" s="56">
        <f>+AJ1118/$AL$18</f>
        <v>3.1712185975497627E-3</v>
      </c>
      <c r="AY1118" s="135">
        <f t="shared" ca="1" si="2028"/>
        <v>4.7660925869557453E-4</v>
      </c>
      <c r="AZ1118" s="93"/>
      <c r="BA1118" s="93"/>
      <c r="BB1118" s="234">
        <f>IFERROR(INDEX('Total Customers'!$E$7:$AA$91,MATCH($C1118,'Total Customers'!$C$7:$C$91,0),MATCH($G1118,'Total Customers'!$E$5:$AA$5,0)),"NA")</f>
        <v>110947</v>
      </c>
      <c r="BC1118" s="269">
        <f t="shared" si="1988"/>
        <v>3.9284974595699164E-3</v>
      </c>
      <c r="BD1118" s="92"/>
      <c r="BE1118" s="299" t="str">
        <f t="shared" si="1984"/>
        <v>SOUTHERN INDIANA GAS AND ELECTRIC COMPANY</v>
      </c>
      <c r="BF1118" s="300">
        <f t="shared" si="1985"/>
        <v>4057100</v>
      </c>
      <c r="BG1118" s="231" t="str">
        <f t="shared" si="1986"/>
        <v>TX</v>
      </c>
      <c r="BH1118" s="231"/>
      <c r="BI1118" s="231" t="str">
        <f t="shared" si="1987"/>
        <v>2013 Y</v>
      </c>
      <c r="BJ1118" s="129"/>
      <c r="BK1118" s="129"/>
      <c r="BL1118" s="129">
        <f>INDEX('Dist. Plant Gas Additions'!$E$7:$AD$91,MATCH($C1118,'Dist. Plant Gas Additions'!$C$7:$C$91,0),MATCH(Calculation!$G1118,'Dist. Plant Gas Additions'!$E$5:$AD$5,0))</f>
        <v>12128</v>
      </c>
      <c r="BM1118" s="129">
        <f>INDEX('Gen. Plant Additions'!$E$7:$AD$91,MATCH($C1118,'Gen. Plant Additions'!$C$7:$C$91,0),MATCH(Calculation!$G1118,'Gen. Plant Additions'!$E$5:$AD$5,0))</f>
        <v>453</v>
      </c>
      <c r="BN1118" s="301">
        <f t="shared" si="1995"/>
        <v>0.94847492423501811</v>
      </c>
      <c r="BO1118" s="231">
        <f t="shared" si="1989"/>
        <v>429.65914067846319</v>
      </c>
      <c r="BP1118" s="231">
        <f t="shared" si="1990"/>
        <v>-23.340859321536811</v>
      </c>
      <c r="BQ1118" s="129">
        <f>INDEX('Dist Plant Depreciation'!$D$7:$AC$94,MATCH($C1118,'Dist Plant Depreciation'!$C$7:$C$94,0),MATCH(Calculation!$G1118,'Dist Plant Depreciation'!$D$5:$AC$5,0))</f>
        <v>81300</v>
      </c>
      <c r="BR1118" s="129">
        <f>INDEX('Gen. Plant Depreciation'!$D$7:$AC$94,MATCH($C1118,'Gen. Plant Depreciation'!$C$7:$C$94,0),MATCH(Calculation!$G1118,'Gen. Plant Depreciation'!$D$5:$AC$5,0))</f>
        <v>5908</v>
      </c>
      <c r="BS1118" s="129"/>
      <c r="BT1118" s="129"/>
      <c r="BU1118" s="129"/>
      <c r="BV1118" s="129"/>
      <c r="BW1118" s="129"/>
      <c r="BX1118" s="137"/>
      <c r="BY1118" s="129">
        <f>INDEX('Gross Dx Plant'!$D$7:$AC$91,MATCH($C1118,'Gross Dx Plant'!$C$7:$C$91,0),MATCH(Calculation!$G1118,'Gross Dx Plant'!$D$5:$AC$5,0))</f>
        <v>194039</v>
      </c>
      <c r="BZ1118" s="129">
        <f>INDEX('Gross Gen Plant'!$D$7:$AC$91,MATCH($C1118,'Gross Gen Plant'!$C$7:$C$91,0),MATCH(Calculation!$G1118,'Gross Gen Plant'!$D$5:$AC$5,0))</f>
        <v>10541</v>
      </c>
      <c r="CA1118" s="129">
        <f t="shared" si="1977"/>
        <v>117372</v>
      </c>
      <c r="CB1118" s="129"/>
      <c r="CC1118" s="133">
        <v>2013</v>
      </c>
      <c r="CD1118" s="129"/>
      <c r="CE1118" s="129"/>
      <c r="CF1118" s="129"/>
      <c r="CG1118" s="137"/>
      <c r="CH1118" s="129">
        <f t="shared" si="1996"/>
        <v>12581</v>
      </c>
      <c r="CI1118" s="46">
        <f t="shared" si="2005"/>
        <v>12557.659140678463</v>
      </c>
      <c r="CJ1118" s="231">
        <f t="shared" si="1997"/>
        <v>18.933568534454039</v>
      </c>
      <c r="CK1118" s="443">
        <v>0.82758620689655171</v>
      </c>
      <c r="CL1118" s="231">
        <f>+CL1103*CK1118+CJ1104*CK1117+CJ1105*CK1116+CJ1106*CK1115+CJ1107*CK1114+CJ1108*CK1113+CJ1109*CK1112+CJ1110*CK1111+CJ1111*CK1110+CJ1112*CK1109+CJ1113*CK1108+CJ1114*CK1107+CJ1115*CK1106+CJ1116*CK1105+CJ1117*CK1104+CJ1118</f>
        <v>480.57710583274616</v>
      </c>
      <c r="CM1118" s="134">
        <f t="shared" si="1998"/>
        <v>2.5815619311827347E-2</v>
      </c>
      <c r="CN1118" s="135">
        <f t="shared" si="1999"/>
        <v>1.4276152598239224E-2</v>
      </c>
      <c r="CO1118" s="135">
        <f t="shared" si="2008"/>
        <v>1.3906550760818018E-2</v>
      </c>
      <c r="CP1118" s="134">
        <f>VLOOKUP($H1118,RoR!$E:$F,2,FALSE)</f>
        <v>4.2350000000000006E-2</v>
      </c>
      <c r="CQ1118" s="135">
        <v>1.7730000000000024E-2</v>
      </c>
      <c r="CR1118" s="135">
        <f t="shared" si="2006"/>
        <v>2.4619999999999982E-2</v>
      </c>
      <c r="CS1118" s="135">
        <f t="shared" si="2009"/>
        <v>1.6995390847715605E-2</v>
      </c>
      <c r="CT1118" s="135">
        <f t="shared" si="2010"/>
        <v>5.3376742735721204E-2</v>
      </c>
      <c r="CU1118" s="139">
        <f t="shared" si="2000"/>
        <v>0.87050000000000005</v>
      </c>
      <c r="CV1118" s="335">
        <f t="shared" si="2001"/>
        <v>1.2109103018193925</v>
      </c>
      <c r="CW1118" s="335">
        <f t="shared" si="2002"/>
        <v>0.38468122786304604</v>
      </c>
      <c r="CX1118" s="335">
        <f t="shared" si="2003"/>
        <v>0.80969194503422559</v>
      </c>
      <c r="CY1118" s="335">
        <f t="shared" si="2004"/>
        <v>0.37716621754800816</v>
      </c>
      <c r="CZ1118" s="336">
        <f>INDEX('State Tax Lookup'!$D$7:$Z$91,MATCH(Calculation!$C1118,'State Tax Lookup'!$B$7:$B$91,0),MATCH($H1118,'State Tax Lookup'!$D$6:$Z$6,0))</f>
        <v>0.35</v>
      </c>
      <c r="DA1118" s="302">
        <v>0.37</v>
      </c>
      <c r="DB1118" s="57">
        <f t="shared" si="2007"/>
        <v>15.024547606667054</v>
      </c>
      <c r="DC1118" s="56">
        <f t="shared" si="2011"/>
        <v>-2.8681063479913716E-2</v>
      </c>
      <c r="DD1118" s="303">
        <f>VLOOKUP($H1118,RoR!$E:$F,2,FALSE)</f>
        <v>4.2350000000000006E-2</v>
      </c>
      <c r="DE1118" s="304">
        <f>HLOOKUP($H1118,'GDP-PI'!$D$8:$CQ$11,3,FALSE)</f>
        <v>1.7730000000000024E-2</v>
      </c>
      <c r="DF1118" s="303">
        <f>VLOOKUP(H1118,'HW Dx Data'!$E:$F,2,FALSE)</f>
        <v>663.24840548821396</v>
      </c>
      <c r="DG1118" s="364">
        <f ca="1">VLOOKUP(CC1118,'ECI - Input Price'!M$13:N$33,2,FALSE)</f>
        <v>126.8</v>
      </c>
      <c r="DH1118" s="364"/>
      <c r="DI1118" s="364"/>
      <c r="DJ1118" s="56">
        <f t="shared" ca="1" si="2019"/>
        <v>1.5898586067798204E-2</v>
      </c>
      <c r="DK1118" s="53">
        <f>HLOOKUP(H1118,'GDP-PI'!$8:$9,2,FALSE)</f>
        <v>101.773</v>
      </c>
      <c r="DL1118" s="355">
        <f t="shared" si="2012"/>
        <v>1.7574657016510519E-2</v>
      </c>
    </row>
    <row r="1119" spans="1:116" s="126" customFormat="1" ht="21" customHeight="1" x14ac:dyDescent="0.4">
      <c r="A1119" s="233" t="s">
        <v>248</v>
      </c>
      <c r="B1119" s="126" t="s">
        <v>248</v>
      </c>
      <c r="C1119" s="126">
        <v>4057100</v>
      </c>
      <c r="D1119" s="127" t="s">
        <v>249</v>
      </c>
      <c r="E1119" s="127"/>
      <c r="F1119" s="144"/>
      <c r="G1119" s="126" t="s">
        <v>170</v>
      </c>
      <c r="H1119" s="128">
        <v>2014</v>
      </c>
      <c r="I1119" s="129"/>
      <c r="J1119" s="125">
        <f>IFERROR(INDEX('Labor Expenditures'!$E$7:$W$91,MATCH($C1119,'Labor Expenditures'!$C$7:$C$91,0),MATCH($G1119,'Labor Expenditures'!$E$5:$W$5,0)),"NA")</f>
        <v>9078.7539370913564</v>
      </c>
      <c r="K1119" s="125">
        <f t="shared" ca="1" si="2013"/>
        <v>70.160385912607083</v>
      </c>
      <c r="L1119" s="47"/>
      <c r="M1119" s="131">
        <f t="shared" ca="1" si="2020"/>
        <v>-8.9595101467674187E-2</v>
      </c>
      <c r="N1119" s="131"/>
      <c r="O1119" s="131"/>
      <c r="P1119" s="59">
        <f t="shared" ca="1" si="2022"/>
        <v>-2.6700885345711553E-4</v>
      </c>
      <c r="Q1119" s="61"/>
      <c r="R1119" s="387"/>
      <c r="S1119" s="49">
        <f t="shared" ca="1" si="2027"/>
        <v>122.50184303750143</v>
      </c>
      <c r="T1119" s="61">
        <f ca="1">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</f>
        <v>0.12925308181238815</v>
      </c>
      <c r="U1119" s="61"/>
      <c r="V1119" s="125">
        <f>IFERROR(INDEX('Non-Labor Expenditures'!$E$7:$AA$91,MATCH($C1119,'Non-Labor Expenditures'!$C$7:$C$91,0),MATCH($G1119,'Non-Labor Expenditures'!$E$5:$AA$5,0)),"NA")</f>
        <v>13147.731378242855</v>
      </c>
      <c r="W1119" s="125">
        <f t="shared" si="2014"/>
        <v>126.85105577819768</v>
      </c>
      <c r="X1119" s="131">
        <f t="shared" si="2023"/>
        <v>-8.7543813302255608E-2</v>
      </c>
      <c r="Y1119" s="131">
        <f t="shared" si="2024"/>
        <v>-2.608956609701783E-4</v>
      </c>
      <c r="Z1119" s="131"/>
      <c r="AA1119" s="131"/>
      <c r="AB1119" s="131"/>
      <c r="AC1119" s="125">
        <f t="shared" si="1994"/>
        <v>7304.6902716571321</v>
      </c>
      <c r="AD1119" s="129"/>
      <c r="AE1119" s="133">
        <v>549.6096345125253</v>
      </c>
      <c r="AF1119" s="134">
        <v>6.6054850545435057E-2</v>
      </c>
      <c r="AG1119" s="59">
        <f t="shared" si="2015"/>
        <v>1.9685484608532121E-4</v>
      </c>
      <c r="AH1119" s="134"/>
      <c r="AI1119" s="134"/>
      <c r="AJ1119" s="129">
        <f t="shared" si="2031"/>
        <v>29531.175586991343</v>
      </c>
      <c r="AK1119" s="134">
        <f t="shared" si="2025"/>
        <v>-4.3942783005023467E-2</v>
      </c>
      <c r="AL1119" s="129"/>
      <c r="AM1119" s="129"/>
      <c r="AN1119" s="129"/>
      <c r="AO1119" s="129"/>
      <c r="AP1119" s="133">
        <f t="shared" si="2026"/>
        <v>265.6660782032165</v>
      </c>
      <c r="AQ1119" s="134">
        <f>+BB1119/Outputs!$B$22</f>
        <v>3.0761656727706244E-3</v>
      </c>
      <c r="AR1119" s="93">
        <f t="shared" si="2016"/>
        <v>0.30742947941058607</v>
      </c>
      <c r="AS1119" s="93">
        <f t="shared" si="2017"/>
        <v>0.44521530609280957</v>
      </c>
      <c r="AT1119" s="93">
        <f t="shared" si="2018"/>
        <v>0.24735521449660444</v>
      </c>
      <c r="AU1119" s="93">
        <f t="shared" ca="1" si="2021"/>
        <v>-5.1673428344358639E-2</v>
      </c>
      <c r="AV1119" s="132">
        <f t="shared" ca="1" si="2029"/>
        <v>117.24187144896965</v>
      </c>
      <c r="AW1119" s="134">
        <f t="shared" ca="1" si="2030"/>
        <v>-5.1673428344358618E-2</v>
      </c>
      <c r="AX1119" s="56">
        <f>+AJ1119/$AL$19</f>
        <v>2.9801724545560344E-3</v>
      </c>
      <c r="AY1119" s="135">
        <f t="shared" ca="1" si="2028"/>
        <v>-1.5399572778433259E-4</v>
      </c>
      <c r="AZ1119" s="93"/>
      <c r="BA1119" s="93"/>
      <c r="BB1119" s="234">
        <f>IFERROR(INDEX('Total Customers'!$E$7:$AA$91,MATCH($C1119,'Total Customers'!$C$7:$C$91,0),MATCH($G1119,'Total Customers'!$E$5:$AA$5,0)),"NA")</f>
        <v>111159</v>
      </c>
      <c r="BC1119" s="269">
        <f t="shared" si="1988"/>
        <v>1.9089989859097664E-3</v>
      </c>
      <c r="BD1119" s="92"/>
      <c r="BE1119" s="299" t="str">
        <f t="shared" si="1984"/>
        <v>SOUTHERN INDIANA GAS AND ELECTRIC COMPANY</v>
      </c>
      <c r="BF1119" s="300">
        <f t="shared" si="1985"/>
        <v>4057100</v>
      </c>
      <c r="BG1119" s="231" t="str">
        <f t="shared" si="1986"/>
        <v>TX</v>
      </c>
      <c r="BH1119" s="231"/>
      <c r="BI1119" s="231" t="str">
        <f t="shared" si="1987"/>
        <v>2014 Y</v>
      </c>
      <c r="BJ1119" s="129"/>
      <c r="BK1119" s="129"/>
      <c r="BL1119" s="129">
        <f>INDEX('Dist. Plant Gas Additions'!$E$7:$AD$91,MATCH($C1119,'Dist. Plant Gas Additions'!$C$7:$C$91,0),MATCH(Calculation!$G1119,'Dist. Plant Gas Additions'!$E$5:$AD$5,0))</f>
        <v>25792</v>
      </c>
      <c r="BM1119" s="129">
        <f>INDEX('Gen. Plant Additions'!$E$7:$AD$91,MATCH($C1119,'Gen. Plant Additions'!$C$7:$C$91,0),MATCH(Calculation!$G1119,'Gen. Plant Additions'!$E$5:$AD$5,0))</f>
        <v>1053</v>
      </c>
      <c r="BN1119" s="301">
        <f t="shared" si="1995"/>
        <v>0.95193474862676952</v>
      </c>
      <c r="BO1119" s="231">
        <f t="shared" si="1989"/>
        <v>1002.3872903039883</v>
      </c>
      <c r="BP1119" s="231">
        <f t="shared" si="1990"/>
        <v>-50.612709696011734</v>
      </c>
      <c r="BQ1119" s="129">
        <f>INDEX('Dist Plant Depreciation'!$D$7:$AC$94,MATCH($C1119,'Dist Plant Depreciation'!$C$7:$C$94,0),MATCH(Calculation!$G1119,'Dist Plant Depreciation'!$D$5:$AC$5,0))</f>
        <v>84523</v>
      </c>
      <c r="BR1119" s="129">
        <f>INDEX('Gen. Plant Depreciation'!$D$7:$AC$94,MATCH($C1119,'Gen. Plant Depreciation'!$C$7:$C$94,0),MATCH(Calculation!$G1119,'Gen. Plant Depreciation'!$D$5:$AC$5,0))</f>
        <v>5896</v>
      </c>
      <c r="BS1119" s="129"/>
      <c r="BT1119" s="129"/>
      <c r="BU1119" s="129"/>
      <c r="BV1119" s="129"/>
      <c r="BW1119" s="129"/>
      <c r="BX1119" s="137"/>
      <c r="BY1119" s="129">
        <f>INDEX('Gross Dx Plant'!$D$7:$AC$91,MATCH($C1119,'Gross Dx Plant'!$C$7:$C$91,0),MATCH(Calculation!$G1119,'Gross Dx Plant'!$D$5:$AC$5,0))</f>
        <v>218014</v>
      </c>
      <c r="BZ1119" s="129">
        <f>INDEX('Gross Gen Plant'!$D$7:$AC$91,MATCH($C1119,'Gross Gen Plant'!$C$7:$C$91,0),MATCH(Calculation!$G1119,'Gross Gen Plant'!$D$5:$AC$5,0))</f>
        <v>11008</v>
      </c>
      <c r="CA1119" s="129">
        <f t="shared" si="1977"/>
        <v>138603</v>
      </c>
      <c r="CB1119" s="129"/>
      <c r="CC1119" s="133">
        <v>2014</v>
      </c>
      <c r="CD1119" s="129"/>
      <c r="CE1119" s="129"/>
      <c r="CF1119" s="129"/>
      <c r="CG1119" s="137"/>
      <c r="CH1119" s="129">
        <f t="shared" si="1996"/>
        <v>26845</v>
      </c>
      <c r="CI1119" s="46">
        <f t="shared" si="2005"/>
        <v>26794.387290303988</v>
      </c>
      <c r="CJ1119" s="231">
        <f t="shared" si="1997"/>
        <v>39.14623116349766</v>
      </c>
      <c r="CK1119" s="443">
        <v>0.81395348837209303</v>
      </c>
      <c r="CL1119" s="231">
        <f>+CL1103*CK1119+CJ1104*CK1118+CJ1105*CK1117+CJ1106*CK1116+CJ1107*CK1115+CJ1108*CK1114+CJ1109*CK1113+CJ1110*CK1112+CJ1111*CK1111+CJ1112*CK1110+CJ1113*CK1109+CJ1114*CK1108+CJ1115*CK1107+CJ1116*CK1106+CJ1117*CK1105+CJ1118*CK1104+CJ1119</f>
        <v>512.69878453063689</v>
      </c>
      <c r="CM1119" s="134">
        <f t="shared" si="1998"/>
        <v>6.4700822532742785E-2</v>
      </c>
      <c r="CN1119" s="135">
        <f t="shared" si="1999"/>
        <v>1.4616910336239915E-2</v>
      </c>
      <c r="CO1119" s="135">
        <f t="shared" si="2008"/>
        <v>1.4263142463920846E-2</v>
      </c>
      <c r="CP1119" s="134">
        <f>VLOOKUP($H1119,RoR!$E:$F,2,FALSE)</f>
        <v>4.1625000000000002E-2</v>
      </c>
      <c r="CQ1119" s="135">
        <v>1.841352814597208E-2</v>
      </c>
      <c r="CR1119" s="135">
        <f t="shared" si="2006"/>
        <v>2.3211471854027922E-2</v>
      </c>
      <c r="CS1119" s="135">
        <f t="shared" si="2009"/>
        <v>1.6638799144612779E-2</v>
      </c>
      <c r="CT1119" s="135">
        <f t="shared" si="2010"/>
        <v>3.9072621432650924E-2</v>
      </c>
      <c r="CU1119" s="139">
        <f t="shared" si="2000"/>
        <v>0.87050000000000005</v>
      </c>
      <c r="CV1119" s="335">
        <f t="shared" si="2001"/>
        <v>1.2320012320012319</v>
      </c>
      <c r="CW1119" s="335">
        <f t="shared" si="2002"/>
        <v>0.37439939939939942</v>
      </c>
      <c r="CX1119" s="335">
        <f t="shared" si="2003"/>
        <v>0.80432100613819935</v>
      </c>
      <c r="CY1119" s="335">
        <f t="shared" si="2004"/>
        <v>0.37100152660040037</v>
      </c>
      <c r="CZ1119" s="336">
        <f>INDEX('State Tax Lookup'!$D$7:$Z$91,MATCH(Calculation!$C1119,'State Tax Lookup'!$B$7:$B$91,0),MATCH($H1119,'State Tax Lookup'!$D$6:$Z$6,0))</f>
        <v>0.35</v>
      </c>
      <c r="DA1119" s="302">
        <v>0.37</v>
      </c>
      <c r="DB1119" s="57">
        <f t="shared" si="2007"/>
        <v>15.199829919071014</v>
      </c>
      <c r="DC1119" s="56">
        <f t="shared" si="2011"/>
        <v>1.1598867660091642E-2</v>
      </c>
      <c r="DD1119" s="303">
        <f>VLOOKUP($H1119,RoR!$E:$F,2,FALSE)</f>
        <v>4.1625000000000002E-2</v>
      </c>
      <c r="DE1119" s="304">
        <f>HLOOKUP($H1119,'GDP-PI'!$D$8:$CQ$11,3,FALSE)</f>
        <v>1.841352814597208E-2</v>
      </c>
      <c r="DF1119" s="303">
        <f>VLOOKUP(H1119,'HW Dx Data'!$E:$F,2,FALSE)</f>
        <v>684.46914285042885</v>
      </c>
      <c r="DG1119" s="364">
        <f ca="1">VLOOKUP(CC1119,'ECI - Input Price'!M$13:N$33,2,FALSE)</f>
        <v>129.4</v>
      </c>
      <c r="DH1119" s="364"/>
      <c r="DI1119" s="364"/>
      <c r="DJ1119" s="56">
        <f t="shared" ca="1" si="2019"/>
        <v>2.0297340063674733E-2</v>
      </c>
      <c r="DK1119" s="53">
        <f>HLOOKUP(H1119,'GDP-PI'!$8:$9,2,FALSE)</f>
        <v>103.64700000000001</v>
      </c>
      <c r="DL1119" s="355">
        <f t="shared" si="2012"/>
        <v>1.8246051898256087E-2</v>
      </c>
    </row>
    <row r="1120" spans="1:116" s="126" customFormat="1" ht="21" customHeight="1" x14ac:dyDescent="0.4">
      <c r="A1120" s="233" t="s">
        <v>248</v>
      </c>
      <c r="B1120" s="126" t="s">
        <v>248</v>
      </c>
      <c r="C1120" s="126">
        <v>4057100</v>
      </c>
      <c r="D1120" s="127" t="s">
        <v>249</v>
      </c>
      <c r="E1120" s="127"/>
      <c r="F1120" s="144"/>
      <c r="G1120" s="126" t="s">
        <v>171</v>
      </c>
      <c r="H1120" s="128">
        <v>2015</v>
      </c>
      <c r="I1120" s="129"/>
      <c r="J1120" s="125">
        <f>IFERROR(INDEX('Labor Expenditures'!$E$7:$W$91,MATCH($C1120,'Labor Expenditures'!$C$7:$C$91,0),MATCH($G1120,'Labor Expenditures'!$E$5:$W$5,0)),"NA")</f>
        <v>8668.5818518813721</v>
      </c>
      <c r="K1120" s="125">
        <f t="shared" ca="1" si="2013"/>
        <v>64.933197392369834</v>
      </c>
      <c r="L1120" s="47"/>
      <c r="M1120" s="131">
        <f t="shared" ca="1" si="2020"/>
        <v>-7.7424839522085551E-2</v>
      </c>
      <c r="N1120" s="131"/>
      <c r="O1120" s="131"/>
      <c r="P1120" s="59">
        <f t="shared" ca="1" si="2022"/>
        <v>-2.2389352318785111E-4</v>
      </c>
      <c r="Q1120" s="61"/>
      <c r="R1120" s="387"/>
      <c r="S1120" s="49">
        <f t="shared" ca="1" si="2027"/>
        <v>122.56923584805082</v>
      </c>
      <c r="T1120" s="61">
        <f ca="1">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</f>
        <v>5.4998584536871818E-4</v>
      </c>
      <c r="U1120" s="61"/>
      <c r="V1120" s="125">
        <f>IFERROR(INDEX('Non-Labor Expenditures'!$E$7:$AA$91,MATCH($C1120,'Non-Labor Expenditures'!$C$7:$C$91,0),MATCH($G1120,'Non-Labor Expenditures'!$E$5:$AA$5,0)),"NA")</f>
        <v>12553.72558928077</v>
      </c>
      <c r="W1120" s="125">
        <f t="shared" si="2014"/>
        <v>119.97176568278338</v>
      </c>
      <c r="X1120" s="131">
        <f t="shared" si="2023"/>
        <v>-5.5757179934024098E-2</v>
      </c>
      <c r="Y1120" s="131">
        <f t="shared" si="2024"/>
        <v>-1.6123600042963762E-4</v>
      </c>
      <c r="Z1120" s="131"/>
      <c r="AA1120" s="131"/>
      <c r="AB1120" s="131"/>
      <c r="AC1120" s="125">
        <f t="shared" si="1994"/>
        <v>7581.1905594159307</v>
      </c>
      <c r="AD1120" s="129"/>
      <c r="AE1120" s="133">
        <v>590.52086324831214</v>
      </c>
      <c r="AF1120" s="134">
        <v>7.1796695710031971E-2</v>
      </c>
      <c r="AG1120" s="59">
        <f t="shared" si="2015"/>
        <v>2.0761832061892447E-4</v>
      </c>
      <c r="AH1120" s="134"/>
      <c r="AI1120" s="134"/>
      <c r="AJ1120" s="129">
        <f t="shared" si="2031"/>
        <v>28803.498000578074</v>
      </c>
      <c r="AK1120" s="134">
        <f t="shared" si="2025"/>
        <v>-2.4949666765420327E-2</v>
      </c>
      <c r="AL1120" s="129"/>
      <c r="AM1120" s="129"/>
      <c r="AN1120" s="129"/>
      <c r="AO1120" s="129"/>
      <c r="AP1120" s="133">
        <f t="shared" si="2026"/>
        <v>258.83572218598033</v>
      </c>
      <c r="AQ1120" s="134">
        <f>+BB1120/Outputs!$B$23</f>
        <v>3.0545011655748735E-3</v>
      </c>
      <c r="AR1120" s="93">
        <f t="shared" si="2016"/>
        <v>0.30095587180791017</v>
      </c>
      <c r="AS1120" s="93">
        <f t="shared" si="2017"/>
        <v>0.43584031318101785</v>
      </c>
      <c r="AT1120" s="93">
        <f t="shared" si="2018"/>
        <v>0.26320381501107187</v>
      </c>
      <c r="AU1120" s="93">
        <f t="shared" ca="1" si="2021"/>
        <v>-2.9786431798920848E-2</v>
      </c>
      <c r="AV1120" s="132">
        <f t="shared" ca="1" si="2029"/>
        <v>113.8011522047492</v>
      </c>
      <c r="AW1120" s="134">
        <f t="shared" ca="1" si="2030"/>
        <v>-2.97864317989209E-2</v>
      </c>
      <c r="AX1120" s="56">
        <f>+AJ1120/$AL$20</f>
        <v>2.8917531449837251E-3</v>
      </c>
      <c r="AY1120" s="135">
        <f t="shared" ca="1" si="2028"/>
        <v>-8.6135007832372745E-5</v>
      </c>
      <c r="AZ1120" s="93"/>
      <c r="BA1120" s="93"/>
      <c r="BB1120" s="234">
        <f>IFERROR(INDEX('Total Customers'!$E$7:$AA$91,MATCH($C1120,'Total Customers'!$C$7:$C$91,0),MATCH($G1120,'Total Customers'!$E$5:$AA$5,0)),"NA")</f>
        <v>111281</v>
      </c>
      <c r="BC1120" s="269">
        <f t="shared" si="1988"/>
        <v>1.0969251234759037E-3</v>
      </c>
      <c r="BD1120" s="92"/>
      <c r="BE1120" s="299" t="str">
        <f t="shared" si="1984"/>
        <v>SOUTHERN INDIANA GAS AND ELECTRIC COMPANY</v>
      </c>
      <c r="BF1120" s="300">
        <f t="shared" si="1985"/>
        <v>4057100</v>
      </c>
      <c r="BG1120" s="231" t="str">
        <f t="shared" si="1986"/>
        <v>TX</v>
      </c>
      <c r="BH1120" s="231"/>
      <c r="BI1120" s="231" t="str">
        <f t="shared" si="1987"/>
        <v>2015 Y</v>
      </c>
      <c r="BJ1120" s="129"/>
      <c r="BK1120" s="129"/>
      <c r="BL1120" s="129">
        <f>INDEX('Dist. Plant Gas Additions'!$E$7:$AD$91,MATCH($C1120,'Dist. Plant Gas Additions'!$C$7:$C$91,0),MATCH(Calculation!$G1120,'Dist. Plant Gas Additions'!$E$5:$AD$5,0))</f>
        <v>29541</v>
      </c>
      <c r="BM1120" s="129">
        <f>INDEX('Gen. Plant Additions'!$E$7:$AD$91,MATCH($C1120,'Gen. Plant Additions'!$C$7:$C$91,0),MATCH(Calculation!$G1120,'Gen. Plant Additions'!$E$5:$AD$5,0))</f>
        <v>1097</v>
      </c>
      <c r="BN1120" s="301">
        <f t="shared" si="1995"/>
        <v>0.95379738977948136</v>
      </c>
      <c r="BO1120" s="231">
        <f t="shared" si="1989"/>
        <v>1046.3157365880911</v>
      </c>
      <c r="BP1120" s="231">
        <f t="shared" si="1990"/>
        <v>-50.684263411908887</v>
      </c>
      <c r="BQ1120" s="129">
        <f>INDEX('Dist Plant Depreciation'!$D$7:$AC$94,MATCH($C1120,'Dist Plant Depreciation'!$C$7:$C$94,0),MATCH(Calculation!$G1120,'Dist Plant Depreciation'!$D$5:$AC$5,0))</f>
        <v>87364</v>
      </c>
      <c r="BR1120" s="129">
        <f>INDEX('Gen. Plant Depreciation'!$D$7:$AC$94,MATCH($C1120,'Gen. Plant Depreciation'!$C$7:$C$94,0),MATCH(Calculation!$G1120,'Gen. Plant Depreciation'!$D$5:$AC$5,0))</f>
        <v>6230</v>
      </c>
      <c r="BS1120" s="129"/>
      <c r="BT1120" s="129"/>
      <c r="BU1120" s="129"/>
      <c r="BV1120" s="129"/>
      <c r="BW1120" s="129"/>
      <c r="BX1120" s="137"/>
      <c r="BY1120" s="129">
        <f>INDEX('Gross Dx Plant'!$D$7:$AC$91,MATCH($C1120,'Gross Dx Plant'!$C$7:$C$91,0),MATCH(Calculation!$G1120,'Gross Dx Plant'!$D$5:$AC$5,0))</f>
        <v>245847</v>
      </c>
      <c r="BZ1120" s="129">
        <f>INDEX('Gross Gen Plant'!$D$7:$AC$91,MATCH($C1120,'Gross Gen Plant'!$C$7:$C$91,0),MATCH(Calculation!$G1120,'Gross Gen Plant'!$D$5:$AC$5,0))</f>
        <v>11909</v>
      </c>
      <c r="CA1120" s="129">
        <f t="shared" si="1977"/>
        <v>164162</v>
      </c>
      <c r="CB1120" s="129"/>
      <c r="CC1120" s="133">
        <v>2015</v>
      </c>
      <c r="CD1120" s="129"/>
      <c r="CE1120" s="129"/>
      <c r="CF1120" s="129"/>
      <c r="CG1120" s="137"/>
      <c r="CH1120" s="129">
        <f t="shared" si="1996"/>
        <v>30638</v>
      </c>
      <c r="CI1120" s="46">
        <f t="shared" si="2005"/>
        <v>30587.315736588091</v>
      </c>
      <c r="CJ1120" s="231">
        <f t="shared" si="1997"/>
        <v>45.273317418903218</v>
      </c>
      <c r="CK1120" s="443">
        <v>0.8</v>
      </c>
      <c r="CL1120" s="231">
        <f>+CL1103*CK1120+CJ1104*CK1119+CJ1105*CK1118+CJ1106*CK1117+CJ1107*CK1116+CJ1108*CK1115+CJ1109*CK1114+CJ1110*CK1113+CJ1111*CK1112+CJ1112*CK1111+CJ1113*CK1110+CJ1114*CK1109+CJ1115*CK1108+CJ1116*CK1107+CJ1117*CK1106+CJ1118*CK1105+CJ1119*CK1104+CJ1120</f>
        <v>550.39987109570779</v>
      </c>
      <c r="CM1120" s="134">
        <f t="shared" si="1998"/>
        <v>7.0956544353527218E-2</v>
      </c>
      <c r="CN1120" s="135">
        <f t="shared" si="1999"/>
        <v>1.4769355969440224E-2</v>
      </c>
      <c r="CO1120" s="135">
        <f t="shared" si="2008"/>
        <v>1.4554139634639788E-2</v>
      </c>
      <c r="CP1120" s="134">
        <f>VLOOKUP($H1120,RoR!$E:$F,2,FALSE)</f>
        <v>3.8866666666666674E-2</v>
      </c>
      <c r="CQ1120" s="135">
        <v>9.5709475431029478E-3</v>
      </c>
      <c r="CR1120" s="135">
        <f t="shared" si="2006"/>
        <v>2.9295719123563727E-2</v>
      </c>
      <c r="CS1120" s="135">
        <f t="shared" si="2009"/>
        <v>1.6347801973893836E-2</v>
      </c>
      <c r="CT1120" s="135">
        <f t="shared" si="2010"/>
        <v>3.5270373279175926E-3</v>
      </c>
      <c r="CU1120" s="139">
        <f t="shared" si="2000"/>
        <v>0.87050000000000005</v>
      </c>
      <c r="CV1120" s="335">
        <f t="shared" si="2001"/>
        <v>1.3194352816994324</v>
      </c>
      <c r="CW1120" s="335">
        <f t="shared" si="2002"/>
        <v>0.33177530017152673</v>
      </c>
      <c r="CX1120" s="335">
        <f t="shared" si="2003"/>
        <v>0.78242572977668579</v>
      </c>
      <c r="CY1120" s="335">
        <f t="shared" si="2004"/>
        <v>0.34251158643433932</v>
      </c>
      <c r="CZ1120" s="336">
        <f>INDEX('State Tax Lookup'!$D$7:$Z$91,MATCH(Calculation!$C1120,'State Tax Lookup'!$B$7:$B$91,0),MATCH($H1120,'State Tax Lookup'!$D$6:$Z$6,0))</f>
        <v>0.35</v>
      </c>
      <c r="DA1120" s="302">
        <v>0.37</v>
      </c>
      <c r="DB1120" s="57">
        <f t="shared" si="2007"/>
        <v>14.786831543508191</v>
      </c>
      <c r="DC1120" s="56">
        <f t="shared" si="2011"/>
        <v>-2.7547214130423402E-2</v>
      </c>
      <c r="DD1120" s="303">
        <f>VLOOKUP($H1120,RoR!$E:$F,2,FALSE)</f>
        <v>3.8866666666666674E-2</v>
      </c>
      <c r="DE1120" s="304">
        <f>HLOOKUP($H1120,'GDP-PI'!$D$8:$CQ$11,3,FALSE)</f>
        <v>9.5709475431029478E-3</v>
      </c>
      <c r="DF1120" s="303">
        <f>VLOOKUP(H1120,'HW Dx Data'!$E:$F,2,FALSE)</f>
        <v>675.61463308665782</v>
      </c>
      <c r="DG1120" s="364">
        <f ca="1">VLOOKUP(CC1120,'ECI - Input Price'!M$13:N$33,2,FALSE)</f>
        <v>133.5</v>
      </c>
      <c r="DH1120" s="364"/>
      <c r="DI1120" s="364"/>
      <c r="DJ1120" s="56">
        <f t="shared" ca="1" si="2019"/>
        <v>3.1193095773504077E-2</v>
      </c>
      <c r="DK1120" s="53">
        <f>HLOOKUP(H1120,'GDP-PI'!$8:$9,2,FALSE)</f>
        <v>104.639</v>
      </c>
      <c r="DL1120" s="355">
        <f t="shared" si="2012"/>
        <v>9.5254361854427965E-3</v>
      </c>
    </row>
    <row r="1121" spans="1:116" s="126" customFormat="1" ht="21" customHeight="1" x14ac:dyDescent="0.4">
      <c r="A1121" s="233" t="s">
        <v>248</v>
      </c>
      <c r="B1121" s="126" t="s">
        <v>248</v>
      </c>
      <c r="C1121" s="126">
        <v>4057100</v>
      </c>
      <c r="D1121" s="127" t="s">
        <v>249</v>
      </c>
      <c r="E1121" s="127"/>
      <c r="F1121" s="144"/>
      <c r="G1121" s="126" t="s">
        <v>172</v>
      </c>
      <c r="H1121" s="128">
        <v>2016</v>
      </c>
      <c r="I1121" s="129"/>
      <c r="J1121" s="125">
        <f>IFERROR(INDEX('Labor Expenditures'!$E$7:$W$91,MATCH($C1121,'Labor Expenditures'!$C$7:$C$91,0),MATCH($G1121,'Labor Expenditures'!$E$5:$W$5,0)),"NA")</f>
        <v>8743.9487194526482</v>
      </c>
      <c r="K1121" s="125">
        <f t="shared" ca="1" si="2013"/>
        <v>63.847745304510035</v>
      </c>
      <c r="L1121" s="47"/>
      <c r="M1121" s="131">
        <f t="shared" ca="1" si="2020"/>
        <v>-1.685773951683852E-2</v>
      </c>
      <c r="N1121" s="131"/>
      <c r="O1121" s="131"/>
      <c r="P1121" s="59">
        <f t="shared" ca="1" si="2022"/>
        <v>-4.8190061840054397E-5</v>
      </c>
      <c r="Q1121" s="61"/>
      <c r="R1121" s="387"/>
      <c r="S1121" s="49">
        <f t="shared" ca="1" si="2027"/>
        <v>304.04338124478795</v>
      </c>
      <c r="T1121" s="61">
        <f ca="1">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</f>
        <v>0.90849433176738881</v>
      </c>
      <c r="U1121" s="61"/>
      <c r="V1121" s="125">
        <f>IFERROR(INDEX('Non-Labor Expenditures'!$E$7:$AA$91,MATCH($C1121,'Non-Labor Expenditures'!$C$7:$C$91,0),MATCH($G1121,'Non-Labor Expenditures'!$E$5:$AA$5,0)),"NA")</f>
        <v>12662.870890113121</v>
      </c>
      <c r="W1121" s="125">
        <f t="shared" si="2014"/>
        <v>119.75931461482486</v>
      </c>
      <c r="X1121" s="131">
        <f t="shared" si="2023"/>
        <v>-1.7724120152607218E-3</v>
      </c>
      <c r="Y1121" s="131">
        <f t="shared" si="2024"/>
        <v>-5.0666724643689237E-6</v>
      </c>
      <c r="Z1121" s="131"/>
      <c r="AA1121" s="131"/>
      <c r="AB1121" s="131"/>
      <c r="AC1121" s="125">
        <f t="shared" si="1994"/>
        <v>7987.1930866784087</v>
      </c>
      <c r="AD1121" s="129"/>
      <c r="AE1121" s="133">
        <v>626.93943631158379</v>
      </c>
      <c r="AF1121" s="134">
        <v>5.984497665389793E-2</v>
      </c>
      <c r="AG1121" s="59">
        <f t="shared" si="2015"/>
        <v>1.7107472344600577E-4</v>
      </c>
      <c r="AH1121" s="134"/>
      <c r="AI1121" s="134"/>
      <c r="AJ1121" s="129">
        <f t="shared" si="2031"/>
        <v>29394.012696244179</v>
      </c>
      <c r="AK1121" s="134">
        <f t="shared" si="2025"/>
        <v>2.0294165697752307E-2</v>
      </c>
      <c r="AL1121" s="129"/>
      <c r="AM1121" s="129"/>
      <c r="AN1121" s="129"/>
      <c r="AO1121" s="129"/>
      <c r="AP1121" s="133">
        <f t="shared" si="2026"/>
        <v>262.52623739567531</v>
      </c>
      <c r="AQ1121" s="134">
        <f>+BB1121/Outputs!$B$24</f>
        <v>3.0467457758600186E-3</v>
      </c>
      <c r="AR1121" s="93">
        <f t="shared" si="2016"/>
        <v>0.29747380222673397</v>
      </c>
      <c r="AS1121" s="93">
        <f t="shared" si="2017"/>
        <v>0.43079762606658734</v>
      </c>
      <c r="AT1121" s="93">
        <f t="shared" si="2018"/>
        <v>0.27172857170667863</v>
      </c>
      <c r="AU1121" s="93">
        <f t="shared" ca="1" si="2021"/>
        <v>1.0194402567055907E-2</v>
      </c>
      <c r="AV1121" s="132">
        <f t="shared" ca="1" si="2029"/>
        <v>114.96722054927942</v>
      </c>
      <c r="AW1121" s="134">
        <f t="shared" ca="1" si="2030"/>
        <v>1.0194402567055894E-2</v>
      </c>
      <c r="AX1121" s="56">
        <f>+AJ1121/$AL$21</f>
        <v>2.8586313005915932E-3</v>
      </c>
      <c r="AY1121" s="135">
        <f t="shared" ca="1" si="2028"/>
        <v>2.9142038269017265E-5</v>
      </c>
      <c r="AZ1121" s="93"/>
      <c r="BA1121" s="93"/>
      <c r="BB1121" s="234">
        <f>IFERROR(INDEX('Total Customers'!$E$7:$AA$91,MATCH($C1121,'Total Customers'!$C$7:$C$91,0),MATCH($G1121,'Total Customers'!$E$5:$AA$5,0)),"NA")</f>
        <v>111966</v>
      </c>
      <c r="BC1121" s="269">
        <f t="shared" si="1988"/>
        <v>6.1367198638169551E-3</v>
      </c>
      <c r="BD1121" s="92"/>
      <c r="BE1121" s="299" t="str">
        <f t="shared" si="1984"/>
        <v>SOUTHERN INDIANA GAS AND ELECTRIC COMPANY</v>
      </c>
      <c r="BF1121" s="300">
        <f t="shared" si="1985"/>
        <v>4057100</v>
      </c>
      <c r="BG1121" s="231" t="str">
        <f t="shared" si="1986"/>
        <v>TX</v>
      </c>
      <c r="BH1121" s="231"/>
      <c r="BI1121" s="231" t="str">
        <f t="shared" si="1987"/>
        <v>2016 Y</v>
      </c>
      <c r="BJ1121" s="129"/>
      <c r="BK1121" s="129"/>
      <c r="BL1121" s="129">
        <f>INDEX('Dist. Plant Gas Additions'!$E$7:$AD$91,MATCH($C1121,'Dist. Plant Gas Additions'!$C$7:$C$91,0),MATCH(Calculation!$G1121,'Dist. Plant Gas Additions'!$E$5:$AD$5,0))</f>
        <v>27173</v>
      </c>
      <c r="BM1121" s="129">
        <f>INDEX('Gen. Plant Additions'!$E$7:$AD$91,MATCH($C1121,'Gen. Plant Additions'!$C$7:$C$91,0),MATCH(Calculation!$G1121,'Gen. Plant Additions'!$E$5:$AD$5,0))</f>
        <v>524</v>
      </c>
      <c r="BN1121" s="301">
        <f t="shared" si="1995"/>
        <v>0.95660758531366141</v>
      </c>
      <c r="BO1121" s="231">
        <f t="shared" si="1989"/>
        <v>501.26237470435859</v>
      </c>
      <c r="BP1121" s="231">
        <f t="shared" si="1990"/>
        <v>-22.737625295641408</v>
      </c>
      <c r="BQ1121" s="129">
        <f>INDEX('Dist Plant Depreciation'!$D$7:$AC$94,MATCH($C1121,'Dist Plant Depreciation'!$C$7:$C$94,0),MATCH(Calculation!$G1121,'Dist Plant Depreciation'!$D$5:$AC$5,0))</f>
        <v>92450</v>
      </c>
      <c r="BR1121" s="129">
        <f>INDEX('Gen. Plant Depreciation'!$D$7:$AC$94,MATCH($C1121,'Gen. Plant Depreciation'!$C$7:$C$94,0),MATCH(Calculation!$G1121,'Gen. Plant Depreciation'!$D$5:$AC$5,0))</f>
        <v>6699</v>
      </c>
      <c r="BS1121" s="129"/>
      <c r="BT1121" s="129"/>
      <c r="BU1121" s="129"/>
      <c r="BV1121" s="129"/>
      <c r="BW1121" s="129"/>
      <c r="BX1121" s="137"/>
      <c r="BY1121" s="129">
        <f>INDEX('Gross Dx Plant'!$D$7:$AC$91,MATCH($C1121,'Gross Dx Plant'!$C$7:$C$91,0),MATCH(Calculation!$G1121,'Gross Dx Plant'!$D$5:$AC$5,0))</f>
        <v>271799</v>
      </c>
      <c r="BZ1121" s="129">
        <f>INDEX('Gross Gen Plant'!$D$7:$AC$91,MATCH($C1121,'Gross Gen Plant'!$C$7:$C$91,0),MATCH(Calculation!$G1121,'Gross Gen Plant'!$D$5:$AC$5,0))</f>
        <v>12329</v>
      </c>
      <c r="CA1121" s="129">
        <f t="shared" si="1977"/>
        <v>184979</v>
      </c>
      <c r="CB1121" s="129"/>
      <c r="CC1121" s="133">
        <v>2016</v>
      </c>
      <c r="CD1121" s="129"/>
      <c r="CE1121" s="129"/>
      <c r="CF1121" s="129"/>
      <c r="CG1121" s="137"/>
      <c r="CH1121" s="129">
        <f t="shared" si="1996"/>
        <v>27697</v>
      </c>
      <c r="CI1121" s="46">
        <f t="shared" si="2005"/>
        <v>27674.262374704358</v>
      </c>
      <c r="CJ1121" s="231">
        <f t="shared" si="1997"/>
        <v>41.215278650673419</v>
      </c>
      <c r="CK1121" s="443">
        <v>0.7857142857142857</v>
      </c>
      <c r="CL1121" s="231">
        <f>+CL1103*CK1121+CJ1104*CK1120+CJ1105*CK1119+CJ1106*CK1118+CJ1107*CK1117+CJ1108*CK1116+CJ1109*CK1115+CJ1110*CK1114+CJ1111*CK1113+CJ1112*CK1112+CJ1113*CK1111+CJ1114*CK1110+CJ1115*CK1109+CJ1116*CK1108+CJ1117*CK1107+CJ1118*CK1106+CJ1119*CK1105+CJ1120*CK1104+CJ1121</f>
        <v>583.42127524380214</v>
      </c>
      <c r="CM1121" s="134">
        <f t="shared" si="1998"/>
        <v>5.8264472029480367E-2</v>
      </c>
      <c r="CN1121" s="135">
        <f t="shared" si="1999"/>
        <v>1.4887130126442666E-2</v>
      </c>
      <c r="CO1121" s="135">
        <f t="shared" si="2008"/>
        <v>1.4757798810707601E-2</v>
      </c>
      <c r="CP1121" s="134">
        <f>VLOOKUP($H1121,RoR!$E:$F,2,FALSE)</f>
        <v>3.6658333333333334E-2</v>
      </c>
      <c r="CQ1121" s="135">
        <v>1.0483662879041455E-2</v>
      </c>
      <c r="CR1121" s="135">
        <f t="shared" si="2006"/>
        <v>2.6174670454291879E-2</v>
      </c>
      <c r="CS1121" s="135">
        <f t="shared" si="2009"/>
        <v>1.6144142797826024E-2</v>
      </c>
      <c r="CT1121" s="135">
        <f t="shared" si="2010"/>
        <v>4.301363574220729E-3</v>
      </c>
      <c r="CU1121" s="139">
        <f t="shared" si="2000"/>
        <v>0.87050000000000005</v>
      </c>
      <c r="CV1121" s="335">
        <f t="shared" si="2001"/>
        <v>1.3989193348138562</v>
      </c>
      <c r="CW1121" s="335">
        <f t="shared" si="2002"/>
        <v>0.29302682427824522</v>
      </c>
      <c r="CX1121" s="335">
        <f t="shared" si="2003"/>
        <v>0.76309497491941802</v>
      </c>
      <c r="CY1121" s="335">
        <f t="shared" si="2004"/>
        <v>0.31280857135128509</v>
      </c>
      <c r="CZ1121" s="336">
        <f>INDEX('State Tax Lookup'!$D$7:$Z$91,MATCH(Calculation!$C1121,'State Tax Lookup'!$B$7:$B$91,0),MATCH($H1121,'State Tax Lookup'!$D$6:$Z$6,0))</f>
        <v>0.35</v>
      </c>
      <c r="DA1121" s="302">
        <v>0.37</v>
      </c>
      <c r="DB1121" s="57">
        <f t="shared" si="2007"/>
        <v>14.511618745073314</v>
      </c>
      <c r="DC1121" s="56">
        <f t="shared" si="2011"/>
        <v>-1.8787402797850961E-2</v>
      </c>
      <c r="DD1121" s="303">
        <f>VLOOKUP($H1121,RoR!$E:$F,2,FALSE)</f>
        <v>3.6658333333333334E-2</v>
      </c>
      <c r="DE1121" s="304">
        <f>HLOOKUP($H1121,'GDP-PI'!$D$8:$CQ$11,3,FALSE)</f>
        <v>1.0483662879041455E-2</v>
      </c>
      <c r="DF1121" s="303">
        <f>VLOOKUP(H1121,'HW Dx Data'!$E:$F,2,FALSE)</f>
        <v>671.45639385971219</v>
      </c>
      <c r="DG1121" s="364">
        <f ca="1">VLOOKUP(CC1121,'ECI - Input Price'!M$13:N$33,2,FALSE)</f>
        <v>136.94999999999999</v>
      </c>
      <c r="DH1121" s="364"/>
      <c r="DI1121" s="364"/>
      <c r="DJ1121" s="56">
        <f t="shared" ca="1" si="2019"/>
        <v>2.5514417868782811E-2</v>
      </c>
      <c r="DK1121" s="53">
        <f>HLOOKUP(H1121,'GDP-PI'!$8:$9,2,FALSE)</f>
        <v>105.736</v>
      </c>
      <c r="DL1121" s="355">
        <f t="shared" si="2012"/>
        <v>1.0429090367205095E-2</v>
      </c>
    </row>
    <row r="1122" spans="1:116" s="126" customFormat="1" ht="21" customHeight="1" x14ac:dyDescent="0.4">
      <c r="A1122" s="233" t="s">
        <v>248</v>
      </c>
      <c r="B1122" s="126" t="s">
        <v>248</v>
      </c>
      <c r="C1122" s="126">
        <v>4057100</v>
      </c>
      <c r="D1122" s="127" t="s">
        <v>249</v>
      </c>
      <c r="E1122" s="127"/>
      <c r="F1122" s="144"/>
      <c r="G1122" s="126" t="s">
        <v>173</v>
      </c>
      <c r="H1122" s="128">
        <v>2017</v>
      </c>
      <c r="I1122" s="129"/>
      <c r="J1122" s="125">
        <f>IFERROR(INDEX('Labor Expenditures'!$E$7:$W$91,MATCH($C1122,'Labor Expenditures'!$C$7:$C$91,0),MATCH($G1122,'Labor Expenditures'!$E$5:$W$5,0)),"NA")</f>
        <v>9966.6128451146342</v>
      </c>
      <c r="K1122" s="125">
        <f t="shared" ca="1" si="2013"/>
        <v>70.96199960921777</v>
      </c>
      <c r="L1122" s="47"/>
      <c r="M1122" s="131">
        <f t="shared" ca="1" si="2020"/>
        <v>0.10564324751548311</v>
      </c>
      <c r="N1122" s="131"/>
      <c r="O1122" s="131"/>
      <c r="P1122" s="59">
        <f t="shared" ca="1" si="2022"/>
        <v>3.3043888816399299E-4</v>
      </c>
      <c r="Q1122" s="61"/>
      <c r="R1122" s="387"/>
      <c r="S1122" s="49">
        <f t="shared" ca="1" si="2027"/>
        <v>170.69241443386386</v>
      </c>
      <c r="T1122" s="61">
        <f ca="1">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</f>
        <v>-0.57730720187273943</v>
      </c>
      <c r="U1122" s="61"/>
      <c r="V1122" s="125">
        <f>IFERROR(INDEX('Non-Labor Expenditures'!$E$7:$AA$91,MATCH($C1122,'Non-Labor Expenditures'!$C$7:$C$91,0),MATCH($G1122,'Non-Labor Expenditures'!$E$5:$AA$5,0)),"NA")</f>
        <v>14433.516906230188</v>
      </c>
      <c r="W1122" s="125">
        <f t="shared" si="2014"/>
        <v>133.95251001132414</v>
      </c>
      <c r="X1122" s="131">
        <f t="shared" si="2023"/>
        <v>0.11200131712890322</v>
      </c>
      <c r="Y1122" s="131">
        <f t="shared" si="2024"/>
        <v>3.5032613607938765E-4</v>
      </c>
      <c r="Z1122" s="131"/>
      <c r="AA1122" s="131"/>
      <c r="AB1122" s="131"/>
      <c r="AC1122" s="125">
        <f t="shared" si="1994"/>
        <v>7751.6968583821536</v>
      </c>
      <c r="AD1122" s="129"/>
      <c r="AE1122" s="133">
        <v>661.85373292579845</v>
      </c>
      <c r="AF1122" s="134">
        <v>5.4194641119530387E-2</v>
      </c>
      <c r="AG1122" s="59">
        <f t="shared" si="2015"/>
        <v>1.6951407096189118E-4</v>
      </c>
      <c r="AH1122" s="134"/>
      <c r="AI1122" s="134"/>
      <c r="AJ1122" s="129">
        <f t="shared" si="2031"/>
        <v>32151.826609726977</v>
      </c>
      <c r="AK1122" s="134">
        <f t="shared" si="2025"/>
        <v>8.9678260484680417E-2</v>
      </c>
      <c r="AL1122" s="129"/>
      <c r="AM1122" s="129"/>
      <c r="AN1122" s="129"/>
      <c r="AO1122" s="129"/>
      <c r="AP1122" s="133">
        <f t="shared" si="2026"/>
        <v>286.32339445131424</v>
      </c>
      <c r="AQ1122" s="134">
        <f>+BB1122/Outputs!$B$25</f>
        <v>3.0326593418179663E-3</v>
      </c>
      <c r="AR1122" s="93">
        <f t="shared" si="2016"/>
        <v>0.30998589803602039</v>
      </c>
      <c r="AS1122" s="93">
        <f t="shared" si="2017"/>
        <v>0.44891747773557533</v>
      </c>
      <c r="AT1122" s="93">
        <f t="shared" si="2018"/>
        <v>0.24109662422840425</v>
      </c>
      <c r="AU1122" s="93">
        <f t="shared" ca="1" si="2021"/>
        <v>9.5247821622663029E-2</v>
      </c>
      <c r="AV1122" s="132">
        <f t="shared" ca="1" si="2029"/>
        <v>126.45605678857589</v>
      </c>
      <c r="AW1122" s="134">
        <f t="shared" ca="1" si="2030"/>
        <v>9.5247821622663015E-2</v>
      </c>
      <c r="AX1122" s="56">
        <f>+AJ1122/$AL$22</f>
        <v>3.1278751452198947E-3</v>
      </c>
      <c r="AY1122" s="135">
        <f t="shared" ca="1" si="2028"/>
        <v>2.9792329388986569E-4</v>
      </c>
      <c r="AZ1122" s="93"/>
      <c r="BA1122" s="93"/>
      <c r="BB1122" s="234">
        <f>IFERROR(INDEX('Total Customers'!$E$7:$AA$91,MATCH($C1122,'Total Customers'!$C$7:$C$91,0),MATCH($G1122,'Total Customers'!$E$5:$AA$5,0)),"NA")</f>
        <v>112292</v>
      </c>
      <c r="BC1122" s="269">
        <f t="shared" si="1988"/>
        <v>2.907367671467698E-3</v>
      </c>
      <c r="BD1122" s="92"/>
      <c r="BE1122" s="299" t="str">
        <f t="shared" si="1984"/>
        <v>SOUTHERN INDIANA GAS AND ELECTRIC COMPANY</v>
      </c>
      <c r="BF1122" s="300">
        <f t="shared" si="1985"/>
        <v>4057100</v>
      </c>
      <c r="BG1122" s="231" t="str">
        <f t="shared" si="1986"/>
        <v>TX</v>
      </c>
      <c r="BH1122" s="231"/>
      <c r="BI1122" s="231" t="str">
        <f t="shared" si="1987"/>
        <v>2017 Y</v>
      </c>
      <c r="BJ1122" s="129"/>
      <c r="BK1122" s="129"/>
      <c r="BL1122" s="129">
        <f>INDEX('Dist. Plant Gas Additions'!$E$7:$AD$91,MATCH($C1122,'Dist. Plant Gas Additions'!$C$7:$C$91,0),MATCH(Calculation!$G1122,'Dist. Plant Gas Additions'!$E$5:$AD$5,0))</f>
        <v>28052</v>
      </c>
      <c r="BM1122" s="129">
        <f>INDEX('Gen. Plant Additions'!$E$7:$AD$91,MATCH($C1122,'Gen. Plant Additions'!$C$7:$C$91,0),MATCH(Calculation!$G1122,'Gen. Plant Additions'!$E$5:$AD$5,0))</f>
        <v>541</v>
      </c>
      <c r="BN1122" s="301">
        <f t="shared" si="1995"/>
        <v>0.95997090197441692</v>
      </c>
      <c r="BO1122" s="231">
        <f t="shared" si="1989"/>
        <v>519.34425796815958</v>
      </c>
      <c r="BP1122" s="231">
        <f t="shared" si="1990"/>
        <v>-21.655742031840418</v>
      </c>
      <c r="BQ1122" s="129">
        <f>INDEX('Dist Plant Depreciation'!$D$7:$AC$94,MATCH($C1122,'Dist Plant Depreciation'!$C$7:$C$94,0),MATCH(Calculation!$G1122,'Dist Plant Depreciation'!$D$5:$AC$5,0))</f>
        <v>97857</v>
      </c>
      <c r="BR1122" s="129">
        <f>INDEX('Gen. Plant Depreciation'!$D$7:$AC$94,MATCH($C1122,'Gen. Plant Depreciation'!$C$7:$C$94,0),MATCH(Calculation!$G1122,'Gen. Plant Depreciation'!$D$5:$AC$5,0))</f>
        <v>6869</v>
      </c>
      <c r="BS1122" s="129"/>
      <c r="BT1122" s="129"/>
      <c r="BU1122" s="129"/>
      <c r="BV1122" s="129"/>
      <c r="BW1122" s="129"/>
      <c r="BX1122" s="137"/>
      <c r="BY1122" s="129">
        <f>INDEX('Gross Dx Plant'!$D$7:$AC$91,MATCH($C1122,'Gross Dx Plant'!$C$7:$C$91,0),MATCH(Calculation!$G1122,'Gross Dx Plant'!$D$5:$AC$5,0))</f>
        <v>298238</v>
      </c>
      <c r="BZ1122" s="129">
        <f>INDEX('Gross Gen Plant'!$D$7:$AC$91,MATCH($C1122,'Gross Gen Plant'!$C$7:$C$91,0),MATCH(Calculation!$G1122,'Gross Gen Plant'!$D$5:$AC$5,0))</f>
        <v>12436</v>
      </c>
      <c r="CA1122" s="129">
        <f t="shared" si="1977"/>
        <v>205948</v>
      </c>
      <c r="CB1122" s="129"/>
      <c r="CC1122" s="133">
        <v>2017</v>
      </c>
      <c r="CD1122" s="129"/>
      <c r="CE1122" s="129"/>
      <c r="CF1122" s="129"/>
      <c r="CG1122" s="137"/>
      <c r="CH1122" s="129">
        <f t="shared" si="1996"/>
        <v>28593</v>
      </c>
      <c r="CI1122" s="46">
        <f t="shared" si="2005"/>
        <v>28571.344257968158</v>
      </c>
      <c r="CJ1122" s="231">
        <f t="shared" si="1997"/>
        <v>40.104152067412379</v>
      </c>
      <c r="CK1122" s="443">
        <v>0.77108433734939763</v>
      </c>
      <c r="CL1122" s="231">
        <f>+CL1103*CK1122+CJ1104*CK1121+CJ1105*CK1120+CJ1106*CK1119+CJ1107*CK1118+CJ1108*CK1117+CJ1109*CK1116+CJ1110*CK1115+CJ1111*CK1114+CJ1112*CK1113+CJ1113*CK1112+CJ1114*CK1111+CJ1115*CK1110+CJ1116*CK1109+CJ1117*CK1108+CJ1118*CK1107+CJ1119*CK1106+CJ1120*CK1105+CJ1121*CK1104+CJ1122</f>
        <v>614.73507846269672</v>
      </c>
      <c r="CM1122" s="134">
        <f t="shared" si="1998"/>
        <v>5.2281883825081171E-2</v>
      </c>
      <c r="CN1122" s="135">
        <f t="shared" si="1999"/>
        <v>1.5066898005809713E-2</v>
      </c>
      <c r="CO1122" s="135">
        <f t="shared" si="2008"/>
        <v>1.4907794700564201E-2</v>
      </c>
      <c r="CP1122" s="134">
        <f>VLOOKUP($H1122,RoR!$E:$F,2,FALSE)</f>
        <v>3.7433333333333339E-2</v>
      </c>
      <c r="CQ1122" s="135">
        <v>1.9056896421275615E-2</v>
      </c>
      <c r="CR1122" s="135">
        <f t="shared" si="2006"/>
        <v>1.8376436912057724E-2</v>
      </c>
      <c r="CS1122" s="135">
        <f t="shared" si="2009"/>
        <v>1.5994146907969423E-2</v>
      </c>
      <c r="CT1122" s="135">
        <f t="shared" si="2010"/>
        <v>1.3976271617800498E-2</v>
      </c>
      <c r="CU1122" s="139">
        <f t="shared" si="2000"/>
        <v>0.92230000000000001</v>
      </c>
      <c r="CV1122" s="335">
        <f t="shared" si="2001"/>
        <v>1.3699568463593395</v>
      </c>
      <c r="CW1122" s="335">
        <f t="shared" si="2002"/>
        <v>0.30714603739982199</v>
      </c>
      <c r="CX1122" s="335">
        <f t="shared" si="2003"/>
        <v>0.77007188472689425</v>
      </c>
      <c r="CY1122" s="335">
        <f t="shared" si="2004"/>
        <v>0.32402839633793828</v>
      </c>
      <c r="CZ1122" s="336">
        <f>INDEX('State Tax Lookup'!$D$7:$Z$91,MATCH(Calculation!$C1122,'State Tax Lookup'!$B$7:$B$91,0),MATCH($H1122,'State Tax Lookup'!$D$6:$Z$6,0))</f>
        <v>0.20999999999999996</v>
      </c>
      <c r="DA1122" s="302">
        <v>0.37</v>
      </c>
      <c r="DB1122" s="57">
        <f t="shared" si="2007"/>
        <v>13.286620127356253</v>
      </c>
      <c r="DC1122" s="56">
        <f t="shared" si="2011"/>
        <v>-8.8192097923905088E-2</v>
      </c>
      <c r="DD1122" s="303">
        <f>VLOOKUP($H1122,RoR!$E:$F,2,FALSE)</f>
        <v>3.7433333333333339E-2</v>
      </c>
      <c r="DE1122" s="304">
        <f>HLOOKUP($H1122,'GDP-PI'!$D$8:$CQ$11,3,FALSE)</f>
        <v>1.9056896421275615E-2</v>
      </c>
      <c r="DF1122" s="303">
        <f>VLOOKUP(H1122,'HW Dx Data'!$E:$F,2,FALSE)</f>
        <v>712.42858370229726</v>
      </c>
      <c r="DG1122" s="364">
        <f ca="1">VLOOKUP(CC1122,'ECI - Input Price'!M$13:N$33,2,FALSE)</f>
        <v>140.44999999999999</v>
      </c>
      <c r="DH1122" s="364"/>
      <c r="DI1122" s="364"/>
      <c r="DJ1122" s="56">
        <f t="shared" ca="1" si="2019"/>
        <v>2.5235657841165486E-2</v>
      </c>
      <c r="DK1122" s="53">
        <f>HLOOKUP(H1122,'GDP-PI'!$8:$9,2,FALSE)</f>
        <v>107.751</v>
      </c>
      <c r="DL1122" s="355">
        <f t="shared" si="2012"/>
        <v>1.8877588227745139E-2</v>
      </c>
    </row>
    <row r="1123" spans="1:116" s="126" customFormat="1" ht="21" customHeight="1" x14ac:dyDescent="0.4">
      <c r="A1123" s="233" t="s">
        <v>248</v>
      </c>
      <c r="B1123" s="126" t="s">
        <v>248</v>
      </c>
      <c r="C1123" s="126">
        <v>4057100</v>
      </c>
      <c r="D1123" s="127" t="s">
        <v>249</v>
      </c>
      <c r="E1123" s="127"/>
      <c r="F1123" s="144"/>
      <c r="G1123" s="126" t="s">
        <v>174</v>
      </c>
      <c r="H1123" s="128">
        <v>2018</v>
      </c>
      <c r="I1123" s="129"/>
      <c r="J1123" s="125">
        <f>IFERROR(INDEX('Labor Expenditures'!$E$7:$W$91,MATCH($C1123,'Labor Expenditures'!$C$7:$C$91,0),MATCH($G1123,'Labor Expenditures'!$E$5:$W$5,0)),"NA")</f>
        <v>10548.48795955728</v>
      </c>
      <c r="K1123" s="125">
        <f t="shared" ca="1" si="2013"/>
        <v>73.025184905207894</v>
      </c>
      <c r="L1123" s="47"/>
      <c r="M1123" s="131">
        <f t="shared" ca="1" si="2020"/>
        <v>2.8659863361388895E-2</v>
      </c>
      <c r="N1123" s="131"/>
      <c r="O1123" s="131"/>
      <c r="P1123" s="59">
        <f t="shared" ca="1" si="2022"/>
        <v>8.8529022928716074E-5</v>
      </c>
      <c r="Q1123" s="61"/>
      <c r="R1123" s="387"/>
      <c r="S1123" s="49">
        <f t="shared" ca="1" si="2027"/>
        <v>117.42612253256348</v>
      </c>
      <c r="T1123" s="61">
        <f ca="1">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</f>
        <v>-0.37405379937787009</v>
      </c>
      <c r="U1123" s="61"/>
      <c r="V1123" s="125">
        <f>IFERROR(INDEX('Non-Labor Expenditures'!$E$7:$AA$91,MATCH($C1123,'Non-Labor Expenditures'!$C$7:$C$91,0),MATCH($G1123,'Non-Labor Expenditures'!$E$5:$AA$5,0)),"NA")</f>
        <v>15276.180751223352</v>
      </c>
      <c r="W1123" s="125">
        <f t="shared" si="2014"/>
        <v>138.46903383933713</v>
      </c>
      <c r="X1123" s="131">
        <f t="shared" si="2023"/>
        <v>3.3161384006872012E-2</v>
      </c>
      <c r="Y1123" s="131">
        <f t="shared" si="2024"/>
        <v>1.024340168016091E-4</v>
      </c>
      <c r="Z1123" s="131"/>
      <c r="AA1123" s="131"/>
      <c r="AB1123" s="131"/>
      <c r="AC1123" s="125">
        <f t="shared" si="1994"/>
        <v>8549.0579663328353</v>
      </c>
      <c r="AD1123" s="129"/>
      <c r="AE1123" s="133">
        <v>711.785101323194</v>
      </c>
      <c r="AF1123" s="134">
        <v>7.273145758709755E-2</v>
      </c>
      <c r="AG1123" s="59">
        <f t="shared" si="2015"/>
        <v>2.2466418611896219E-4</v>
      </c>
      <c r="AH1123" s="134"/>
      <c r="AI1123" s="134"/>
      <c r="AJ1123" s="129">
        <f t="shared" si="2031"/>
        <v>34373.726677113467</v>
      </c>
      <c r="AK1123" s="134">
        <f t="shared" si="2025"/>
        <v>6.682324887805402E-2</v>
      </c>
      <c r="AL1123" s="129"/>
      <c r="AM1123" s="129"/>
      <c r="AN1123" s="129"/>
      <c r="AO1123" s="129"/>
      <c r="AP1123" s="133">
        <f t="shared" si="2026"/>
        <v>304.79646979067769</v>
      </c>
      <c r="AQ1123" s="134">
        <f>+BB1123/Outputs!$B$26</f>
        <v>3.0190565496469039E-3</v>
      </c>
      <c r="AR1123" s="93">
        <f t="shared" si="2016"/>
        <v>0.30687647163322035</v>
      </c>
      <c r="AS1123" s="93">
        <f t="shared" si="2017"/>
        <v>0.44441444754357862</v>
      </c>
      <c r="AT1123" s="93">
        <f t="shared" si="2018"/>
        <v>0.24870908082320106</v>
      </c>
      <c r="AU1123" s="93">
        <f t="shared" ca="1" si="2021"/>
        <v>4.1463798555081283E-2</v>
      </c>
      <c r="AV1123" s="132">
        <f t="shared" ca="1" si="2029"/>
        <v>131.80962796461858</v>
      </c>
      <c r="AW1123" s="134">
        <f t="shared" ca="1" si="2030"/>
        <v>4.1463798555081234E-2</v>
      </c>
      <c r="AX1123" s="56">
        <f>+AJ1123/$AL$23</f>
        <v>3.0889548150457701E-3</v>
      </c>
      <c r="AY1123" s="135">
        <f t="shared" ca="1" si="2028"/>
        <v>1.2807980019680602E-4</v>
      </c>
      <c r="AZ1123" s="93"/>
      <c r="BA1123" s="93"/>
      <c r="BB1123" s="234">
        <f>IFERROR(INDEX('Total Customers'!$E$7:$AA$91,MATCH($C1123,'Total Customers'!$C$7:$C$91,0),MATCH($G1123,'Total Customers'!$E$5:$AA$5,0)),"NA")</f>
        <v>112776</v>
      </c>
      <c r="BC1123" s="269">
        <f t="shared" si="1988"/>
        <v>4.300929017767012E-3</v>
      </c>
      <c r="BD1123" s="92"/>
      <c r="BE1123" s="299" t="str">
        <f t="shared" si="1984"/>
        <v>SOUTHERN INDIANA GAS AND ELECTRIC COMPANY</v>
      </c>
      <c r="BF1123" s="300">
        <f t="shared" si="1985"/>
        <v>4057100</v>
      </c>
      <c r="BG1123" s="231" t="str">
        <f t="shared" si="1986"/>
        <v>TX</v>
      </c>
      <c r="BH1123" s="231"/>
      <c r="BI1123" s="231" t="str">
        <f t="shared" si="1987"/>
        <v>2018 Y</v>
      </c>
      <c r="BJ1123" s="129"/>
      <c r="BK1123" s="129"/>
      <c r="BL1123" s="129">
        <f>INDEX('Dist. Plant Gas Additions'!$E$7:$AD$91,MATCH($C1123,'Dist. Plant Gas Additions'!$C$7:$C$91,0),MATCH(Calculation!$G1123,'Dist. Plant Gas Additions'!$E$5:$AD$5,0))</f>
        <v>39071</v>
      </c>
      <c r="BM1123" s="129">
        <f>INDEX('Gen. Plant Additions'!$E$7:$AD$91,MATCH($C1123,'Gen. Plant Additions'!$C$7:$C$91,0),MATCH(Calculation!$G1123,'Gen. Plant Additions'!$E$5:$AD$5,0))</f>
        <v>2879</v>
      </c>
      <c r="BN1123" s="301">
        <f t="shared" si="1995"/>
        <v>0.95669395675949853</v>
      </c>
      <c r="BO1123" s="231">
        <f t="shared" si="1989"/>
        <v>2754.3219015105965</v>
      </c>
      <c r="BP1123" s="231">
        <f t="shared" si="1990"/>
        <v>-124.67809848940351</v>
      </c>
      <c r="BQ1123" s="129">
        <f>INDEX('Dist Plant Depreciation'!$D$7:$AC$94,MATCH($C1123,'Dist Plant Depreciation'!$C$7:$C$94,0),MATCH(Calculation!$G1123,'Dist Plant Depreciation'!$D$5:$AC$5,0))</f>
        <v>104380</v>
      </c>
      <c r="BR1123" s="129">
        <f>INDEX('Gen. Plant Depreciation'!$D$7:$AC$94,MATCH($C1123,'Gen. Plant Depreciation'!$C$7:$C$94,0),MATCH(Calculation!$G1123,'Gen. Plant Depreciation'!$D$5:$AC$5,0))</f>
        <v>7373</v>
      </c>
      <c r="BS1123" s="129"/>
      <c r="BT1123" s="129"/>
      <c r="BU1123" s="129"/>
      <c r="BV1123" s="129"/>
      <c r="BW1123" s="129"/>
      <c r="BX1123" s="137"/>
      <c r="BY1123" s="129">
        <f>INDEX('Gross Dx Plant'!$D$7:$AC$91,MATCH($C1123,'Gross Dx Plant'!$C$7:$C$91,0),MATCH(Calculation!$G1123,'Gross Dx Plant'!$D$5:$AC$5,0))</f>
        <v>335724</v>
      </c>
      <c r="BZ1123" s="129">
        <f>INDEX('Gross Gen Plant'!$D$7:$AC$91,MATCH($C1123,'Gross Gen Plant'!$C$7:$C$91,0),MATCH(Calculation!$G1123,'Gross Gen Plant'!$D$5:$AC$5,0))</f>
        <v>15197</v>
      </c>
      <c r="CA1123" s="129">
        <f t="shared" si="1977"/>
        <v>239168</v>
      </c>
      <c r="CB1123" s="129"/>
      <c r="CC1123" s="133">
        <v>2018</v>
      </c>
      <c r="CD1123" s="129"/>
      <c r="CE1123" s="129"/>
      <c r="CF1123" s="129"/>
      <c r="CG1123" s="137"/>
      <c r="CH1123" s="129">
        <f t="shared" si="1996"/>
        <v>41950</v>
      </c>
      <c r="CI1123" s="46">
        <f t="shared" si="2005"/>
        <v>41825.321901510593</v>
      </c>
      <c r="CJ1123" s="231">
        <f t="shared" si="1997"/>
        <v>55.38774781725408</v>
      </c>
      <c r="CK1123" s="443">
        <v>0.75609756097560976</v>
      </c>
      <c r="CL1123" s="231">
        <f>+CL1103*CK1123++CJ1104*CK1122+CJ1105*CK1121+CJ1106*CK1120+CJ1107*CK1119+CJ1108*CK1118+CJ1109*CK1117+CJ1110*CK1116+CJ1111*CK1115+CJ1112*CK1114+CJ1113*CK1113+CJ1114*CK1112+CJ1115*CK1111+CJ1116*CK1110+CJ1117*CK1109+CJ1118*CK1108+CJ1119*CK1107+CJ1120*CK1106+CJ1121*CK1105+CJ1122*CK1104+CJ1123</f>
        <v>660.73224183356126</v>
      </c>
      <c r="CM1123" s="134">
        <f t="shared" si="1998"/>
        <v>7.2157269078546929E-2</v>
      </c>
      <c r="CN1123" s="135">
        <f t="shared" si="1999"/>
        <v>1.5275823318677556E-2</v>
      </c>
      <c r="CO1123" s="135">
        <f t="shared" si="2008"/>
        <v>1.5076617150309978E-2</v>
      </c>
      <c r="CP1123" s="134">
        <f>VLOOKUP($H1123,RoR!$E:$F,2,FALSE)</f>
        <v>3.9299999999999995E-2</v>
      </c>
      <c r="CQ1123" s="135">
        <v>2.386056741932796E-2</v>
      </c>
      <c r="CR1123" s="135">
        <f t="shared" si="2006"/>
        <v>1.5439432580672034E-2</v>
      </c>
      <c r="CS1123" s="135">
        <f t="shared" si="2009"/>
        <v>1.5825324458223648E-2</v>
      </c>
      <c r="CT1123" s="135">
        <f t="shared" si="2010"/>
        <v>3.8270792163076606E-2</v>
      </c>
      <c r="CU1123" s="139">
        <f t="shared" si="2000"/>
        <v>0.92230000000000001</v>
      </c>
      <c r="CV1123" s="335">
        <f t="shared" si="2001"/>
        <v>1.3048868010700074</v>
      </c>
      <c r="CW1123" s="335">
        <f t="shared" si="2002"/>
        <v>0.33886768447837151</v>
      </c>
      <c r="CX1123" s="335">
        <f t="shared" si="2003"/>
        <v>0.78602506232557801</v>
      </c>
      <c r="CY1123" s="335">
        <f t="shared" si="2004"/>
        <v>0.34756768162358759</v>
      </c>
      <c r="CZ1123" s="336">
        <f>INDEX('State Tax Lookup'!$D$7:$Z$91,MATCH(Calculation!$C1123,'State Tax Lookup'!$B$7:$B$91,0),MATCH($H1123,'State Tax Lookup'!$D$6:$Z$6,0))</f>
        <v>0.20999999999999996</v>
      </c>
      <c r="DA1123" s="302">
        <v>0.37</v>
      </c>
      <c r="DB1123" s="57">
        <f t="shared" si="2007"/>
        <v>13.906897891221623</v>
      </c>
      <c r="DC1123" s="56">
        <f t="shared" si="2011"/>
        <v>4.562744480913402E-2</v>
      </c>
      <c r="DD1123" s="303">
        <f>VLOOKUP($H1123,RoR!$E:$F,2,FALSE)</f>
        <v>3.9299999999999995E-2</v>
      </c>
      <c r="DE1123" s="304">
        <f>HLOOKUP($H1123,'GDP-PI'!$D$8:$CQ$11,3,FALSE)</f>
        <v>2.386056741932796E-2</v>
      </c>
      <c r="DF1123" s="303">
        <f>VLOOKUP(H1123,'HW Dx Data'!$E:$F,2,FALSE)</f>
        <v>755.13671434174842</v>
      </c>
      <c r="DG1123" s="364">
        <f ca="1">VLOOKUP(CC1123,'ECI - Input Price'!M$13:N$33,2,FALSE)</f>
        <v>144.44999999999999</v>
      </c>
      <c r="DH1123" s="364"/>
      <c r="DI1123" s="364"/>
      <c r="DJ1123" s="56">
        <f t="shared" ca="1" si="2019"/>
        <v>2.80818733619915E-2</v>
      </c>
      <c r="DK1123" s="53">
        <f>HLOOKUP(H1123,'GDP-PI'!$8:$9,2,FALSE)</f>
        <v>110.322</v>
      </c>
      <c r="DL1123" s="355">
        <f t="shared" si="2012"/>
        <v>2.3580352716508712E-2</v>
      </c>
    </row>
    <row r="1124" spans="1:116" s="126" customFormat="1" ht="21" customHeight="1" x14ac:dyDescent="0.4">
      <c r="A1124" s="233" t="s">
        <v>248</v>
      </c>
      <c r="B1124" s="126" t="s">
        <v>248</v>
      </c>
      <c r="C1124" s="126">
        <v>4057100</v>
      </c>
      <c r="D1124" s="127" t="s">
        <v>249</v>
      </c>
      <c r="E1124" s="127"/>
      <c r="F1124" s="144"/>
      <c r="G1124" s="126" t="s">
        <v>175</v>
      </c>
      <c r="H1124" s="128">
        <v>2019</v>
      </c>
      <c r="I1124" s="129"/>
      <c r="J1124" s="125">
        <f>IFERROR(INDEX('Labor Expenditures'!$E$7:$W$91,MATCH($C1124,'Labor Expenditures'!$C$7:$C$91,0),MATCH($G1124,'Labor Expenditures'!$E$5:$W$5,0)),"NA")</f>
        <v>13990.307944488486</v>
      </c>
      <c r="K1124" s="125">
        <f t="shared" ca="1" si="2013"/>
        <v>93.471240651334455</v>
      </c>
      <c r="L1124" s="47"/>
      <c r="M1124" s="131">
        <f t="shared" ca="1" si="2020"/>
        <v>0.24684942201193041</v>
      </c>
      <c r="N1124" s="131"/>
      <c r="O1124" s="131"/>
      <c r="P1124" s="59">
        <f t="shared" ca="1" si="2022"/>
        <v>9.4379136063248799E-4</v>
      </c>
      <c r="Q1124" s="61"/>
      <c r="R1124" s="387"/>
      <c r="S1124" s="49">
        <f t="shared" ca="1" si="2027"/>
        <v>117.2859650800013</v>
      </c>
      <c r="T1124" s="61">
        <f ca="1">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</f>
        <v>-1.1942927238824206E-3</v>
      </c>
      <c r="U1124" s="61"/>
      <c r="V1124" s="125">
        <f>IFERROR(INDEX('Non-Labor Expenditures'!$E$7:$AA$91,MATCH($C1124,'Non-Labor Expenditures'!$C$7:$C$91,0),MATCH($G1124,'Non-Labor Expenditures'!$E$5:$AA$5,0)),"NA")</f>
        <v>20260.578932703444</v>
      </c>
      <c r="W1124" s="125">
        <f t="shared" si="2014"/>
        <v>180.38585919178976</v>
      </c>
      <c r="X1124" s="131">
        <f t="shared" si="2023"/>
        <v>0.26445150045970017</v>
      </c>
      <c r="Y1124" s="131">
        <f t="shared" si="2024"/>
        <v>1.0110902403818499E-3</v>
      </c>
      <c r="Z1124" s="131"/>
      <c r="AA1124" s="131"/>
      <c r="AB1124" s="131"/>
      <c r="AC1124" s="125">
        <f t="shared" si="1994"/>
        <v>9308.9534496725009</v>
      </c>
      <c r="AD1124" s="129"/>
      <c r="AE1124" s="133">
        <v>759.89882596615541</v>
      </c>
      <c r="AF1124" s="134">
        <v>6.5409258820212063E-2</v>
      </c>
      <c r="AG1124" s="59">
        <f t="shared" si="2015"/>
        <v>2.5008238980971532E-4</v>
      </c>
      <c r="AH1124" s="134"/>
      <c r="AI1124" s="134"/>
      <c r="AJ1124" s="129">
        <f t="shared" si="2031"/>
        <v>43559.840326864432</v>
      </c>
      <c r="AK1124" s="134">
        <f t="shared" si="2025"/>
        <v>0.23684311928691057</v>
      </c>
      <c r="AL1124" s="129"/>
      <c r="AM1124" s="129"/>
      <c r="AN1124" s="129"/>
      <c r="AO1124" s="129"/>
      <c r="AP1124" s="133">
        <f t="shared" si="2026"/>
        <v>384.82803995710361</v>
      </c>
      <c r="AQ1124" s="134">
        <f>+BB1124/Outputs!$B$27</f>
        <v>3.0052290236312427E-3</v>
      </c>
      <c r="AR1124" s="93">
        <f t="shared" si="2016"/>
        <v>0.32117445425667268</v>
      </c>
      <c r="AS1124" s="93">
        <f t="shared" si="2017"/>
        <v>0.46512059687712498</v>
      </c>
      <c r="AT1124" s="93">
        <f t="shared" si="2018"/>
        <v>0.21370494886620231</v>
      </c>
      <c r="AU1124" s="93">
        <f t="shared" ca="1" si="2021"/>
        <v>0.21290403710888214</v>
      </c>
      <c r="AV1124" s="132">
        <f t="shared" ca="1" si="2029"/>
        <v>163.08355980872309</v>
      </c>
      <c r="AW1124" s="134">
        <f t="shared" ca="1" si="2030"/>
        <v>0.21290403710888212</v>
      </c>
      <c r="AX1124" s="56">
        <f>+AJ1124/$AL$24</f>
        <v>3.8233484726849952E-3</v>
      </c>
      <c r="AY1124" s="135">
        <f t="shared" ca="1" si="2028"/>
        <v>8.1400632510871397E-4</v>
      </c>
      <c r="AZ1124" s="93"/>
      <c r="BA1124" s="93"/>
      <c r="BB1124" s="234">
        <f>IFERROR(INDEX('Total Customers'!$E$7:$AA$91,MATCH($C1124,'Total Customers'!$C$7:$C$91,0),MATCH($G1124,'Total Customers'!$E$5:$AA$5,0)),"NA")</f>
        <v>113193</v>
      </c>
      <c r="BC1124" s="269">
        <f t="shared" si="1988"/>
        <v>3.6907759326135483E-3</v>
      </c>
      <c r="BD1124" s="92"/>
      <c r="BE1124" s="299" t="str">
        <f t="shared" si="1984"/>
        <v>SOUTHERN INDIANA GAS AND ELECTRIC COMPANY</v>
      </c>
      <c r="BF1124" s="300">
        <f t="shared" si="1985"/>
        <v>4057100</v>
      </c>
      <c r="BG1124" s="231" t="str">
        <f t="shared" si="1986"/>
        <v>TX</v>
      </c>
      <c r="BH1124" s="231"/>
      <c r="BI1124" s="231" t="str">
        <f t="shared" si="1987"/>
        <v>2019 Y</v>
      </c>
      <c r="BJ1124" s="129"/>
      <c r="BK1124" s="129"/>
      <c r="BL1124" s="129"/>
      <c r="BM1124" s="129"/>
      <c r="BN1124" s="301">
        <f t="shared" si="1995"/>
        <v>0.93100739288757639</v>
      </c>
      <c r="BO1124" s="231">
        <f t="shared" si="1989"/>
        <v>0</v>
      </c>
      <c r="BP1124" s="231">
        <f t="shared" si="1990"/>
        <v>0</v>
      </c>
      <c r="BQ1124" s="129"/>
      <c r="BR1124" s="129"/>
      <c r="BS1124" s="129"/>
      <c r="BT1124" s="129"/>
      <c r="BU1124" s="129"/>
      <c r="BV1124" s="129"/>
      <c r="BW1124" s="129"/>
      <c r="BX1124" s="137"/>
      <c r="BY1124" s="129">
        <f>INDEX('Gross Dx Plant'!$D$7:$AC$91,MATCH($C1124,'Gross Dx Plant'!$C$7:$C$91,0),MATCH(Calculation!$G1124,'Gross Dx Plant'!$D$5:$AC$5,0))</f>
        <v>363820</v>
      </c>
      <c r="BZ1124" s="129">
        <f>INDEX('Gross Gen Plant'!$D$7:$AC$91,MATCH($C1124,'Gross Gen Plant'!$C$7:$C$91,0),MATCH(Calculation!$G1124,'Gross Gen Plant'!$D$5:$AC$5,0))</f>
        <v>26961</v>
      </c>
      <c r="CA1124" s="129">
        <f t="shared" si="1977"/>
        <v>390781</v>
      </c>
      <c r="CB1124" s="129"/>
      <c r="CC1124" s="133">
        <v>2019</v>
      </c>
      <c r="CD1124" s="129"/>
      <c r="CE1124" s="129"/>
      <c r="CF1124" s="129"/>
      <c r="CG1124" s="137"/>
      <c r="CH1124" s="129">
        <v>41950</v>
      </c>
      <c r="CI1124" s="46">
        <f t="shared" si="2005"/>
        <v>41950</v>
      </c>
      <c r="CJ1124" s="231">
        <f t="shared" si="1997"/>
        <v>54.231246055306563</v>
      </c>
      <c r="CK1124" s="443">
        <v>0.7407407407407407</v>
      </c>
      <c r="CL1124" s="231">
        <f>CL1103*CK1124+CJ1104*CK1123+CJ1105*CK1122+CJ1106*CK1121+CJ1107*CK1120+CJ1108*CK1119+CJ1109*CK1118+CJ1110*CK1117+CJ1111*CK1116+CJ1112*CK1115+CJ1113*CK1114+CJ1114*CK1113+CJ1115*CK1112+CJ1116*CK1111+CJ1117*CK1110+CJ1118*CK1109+CJ1119*CK1108+CJ1120*CK1107+CJ1121*CK1106+CJ1122*CK1105+CJ1123*CK1104+CJ1124</f>
        <v>704.80624205672314</v>
      </c>
      <c r="CM1124" s="134">
        <f t="shared" si="1998"/>
        <v>6.4574253725296626E-2</v>
      </c>
      <c r="CN1124" s="135">
        <f t="shared" si="1999"/>
        <v>1.5372711045487777E-2</v>
      </c>
      <c r="CO1124" s="135">
        <f t="shared" si="2008"/>
        <v>1.523847745665835E-2</v>
      </c>
      <c r="CP1124" s="134">
        <f>VLOOKUP($H1124,RoR!$E:$F,2,FALSE)</f>
        <v>3.3875000000000009E-2</v>
      </c>
      <c r="CQ1124" s="135">
        <v>1.8092492884465461E-2</v>
      </c>
      <c r="CR1124" s="135">
        <f t="shared" si="2006"/>
        <v>1.5782507115534548E-2</v>
      </c>
      <c r="CS1124" s="135">
        <f t="shared" si="2009"/>
        <v>1.5663464151875275E-2</v>
      </c>
      <c r="CT1124" s="135">
        <f t="shared" si="2010"/>
        <v>4.8445665544254078E-2</v>
      </c>
      <c r="CU1124" s="139">
        <f t="shared" si="2000"/>
        <v>0.92230000000000001</v>
      </c>
      <c r="CV1124" s="335">
        <f t="shared" si="2001"/>
        <v>1.513861292459078</v>
      </c>
      <c r="CW1124" s="335">
        <f t="shared" si="2002"/>
        <v>0.23699261992619944</v>
      </c>
      <c r="CX1124" s="335">
        <f t="shared" si="2003"/>
        <v>0.73619765810468829</v>
      </c>
      <c r="CY1124" s="335">
        <f t="shared" si="2004"/>
        <v>0.26412854465362851</v>
      </c>
      <c r="CZ1124" s="336">
        <f>INDEX('State Tax Lookup'!$D$7:$Z$91,MATCH(Calculation!$C1124,'State Tax Lookup'!$B$7:$B$91,0),MATCH($H1124,'State Tax Lookup'!$D$6:$Z$6,0))</f>
        <v>0.20999999999999996</v>
      </c>
      <c r="DA1124" s="302">
        <v>0.37</v>
      </c>
      <c r="DB1124" s="57">
        <f t="shared" si="2007"/>
        <v>14.088843952642213</v>
      </c>
      <c r="DC1124" s="56">
        <f t="shared" si="2011"/>
        <v>1.2998306968808462E-2</v>
      </c>
      <c r="DD1124" s="303">
        <f>VLOOKUP($H1124,RoR!$E:$F,2,FALSE)</f>
        <v>3.3875000000000009E-2</v>
      </c>
      <c r="DE1124" s="304">
        <f>HLOOKUP($H1124,'GDP-PI'!$D$8:$CQ$11,3,FALSE)</f>
        <v>1.8092492884465461E-2</v>
      </c>
      <c r="DF1124" s="303">
        <f>VLOOKUP(H1124,'HW Dx Data'!$E:$F,2,FALSE)</f>
        <v>773.53929793938721</v>
      </c>
      <c r="DG1124" s="364">
        <f ca="1">VLOOKUP(CC1124,'ECI - Input Price'!M$13:N$33,2,FALSE)</f>
        <v>149.67500000000001</v>
      </c>
      <c r="DH1124" s="364"/>
      <c r="DI1124" s="364"/>
      <c r="DJ1124" s="56">
        <f t="shared" ca="1" si="2019"/>
        <v>3.5532849899171604E-2</v>
      </c>
      <c r="DK1124" s="53">
        <f>HLOOKUP(H1124,'GDP-PI'!$8:$9,2,FALSE)</f>
        <v>112.318</v>
      </c>
      <c r="DL1124" s="355">
        <f t="shared" si="2012"/>
        <v>1.7930771451401852E-2</v>
      </c>
    </row>
    <row r="1125" spans="1:116" s="126" customFormat="1" ht="21" customHeight="1" x14ac:dyDescent="0.4">
      <c r="A1125" s="233" t="s">
        <v>248</v>
      </c>
      <c r="B1125" s="126" t="s">
        <v>248</v>
      </c>
      <c r="C1125" s="126">
        <v>4057100</v>
      </c>
      <c r="D1125" s="126" t="s">
        <v>249</v>
      </c>
      <c r="G1125" s="127" t="s">
        <v>176</v>
      </c>
      <c r="H1125" s="128">
        <v>2020</v>
      </c>
      <c r="I1125" s="129"/>
      <c r="J1125" s="125">
        <f>IFERROR(INDEX('Labor Expenditures'!$E$7:$W$91,MATCH($C1125,'Labor Expenditures'!$C$7:$C$91,0),MATCH($G1125,'Labor Expenditures'!$E$5:$W$5,0)),"NA")</f>
        <v>11627.627009256586</v>
      </c>
      <c r="K1125" s="125">
        <f t="shared" ca="1" si="2013"/>
        <v>75.923127713069448</v>
      </c>
      <c r="L1125" s="47"/>
      <c r="M1125" s="131">
        <f t="shared" ca="1" si="2020"/>
        <v>-0.20793245142524364</v>
      </c>
      <c r="N1125" s="131"/>
      <c r="O1125" s="131"/>
      <c r="P1125" s="59">
        <f t="shared" ca="1" si="2022"/>
        <v>-6.9555446098317408E-4</v>
      </c>
      <c r="Q1125" s="61"/>
      <c r="R1125" s="387"/>
      <c r="S1125" s="49">
        <f t="shared" ca="1" si="2027"/>
        <v>116.04330557491622</v>
      </c>
      <c r="T1125" s="61">
        <f ca="1">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</f>
        <v>-1.0651653353943335E-2</v>
      </c>
      <c r="U1125" s="61"/>
      <c r="V1125" s="125">
        <f>IFERROR(INDEX('Non-Labor Expenditures'!$E$7:$AA$91,MATCH($C1125,'Non-Labor Expenditures'!$C$7:$C$91,0),MATCH($G1125,'Non-Labor Expenditures'!$E$5:$AA$5,0)),"NA")</f>
        <v>16838.975650559987</v>
      </c>
      <c r="W1125" s="125">
        <f t="shared" si="2014"/>
        <v>148.20041409362528</v>
      </c>
      <c r="X1125" s="131">
        <f t="shared" si="2023"/>
        <v>-0.196532711689268</v>
      </c>
      <c r="Y1125" s="131">
        <f t="shared" si="2024"/>
        <v>-6.574212125505421E-4</v>
      </c>
      <c r="Z1125" s="131"/>
      <c r="AA1125" s="131"/>
      <c r="AB1125" s="131"/>
      <c r="AC1125" s="125">
        <f t="shared" si="1994"/>
        <v>10343.54626395595</v>
      </c>
      <c r="AD1125" s="129"/>
      <c r="AE1125" s="133">
        <v>798.79211433976582</v>
      </c>
      <c r="AF1125" s="134">
        <v>4.9915428919931587E-2</v>
      </c>
      <c r="AG1125" s="59">
        <f t="shared" si="2015"/>
        <v>1.6697200951160419E-4</v>
      </c>
      <c r="AH1125" s="134"/>
      <c r="AI1125" s="134"/>
      <c r="AJ1125" s="129">
        <f t="shared" si="2031"/>
        <v>38810.148923772525</v>
      </c>
      <c r="AK1125" s="134">
        <f t="shared" si="2025"/>
        <v>-0.11545384984120405</v>
      </c>
      <c r="AL1125" s="129"/>
      <c r="AM1125" s="129"/>
      <c r="AN1125" s="129"/>
      <c r="AO1125" s="129"/>
      <c r="AP1125" s="133">
        <f t="shared" si="2026"/>
        <v>340.06702233316565</v>
      </c>
      <c r="AQ1125" s="134">
        <f>+BB1125/Outputs!$B$28</f>
        <v>3.0085768892208643E-3</v>
      </c>
      <c r="AR1125" s="93">
        <f t="shared" si="2016"/>
        <v>0.29960274133692572</v>
      </c>
      <c r="AS1125" s="93">
        <f t="shared" si="2017"/>
        <v>0.43388072752912182</v>
      </c>
      <c r="AT1125" s="93">
        <f t="shared" si="2018"/>
        <v>0.26651653113395241</v>
      </c>
      <c r="AU1125" s="93">
        <f t="shared" ca="1" si="2021"/>
        <v>-0.14089621550784789</v>
      </c>
      <c r="AV1125" s="132">
        <f t="shared" ca="1" si="2029"/>
        <v>141.65102902474268</v>
      </c>
      <c r="AW1125" s="134">
        <f t="shared" ca="1" si="2030"/>
        <v>-0.14089621550784773</v>
      </c>
      <c r="AX1125" s="56">
        <f>+AJ1125/$AL$25</f>
        <v>3.3450981615211779E-3</v>
      </c>
      <c r="AY1125" s="135">
        <f t="shared" ca="1" si="2028"/>
        <v>-4.713116714605931E-4</v>
      </c>
      <c r="AZ1125" s="93"/>
      <c r="BA1125" s="93"/>
      <c r="BB1125" s="234">
        <f>IFERROR(INDEX('Total Customers'!$E$7:$AA$91,MATCH($C1125,'Total Customers'!$C$7:$C$91,0),MATCH($G1125,'Total Customers'!$E$5:$AA$5,0)),"NA")</f>
        <v>114125</v>
      </c>
      <c r="BC1125" s="269">
        <f t="shared" si="1988"/>
        <v>8.2000125138946105E-3</v>
      </c>
      <c r="BD1125" s="92"/>
      <c r="BE1125" s="299" t="str">
        <f t="shared" si="1984"/>
        <v>SOUTHERN INDIANA GAS AND ELECTRIC COMPANY</v>
      </c>
      <c r="BF1125" s="300">
        <f t="shared" si="1985"/>
        <v>4057100</v>
      </c>
      <c r="BG1125" s="231" t="str">
        <f t="shared" si="1986"/>
        <v>TX</v>
      </c>
      <c r="BH1125" s="231"/>
      <c r="BI1125" s="231" t="str">
        <f t="shared" si="1987"/>
        <v>2020 Y</v>
      </c>
      <c r="BJ1125" s="129"/>
      <c r="BK1125" s="129"/>
      <c r="BL1125" s="129">
        <f>INDEX('Dist. Plant Gas Additions'!$E$7:$AD$91,MATCH($C1125,'Dist. Plant Gas Additions'!$C$7:$C$91,0),MATCH(Calculation!$G1125,'Dist. Plant Gas Additions'!$E$5:$AD$5,0))</f>
        <v>37013</v>
      </c>
      <c r="BM1125" s="129">
        <f>INDEX('Gen. Plant Additions'!$E$7:$AD$91,MATCH($C1125,'Gen. Plant Additions'!$C$7:$C$91,0),MATCH(Calculation!$G1125,'Gen. Plant Additions'!$E$5:$AD$5,0))</f>
        <v>0</v>
      </c>
      <c r="BN1125" s="301">
        <f t="shared" si="1995"/>
        <v>0.95487266261328441</v>
      </c>
      <c r="BO1125" s="231">
        <f t="shared" si="1989"/>
        <v>0</v>
      </c>
      <c r="BP1125" s="231">
        <f t="shared" si="1990"/>
        <v>0</v>
      </c>
      <c r="BQ1125" s="129">
        <f>INDEX('Dist Plant Depreciation'!$D$7:$AC$94,MATCH($C1125,'Dist Plant Depreciation'!$C$7:$C$94,0),MATCH(Calculation!$G1125,'Dist Plant Depreciation'!$D$5:$AC$5,0))</f>
        <v>119934</v>
      </c>
      <c r="BR1125" s="129">
        <f>INDEX('Gen. Plant Depreciation'!$D$7:$AC$94,MATCH($C1125,'Gen. Plant Depreciation'!$C$7:$C$94,0),MATCH(Calculation!$G1125,'Gen. Plant Depreciation'!$D$5:$AC$5,0))</f>
        <v>7570</v>
      </c>
      <c r="BS1125" s="129"/>
      <c r="BT1125" s="129"/>
      <c r="BU1125" s="129"/>
      <c r="BV1125" s="129"/>
      <c r="BW1125" s="129"/>
      <c r="BX1125" s="137"/>
      <c r="BY1125" s="129">
        <f>INDEX('Gross Dx Plant'!$D$7:$AC$91,MATCH($C1125,'Gross Dx Plant'!$C$7:$C$91,0),MATCH(Calculation!$G1125,'Gross Dx Plant'!$D$5:$AC$5,0))</f>
        <v>399534</v>
      </c>
      <c r="BZ1125" s="129">
        <f>INDEX('Gross Gen Plant'!$D$7:$AC$91,MATCH($C1125,'Gross Gen Plant'!$C$7:$C$91,0),MATCH(Calculation!$G1125,'Gross Gen Plant'!$D$5:$AC$5,0))</f>
        <v>18882</v>
      </c>
      <c r="CA1125" s="129">
        <f t="shared" si="1977"/>
        <v>290912</v>
      </c>
      <c r="CB1125" s="129"/>
      <c r="CC1125" s="133">
        <v>2020</v>
      </c>
      <c r="CD1125" s="129"/>
      <c r="CE1125" s="129"/>
      <c r="CF1125" s="129"/>
      <c r="CG1125" s="137"/>
      <c r="CH1125" s="129">
        <f>+BM1125+BL1125</f>
        <v>37013</v>
      </c>
      <c r="CI1125" s="46">
        <f t="shared" si="2005"/>
        <v>37013</v>
      </c>
      <c r="CJ1125" s="231">
        <f t="shared" si="1997"/>
        <v>45.521956762626097</v>
      </c>
      <c r="CK1125" s="443">
        <v>0.72499999999999998</v>
      </c>
      <c r="CL1125" s="231">
        <f>CL1103*CK1125+CJ1104*CK1124+CJ1105*CK1123+CJ1106*CK1122+CJ1107*CK1121+CJ1108*CK1120+CJ1109*CK1119+CJ1110*CK1118+CJ1111*CK1117+CJ1112*CK1116+CJ1113*CK1115+CJ1114*CK1114+CJ1115*CK1113+CJ1116*CK1112+CJ1117*CK1111+CJ1118*CK1110+CJ1119*CK1109+CJ1120*CK1108+CJ1121*CK1107+CJ1122*CK1106+CJ1123*CK1105+CJ1124*CK1104+CJ1125</f>
        <v>739.39702972070654</v>
      </c>
      <c r="CM1125" s="134">
        <f t="shared" si="1998"/>
        <v>4.7912098269979303E-2</v>
      </c>
      <c r="CN1125" s="135">
        <f t="shared" si="1999"/>
        <v>1.5509466923482419E-2</v>
      </c>
      <c r="CO1125" s="135">
        <f t="shared" si="2008"/>
        <v>1.5386000429215917E-2</v>
      </c>
      <c r="CP1125" s="134">
        <f>VLOOKUP($H1125,RoR!$E:$F,2,FALSE)</f>
        <v>2.4766666666666666E-2</v>
      </c>
      <c r="CQ1125" s="135">
        <v>1.1618796630994188E-2</v>
      </c>
      <c r="CR1125" s="135">
        <f t="shared" si="2006"/>
        <v>1.3147870035672478E-2</v>
      </c>
      <c r="CS1125" s="135">
        <f t="shared" si="2009"/>
        <v>1.5515941179317708E-2</v>
      </c>
      <c r="CT1125" s="135">
        <f t="shared" si="2010"/>
        <v>4.5144642961987357E-2</v>
      </c>
      <c r="CU1125" s="139">
        <f t="shared" si="2000"/>
        <v>0.92230000000000001</v>
      </c>
      <c r="CV1125" s="335">
        <f t="shared" si="2001"/>
        <v>2.0706077233668081</v>
      </c>
      <c r="CW1125" s="335">
        <f t="shared" si="2002"/>
        <v>-3.4421265141318998E-2</v>
      </c>
      <c r="CX1125" s="335">
        <f t="shared" si="2003"/>
        <v>0.62416226176410472</v>
      </c>
      <c r="CY1125" s="335">
        <f t="shared" si="2004"/>
        <v>-4.4485877841158712E-2</v>
      </c>
      <c r="CZ1125" s="336">
        <f>INDEX('State Tax Lookup'!$D$7:$Z$91,MATCH(Calculation!$C1125,'State Tax Lookup'!$B$7:$B$91,0),MATCH($H1125,'State Tax Lookup'!$D$6:$Z$6,0))</f>
        <v>0.20999999999999996</v>
      </c>
      <c r="DA1125" s="302">
        <v>0.37</v>
      </c>
      <c r="DB1125" s="57">
        <f t="shared" si="2007"/>
        <v>14.675730217388592</v>
      </c>
      <c r="DC1125" s="56">
        <f t="shared" si="2011"/>
        <v>4.0811848572525358E-2</v>
      </c>
      <c r="DD1125" s="303">
        <f>VLOOKUP($H1125,RoR!$E:$F,2,FALSE)</f>
        <v>2.4766666666666666E-2</v>
      </c>
      <c r="DE1125" s="304">
        <f>HLOOKUP($H1125,'GDP-PI'!$D$8:$CQ$11,3,FALSE)</f>
        <v>1.1618796630994188E-2</v>
      </c>
      <c r="DF1125" s="303">
        <f>VLOOKUP(H1125,'HW Dx Data'!$E:$F,2,FALSE)</f>
        <v>813.080162458833</v>
      </c>
      <c r="DG1125" s="364">
        <f ca="1">VLOOKUP(CC1125,'ECI - Input Price'!M$13:N$33,2,FALSE)</f>
        <v>153.15</v>
      </c>
      <c r="DH1125" s="364"/>
      <c r="DI1125" s="364"/>
      <c r="DJ1125" s="56">
        <f t="shared" ca="1" si="2019"/>
        <v>2.2951556467368479E-2</v>
      </c>
      <c r="DK1125" s="53">
        <f>HLOOKUP(H1125,'GDP-PI'!$8:$9,2,FALSE)</f>
        <v>113.623</v>
      </c>
      <c r="DL1125" s="355">
        <f t="shared" si="2012"/>
        <v>1.1551816731392881E-2</v>
      </c>
    </row>
    <row r="1126" spans="1:116" s="126" customFormat="1" ht="21" customHeight="1" x14ac:dyDescent="0.4">
      <c r="A1126" s="233" t="s">
        <v>248</v>
      </c>
      <c r="B1126" s="126" t="s">
        <v>248</v>
      </c>
      <c r="C1126" s="126">
        <v>4057100</v>
      </c>
      <c r="D1126" s="126" t="s">
        <v>249</v>
      </c>
      <c r="G1126" s="127" t="s">
        <v>177</v>
      </c>
      <c r="H1126" s="128">
        <v>2021</v>
      </c>
      <c r="I1126" s="129"/>
      <c r="J1126" s="125">
        <v>10132.577223992314</v>
      </c>
      <c r="K1126" s="125">
        <f t="shared" ca="1" si="2013"/>
        <v>64.43610317324206</v>
      </c>
      <c r="L1126" s="47"/>
      <c r="M1126" s="130">
        <f t="shared" ca="1" si="2020"/>
        <v>-0.16404726662984073</v>
      </c>
      <c r="N1126" s="130"/>
      <c r="O1126" s="130"/>
      <c r="P1126" s="59">
        <f t="shared" ca="1" si="2022"/>
        <v>-4.6506962910592889E-4</v>
      </c>
      <c r="Q1126" s="61"/>
      <c r="R1126" s="387"/>
      <c r="S1126" s="132">
        <f ca="1">+S1125*EXP(T1126)</f>
        <v>117.04930252093649</v>
      </c>
      <c r="T1126" s="134">
        <f ca="1">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</f>
        <v>8.6317897461304412E-3</v>
      </c>
      <c r="U1126" s="134"/>
      <c r="V1126" s="125">
        <v>14283.271508519287</v>
      </c>
      <c r="W1126" s="125">
        <f t="shared" si="2014"/>
        <v>120.54410927942685</v>
      </c>
      <c r="X1126" s="131">
        <f t="shared" si="2023"/>
        <v>-0.20654976895069277</v>
      </c>
      <c r="Y1126" s="131">
        <f t="shared" si="2024"/>
        <v>-5.8556309051199004E-4</v>
      </c>
      <c r="Z1126" s="131"/>
      <c r="AA1126" s="131"/>
      <c r="AB1126" s="131"/>
      <c r="AC1126" s="125">
        <f t="shared" si="1994"/>
        <v>11999.880371360419</v>
      </c>
      <c r="AD1126" s="129"/>
      <c r="AE1126" s="133">
        <v>822.56251966862578</v>
      </c>
      <c r="AF1126" s="134"/>
      <c r="AG1126" s="59">
        <f t="shared" si="2015"/>
        <v>0</v>
      </c>
      <c r="AH1126" s="134"/>
      <c r="AI1126" s="134"/>
      <c r="AJ1126" s="129">
        <f t="shared" si="2031"/>
        <v>36415.729103872021</v>
      </c>
      <c r="AK1126" s="134">
        <f t="shared" si="2025"/>
        <v>-6.3680983081291345E-2</v>
      </c>
      <c r="AL1126" s="129"/>
      <c r="AM1126" s="134"/>
      <c r="AN1126" s="134"/>
      <c r="AO1126" s="134"/>
      <c r="AP1126" s="133">
        <f t="shared" si="2026"/>
        <v>317.56703180291464</v>
      </c>
      <c r="AQ1126" s="134">
        <f>+BB1126/Outputs!$B$29</f>
        <v>2.9702683889143966E-3</v>
      </c>
      <c r="AR1126" s="93">
        <f t="shared" si="2016"/>
        <v>0.27824727043333958</v>
      </c>
      <c r="AS1126" s="93">
        <f t="shared" si="2017"/>
        <v>0.39222808000844261</v>
      </c>
      <c r="AT1126" s="93">
        <f t="shared" si="2018"/>
        <v>0.32952464955821775</v>
      </c>
      <c r="AU1126" s="93">
        <f t="shared" ca="1" si="2021"/>
        <v>-0.13271364913897479</v>
      </c>
      <c r="AV1126" s="132">
        <f t="shared" ca="1" si="2029"/>
        <v>124.04604677954565</v>
      </c>
      <c r="AW1126" s="134">
        <f t="shared" ca="1" si="2030"/>
        <v>-0.13271364913897477</v>
      </c>
      <c r="AX1126" s="56">
        <f>+AJ1126/$AL$26</f>
        <v>2.8349733504266215E-3</v>
      </c>
      <c r="AY1126" s="135">
        <f t="shared" ca="1" si="2028"/>
        <v>-3.7623965854686239E-4</v>
      </c>
      <c r="AZ1126" s="93"/>
      <c r="BA1126" s="93"/>
      <c r="BB1126" s="234">
        <f>INDEX('Total Customers'!$D$7:$D$91,MATCH(Calculation!$C1126,'Total Customers'!$C$7:$C$91,0))</f>
        <v>114671</v>
      </c>
      <c r="BC1126" s="269">
        <f t="shared" si="1988"/>
        <v>4.7728197737801816E-3</v>
      </c>
      <c r="BD1126" s="91"/>
      <c r="BE1126" s="299" t="str">
        <f t="shared" si="1984"/>
        <v>SOUTHERN INDIANA GAS AND ELECTRIC COMPANY</v>
      </c>
      <c r="BF1126" s="300">
        <f t="shared" si="1985"/>
        <v>4057100</v>
      </c>
      <c r="BG1126" s="231" t="str">
        <f t="shared" si="1986"/>
        <v>TX</v>
      </c>
      <c r="BH1126" s="231"/>
      <c r="BI1126" s="231" t="str">
        <f t="shared" si="1987"/>
        <v>2021 Y</v>
      </c>
      <c r="BJ1126" s="129"/>
      <c r="BK1126" s="129"/>
      <c r="BL1126" s="129">
        <f>INDEX('Dist. Plant Gas Additions'!$D$7:$AD$91,MATCH($C1126,'Dist. Plant Gas Additions'!$C$7:$C$91,0),MATCH(Calculation!$G1126,'Dist. Plant Gas Additions'!$D$5:$AD$5,0))</f>
        <v>28716</v>
      </c>
      <c r="BM1126" s="129">
        <f>INDEX('Gen. Plant Additions'!$D$7:$AD$91,MATCH($C1126,'Gen. Plant Additions'!$C$7:$C$91,0),MATCH(Calculation!$G1126,'Gen. Plant Additions'!$D$5:$AD$5,0))</f>
        <v>916</v>
      </c>
      <c r="BN1126" s="343"/>
      <c r="BO1126" s="231">
        <f t="shared" si="1989"/>
        <v>0</v>
      </c>
      <c r="BP1126" s="231">
        <f t="shared" si="1990"/>
        <v>-916</v>
      </c>
      <c r="BQ1126" s="129"/>
      <c r="BR1126" s="129"/>
      <c r="BS1126" s="137"/>
      <c r="BT1126" s="137"/>
      <c r="BU1126" s="333"/>
      <c r="BV1126" s="93"/>
      <c r="BW1126" s="334"/>
      <c r="BX1126" s="334"/>
      <c r="BY1126" s="129"/>
      <c r="BZ1126" s="129"/>
      <c r="CA1126" s="129"/>
      <c r="CB1126" s="129"/>
      <c r="CC1126" s="133">
        <v>2021</v>
      </c>
      <c r="CD1126" s="129"/>
      <c r="CE1126" s="129"/>
      <c r="CF1126" s="129"/>
      <c r="CG1126" s="137"/>
      <c r="CH1126" s="129">
        <f>+BM1126+BL1126</f>
        <v>29632</v>
      </c>
      <c r="CI1126" s="46">
        <f t="shared" si="2005"/>
        <v>28716</v>
      </c>
      <c r="CJ1126" s="231">
        <f t="shared" si="1997"/>
        <v>30.777392853988211</v>
      </c>
      <c r="CK1126" s="443">
        <v>0.70886075949367089</v>
      </c>
      <c r="CL1126" s="129">
        <f>CL1103*CK1126+CJ1104*CK1125+CJ1105*CK1124+CJ1106*CK1123+CJ1107*CK1122+CJ1108*CK1121+CJ1109*CK1120+CJ1110*CK1119+CJ1111*CK1118+CJ1112*CK1117+CJ1113*CK1116+CJ1114*CK1115+CJ1115*CK1114+CJ1116*CK1113+CJ1117*CK1112+CJ1108*CK1111+CJ1119*CK1110+CJ1120*CK1109+CJ1121*CK1108+CJ1122*CK1107+CJ1123*CK1106+CJ1124*CK1105+CJ1126+CJ1125*CK1104</f>
        <v>757.68812472054719</v>
      </c>
      <c r="CM1126" s="134"/>
      <c r="CN1126" s="135">
        <f t="shared" si="1999"/>
        <v>1.688713553375245E-2</v>
      </c>
      <c r="CO1126" s="135">
        <f t="shared" si="2008"/>
        <v>1.5923104500907549E-2</v>
      </c>
      <c r="CP1126" s="134">
        <f>VLOOKUP($H1126,RoR!$E:$F,2,FALSE)</f>
        <v>2.7033333333333336E-2</v>
      </c>
      <c r="CQ1126" s="135"/>
      <c r="CR1126" s="135"/>
      <c r="CS1126" s="135">
        <f t="shared" si="2009"/>
        <v>1.4978837107626077E-2</v>
      </c>
      <c r="CT1126" s="135">
        <f t="shared" si="2010"/>
        <v>7.433422950153494E-2</v>
      </c>
      <c r="CU1126" s="139">
        <f t="shared" si="2000"/>
        <v>0.92230000000000001</v>
      </c>
      <c r="CV1126" s="335">
        <f t="shared" si="2001"/>
        <v>1.8969932656739068</v>
      </c>
      <c r="CW1126" s="335">
        <f t="shared" si="2002"/>
        <v>5.0215782983970621E-2</v>
      </c>
      <c r="CX1126" s="335">
        <f t="shared" si="2003"/>
        <v>0.655952481704143</v>
      </c>
      <c r="CY1126" s="335">
        <f t="shared" si="2004"/>
        <v>6.2485378865697057E-2</v>
      </c>
      <c r="CZ1126" s="336">
        <f>CZ1125</f>
        <v>0.20999999999999996</v>
      </c>
      <c r="DA1126" s="302">
        <v>0.37</v>
      </c>
      <c r="DB1126" s="141">
        <f t="shared" si="2007"/>
        <v>16.22927857296526</v>
      </c>
      <c r="DC1126" s="135">
        <f>LN(DB1127/DB1125)</f>
        <v>0.20726274569380745</v>
      </c>
      <c r="DD1126" s="336">
        <f>VLOOKUP($H1126,RoR!$E:$F,2,FALSE)</f>
        <v>2.7033333333333336E-2</v>
      </c>
      <c r="DE1126" s="342">
        <f>HLOOKUP($H1126,'GDP-PI'!$D$8:$CR$11,3,FALSE)</f>
        <v>4.2834637353352578E-2</v>
      </c>
      <c r="DF1126" s="336">
        <f>VLOOKUP(H1126,'HW Dx Data'!$E:$F,2,FALSE)</f>
        <v>933.02249921662576</v>
      </c>
      <c r="DG1126" s="364">
        <f ca="1">VLOOKUP(CC1126,'ECI - Input Price'!M$13:N$33,2,FALSE)</f>
        <v>157.25</v>
      </c>
      <c r="DH1126" s="364"/>
      <c r="DI1126" s="364"/>
      <c r="DJ1126" s="135">
        <f t="shared" ca="1" si="2019"/>
        <v>2.6419062301765574E-2</v>
      </c>
      <c r="DK1126" s="137">
        <f>HLOOKUP(H1126,'GDP-PI'!$8:$9,2,FALSE)</f>
        <v>118.49</v>
      </c>
      <c r="DL1126" s="356">
        <f t="shared" si="2012"/>
        <v>4.194261824609434E-2</v>
      </c>
    </row>
    <row r="1127" spans="1:116" s="126" customFormat="1" ht="21" customHeight="1" thickBot="1" x14ac:dyDescent="0.45">
      <c r="A1127" s="235"/>
      <c r="B1127" s="236"/>
      <c r="C1127" s="236"/>
      <c r="D1127" s="236"/>
      <c r="E1127" s="236"/>
      <c r="F1127" s="236"/>
      <c r="G1127" s="237" t="s">
        <v>178</v>
      </c>
      <c r="H1127" s="238"/>
      <c r="I1127" s="239"/>
      <c r="J1127" s="240">
        <v>10880.970285432779</v>
      </c>
      <c r="K1127" s="240">
        <f t="shared" ca="1" si="2013"/>
        <v>66.93922045790697</v>
      </c>
      <c r="L1127" s="47"/>
      <c r="M1127" s="241">
        <f t="shared" ref="M1127" ca="1" si="2032">LN(K1127/K1126)</f>
        <v>3.8110966021709679E-2</v>
      </c>
      <c r="N1127" s="241"/>
      <c r="O1127" s="241"/>
      <c r="P1127" s="242">
        <f t="shared" ca="1" si="2022"/>
        <v>1.1491432873628089E-4</v>
      </c>
      <c r="Q1127" s="61"/>
      <c r="R1127" s="387"/>
      <c r="S1127" s="206">
        <f ca="1">+S1126*EXP(T1127)</f>
        <v>117.03079079387318</v>
      </c>
      <c r="T1127" s="243">
        <f ca="1">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</f>
        <v>-1.5816575292459625E-4</v>
      </c>
      <c r="U1127" s="243"/>
      <c r="V1127" s="239">
        <v>15338.235221634159</v>
      </c>
      <c r="W1127" s="240">
        <f t="shared" si="2014"/>
        <v>120.53622963956117</v>
      </c>
      <c r="X1127" s="244">
        <f t="shared" ref="X1127" si="2033">LN(W1127/W1126)</f>
        <v>-6.5369410909391179E-5</v>
      </c>
      <c r="Y1127" s="244">
        <f t="shared" si="2024"/>
        <v>-1.9710552522493674E-7</v>
      </c>
      <c r="Z1127" s="206"/>
      <c r="AA1127" s="243"/>
      <c r="AB1127" s="243"/>
      <c r="AC1127" s="240">
        <f t="shared" si="1994"/>
        <v>13680.540839728048</v>
      </c>
      <c r="AD1127" s="243"/>
      <c r="AE1127" s="245">
        <v>844.61301015267748</v>
      </c>
      <c r="AF1127" s="243">
        <v>2.6454054797441066E-2</v>
      </c>
      <c r="AG1127" s="242">
        <f t="shared" si="2015"/>
        <v>7.9765754236432688E-5</v>
      </c>
      <c r="AH1127" s="206"/>
      <c r="AI1127" s="243"/>
      <c r="AJ1127" s="239">
        <f t="shared" si="2031"/>
        <v>39899.746346794986</v>
      </c>
      <c r="AK1127" s="243">
        <f t="shared" si="2025"/>
        <v>9.1369167107688568E-2</v>
      </c>
      <c r="AL1127" s="239"/>
      <c r="AM1127" s="243"/>
      <c r="AN1127" s="243"/>
      <c r="AO1127" s="243"/>
      <c r="AP1127" s="245">
        <f t="shared" si="2026"/>
        <v>346.51740281206293</v>
      </c>
      <c r="AQ1127" s="243"/>
      <c r="AR1127" s="207">
        <f t="shared" si="2016"/>
        <v>0.2727077558553655</v>
      </c>
      <c r="AS1127" s="207">
        <f t="shared" si="2017"/>
        <v>0.38441936668768395</v>
      </c>
      <c r="AT1127" s="207">
        <f t="shared" si="2018"/>
        <v>0.34287287745695055</v>
      </c>
      <c r="AU1127" s="207"/>
      <c r="AV1127" s="206"/>
      <c r="AW1127" s="243"/>
      <c r="AX1127" s="248">
        <f>+AJ1127/$AL$27</f>
        <v>3.0152562564491449E-3</v>
      </c>
      <c r="AY1127" s="249"/>
      <c r="AZ1127" s="206"/>
      <c r="BA1127" s="243"/>
      <c r="BB1127" s="250">
        <v>115145</v>
      </c>
      <c r="BC1127" s="270">
        <f t="shared" si="1988"/>
        <v>4.1250450110667655E-3</v>
      </c>
      <c r="BD1127" s="91"/>
      <c r="BE1127" s="306">
        <f t="shared" si="1984"/>
        <v>0</v>
      </c>
      <c r="BF1127" s="307">
        <f t="shared" si="1985"/>
        <v>0</v>
      </c>
      <c r="BG1127" s="308">
        <f t="shared" si="1986"/>
        <v>0</v>
      </c>
      <c r="BH1127" s="308"/>
      <c r="BI1127" s="308" t="str">
        <f t="shared" si="1987"/>
        <v>2022Y</v>
      </c>
      <c r="BJ1127" s="239"/>
      <c r="BK1127" s="239"/>
      <c r="BL1127" s="239"/>
      <c r="BM1127" s="239"/>
      <c r="BN1127" s="337"/>
      <c r="BO1127" s="308">
        <f t="shared" si="1989"/>
        <v>0</v>
      </c>
      <c r="BP1127" s="308">
        <f t="shared" si="1990"/>
        <v>0</v>
      </c>
      <c r="BQ1127" s="239"/>
      <c r="BR1127" s="239"/>
      <c r="BS1127" s="310"/>
      <c r="BT1127" s="310"/>
      <c r="BU1127" s="311"/>
      <c r="BV1127" s="207"/>
      <c r="BW1127" s="312"/>
      <c r="BX1127" s="312"/>
      <c r="BY1127" s="239"/>
      <c r="BZ1127" s="239"/>
      <c r="CA1127" s="239"/>
      <c r="CB1127" s="239"/>
      <c r="CC1127" s="245">
        <v>2022</v>
      </c>
      <c r="CD1127" s="239"/>
      <c r="CE1127" s="239"/>
      <c r="CF1127" s="239"/>
      <c r="CG1127" s="310"/>
      <c r="CH1127" s="239">
        <v>33620</v>
      </c>
      <c r="CI1127" s="313">
        <f t="shared" si="2005"/>
        <v>33620</v>
      </c>
      <c r="CJ1127" s="358"/>
      <c r="CK1127" s="443">
        <v>0.69230769230769229</v>
      </c>
      <c r="CL1127" s="239">
        <f>+CL1103*CK1127+CJ1104*CK1126+CJ1105*CK1125+CJ1106*CK1124+CJ1107*CK1123+CJ1108*CK1122+CJ1109*CK1121+CJ1110*CK1120+CJ1111*CK1119+CJ1112*CK1118+CJ1113*CK1117+CJ1114*CK1116+CJ1115*CK1115+CJ1116*CK1114+CJ1117*CK1113+CJ1118*CK1112+CJ1119*CK1111+CJ1120*CK1110+CJ1121*CK1109+CJ1122*CK1108+CJ1123*CK1107+CJ1124*CK1106+CJ1125*CK1105+CJ1126*CK1104+CJ1127*CK1103</f>
        <v>746.31922775933378</v>
      </c>
      <c r="CM1127" s="243">
        <f t="shared" ref="CM1127" si="2034">LN(CL1127/CL1126)</f>
        <v>-1.5118428095102316E-2</v>
      </c>
      <c r="CN1127" s="249">
        <f t="shared" si="1999"/>
        <v>1.5004718419477037E-2</v>
      </c>
      <c r="CO1127" s="249">
        <f t="shared" si="2008"/>
        <v>1.5800440292237303E-2</v>
      </c>
      <c r="CP1127" s="243"/>
      <c r="CQ1127" s="249"/>
      <c r="CR1127" s="249"/>
      <c r="CS1127" s="248">
        <f t="shared" si="2009"/>
        <v>1.5101501316296322E-2</v>
      </c>
      <c r="CT1127" s="249">
        <f t="shared" si="2010"/>
        <v>0.10114668178709289</v>
      </c>
      <c r="CU1127" s="314">
        <f t="shared" si="2000"/>
        <v>0.92230000000000001</v>
      </c>
      <c r="CV1127" s="315">
        <f t="shared" si="2001"/>
        <v>1.2820512820512819</v>
      </c>
      <c r="CW1127" s="315">
        <f t="shared" si="2002"/>
        <v>0.35000000000000003</v>
      </c>
      <c r="CX1127" s="315">
        <f t="shared" si="2003"/>
        <v>0.79171095533705893</v>
      </c>
      <c r="CY1127" s="315">
        <f t="shared" si="2004"/>
        <v>0.35525491585637264</v>
      </c>
      <c r="CZ1127" s="316">
        <f>CZ1126</f>
        <v>0.20999999999999996</v>
      </c>
      <c r="DA1127" s="317">
        <v>0.37</v>
      </c>
      <c r="DB1127" s="318">
        <f t="shared" si="2007"/>
        <v>18.055635812919395</v>
      </c>
      <c r="DC1127" s="249">
        <f>LN(DB1127/DB1126)</f>
        <v>0.10664093912615266</v>
      </c>
      <c r="DD1127" s="316">
        <v>0.04</v>
      </c>
      <c r="DE1127" s="319">
        <v>7.0000000000000001E-3</v>
      </c>
      <c r="DF1127" s="316">
        <v>1030.81</v>
      </c>
      <c r="DG1127" s="364">
        <f ca="1">VLOOKUP(CC1127,'ECI - Input Price'!M$13:N$33,2,FALSE)</f>
        <v>162.55000000000001</v>
      </c>
      <c r="DH1127" s="364"/>
      <c r="DI1127" s="364"/>
      <c r="DJ1127" s="249">
        <f t="shared" ca="1" si="2019"/>
        <v>3.3148751169364422E-2</v>
      </c>
      <c r="DK1127" s="310">
        <v>127.25</v>
      </c>
      <c r="DL1127" s="357">
        <f t="shared" si="2012"/>
        <v>7.1325086601983473E-2</v>
      </c>
    </row>
    <row r="1128" spans="1:116" s="126" customFormat="1" ht="21" customHeight="1" x14ac:dyDescent="0.4">
      <c r="A1128" s="251" t="s">
        <v>250</v>
      </c>
      <c r="B1128" s="265" t="s">
        <v>250</v>
      </c>
      <c r="C1128" s="265">
        <v>4063179</v>
      </c>
      <c r="D1128" s="252" t="s">
        <v>235</v>
      </c>
      <c r="E1128" s="252"/>
      <c r="F1128" s="266"/>
      <c r="G1128" s="265" t="s">
        <v>150</v>
      </c>
      <c r="H1128" s="253">
        <v>1998</v>
      </c>
      <c r="I1128" s="254"/>
      <c r="J1128" s="255"/>
      <c r="K1128" s="255"/>
      <c r="L1128" s="47"/>
      <c r="M1128" s="255"/>
      <c r="N1128" s="255"/>
      <c r="O1128" s="255"/>
      <c r="P1128" s="219"/>
      <c r="Q1128" s="218"/>
      <c r="R1128" s="385"/>
      <c r="S1128" s="257"/>
      <c r="T1128" s="258"/>
      <c r="U1128" s="258"/>
      <c r="V1128" s="259"/>
      <c r="W1128" s="259"/>
      <c r="X1128" s="259"/>
      <c r="Y1128" s="255"/>
      <c r="Z1128" s="259"/>
      <c r="AA1128" s="259"/>
      <c r="AB1128" s="259"/>
      <c r="AC1128" s="255"/>
      <c r="AD1128" s="254"/>
      <c r="AE1128" s="260">
        <v>20.399620516316364</v>
      </c>
      <c r="AF1128" s="256"/>
      <c r="AG1128" s="255"/>
      <c r="AH1128" s="256"/>
      <c r="AI1128" s="256"/>
      <c r="AJ1128" s="254">
        <f t="shared" si="2031"/>
        <v>0</v>
      </c>
      <c r="AK1128" s="254"/>
      <c r="AL1128" s="254"/>
      <c r="AM1128" s="256"/>
      <c r="AN1128" s="256"/>
      <c r="AO1128" s="256"/>
      <c r="AP1128" s="226">
        <f>+(AP1125+AP1126+AP1127)/3</f>
        <v>334.71715231604776</v>
      </c>
      <c r="AQ1128" s="256"/>
      <c r="AR1128" s="261"/>
      <c r="AS1128" s="261"/>
      <c r="AT1128" s="261"/>
      <c r="AU1128" s="261"/>
      <c r="AV1128" s="261"/>
      <c r="AW1128" s="256">
        <f ca="1">AVERAGE(AW1137:AW1151)</f>
        <v>5.635783271913164E-3</v>
      </c>
      <c r="AX1128" s="223"/>
      <c r="AY1128" s="261"/>
      <c r="AZ1128" s="261"/>
      <c r="BA1128" s="261"/>
      <c r="BB1128" s="262">
        <f>IFERROR(INDEX('Total Customers'!$E$7:$AA$91,MATCH($C1128,'Total Customers'!$C$7:$C$91,0),MATCH($G1128,'Total Customers'!$E$5:$AA$5,0)),"NA")</f>
        <v>3375</v>
      </c>
      <c r="BC1128" s="268"/>
      <c r="BD1128" s="92"/>
      <c r="BE1128" s="320" t="str">
        <f t="shared" si="1984"/>
        <v>ST. JOE NATURAL GAS CO, INC.</v>
      </c>
      <c r="BF1128" s="321">
        <f t="shared" si="1985"/>
        <v>4063179</v>
      </c>
      <c r="BG1128" s="322" t="str">
        <f t="shared" si="1986"/>
        <v>FL</v>
      </c>
      <c r="BH1128" s="322"/>
      <c r="BI1128" s="322" t="str">
        <f t="shared" si="1987"/>
        <v>1998 Y</v>
      </c>
      <c r="BJ1128" s="254">
        <f>INDEX('Gross Dx Plant'!$D$7:$AC$91,MATCH($C1128,'Gross Dx Plant'!$C$7:$C$91,0),MATCH(Calculation!$G1128,'Gross Dx Plant'!$D$5:$AC$5,0))</f>
        <v>5395</v>
      </c>
      <c r="BK1128" s="254">
        <f>INDEX('Gross Gen Plant'!$D$7:$AC$91,MATCH($C1128,'Gross Gen Plant'!$C$7:$C$91,0),MATCH(Calculation!$G1128,'Gross Gen Plant'!$D$5:$AC$5,0))</f>
        <v>564</v>
      </c>
      <c r="BL1128" s="254">
        <f>INDEX('Dist. Plant Gas Additions'!$E$7:$AD$91,MATCH($C1128,'Dist. Plant Gas Additions'!$C$7:$C$91,0),MATCH(Calculation!$G1128,'Dist. Plant Gas Additions'!$E$5:$AD$5,0))</f>
        <v>89</v>
      </c>
      <c r="BM1128" s="254">
        <f>INDEX('Gen. Plant Additions'!$E$7:$AD$91,MATCH($C1128,'Gen. Plant Additions'!$C$7:$C$91,0),MATCH(Calculation!$G1128,'Gen. Plant Additions'!$E$5:$AD$5,0))</f>
        <v>19</v>
      </c>
      <c r="BN1128" s="338">
        <f>+(BY1128/(BY1128+BZ1128))</f>
        <v>0.90535324718912569</v>
      </c>
      <c r="BO1128" s="322">
        <f t="shared" si="1989"/>
        <v>17.201711696593389</v>
      </c>
      <c r="BP1128" s="322">
        <f t="shared" si="1990"/>
        <v>-1.7982883034066113</v>
      </c>
      <c r="BQ1128" s="254">
        <f>INDEX('Dist Plant Depreciation'!$D$7:$AC$94,MATCH($C1128,'Dist Plant Depreciation'!$C$7:$C$94,0),MATCH(Calculation!$G1128,'Dist Plant Depreciation'!$D$5:$AC$5,0))</f>
        <v>1631</v>
      </c>
      <c r="BR1128" s="254">
        <f>INDEX('Gen. Plant Depreciation'!$D$7:$AC$94,MATCH($C1128,'Gen. Plant Depreciation'!$C$7:$C$94,0),MATCH(Calculation!$G1128,'Gen. Plant Depreciation'!$D$5:$AC$5,0))</f>
        <v>213</v>
      </c>
      <c r="BS1128" s="254"/>
      <c r="BT1128" s="254"/>
      <c r="BU1128" s="254"/>
      <c r="BV1128" s="254"/>
      <c r="BW1128" s="254"/>
      <c r="BX1128" s="323"/>
      <c r="BY1128" s="254">
        <f>INDEX('Gross Dx Plant'!$D$7:$AC$91,MATCH($C1128,'Gross Dx Plant'!$C$7:$C$91,0),MATCH(Calculation!$G1128,'Gross Dx Plant'!$D$5:$AC$5,0))</f>
        <v>5395</v>
      </c>
      <c r="BZ1128" s="254">
        <f>INDEX('Gross Gen Plant'!$D$7:$AC$91,MATCH($C1128,'Gross Gen Plant'!$C$7:$C$91,0),MATCH(Calculation!$G1128,'Gross Gen Plant'!$D$5:$AC$5,0))</f>
        <v>564</v>
      </c>
      <c r="CA1128" s="254">
        <f t="shared" si="1977"/>
        <v>4115</v>
      </c>
      <c r="CB1128" s="254"/>
      <c r="CC1128" s="260">
        <v>1998</v>
      </c>
      <c r="CD1128" s="254">
        <f>BJ1128+BK1128</f>
        <v>5959</v>
      </c>
      <c r="CE1128" s="254">
        <f>1631+213</f>
        <v>1844</v>
      </c>
      <c r="CF1128" s="254">
        <f>+CD1128-CE1128</f>
        <v>4115</v>
      </c>
      <c r="CG1128" s="254">
        <f>CF1128/$BX$3</f>
        <v>20.399620516316364</v>
      </c>
      <c r="CH1128" s="323"/>
      <c r="CI1128" s="344"/>
      <c r="CJ1128" s="344"/>
      <c r="CK1128" s="443">
        <v>1</v>
      </c>
      <c r="CL1128" s="254">
        <f>+CG1128</f>
        <v>20.399620516316364</v>
      </c>
      <c r="CM1128" s="256"/>
      <c r="CN1128" s="325"/>
      <c r="CO1128" s="325"/>
      <c r="CP1128" s="256" t="e">
        <f>VLOOKUP($H1128,RoR!$E:$F,2,FALSE)</f>
        <v>#N/A</v>
      </c>
      <c r="CQ1128" s="325">
        <v>1.1028127770464469E-2</v>
      </c>
      <c r="CR1128" s="325"/>
      <c r="CS1128" s="325"/>
      <c r="CT1128" s="325"/>
      <c r="CU1128" s="327"/>
      <c r="CV1128" s="331" t="e">
        <f>2/(DD1128*39)</f>
        <v>#N/A</v>
      </c>
      <c r="CW1128" s="328" t="e">
        <f>+(DD1128*40-(1+DD1128))/(DD1128*40)</f>
        <v>#N/A</v>
      </c>
      <c r="CX1128" s="328" t="e">
        <f>+(1-(1/(1+DD1128)^40))</f>
        <v>#N/A</v>
      </c>
      <c r="CY1128" s="328" t="e">
        <f>+CX1128*CW1128*CV1128</f>
        <v>#N/A</v>
      </c>
      <c r="CZ1128" s="329">
        <f>INDEX('State Tax Lookup'!$D$7:$Z$91,MATCH(Calculation!$C1128,'State Tax Lookup'!$B$7:$B$91,0),MATCH($H1128,'State Tax Lookup'!$D$6:$Z$6,0))</f>
        <v>0.38574999999999998</v>
      </c>
      <c r="DA1128" s="330">
        <v>0.37</v>
      </c>
      <c r="DB1128" s="344"/>
      <c r="DC1128" s="326"/>
      <c r="DD1128" s="351" t="e">
        <f>VLOOKUP($H1128,RoR!$E:$F,2,FALSE)</f>
        <v>#N/A</v>
      </c>
      <c r="DE1128" s="354">
        <f>HLOOKUP($H1128,'GDP-PI'!$D$8:$CQ$11,3,FALSE)</f>
        <v>1.1028127770464469E-2</v>
      </c>
      <c r="DF1128" s="351">
        <f>VLOOKUP(H1128,'HW Dx Data'!$E:$F,2,FALSE)</f>
        <v>329.24564746449528</v>
      </c>
      <c r="DG1128" s="330"/>
      <c r="DH1128" s="330"/>
      <c r="DI1128" s="330"/>
      <c r="DJ1128" s="326"/>
      <c r="DK1128" s="344">
        <f>HLOOKUP(H1128,'GDP-PI'!$8:$9,2,FALSE)</f>
        <v>75.266999999999996</v>
      </c>
      <c r="DL1128" s="292"/>
    </row>
    <row r="1129" spans="1:116" s="126" customFormat="1" ht="21" customHeight="1" x14ac:dyDescent="0.4">
      <c r="A1129" s="233" t="s">
        <v>250</v>
      </c>
      <c r="B1129" s="126" t="s">
        <v>250</v>
      </c>
      <c r="C1129" s="126">
        <v>4063179</v>
      </c>
      <c r="D1129" s="127" t="s">
        <v>235</v>
      </c>
      <c r="E1129" s="127"/>
      <c r="F1129" s="144"/>
      <c r="G1129" s="126" t="s">
        <v>155</v>
      </c>
      <c r="H1129" s="128">
        <v>1999</v>
      </c>
      <c r="I1129" s="129"/>
      <c r="J1129" s="125"/>
      <c r="K1129" s="129"/>
      <c r="L1129" s="47"/>
      <c r="M1129" s="129"/>
      <c r="N1129" s="129"/>
      <c r="O1129" s="129"/>
      <c r="P1129" s="47"/>
      <c r="Q1129" s="47"/>
      <c r="R1129" s="386"/>
      <c r="S1129" s="119"/>
      <c r="T1129" s="47"/>
      <c r="U1129" s="46"/>
      <c r="V1129" s="135"/>
      <c r="W1129" s="135"/>
      <c r="X1129" s="135"/>
      <c r="Y1129" s="143"/>
      <c r="Z1129" s="135"/>
      <c r="AA1129" s="135"/>
      <c r="AB1129" s="135"/>
      <c r="AC1129" s="125">
        <f t="shared" ref="AC1129:AC1152" si="2035">+CL1128*DB1129</f>
        <v>0</v>
      </c>
      <c r="AD1129" s="129"/>
      <c r="AE1129" s="133">
        <v>20.658973833518825</v>
      </c>
      <c r="AF1129" s="134">
        <v>1.2633494682974715E-2</v>
      </c>
      <c r="AG1129" s="134"/>
      <c r="AH1129" s="134"/>
      <c r="AI1129" s="134"/>
      <c r="AJ1129" s="129">
        <f t="shared" si="2031"/>
        <v>0</v>
      </c>
      <c r="AK1129" s="134"/>
      <c r="AL1129" s="129"/>
      <c r="AM1129" s="134"/>
      <c r="AN1129" s="134"/>
      <c r="AO1129" s="134"/>
      <c r="AP1129" s="133"/>
      <c r="AQ1129" s="134"/>
      <c r="AR1129" s="93"/>
      <c r="AS1129" s="93"/>
      <c r="AT1129" s="93"/>
      <c r="AU1129" s="93"/>
      <c r="AV1129" s="93"/>
      <c r="AW1129" s="134"/>
      <c r="AX1129" s="62"/>
      <c r="AY1129" s="93"/>
      <c r="AZ1129" s="93"/>
      <c r="BA1129" s="93"/>
      <c r="BB1129" s="234">
        <f>IFERROR(INDEX('Total Customers'!$E$7:$AA$91,MATCH($C1129,'Total Customers'!$C$7:$C$91,0),MATCH($G1129,'Total Customers'!$E$5:$AA$5,0)),"NA")</f>
        <v>3409</v>
      </c>
      <c r="BC1129" s="269">
        <f t="shared" si="1988"/>
        <v>1.0023668831272948E-2</v>
      </c>
      <c r="BD1129" s="92"/>
      <c r="BE1129" s="299" t="str">
        <f t="shared" si="1984"/>
        <v>ST. JOE NATURAL GAS CO, INC.</v>
      </c>
      <c r="BF1129" s="300">
        <f t="shared" si="1985"/>
        <v>4063179</v>
      </c>
      <c r="BG1129" s="231" t="str">
        <f t="shared" si="1986"/>
        <v>FL</v>
      </c>
      <c r="BH1129" s="231"/>
      <c r="BI1129" s="231" t="str">
        <f t="shared" si="1987"/>
        <v>1999 Y</v>
      </c>
      <c r="BJ1129" s="129"/>
      <c r="BK1129" s="129"/>
      <c r="BL1129" s="129">
        <f>INDEX('Dist. Plant Gas Additions'!$E$7:$AD$91,MATCH($C1129,'Dist. Plant Gas Additions'!$C$7:$C$91,0),MATCH(Calculation!$G1129,'Dist. Plant Gas Additions'!$E$5:$AD$5,0))</f>
        <v>64</v>
      </c>
      <c r="BM1129" s="129">
        <f>INDEX('Gen. Plant Additions'!$E$7:$AD$91,MATCH($C1129,'Gen. Plant Additions'!$C$7:$C$91,0),MATCH(Calculation!$G1129,'Gen. Plant Additions'!$E$5:$AD$5,0))</f>
        <v>57</v>
      </c>
      <c r="BN1129" s="301">
        <f t="shared" ref="BN1129:BN1150" si="2036">+(BY1129/(BY1129+BZ1129))</f>
        <v>0.90128968253968256</v>
      </c>
      <c r="BO1129" s="231">
        <f t="shared" si="1989"/>
        <v>51.373511904761905</v>
      </c>
      <c r="BP1129" s="231">
        <f t="shared" si="1990"/>
        <v>-5.6264880952380949</v>
      </c>
      <c r="BQ1129" s="129">
        <f>INDEX('Dist Plant Depreciation'!$D$7:$AC$94,MATCH($C1129,'Dist Plant Depreciation'!$C$7:$C$94,0),MATCH(Calculation!$G1129,'Dist Plant Depreciation'!$D$5:$AC$5,0))</f>
        <v>1806</v>
      </c>
      <c r="BR1129" s="129">
        <f>INDEX('Gen. Plant Depreciation'!$D$7:$AC$94,MATCH($C1129,'Gen. Plant Depreciation'!$C$7:$C$94,0),MATCH(Calculation!$G1129,'Gen. Plant Depreciation'!$D$5:$AC$5,0))</f>
        <v>247</v>
      </c>
      <c r="BS1129" s="129"/>
      <c r="BT1129" s="129"/>
      <c r="BU1129" s="129"/>
      <c r="BV1129" s="129"/>
      <c r="BW1129" s="129"/>
      <c r="BX1129" s="137"/>
      <c r="BY1129" s="129">
        <f>INDEX('Gross Dx Plant'!$D$7:$AC$91,MATCH($C1129,'Gross Dx Plant'!$C$7:$C$91,0),MATCH(Calculation!$G1129,'Gross Dx Plant'!$D$5:$AC$5,0))</f>
        <v>5451</v>
      </c>
      <c r="BZ1129" s="129">
        <f>INDEX('Gross Gen Plant'!$D$7:$AC$91,MATCH($C1129,'Gross Gen Plant'!$C$7:$C$91,0),MATCH(Calculation!$G1129,'Gross Gen Plant'!$D$5:$AC$5,0))</f>
        <v>597</v>
      </c>
      <c r="CA1129" s="129">
        <f t="shared" si="1977"/>
        <v>3995</v>
      </c>
      <c r="CB1129" s="129"/>
      <c r="CC1129" s="133">
        <v>1999</v>
      </c>
      <c r="CD1129" s="129"/>
      <c r="CE1129" s="129"/>
      <c r="CF1129" s="129"/>
      <c r="CG1129" s="137"/>
      <c r="CH1129" s="129">
        <f t="shared" ref="CH1129:CH1148" si="2037">+BM1129+BL1129</f>
        <v>121</v>
      </c>
      <c r="CI1129" s="46">
        <f>+CH1129+BP1129</f>
        <v>115.3735119047619</v>
      </c>
      <c r="CJ1129" s="231">
        <f t="shared" ref="CJ1129:CJ1152" si="2038">+CI1129/$DF1129</f>
        <v>0.34406475759553906</v>
      </c>
      <c r="CK1129" s="443">
        <v>0.99009900990099009</v>
      </c>
      <c r="CL1129" s="231">
        <f>+CL1128*CK1129+CJ1129</f>
        <v>20.541708833156296</v>
      </c>
      <c r="CM1129" s="134">
        <f t="shared" ref="CM1129:CM1150" si="2039">LN(CL1129/CL1128)</f>
        <v>6.9410978865618962E-3</v>
      </c>
      <c r="CN1129" s="135">
        <f t="shared" ref="CN1129:CN1152" si="2040">+(CL1128-CL1129+CJ1129)/CL1128</f>
        <v>9.9009900990099063E-3</v>
      </c>
      <c r="CO1129" s="135"/>
      <c r="CP1129" s="134">
        <f>VLOOKUP($H1129,RoR!$E:$F,2,FALSE)</f>
        <v>7.0416666666666669E-2</v>
      </c>
      <c r="CQ1129" s="135">
        <v>1.4335631817396832E-2</v>
      </c>
      <c r="CR1129" s="135">
        <f>+CP1129-CQ1129</f>
        <v>5.6081034849269837E-2</v>
      </c>
      <c r="CS1129" s="135"/>
      <c r="CT1129" s="135"/>
      <c r="CU1129" s="139">
        <f t="shared" ref="CU1129:CU1152" si="2041">1-CZ1129*DA1129</f>
        <v>0.85727249999999999</v>
      </c>
      <c r="CV1129" s="335">
        <f t="shared" ref="CV1129:CV1152" si="2042">2/(DD1129*39)</f>
        <v>0.72826581702321336</v>
      </c>
      <c r="CW1129" s="335">
        <f t="shared" ref="CW1129:CW1152" si="2043">+(DD1129*40-(1+DD1129))/(DD1129*40)</f>
        <v>0.61997041420118348</v>
      </c>
      <c r="CX1129" s="335">
        <f t="shared" ref="CX1129:CX1152" si="2044">+(1-(1/(1+DD1129)^40))</f>
        <v>0.93425155319585029</v>
      </c>
      <c r="CY1129" s="335">
        <f t="shared" ref="CY1129:CY1152" si="2045">+CX1129*CW1129*CV1129</f>
        <v>0.42181762214141483</v>
      </c>
      <c r="CZ1129" s="336">
        <f>INDEX('State Tax Lookup'!$D$7:$Z$91,MATCH(Calculation!$C1129,'State Tax Lookup'!$B$7:$B$91,0),MATCH($H1129,'State Tax Lookup'!$D$6:$Z$6,0))</f>
        <v>0.38574999999999998</v>
      </c>
      <c r="DA1129" s="302">
        <v>0.37</v>
      </c>
      <c r="DB1129" s="57"/>
      <c r="DC1129" s="56"/>
      <c r="DD1129" s="303">
        <f>VLOOKUP($H1129,RoR!$E:$F,2,FALSE)</f>
        <v>7.0416666666666669E-2</v>
      </c>
      <c r="DE1129" s="304">
        <f>HLOOKUP($H1129,'GDP-PI'!$D$8:$CQ$11,3,FALSE)</f>
        <v>1.4335631817396832E-2</v>
      </c>
      <c r="DF1129" s="303">
        <f>VLOOKUP(H1129,'HW Dx Data'!$E:$F,2,FALSE)</f>
        <v>335.32499146683239</v>
      </c>
      <c r="DG1129" s="364"/>
      <c r="DH1129" s="364"/>
      <c r="DI1129" s="364"/>
      <c r="DJ1129" s="56"/>
      <c r="DK1129" s="53">
        <f>HLOOKUP(H1129,'GDP-PI'!$8:$9,2,FALSE)</f>
        <v>76.346000000000004</v>
      </c>
      <c r="DL1129" s="298"/>
    </row>
    <row r="1130" spans="1:116" s="126" customFormat="1" ht="21" customHeight="1" x14ac:dyDescent="0.4">
      <c r="A1130" s="233" t="s">
        <v>250</v>
      </c>
      <c r="B1130" s="126" t="s">
        <v>250</v>
      </c>
      <c r="C1130" s="126">
        <v>4063179</v>
      </c>
      <c r="D1130" s="127" t="s">
        <v>235</v>
      </c>
      <c r="E1130" s="127"/>
      <c r="F1130" s="144"/>
      <c r="G1130" s="126" t="s">
        <v>156</v>
      </c>
      <c r="H1130" s="128">
        <v>2000</v>
      </c>
      <c r="I1130" s="129"/>
      <c r="J1130" s="125"/>
      <c r="K1130" s="125"/>
      <c r="L1130" s="47"/>
      <c r="M1130" s="125"/>
      <c r="N1130" s="125"/>
      <c r="O1130" s="125"/>
      <c r="P1130" s="47"/>
      <c r="Q1130" s="47"/>
      <c r="R1130" s="386"/>
      <c r="S1130" s="119"/>
      <c r="T1130" s="47"/>
      <c r="U1130" s="47"/>
      <c r="V1130" s="125"/>
      <c r="W1130" s="125"/>
      <c r="X1130" s="125"/>
      <c r="Y1130" s="125"/>
      <c r="Z1130" s="125"/>
      <c r="AA1130" s="125"/>
      <c r="AB1130" s="125"/>
      <c r="AC1130" s="125">
        <f t="shared" si="2035"/>
        <v>0</v>
      </c>
      <c r="AD1130" s="129"/>
      <c r="AE1130" s="133">
        <v>20.659384183202182</v>
      </c>
      <c r="AF1130" s="134">
        <v>1.9862826262502903E-5</v>
      </c>
      <c r="AG1130" s="134"/>
      <c r="AH1130" s="134"/>
      <c r="AI1130" s="134"/>
      <c r="AJ1130" s="129">
        <f t="shared" si="2031"/>
        <v>0</v>
      </c>
      <c r="AK1130" s="134"/>
      <c r="AL1130" s="129"/>
      <c r="AM1130" s="129"/>
      <c r="AN1130" s="129"/>
      <c r="AO1130" s="129"/>
      <c r="AP1130" s="133"/>
      <c r="AQ1130" s="134"/>
      <c r="AR1130" s="93"/>
      <c r="AS1130" s="93"/>
      <c r="AT1130" s="93"/>
      <c r="AU1130" s="93"/>
      <c r="AV1130" s="93"/>
      <c r="AW1130" s="134"/>
      <c r="AX1130" s="62"/>
      <c r="AY1130" s="93"/>
      <c r="AZ1130" s="93"/>
      <c r="BA1130" s="93"/>
      <c r="BB1130" s="234">
        <f>IFERROR(INDEX('Total Customers'!$E$7:$AA$91,MATCH($C1130,'Total Customers'!$C$7:$C$91,0),MATCH($G1130,'Total Customers'!$E$5:$AA$5,0)),"NA")</f>
        <v>3663</v>
      </c>
      <c r="BC1130" s="269">
        <f t="shared" si="1988"/>
        <v>7.1863490640911312E-2</v>
      </c>
      <c r="BD1130" s="92"/>
      <c r="BE1130" s="299" t="str">
        <f t="shared" si="1984"/>
        <v>ST. JOE NATURAL GAS CO, INC.</v>
      </c>
      <c r="BF1130" s="300">
        <f t="shared" si="1985"/>
        <v>4063179</v>
      </c>
      <c r="BG1130" s="231" t="str">
        <f t="shared" si="1986"/>
        <v>FL</v>
      </c>
      <c r="BH1130" s="231"/>
      <c r="BI1130" s="231" t="str">
        <f t="shared" si="1987"/>
        <v>2000 Y</v>
      </c>
      <c r="BJ1130" s="129"/>
      <c r="BK1130" s="129"/>
      <c r="BL1130" s="129">
        <f>INDEX('Dist. Plant Gas Additions'!$E$7:$AD$91,MATCH($C1130,'Dist. Plant Gas Additions'!$C$7:$C$91,0),MATCH(Calculation!$G1130,'Dist. Plant Gas Additions'!$E$5:$AD$5,0))</f>
        <v>33</v>
      </c>
      <c r="BM1130" s="129">
        <f>INDEX('Gen. Plant Additions'!$E$7:$AD$91,MATCH($C1130,'Gen. Plant Additions'!$C$7:$C$91,0),MATCH(Calculation!$G1130,'Gen. Plant Additions'!$E$5:$AD$5,0))</f>
        <v>4</v>
      </c>
      <c r="BN1130" s="301">
        <f t="shared" si="2036"/>
        <v>0.90058675607711647</v>
      </c>
      <c r="BO1130" s="231">
        <f t="shared" si="1989"/>
        <v>3.6023470243084659</v>
      </c>
      <c r="BP1130" s="231">
        <f t="shared" si="1990"/>
        <v>-0.39765297569153413</v>
      </c>
      <c r="BQ1130" s="129" t="str">
        <f>INDEX('Dist Plant Depreciation'!$D$7:$AC$94,MATCH($C1130,'Dist Plant Depreciation'!$C$7:$C$94,0),MATCH(Calculation!$G1130,'Dist Plant Depreciation'!$D$5:$AC$5,0))</f>
        <v>NA</v>
      </c>
      <c r="BR1130" s="129" t="str">
        <f>INDEX('Gen. Plant Depreciation'!$D$7:$AC$94,MATCH($C1130,'Gen. Plant Depreciation'!$C$7:$C$94,0),MATCH(Calculation!$G1130,'Gen. Plant Depreciation'!$D$5:$AC$5,0))</f>
        <v>NA</v>
      </c>
      <c r="BS1130" s="129"/>
      <c r="BT1130" s="129"/>
      <c r="BU1130" s="129"/>
      <c r="BV1130" s="129"/>
      <c r="BW1130" s="129"/>
      <c r="BX1130" s="137"/>
      <c r="BY1130" s="129">
        <f>INDEX('Gross Dx Plant'!$D$7:$AC$91,MATCH($C1130,'Gross Dx Plant'!$C$7:$C$91,0),MATCH(Calculation!$G1130,'Gross Dx Plant'!$D$5:$AC$5,0))</f>
        <v>5372</v>
      </c>
      <c r="BZ1130" s="129">
        <f>INDEX('Gross Gen Plant'!$D$7:$AC$91,MATCH($C1130,'Gross Gen Plant'!$C$7:$C$91,0),MATCH(Calculation!$G1130,'Gross Gen Plant'!$D$5:$AC$5,0))</f>
        <v>593</v>
      </c>
      <c r="CA1130" s="129" t="str">
        <f t="shared" si="1977"/>
        <v>NA</v>
      </c>
      <c r="CB1130" s="129"/>
      <c r="CC1130" s="133">
        <v>2000</v>
      </c>
      <c r="CD1130" s="129"/>
      <c r="CE1130" s="129"/>
      <c r="CF1130" s="129"/>
      <c r="CG1130" s="137"/>
      <c r="CH1130" s="129">
        <f t="shared" si="2037"/>
        <v>37</v>
      </c>
      <c r="CI1130" s="46">
        <f t="shared" ref="CI1130:CI1152" si="2046">+CH1130+BP1130</f>
        <v>36.602347024308465</v>
      </c>
      <c r="CJ1130" s="231">
        <f t="shared" si="2038"/>
        <v>0.10562420088414608</v>
      </c>
      <c r="CK1130" s="443">
        <v>0.98</v>
      </c>
      <c r="CL1130" s="231">
        <f>+CL1128*CK1130+CJ1129*CK1129+CJ1130</f>
        <v>20.437910482711352</v>
      </c>
      <c r="CM1130" s="134">
        <f t="shared" si="2039"/>
        <v>-5.0658631855966234E-3</v>
      </c>
      <c r="CN1130" s="135">
        <f t="shared" si="2040"/>
        <v>1.0194991713204576E-2</v>
      </c>
      <c r="CO1130" s="135"/>
      <c r="CP1130" s="134">
        <f>VLOOKUP($H1130,RoR!$E:$F,2,FALSE)</f>
        <v>7.6225000000000001E-2</v>
      </c>
      <c r="CQ1130" s="135">
        <v>2.2568307442433211E-2</v>
      </c>
      <c r="CR1130" s="135">
        <f t="shared" ref="CR1130:CR1150" si="2047">+CP1130-CQ1130</f>
        <v>5.365669255756679E-2</v>
      </c>
      <c r="CS1130" s="135"/>
      <c r="CT1130" s="135"/>
      <c r="CU1130" s="139">
        <f t="shared" si="2041"/>
        <v>0.85727249999999999</v>
      </c>
      <c r="CV1130" s="335">
        <f t="shared" si="2042"/>
        <v>0.67277207323124022</v>
      </c>
      <c r="CW1130" s="335">
        <f t="shared" si="2043"/>
        <v>0.6470236142997704</v>
      </c>
      <c r="CX1130" s="335">
        <f t="shared" si="2044"/>
        <v>0.94704866037543145</v>
      </c>
      <c r="CY1130" s="335">
        <f t="shared" si="2045"/>
        <v>0.41224973107878493</v>
      </c>
      <c r="CZ1130" s="336">
        <f>INDEX('State Tax Lookup'!$D$7:$Z$91,MATCH(Calculation!$C1130,'State Tax Lookup'!$B$7:$B$91,0),MATCH($H1130,'State Tax Lookup'!$D$6:$Z$6,0))</f>
        <v>0.38574999999999998</v>
      </c>
      <c r="DA1130" s="302">
        <v>0.37</v>
      </c>
      <c r="DB1130" s="57"/>
      <c r="DC1130" s="56"/>
      <c r="DD1130" s="303">
        <f>VLOOKUP($H1130,RoR!$E:$F,2,FALSE)</f>
        <v>7.6225000000000001E-2</v>
      </c>
      <c r="DE1130" s="304">
        <f>HLOOKUP($H1130,'GDP-PI'!$D$8:$CQ$11,3,FALSE)</f>
        <v>2.2568307442433211E-2</v>
      </c>
      <c r="DF1130" s="303">
        <f>VLOOKUP(H1130,'HW Dx Data'!$E:$F,2,FALSE)</f>
        <v>346.53371782150339</v>
      </c>
      <c r="DG1130" s="364"/>
      <c r="DH1130" s="364"/>
      <c r="DI1130" s="364"/>
      <c r="DJ1130" s="56"/>
      <c r="DK1130" s="53">
        <f>HLOOKUP(H1130,'GDP-PI'!$8:$9,2,FALSE)</f>
        <v>78.069000000000003</v>
      </c>
      <c r="DL1130" s="298"/>
    </row>
    <row r="1131" spans="1:116" s="126" customFormat="1" ht="21" customHeight="1" x14ac:dyDescent="0.4">
      <c r="A1131" s="233" t="s">
        <v>250</v>
      </c>
      <c r="B1131" s="126" t="s">
        <v>250</v>
      </c>
      <c r="C1131" s="126">
        <v>4063179</v>
      </c>
      <c r="D1131" s="127" t="s">
        <v>235</v>
      </c>
      <c r="E1131" s="127"/>
      <c r="F1131" s="144"/>
      <c r="G1131" s="126" t="s">
        <v>157</v>
      </c>
      <c r="H1131" s="128">
        <v>2001</v>
      </c>
      <c r="I1131" s="129"/>
      <c r="J1131" s="125"/>
      <c r="K1131" s="125"/>
      <c r="L1131" s="47"/>
      <c r="M1131" s="125"/>
      <c r="N1131" s="125"/>
      <c r="O1131" s="125"/>
      <c r="P1131" s="47"/>
      <c r="Q1131" s="47"/>
      <c r="R1131" s="386"/>
      <c r="S1131" s="119"/>
      <c r="T1131" s="47"/>
      <c r="U1131" s="47"/>
      <c r="V1131" s="125"/>
      <c r="W1131" s="125"/>
      <c r="X1131" s="125"/>
      <c r="Y1131" s="125"/>
      <c r="Z1131" s="125"/>
      <c r="AA1131" s="125"/>
      <c r="AB1131" s="125"/>
      <c r="AC1131" s="125">
        <f t="shared" si="2035"/>
        <v>208.1972381918622</v>
      </c>
      <c r="AD1131" s="129"/>
      <c r="AE1131" s="133">
        <v>20.985459416741456</v>
      </c>
      <c r="AF1131" s="134">
        <v>1.5660133126160766E-2</v>
      </c>
      <c r="AG1131" s="134"/>
      <c r="AH1131" s="134"/>
      <c r="AI1131" s="134"/>
      <c r="AJ1131" s="129">
        <f t="shared" si="2031"/>
        <v>208.1972381918622</v>
      </c>
      <c r="AK1131" s="134"/>
      <c r="AL1131" s="129"/>
      <c r="AM1131" s="129"/>
      <c r="AN1131" s="129"/>
      <c r="AO1131" s="129"/>
      <c r="AP1131" s="133"/>
      <c r="AQ1131" s="134"/>
      <c r="AR1131" s="93"/>
      <c r="AS1131" s="93"/>
      <c r="AT1131" s="93"/>
      <c r="AU1131" s="93"/>
      <c r="AV1131" s="93"/>
      <c r="AW1131" s="134"/>
      <c r="AX1131" s="62"/>
      <c r="AY1131" s="93"/>
      <c r="AZ1131" s="93"/>
      <c r="BA1131" s="93"/>
      <c r="BB1131" s="234">
        <f>IFERROR(INDEX('Total Customers'!$E$7:$AA$91,MATCH($C1131,'Total Customers'!$C$7:$C$91,0),MATCH($G1131,'Total Customers'!$E$5:$AA$5,0)),"NA")</f>
        <v>3377</v>
      </c>
      <c r="BC1131" s="269">
        <f t="shared" si="1988"/>
        <v>-8.1294742393246688E-2</v>
      </c>
      <c r="BD1131" s="92"/>
      <c r="BE1131" s="299" t="str">
        <f t="shared" si="1984"/>
        <v>ST. JOE NATURAL GAS CO, INC.</v>
      </c>
      <c r="BF1131" s="300">
        <f t="shared" si="1985"/>
        <v>4063179</v>
      </c>
      <c r="BG1131" s="231" t="str">
        <f t="shared" si="1986"/>
        <v>FL</v>
      </c>
      <c r="BH1131" s="231"/>
      <c r="BI1131" s="231" t="str">
        <f t="shared" si="1987"/>
        <v>2001 Y</v>
      </c>
      <c r="BJ1131" s="129"/>
      <c r="BK1131" s="129"/>
      <c r="BL1131" s="129">
        <f>INDEX('Dist. Plant Gas Additions'!$E$7:$AD$91,MATCH($C1131,'Dist. Plant Gas Additions'!$C$7:$C$91,0),MATCH(Calculation!$G1131,'Dist. Plant Gas Additions'!$E$5:$AD$5,0))</f>
        <v>95</v>
      </c>
      <c r="BM1131" s="129">
        <f>INDEX('Gen. Plant Additions'!$E$7:$AD$91,MATCH($C1131,'Gen. Plant Additions'!$C$7:$C$91,0),MATCH(Calculation!$G1131,'Gen. Plant Additions'!$E$5:$AD$5,0))</f>
        <v>59</v>
      </c>
      <c r="BN1131" s="301">
        <f t="shared" si="2036"/>
        <v>0.89854833388320687</v>
      </c>
      <c r="BO1131" s="231">
        <f t="shared" si="1989"/>
        <v>53.014351699109206</v>
      </c>
      <c r="BP1131" s="231">
        <f t="shared" si="1990"/>
        <v>-5.9856483008907944</v>
      </c>
      <c r="BQ1131" s="129" t="str">
        <f>INDEX('Dist Plant Depreciation'!$D$7:$AC$94,MATCH($C1131,'Dist Plant Depreciation'!$C$7:$C$94,0),MATCH(Calculation!$G1131,'Dist Plant Depreciation'!$D$5:$AC$5,0))</f>
        <v>NA</v>
      </c>
      <c r="BR1131" s="129" t="str">
        <f>INDEX('Gen. Plant Depreciation'!$D$7:$AC$94,MATCH($C1131,'Gen. Plant Depreciation'!$C$7:$C$94,0),MATCH(Calculation!$G1131,'Gen. Plant Depreciation'!$D$5:$AC$5,0))</f>
        <v>NA</v>
      </c>
      <c r="BS1131" s="129"/>
      <c r="BT1131" s="129"/>
      <c r="BU1131" s="129"/>
      <c r="BV1131" s="129"/>
      <c r="BW1131" s="129"/>
      <c r="BX1131" s="137"/>
      <c r="BY1131" s="129">
        <f>INDEX('Gross Dx Plant'!$D$7:$AC$91,MATCH($C1131,'Gross Dx Plant'!$C$7:$C$91,0),MATCH(Calculation!$G1131,'Gross Dx Plant'!$D$5:$AC$5,0))</f>
        <v>5447</v>
      </c>
      <c r="BZ1131" s="129">
        <f>INDEX('Gross Gen Plant'!$D$7:$AC$91,MATCH($C1131,'Gross Gen Plant'!$C$7:$C$91,0),MATCH(Calculation!$G1131,'Gross Gen Plant'!$D$5:$AC$5,0))</f>
        <v>615</v>
      </c>
      <c r="CA1131" s="129" t="str">
        <f t="shared" ref="CA1131:CA1198" si="2048">IF(OR(BQ1131="NA",BR1131="NA"),"NA",(SUM(BY1131:BZ1131)-SUM(BQ1131:BR1131)))</f>
        <v>NA</v>
      </c>
      <c r="CB1131" s="129"/>
      <c r="CC1131" s="133">
        <v>2001</v>
      </c>
      <c r="CD1131" s="129"/>
      <c r="CE1131" s="129"/>
      <c r="CF1131" s="129"/>
      <c r="CG1131" s="137"/>
      <c r="CH1131" s="129">
        <f t="shared" si="2037"/>
        <v>154</v>
      </c>
      <c r="CI1131" s="46">
        <f t="shared" si="2046"/>
        <v>148.0143516991092</v>
      </c>
      <c r="CJ1131" s="231">
        <f t="shared" si="2038"/>
        <v>0.41877337335445652</v>
      </c>
      <c r="CK1131" s="443">
        <v>0.96969696969696972</v>
      </c>
      <c r="CL1131" s="231">
        <f>+CL1128*CK1131+CJ1129*CK1130+CJ1130*CK1128+CJ1131</f>
        <v>20.643031234322343</v>
      </c>
      <c r="CM1131" s="134">
        <f t="shared" si="2039"/>
        <v>9.9862587214366062E-3</v>
      </c>
      <c r="CN1131" s="135">
        <f t="shared" si="2040"/>
        <v>1.0453740949897808E-2</v>
      </c>
      <c r="CO1131" s="135">
        <f>+(CN1131+CN1130+CN1129)/3</f>
        <v>1.0183240920704096E-2</v>
      </c>
      <c r="CP1131" s="134">
        <f>VLOOKUP($H1131,RoR!$E:$F,2,FALSE)</f>
        <v>7.0824999999999999E-2</v>
      </c>
      <c r="CQ1131" s="135">
        <v>2.2454495382290052E-2</v>
      </c>
      <c r="CR1131" s="135">
        <f t="shared" si="2047"/>
        <v>4.8370504617709947E-2</v>
      </c>
      <c r="CS1131" s="135">
        <f>+$CR$2-CO1131</f>
        <v>2.0718700687829529E-2</v>
      </c>
      <c r="CT1131" s="135">
        <f>+((DF1129/DF1128-1)+(DF1130/DF1129-1)+(DF1131/DF1130-1))/3</f>
        <v>2.3947275901631187E-2</v>
      </c>
      <c r="CU1131" s="139">
        <f t="shared" si="2041"/>
        <v>0.85727249999999999</v>
      </c>
      <c r="CV1131" s="335">
        <f t="shared" si="2042"/>
        <v>0.72406708481540816</v>
      </c>
      <c r="CW1131" s="335">
        <f t="shared" si="2043"/>
        <v>0.62201729615248857</v>
      </c>
      <c r="CX1131" s="335">
        <f t="shared" si="2044"/>
        <v>0.9352469954311422</v>
      </c>
      <c r="CY1131" s="335">
        <f t="shared" si="2045"/>
        <v>0.42121864641655071</v>
      </c>
      <c r="CZ1131" s="336">
        <f>INDEX('State Tax Lookup'!$D$7:$Z$91,MATCH(Calculation!$C1131,'State Tax Lookup'!$B$7:$B$91,0),MATCH($H1131,'State Tax Lookup'!$D$6:$Z$6,0))</f>
        <v>0.38574999999999998</v>
      </c>
      <c r="DA1131" s="302">
        <v>0.37</v>
      </c>
      <c r="DB1131" s="57">
        <f t="shared" ref="DB1131:DB1152" si="2049">+(DF1131*CS1131-CT1131)*CU1131/(1-CZ1131)</f>
        <v>10.186816228986739</v>
      </c>
      <c r="DC1131" s="56"/>
      <c r="DD1131" s="303">
        <f>VLOOKUP($H1131,RoR!$E:$F,2,FALSE)</f>
        <v>7.0824999999999999E-2</v>
      </c>
      <c r="DE1131" s="304">
        <f>HLOOKUP($H1131,'GDP-PI'!$D$8:$CQ$11,3,FALSE)</f>
        <v>2.2454495382290052E-2</v>
      </c>
      <c r="DF1131" s="303">
        <f>VLOOKUP(H1131,'HW Dx Data'!$E:$F,2,FALSE)</f>
        <v>353.44738017483138</v>
      </c>
      <c r="DG1131" s="364"/>
      <c r="DH1131" s="364"/>
      <c r="DI1131" s="364"/>
      <c r="DJ1131" s="56"/>
      <c r="DK1131" s="53">
        <f>HLOOKUP(H1131,'GDP-PI'!$8:$9,2,FALSE)</f>
        <v>79.822000000000003</v>
      </c>
      <c r="DL1131" s="298"/>
    </row>
    <row r="1132" spans="1:116" s="126" customFormat="1" ht="21" customHeight="1" x14ac:dyDescent="0.4">
      <c r="A1132" s="233" t="s">
        <v>250</v>
      </c>
      <c r="B1132" s="126" t="s">
        <v>250</v>
      </c>
      <c r="C1132" s="126">
        <v>4063179</v>
      </c>
      <c r="D1132" s="127" t="s">
        <v>235</v>
      </c>
      <c r="E1132" s="127"/>
      <c r="F1132" s="144"/>
      <c r="G1132" s="126" t="s">
        <v>158</v>
      </c>
      <c r="H1132" s="128">
        <v>2002</v>
      </c>
      <c r="I1132" s="129"/>
      <c r="J1132" s="125"/>
      <c r="K1132" s="125"/>
      <c r="L1132" s="47"/>
      <c r="M1132" s="125"/>
      <c r="N1132" s="125"/>
      <c r="O1132" s="125"/>
      <c r="P1132" s="47"/>
      <c r="Q1132" s="47"/>
      <c r="R1132" s="386"/>
      <c r="S1132" s="119"/>
      <c r="T1132" s="47"/>
      <c r="U1132" s="47"/>
      <c r="V1132" s="125"/>
      <c r="W1132" s="125"/>
      <c r="X1132" s="125"/>
      <c r="Y1132" s="125"/>
      <c r="Z1132" s="125"/>
      <c r="AA1132" s="125"/>
      <c r="AB1132" s="125"/>
      <c r="AC1132" s="125">
        <f t="shared" si="2035"/>
        <v>211.62282364612412</v>
      </c>
      <c r="AD1132" s="129"/>
      <c r="AE1132" s="133">
        <v>21.179105251873683</v>
      </c>
      <c r="AF1132" s="134">
        <v>9.1853051556969618E-3</v>
      </c>
      <c r="AG1132" s="134"/>
      <c r="AH1132" s="134"/>
      <c r="AI1132" s="134"/>
      <c r="AJ1132" s="129">
        <f t="shared" si="2031"/>
        <v>211.62282364612412</v>
      </c>
      <c r="AK1132" s="134"/>
      <c r="AL1132" s="129"/>
      <c r="AM1132" s="129"/>
      <c r="AN1132" s="129"/>
      <c r="AO1132" s="129"/>
      <c r="AP1132" s="133"/>
      <c r="AQ1132" s="134"/>
      <c r="AR1132" s="93"/>
      <c r="AS1132" s="93"/>
      <c r="AT1132" s="93"/>
      <c r="AU1132" s="93"/>
      <c r="AV1132" s="93"/>
      <c r="AW1132" s="134"/>
      <c r="AX1132" s="62"/>
      <c r="AY1132" s="93"/>
      <c r="AZ1132" s="93"/>
      <c r="BA1132" s="93"/>
      <c r="BB1132" s="234">
        <f>IFERROR(INDEX('Total Customers'!$E$7:$AA$91,MATCH($C1132,'Total Customers'!$C$7:$C$91,0),MATCH($G1132,'Total Customers'!$E$5:$AA$5,0)),"NA")</f>
        <v>3333</v>
      </c>
      <c r="BC1132" s="269">
        <f t="shared" si="1988"/>
        <v>-1.3114942077828018E-2</v>
      </c>
      <c r="BD1132" s="92"/>
      <c r="BE1132" s="299" t="str">
        <f t="shared" si="1984"/>
        <v>ST. JOE NATURAL GAS CO, INC.</v>
      </c>
      <c r="BF1132" s="300">
        <f t="shared" si="1985"/>
        <v>4063179</v>
      </c>
      <c r="BG1132" s="231" t="str">
        <f t="shared" si="1986"/>
        <v>FL</v>
      </c>
      <c r="BH1132" s="231"/>
      <c r="BI1132" s="231" t="str">
        <f t="shared" si="1987"/>
        <v>2002 Y</v>
      </c>
      <c r="BJ1132" s="129"/>
      <c r="BK1132" s="129"/>
      <c r="BL1132" s="129">
        <f>INDEX('Dist. Plant Gas Additions'!$E$7:$AD$91,MATCH($C1132,'Dist. Plant Gas Additions'!$C$7:$C$91,0),MATCH(Calculation!$G1132,'Dist. Plant Gas Additions'!$E$5:$AD$5,0))</f>
        <v>84</v>
      </c>
      <c r="BM1132" s="129">
        <f>INDEX('Gen. Plant Additions'!$E$7:$AD$91,MATCH($C1132,'Gen. Plant Additions'!$C$7:$C$91,0),MATCH(Calculation!$G1132,'Gen. Plant Additions'!$E$5:$AD$5,0))</f>
        <v>28</v>
      </c>
      <c r="BN1132" s="301">
        <f t="shared" si="2036"/>
        <v>0.89613565954671448</v>
      </c>
      <c r="BO1132" s="231">
        <f t="shared" si="1989"/>
        <v>25.091798467308006</v>
      </c>
      <c r="BP1132" s="231">
        <f t="shared" si="1990"/>
        <v>-2.9082015326919937</v>
      </c>
      <c r="BQ1132" s="129">
        <f>INDEX('Dist Plant Depreciation'!$D$7:$AC$94,MATCH($C1132,'Dist Plant Depreciation'!$C$7:$C$94,0),MATCH(Calculation!$G1132,'Dist Plant Depreciation'!$D$5:$AC$5,0))</f>
        <v>2219</v>
      </c>
      <c r="BR1132" s="129">
        <f>INDEX('Gen. Plant Depreciation'!$D$7:$AC$94,MATCH($C1132,'Gen. Plant Depreciation'!$C$7:$C$94,0),MATCH(Calculation!$G1132,'Gen. Plant Depreciation'!$D$5:$AC$5,0))</f>
        <v>340</v>
      </c>
      <c r="BS1132" s="129"/>
      <c r="BT1132" s="129"/>
      <c r="BU1132" s="129"/>
      <c r="BV1132" s="129"/>
      <c r="BW1132" s="129"/>
      <c r="BX1132" s="137"/>
      <c r="BY1132" s="129">
        <f>INDEX('Gross Dx Plant'!$D$7:$AC$91,MATCH($C1132,'Gross Dx Plant'!$C$7:$C$91,0),MATCH(Calculation!$G1132,'Gross Dx Plant'!$D$5:$AC$5,0))</f>
        <v>5496</v>
      </c>
      <c r="BZ1132" s="129">
        <f>INDEX('Gross Gen Plant'!$D$7:$AC$91,MATCH($C1132,'Gross Gen Plant'!$C$7:$C$91,0),MATCH(Calculation!$G1132,'Gross Gen Plant'!$D$5:$AC$5,0))</f>
        <v>637</v>
      </c>
      <c r="CA1132" s="129">
        <f t="shared" si="2048"/>
        <v>3574</v>
      </c>
      <c r="CB1132" s="129"/>
      <c r="CC1132" s="133">
        <v>2002</v>
      </c>
      <c r="CD1132" s="129"/>
      <c r="CE1132" s="129"/>
      <c r="CF1132" s="129"/>
      <c r="CG1132" s="137"/>
      <c r="CH1132" s="129">
        <f t="shared" si="2037"/>
        <v>112</v>
      </c>
      <c r="CI1132" s="46">
        <f t="shared" si="2046"/>
        <v>109.09179846730801</v>
      </c>
      <c r="CJ1132" s="231">
        <f t="shared" si="2038"/>
        <v>0.30190217859739443</v>
      </c>
      <c r="CK1132" s="443">
        <v>0.95918367346938771</v>
      </c>
      <c r="CL1132" s="231">
        <f>+CL1128*CK1132+CJ1129*CK1131+CJ1130*CK1130+CJ1131*CK1129+CJ1132</f>
        <v>20.720662494836738</v>
      </c>
      <c r="CM1132" s="134">
        <f t="shared" si="2039"/>
        <v>3.7535986109705497E-3</v>
      </c>
      <c r="CN1132" s="135">
        <f t="shared" si="2040"/>
        <v>1.0864243508487931E-2</v>
      </c>
      <c r="CO1132" s="135">
        <f t="shared" ref="CO1132:CO1152" si="2050">+(CN1132+CN1131+CN1130)/3</f>
        <v>1.0504325390530103E-2</v>
      </c>
      <c r="CP1132" s="134">
        <f>VLOOKUP($H1132,RoR!$E:$F,2,FALSE)</f>
        <v>6.4916666666666664E-2</v>
      </c>
      <c r="CQ1132" s="135">
        <v>1.5246423291824351E-2</v>
      </c>
      <c r="CR1132" s="135">
        <f t="shared" si="2047"/>
        <v>4.9670243374842313E-2</v>
      </c>
      <c r="CS1132" s="135">
        <f t="shared" ref="CS1132:CS1152" si="2051">+$CR$2-CO1132</f>
        <v>2.0397616218003522E-2</v>
      </c>
      <c r="CT1132" s="135">
        <f t="shared" ref="CT1132:CT1152" si="2052">+((DF1130/DF1129-1)+(DF1131/DF1130-1)+(DF1132/DF1131-1))/3</f>
        <v>2.5243621214759093E-2</v>
      </c>
      <c r="CU1132" s="139">
        <f t="shared" si="2041"/>
        <v>0.85727249999999999</v>
      </c>
      <c r="CV1132" s="335">
        <f t="shared" si="2042"/>
        <v>0.78996741384417901</v>
      </c>
      <c r="CW1132" s="335">
        <f t="shared" si="2043"/>
        <v>0.58989088575096271</v>
      </c>
      <c r="CX1132" s="335">
        <f t="shared" si="2044"/>
        <v>0.91920675783645744</v>
      </c>
      <c r="CY1132" s="335">
        <f t="shared" si="2045"/>
        <v>0.42834536472275586</v>
      </c>
      <c r="CZ1132" s="336">
        <f>INDEX('State Tax Lookup'!$D$7:$Z$91,MATCH(Calculation!$C1132,'State Tax Lookup'!$B$7:$B$91,0),MATCH($H1132,'State Tax Lookup'!$D$6:$Z$6,0))</f>
        <v>0.38574999999999998</v>
      </c>
      <c r="DA1132" s="302">
        <v>0.37</v>
      </c>
      <c r="DB1132" s="57">
        <f t="shared" si="2049"/>
        <v>10.251538218586198</v>
      </c>
      <c r="DC1132" s="56">
        <f t="shared" ref="DC1132:DC1150" si="2053">LN(DB1132/DB1131)</f>
        <v>6.3334067436391014E-3</v>
      </c>
      <c r="DD1132" s="303">
        <f>VLOOKUP($H1132,RoR!$E:$F,2,FALSE)</f>
        <v>6.4916666666666664E-2</v>
      </c>
      <c r="DE1132" s="304">
        <f>HLOOKUP($H1132,'GDP-PI'!$D$8:$CQ$11,3,FALSE)</f>
        <v>1.5246423291824351E-2</v>
      </c>
      <c r="DF1132" s="303">
        <f>VLOOKUP(H1132,'HW Dx Data'!$E:$F,2,FALSE)</f>
        <v>361.34816573413599</v>
      </c>
      <c r="DG1132" s="364"/>
      <c r="DH1132" s="364"/>
      <c r="DI1132" s="364"/>
      <c r="DJ1132" s="56"/>
      <c r="DK1132" s="53">
        <f>HLOOKUP(H1132,'GDP-PI'!$8:$9,2,FALSE)</f>
        <v>81.039000000000001</v>
      </c>
      <c r="DL1132" s="355">
        <f>LN(DK1132/DK1131)</f>
        <v>1.513136459537477E-2</v>
      </c>
    </row>
    <row r="1133" spans="1:116" s="126" customFormat="1" ht="21" customHeight="1" x14ac:dyDescent="0.4">
      <c r="A1133" s="233" t="s">
        <v>250</v>
      </c>
      <c r="B1133" s="126" t="s">
        <v>250</v>
      </c>
      <c r="C1133" s="126">
        <v>4063179</v>
      </c>
      <c r="D1133" s="127" t="s">
        <v>235</v>
      </c>
      <c r="E1133" s="127"/>
      <c r="F1133" s="144"/>
      <c r="G1133" s="126" t="s">
        <v>159</v>
      </c>
      <c r="H1133" s="128">
        <v>2003</v>
      </c>
      <c r="I1133" s="129"/>
      <c r="J1133" s="125"/>
      <c r="K1133" s="125"/>
      <c r="L1133" s="47"/>
      <c r="M1133" s="125"/>
      <c r="N1133" s="125"/>
      <c r="O1133" s="125"/>
      <c r="P1133" s="59"/>
      <c r="Q1133" s="59"/>
      <c r="R1133" s="386"/>
      <c r="S1133" s="119"/>
      <c r="T1133" s="59"/>
      <c r="U1133" s="59"/>
      <c r="V1133" s="125"/>
      <c r="W1133" s="125"/>
      <c r="X1133" s="125"/>
      <c r="Y1133" s="125"/>
      <c r="Z1133" s="125"/>
      <c r="AA1133" s="125"/>
      <c r="AB1133" s="125"/>
      <c r="AC1133" s="125">
        <f t="shared" si="2035"/>
        <v>213.82066276266013</v>
      </c>
      <c r="AD1133" s="129"/>
      <c r="AE1133" s="133">
        <v>21.464366669211788</v>
      </c>
      <c r="AF1133" s="134">
        <v>1.3379101636534814E-2</v>
      </c>
      <c r="AG1133" s="134"/>
      <c r="AH1133" s="134"/>
      <c r="AI1133" s="134"/>
      <c r="AJ1133" s="129">
        <f t="shared" si="2031"/>
        <v>213.82066276266013</v>
      </c>
      <c r="AK1133" s="134"/>
      <c r="AL1133" s="129"/>
      <c r="AM1133" s="129"/>
      <c r="AN1133" s="129"/>
      <c r="AO1133" s="129"/>
      <c r="AP1133" s="133"/>
      <c r="AQ1133" s="134"/>
      <c r="AR1133" s="93"/>
      <c r="AS1133" s="93"/>
      <c r="AT1133" s="93"/>
      <c r="AU1133" s="93"/>
      <c r="AV1133" s="93"/>
      <c r="AW1133" s="134"/>
      <c r="AX1133" s="62"/>
      <c r="AY1133" s="93"/>
      <c r="AZ1133" s="93"/>
      <c r="BA1133" s="93"/>
      <c r="BB1133" s="234">
        <f>IFERROR(INDEX('Total Customers'!$E$7:$AA$91,MATCH($C1133,'Total Customers'!$C$7:$C$91,0),MATCH($G1133,'Total Customers'!$E$5:$AA$5,0)),"NA")</f>
        <v>3321</v>
      </c>
      <c r="BC1133" s="269">
        <f t="shared" si="1988"/>
        <v>-3.6068569309931301E-3</v>
      </c>
      <c r="BD1133" s="92"/>
      <c r="BE1133" s="299" t="str">
        <f t="shared" si="1984"/>
        <v>ST. JOE NATURAL GAS CO, INC.</v>
      </c>
      <c r="BF1133" s="300">
        <f t="shared" si="1985"/>
        <v>4063179</v>
      </c>
      <c r="BG1133" s="231" t="str">
        <f t="shared" si="1986"/>
        <v>FL</v>
      </c>
      <c r="BH1133" s="231"/>
      <c r="BI1133" s="231" t="str">
        <f t="shared" si="1987"/>
        <v>2003 Y</v>
      </c>
      <c r="BJ1133" s="129"/>
      <c r="BK1133" s="129"/>
      <c r="BL1133" s="129">
        <f>INDEX('Dist. Plant Gas Additions'!$E$7:$AD$91,MATCH($C1133,'Dist. Plant Gas Additions'!$C$7:$C$91,0),MATCH(Calculation!$G1133,'Dist. Plant Gas Additions'!$E$5:$AD$5,0))</f>
        <v>53</v>
      </c>
      <c r="BM1133" s="129">
        <f>INDEX('Gen. Plant Additions'!$E$7:$AD$91,MATCH($C1133,'Gen. Plant Additions'!$C$7:$C$91,0),MATCH(Calculation!$G1133,'Gen. Plant Additions'!$E$5:$AD$5,0))</f>
        <v>97</v>
      </c>
      <c r="BN1133" s="301">
        <f t="shared" si="2036"/>
        <v>0.90427964717412612</v>
      </c>
      <c r="BO1133" s="231">
        <f t="shared" si="1989"/>
        <v>87.715125775890229</v>
      </c>
      <c r="BP1133" s="231">
        <f t="shared" si="1990"/>
        <v>-9.284874224109771</v>
      </c>
      <c r="BQ1133" s="129">
        <f>INDEX('Dist Plant Depreciation'!$D$7:$AC$94,MATCH($C1133,'Dist Plant Depreciation'!$C$7:$C$94,0),MATCH(Calculation!$G1133,'Dist Plant Depreciation'!$D$5:$AC$5,0))</f>
        <v>2387</v>
      </c>
      <c r="BR1133" s="129">
        <f>INDEX('Gen. Plant Depreciation'!$D$7:$AC$94,MATCH($C1133,'Gen. Plant Depreciation'!$C$7:$C$94,0),MATCH(Calculation!$G1133,'Gen. Plant Depreciation'!$D$5:$AC$5,0))</f>
        <v>280</v>
      </c>
      <c r="BS1133" s="129"/>
      <c r="BT1133" s="129"/>
      <c r="BU1133" s="129"/>
      <c r="BV1133" s="129"/>
      <c r="BW1133" s="129"/>
      <c r="BX1133" s="137"/>
      <c r="BY1133" s="129">
        <f>INDEX('Gross Dx Plant'!$D$7:$AC$91,MATCH($C1133,'Gross Dx Plant'!$C$7:$C$91,0),MATCH(Calculation!$G1133,'Gross Dx Plant'!$D$5:$AC$5,0))</f>
        <v>5536</v>
      </c>
      <c r="BZ1133" s="129">
        <f>INDEX('Gross Gen Plant'!$D$7:$AC$91,MATCH($C1133,'Gross Gen Plant'!$C$7:$C$91,0),MATCH(Calculation!$G1133,'Gross Gen Plant'!$D$5:$AC$5,0))</f>
        <v>586</v>
      </c>
      <c r="CA1133" s="129">
        <f t="shared" si="2048"/>
        <v>3455</v>
      </c>
      <c r="CB1133" s="129"/>
      <c r="CC1133" s="133">
        <v>2003</v>
      </c>
      <c r="CD1133" s="129"/>
      <c r="CE1133" s="129"/>
      <c r="CF1133" s="129"/>
      <c r="CG1133" s="137"/>
      <c r="CH1133" s="129">
        <f t="shared" si="2037"/>
        <v>150</v>
      </c>
      <c r="CI1133" s="46">
        <f t="shared" si="2046"/>
        <v>140.71512577589021</v>
      </c>
      <c r="CJ1133" s="231">
        <f t="shared" si="2038"/>
        <v>0.38110115184909721</v>
      </c>
      <c r="CK1133" s="443">
        <v>0.94845360824742264</v>
      </c>
      <c r="CL1133" s="231">
        <f>+CL1128*CK1133+CJ1129*CK1132+CJ1130*CK1131+CJ1131*CK1130+CJ1132*CK1129+CJ1133</f>
        <v>20.870950557056968</v>
      </c>
      <c r="CM1133" s="134">
        <f t="shared" si="2039"/>
        <v>7.2268760594882729E-3</v>
      </c>
      <c r="CN1133" s="135">
        <f t="shared" si="2040"/>
        <v>1.1139271714231227E-2</v>
      </c>
      <c r="CO1133" s="135">
        <f t="shared" si="2050"/>
        <v>1.0819085390872321E-2</v>
      </c>
      <c r="CP1133" s="134">
        <f>VLOOKUP($H1133,RoR!$E:$F,2,FALSE)</f>
        <v>5.6666666666666671E-2</v>
      </c>
      <c r="CQ1133" s="135">
        <v>1.8855119140166909E-2</v>
      </c>
      <c r="CR1133" s="135">
        <f t="shared" si="2047"/>
        <v>3.7811547526499761E-2</v>
      </c>
      <c r="CS1133" s="135">
        <f t="shared" si="2051"/>
        <v>2.0082856217661302E-2</v>
      </c>
      <c r="CT1133" s="135">
        <f t="shared" si="2052"/>
        <v>2.1375012817671957E-2</v>
      </c>
      <c r="CU1133" s="139">
        <f t="shared" si="2041"/>
        <v>0.85727249999999999</v>
      </c>
      <c r="CV1133" s="335">
        <f t="shared" si="2042"/>
        <v>0.90497737556561086</v>
      </c>
      <c r="CW1133" s="335">
        <f t="shared" si="2043"/>
        <v>0.5338235294117647</v>
      </c>
      <c r="CX1133" s="335">
        <f t="shared" si="2044"/>
        <v>0.88972433127405692</v>
      </c>
      <c r="CY1133" s="335">
        <f t="shared" si="2045"/>
        <v>0.42982423775949252</v>
      </c>
      <c r="CZ1133" s="336">
        <f>INDEX('State Tax Lookup'!$D$7:$Z$91,MATCH(Calculation!$C1133,'State Tax Lookup'!$B$7:$B$91,0),MATCH($H1133,'State Tax Lookup'!$D$6:$Z$6,0))</f>
        <v>0.38574999999999998</v>
      </c>
      <c r="DA1133" s="302">
        <v>0.37</v>
      </c>
      <c r="DB1133" s="57">
        <f t="shared" si="2049"/>
        <v>10.319200113217464</v>
      </c>
      <c r="DC1133" s="56">
        <f t="shared" si="2053"/>
        <v>6.5784842093283506E-3</v>
      </c>
      <c r="DD1133" s="303">
        <f>VLOOKUP($H1133,RoR!$E:$F,2,FALSE)</f>
        <v>5.6666666666666671E-2</v>
      </c>
      <c r="DE1133" s="304">
        <f>HLOOKUP($H1133,'GDP-PI'!$D$8:$CQ$11,3,FALSE)</f>
        <v>1.8855119140166909E-2</v>
      </c>
      <c r="DF1133" s="303">
        <f>VLOOKUP(H1133,'HW Dx Data'!$E:$F,2,FALSE)</f>
        <v>369.23301095560191</v>
      </c>
      <c r="DG1133" s="364">
        <f ca="1">VLOOKUP(CC1133,'ECI - Input Price'!M$13:N$33,2,FALSE)</f>
        <v>89.25</v>
      </c>
      <c r="DH1133" s="364"/>
      <c r="DI1133" s="364"/>
      <c r="DJ1133" s="56"/>
      <c r="DK1133" s="53">
        <f>HLOOKUP(H1133,'GDP-PI'!$8:$9,2,FALSE)</f>
        <v>82.566999999999993</v>
      </c>
      <c r="DL1133" s="355">
        <f t="shared" ref="DL1133:DL1152" si="2054">LN(DK1133/DK1132)</f>
        <v>1.8679564681853753E-2</v>
      </c>
    </row>
    <row r="1134" spans="1:116" s="126" customFormat="1" ht="21" customHeight="1" x14ac:dyDescent="0.4">
      <c r="A1134" s="233" t="s">
        <v>250</v>
      </c>
      <c r="B1134" s="126" t="s">
        <v>250</v>
      </c>
      <c r="C1134" s="126">
        <v>4063179</v>
      </c>
      <c r="D1134" s="127" t="s">
        <v>235</v>
      </c>
      <c r="E1134" s="127"/>
      <c r="F1134" s="144"/>
      <c r="G1134" s="126" t="s">
        <v>160</v>
      </c>
      <c r="H1134" s="128">
        <v>2004</v>
      </c>
      <c r="I1134" s="129"/>
      <c r="J1134" s="125">
        <f>IFERROR(INDEX('Labor Expenditures'!$E$7:$W$91,MATCH($C1134,'Labor Expenditures'!$C$7:$C$91,0),MATCH($G1134,'Labor Expenditures'!$E$5:$W$5,0)),"NA")</f>
        <v>283.92807354755394</v>
      </c>
      <c r="K1134" s="125">
        <f t="shared" ref="K1134:K1152" ca="1" si="2055">+J1134/DG1134</f>
        <v>3.0093065558829246</v>
      </c>
      <c r="L1134" s="47"/>
      <c r="M1134" s="131"/>
      <c r="N1134" s="131"/>
      <c r="O1134" s="131"/>
      <c r="P1134" s="59"/>
      <c r="Q1134" s="59"/>
      <c r="R1134" s="386"/>
      <c r="S1134" s="119"/>
      <c r="T1134" s="59"/>
      <c r="U1134" s="59"/>
      <c r="V1134" s="125">
        <f>IFERROR(INDEX('Non-Labor Expenditures'!$E$7:$AA$91,MATCH($C1134,'Non-Labor Expenditures'!$C$7:$C$91,0),MATCH($G1134,'Non-Labor Expenditures'!$E$5:$AA$5,0)),"NA")</f>
        <v>411.18088094600341</v>
      </c>
      <c r="W1134" s="125">
        <f t="shared" ref="W1134:W1152" si="2056">+V1134/DK1134</f>
        <v>4.850089421147036</v>
      </c>
      <c r="X1134" s="125"/>
      <c r="Y1134" s="125"/>
      <c r="Z1134" s="125"/>
      <c r="AA1134" s="125"/>
      <c r="AB1134" s="125"/>
      <c r="AC1134" s="125">
        <f t="shared" si="2035"/>
        <v>236.97791442849811</v>
      </c>
      <c r="AD1134" s="129"/>
      <c r="AE1134" s="133">
        <v>21.513416001373688</v>
      </c>
      <c r="AF1134" s="134">
        <v>2.2825446269982975E-3</v>
      </c>
      <c r="AG1134" s="134"/>
      <c r="AH1134" s="134"/>
      <c r="AI1134" s="134"/>
      <c r="AJ1134" s="129">
        <f t="shared" si="2031"/>
        <v>932.08686892205549</v>
      </c>
      <c r="AK1134" s="134"/>
      <c r="AL1134" s="129"/>
      <c r="AM1134" s="129"/>
      <c r="AN1134" s="129"/>
      <c r="AO1134" s="129"/>
      <c r="AP1134" s="133"/>
      <c r="AQ1134" s="134"/>
      <c r="AR1134" s="93">
        <f t="shared" ref="AR1134:AR1152" si="2057">+J1134/AJ1134</f>
        <v>0.30461546344485307</v>
      </c>
      <c r="AS1134" s="93">
        <f t="shared" ref="AS1134:AS1152" si="2058">+V1134/AJ1134</f>
        <v>0.44114008538874488</v>
      </c>
      <c r="AT1134" s="93">
        <f t="shared" ref="AT1134:AT1152" si="2059">+AC1134/AJ1134</f>
        <v>0.25424445116640204</v>
      </c>
      <c r="AU1134" s="93"/>
      <c r="AV1134" s="93"/>
      <c r="AW1134" s="134"/>
      <c r="AX1134" s="62"/>
      <c r="AY1134" s="93"/>
      <c r="AZ1134" s="93"/>
      <c r="BA1134" s="93"/>
      <c r="BB1134" s="234">
        <f>IFERROR(INDEX('Total Customers'!$E$7:$AA$91,MATCH($C1134,'Total Customers'!$C$7:$C$91,0),MATCH($G1134,'Total Customers'!$E$5:$AA$5,0)),"NA")</f>
        <v>3278</v>
      </c>
      <c r="BC1134" s="269">
        <f t="shared" si="1988"/>
        <v>-1.3032462072971584E-2</v>
      </c>
      <c r="BD1134" s="92"/>
      <c r="BE1134" s="299" t="str">
        <f t="shared" si="1984"/>
        <v>ST. JOE NATURAL GAS CO, INC.</v>
      </c>
      <c r="BF1134" s="300">
        <f t="shared" si="1985"/>
        <v>4063179</v>
      </c>
      <c r="BG1134" s="231" t="str">
        <f t="shared" si="1986"/>
        <v>FL</v>
      </c>
      <c r="BH1134" s="231"/>
      <c r="BI1134" s="231" t="str">
        <f t="shared" si="1987"/>
        <v>2004 Y</v>
      </c>
      <c r="BJ1134" s="129"/>
      <c r="BK1134" s="129"/>
      <c r="BL1134" s="129">
        <f>INDEX('Dist. Plant Gas Additions'!$E$7:$AD$91,MATCH($C1134,'Dist. Plant Gas Additions'!$C$7:$C$91,0),MATCH(Calculation!$G1134,'Dist. Plant Gas Additions'!$E$5:$AD$5,0))</f>
        <v>67</v>
      </c>
      <c r="BM1134" s="129">
        <f>INDEX('Gen. Plant Additions'!$E$7:$AD$91,MATCH($C1134,'Gen. Plant Additions'!$C$7:$C$91,0),MATCH(Calculation!$G1134,'Gen. Plant Additions'!$E$5:$AD$5,0))</f>
        <v>6</v>
      </c>
      <c r="BN1134" s="301">
        <f t="shared" si="2036"/>
        <v>0.90405361229159853</v>
      </c>
      <c r="BO1134" s="231">
        <f t="shared" si="1989"/>
        <v>5.4243216737495912</v>
      </c>
      <c r="BP1134" s="231">
        <f t="shared" si="1990"/>
        <v>-0.57567832625040882</v>
      </c>
      <c r="BQ1134" s="129">
        <f>INDEX('Dist Plant Depreciation'!$D$7:$AC$94,MATCH($C1134,'Dist Plant Depreciation'!$C$7:$C$94,0),MATCH(Calculation!$G1134,'Dist Plant Depreciation'!$D$5:$AC$5,0))</f>
        <v>2496</v>
      </c>
      <c r="BR1134" s="129">
        <f>INDEX('Gen. Plant Depreciation'!$D$7:$AC$94,MATCH($C1134,'Gen. Plant Depreciation'!$C$7:$C$94,0),MATCH(Calculation!$G1134,'Gen. Plant Depreciation'!$D$5:$AC$5,0))</f>
        <v>318</v>
      </c>
      <c r="BS1134" s="129"/>
      <c r="BT1134" s="129"/>
      <c r="BU1134" s="129"/>
      <c r="BV1134" s="129"/>
      <c r="BW1134" s="129"/>
      <c r="BX1134" s="137"/>
      <c r="BY1134" s="129">
        <f>INDEX('Gross Dx Plant'!$D$7:$AC$91,MATCH($C1134,'Gross Dx Plant'!$C$7:$C$91,0),MATCH(Calculation!$G1134,'Gross Dx Plant'!$D$5:$AC$5,0))</f>
        <v>5531</v>
      </c>
      <c r="BZ1134" s="129">
        <f>INDEX('Gross Gen Plant'!$D$7:$AC$91,MATCH($C1134,'Gross Gen Plant'!$C$7:$C$91,0),MATCH(Calculation!$G1134,'Gross Gen Plant'!$D$5:$AC$5,0))</f>
        <v>587</v>
      </c>
      <c r="CA1134" s="129">
        <f t="shared" si="2048"/>
        <v>3304</v>
      </c>
      <c r="CB1134" s="129"/>
      <c r="CC1134" s="133">
        <v>2004</v>
      </c>
      <c r="CD1134" s="129"/>
      <c r="CE1134" s="129"/>
      <c r="CF1134" s="129"/>
      <c r="CG1134" s="137"/>
      <c r="CH1134" s="129">
        <f t="shared" si="2037"/>
        <v>73</v>
      </c>
      <c r="CI1134" s="46">
        <f t="shared" si="2046"/>
        <v>72.424321673749589</v>
      </c>
      <c r="CJ1134" s="231">
        <f t="shared" si="2038"/>
        <v>0.17456388913258492</v>
      </c>
      <c r="CK1134" s="443">
        <v>0.9375</v>
      </c>
      <c r="CL1134" s="231">
        <f>+CL1128*CK1134+CJ1129*CK1133+CJ1130*CK1132+CJ1131*CK1131+CJ1132*CK1130+CJ1133*CK1129+CJ1134</f>
        <v>20.806125872277722</v>
      </c>
      <c r="CM1134" s="134">
        <f t="shared" si="2039"/>
        <v>-3.110810191574497E-3</v>
      </c>
      <c r="CN1134" s="135">
        <f t="shared" si="2040"/>
        <v>1.146994111539823E-2</v>
      </c>
      <c r="CO1134" s="135">
        <f t="shared" si="2050"/>
        <v>1.1157818779372464E-2</v>
      </c>
      <c r="CP1134" s="134">
        <f>VLOOKUP($H1134,RoR!$E:$F,2,FALSE)</f>
        <v>5.6283333333333331E-2</v>
      </c>
      <c r="CQ1134" s="135">
        <v>2.6778252812867276E-2</v>
      </c>
      <c r="CR1134" s="135">
        <f t="shared" si="2047"/>
        <v>2.9505080520466055E-2</v>
      </c>
      <c r="CS1134" s="135">
        <f t="shared" si="2051"/>
        <v>1.9744122829161159E-2</v>
      </c>
      <c r="CT1134" s="135">
        <f t="shared" si="2052"/>
        <v>5.5940039414565046E-2</v>
      </c>
      <c r="CU1134" s="139">
        <f t="shared" si="2041"/>
        <v>0.85727249999999999</v>
      </c>
      <c r="CV1134" s="335">
        <f t="shared" si="2042"/>
        <v>0.91114097628755619</v>
      </c>
      <c r="CW1134" s="335">
        <f t="shared" si="2043"/>
        <v>0.53081877405981637</v>
      </c>
      <c r="CX1134" s="335">
        <f t="shared" si="2044"/>
        <v>0.88811215519385678</v>
      </c>
      <c r="CY1134" s="335">
        <f t="shared" si="2045"/>
        <v>0.42953609753547711</v>
      </c>
      <c r="CZ1134" s="336">
        <f>INDEX('State Tax Lookup'!$D$7:$Z$91,MATCH(Calculation!$C1134,'State Tax Lookup'!$B$7:$B$91,0),MATCH($H1134,'State Tax Lookup'!$D$6:$Z$6,0))</f>
        <v>0.38574999999999998</v>
      </c>
      <c r="DA1134" s="302">
        <v>0.37</v>
      </c>
      <c r="DB1134" s="57">
        <f t="shared" si="2049"/>
        <v>11.354438015683488</v>
      </c>
      <c r="DC1134" s="56">
        <f t="shared" si="2053"/>
        <v>9.5602433458465738E-2</v>
      </c>
      <c r="DD1134" s="303">
        <f>VLOOKUP($H1134,RoR!$E:$F,2,FALSE)</f>
        <v>5.6283333333333331E-2</v>
      </c>
      <c r="DE1134" s="304">
        <f>HLOOKUP($H1134,'GDP-PI'!$D$8:$CQ$11,3,FALSE)</f>
        <v>2.6778252812867276E-2</v>
      </c>
      <c r="DF1134" s="303">
        <f>VLOOKUP(H1134,'HW Dx Data'!$E:$F,2,FALSE)</f>
        <v>414.88719135228365</v>
      </c>
      <c r="DG1134" s="364">
        <f ca="1">VLOOKUP(CC1134,'ECI - Input Price'!M$13:N$33,2,FALSE)</f>
        <v>94.35</v>
      </c>
      <c r="DH1134" s="364"/>
      <c r="DI1134" s="364"/>
      <c r="DJ1134" s="56">
        <f t="shared" ref="DJ1134:DJ1152" ca="1" si="2060">LN(DG1134/DG1133)</f>
        <v>5.5569851154810786E-2</v>
      </c>
      <c r="DK1134" s="53">
        <f>HLOOKUP(H1134,'GDP-PI'!$8:$9,2,FALSE)</f>
        <v>84.778000000000006</v>
      </c>
      <c r="DL1134" s="355">
        <f t="shared" si="2054"/>
        <v>2.6425990216022755E-2</v>
      </c>
    </row>
    <row r="1135" spans="1:116" s="126" customFormat="1" ht="21" customHeight="1" x14ac:dyDescent="0.4">
      <c r="A1135" s="233" t="s">
        <v>250</v>
      </c>
      <c r="B1135" s="126" t="s">
        <v>250</v>
      </c>
      <c r="C1135" s="126">
        <v>4063179</v>
      </c>
      <c r="D1135" s="127" t="s">
        <v>235</v>
      </c>
      <c r="E1135" s="127"/>
      <c r="F1135" s="144"/>
      <c r="G1135" s="126" t="s">
        <v>161</v>
      </c>
      <c r="H1135" s="128">
        <v>2005</v>
      </c>
      <c r="I1135" s="129"/>
      <c r="J1135" s="125">
        <f>IFERROR(INDEX('Labor Expenditures'!$E$7:$W$91,MATCH($C1135,'Labor Expenditures'!$C$7:$C$91,0),MATCH($G1135,'Labor Expenditures'!$E$5:$W$5,0)),"NA")</f>
        <v>263.08957716416728</v>
      </c>
      <c r="K1135" s="125">
        <f t="shared" ca="1" si="2055"/>
        <v>2.6514444662551502</v>
      </c>
      <c r="L1135" s="47"/>
      <c r="M1135" s="131">
        <f t="shared" ref="M1135:M1151" ca="1" si="2061">LN(K1135/K1134)</f>
        <v>-0.12660509901303948</v>
      </c>
      <c r="N1135" s="131"/>
      <c r="O1135" s="131"/>
      <c r="P1135" s="59"/>
      <c r="Q1135" s="61"/>
      <c r="R1135" s="387"/>
      <c r="S1135" s="49">
        <v>100</v>
      </c>
      <c r="T1135" s="46"/>
      <c r="U1135" s="46"/>
      <c r="V1135" s="125">
        <f>IFERROR(INDEX('Non-Labor Expenditures'!$E$7:$AA$91,MATCH($C1135,'Non-Labor Expenditures'!$C$7:$C$91,0),MATCH($G1135,'Non-Labor Expenditures'!$E$5:$AA$5,0)),"NA")</f>
        <v>381.00284608860864</v>
      </c>
      <c r="W1135" s="125">
        <f t="shared" si="2056"/>
        <v>4.3589511834133265</v>
      </c>
      <c r="X1135" s="131">
        <f>LN(W1135/W1134)</f>
        <v>-0.10676566796920348</v>
      </c>
      <c r="Y1135" s="131"/>
      <c r="Z1135" s="131"/>
      <c r="AA1135" s="131"/>
      <c r="AB1135" s="131"/>
      <c r="AC1135" s="125">
        <f t="shared" si="2035"/>
        <v>261.94482657748193</v>
      </c>
      <c r="AD1135" s="129"/>
      <c r="AE1135" s="133">
        <v>21.57543624672342</v>
      </c>
      <c r="AF1135" s="134">
        <v>2.8787161850033906E-3</v>
      </c>
      <c r="AG1135" s="134"/>
      <c r="AH1135" s="134"/>
      <c r="AI1135" s="134"/>
      <c r="AJ1135" s="129">
        <f t="shared" si="2031"/>
        <v>906.03724983025791</v>
      </c>
      <c r="AK1135" s="134">
        <f>LN(AJ1135/AJ1134)</f>
        <v>-2.83455975392716E-2</v>
      </c>
      <c r="AL1135" s="129"/>
      <c r="AM1135" s="129"/>
      <c r="AN1135" s="129"/>
      <c r="AO1135" s="129"/>
      <c r="AP1135" s="133"/>
      <c r="AQ1135" s="134"/>
      <c r="AR1135" s="93">
        <f t="shared" si="2057"/>
        <v>0.29037390815163056</v>
      </c>
      <c r="AS1135" s="93">
        <f t="shared" si="2058"/>
        <v>0.42051565336854291</v>
      </c>
      <c r="AT1135" s="93">
        <f t="shared" si="2059"/>
        <v>0.28911043847982648</v>
      </c>
      <c r="AU1135" s="93">
        <f t="shared" ref="AU1135:AU1151" ca="1" si="2062">+(((AR1135+AR1134)/2)*M1135+((AS1134+AS1135)/2)*X1135+((AT1134+AT1135)/2)*AF1135)</f>
        <v>-8.2879887147786463E-2</v>
      </c>
      <c r="AV1135" s="132">
        <v>100</v>
      </c>
      <c r="AW1135" s="134"/>
      <c r="AX1135" s="15"/>
      <c r="AY1135" s="93"/>
      <c r="AZ1135" s="93"/>
      <c r="BA1135" s="93"/>
      <c r="BB1135" s="234">
        <f>IFERROR(INDEX('Total Customers'!$E$7:$AA$91,MATCH($C1135,'Total Customers'!$C$7:$C$91,0),MATCH($G1135,'Total Customers'!$E$5:$AA$5,0)),"NA")</f>
        <v>3196</v>
      </c>
      <c r="BC1135" s="269">
        <f t="shared" si="1988"/>
        <v>-2.5333452417609703E-2</v>
      </c>
      <c r="BD1135" s="92"/>
      <c r="BE1135" s="299" t="str">
        <f t="shared" si="1984"/>
        <v>ST. JOE NATURAL GAS CO, INC.</v>
      </c>
      <c r="BF1135" s="300">
        <f t="shared" si="1985"/>
        <v>4063179</v>
      </c>
      <c r="BG1135" s="231" t="str">
        <f t="shared" si="1986"/>
        <v>FL</v>
      </c>
      <c r="BH1135" s="231"/>
      <c r="BI1135" s="231" t="str">
        <f t="shared" si="1987"/>
        <v>2005 Y</v>
      </c>
      <c r="BJ1135" s="129"/>
      <c r="BK1135" s="129"/>
      <c r="BL1135" s="129">
        <f>INDEX('Dist. Plant Gas Additions'!$E$7:$AD$91,MATCH($C1135,'Dist. Plant Gas Additions'!$C$7:$C$91,0),MATCH(Calculation!$G1135,'Dist. Plant Gas Additions'!$E$5:$AD$5,0))</f>
        <v>30</v>
      </c>
      <c r="BM1135" s="129">
        <f>INDEX('Gen. Plant Additions'!$E$7:$AD$91,MATCH($C1135,'Gen. Plant Additions'!$C$7:$C$91,0),MATCH(Calculation!$G1135,'Gen. Plant Additions'!$E$5:$AD$5,0))</f>
        <v>61</v>
      </c>
      <c r="BN1135" s="301">
        <f t="shared" si="2036"/>
        <v>0.90312551137293406</v>
      </c>
      <c r="BO1135" s="231">
        <f t="shared" si="1989"/>
        <v>55.090656193748977</v>
      </c>
      <c r="BP1135" s="231">
        <f t="shared" si="1990"/>
        <v>-5.9093438062510231</v>
      </c>
      <c r="BQ1135" s="129">
        <f>INDEX('Dist Plant Depreciation'!$D$7:$AC$94,MATCH($C1135,'Dist Plant Depreciation'!$C$7:$C$94,0),MATCH(Calculation!$G1135,'Dist Plant Depreciation'!$D$5:$AC$5,0))</f>
        <v>2628</v>
      </c>
      <c r="BR1135" s="129">
        <f>INDEX('Gen. Plant Depreciation'!$D$7:$AC$94,MATCH($C1135,'Gen. Plant Depreciation'!$C$7:$C$94,0),MATCH(Calculation!$G1135,'Gen. Plant Depreciation'!$D$5:$AC$5,0))</f>
        <v>317</v>
      </c>
      <c r="BS1135" s="129"/>
      <c r="BT1135" s="129"/>
      <c r="BU1135" s="129"/>
      <c r="BV1135" s="129"/>
      <c r="BW1135" s="129"/>
      <c r="BX1135" s="137"/>
      <c r="BY1135" s="129">
        <f>INDEX('Gross Dx Plant'!$D$7:$AC$91,MATCH($C1135,'Gross Dx Plant'!$C$7:$C$91,0),MATCH(Calculation!$G1135,'Gross Dx Plant'!$D$5:$AC$5,0))</f>
        <v>5519</v>
      </c>
      <c r="BZ1135" s="129">
        <f>INDEX('Gross Gen Plant'!$D$7:$AC$91,MATCH($C1135,'Gross Gen Plant'!$C$7:$C$91,0),MATCH(Calculation!$G1135,'Gross Gen Plant'!$D$5:$AC$5,0))</f>
        <v>592</v>
      </c>
      <c r="CA1135" s="129">
        <f t="shared" si="2048"/>
        <v>3166</v>
      </c>
      <c r="CB1135" s="129"/>
      <c r="CC1135" s="133">
        <v>2005</v>
      </c>
      <c r="CD1135" s="129"/>
      <c r="CE1135" s="129"/>
      <c r="CF1135" s="129"/>
      <c r="CG1135" s="137"/>
      <c r="CH1135" s="129">
        <f t="shared" si="2037"/>
        <v>91</v>
      </c>
      <c r="CI1135" s="46">
        <f t="shared" si="2046"/>
        <v>85.09065619374897</v>
      </c>
      <c r="CJ1135" s="231">
        <f t="shared" si="2038"/>
        <v>0.18135064788589453</v>
      </c>
      <c r="CK1135" s="443">
        <v>0.9263157894736842</v>
      </c>
      <c r="CL1135" s="231">
        <f>+CL1128*CK1135+CJ1129*CK1134+CJ1130*CK1133+CJ1131*CK1132+CJ1132*CK1131+CJ1133*CK1130+CJ1134*CK1129+CJ1135</f>
        <v>20.741330469056546</v>
      </c>
      <c r="CM1135" s="134">
        <f t="shared" si="2039"/>
        <v>-3.1191057869220003E-3</v>
      </c>
      <c r="CN1135" s="135">
        <f t="shared" si="2040"/>
        <v>1.1830460539270195E-2</v>
      </c>
      <c r="CO1135" s="135">
        <f t="shared" si="2050"/>
        <v>1.1479891122966551E-2</v>
      </c>
      <c r="CP1135" s="134">
        <f>VLOOKUP($H1135,RoR!$E:$F,2,FALSE)</f>
        <v>5.2350000000000001E-2</v>
      </c>
      <c r="CQ1135" s="135">
        <v>3.1010403642454332E-2</v>
      </c>
      <c r="CR1135" s="135">
        <f t="shared" si="2047"/>
        <v>2.1339596357545669E-2</v>
      </c>
      <c r="CS1135" s="135">
        <f t="shared" si="2051"/>
        <v>1.9422050485567076E-2</v>
      </c>
      <c r="CT1135" s="135">
        <f t="shared" si="2052"/>
        <v>9.2129610649277341E-2</v>
      </c>
      <c r="CU1135" s="139">
        <f t="shared" si="2041"/>
        <v>0.85727249999999999</v>
      </c>
      <c r="CV1135" s="335">
        <f t="shared" si="2042"/>
        <v>0.97959983346802826</v>
      </c>
      <c r="CW1135" s="335">
        <f t="shared" si="2043"/>
        <v>0.49744508118433622</v>
      </c>
      <c r="CX1135" s="335">
        <f t="shared" si="2044"/>
        <v>0.87010519444335932</v>
      </c>
      <c r="CY1135" s="335">
        <f t="shared" si="2045"/>
        <v>0.42399975420741998</v>
      </c>
      <c r="CZ1135" s="336">
        <f>INDEX('State Tax Lookup'!$D$7:$Z$91,MATCH(Calculation!$C1135,'State Tax Lookup'!$B$7:$B$91,0),MATCH($H1135,'State Tax Lookup'!$D$6:$Z$6,0))</f>
        <v>0.38574999999999998</v>
      </c>
      <c r="DA1135" s="302">
        <v>0.37</v>
      </c>
      <c r="DB1135" s="57">
        <f t="shared" si="2049"/>
        <v>12.589793418797861</v>
      </c>
      <c r="DC1135" s="56">
        <f t="shared" si="2053"/>
        <v>0.10327775746683943</v>
      </c>
      <c r="DD1135" s="303">
        <f>VLOOKUP($H1135,RoR!$E:$F,2,FALSE)</f>
        <v>5.2350000000000001E-2</v>
      </c>
      <c r="DE1135" s="304">
        <f>HLOOKUP($H1135,'GDP-PI'!$D$8:$CQ$11,3,FALSE)</f>
        <v>3.1010403642454332E-2</v>
      </c>
      <c r="DF1135" s="303">
        <f>VLOOKUP(H1135,'HW Dx Data'!$E:$F,2,FALSE)</f>
        <v>469.20514034936258</v>
      </c>
      <c r="DG1135" s="364">
        <f ca="1">VLOOKUP(CC1135,'ECI - Input Price'!M$13:N$33,2,FALSE)</f>
        <v>99.224999999999994</v>
      </c>
      <c r="DH1135" s="364"/>
      <c r="DI1135" s="364"/>
      <c r="DJ1135" s="56">
        <f t="shared" ca="1" si="2060"/>
        <v>5.0378726854569796E-2</v>
      </c>
      <c r="DK1135" s="53">
        <f>HLOOKUP(H1135,'GDP-PI'!$8:$9,2,FALSE)</f>
        <v>87.406999999999996</v>
      </c>
      <c r="DL1135" s="355">
        <f t="shared" si="2054"/>
        <v>3.0539295810733648E-2</v>
      </c>
    </row>
    <row r="1136" spans="1:116" s="126" customFormat="1" ht="21" customHeight="1" x14ac:dyDescent="0.4">
      <c r="A1136" s="233" t="s">
        <v>250</v>
      </c>
      <c r="B1136" s="126" t="s">
        <v>250</v>
      </c>
      <c r="C1136" s="126">
        <v>4063179</v>
      </c>
      <c r="D1136" s="127" t="s">
        <v>235</v>
      </c>
      <c r="E1136" s="127"/>
      <c r="F1136" s="144"/>
      <c r="G1136" s="126" t="s">
        <v>162</v>
      </c>
      <c r="H1136" s="128">
        <v>2006</v>
      </c>
      <c r="I1136" s="129"/>
      <c r="J1136" s="125">
        <f>IFERROR(INDEX('Labor Expenditures'!$E$7:$W$91,MATCH($C1136,'Labor Expenditures'!$C$7:$C$91,0),MATCH($G1136,'Labor Expenditures'!$E$5:$W$5,0)),"NA")</f>
        <v>294.08100107715359</v>
      </c>
      <c r="K1136" s="125">
        <f t="shared" ca="1" si="2055"/>
        <v>2.6881261524419888</v>
      </c>
      <c r="L1136" s="47"/>
      <c r="M1136" s="131">
        <f t="shared" ca="1" si="2061"/>
        <v>1.3739780170862925E-2</v>
      </c>
      <c r="N1136" s="131"/>
      <c r="O1136" s="131"/>
      <c r="P1136" s="59">
        <f t="shared" ref="P1136:P1152" ca="1" si="2063">+M1136*$AX1136</f>
        <v>1.8264267067971083E-6</v>
      </c>
      <c r="Q1136" s="61"/>
      <c r="R1136" s="387"/>
      <c r="S1136" s="49">
        <f ca="1">+S1135*EXP(T1136)</f>
        <v>115.47584201802027</v>
      </c>
      <c r="T1136" s="61">
        <f ca="1">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</f>
        <v>0.14389116207960939</v>
      </c>
      <c r="U1136" s="61"/>
      <c r="V1136" s="125">
        <f>IFERROR(INDEX('Non-Labor Expenditures'!$E$7:$AA$91,MATCH($C1136,'Non-Labor Expenditures'!$C$7:$C$91,0),MATCH($G1136,'Non-Labor Expenditures'!$E$5:$AA$5,0)),"NA")</f>
        <v>425.88421631415076</v>
      </c>
      <c r="W1136" s="125">
        <f t="shared" si="2056"/>
        <v>4.7281592503291821</v>
      </c>
      <c r="X1136" s="131">
        <f t="shared" ref="X1136:X1151" si="2064">LN(W1136/W1135)</f>
        <v>8.1304487764160147E-2</v>
      </c>
      <c r="Y1136" s="131">
        <f t="shared" ref="Y1136:Y1152" si="2065">+X1136*AX1136</f>
        <v>1.0807792118088487E-5</v>
      </c>
      <c r="Z1136" s="131"/>
      <c r="AA1136" s="131"/>
      <c r="AB1136" s="131"/>
      <c r="AC1136" s="125">
        <f t="shared" si="2035"/>
        <v>252.19639907057882</v>
      </c>
      <c r="AD1136" s="129"/>
      <c r="AE1136" s="133">
        <v>21.75264122176749</v>
      </c>
      <c r="AF1136" s="134">
        <v>8.1797288701388852E-3</v>
      </c>
      <c r="AG1136" s="134">
        <f t="shared" ref="AG1136:AG1151" si="2066">+AF1136*AX1136</f>
        <v>1.087330006520964E-6</v>
      </c>
      <c r="AH1136" s="134"/>
      <c r="AI1136" s="134"/>
      <c r="AJ1136" s="129">
        <f t="shared" si="2031"/>
        <v>972.16161646188311</v>
      </c>
      <c r="AK1136" s="134">
        <f t="shared" ref="AK1136:AK1152" si="2067">LN(AJ1136/AJ1135)</f>
        <v>7.0441642918164724E-2</v>
      </c>
      <c r="AL1136" s="129"/>
      <c r="AM1136" s="129"/>
      <c r="AN1136" s="129"/>
      <c r="AO1136" s="129"/>
      <c r="AP1136" s="133">
        <f t="shared" ref="AP1136:AP1152" si="2068">+(AJ1136*1000)/BB1136</f>
        <v>309.50704121677268</v>
      </c>
      <c r="AQ1136" s="134">
        <f>+BB1136/Outputs!$B$14</f>
        <v>9.0567150178759838E-5</v>
      </c>
      <c r="AR1136" s="93">
        <f t="shared" si="2057"/>
        <v>0.3025021725785077</v>
      </c>
      <c r="AS1136" s="93">
        <f t="shared" si="2058"/>
        <v>0.43807964550598877</v>
      </c>
      <c r="AT1136" s="93">
        <f t="shared" si="2059"/>
        <v>0.25941818191550359</v>
      </c>
      <c r="AU1136" s="93">
        <f t="shared" ca="1" si="2062"/>
        <v>4.1220226690924899E-2</v>
      </c>
      <c r="AV1136" s="132">
        <f ca="1">+AV1135*EXP(AU1136)</f>
        <v>104.20815744537788</v>
      </c>
      <c r="AW1136" s="134">
        <f ca="1">LN(AV1136/AV1135)</f>
        <v>4.122022669092499E-2</v>
      </c>
      <c r="AX1136" s="56">
        <f>+AJ1136/$AL$11</f>
        <v>1.3292983469053566E-4</v>
      </c>
      <c r="AY1136" s="135">
        <f ca="1">+AX1136*AW1136</f>
        <v>5.4793979199310647E-6</v>
      </c>
      <c r="AZ1136" s="93"/>
      <c r="BA1136" s="93"/>
      <c r="BB1136" s="234">
        <f>IFERROR(INDEX('Total Customers'!$E$7:$AA$91,MATCH($C1136,'Total Customers'!$C$7:$C$91,0),MATCH($G1136,'Total Customers'!$E$5:$AA$5,0)),"NA")</f>
        <v>3141</v>
      </c>
      <c r="BC1136" s="269">
        <f t="shared" si="1988"/>
        <v>-1.7358807347518785E-2</v>
      </c>
      <c r="BD1136" s="92"/>
      <c r="BE1136" s="299" t="str">
        <f t="shared" si="1984"/>
        <v>ST. JOE NATURAL GAS CO, INC.</v>
      </c>
      <c r="BF1136" s="300">
        <f t="shared" si="1985"/>
        <v>4063179</v>
      </c>
      <c r="BG1136" s="231" t="str">
        <f t="shared" si="1986"/>
        <v>FL</v>
      </c>
      <c r="BH1136" s="231"/>
      <c r="BI1136" s="231" t="str">
        <f t="shared" si="1987"/>
        <v>2006 Y</v>
      </c>
      <c r="BJ1136" s="129"/>
      <c r="BK1136" s="129"/>
      <c r="BL1136" s="129">
        <f>INDEX('Dist. Plant Gas Additions'!$E$7:$AD$91,MATCH($C1136,'Dist. Plant Gas Additions'!$C$7:$C$91,0),MATCH(Calculation!$G1136,'Dist. Plant Gas Additions'!$E$5:$AD$5,0))</f>
        <v>60</v>
      </c>
      <c r="BM1136" s="129">
        <f>INDEX('Gen. Plant Additions'!$E$7:$AD$91,MATCH($C1136,'Gen. Plant Additions'!$C$7:$C$91,0),MATCH(Calculation!$G1136,'Gen. Plant Additions'!$E$5:$AD$5,0))</f>
        <v>85</v>
      </c>
      <c r="BN1136" s="301">
        <f t="shared" si="2036"/>
        <v>0.89753106341778277</v>
      </c>
      <c r="BO1136" s="231">
        <f t="shared" si="1989"/>
        <v>76.290140390511539</v>
      </c>
      <c r="BP1136" s="231">
        <f t="shared" si="1990"/>
        <v>-8.7098596094884613</v>
      </c>
      <c r="BQ1136" s="129">
        <f>INDEX('Dist Plant Depreciation'!$D$7:$AC$94,MATCH($C1136,'Dist Plant Depreciation'!$C$7:$C$94,0),MATCH(Calculation!$G1136,'Dist Plant Depreciation'!$D$5:$AC$5,0))</f>
        <v>2791</v>
      </c>
      <c r="BR1136" s="129">
        <f>INDEX('Gen. Plant Depreciation'!$D$7:$AC$94,MATCH($C1136,'Gen. Plant Depreciation'!$C$7:$C$94,0),MATCH(Calculation!$G1136,'Gen. Plant Depreciation'!$D$5:$AC$5,0))</f>
        <v>339</v>
      </c>
      <c r="BS1136" s="129"/>
      <c r="BT1136" s="129"/>
      <c r="BU1136" s="129"/>
      <c r="BV1136" s="129"/>
      <c r="BW1136" s="129"/>
      <c r="BX1136" s="137"/>
      <c r="BY1136" s="129">
        <f>INDEX('Gross Dx Plant'!$D$7:$AC$91,MATCH($C1136,'Gross Dx Plant'!$C$7:$C$91,0),MATCH(Calculation!$G1136,'Gross Dx Plant'!$D$5:$AC$5,0))</f>
        <v>5562</v>
      </c>
      <c r="BZ1136" s="129">
        <f>INDEX('Gross Gen Plant'!$D$7:$AC$91,MATCH($C1136,'Gross Gen Plant'!$C$7:$C$91,0),MATCH(Calculation!$G1136,'Gross Gen Plant'!$D$5:$AC$5,0))</f>
        <v>635</v>
      </c>
      <c r="CA1136" s="129">
        <f t="shared" si="2048"/>
        <v>3067</v>
      </c>
      <c r="CB1136" s="134"/>
      <c r="CC1136" s="133">
        <v>2006</v>
      </c>
      <c r="CD1136" s="129"/>
      <c r="CE1136" s="129"/>
      <c r="CF1136" s="129"/>
      <c r="CG1136" s="137"/>
      <c r="CH1136" s="129">
        <f t="shared" si="2037"/>
        <v>145</v>
      </c>
      <c r="CI1136" s="46">
        <f t="shared" si="2046"/>
        <v>136.29014039051154</v>
      </c>
      <c r="CJ1136" s="231">
        <f t="shared" si="2038"/>
        <v>0.29558528588330885</v>
      </c>
      <c r="CK1136" s="443">
        <v>0.91489361702127658</v>
      </c>
      <c r="CL1136" s="231">
        <f>+CL1128*CK1136+CJ1129*CK1135+CJ1130*CK1134+CJ1131*CK1133+CJ1132*CK1132+CJ1133*CK1131+CJ1134*CK1130+CJ1135*CK1129+CJ1136</f>
        <v>20.783750289862699</v>
      </c>
      <c r="CM1136" s="134">
        <f t="shared" si="2039"/>
        <v>2.0430946688960441E-3</v>
      </c>
      <c r="CN1136" s="135">
        <f t="shared" si="2040"/>
        <v>1.2205845013406795E-2</v>
      </c>
      <c r="CO1136" s="135">
        <f t="shared" si="2050"/>
        <v>1.1835415556025073E-2</v>
      </c>
      <c r="CP1136" s="134">
        <f>VLOOKUP($H1136,RoR!$E:$F,2,FALSE)</f>
        <v>5.5874999999999994E-2</v>
      </c>
      <c r="CQ1136" s="135">
        <v>3.0512430354548314E-2</v>
      </c>
      <c r="CR1136" s="135">
        <f t="shared" si="2047"/>
        <v>2.536256964545168E-2</v>
      </c>
      <c r="CS1136" s="135">
        <f t="shared" si="2051"/>
        <v>1.9066526052508553E-2</v>
      </c>
      <c r="CT1136" s="135">
        <f t="shared" si="2052"/>
        <v>7.9087823893859641E-2</v>
      </c>
      <c r="CU1136" s="139">
        <f t="shared" si="2041"/>
        <v>0.85727249999999999</v>
      </c>
      <c r="CV1136" s="335">
        <f t="shared" si="2042"/>
        <v>0.91779957551769631</v>
      </c>
      <c r="CW1136" s="335">
        <f t="shared" si="2043"/>
        <v>0.52757270693512304</v>
      </c>
      <c r="CX1136" s="335">
        <f t="shared" si="2044"/>
        <v>0.88636824549024895</v>
      </c>
      <c r="CY1136" s="335">
        <f t="shared" si="2045"/>
        <v>0.42918482841932087</v>
      </c>
      <c r="CZ1136" s="336">
        <f>INDEX('State Tax Lookup'!$D$7:$Z$91,MATCH(Calculation!$C1136,'State Tax Lookup'!$B$7:$B$91,0),MATCH($H1136,'State Tax Lookup'!$D$6:$Z$6,0))</f>
        <v>0.38574999999999998</v>
      </c>
      <c r="DA1136" s="302">
        <v>0.37</v>
      </c>
      <c r="DB1136" s="57">
        <f t="shared" si="2049"/>
        <v>12.159123516537385</v>
      </c>
      <c r="DC1136" s="56">
        <f t="shared" si="2053"/>
        <v>-3.4806644857564066E-2</v>
      </c>
      <c r="DD1136" s="303">
        <f>VLOOKUP($H1136,RoR!$E:$F,2,FALSE)</f>
        <v>5.5874999999999994E-2</v>
      </c>
      <c r="DE1136" s="304">
        <f>HLOOKUP($H1136,'GDP-PI'!$D$8:$CQ$11,3,FALSE)</f>
        <v>3.0512430354548314E-2</v>
      </c>
      <c r="DF1136" s="303">
        <f>VLOOKUP(H1136,'HW Dx Data'!$E:$F,2,FALSE)</f>
        <v>461.08567272971823</v>
      </c>
      <c r="DG1136" s="364">
        <f ca="1">VLOOKUP(CC1136,'ECI - Input Price'!M$13:N$33,2,FALSE)</f>
        <v>109.4</v>
      </c>
      <c r="DH1136" s="364"/>
      <c r="DI1136" s="364"/>
      <c r="DJ1136" s="56">
        <f t="shared" ca="1" si="2060"/>
        <v>9.7620891318751846E-2</v>
      </c>
      <c r="DK1136" s="53">
        <f>HLOOKUP(H1136,'GDP-PI'!$8:$9,2,FALSE)</f>
        <v>90.073999999999998</v>
      </c>
      <c r="DL1136" s="355">
        <f t="shared" si="2054"/>
        <v>3.005618372545445E-2</v>
      </c>
    </row>
    <row r="1137" spans="1:116" s="126" customFormat="1" ht="21" customHeight="1" x14ac:dyDescent="0.4">
      <c r="A1137" s="233" t="s">
        <v>250</v>
      </c>
      <c r="B1137" s="126" t="s">
        <v>250</v>
      </c>
      <c r="C1137" s="126">
        <v>4063179</v>
      </c>
      <c r="D1137" s="127" t="s">
        <v>235</v>
      </c>
      <c r="E1137" s="127"/>
      <c r="F1137" s="144"/>
      <c r="G1137" s="126" t="s">
        <v>163</v>
      </c>
      <c r="H1137" s="128">
        <v>2007</v>
      </c>
      <c r="I1137" s="129"/>
      <c r="J1137" s="125">
        <f>IFERROR(INDEX('Labor Expenditures'!$E$7:$W$91,MATCH($C1137,'Labor Expenditures'!$C$7:$C$91,0),MATCH($G1137,'Labor Expenditures'!$E$5:$W$5,0)),"NA")</f>
        <v>314.50094467618726</v>
      </c>
      <c r="K1137" s="125">
        <f t="shared" ca="1" si="2055"/>
        <v>3.0088585953234852</v>
      </c>
      <c r="L1137" s="47"/>
      <c r="M1137" s="131">
        <f t="shared" ca="1" si="2061"/>
        <v>0.11271644936152536</v>
      </c>
      <c r="N1137" s="131"/>
      <c r="O1137" s="131"/>
      <c r="P1137" s="59">
        <f t="shared" ca="1" si="2063"/>
        <v>1.5265755188447815E-5</v>
      </c>
      <c r="Q1137" s="61"/>
      <c r="R1137" s="387"/>
      <c r="S1137" s="49">
        <f t="shared" ref="S1137:S1150" ca="1" si="2069">+S1136*EXP(T1137)</f>
        <v>119.93932882076608</v>
      </c>
      <c r="T1137" s="61">
        <f ca="1">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</f>
        <v>3.7924673698743749E-2</v>
      </c>
      <c r="U1137" s="61"/>
      <c r="V1137" s="125">
        <f>IFERROR(INDEX('Non-Labor Expenditures'!$E$7:$AA$91,MATCH($C1137,'Non-Labor Expenditures'!$C$7:$C$91,0),MATCH($G1137,'Non-Labor Expenditures'!$E$5:$AA$5,0)),"NA")</f>
        <v>455.45610856492578</v>
      </c>
      <c r="W1137" s="125">
        <f t="shared" si="2056"/>
        <v>4.9239562862432242</v>
      </c>
      <c r="X1137" s="131">
        <f t="shared" si="2064"/>
        <v>4.057636866623527E-2</v>
      </c>
      <c r="Y1137" s="131">
        <f t="shared" si="2065"/>
        <v>5.495461523173106E-6</v>
      </c>
      <c r="Z1137" s="131"/>
      <c r="AA1137" s="131"/>
      <c r="AB1137" s="131"/>
      <c r="AC1137" s="125">
        <f t="shared" si="2035"/>
        <v>268.2019175409348</v>
      </c>
      <c r="AD1137" s="129"/>
      <c r="AE1137" s="133">
        <v>21.914381981976756</v>
      </c>
      <c r="AF1137" s="134">
        <v>7.4079471420379853E-3</v>
      </c>
      <c r="AG1137" s="134">
        <f t="shared" si="2066"/>
        <v>1.0032955097493958E-6</v>
      </c>
      <c r="AH1137" s="134"/>
      <c r="AI1137" s="134"/>
      <c r="AJ1137" s="129">
        <f t="shared" si="2031"/>
        <v>1038.1589707820478</v>
      </c>
      <c r="AK1137" s="134">
        <f t="shared" si="2067"/>
        <v>6.5682140322950056E-2</v>
      </c>
      <c r="AL1137" s="129"/>
      <c r="AM1137" s="129"/>
      <c r="AN1137" s="129"/>
      <c r="AO1137" s="129"/>
      <c r="AP1137" s="133">
        <f t="shared" si="2068"/>
        <v>334.9980544633907</v>
      </c>
      <c r="AQ1137" s="134">
        <f>+BB1137/Outputs!$B$15</f>
        <v>8.8683359456148648E-5</v>
      </c>
      <c r="AR1137" s="93">
        <f t="shared" si="2057"/>
        <v>0.3029410268826872</v>
      </c>
      <c r="AS1137" s="93">
        <f t="shared" si="2058"/>
        <v>0.43871518850511837</v>
      </c>
      <c r="AT1137" s="93">
        <f t="shared" si="2059"/>
        <v>0.25834378461219443</v>
      </c>
      <c r="AU1137" s="93">
        <f t="shared" ca="1" si="2062"/>
        <v>5.3828055721513869E-2</v>
      </c>
      <c r="AV1137" s="132">
        <f ca="1">+AV1136*EXP(AU1137)</f>
        <v>109.97119505902664</v>
      </c>
      <c r="AW1137" s="134">
        <f ca="1">LN(AV1137/AV1136)</f>
        <v>5.3828055721513876E-2</v>
      </c>
      <c r="AX1137" s="56">
        <f>+AJ1137/$AL$12</f>
        <v>1.3543502545475521E-4</v>
      </c>
      <c r="AY1137" s="135">
        <f t="shared" ref="AY1137:AY1151" ca="1" si="2070">+AX1137*AW1137</f>
        <v>7.2902040968232141E-6</v>
      </c>
      <c r="AZ1137" s="93"/>
      <c r="BA1137" s="93"/>
      <c r="BB1137" s="234">
        <f>IFERROR(INDEX('Total Customers'!$E$7:$AA$91,MATCH($C1137,'Total Customers'!$C$7:$C$91,0),MATCH($G1137,'Total Customers'!$E$5:$AA$5,0)),"NA")</f>
        <v>3099</v>
      </c>
      <c r="BC1137" s="269">
        <f t="shared" si="1988"/>
        <v>-1.3461741750898357E-2</v>
      </c>
      <c r="BD1137" s="92"/>
      <c r="BE1137" s="299" t="str">
        <f t="shared" si="1984"/>
        <v>ST. JOE NATURAL GAS CO, INC.</v>
      </c>
      <c r="BF1137" s="300">
        <f t="shared" si="1985"/>
        <v>4063179</v>
      </c>
      <c r="BG1137" s="231" t="str">
        <f t="shared" si="1986"/>
        <v>FL</v>
      </c>
      <c r="BH1137" s="231"/>
      <c r="BI1137" s="231" t="str">
        <f t="shared" si="1987"/>
        <v>2007 Y</v>
      </c>
      <c r="BJ1137" s="129"/>
      <c r="BK1137" s="129"/>
      <c r="BL1137" s="129">
        <f>INDEX('Dist. Plant Gas Additions'!$E$7:$AD$91,MATCH($C1137,'Dist. Plant Gas Additions'!$C$7:$C$91,0),MATCH(Calculation!$G1137,'Dist. Plant Gas Additions'!$E$5:$AD$5,0))</f>
        <v>39</v>
      </c>
      <c r="BM1137" s="129">
        <f>INDEX('Gen. Plant Additions'!$E$7:$AD$91,MATCH($C1137,'Gen. Plant Additions'!$C$7:$C$91,0),MATCH(Calculation!$G1137,'Gen. Plant Additions'!$E$5:$AD$5,0))</f>
        <v>113</v>
      </c>
      <c r="BN1137" s="301">
        <f t="shared" si="2036"/>
        <v>0.8979690522243714</v>
      </c>
      <c r="BO1137" s="231">
        <f t="shared" si="1989"/>
        <v>101.47050290135397</v>
      </c>
      <c r="BP1137" s="231">
        <f t="shared" si="1990"/>
        <v>-11.529497098646033</v>
      </c>
      <c r="BQ1137" s="129">
        <f>INDEX('Dist Plant Depreciation'!$D$7:$AC$94,MATCH($C1137,'Dist Plant Depreciation'!$C$7:$C$94,0),MATCH(Calculation!$G1137,'Dist Plant Depreciation'!$D$5:$AC$5,0))</f>
        <v>2937</v>
      </c>
      <c r="BR1137" s="129">
        <f>INDEX('Gen. Plant Depreciation'!$D$7:$AC$94,MATCH($C1137,'Gen. Plant Depreciation'!$C$7:$C$94,0),MATCH(Calculation!$G1137,'Gen. Plant Depreciation'!$D$5:$AC$5,0))</f>
        <v>277</v>
      </c>
      <c r="BS1137" s="129"/>
      <c r="BT1137" s="129"/>
      <c r="BU1137" s="129"/>
      <c r="BV1137" s="129"/>
      <c r="BW1137" s="129"/>
      <c r="BX1137" s="137"/>
      <c r="BY1137" s="129">
        <f>INDEX('Gross Dx Plant'!$D$7:$AC$91,MATCH($C1137,'Gross Dx Plant'!$C$7:$C$91,0),MATCH(Calculation!$G1137,'Gross Dx Plant'!$D$5:$AC$5,0))</f>
        <v>5571</v>
      </c>
      <c r="BZ1137" s="129">
        <f>INDEX('Gross Gen Plant'!$D$7:$AC$91,MATCH($C1137,'Gross Gen Plant'!$C$7:$C$91,0),MATCH(Calculation!$G1137,'Gross Gen Plant'!$D$5:$AC$5,0))</f>
        <v>633</v>
      </c>
      <c r="CA1137" s="129">
        <f t="shared" si="2048"/>
        <v>2990</v>
      </c>
      <c r="CB1137" s="129"/>
      <c r="CC1137" s="133">
        <v>2007</v>
      </c>
      <c r="CD1137" s="129"/>
      <c r="CE1137" s="129"/>
      <c r="CF1137" s="129"/>
      <c r="CG1137" s="137"/>
      <c r="CH1137" s="129">
        <f t="shared" si="2037"/>
        <v>152</v>
      </c>
      <c r="CI1137" s="46">
        <f t="shared" si="2046"/>
        <v>140.47050290135397</v>
      </c>
      <c r="CJ1137" s="231">
        <f t="shared" si="2038"/>
        <v>0.28205664392114349</v>
      </c>
      <c r="CK1137" s="443">
        <v>0.90322580645161288</v>
      </c>
      <c r="CL1137" s="231">
        <f>+CL1128*CK1137+CJ1129*CK1136+CJ1130*CK1135+CJ1131*CK1134+CJ1132*CK1133+CJ1133*CK1132+CJ1134*CK1131+CJ1135*CK1130+CJ1136*CK1129+CJ1137</f>
        <v>20.804287010748734</v>
      </c>
      <c r="CM1137" s="134">
        <f t="shared" si="2039"/>
        <v>9.8762643723215621E-4</v>
      </c>
      <c r="CN1137" s="135">
        <f t="shared" si="2040"/>
        <v>1.2582903440803221E-2</v>
      </c>
      <c r="CO1137" s="135">
        <f t="shared" si="2050"/>
        <v>1.2206402997826738E-2</v>
      </c>
      <c r="CP1137" s="134">
        <f>VLOOKUP($H1137,RoR!$E:$F,2,FALSE)</f>
        <v>5.5558333333333321E-2</v>
      </c>
      <c r="CQ1137" s="135">
        <v>2.691120634145272E-2</v>
      </c>
      <c r="CR1137" s="135">
        <f t="shared" si="2047"/>
        <v>2.86471269918806E-2</v>
      </c>
      <c r="CS1137" s="135">
        <f t="shared" si="2051"/>
        <v>1.8695538610706885E-2</v>
      </c>
      <c r="CT1137" s="135">
        <f t="shared" si="2052"/>
        <v>6.4575155250632399E-2</v>
      </c>
      <c r="CU1137" s="139">
        <f t="shared" si="2041"/>
        <v>0.85727249999999999</v>
      </c>
      <c r="CV1137" s="335">
        <f t="shared" si="2042"/>
        <v>0.92303077153834634</v>
      </c>
      <c r="CW1137" s="335">
        <f t="shared" si="2043"/>
        <v>0.52502249887505614</v>
      </c>
      <c r="CX1137" s="335">
        <f t="shared" si="2044"/>
        <v>0.88499666072084604</v>
      </c>
      <c r="CY1137" s="335">
        <f t="shared" si="2045"/>
        <v>0.42887993290280618</v>
      </c>
      <c r="CZ1137" s="336">
        <f>INDEX('State Tax Lookup'!$D$7:$Z$91,MATCH(Calculation!$C1137,'State Tax Lookup'!$B$7:$B$91,0),MATCH($H1137,'State Tax Lookup'!$D$6:$Z$6,0))</f>
        <v>0.38574999999999998</v>
      </c>
      <c r="DA1137" s="302">
        <v>0.37</v>
      </c>
      <c r="DB1137" s="57">
        <f t="shared" si="2049"/>
        <v>12.904404344761138</v>
      </c>
      <c r="DC1137" s="56">
        <f t="shared" si="2053"/>
        <v>5.9488880462814447E-2</v>
      </c>
      <c r="DD1137" s="303">
        <f>VLOOKUP($H1137,RoR!$E:$F,2,FALSE)</f>
        <v>5.5558333333333321E-2</v>
      </c>
      <c r="DE1137" s="304">
        <f>HLOOKUP($H1137,'GDP-PI'!$D$8:$CQ$11,3,FALSE)</f>
        <v>2.691120634145272E-2</v>
      </c>
      <c r="DF1137" s="303">
        <f>VLOOKUP(H1137,'HW Dx Data'!$E:$F,2,FALSE)</f>
        <v>498.0223154772637</v>
      </c>
      <c r="DG1137" s="364">
        <f ca="1">VLOOKUP(CC1137,'ECI - Input Price'!M$13:N$33,2,FALSE)</f>
        <v>104.52499999999999</v>
      </c>
      <c r="DH1137" s="364"/>
      <c r="DI1137" s="364"/>
      <c r="DJ1137" s="56">
        <f t="shared" ca="1" si="2060"/>
        <v>-4.5584612745252218E-2</v>
      </c>
      <c r="DK1137" s="53">
        <f>HLOOKUP(H1137,'GDP-PI'!$8:$9,2,FALSE)</f>
        <v>92.498000000000005</v>
      </c>
      <c r="DL1137" s="355">
        <f t="shared" si="2054"/>
        <v>2.6555467950038037E-2</v>
      </c>
    </row>
    <row r="1138" spans="1:116" s="126" customFormat="1" ht="21" customHeight="1" x14ac:dyDescent="0.4">
      <c r="A1138" s="233" t="s">
        <v>250</v>
      </c>
      <c r="B1138" s="126" t="s">
        <v>250</v>
      </c>
      <c r="C1138" s="126">
        <v>4063179</v>
      </c>
      <c r="D1138" s="127" t="s">
        <v>235</v>
      </c>
      <c r="E1138" s="127"/>
      <c r="F1138" s="144"/>
      <c r="G1138" s="126" t="s">
        <v>164</v>
      </c>
      <c r="H1138" s="128">
        <v>2008</v>
      </c>
      <c r="I1138" s="129"/>
      <c r="J1138" s="125">
        <f>IFERROR(INDEX('Labor Expenditures'!$E$7:$W$91,MATCH($C1138,'Labor Expenditures'!$C$7:$C$91,0),MATCH($G1138,'Labor Expenditures'!$E$5:$W$5,0)),"NA")</f>
        <v>313.2776739860077</v>
      </c>
      <c r="K1138" s="125">
        <f t="shared" ca="1" si="2055"/>
        <v>2.9034075438925644</v>
      </c>
      <c r="L1138" s="47"/>
      <c r="M1138" s="131">
        <f t="shared" ca="1" si="2061"/>
        <v>-3.5675740295418673E-2</v>
      </c>
      <c r="N1138" s="131"/>
      <c r="O1138" s="131"/>
      <c r="P1138" s="59">
        <f t="shared" ca="1" si="2063"/>
        <v>-4.7098325383632216E-6</v>
      </c>
      <c r="Q1138" s="61"/>
      <c r="R1138" s="387"/>
      <c r="S1138" s="49">
        <f t="shared" ca="1" si="2069"/>
        <v>113.87757397373032</v>
      </c>
      <c r="T1138" s="61">
        <f ca="1">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</f>
        <v>-5.1862062940303572E-2</v>
      </c>
      <c r="U1138" s="61"/>
      <c r="V1138" s="125">
        <f>IFERROR(INDEX('Non-Labor Expenditures'!$E$7:$AA$91,MATCH($C1138,'Non-Labor Expenditures'!$C$7:$C$91,0),MATCH($G1138,'Non-Labor Expenditures'!$E$5:$AA$5,0)),"NA")</f>
        <v>453.6845841300966</v>
      </c>
      <c r="W1138" s="125">
        <f t="shared" si="2056"/>
        <v>4.8129146241417358</v>
      </c>
      <c r="X1138" s="131">
        <f t="shared" si="2064"/>
        <v>-2.2809479021990733E-2</v>
      </c>
      <c r="Y1138" s="131">
        <f t="shared" si="2065"/>
        <v>-3.0112571061260028E-6</v>
      </c>
      <c r="Z1138" s="131"/>
      <c r="AA1138" s="131"/>
      <c r="AB1138" s="131"/>
      <c r="AC1138" s="125">
        <f t="shared" si="2035"/>
        <v>301.02145740532171</v>
      </c>
      <c r="AD1138" s="129"/>
      <c r="AE1138" s="133">
        <v>21.908369110580427</v>
      </c>
      <c r="AF1138" s="134">
        <v>-2.7441779825111619E-4</v>
      </c>
      <c r="AG1138" s="134">
        <f t="shared" si="2066"/>
        <v>-3.6228032399795034E-8</v>
      </c>
      <c r="AH1138" s="134"/>
      <c r="AI1138" s="134"/>
      <c r="AJ1138" s="129">
        <f t="shared" si="2031"/>
        <v>1067.9837155214259</v>
      </c>
      <c r="AK1138" s="134">
        <f t="shared" si="2067"/>
        <v>2.8323568722933741E-2</v>
      </c>
      <c r="AL1138" s="129"/>
      <c r="AM1138" s="129"/>
      <c r="AN1138" s="129"/>
      <c r="AO1138" s="129"/>
      <c r="AP1138" s="133">
        <f t="shared" si="2068"/>
        <v>349.35679277769901</v>
      </c>
      <c r="AQ1138" s="134">
        <f>+BB1138/Outputs!$B$16</f>
        <v>8.7013728956133833E-5</v>
      </c>
      <c r="AR1138" s="93">
        <f t="shared" si="2057"/>
        <v>0.29333562809340674</v>
      </c>
      <c r="AS1138" s="93">
        <f t="shared" si="2058"/>
        <v>0.42480477701721547</v>
      </c>
      <c r="AT1138" s="93">
        <f t="shared" si="2059"/>
        <v>0.2818595948893779</v>
      </c>
      <c r="AU1138" s="93">
        <f t="shared" ca="1" si="2062"/>
        <v>-2.055864652390528E-2</v>
      </c>
      <c r="AV1138" s="132">
        <f t="shared" ref="AV1138:AV1151" ca="1" si="2071">+AV1137*EXP(AU1138)</f>
        <v>107.73341778528881</v>
      </c>
      <c r="AW1138" s="134">
        <f t="shared" ref="AW1138:AW1151" ca="1" si="2072">LN(AV1138/AV1137)</f>
        <v>-2.0558646523905242E-2</v>
      </c>
      <c r="AX1138" s="56">
        <f>+AJ1138/$AL$13</f>
        <v>1.3201779414702259E-4</v>
      </c>
      <c r="AY1138" s="135">
        <f t="shared" ca="1" si="2070"/>
        <v>-2.7141071647343239E-6</v>
      </c>
      <c r="AZ1138" s="93"/>
      <c r="BA1138" s="93"/>
      <c r="BB1138" s="234">
        <f>IFERROR(INDEX('Total Customers'!$E$7:$AA$91,MATCH($C1138,'Total Customers'!$C$7:$C$91,0),MATCH($G1138,'Total Customers'!$E$5:$AA$5,0)),"NA")</f>
        <v>3057</v>
      </c>
      <c r="BC1138" s="269">
        <f t="shared" si="1988"/>
        <v>-1.3645435896913758E-2</v>
      </c>
      <c r="BD1138" s="92"/>
      <c r="BE1138" s="299" t="str">
        <f t="shared" si="1984"/>
        <v>ST. JOE NATURAL GAS CO, INC.</v>
      </c>
      <c r="BF1138" s="300">
        <f t="shared" si="1985"/>
        <v>4063179</v>
      </c>
      <c r="BG1138" s="231" t="str">
        <f t="shared" si="1986"/>
        <v>FL</v>
      </c>
      <c r="BH1138" s="231"/>
      <c r="BI1138" s="231" t="str">
        <f t="shared" si="1987"/>
        <v>2008 Y</v>
      </c>
      <c r="BJ1138" s="129"/>
      <c r="BK1138" s="129"/>
      <c r="BL1138" s="129">
        <f>INDEX('Dist. Plant Gas Additions'!$E$7:$AD$91,MATCH($C1138,'Dist. Plant Gas Additions'!$C$7:$C$91,0),MATCH(Calculation!$G1138,'Dist. Plant Gas Additions'!$E$5:$AD$5,0))</f>
        <v>78</v>
      </c>
      <c r="BM1138" s="129">
        <f>INDEX('Gen. Plant Additions'!$E$7:$AD$91,MATCH($C1138,'Gen. Plant Additions'!$C$7:$C$91,0),MATCH(Calculation!$G1138,'Gen. Plant Additions'!$E$5:$AD$5,0))</f>
        <v>4</v>
      </c>
      <c r="BN1138" s="301">
        <f t="shared" si="2036"/>
        <v>0.89969556160871655</v>
      </c>
      <c r="BO1138" s="231">
        <f t="shared" si="1989"/>
        <v>3.5987822464348662</v>
      </c>
      <c r="BP1138" s="231">
        <f t="shared" si="1990"/>
        <v>-0.40121775356513378</v>
      </c>
      <c r="BQ1138" s="129">
        <f>INDEX('Dist Plant Depreciation'!$D$7:$AC$94,MATCH($C1138,'Dist Plant Depreciation'!$C$7:$C$94,0),MATCH(Calculation!$G1138,'Dist Plant Depreciation'!$D$5:$AC$5,0))</f>
        <v>3079</v>
      </c>
      <c r="BR1138" s="129">
        <f>INDEX('Gen. Plant Depreciation'!$D$7:$AC$94,MATCH($C1138,'Gen. Plant Depreciation'!$C$7:$C$94,0),MATCH(Calculation!$G1138,'Gen. Plant Depreciation'!$D$5:$AC$5,0))</f>
        <v>327</v>
      </c>
      <c r="BS1138" s="129"/>
      <c r="BT1138" s="129"/>
      <c r="BU1138" s="129"/>
      <c r="BV1138" s="129"/>
      <c r="BW1138" s="129"/>
      <c r="BX1138" s="137"/>
      <c r="BY1138" s="129">
        <f>INDEX('Gross Dx Plant'!$D$7:$AC$91,MATCH($C1138,'Gross Dx Plant'!$C$7:$C$91,0),MATCH(Calculation!$G1138,'Gross Dx Plant'!$D$5:$AC$5,0))</f>
        <v>5615</v>
      </c>
      <c r="BZ1138" s="129">
        <f>INDEX('Gross Gen Plant'!$D$7:$AC$91,MATCH($C1138,'Gross Gen Plant'!$C$7:$C$91,0),MATCH(Calculation!$G1138,'Gross Gen Plant'!$D$5:$AC$5,0))</f>
        <v>626</v>
      </c>
      <c r="CA1138" s="129">
        <f t="shared" si="2048"/>
        <v>2835</v>
      </c>
      <c r="CB1138" s="129"/>
      <c r="CC1138" s="133">
        <v>2008</v>
      </c>
      <c r="CD1138" s="129"/>
      <c r="CE1138" s="129"/>
      <c r="CF1138" s="129"/>
      <c r="CG1138" s="137"/>
      <c r="CH1138" s="129">
        <f t="shared" si="2037"/>
        <v>82</v>
      </c>
      <c r="CI1138" s="46">
        <f t="shared" si="2046"/>
        <v>81.598782246434865</v>
      </c>
      <c r="CJ1138" s="231">
        <f t="shared" si="2038"/>
        <v>0.14318560038283296</v>
      </c>
      <c r="CK1138" s="443">
        <v>0.89130434782608692</v>
      </c>
      <c r="CL1138" s="231">
        <f>+CL1128*CK1138+CJ1129*CK1137+CJ1130*CK1136+CJ1131*CK1135+CJ1132*CK1134+CJ1133*CK1133+CJ1134*CK1132+CJ1135*CK1131+CJ1136*CK1130+CJ1137*CK1129+CJ1138</f>
        <v>20.677497169072307</v>
      </c>
      <c r="CM1138" s="134">
        <f t="shared" si="2039"/>
        <v>-6.1130560809771074E-3</v>
      </c>
      <c r="CN1138" s="135">
        <f t="shared" si="2040"/>
        <v>1.2976913937006078E-2</v>
      </c>
      <c r="CO1138" s="135">
        <f t="shared" si="2050"/>
        <v>1.2588554130405364E-2</v>
      </c>
      <c r="CP1138" s="134">
        <f>VLOOKUP($H1138,RoR!$E:$F,2,FALSE)</f>
        <v>5.6316666666666668E-2</v>
      </c>
      <c r="CQ1138" s="135">
        <v>1.9092304698479889E-2</v>
      </c>
      <c r="CR1138" s="135">
        <f t="shared" si="2047"/>
        <v>3.7224361968186778E-2</v>
      </c>
      <c r="CS1138" s="135">
        <f t="shared" si="2051"/>
        <v>1.831338747812826E-2</v>
      </c>
      <c r="CT1138" s="135">
        <f t="shared" si="2052"/>
        <v>6.9030581091053131E-2</v>
      </c>
      <c r="CU1138" s="139">
        <f t="shared" si="2041"/>
        <v>0.85727249999999999</v>
      </c>
      <c r="CV1138" s="335">
        <f t="shared" si="2042"/>
        <v>0.91060168006009956</v>
      </c>
      <c r="CW1138" s="335">
        <f t="shared" si="2043"/>
        <v>0.53108168097070152</v>
      </c>
      <c r="CX1138" s="335">
        <f t="shared" si="2044"/>
        <v>0.88825329850328805</v>
      </c>
      <c r="CY1138" s="335">
        <f t="shared" si="2045"/>
        <v>0.4295627335323573</v>
      </c>
      <c r="CZ1138" s="336">
        <f>INDEX('State Tax Lookup'!$D$7:$Z$91,MATCH(Calculation!$C1138,'State Tax Lookup'!$B$7:$B$91,0),MATCH($H1138,'State Tax Lookup'!$D$6:$Z$6,0))</f>
        <v>0.38574999999999998</v>
      </c>
      <c r="DA1138" s="302">
        <v>0.37</v>
      </c>
      <c r="DB1138" s="57">
        <f t="shared" si="2049"/>
        <v>14.469203258434</v>
      </c>
      <c r="DC1138" s="56">
        <f t="shared" si="2053"/>
        <v>0.11445380234177699</v>
      </c>
      <c r="DD1138" s="303">
        <f>VLOOKUP($H1138,RoR!$E:$F,2,FALSE)</f>
        <v>5.6316666666666668E-2</v>
      </c>
      <c r="DE1138" s="304">
        <f>HLOOKUP($H1138,'GDP-PI'!$D$8:$CQ$11,3,FALSE)</f>
        <v>1.9092304698479889E-2</v>
      </c>
      <c r="DF1138" s="303">
        <f>VLOOKUP(H1138,'HW Dx Data'!$E:$F,2,FALSE)</f>
        <v>569.88120333515076</v>
      </c>
      <c r="DG1138" s="364">
        <f ca="1">VLOOKUP(CC1138,'ECI - Input Price'!M$13:N$33,2,FALSE)</f>
        <v>107.9</v>
      </c>
      <c r="DH1138" s="364"/>
      <c r="DI1138" s="364"/>
      <c r="DJ1138" s="56">
        <f t="shared" ca="1" si="2060"/>
        <v>3.1778595021460486E-2</v>
      </c>
      <c r="DK1138" s="53">
        <f>HLOOKUP(H1138,'GDP-PI'!$8:$9,2,FALSE)</f>
        <v>94.263999999999996</v>
      </c>
      <c r="DL1138" s="355">
        <f t="shared" si="2054"/>
        <v>1.8912333748032254E-2</v>
      </c>
    </row>
    <row r="1139" spans="1:116" s="126" customFormat="1" ht="21" customHeight="1" x14ac:dyDescent="0.4">
      <c r="A1139" s="233" t="s">
        <v>250</v>
      </c>
      <c r="B1139" s="126" t="s">
        <v>250</v>
      </c>
      <c r="C1139" s="126">
        <v>4063179</v>
      </c>
      <c r="D1139" s="127" t="s">
        <v>235</v>
      </c>
      <c r="E1139" s="127"/>
      <c r="F1139" s="144"/>
      <c r="G1139" s="126" t="s">
        <v>165</v>
      </c>
      <c r="H1139" s="128">
        <v>2009</v>
      </c>
      <c r="I1139" s="129"/>
      <c r="J1139" s="125">
        <f>IFERROR(INDEX('Labor Expenditures'!$E$7:$W$91,MATCH($C1139,'Labor Expenditures'!$C$7:$C$91,0),MATCH($G1139,'Labor Expenditures'!$E$5:$W$5,0)),"NA")</f>
        <v>303.30976820238368</v>
      </c>
      <c r="K1139" s="125">
        <f t="shared" ca="1" si="2055"/>
        <v>2.7343679801882685</v>
      </c>
      <c r="L1139" s="47"/>
      <c r="M1139" s="131">
        <f t="shared" ca="1" si="2061"/>
        <v>-5.9984739022687174E-2</v>
      </c>
      <c r="N1139" s="131"/>
      <c r="O1139" s="131"/>
      <c r="P1139" s="59">
        <f t="shared" ca="1" si="2063"/>
        <v>-7.2739601691717867E-6</v>
      </c>
      <c r="Q1139" s="61"/>
      <c r="R1139" s="387"/>
      <c r="S1139" s="49">
        <f t="shared" ca="1" si="2069"/>
        <v>116.54087740683777</v>
      </c>
      <c r="T1139" s="61">
        <f ca="1">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</f>
        <v>2.3118131664614103E-2</v>
      </c>
      <c r="U1139" s="61"/>
      <c r="V1139" s="125">
        <f>IFERROR(INDEX('Non-Labor Expenditures'!$E$7:$AA$91,MATCH($C1139,'Non-Labor Expenditures'!$C$7:$C$91,0),MATCH($G1139,'Non-Labor Expenditures'!$E$5:$AA$5,0)),"NA")</f>
        <v>439.24919480741721</v>
      </c>
      <c r="W1139" s="125">
        <f t="shared" si="2056"/>
        <v>4.6237244055981348</v>
      </c>
      <c r="X1139" s="131">
        <f t="shared" si="2064"/>
        <v>-4.0102322840112725E-2</v>
      </c>
      <c r="Y1139" s="131">
        <f t="shared" si="2065"/>
        <v>-4.862948539626411E-6</v>
      </c>
      <c r="Z1139" s="131"/>
      <c r="AA1139" s="131"/>
      <c r="AB1139" s="131"/>
      <c r="AC1139" s="125">
        <f t="shared" si="2035"/>
        <v>282.94522813677099</v>
      </c>
      <c r="AD1139" s="129"/>
      <c r="AE1139" s="133">
        <v>22.101024620559524</v>
      </c>
      <c r="AF1139" s="134">
        <v>8.7552553808742644E-3</v>
      </c>
      <c r="AG1139" s="134">
        <f t="shared" si="2066"/>
        <v>1.061693023075745E-6</v>
      </c>
      <c r="AH1139" s="134"/>
      <c r="AI1139" s="134"/>
      <c r="AJ1139" s="129">
        <f t="shared" si="2031"/>
        <v>1025.5041911465719</v>
      </c>
      <c r="AK1139" s="134">
        <f t="shared" si="2067"/>
        <v>-4.0588107330835087E-2</v>
      </c>
      <c r="AL1139" s="129"/>
      <c r="AM1139" s="129"/>
      <c r="AN1139" s="129"/>
      <c r="AO1139" s="129"/>
      <c r="AP1139" s="133">
        <f t="shared" si="2068"/>
        <v>346.57120349664478</v>
      </c>
      <c r="AQ1139" s="134">
        <f>+BB1139/Outputs!$B$17</f>
        <v>8.4116913128179792E-5</v>
      </c>
      <c r="AR1139" s="93">
        <f t="shared" si="2057"/>
        <v>0.29576648327810939</v>
      </c>
      <c r="AS1139" s="93">
        <f t="shared" si="2058"/>
        <v>0.42832510934578599</v>
      </c>
      <c r="AT1139" s="93">
        <f t="shared" si="2059"/>
        <v>0.27590840737610461</v>
      </c>
      <c r="AU1139" s="93">
        <f t="shared" ca="1" si="2062"/>
        <v>-3.2333112616348907E-2</v>
      </c>
      <c r="AV1139" s="132">
        <f t="shared" ca="1" si="2071"/>
        <v>104.30577287830019</v>
      </c>
      <c r="AW1139" s="134">
        <f t="shared" ca="1" si="2072"/>
        <v>-3.2333112616348893E-2</v>
      </c>
      <c r="AX1139" s="56">
        <f>+AJ1139/$AL$14</f>
        <v>1.2126351281482879E-4</v>
      </c>
      <c r="AY1139" s="135">
        <f t="shared" ca="1" si="2070"/>
        <v>-3.9208268160959261E-6</v>
      </c>
      <c r="AZ1139" s="93"/>
      <c r="BA1139" s="93"/>
      <c r="BB1139" s="234">
        <f>IFERROR(INDEX('Total Customers'!$E$7:$AA$91,MATCH($C1139,'Total Customers'!$C$7:$C$91,0),MATCH($G1139,'Total Customers'!$E$5:$AA$5,0)),"NA")</f>
        <v>2959</v>
      </c>
      <c r="BC1139" s="269">
        <f t="shared" si="1988"/>
        <v>-3.2582669490624883E-2</v>
      </c>
      <c r="BD1139" s="92"/>
      <c r="BE1139" s="299" t="str">
        <f t="shared" si="1984"/>
        <v>ST. JOE NATURAL GAS CO, INC.</v>
      </c>
      <c r="BF1139" s="300">
        <f t="shared" si="1985"/>
        <v>4063179</v>
      </c>
      <c r="BG1139" s="231" t="str">
        <f t="shared" si="1986"/>
        <v>FL</v>
      </c>
      <c r="BH1139" s="231"/>
      <c r="BI1139" s="231" t="str">
        <f t="shared" si="1987"/>
        <v>2009 Y</v>
      </c>
      <c r="BJ1139" s="129"/>
      <c r="BK1139" s="129"/>
      <c r="BL1139" s="129">
        <f>INDEX('Dist. Plant Gas Additions'!$E$7:$AD$91,MATCH($C1139,'Dist. Plant Gas Additions'!$C$7:$C$91,0),MATCH(Calculation!$G1139,'Dist. Plant Gas Additions'!$E$5:$AD$5,0))</f>
        <v>93</v>
      </c>
      <c r="BM1139" s="129">
        <f>INDEX('Gen. Plant Additions'!$E$7:$AD$91,MATCH($C1139,'Gen. Plant Additions'!$C$7:$C$91,0),MATCH(Calculation!$G1139,'Gen. Plant Additions'!$E$5:$AD$5,0))</f>
        <v>99</v>
      </c>
      <c r="BN1139" s="301">
        <f t="shared" si="2036"/>
        <v>0.89830508474576276</v>
      </c>
      <c r="BO1139" s="231">
        <f t="shared" si="1989"/>
        <v>88.932203389830519</v>
      </c>
      <c r="BP1139" s="231">
        <f t="shared" si="1990"/>
        <v>-10.067796610169481</v>
      </c>
      <c r="BQ1139" s="129">
        <f>INDEX('Dist Plant Depreciation'!$D$7:$AC$94,MATCH($C1139,'Dist Plant Depreciation'!$C$7:$C$94,0),MATCH(Calculation!$G1139,'Dist Plant Depreciation'!$D$5:$AC$5,0))</f>
        <v>3222</v>
      </c>
      <c r="BR1139" s="129">
        <f>INDEX('Gen. Plant Depreciation'!$D$7:$AC$94,MATCH($C1139,'Gen. Plant Depreciation'!$C$7:$C$94,0),MATCH(Calculation!$G1139,'Gen. Plant Depreciation'!$D$5:$AC$5,0))</f>
        <v>320</v>
      </c>
      <c r="BS1139" s="129"/>
      <c r="BT1139" s="129"/>
      <c r="BU1139" s="129"/>
      <c r="BV1139" s="129"/>
      <c r="BW1139" s="129"/>
      <c r="BX1139" s="137"/>
      <c r="BY1139" s="129">
        <f>INDEX('Gross Dx Plant'!$D$7:$AC$91,MATCH($C1139,'Gross Dx Plant'!$C$7:$C$91,0),MATCH(Calculation!$G1139,'Gross Dx Plant'!$D$5:$AC$5,0))</f>
        <v>5671</v>
      </c>
      <c r="BZ1139" s="129">
        <f>INDEX('Gross Gen Plant'!$D$7:$AC$91,MATCH($C1139,'Gross Gen Plant'!$C$7:$C$91,0),MATCH(Calculation!$G1139,'Gross Gen Plant'!$D$5:$AC$5,0))</f>
        <v>642</v>
      </c>
      <c r="CA1139" s="129">
        <f t="shared" si="2048"/>
        <v>2771</v>
      </c>
      <c r="CB1139" s="129"/>
      <c r="CC1139" s="133">
        <v>2009</v>
      </c>
      <c r="CD1139" s="129"/>
      <c r="CE1139" s="129"/>
      <c r="CF1139" s="129"/>
      <c r="CG1139" s="137"/>
      <c r="CH1139" s="129">
        <f t="shared" si="2037"/>
        <v>192</v>
      </c>
      <c r="CI1139" s="46">
        <f t="shared" si="2046"/>
        <v>181.93220338983053</v>
      </c>
      <c r="CJ1139" s="231">
        <f t="shared" si="2038"/>
        <v>0.3302210641922374</v>
      </c>
      <c r="CK1139" s="443">
        <v>0.87912087912087911</v>
      </c>
      <c r="CL1139" s="231">
        <f>+CL1128*CK1139+CJ1129*CK1138+CJ1130*CK1137+CJ1131*CK1136+CJ1132*CK1135+CJ1133*CK1134+CJ1134*CK1133+CJ1135*CK1132+CJ1136*CK1131+CJ1137*CK1130+CJ1138*CK1129+CJ1139</f>
        <v>20.730420395026531</v>
      </c>
      <c r="CM1139" s="134">
        <f t="shared" si="2039"/>
        <v>2.5561901145823595E-3</v>
      </c>
      <c r="CN1139" s="135">
        <f t="shared" si="2040"/>
        <v>1.3410609416151804E-2</v>
      </c>
      <c r="CO1139" s="135">
        <f t="shared" si="2050"/>
        <v>1.29901422646537E-2</v>
      </c>
      <c r="CP1139" s="134">
        <f>VLOOKUP($H1139,RoR!$E:$F,2,FALSE)</f>
        <v>5.3133333333333324E-2</v>
      </c>
      <c r="CQ1139" s="135">
        <v>7.7972502758210105E-3</v>
      </c>
      <c r="CR1139" s="135">
        <f t="shared" si="2047"/>
        <v>4.5336083057512314E-2</v>
      </c>
      <c r="CS1139" s="135">
        <f t="shared" si="2051"/>
        <v>1.7911799343879924E-2</v>
      </c>
      <c r="CT1139" s="135">
        <f t="shared" si="2052"/>
        <v>6.3720160300892073E-2</v>
      </c>
      <c r="CU1139" s="139">
        <f t="shared" si="2041"/>
        <v>0.85727249999999999</v>
      </c>
      <c r="CV1139" s="335">
        <f t="shared" si="2042"/>
        <v>0.96515780330083989</v>
      </c>
      <c r="CW1139" s="335">
        <f t="shared" si="2043"/>
        <v>0.50448557089084056</v>
      </c>
      <c r="CX1139" s="335">
        <f t="shared" si="2044"/>
        <v>0.87391435735465484</v>
      </c>
      <c r="CY1139" s="335">
        <f t="shared" si="2045"/>
        <v>0.42551605393279146</v>
      </c>
      <c r="CZ1139" s="336">
        <f>INDEX('State Tax Lookup'!$D$7:$Z$91,MATCH(Calculation!$C1139,'State Tax Lookup'!$B$7:$B$91,0),MATCH($H1139,'State Tax Lookup'!$D$6:$Z$6,0))</f>
        <v>0.38574999999999998</v>
      </c>
      <c r="DA1139" s="302">
        <v>0.37</v>
      </c>
      <c r="DB1139" s="57">
        <f t="shared" si="2049"/>
        <v>13.683727088594509</v>
      </c>
      <c r="DC1139" s="56">
        <f t="shared" si="2053"/>
        <v>-5.5815154428793604E-2</v>
      </c>
      <c r="DD1139" s="303">
        <f>VLOOKUP($H1139,RoR!$E:$F,2,FALSE)</f>
        <v>5.3133333333333324E-2</v>
      </c>
      <c r="DE1139" s="304">
        <f>HLOOKUP($H1139,'GDP-PI'!$D$8:$CQ$11,3,FALSE)</f>
        <v>7.7972502758210105E-3</v>
      </c>
      <c r="DF1139" s="303">
        <f>VLOOKUP(H1139,'HW Dx Data'!$E:$F,2,FALSE)</f>
        <v>550.94063679692806</v>
      </c>
      <c r="DG1139" s="364">
        <f ca="1">VLOOKUP(CC1139,'ECI - Input Price'!M$13:N$33,2,FALSE)</f>
        <v>110.925</v>
      </c>
      <c r="DH1139" s="364"/>
      <c r="DI1139" s="364"/>
      <c r="DJ1139" s="56">
        <f t="shared" ca="1" si="2060"/>
        <v>2.7649425000884052E-2</v>
      </c>
      <c r="DK1139" s="53">
        <f>HLOOKUP(H1139,'GDP-PI'!$8:$9,2,FALSE)</f>
        <v>94.998999999999995</v>
      </c>
      <c r="DL1139" s="355">
        <f t="shared" si="2054"/>
        <v>7.7670088183096342E-3</v>
      </c>
    </row>
    <row r="1140" spans="1:116" s="126" customFormat="1" ht="21" customHeight="1" x14ac:dyDescent="0.4">
      <c r="A1140" s="233" t="s">
        <v>250</v>
      </c>
      <c r="B1140" s="126" t="s">
        <v>250</v>
      </c>
      <c r="C1140" s="126">
        <v>4063179</v>
      </c>
      <c r="D1140" s="127" t="s">
        <v>235</v>
      </c>
      <c r="E1140" s="127"/>
      <c r="F1140" s="144"/>
      <c r="G1140" s="126" t="s">
        <v>166</v>
      </c>
      <c r="H1140" s="128">
        <v>2010</v>
      </c>
      <c r="I1140" s="129"/>
      <c r="J1140" s="125">
        <f>IFERROR(INDEX('Labor Expenditures'!$E$7:$W$91,MATCH($C1140,'Labor Expenditures'!$C$7:$C$91,0),MATCH($G1140,'Labor Expenditures'!$E$5:$W$5,0)),"NA")</f>
        <v>299.83456977406388</v>
      </c>
      <c r="K1140" s="125">
        <f t="shared" ca="1" si="2055"/>
        <v>2.5643324333894708</v>
      </c>
      <c r="L1140" s="47"/>
      <c r="M1140" s="131">
        <f t="shared" ca="1" si="2061"/>
        <v>-6.4202138453008498E-2</v>
      </c>
      <c r="N1140" s="131"/>
      <c r="O1140" s="131"/>
      <c r="P1140" s="59">
        <f t="shared" ca="1" si="2063"/>
        <v>-7.5170671294694173E-6</v>
      </c>
      <c r="Q1140" s="61"/>
      <c r="R1140" s="387"/>
      <c r="S1140" s="49">
        <f t="shared" ca="1" si="2069"/>
        <v>97.843433368673871</v>
      </c>
      <c r="T1140" s="61">
        <f ca="1">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</f>
        <v>-0.17487350806079602</v>
      </c>
      <c r="U1140" s="61"/>
      <c r="V1140" s="125">
        <f>IFERROR(INDEX('Non-Labor Expenditures'!$E$7:$AA$91,MATCH($C1140,'Non-Labor Expenditures'!$C$7:$C$91,0),MATCH($G1140,'Non-Labor Expenditures'!$E$5:$AA$5,0)),"NA")</f>
        <v>434.21645840567714</v>
      </c>
      <c r="W1140" s="125">
        <f t="shared" si="2056"/>
        <v>4.5179583431903065</v>
      </c>
      <c r="X1140" s="131">
        <f t="shared" si="2064"/>
        <v>-2.3140330913182121E-2</v>
      </c>
      <c r="Y1140" s="131">
        <f t="shared" si="2065"/>
        <v>-2.7093711372222247E-6</v>
      </c>
      <c r="Z1140" s="131"/>
      <c r="AA1140" s="131"/>
      <c r="AB1140" s="131"/>
      <c r="AC1140" s="125">
        <f t="shared" si="2035"/>
        <v>286.63760664643229</v>
      </c>
      <c r="AD1140" s="129"/>
      <c r="AE1140" s="133">
        <v>22.491543965880048</v>
      </c>
      <c r="AF1140" s="134">
        <v>1.7515444462043828E-2</v>
      </c>
      <c r="AG1140" s="134">
        <f t="shared" si="2066"/>
        <v>2.0507848335931406E-6</v>
      </c>
      <c r="AH1140" s="134"/>
      <c r="AI1140" s="134"/>
      <c r="AJ1140" s="129">
        <f t="shared" si="2031"/>
        <v>1020.6886348261733</v>
      </c>
      <c r="AK1140" s="134">
        <f t="shared" si="2067"/>
        <v>-4.7068537723127307E-3</v>
      </c>
      <c r="AL1140" s="129"/>
      <c r="AM1140" s="129"/>
      <c r="AN1140" s="129"/>
      <c r="AO1140" s="129"/>
      <c r="AP1140" s="133">
        <f t="shared" si="2068"/>
        <v>349.91039932333678</v>
      </c>
      <c r="AQ1140" s="134">
        <f>+BB1140/Outputs!$B$18</f>
        <v>8.2469253274131132E-5</v>
      </c>
      <c r="AR1140" s="93">
        <f t="shared" si="2057"/>
        <v>0.29375713566667344</v>
      </c>
      <c r="AS1140" s="93">
        <f t="shared" si="2058"/>
        <v>0.42541519871006078</v>
      </c>
      <c r="AT1140" s="93">
        <f t="shared" si="2059"/>
        <v>0.28082766562326583</v>
      </c>
      <c r="AU1140" s="93">
        <f t="shared" ca="1" si="2062"/>
        <v>-2.3926515240254524E-2</v>
      </c>
      <c r="AV1140" s="132">
        <f t="shared" ca="1" si="2071"/>
        <v>101.83971889865339</v>
      </c>
      <c r="AW1140" s="134">
        <f t="shared" ca="1" si="2072"/>
        <v>-2.3926515240254541E-2</v>
      </c>
      <c r="AX1140" s="56">
        <f>+AJ1140/$AL$15</f>
        <v>1.1708437305357652E-4</v>
      </c>
      <c r="AY1140" s="135">
        <f t="shared" ca="1" si="2070"/>
        <v>-2.8014210362620466E-6</v>
      </c>
      <c r="AZ1140" s="93"/>
      <c r="BA1140" s="93"/>
      <c r="BB1140" s="234">
        <f>IFERROR(INDEX('Total Customers'!$E$7:$AA$91,MATCH($C1140,'Total Customers'!$C$7:$C$91,0),MATCH($G1140,'Total Customers'!$E$5:$AA$5,0)),"NA")</f>
        <v>2917</v>
      </c>
      <c r="BC1140" s="269">
        <f t="shared" si="1988"/>
        <v>-1.4295682532488226E-2</v>
      </c>
      <c r="BD1140" s="92"/>
      <c r="BE1140" s="299" t="str">
        <f t="shared" si="1984"/>
        <v>ST. JOE NATURAL GAS CO, INC.</v>
      </c>
      <c r="BF1140" s="300">
        <f t="shared" si="1985"/>
        <v>4063179</v>
      </c>
      <c r="BG1140" s="231" t="str">
        <f t="shared" si="1986"/>
        <v>FL</v>
      </c>
      <c r="BH1140" s="231"/>
      <c r="BI1140" s="231" t="str">
        <f t="shared" si="1987"/>
        <v>2010 Y</v>
      </c>
      <c r="BJ1140" s="129"/>
      <c r="BK1140" s="129"/>
      <c r="BL1140" s="129">
        <f>INDEX('Dist. Plant Gas Additions'!$E$7:$AD$91,MATCH($C1140,'Dist. Plant Gas Additions'!$C$7:$C$91,0),MATCH(Calculation!$G1140,'Dist. Plant Gas Additions'!$E$5:$AD$5,0))</f>
        <v>308</v>
      </c>
      <c r="BM1140" s="129">
        <f>INDEX('Gen. Plant Additions'!$E$7:$AD$91,MATCH($C1140,'Gen. Plant Additions'!$C$7:$C$91,0),MATCH(Calculation!$G1140,'Gen. Plant Additions'!$E$5:$AD$5,0))</f>
        <v>7</v>
      </c>
      <c r="BN1140" s="301">
        <f t="shared" si="2036"/>
        <v>0.90811965811965811</v>
      </c>
      <c r="BO1140" s="231">
        <f t="shared" si="1989"/>
        <v>6.3568376068376065</v>
      </c>
      <c r="BP1140" s="231">
        <f t="shared" si="1990"/>
        <v>-0.64316239316239354</v>
      </c>
      <c r="BQ1140" s="129">
        <f>INDEX('Dist Plant Depreciation'!$D$7:$AC$94,MATCH($C1140,'Dist Plant Depreciation'!$C$7:$C$94,0),MATCH(Calculation!$G1140,'Dist Plant Depreciation'!$D$5:$AC$5,0))</f>
        <v>3379</v>
      </c>
      <c r="BR1140" s="129">
        <f>INDEX('Gen. Plant Depreciation'!$D$7:$AC$94,MATCH($C1140,'Gen. Plant Depreciation'!$C$7:$C$94,0),MATCH(Calculation!$G1140,'Gen. Plant Depreciation'!$D$5:$AC$5,0))</f>
        <v>342</v>
      </c>
      <c r="BS1140" s="129"/>
      <c r="BT1140" s="129"/>
      <c r="BU1140" s="129"/>
      <c r="BV1140" s="129"/>
      <c r="BW1140" s="129"/>
      <c r="BX1140" s="137"/>
      <c r="BY1140" s="129">
        <f>INDEX('Gross Dx Plant'!$D$7:$AC$91,MATCH($C1140,'Gross Dx Plant'!$C$7:$C$91,0),MATCH(Calculation!$G1140,'Gross Dx Plant'!$D$5:$AC$5,0))</f>
        <v>5950</v>
      </c>
      <c r="BZ1140" s="129">
        <f>INDEX('Gross Gen Plant'!$D$7:$AC$91,MATCH($C1140,'Gross Gen Plant'!$C$7:$C$91,0),MATCH(Calculation!$G1140,'Gross Gen Plant'!$D$5:$AC$5,0))</f>
        <v>602</v>
      </c>
      <c r="CA1140" s="129">
        <f t="shared" si="2048"/>
        <v>2831</v>
      </c>
      <c r="CB1140" s="129"/>
      <c r="CC1140" s="133">
        <v>2010</v>
      </c>
      <c r="CD1140" s="129"/>
      <c r="CE1140" s="129"/>
      <c r="CF1140" s="129"/>
      <c r="CG1140" s="137"/>
      <c r="CH1140" s="129">
        <f t="shared" si="2037"/>
        <v>315</v>
      </c>
      <c r="CI1140" s="46">
        <f t="shared" si="2046"/>
        <v>314.35683760683759</v>
      </c>
      <c r="CJ1140" s="231">
        <f t="shared" si="2038"/>
        <v>0.55248266647093536</v>
      </c>
      <c r="CK1140" s="443">
        <v>0.8666666666666667</v>
      </c>
      <c r="CL1140" s="231">
        <f>+CL1128*CK1140+CJ1129*CK1139+CJ1130*CK1138+CJ1131*CK1137+CJ1132*CK1136+CJ1133*CK1135+CJ1134*CK1134+CJ1135*CK1133+CJ1136*CK1132+CJ1137*CK1131+CJ1138*CK1130+CJ1139*CK1129+CJ1140</f>
        <v>20.996206723361752</v>
      </c>
      <c r="CM1140" s="134">
        <f t="shared" si="2039"/>
        <v>1.2739583396697993E-2</v>
      </c>
      <c r="CN1140" s="135">
        <f t="shared" si="2040"/>
        <v>1.3829740674458127E-2</v>
      </c>
      <c r="CO1140" s="135">
        <f t="shared" si="2050"/>
        <v>1.3405754675872003E-2</v>
      </c>
      <c r="CP1140" s="134">
        <f>VLOOKUP($H1140,RoR!$E:$F,2,FALSE)</f>
        <v>4.9433333333333322E-2</v>
      </c>
      <c r="CQ1140" s="135">
        <v>1.1684333519300205E-2</v>
      </c>
      <c r="CR1140" s="135">
        <f t="shared" si="2047"/>
        <v>3.7748999814033117E-2</v>
      </c>
      <c r="CS1140" s="135">
        <f t="shared" si="2051"/>
        <v>1.7496186932661622E-2</v>
      </c>
      <c r="CT1140" s="135">
        <f t="shared" si="2052"/>
        <v>4.7937530248493419E-2</v>
      </c>
      <c r="CU1140" s="139">
        <f t="shared" si="2041"/>
        <v>0.85727249999999999</v>
      </c>
      <c r="CV1140" s="335">
        <f t="shared" si="2042"/>
        <v>1.037398205301105</v>
      </c>
      <c r="CW1140" s="335">
        <f t="shared" si="2043"/>
        <v>0.46926837491571133</v>
      </c>
      <c r="CX1140" s="335">
        <f t="shared" si="2044"/>
        <v>0.8548537519972772</v>
      </c>
      <c r="CY1140" s="335">
        <f t="shared" si="2045"/>
        <v>0.41615833911547367</v>
      </c>
      <c r="CZ1140" s="336">
        <f>INDEX('State Tax Lookup'!$D$7:$Z$91,MATCH(Calculation!$C1140,'State Tax Lookup'!$B$7:$B$91,0),MATCH($H1140,'State Tax Lookup'!$D$6:$Z$6,0))</f>
        <v>0.38574999999999998</v>
      </c>
      <c r="DA1140" s="302">
        <v>0.37</v>
      </c>
      <c r="DB1140" s="57">
        <f t="shared" si="2049"/>
        <v>13.826907567933354</v>
      </c>
      <c r="DC1140" s="56">
        <f t="shared" si="2053"/>
        <v>1.0409194403575414E-2</v>
      </c>
      <c r="DD1140" s="303">
        <f>VLOOKUP($H1140,RoR!$E:$F,2,FALSE)</f>
        <v>4.9433333333333322E-2</v>
      </c>
      <c r="DE1140" s="304">
        <f>HLOOKUP($H1140,'GDP-PI'!$D$8:$CQ$11,3,FALSE)</f>
        <v>1.1684333519300205E-2</v>
      </c>
      <c r="DF1140" s="303">
        <f>VLOOKUP(H1140,'HW Dx Data'!$E:$F,2,FALSE)</f>
        <v>568.98950262971744</v>
      </c>
      <c r="DG1140" s="364">
        <f ca="1">VLOOKUP(CC1140,'ECI - Input Price'!M$13:N$33,2,FALSE)</f>
        <v>116.925</v>
      </c>
      <c r="DH1140" s="364"/>
      <c r="DI1140" s="364"/>
      <c r="DJ1140" s="56">
        <f t="shared" ca="1" si="2060"/>
        <v>5.2678406346976722E-2</v>
      </c>
      <c r="DK1140" s="53">
        <f>HLOOKUP(H1140,'GDP-PI'!$8:$9,2,FALSE)</f>
        <v>96.108999999999995</v>
      </c>
      <c r="DL1140" s="355">
        <f t="shared" si="2054"/>
        <v>1.1616598807150427E-2</v>
      </c>
    </row>
    <row r="1141" spans="1:116" s="126" customFormat="1" ht="21" customHeight="1" x14ac:dyDescent="0.4">
      <c r="A1141" s="233" t="s">
        <v>250</v>
      </c>
      <c r="B1141" s="126" t="s">
        <v>250</v>
      </c>
      <c r="C1141" s="126">
        <v>4063179</v>
      </c>
      <c r="D1141" s="127" t="s">
        <v>235</v>
      </c>
      <c r="E1141" s="127"/>
      <c r="F1141" s="144"/>
      <c r="G1141" s="126" t="s">
        <v>167</v>
      </c>
      <c r="H1141" s="128">
        <v>2011</v>
      </c>
      <c r="I1141" s="129"/>
      <c r="J1141" s="125">
        <f>IFERROR(INDEX('Labor Expenditures'!$E$7:$W$91,MATCH($C1141,'Labor Expenditures'!$C$7:$C$91,0),MATCH($G1141,'Labor Expenditures'!$E$5:$W$5,0)),"NA")</f>
        <v>274.50565264834597</v>
      </c>
      <c r="K1141" s="125">
        <f t="shared" ca="1" si="2055"/>
        <v>2.2709878192210629</v>
      </c>
      <c r="L1141" s="47"/>
      <c r="M1141" s="131">
        <f t="shared" ca="1" si="2061"/>
        <v>-0.12148328537215086</v>
      </c>
      <c r="N1141" s="131"/>
      <c r="O1141" s="131"/>
      <c r="P1141" s="59">
        <f t="shared" ca="1" si="2063"/>
        <v>-1.3088156011972344E-5</v>
      </c>
      <c r="Q1141" s="61"/>
      <c r="R1141" s="387"/>
      <c r="S1141" s="49">
        <f t="shared" ca="1" si="2069"/>
        <v>118.1776257676182</v>
      </c>
      <c r="T1141" s="61">
        <f ca="1">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</f>
        <v>0.18882021331807158</v>
      </c>
      <c r="U1141" s="61"/>
      <c r="V1141" s="125">
        <f>IFERROR(INDEX('Non-Labor Expenditures'!$E$7:$AA$91,MATCH($C1141,'Non-Labor Expenditures'!$C$7:$C$91,0),MATCH($G1141,'Non-Labor Expenditures'!$E$5:$AA$5,0)),"NA")</f>
        <v>397.53545561848125</v>
      </c>
      <c r="W1141" s="125">
        <f t="shared" si="2056"/>
        <v>4.0518535512320746</v>
      </c>
      <c r="X1141" s="131">
        <f t="shared" si="2064"/>
        <v>-0.10888575442349134</v>
      </c>
      <c r="Y1141" s="131">
        <f t="shared" si="2065"/>
        <v>-1.1730945018570096E-5</v>
      </c>
      <c r="Z1141" s="131"/>
      <c r="AA1141" s="131"/>
      <c r="AB1141" s="131"/>
      <c r="AC1141" s="125">
        <f t="shared" si="2035"/>
        <v>305.41578034357582</v>
      </c>
      <c r="AD1141" s="129"/>
      <c r="AE1141" s="133">
        <v>22.507852082079729</v>
      </c>
      <c r="AF1141" s="134">
        <v>7.2481492401647689E-4</v>
      </c>
      <c r="AG1141" s="134">
        <f t="shared" si="2066"/>
        <v>7.8088856226374636E-8</v>
      </c>
      <c r="AH1141" s="134"/>
      <c r="AI1141" s="134"/>
      <c r="AJ1141" s="129">
        <f t="shared" si="2031"/>
        <v>977.45688861040298</v>
      </c>
      <c r="AK1141" s="134">
        <f t="shared" si="2067"/>
        <v>-4.3278623498081419E-2</v>
      </c>
      <c r="AL1141" s="129"/>
      <c r="AM1141" s="129"/>
      <c r="AN1141" s="129"/>
      <c r="AO1141" s="129"/>
      <c r="AP1141" s="133">
        <f t="shared" si="2068"/>
        <v>337.40313724901722</v>
      </c>
      <c r="AQ1141" s="134">
        <f>+BB1141/Outputs!$B$19</f>
        <v>8.1508629349819701E-5</v>
      </c>
      <c r="AR1141" s="93">
        <f t="shared" si="2057"/>
        <v>0.28083658302167747</v>
      </c>
      <c r="AS1141" s="93">
        <f t="shared" si="2058"/>
        <v>0.40670382525375176</v>
      </c>
      <c r="AT1141" s="93">
        <f t="shared" si="2059"/>
        <v>0.31245959172457083</v>
      </c>
      <c r="AU1141" s="93">
        <f t="shared" ca="1" si="2062"/>
        <v>-7.9989708468273385E-2</v>
      </c>
      <c r="AV1141" s="132">
        <f t="shared" ca="1" si="2071"/>
        <v>94.010876737708941</v>
      </c>
      <c r="AW1141" s="134">
        <f t="shared" ca="1" si="2072"/>
        <v>-7.9989708468273343E-2</v>
      </c>
      <c r="AX1141" s="56">
        <f>+AJ1141/$AL$16</f>
        <v>1.0773626982410131E-4</v>
      </c>
      <c r="AY1141" s="135">
        <f t="shared" ca="1" si="2070"/>
        <v>-8.617792814689098E-6</v>
      </c>
      <c r="AZ1141" s="93"/>
      <c r="BA1141" s="93"/>
      <c r="BB1141" s="234">
        <f>IFERROR(INDEX('Total Customers'!$E$7:$AA$91,MATCH($C1141,'Total Customers'!$C$7:$C$91,0),MATCH($G1141,'Total Customers'!$E$5:$AA$5,0)),"NA")</f>
        <v>2897</v>
      </c>
      <c r="BC1141" s="269">
        <f t="shared" si="1988"/>
        <v>-6.879972098371023E-3</v>
      </c>
      <c r="BD1141" s="92"/>
      <c r="BE1141" s="299" t="str">
        <f t="shared" si="1984"/>
        <v>ST. JOE NATURAL GAS CO, INC.</v>
      </c>
      <c r="BF1141" s="300">
        <f t="shared" si="1985"/>
        <v>4063179</v>
      </c>
      <c r="BG1141" s="231" t="str">
        <f t="shared" si="1986"/>
        <v>FL</v>
      </c>
      <c r="BH1141" s="231"/>
      <c r="BI1141" s="231" t="str">
        <f t="shared" si="1987"/>
        <v>2011 Y</v>
      </c>
      <c r="BJ1141" s="129"/>
      <c r="BK1141" s="129"/>
      <c r="BL1141" s="129">
        <f>INDEX('Dist. Plant Gas Additions'!$E$7:$AD$91,MATCH($C1141,'Dist. Plant Gas Additions'!$C$7:$C$91,0),MATCH(Calculation!$G1141,'Dist. Plant Gas Additions'!$E$5:$AD$5,0))</f>
        <v>78</v>
      </c>
      <c r="BM1141" s="129">
        <f>INDEX('Gen. Plant Additions'!$E$7:$AD$91,MATCH($C1141,'Gen. Plant Additions'!$C$7:$C$91,0),MATCH(Calculation!$G1141,'Gen. Plant Additions'!$E$5:$AD$5,0))</f>
        <v>37</v>
      </c>
      <c r="BN1141" s="301">
        <f t="shared" si="2036"/>
        <v>0.90555220277610138</v>
      </c>
      <c r="BO1141" s="231">
        <f t="shared" si="1989"/>
        <v>33.505431502715751</v>
      </c>
      <c r="BP1141" s="231">
        <f t="shared" si="1990"/>
        <v>-3.4945684972842486</v>
      </c>
      <c r="BQ1141" s="129">
        <f>INDEX('Dist Plant Depreciation'!$D$7:$AC$94,MATCH($C1141,'Dist Plant Depreciation'!$C$7:$C$94,0),MATCH(Calculation!$G1141,'Dist Plant Depreciation'!$D$5:$AC$5,0))</f>
        <v>3543</v>
      </c>
      <c r="BR1141" s="129">
        <f>INDEX('Gen. Plant Depreciation'!$D$7:$AC$94,MATCH($C1141,'Gen. Plant Depreciation'!$C$7:$C$94,0),MATCH(Calculation!$G1141,'Gen. Plant Depreciation'!$D$5:$AC$5,0))</f>
        <v>378</v>
      </c>
      <c r="BS1141" s="129"/>
      <c r="BT1141" s="129"/>
      <c r="BU1141" s="129"/>
      <c r="BV1141" s="129"/>
      <c r="BW1141" s="129"/>
      <c r="BX1141" s="137"/>
      <c r="BY1141" s="129">
        <f>INDEX('Gross Dx Plant'!$D$7:$AC$91,MATCH($C1141,'Gross Dx Plant'!$C$7:$C$91,0),MATCH(Calculation!$G1141,'Gross Dx Plant'!$D$5:$AC$5,0))</f>
        <v>6002</v>
      </c>
      <c r="BZ1141" s="129">
        <f>INDEX('Gross Gen Plant'!$D$7:$AC$91,MATCH($C1141,'Gross Gen Plant'!$C$7:$C$91,0),MATCH(Calculation!$G1141,'Gross Gen Plant'!$D$5:$AC$5,0))</f>
        <v>626</v>
      </c>
      <c r="CA1141" s="129">
        <f t="shared" si="2048"/>
        <v>2707</v>
      </c>
      <c r="CB1141" s="129"/>
      <c r="CC1141" s="133">
        <v>2011</v>
      </c>
      <c r="CD1141" s="129"/>
      <c r="CE1141" s="129"/>
      <c r="CF1141" s="129"/>
      <c r="CG1141" s="137"/>
      <c r="CH1141" s="129">
        <f t="shared" si="2037"/>
        <v>115</v>
      </c>
      <c r="CI1141" s="46">
        <f t="shared" si="2046"/>
        <v>111.50543150271575</v>
      </c>
      <c r="CJ1141" s="231">
        <f t="shared" si="2038"/>
        <v>0.1823142716173379</v>
      </c>
      <c r="CK1141" s="443">
        <v>0.8539325842696629</v>
      </c>
      <c r="CL1141" s="231">
        <f>+CL1128*CK1141+CJ1129*CK1140+CJ1130*CK1139+CJ1131*CK1138+CJ1132*CK1137+CJ1133*CK1136+CJ1134*CK1135+CJ1135*CK1134+CJ1136*CK1133+CJ1137*CK1132+CJ1138*CK1131+CJ1139*CK1130+CJ1140*CK1129+CJ1141</f>
        <v>20.879954617296541</v>
      </c>
      <c r="CM1141" s="134">
        <f t="shared" si="2039"/>
        <v>-5.5521996756372578E-3</v>
      </c>
      <c r="CN1141" s="135">
        <f t="shared" si="2040"/>
        <v>1.4220015149229054E-2</v>
      </c>
      <c r="CO1141" s="135">
        <f t="shared" si="2050"/>
        <v>1.3820121746612993E-2</v>
      </c>
      <c r="CP1141" s="134">
        <f>VLOOKUP($H1141,RoR!$E:$F,2,FALSE)</f>
        <v>4.6391666666666664E-2</v>
      </c>
      <c r="CQ1141" s="135">
        <v>2.0840920205183799E-2</v>
      </c>
      <c r="CR1141" s="135">
        <f t="shared" si="2047"/>
        <v>2.5550746461482865E-2</v>
      </c>
      <c r="CS1141" s="135">
        <f t="shared" si="2051"/>
        <v>1.708181986192063E-2</v>
      </c>
      <c r="CT1141" s="135">
        <f t="shared" si="2052"/>
        <v>2.4810540821321614E-2</v>
      </c>
      <c r="CU1141" s="139">
        <f t="shared" si="2041"/>
        <v>0.85727249999999999</v>
      </c>
      <c r="CV1141" s="335">
        <f t="shared" si="2042"/>
        <v>1.1054151524782025</v>
      </c>
      <c r="CW1141" s="335">
        <f t="shared" si="2043"/>
        <v>0.43611011316687626</v>
      </c>
      <c r="CX1141" s="335">
        <f t="shared" si="2044"/>
        <v>0.83698442246886229</v>
      </c>
      <c r="CY1141" s="335">
        <f t="shared" si="2045"/>
        <v>0.40349573304423936</v>
      </c>
      <c r="CZ1141" s="336">
        <f>INDEX('State Tax Lookup'!$D$7:$Z$91,MATCH(Calculation!$C1141,'State Tax Lookup'!$B$7:$B$91,0),MATCH($H1141,'State Tax Lookup'!$D$6:$Z$6,0))</f>
        <v>0.38574999999999998</v>
      </c>
      <c r="DA1141" s="302">
        <v>0.37</v>
      </c>
      <c r="DB1141" s="57">
        <f t="shared" si="2049"/>
        <v>14.546236106722567</v>
      </c>
      <c r="DC1141" s="56">
        <f t="shared" si="2053"/>
        <v>5.0715755841663955E-2</v>
      </c>
      <c r="DD1141" s="303">
        <f>VLOOKUP($H1141,RoR!$E:$F,2,FALSE)</f>
        <v>4.6391666666666664E-2</v>
      </c>
      <c r="DE1141" s="304">
        <f>HLOOKUP($H1141,'GDP-PI'!$D$8:$CQ$11,3,FALSE)</f>
        <v>2.0840920205183799E-2</v>
      </c>
      <c r="DF1141" s="303">
        <f>VLOOKUP(H1141,'HW Dx Data'!$E:$F,2,FALSE)</f>
        <v>611.61109612283201</v>
      </c>
      <c r="DG1141" s="364">
        <f ca="1">VLOOKUP(CC1141,'ECI - Input Price'!M$13:N$33,2,FALSE)</f>
        <v>120.875</v>
      </c>
      <c r="DH1141" s="364"/>
      <c r="DI1141" s="364"/>
      <c r="DJ1141" s="56">
        <f t="shared" ca="1" si="2060"/>
        <v>3.3224250161508609E-2</v>
      </c>
      <c r="DK1141" s="53">
        <f>HLOOKUP(H1141,'GDP-PI'!$8:$9,2,FALSE)</f>
        <v>98.111999999999995</v>
      </c>
      <c r="DL1141" s="355">
        <f t="shared" si="2054"/>
        <v>2.0626719212849295E-2</v>
      </c>
    </row>
    <row r="1142" spans="1:116" s="126" customFormat="1" ht="21" customHeight="1" x14ac:dyDescent="0.4">
      <c r="A1142" s="233" t="s">
        <v>250</v>
      </c>
      <c r="B1142" s="126" t="s">
        <v>250</v>
      </c>
      <c r="C1142" s="126">
        <v>4063179</v>
      </c>
      <c r="D1142" s="127" t="s">
        <v>235</v>
      </c>
      <c r="E1142" s="127"/>
      <c r="F1142" s="144"/>
      <c r="G1142" s="126" t="s">
        <v>168</v>
      </c>
      <c r="H1142" s="128">
        <v>2012</v>
      </c>
      <c r="I1142" s="129"/>
      <c r="J1142" s="125">
        <f>IFERROR(INDEX('Labor Expenditures'!$E$7:$W$91,MATCH($C1142,'Labor Expenditures'!$C$7:$C$91,0),MATCH($G1142,'Labor Expenditures'!$E$5:$W$5,0)),"NA")</f>
        <v>297.50942790862143</v>
      </c>
      <c r="K1142" s="125">
        <f t="shared" ca="1" si="2055"/>
        <v>2.3838896467036972</v>
      </c>
      <c r="L1142" s="47"/>
      <c r="M1142" s="131">
        <f t="shared" ca="1" si="2061"/>
        <v>4.8518559507418714E-2</v>
      </c>
      <c r="N1142" s="131"/>
      <c r="O1142" s="131"/>
      <c r="P1142" s="59">
        <f t="shared" ca="1" si="2063"/>
        <v>5.4312487970501203E-6</v>
      </c>
      <c r="Q1142" s="61"/>
      <c r="R1142" s="387"/>
      <c r="S1142" s="49">
        <f t="shared" ca="1" si="2069"/>
        <v>117.84257689494271</v>
      </c>
      <c r="T1142" s="61">
        <f ca="1">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</f>
        <v>-2.8391560888385084E-3</v>
      </c>
      <c r="U1142" s="61"/>
      <c r="V1142" s="125">
        <f>IFERROR(INDEX('Non-Labor Expenditures'!$E$7:$AA$91,MATCH($C1142,'Non-Labor Expenditures'!$C$7:$C$91,0),MATCH($G1142,'Non-Labor Expenditures'!$E$5:$AA$5,0)),"NA")</f>
        <v>430.84921870791993</v>
      </c>
      <c r="W1142" s="125">
        <f t="shared" si="2056"/>
        <v>4.3084921870791995</v>
      </c>
      <c r="X1142" s="131">
        <f t="shared" si="2064"/>
        <v>6.141355893054521E-2</v>
      </c>
      <c r="Y1142" s="131">
        <f t="shared" si="2065"/>
        <v>6.8747366255399367E-6</v>
      </c>
      <c r="Z1142" s="131"/>
      <c r="AA1142" s="131"/>
      <c r="AB1142" s="131"/>
      <c r="AC1142" s="125">
        <f t="shared" si="2035"/>
        <v>322.59012636347842</v>
      </c>
      <c r="AD1142" s="129"/>
      <c r="AE1142" s="133">
        <v>22.420109989055334</v>
      </c>
      <c r="AF1142" s="134">
        <v>-3.9059062788403781E-3</v>
      </c>
      <c r="AG1142" s="134">
        <f t="shared" si="2066"/>
        <v>-4.3723368941113353E-7</v>
      </c>
      <c r="AH1142" s="134"/>
      <c r="AI1142" s="134"/>
      <c r="AJ1142" s="129">
        <f t="shared" si="2031"/>
        <v>1050.9487729800198</v>
      </c>
      <c r="AK1142" s="134">
        <f t="shared" si="2067"/>
        <v>7.2494441307640378E-2</v>
      </c>
      <c r="AL1142" s="129"/>
      <c r="AM1142" s="129"/>
      <c r="AN1142" s="129"/>
      <c r="AO1142" s="129"/>
      <c r="AP1142" s="133">
        <f t="shared" si="2068"/>
        <v>361.5234857172411</v>
      </c>
      <c r="AQ1142" s="134">
        <f>+BB1142/Outputs!$B$20</f>
        <v>8.1398020950064148E-5</v>
      </c>
      <c r="AR1142" s="93">
        <f t="shared" si="2057"/>
        <v>0.28308651720960482</v>
      </c>
      <c r="AS1142" s="93">
        <f t="shared" si="2058"/>
        <v>0.40996215018761056</v>
      </c>
      <c r="AT1142" s="93">
        <f t="shared" si="2059"/>
        <v>0.30695133260278457</v>
      </c>
      <c r="AU1142" s="93">
        <f t="shared" ca="1" si="2062"/>
        <v>3.7547869743503139E-2</v>
      </c>
      <c r="AV1142" s="132">
        <f t="shared" ca="1" si="2071"/>
        <v>97.607892438211934</v>
      </c>
      <c r="AW1142" s="134">
        <f t="shared" ca="1" si="2072"/>
        <v>3.7547869743503118E-2</v>
      </c>
      <c r="AX1142" s="56">
        <f>+AJ1142/$AL$17</f>
        <v>1.1194167453012814E-4</v>
      </c>
      <c r="AY1142" s="135">
        <f t="shared" ca="1" si="2070"/>
        <v>4.2031714141268717E-6</v>
      </c>
      <c r="AZ1142" s="93"/>
      <c r="BA1142" s="93"/>
      <c r="BB1142" s="234">
        <f>IFERROR(INDEX('Total Customers'!$E$7:$AA$91,MATCH($C1142,'Total Customers'!$C$7:$C$91,0),MATCH($G1142,'Total Customers'!$E$5:$AA$5,0)),"NA")</f>
        <v>2907</v>
      </c>
      <c r="BC1142" s="269">
        <f t="shared" si="1988"/>
        <v>3.4459027895256066E-3</v>
      </c>
      <c r="BD1142" s="92"/>
      <c r="BE1142" s="299" t="str">
        <f t="shared" si="1984"/>
        <v>ST. JOE NATURAL GAS CO, INC.</v>
      </c>
      <c r="BF1142" s="300">
        <f t="shared" si="1985"/>
        <v>4063179</v>
      </c>
      <c r="BG1142" s="231" t="str">
        <f t="shared" si="1986"/>
        <v>FL</v>
      </c>
      <c r="BH1142" s="231"/>
      <c r="BI1142" s="231" t="str">
        <f t="shared" si="1987"/>
        <v>2012 Y</v>
      </c>
      <c r="BJ1142" s="129"/>
      <c r="BK1142" s="129"/>
      <c r="BL1142" s="129">
        <f>INDEX('Dist. Plant Gas Additions'!$E$7:$AD$91,MATCH($C1142,'Dist. Plant Gas Additions'!$C$7:$C$91,0),MATCH(Calculation!$G1142,'Dist. Plant Gas Additions'!$E$5:$AD$5,0))</f>
        <v>47</v>
      </c>
      <c r="BM1142" s="129">
        <f>INDEX('Gen. Plant Additions'!$E$7:$AD$91,MATCH($C1142,'Gen. Plant Additions'!$C$7:$C$91,0),MATCH(Calculation!$G1142,'Gen. Plant Additions'!$E$5:$AD$5,0))</f>
        <v>14</v>
      </c>
      <c r="BN1142" s="301">
        <f t="shared" si="2036"/>
        <v>0.90628295916829893</v>
      </c>
      <c r="BO1142" s="231">
        <f t="shared" si="1989"/>
        <v>12.687961428356186</v>
      </c>
      <c r="BP1142" s="231">
        <f t="shared" si="1990"/>
        <v>-1.3120385716438143</v>
      </c>
      <c r="BQ1142" s="129">
        <f>INDEX('Dist Plant Depreciation'!$D$7:$AC$94,MATCH($C1142,'Dist Plant Depreciation'!$C$7:$C$94,0),MATCH(Calculation!$G1142,'Dist Plant Depreciation'!$D$5:$AC$5,0))</f>
        <v>3699</v>
      </c>
      <c r="BR1142" s="129">
        <f>INDEX('Gen. Plant Depreciation'!$D$7:$AC$94,MATCH($C1142,'Gen. Plant Depreciation'!$C$7:$C$94,0),MATCH(Calculation!$G1142,'Gen. Plant Depreciation'!$D$5:$AC$5,0))</f>
        <v>409</v>
      </c>
      <c r="BS1142" s="129"/>
      <c r="BT1142" s="129"/>
      <c r="BU1142" s="129"/>
      <c r="BV1142" s="129"/>
      <c r="BW1142" s="129"/>
      <c r="BX1142" s="137"/>
      <c r="BY1142" s="129">
        <f>INDEX('Gross Dx Plant'!$D$7:$AC$91,MATCH($C1142,'Gross Dx Plant'!$C$7:$C$91,0),MATCH(Calculation!$G1142,'Gross Dx Plant'!$D$5:$AC$5,0))</f>
        <v>6015</v>
      </c>
      <c r="BZ1142" s="129">
        <f>INDEX('Gross Gen Plant'!$D$7:$AC$91,MATCH($C1142,'Gross Gen Plant'!$C$7:$C$91,0),MATCH(Calculation!$G1142,'Gross Gen Plant'!$D$5:$AC$5,0))</f>
        <v>622</v>
      </c>
      <c r="CA1142" s="129">
        <f t="shared" si="2048"/>
        <v>2529</v>
      </c>
      <c r="CB1142" s="129"/>
      <c r="CC1142" s="133">
        <v>2012</v>
      </c>
      <c r="CD1142" s="129"/>
      <c r="CE1142" s="129"/>
      <c r="CF1142" s="129"/>
      <c r="CG1142" s="137"/>
      <c r="CH1142" s="129">
        <f t="shared" si="2037"/>
        <v>61</v>
      </c>
      <c r="CI1142" s="46">
        <f t="shared" si="2046"/>
        <v>59.687961428356189</v>
      </c>
      <c r="CJ1142" s="231">
        <f t="shared" si="2038"/>
        <v>8.9230434007865164E-2</v>
      </c>
      <c r="CK1142" s="443">
        <v>0.84090909090909094</v>
      </c>
      <c r="CL1142" s="231">
        <f>+CL1128*CK1142+CJ1129*CK1141+CJ1130*CK1140+CJ1131*CK1139+CJ1132*CK1138+CJ1133*CK1137+CJ1134*CK1136+CJ1135*CK1135+CJ1136*CK1134+CJ1137*CK1133+CJ1138*CK1132+CJ1139*CK1131+CJ1140*CK1130+CJ1141*CK1129+CJ1142</f>
        <v>20.662087446811196</v>
      </c>
      <c r="CM1142" s="134">
        <f t="shared" si="2039"/>
        <v>-1.0489092839668777E-2</v>
      </c>
      <c r="CN1142" s="135">
        <f t="shared" si="2040"/>
        <v>1.4707771646151788E-2</v>
      </c>
      <c r="CO1142" s="135">
        <f t="shared" si="2050"/>
        <v>1.425250915661299E-2</v>
      </c>
      <c r="CP1142" s="134">
        <f>VLOOKUP($H1142,RoR!$E:$F,2,FALSE)</f>
        <v>3.6733333333333333E-2</v>
      </c>
      <c r="CQ1142" s="135">
        <v>1.924331376386168E-2</v>
      </c>
      <c r="CR1142" s="135">
        <f t="shared" si="2047"/>
        <v>1.7490019569471653E-2</v>
      </c>
      <c r="CS1142" s="135">
        <f t="shared" si="2051"/>
        <v>1.6649432451920635E-2</v>
      </c>
      <c r="CT1142" s="135">
        <f t="shared" si="2052"/>
        <v>6.7122682943869583E-2</v>
      </c>
      <c r="CU1142" s="139">
        <f t="shared" si="2041"/>
        <v>0.85727249999999999</v>
      </c>
      <c r="CV1142" s="335">
        <f t="shared" si="2042"/>
        <v>1.3960631020522127</v>
      </c>
      <c r="CW1142" s="335">
        <f t="shared" si="2043"/>
        <v>0.29441923774954631</v>
      </c>
      <c r="CX1142" s="335">
        <f t="shared" si="2044"/>
        <v>0.76377954189366437</v>
      </c>
      <c r="CY1142" s="335">
        <f t="shared" si="2045"/>
        <v>0.31393465103033691</v>
      </c>
      <c r="CZ1142" s="336">
        <f>INDEX('State Tax Lookup'!$D$7:$Z$91,MATCH(Calculation!$C1142,'State Tax Lookup'!$B$7:$B$91,0),MATCH($H1142,'State Tax Lookup'!$D$6:$Z$6,0))</f>
        <v>0.38574999999999998</v>
      </c>
      <c r="DA1142" s="302">
        <v>0.37</v>
      </c>
      <c r="DB1142" s="57">
        <f t="shared" si="2049"/>
        <v>15.449752275622819</v>
      </c>
      <c r="DC1142" s="56">
        <f t="shared" si="2053"/>
        <v>6.0260695945836239E-2</v>
      </c>
      <c r="DD1142" s="303">
        <f>VLOOKUP($H1142,RoR!$E:$F,2,FALSE)</f>
        <v>3.6733333333333333E-2</v>
      </c>
      <c r="DE1142" s="304">
        <f>HLOOKUP($H1142,'GDP-PI'!$D$8:$CQ$11,3,FALSE)</f>
        <v>1.924331376386168E-2</v>
      </c>
      <c r="DF1142" s="303">
        <f>VLOOKUP(H1142,'HW Dx Data'!$E:$F,2,FALSE)</f>
        <v>668.91932211262167</v>
      </c>
      <c r="DG1142" s="364">
        <f ca="1">VLOOKUP(CC1142,'ECI - Input Price'!M$13:N$33,2,FALSE)</f>
        <v>124.80000000000001</v>
      </c>
      <c r="DH1142" s="364"/>
      <c r="DI1142" s="364"/>
      <c r="DJ1142" s="56">
        <f t="shared" ca="1" si="2060"/>
        <v>3.1955502161869064E-2</v>
      </c>
      <c r="DK1142" s="53">
        <f>HLOOKUP(H1142,'GDP-PI'!$8:$9,2,FALSE)</f>
        <v>100</v>
      </c>
      <c r="DL1142" s="355">
        <f t="shared" si="2054"/>
        <v>1.9060502738742411E-2</v>
      </c>
    </row>
    <row r="1143" spans="1:116" s="126" customFormat="1" ht="21" customHeight="1" x14ac:dyDescent="0.4">
      <c r="A1143" s="233" t="s">
        <v>250</v>
      </c>
      <c r="B1143" s="126" t="s">
        <v>250</v>
      </c>
      <c r="C1143" s="126">
        <v>4063179</v>
      </c>
      <c r="D1143" s="127" t="s">
        <v>235</v>
      </c>
      <c r="E1143" s="127"/>
      <c r="F1143" s="144"/>
      <c r="G1143" s="126" t="s">
        <v>169</v>
      </c>
      <c r="H1143" s="128">
        <v>2013</v>
      </c>
      <c r="I1143" s="129"/>
      <c r="J1143" s="125">
        <f>IFERROR(INDEX('Labor Expenditures'!$E$7:$W$91,MATCH($C1143,'Labor Expenditures'!$C$7:$C$91,0),MATCH($G1143,'Labor Expenditures'!$E$5:$W$5,0)),"NA")</f>
        <v>301.07589240416377</v>
      </c>
      <c r="K1143" s="125">
        <f t="shared" ca="1" si="2055"/>
        <v>2.3744155552378845</v>
      </c>
      <c r="L1143" s="47"/>
      <c r="M1143" s="131">
        <f t="shared" ca="1" si="2061"/>
        <v>-3.9821337990146449E-3</v>
      </c>
      <c r="N1143" s="131"/>
      <c r="O1143" s="131"/>
      <c r="P1143" s="59">
        <f t="shared" ca="1" si="2063"/>
        <v>-4.2764317970386588E-7</v>
      </c>
      <c r="Q1143" s="61"/>
      <c r="R1143" s="387"/>
      <c r="S1143" s="49">
        <f t="shared" ca="1" si="2069"/>
        <v>107.58789035371468</v>
      </c>
      <c r="T1143" s="61">
        <f ca="1">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</f>
        <v>-9.1041541446057472E-2</v>
      </c>
      <c r="U1143" s="61"/>
      <c r="V1143" s="125">
        <f>IFERROR(INDEX('Non-Labor Expenditures'!$E$7:$AA$91,MATCH($C1143,'Non-Labor Expenditures'!$C$7:$C$91,0),MATCH($G1143,'Non-Labor Expenditures'!$E$5:$AA$5,0)),"NA")</f>
        <v>436.01412542114821</v>
      </c>
      <c r="W1143" s="125">
        <f t="shared" si="2056"/>
        <v>4.2841826950286244</v>
      </c>
      <c r="X1143" s="131">
        <f t="shared" si="2064"/>
        <v>-5.6582047477270435E-3</v>
      </c>
      <c r="Y1143" s="131">
        <f t="shared" si="2065"/>
        <v>-6.0763720956142698E-7</v>
      </c>
      <c r="Z1143" s="131"/>
      <c r="AA1143" s="131"/>
      <c r="AB1143" s="131"/>
      <c r="AC1143" s="125">
        <f t="shared" si="2035"/>
        <v>307.88129041222652</v>
      </c>
      <c r="AD1143" s="129"/>
      <c r="AE1143" s="133">
        <v>22.408960804671455</v>
      </c>
      <c r="AF1143" s="134">
        <v>-4.9740868665567879E-4</v>
      </c>
      <c r="AG1143" s="134">
        <f t="shared" si="2066"/>
        <v>-5.3416947573783938E-8</v>
      </c>
      <c r="AH1143" s="134"/>
      <c r="AI1143" s="134"/>
      <c r="AJ1143" s="129">
        <f t="shared" si="2031"/>
        <v>1044.9713082375386</v>
      </c>
      <c r="AK1143" s="134">
        <f t="shared" si="2067"/>
        <v>-5.7039206812288922E-3</v>
      </c>
      <c r="AL1143" s="129"/>
      <c r="AM1143" s="129"/>
      <c r="AN1143" s="129"/>
      <c r="AO1143" s="129"/>
      <c r="AP1143" s="133">
        <f t="shared" si="2068"/>
        <v>359.46725429567891</v>
      </c>
      <c r="AQ1143" s="134">
        <f>+BB1143/Outputs!$B$21</f>
        <v>8.0879245033563639E-5</v>
      </c>
      <c r="AR1143" s="93">
        <f t="shared" si="2057"/>
        <v>0.28811881247913118</v>
      </c>
      <c r="AS1143" s="93">
        <f t="shared" si="2058"/>
        <v>0.41724985364099132</v>
      </c>
      <c r="AT1143" s="93">
        <f t="shared" si="2059"/>
        <v>0.29463133387987744</v>
      </c>
      <c r="AU1143" s="93">
        <f t="shared" ca="1" si="2062"/>
        <v>-3.6271916905102888E-3</v>
      </c>
      <c r="AV1143" s="132">
        <f t="shared" ca="1" si="2071"/>
        <v>97.2544912162804</v>
      </c>
      <c r="AW1143" s="134">
        <f t="shared" ca="1" si="2072"/>
        <v>-3.6271916905101223E-3</v>
      </c>
      <c r="AX1143" s="56">
        <f>+AJ1143/$AL$18</f>
        <v>1.0739045981068833E-4</v>
      </c>
      <c r="AY1143" s="135">
        <f t="shared" ca="1" si="2070"/>
        <v>-3.8952578346538994E-7</v>
      </c>
      <c r="AZ1143" s="93"/>
      <c r="BA1143" s="93"/>
      <c r="BB1143" s="234">
        <f>IFERROR(INDEX('Total Customers'!$E$7:$AA$91,MATCH($C1143,'Total Customers'!$C$7:$C$91,0),MATCH($G1143,'Total Customers'!$E$5:$AA$5,0)),"NA")</f>
        <v>2907</v>
      </c>
      <c r="BC1143" s="269">
        <f t="shared" si="1988"/>
        <v>0</v>
      </c>
      <c r="BD1143" s="92"/>
      <c r="BE1143" s="299" t="str">
        <f t="shared" si="1984"/>
        <v>ST. JOE NATURAL GAS CO, INC.</v>
      </c>
      <c r="BF1143" s="300">
        <f t="shared" si="1985"/>
        <v>4063179</v>
      </c>
      <c r="BG1143" s="231" t="str">
        <f t="shared" si="1986"/>
        <v>FL</v>
      </c>
      <c r="BH1143" s="231"/>
      <c r="BI1143" s="231" t="str">
        <f t="shared" si="1987"/>
        <v>2013 Y</v>
      </c>
      <c r="BJ1143" s="129"/>
      <c r="BK1143" s="129"/>
      <c r="BL1143" s="129">
        <f>INDEX('Dist. Plant Gas Additions'!$E$7:$AD$91,MATCH($C1143,'Dist. Plant Gas Additions'!$C$7:$C$91,0),MATCH(Calculation!$G1143,'Dist. Plant Gas Additions'!$E$5:$AD$5,0))</f>
        <v>85</v>
      </c>
      <c r="BM1143" s="129">
        <f>INDEX('Gen. Plant Additions'!$E$7:$AD$91,MATCH($C1143,'Gen. Plant Additions'!$C$7:$C$91,0),MATCH(Calculation!$G1143,'Gen. Plant Additions'!$E$5:$AD$5,0))</f>
        <v>31</v>
      </c>
      <c r="BN1143" s="301">
        <f t="shared" si="2036"/>
        <v>0.90473355165227742</v>
      </c>
      <c r="BO1143" s="231">
        <f t="shared" si="1989"/>
        <v>28.0467401012206</v>
      </c>
      <c r="BP1143" s="231">
        <f t="shared" si="1990"/>
        <v>-2.9532598987794003</v>
      </c>
      <c r="BQ1143" s="129">
        <f>INDEX('Dist Plant Depreciation'!$D$7:$AC$94,MATCH($C1143,'Dist Plant Depreciation'!$C$7:$C$94,0),MATCH(Calculation!$G1143,'Dist Plant Depreciation'!$D$5:$AC$5,0))</f>
        <v>3897</v>
      </c>
      <c r="BR1143" s="129">
        <f>INDEX('Gen. Plant Depreciation'!$D$7:$AC$94,MATCH($C1143,'Gen. Plant Depreciation'!$C$7:$C$94,0),MATCH(Calculation!$G1143,'Gen. Plant Depreciation'!$D$5:$AC$5,0))</f>
        <v>424</v>
      </c>
      <c r="BS1143" s="129"/>
      <c r="BT1143" s="129"/>
      <c r="BU1143" s="129"/>
      <c r="BV1143" s="129"/>
      <c r="BW1143" s="129"/>
      <c r="BX1143" s="137"/>
      <c r="BY1143" s="129">
        <f>INDEX('Gross Dx Plant'!$D$7:$AC$91,MATCH($C1143,'Gross Dx Plant'!$C$7:$C$91,0),MATCH(Calculation!$G1143,'Gross Dx Plant'!$D$5:$AC$5,0))</f>
        <v>6078</v>
      </c>
      <c r="BZ1143" s="129">
        <f>INDEX('Gross Gen Plant'!$D$7:$AC$91,MATCH($C1143,'Gross Gen Plant'!$C$7:$C$91,0),MATCH(Calculation!$G1143,'Gross Gen Plant'!$D$5:$AC$5,0))</f>
        <v>640</v>
      </c>
      <c r="CA1143" s="129">
        <f t="shared" si="2048"/>
        <v>2397</v>
      </c>
      <c r="CB1143" s="129"/>
      <c r="CC1143" s="133">
        <v>2013</v>
      </c>
      <c r="CD1143" s="129"/>
      <c r="CE1143" s="129"/>
      <c r="CF1143" s="129"/>
      <c r="CG1143" s="137"/>
      <c r="CH1143" s="129">
        <f t="shared" si="2037"/>
        <v>116</v>
      </c>
      <c r="CI1143" s="46">
        <f t="shared" si="2046"/>
        <v>113.04674010122059</v>
      </c>
      <c r="CJ1143" s="231">
        <f t="shared" si="2038"/>
        <v>0.17044404353751508</v>
      </c>
      <c r="CK1143" s="443">
        <v>0.82758620689655171</v>
      </c>
      <c r="CL1143" s="231">
        <f>+CL1128*CK1143+CJ1129*CK1142+CJ1130*CK1141+CJ1131*CK1140+CJ1132*CK1139+CJ1133*CK1138+CJ1134*CK1137+CJ1135*CK1136+CJ1136*CK1135+CJ1137*CK1134+CJ1138*CK1133+CJ1139*CK1132+CJ1140*CK1131+CJ1141*CK1130+CJ1142*CK1129+CJ1143</f>
        <v>20.517558135582025</v>
      </c>
      <c r="CM1143" s="134">
        <f t="shared" si="2039"/>
        <v>-7.0194826903283367E-3</v>
      </c>
      <c r="CN1143" s="135">
        <f t="shared" si="2040"/>
        <v>1.5244023895334741E-2</v>
      </c>
      <c r="CO1143" s="135">
        <f t="shared" si="2050"/>
        <v>1.4723936896905194E-2</v>
      </c>
      <c r="CP1143" s="134">
        <f>VLOOKUP($H1143,RoR!$E:$F,2,FALSE)</f>
        <v>4.2350000000000006E-2</v>
      </c>
      <c r="CQ1143" s="135">
        <v>1.7730000000000024E-2</v>
      </c>
      <c r="CR1143" s="135">
        <f t="shared" si="2047"/>
        <v>2.4619999999999982E-2</v>
      </c>
      <c r="CS1143" s="135">
        <f t="shared" si="2051"/>
        <v>1.6178004711628433E-2</v>
      </c>
      <c r="CT1143" s="135">
        <f t="shared" si="2052"/>
        <v>5.3376742735721204E-2</v>
      </c>
      <c r="CU1143" s="139">
        <f t="shared" si="2041"/>
        <v>0.85727249999999999</v>
      </c>
      <c r="CV1143" s="335">
        <f t="shared" si="2042"/>
        <v>1.2109103018193925</v>
      </c>
      <c r="CW1143" s="335">
        <f t="shared" si="2043"/>
        <v>0.38468122786304604</v>
      </c>
      <c r="CX1143" s="335">
        <f t="shared" si="2044"/>
        <v>0.80969194503422559</v>
      </c>
      <c r="CY1143" s="335">
        <f t="shared" si="2045"/>
        <v>0.37716621754800816</v>
      </c>
      <c r="CZ1143" s="336">
        <f>INDEX('State Tax Lookup'!$D$7:$Z$91,MATCH(Calculation!$C1143,'State Tax Lookup'!$B$7:$B$91,0),MATCH($H1143,'State Tax Lookup'!$D$6:$Z$6,0))</f>
        <v>0.38574999999999998</v>
      </c>
      <c r="DA1143" s="302">
        <v>0.37</v>
      </c>
      <c r="DB1143" s="57">
        <f t="shared" si="2049"/>
        <v>14.900783437529309</v>
      </c>
      <c r="DC1143" s="56">
        <f t="shared" si="2053"/>
        <v>-3.6179178005835665E-2</v>
      </c>
      <c r="DD1143" s="303">
        <f>VLOOKUP($H1143,RoR!$E:$F,2,FALSE)</f>
        <v>4.2350000000000006E-2</v>
      </c>
      <c r="DE1143" s="304">
        <f>HLOOKUP($H1143,'GDP-PI'!$D$8:$CQ$11,3,FALSE)</f>
        <v>1.7730000000000024E-2</v>
      </c>
      <c r="DF1143" s="303">
        <f>VLOOKUP(H1143,'HW Dx Data'!$E:$F,2,FALSE)</f>
        <v>663.24840548821396</v>
      </c>
      <c r="DG1143" s="364">
        <f ca="1">VLOOKUP(CC1143,'ECI - Input Price'!M$13:N$33,2,FALSE)</f>
        <v>126.8</v>
      </c>
      <c r="DH1143" s="364"/>
      <c r="DI1143" s="364"/>
      <c r="DJ1143" s="56">
        <f t="shared" ca="1" si="2060"/>
        <v>1.5898586067798204E-2</v>
      </c>
      <c r="DK1143" s="53">
        <f>HLOOKUP(H1143,'GDP-PI'!$8:$9,2,FALSE)</f>
        <v>101.773</v>
      </c>
      <c r="DL1143" s="355">
        <f t="shared" si="2054"/>
        <v>1.7574657016510519E-2</v>
      </c>
    </row>
    <row r="1144" spans="1:116" s="126" customFormat="1" ht="21" customHeight="1" x14ac:dyDescent="0.4">
      <c r="A1144" s="233" t="s">
        <v>250</v>
      </c>
      <c r="B1144" s="126" t="s">
        <v>250</v>
      </c>
      <c r="C1144" s="126">
        <v>4063179</v>
      </c>
      <c r="D1144" s="127" t="s">
        <v>235</v>
      </c>
      <c r="E1144" s="127"/>
      <c r="F1144" s="144"/>
      <c r="G1144" s="126" t="s">
        <v>170</v>
      </c>
      <c r="H1144" s="128">
        <v>2014</v>
      </c>
      <c r="I1144" s="129"/>
      <c r="J1144" s="125">
        <f>IFERROR(INDEX('Labor Expenditures'!$E$7:$W$91,MATCH($C1144,'Labor Expenditures'!$C$7:$C$91,0),MATCH($G1144,'Labor Expenditures'!$E$5:$W$5,0)),"NA")</f>
        <v>316.35515587842258</v>
      </c>
      <c r="K1144" s="125">
        <f t="shared" ca="1" si="2055"/>
        <v>2.4447848213170214</v>
      </c>
      <c r="L1144" s="47"/>
      <c r="M1144" s="131">
        <f t="shared" ca="1" si="2061"/>
        <v>2.9205786214277118E-2</v>
      </c>
      <c r="N1144" s="131"/>
      <c r="O1144" s="131"/>
      <c r="P1144" s="59">
        <f t="shared" ca="1" si="2063"/>
        <v>3.1837892973670134E-6</v>
      </c>
      <c r="Q1144" s="61"/>
      <c r="R1144" s="387"/>
      <c r="S1144" s="49">
        <f t="shared" ca="1" si="2069"/>
        <v>122.4653568640217</v>
      </c>
      <c r="T1144" s="61">
        <f ca="1">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</f>
        <v>0.12952009066584527</v>
      </c>
      <c r="U1144" s="61"/>
      <c r="V1144" s="125">
        <f>IFERROR(INDEX('Non-Labor Expenditures'!$E$7:$AA$91,MATCH($C1144,'Non-Labor Expenditures'!$C$7:$C$91,0),MATCH($G1144,'Non-Labor Expenditures'!$E$5:$AA$5,0)),"NA")</f>
        <v>458.14135270464408</v>
      </c>
      <c r="W1144" s="125">
        <f t="shared" si="2056"/>
        <v>4.4202085222403351</v>
      </c>
      <c r="X1144" s="131">
        <f t="shared" si="2064"/>
        <v>3.1257074379695951E-2</v>
      </c>
      <c r="Y1144" s="131">
        <f t="shared" si="2065"/>
        <v>3.407404893912177E-6</v>
      </c>
      <c r="Z1144" s="131"/>
      <c r="AA1144" s="131"/>
      <c r="AB1144" s="131"/>
      <c r="AC1144" s="125">
        <f t="shared" si="2035"/>
        <v>305.72981500726263</v>
      </c>
      <c r="AD1144" s="129"/>
      <c r="AE1144" s="133">
        <v>22.451673064861996</v>
      </c>
      <c r="AF1144" s="134">
        <v>1.9042206679995366E-3</v>
      </c>
      <c r="AG1144" s="134">
        <f t="shared" si="2066"/>
        <v>2.0758343357448453E-7</v>
      </c>
      <c r="AH1144" s="134"/>
      <c r="AI1144" s="134"/>
      <c r="AJ1144" s="129">
        <f t="shared" si="2031"/>
        <v>1080.2263235903292</v>
      </c>
      <c r="AK1144" s="134">
        <f t="shared" si="2067"/>
        <v>3.318114925384321E-2</v>
      </c>
      <c r="AL1144" s="129"/>
      <c r="AM1144" s="129"/>
      <c r="AN1144" s="129"/>
      <c r="AO1144" s="129"/>
      <c r="AP1144" s="133">
        <f t="shared" si="2068"/>
        <v>369.05579897175579</v>
      </c>
      <c r="AQ1144" s="134">
        <f>+BB1144/Outputs!$B$22</f>
        <v>8.1000521093205387E-5</v>
      </c>
      <c r="AR1144" s="93">
        <f t="shared" si="2057"/>
        <v>0.29286006920008995</v>
      </c>
      <c r="AS1144" s="93">
        <f t="shared" si="2058"/>
        <v>0.4241160789175436</v>
      </c>
      <c r="AT1144" s="93">
        <f t="shared" si="2059"/>
        <v>0.28302385188236651</v>
      </c>
      <c r="AU1144" s="93">
        <f t="shared" ca="1" si="2062"/>
        <v>2.2183282745781543E-2</v>
      </c>
      <c r="AV1144" s="132">
        <f t="shared" ca="1" si="2071"/>
        <v>99.436022394838105</v>
      </c>
      <c r="AW1144" s="134">
        <f t="shared" ca="1" si="2072"/>
        <v>2.2183282745781505E-2</v>
      </c>
      <c r="AX1144" s="56">
        <f>+AJ1144/$AL$19</f>
        <v>1.0901227838922659E-4</v>
      </c>
      <c r="AY1144" s="135">
        <f t="shared" ca="1" si="2070"/>
        <v>2.4182501942700601E-6</v>
      </c>
      <c r="AZ1144" s="93"/>
      <c r="BA1144" s="93"/>
      <c r="BB1144" s="234">
        <f>IFERROR(INDEX('Total Customers'!$E$7:$AA$91,MATCH($C1144,'Total Customers'!$C$7:$C$91,0),MATCH($G1144,'Total Customers'!$E$5:$AA$5,0)),"NA")</f>
        <v>2927</v>
      </c>
      <c r="BC1144" s="269">
        <f t="shared" si="1988"/>
        <v>6.8563861330100291E-3</v>
      </c>
      <c r="BD1144" s="92"/>
      <c r="BE1144" s="299" t="str">
        <f t="shared" si="1984"/>
        <v>ST. JOE NATURAL GAS CO, INC.</v>
      </c>
      <c r="BF1144" s="300">
        <f t="shared" si="1985"/>
        <v>4063179</v>
      </c>
      <c r="BG1144" s="231" t="str">
        <f t="shared" si="1986"/>
        <v>FL</v>
      </c>
      <c r="BH1144" s="231"/>
      <c r="BI1144" s="231" t="str">
        <f t="shared" si="1987"/>
        <v>2014 Y</v>
      </c>
      <c r="BJ1144" s="129"/>
      <c r="BK1144" s="129"/>
      <c r="BL1144" s="129">
        <f>INDEX('Dist. Plant Gas Additions'!$E$7:$AD$91,MATCH($C1144,'Dist. Plant Gas Additions'!$C$7:$C$91,0),MATCH(Calculation!$G1144,'Dist. Plant Gas Additions'!$E$5:$AD$5,0))</f>
        <v>93</v>
      </c>
      <c r="BM1144" s="129">
        <f>INDEX('Gen. Plant Additions'!$E$7:$AD$91,MATCH($C1144,'Gen. Plant Additions'!$C$7:$C$91,0),MATCH(Calculation!$G1144,'Gen. Plant Additions'!$E$5:$AD$5,0))</f>
        <v>69</v>
      </c>
      <c r="BN1144" s="301">
        <f t="shared" si="2036"/>
        <v>0.89664723032069971</v>
      </c>
      <c r="BO1144" s="231">
        <f t="shared" si="1989"/>
        <v>61.868658892128281</v>
      </c>
      <c r="BP1144" s="231">
        <f t="shared" si="1990"/>
        <v>-7.1313411078717195</v>
      </c>
      <c r="BQ1144" s="129">
        <f>INDEX('Dist Plant Depreciation'!$D$7:$AC$94,MATCH($C1144,'Dist Plant Depreciation'!$C$7:$C$94,0),MATCH(Calculation!$G1144,'Dist Plant Depreciation'!$D$5:$AC$5,0))</f>
        <v>4069</v>
      </c>
      <c r="BR1144" s="129">
        <f>INDEX('Gen. Plant Depreciation'!$D$7:$AC$94,MATCH($C1144,'Gen. Plant Depreciation'!$C$7:$C$94,0),MATCH(Calculation!$G1144,'Gen. Plant Depreciation'!$D$5:$AC$5,0))</f>
        <v>479</v>
      </c>
      <c r="BS1144" s="129"/>
      <c r="BT1144" s="129"/>
      <c r="BU1144" s="129"/>
      <c r="BV1144" s="129"/>
      <c r="BW1144" s="129"/>
      <c r="BX1144" s="137"/>
      <c r="BY1144" s="129">
        <f>INDEX('Gross Dx Plant'!$D$7:$AC$91,MATCH($C1144,'Gross Dx Plant'!$C$7:$C$91,0),MATCH(Calculation!$G1144,'Gross Dx Plant'!$D$5:$AC$5,0))</f>
        <v>6151</v>
      </c>
      <c r="BZ1144" s="129">
        <f>INDEX('Gross Gen Plant'!$D$7:$AC$91,MATCH($C1144,'Gross Gen Plant'!$C$7:$C$91,0),MATCH(Calculation!$G1144,'Gross Gen Plant'!$D$5:$AC$5,0))</f>
        <v>709</v>
      </c>
      <c r="CA1144" s="129">
        <f t="shared" si="2048"/>
        <v>2312</v>
      </c>
      <c r="CB1144" s="129"/>
      <c r="CC1144" s="133">
        <v>2014</v>
      </c>
      <c r="CD1144" s="129"/>
      <c r="CE1144" s="129"/>
      <c r="CF1144" s="129"/>
      <c r="CG1144" s="137"/>
      <c r="CH1144" s="129">
        <f t="shared" si="2037"/>
        <v>162</v>
      </c>
      <c r="CI1144" s="46">
        <f t="shared" si="2046"/>
        <v>154.86865889212828</v>
      </c>
      <c r="CJ1144" s="231">
        <f t="shared" si="2038"/>
        <v>0.22626097978235726</v>
      </c>
      <c r="CK1144" s="443">
        <v>0.81395348837209303</v>
      </c>
      <c r="CL1144" s="231">
        <f>+CL1128*CK1144+CJ1129*CK1143+CJ1130*CK1142+CJ1131*CK1141+CJ1132*CK1140+CJ1133*CK1139+CJ1134*CK1138+CJ1135*CK1137+CJ1136*CK1136+CJ1137*CK1135+CJ1138*CK1134+CJ1139*CK1133+CJ1140*CK1132+CJ1141*CK1131+CJ1142*CK1130+CJ1143*CK1129+CJ1144</f>
        <v>20.419906489514979</v>
      </c>
      <c r="CM1144" s="134">
        <f t="shared" si="2039"/>
        <v>-4.7707806126596171E-3</v>
      </c>
      <c r="CN1144" s="135">
        <f t="shared" si="2040"/>
        <v>1.5787094336906813E-2</v>
      </c>
      <c r="CO1144" s="135">
        <f t="shared" si="2050"/>
        <v>1.5246296626131113E-2</v>
      </c>
      <c r="CP1144" s="134">
        <f>VLOOKUP($H1144,RoR!$E:$F,2,FALSE)</f>
        <v>4.1625000000000002E-2</v>
      </c>
      <c r="CQ1144" s="135">
        <v>1.841352814597208E-2</v>
      </c>
      <c r="CR1144" s="135">
        <f t="shared" si="2047"/>
        <v>2.3211471854027922E-2</v>
      </c>
      <c r="CS1144" s="135">
        <f t="shared" si="2051"/>
        <v>1.565564498240251E-2</v>
      </c>
      <c r="CT1144" s="135">
        <f t="shared" si="2052"/>
        <v>3.9072621432650924E-2</v>
      </c>
      <c r="CU1144" s="139">
        <f t="shared" si="2041"/>
        <v>0.85727249999999999</v>
      </c>
      <c r="CV1144" s="335">
        <f t="shared" si="2042"/>
        <v>1.2320012320012319</v>
      </c>
      <c r="CW1144" s="335">
        <f t="shared" si="2043"/>
        <v>0.37439939939939942</v>
      </c>
      <c r="CX1144" s="335">
        <f t="shared" si="2044"/>
        <v>0.80432100613819935</v>
      </c>
      <c r="CY1144" s="335">
        <f t="shared" si="2045"/>
        <v>0.37100152660040037</v>
      </c>
      <c r="CZ1144" s="336">
        <f>INDEX('State Tax Lookup'!$D$7:$Z$91,MATCH(Calculation!$C1144,'State Tax Lookup'!$B$7:$B$91,0),MATCH($H1144,'State Tax Lookup'!$D$6:$Z$6,0))</f>
        <v>0.38574999999999998</v>
      </c>
      <c r="DA1144" s="302">
        <v>0.37</v>
      </c>
      <c r="DB1144" s="57">
        <f t="shared" si="2049"/>
        <v>14.900886986013159</v>
      </c>
      <c r="DC1144" s="56">
        <f t="shared" si="2053"/>
        <v>6.9491731422714441E-6</v>
      </c>
      <c r="DD1144" s="303">
        <f>VLOOKUP($H1144,RoR!$E:$F,2,FALSE)</f>
        <v>4.1625000000000002E-2</v>
      </c>
      <c r="DE1144" s="304">
        <f>HLOOKUP($H1144,'GDP-PI'!$D$8:$CQ$11,3,FALSE)</f>
        <v>1.841352814597208E-2</v>
      </c>
      <c r="DF1144" s="303">
        <f>VLOOKUP(H1144,'HW Dx Data'!$E:$F,2,FALSE)</f>
        <v>684.46914285042885</v>
      </c>
      <c r="DG1144" s="364">
        <f ca="1">VLOOKUP(CC1144,'ECI - Input Price'!M$13:N$33,2,FALSE)</f>
        <v>129.4</v>
      </c>
      <c r="DH1144" s="364"/>
      <c r="DI1144" s="364"/>
      <c r="DJ1144" s="56">
        <f t="shared" ca="1" si="2060"/>
        <v>2.0297340063674733E-2</v>
      </c>
      <c r="DK1144" s="53">
        <f>HLOOKUP(H1144,'GDP-PI'!$8:$9,2,FALSE)</f>
        <v>103.64700000000001</v>
      </c>
      <c r="DL1144" s="355">
        <f t="shared" si="2054"/>
        <v>1.8246051898256087E-2</v>
      </c>
    </row>
    <row r="1145" spans="1:116" s="126" customFormat="1" ht="21" customHeight="1" x14ac:dyDescent="0.4">
      <c r="A1145" s="233" t="s">
        <v>250</v>
      </c>
      <c r="B1145" s="126" t="s">
        <v>250</v>
      </c>
      <c r="C1145" s="126">
        <v>4063179</v>
      </c>
      <c r="D1145" s="127" t="s">
        <v>235</v>
      </c>
      <c r="E1145" s="127"/>
      <c r="F1145" s="144"/>
      <c r="G1145" s="126" t="s">
        <v>171</v>
      </c>
      <c r="H1145" s="128">
        <v>2015</v>
      </c>
      <c r="I1145" s="129"/>
      <c r="J1145" s="125">
        <f>IFERROR(INDEX('Labor Expenditures'!$E$7:$W$91,MATCH($C1145,'Labor Expenditures'!$C$7:$C$91,0),MATCH($G1145,'Labor Expenditures'!$E$5:$W$5,0)),"NA")</f>
        <v>374.38762073845709</v>
      </c>
      <c r="K1145" s="125">
        <f t="shared" ca="1" si="2055"/>
        <v>2.8044016534715888</v>
      </c>
      <c r="L1145" s="47"/>
      <c r="M1145" s="131">
        <f t="shared" ca="1" si="2061"/>
        <v>0.13723309053692079</v>
      </c>
      <c r="N1145" s="131"/>
      <c r="O1145" s="131"/>
      <c r="P1145" s="59">
        <f t="shared" ca="1" si="2063"/>
        <v>1.6635433126021864E-5</v>
      </c>
      <c r="Q1145" s="61"/>
      <c r="R1145" s="387"/>
      <c r="S1145" s="49">
        <f t="shared" ca="1" si="2069"/>
        <v>122.56016695811783</v>
      </c>
      <c r="T1145" s="61">
        <f ca="1">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</f>
        <v>7.7387936855656926E-4</v>
      </c>
      <c r="U1145" s="61"/>
      <c r="V1145" s="125">
        <f>IFERROR(INDEX('Non-Labor Expenditures'!$E$7:$AA$91,MATCH($C1145,'Non-Labor Expenditures'!$C$7:$C$91,0),MATCH($G1145,'Non-Labor Expenditures'!$E$5:$AA$5,0)),"NA")</f>
        <v>542.18320079128785</v>
      </c>
      <c r="W1145" s="125">
        <f t="shared" si="2056"/>
        <v>5.1814638976986389</v>
      </c>
      <c r="X1145" s="131">
        <f t="shared" si="2064"/>
        <v>0.15890075012498184</v>
      </c>
      <c r="Y1145" s="131">
        <f t="shared" si="2065"/>
        <v>1.9261992803897965E-5</v>
      </c>
      <c r="Z1145" s="131"/>
      <c r="AA1145" s="131"/>
      <c r="AB1145" s="131"/>
      <c r="AC1145" s="125">
        <f t="shared" si="2035"/>
        <v>290.85173684434039</v>
      </c>
      <c r="AD1145" s="129"/>
      <c r="AE1145" s="133">
        <v>22.592431826000063</v>
      </c>
      <c r="AF1145" s="134">
        <v>6.2498397805623839E-3</v>
      </c>
      <c r="AG1145" s="134">
        <f t="shared" si="2066"/>
        <v>7.5760730382972211E-7</v>
      </c>
      <c r="AH1145" s="134"/>
      <c r="AI1145" s="134"/>
      <c r="AJ1145" s="129">
        <f t="shared" si="2031"/>
        <v>1207.4225583740854</v>
      </c>
      <c r="AK1145" s="134">
        <f t="shared" si="2067"/>
        <v>0.11131739257457042</v>
      </c>
      <c r="AL1145" s="129"/>
      <c r="AM1145" s="129"/>
      <c r="AN1145" s="129"/>
      <c r="AO1145" s="129"/>
      <c r="AP1145" s="133">
        <f t="shared" si="2068"/>
        <v>408.05088150526711</v>
      </c>
      <c r="AQ1145" s="134">
        <f>+BB1145/Outputs!$B$23</f>
        <v>8.1220234801413093E-5</v>
      </c>
      <c r="AR1145" s="93">
        <f t="shared" si="2057"/>
        <v>0.310071745920175</v>
      </c>
      <c r="AS1145" s="93">
        <f t="shared" si="2058"/>
        <v>0.4490418015060042</v>
      </c>
      <c r="AT1145" s="93">
        <f t="shared" si="2059"/>
        <v>0.24088645257382071</v>
      </c>
      <c r="AU1145" s="93">
        <f t="shared" ca="1" si="2062"/>
        <v>0.11238099700553354</v>
      </c>
      <c r="AV1145" s="132">
        <f t="shared" ca="1" si="2071"/>
        <v>111.26285259932153</v>
      </c>
      <c r="AW1145" s="134">
        <f t="shared" ca="1" si="2072"/>
        <v>0.1123809970055335</v>
      </c>
      <c r="AX1145" s="56">
        <f>+AJ1145/$AL$20</f>
        <v>1.2122027610787004E-4</v>
      </c>
      <c r="AY1145" s="135">
        <f t="shared" ca="1" si="2070"/>
        <v>1.3622855486288488E-5</v>
      </c>
      <c r="AZ1145" s="93"/>
      <c r="BA1145" s="93"/>
      <c r="BB1145" s="234">
        <f>IFERROR(INDEX('Total Customers'!$E$7:$AA$91,MATCH($C1145,'Total Customers'!$C$7:$C$91,0),MATCH($G1145,'Total Customers'!$E$5:$AA$5,0)),"NA")</f>
        <v>2959</v>
      </c>
      <c r="BC1145" s="269">
        <f t="shared" si="1988"/>
        <v>1.0873365708323824E-2</v>
      </c>
      <c r="BD1145" s="92"/>
      <c r="BE1145" s="299" t="str">
        <f t="shared" si="1984"/>
        <v>ST. JOE NATURAL GAS CO, INC.</v>
      </c>
      <c r="BF1145" s="300">
        <f t="shared" si="1985"/>
        <v>4063179</v>
      </c>
      <c r="BG1145" s="231" t="str">
        <f t="shared" si="1986"/>
        <v>FL</v>
      </c>
      <c r="BH1145" s="231"/>
      <c r="BI1145" s="231" t="str">
        <f t="shared" si="1987"/>
        <v>2015 Y</v>
      </c>
      <c r="BJ1145" s="129"/>
      <c r="BK1145" s="129"/>
      <c r="BL1145" s="129">
        <f>INDEX('Dist. Plant Gas Additions'!$E$7:$AD$91,MATCH($C1145,'Dist. Plant Gas Additions'!$C$7:$C$91,0),MATCH(Calculation!$G1145,'Dist. Plant Gas Additions'!$E$5:$AD$5,0))</f>
        <v>170</v>
      </c>
      <c r="BM1145" s="129">
        <f>INDEX('Gen. Plant Additions'!$E$7:$AD$91,MATCH($C1145,'Gen. Plant Additions'!$C$7:$C$91,0),MATCH(Calculation!$G1145,'Gen. Plant Additions'!$E$5:$AD$5,0))</f>
        <v>62</v>
      </c>
      <c r="BN1145" s="301">
        <f t="shared" si="2036"/>
        <v>0.89470696750390233</v>
      </c>
      <c r="BO1145" s="231">
        <f t="shared" si="1989"/>
        <v>55.471831985241941</v>
      </c>
      <c r="BP1145" s="231">
        <f t="shared" si="1990"/>
        <v>-6.5281680147580587</v>
      </c>
      <c r="BQ1145" s="129">
        <f>INDEX('Dist Plant Depreciation'!$D$7:$AC$94,MATCH($C1145,'Dist Plant Depreciation'!$C$7:$C$94,0),MATCH(Calculation!$G1145,'Dist Plant Depreciation'!$D$5:$AC$5,0))</f>
        <v>4265</v>
      </c>
      <c r="BR1145" s="129">
        <f>INDEX('Gen. Plant Depreciation'!$D$7:$AC$94,MATCH($C1145,'Gen. Plant Depreciation'!$C$7:$C$94,0),MATCH(Calculation!$G1145,'Gen. Plant Depreciation'!$D$5:$AC$5,0))</f>
        <v>496</v>
      </c>
      <c r="BS1145" s="129"/>
      <c r="BT1145" s="129"/>
      <c r="BU1145" s="129"/>
      <c r="BV1145" s="129"/>
      <c r="BW1145" s="129"/>
      <c r="BX1145" s="137"/>
      <c r="BY1145" s="129">
        <f>INDEX('Gross Dx Plant'!$D$7:$AC$91,MATCH($C1145,'Gross Dx Plant'!$C$7:$C$91,0),MATCH(Calculation!$G1145,'Gross Dx Plant'!$D$5:$AC$5,0))</f>
        <v>6305</v>
      </c>
      <c r="BZ1145" s="129">
        <f>INDEX('Gross Gen Plant'!$D$7:$AC$91,MATCH($C1145,'Gross Gen Plant'!$C$7:$C$91,0),MATCH(Calculation!$G1145,'Gross Gen Plant'!$D$5:$AC$5,0))</f>
        <v>742</v>
      </c>
      <c r="CA1145" s="129">
        <f t="shared" si="2048"/>
        <v>2286</v>
      </c>
      <c r="CB1145" s="129"/>
      <c r="CC1145" s="133">
        <v>2015</v>
      </c>
      <c r="CD1145" s="129"/>
      <c r="CE1145" s="129"/>
      <c r="CF1145" s="129"/>
      <c r="CG1145" s="137"/>
      <c r="CH1145" s="129">
        <f t="shared" si="2037"/>
        <v>232</v>
      </c>
      <c r="CI1145" s="46">
        <f t="shared" si="2046"/>
        <v>225.47183198524195</v>
      </c>
      <c r="CJ1145" s="231">
        <f t="shared" si="2038"/>
        <v>0.33372846137913914</v>
      </c>
      <c r="CK1145" s="443">
        <v>0.8</v>
      </c>
      <c r="CL1145" s="231">
        <f>+CL1128*CK1145+CJ1129*CK1144+CJ1130*CK1143+CJ1131*CK1142+CJ1132*CK1141+CJ1133*CK1140+CJ1134*CK1139+CJ1135*CK1138+CJ1136*CK1137+CJ1137*CK1136+CJ1138*CK1135+CJ1139*CK1134+CJ1140*CK1133+CJ1141*CK1132+CJ1142*CK1131+CJ1143*CK1130+CJ1144*CK1129+CJ1145</f>
        <v>20.419943084668802</v>
      </c>
      <c r="CM1145" s="134">
        <f t="shared" si="2039"/>
        <v>1.792129706818007E-6</v>
      </c>
      <c r="CN1145" s="135">
        <f t="shared" si="2040"/>
        <v>1.6341498253023699E-2</v>
      </c>
      <c r="CO1145" s="135">
        <f t="shared" si="2050"/>
        <v>1.5790872161755082E-2</v>
      </c>
      <c r="CP1145" s="134">
        <f>VLOOKUP($H1145,RoR!$E:$F,2,FALSE)</f>
        <v>3.8866666666666674E-2</v>
      </c>
      <c r="CQ1145" s="135">
        <v>9.5709475431029478E-3</v>
      </c>
      <c r="CR1145" s="135">
        <f t="shared" si="2047"/>
        <v>2.9295719123563727E-2</v>
      </c>
      <c r="CS1145" s="135">
        <f t="shared" si="2051"/>
        <v>1.5111069446778543E-2</v>
      </c>
      <c r="CT1145" s="135">
        <f t="shared" si="2052"/>
        <v>3.5270373279175926E-3</v>
      </c>
      <c r="CU1145" s="139">
        <f t="shared" si="2041"/>
        <v>0.85727249999999999</v>
      </c>
      <c r="CV1145" s="335">
        <f t="shared" si="2042"/>
        <v>1.3194352816994324</v>
      </c>
      <c r="CW1145" s="335">
        <f t="shared" si="2043"/>
        <v>0.33177530017152673</v>
      </c>
      <c r="CX1145" s="335">
        <f t="shared" si="2044"/>
        <v>0.78242572977668579</v>
      </c>
      <c r="CY1145" s="335">
        <f t="shared" si="2045"/>
        <v>0.34251158643433932</v>
      </c>
      <c r="CZ1145" s="336">
        <f>INDEX('State Tax Lookup'!$D$7:$Z$91,MATCH(Calculation!$C1145,'State Tax Lookup'!$B$7:$B$91,0),MATCH($H1145,'State Tax Lookup'!$D$6:$Z$6,0))</f>
        <v>0.38574999999999998</v>
      </c>
      <c r="DA1145" s="302">
        <v>0.37</v>
      </c>
      <c r="DB1145" s="57">
        <f t="shared" si="2049"/>
        <v>14.243539116777258</v>
      </c>
      <c r="DC1145" s="56">
        <f t="shared" si="2053"/>
        <v>-4.5117331856196111E-2</v>
      </c>
      <c r="DD1145" s="303">
        <f>VLOOKUP($H1145,RoR!$E:$F,2,FALSE)</f>
        <v>3.8866666666666674E-2</v>
      </c>
      <c r="DE1145" s="304">
        <f>HLOOKUP($H1145,'GDP-PI'!$D$8:$CQ$11,3,FALSE)</f>
        <v>9.5709475431029478E-3</v>
      </c>
      <c r="DF1145" s="303">
        <f>VLOOKUP(H1145,'HW Dx Data'!$E:$F,2,FALSE)</f>
        <v>675.61463308665782</v>
      </c>
      <c r="DG1145" s="364">
        <f ca="1">VLOOKUP(CC1145,'ECI - Input Price'!M$13:N$33,2,FALSE)</f>
        <v>133.5</v>
      </c>
      <c r="DH1145" s="364"/>
      <c r="DI1145" s="364"/>
      <c r="DJ1145" s="56">
        <f t="shared" ca="1" si="2060"/>
        <v>3.1193095773504077E-2</v>
      </c>
      <c r="DK1145" s="53">
        <f>HLOOKUP(H1145,'GDP-PI'!$8:$9,2,FALSE)</f>
        <v>104.639</v>
      </c>
      <c r="DL1145" s="355">
        <f t="shared" si="2054"/>
        <v>9.5254361854427965E-3</v>
      </c>
    </row>
    <row r="1146" spans="1:116" s="126" customFormat="1" ht="21" customHeight="1" x14ac:dyDescent="0.4">
      <c r="A1146" s="233" t="s">
        <v>250</v>
      </c>
      <c r="B1146" s="126" t="s">
        <v>250</v>
      </c>
      <c r="C1146" s="126">
        <v>4063179</v>
      </c>
      <c r="D1146" s="127" t="s">
        <v>235</v>
      </c>
      <c r="E1146" s="127"/>
      <c r="F1146" s="144"/>
      <c r="G1146" s="126" t="s">
        <v>172</v>
      </c>
      <c r="H1146" s="128">
        <v>2016</v>
      </c>
      <c r="I1146" s="129"/>
      <c r="J1146" s="125">
        <f>IFERROR(INDEX('Labor Expenditures'!$E$7:$W$91,MATCH($C1146,'Labor Expenditures'!$C$7:$C$91,0),MATCH($G1146,'Labor Expenditures'!$E$5:$W$5,0)),"NA")</f>
        <v>352.54891182243318</v>
      </c>
      <c r="K1146" s="125">
        <f t="shared" ca="1" si="2055"/>
        <v>2.574289242953145</v>
      </c>
      <c r="L1146" s="47"/>
      <c r="M1146" s="131">
        <f t="shared" ca="1" si="2061"/>
        <v>-8.5616728089101424E-2</v>
      </c>
      <c r="N1146" s="131"/>
      <c r="O1146" s="131"/>
      <c r="P1146" s="59">
        <f t="shared" ca="1" si="2063"/>
        <v>-9.5059355767608908E-6</v>
      </c>
      <c r="Q1146" s="61"/>
      <c r="R1146" s="387"/>
      <c r="S1146" s="49">
        <f t="shared" ca="1" si="2069"/>
        <v>304.03553623269642</v>
      </c>
      <c r="T1146" s="61">
        <f ca="1">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</f>
        <v>0.9085425218292289</v>
      </c>
      <c r="U1146" s="61"/>
      <c r="V1146" s="125">
        <f>IFERROR(INDEX('Non-Labor Expenditures'!$E$7:$AA$91,MATCH($C1146,'Non-Labor Expenditures'!$C$7:$C$91,0),MATCH($G1146,'Non-Labor Expenditures'!$E$5:$AA$5,0)),"NA")</f>
        <v>510.55667137270223</v>
      </c>
      <c r="W1146" s="125">
        <f t="shared" si="2056"/>
        <v>4.8285983144123303</v>
      </c>
      <c r="X1146" s="131">
        <f t="shared" si="2064"/>
        <v>-7.0531400587523677E-2</v>
      </c>
      <c r="Y1146" s="131">
        <f t="shared" si="2065"/>
        <v>-7.8310274766160125E-6</v>
      </c>
      <c r="Z1146" s="131"/>
      <c r="AA1146" s="131"/>
      <c r="AB1146" s="131"/>
      <c r="AC1146" s="125">
        <f t="shared" si="2035"/>
        <v>278.55490948542888</v>
      </c>
      <c r="AD1146" s="129"/>
      <c r="AE1146" s="133">
        <v>22.815000784251474</v>
      </c>
      <c r="AF1146" s="134">
        <v>9.8032735143932098E-3</v>
      </c>
      <c r="AG1146" s="134">
        <f t="shared" si="2066"/>
        <v>1.0884471825670092E-6</v>
      </c>
      <c r="AH1146" s="134"/>
      <c r="AI1146" s="134"/>
      <c r="AJ1146" s="129">
        <f t="shared" si="2031"/>
        <v>1141.6604926805644</v>
      </c>
      <c r="AK1146" s="134">
        <f t="shared" si="2067"/>
        <v>-5.6004195475820299E-2</v>
      </c>
      <c r="AL1146" s="129"/>
      <c r="AM1146" s="129"/>
      <c r="AN1146" s="129"/>
      <c r="AO1146" s="129"/>
      <c r="AP1146" s="133">
        <f t="shared" si="2068"/>
        <v>381.44353246928307</v>
      </c>
      <c r="AQ1146" s="134">
        <f>+BB1146/Outputs!$B$24</f>
        <v>8.1443564181528643E-5</v>
      </c>
      <c r="AR1146" s="93">
        <f t="shared" si="2057"/>
        <v>0.30880363653003806</v>
      </c>
      <c r="AS1146" s="93">
        <f t="shared" si="2058"/>
        <v>0.44720534225892278</v>
      </c>
      <c r="AT1146" s="93">
        <f t="shared" si="2059"/>
        <v>0.24399102121103905</v>
      </c>
      <c r="AU1146" s="93">
        <f t="shared" ca="1" si="2062"/>
        <v>-5.572313258305276E-2</v>
      </c>
      <c r="AV1146" s="132">
        <f t="shared" ca="1" si="2071"/>
        <v>105.23251292453855</v>
      </c>
      <c r="AW1146" s="134">
        <f t="shared" ca="1" si="2072"/>
        <v>-5.5723132583052747E-2</v>
      </c>
      <c r="AX1146" s="56">
        <f>+AJ1146/$AL$21</f>
        <v>1.1102895180563373E-4</v>
      </c>
      <c r="AY1146" s="135">
        <f t="shared" ca="1" si="2070"/>
        <v>-6.1868810020227025E-6</v>
      </c>
      <c r="AZ1146" s="93"/>
      <c r="BA1146" s="93"/>
      <c r="BB1146" s="234">
        <f>IFERROR(INDEX('Total Customers'!$E$7:$AA$91,MATCH($C1146,'Total Customers'!$C$7:$C$91,0),MATCH($G1146,'Total Customers'!$E$5:$AA$5,0)),"NA")</f>
        <v>2993</v>
      </c>
      <c r="BC1146" s="269">
        <f t="shared" si="1988"/>
        <v>1.1424855452489179E-2</v>
      </c>
      <c r="BD1146" s="92"/>
      <c r="BE1146" s="299" t="str">
        <f t="shared" si="1984"/>
        <v>ST. JOE NATURAL GAS CO, INC.</v>
      </c>
      <c r="BF1146" s="300">
        <f t="shared" si="1985"/>
        <v>4063179</v>
      </c>
      <c r="BG1146" s="231" t="str">
        <f t="shared" si="1986"/>
        <v>FL</v>
      </c>
      <c r="BH1146" s="231"/>
      <c r="BI1146" s="231" t="str">
        <f t="shared" si="1987"/>
        <v>2016 Y</v>
      </c>
      <c r="BJ1146" s="129"/>
      <c r="BK1146" s="129"/>
      <c r="BL1146" s="129">
        <f>INDEX('Dist. Plant Gas Additions'!$E$7:$AD$91,MATCH($C1146,'Dist. Plant Gas Additions'!$C$7:$C$91,0),MATCH(Calculation!$G1146,'Dist. Plant Gas Additions'!$E$5:$AD$5,0))</f>
        <v>124</v>
      </c>
      <c r="BM1146" s="129">
        <f>INDEX('Gen. Plant Additions'!$E$7:$AD$91,MATCH($C1146,'Gen. Plant Additions'!$C$7:$C$91,0),MATCH(Calculation!$G1146,'Gen. Plant Additions'!$E$5:$AD$5,0))</f>
        <v>168</v>
      </c>
      <c r="BN1146" s="301">
        <f t="shared" si="2036"/>
        <v>0.89271871539313397</v>
      </c>
      <c r="BO1146" s="231">
        <f t="shared" si="1989"/>
        <v>149.97674418604652</v>
      </c>
      <c r="BP1146" s="231">
        <f t="shared" si="1990"/>
        <v>-18.023255813953483</v>
      </c>
      <c r="BQ1146" s="129">
        <f>INDEX('Dist Plant Depreciation'!$D$7:$AC$94,MATCH($C1146,'Dist Plant Depreciation'!$C$7:$C$94,0),MATCH(Calculation!$G1146,'Dist Plant Depreciation'!$D$5:$AC$5,0))</f>
        <v>4465</v>
      </c>
      <c r="BR1146" s="129">
        <f>INDEX('Gen. Plant Depreciation'!$D$7:$AC$94,MATCH($C1146,'Gen. Plant Depreciation'!$C$7:$C$94,0),MATCH(Calculation!$G1146,'Gen. Plant Depreciation'!$D$5:$AC$5,0))</f>
        <v>437</v>
      </c>
      <c r="BS1146" s="129"/>
      <c r="BT1146" s="129"/>
      <c r="BU1146" s="129"/>
      <c r="BV1146" s="129"/>
      <c r="BW1146" s="129"/>
      <c r="BX1146" s="137"/>
      <c r="BY1146" s="129">
        <f>INDEX('Gross Dx Plant'!$D$7:$AC$91,MATCH($C1146,'Gross Dx Plant'!$C$7:$C$91,0),MATCH(Calculation!$G1146,'Gross Dx Plant'!$D$5:$AC$5,0))</f>
        <v>6449</v>
      </c>
      <c r="BZ1146" s="129">
        <f>INDEX('Gross Gen Plant'!$D$7:$AC$91,MATCH($C1146,'Gross Gen Plant'!$C$7:$C$91,0),MATCH(Calculation!$G1146,'Gross Gen Plant'!$D$5:$AC$5,0))</f>
        <v>775</v>
      </c>
      <c r="CA1146" s="129">
        <f t="shared" si="2048"/>
        <v>2322</v>
      </c>
      <c r="CB1146" s="129"/>
      <c r="CC1146" s="133">
        <v>2016</v>
      </c>
      <c r="CD1146" s="129"/>
      <c r="CE1146" s="129"/>
      <c r="CF1146" s="129"/>
      <c r="CG1146" s="137"/>
      <c r="CH1146" s="129">
        <f t="shared" si="2037"/>
        <v>292</v>
      </c>
      <c r="CI1146" s="46">
        <f t="shared" si="2046"/>
        <v>273.97674418604652</v>
      </c>
      <c r="CJ1146" s="231">
        <f t="shared" si="2038"/>
        <v>0.40803356210692165</v>
      </c>
      <c r="CK1146" s="443">
        <v>0.7857142857142857</v>
      </c>
      <c r="CL1146" s="231">
        <f>+CL1128*CK1146+CJ1129*CK1145+CJ1130*CK1144+CJ1131*CK1143+CJ1132*CK1142+CJ1133*CK1141+CJ1134*CK1140+CJ1135*CK1139+CJ1136*CK1138+CJ1137*CK1137+CJ1138*CK1136+CJ1139*CK1135+CJ1140*CK1134+CJ1141*CK1133+CJ1142*CK1132+CJ1143*CK1131+CJ1144*CK1130+CJ1145*CK1129+CJ1146</f>
        <v>20.483130131989864</v>
      </c>
      <c r="CM1146" s="134">
        <f t="shared" si="2039"/>
        <v>3.0896014707620708E-3</v>
      </c>
      <c r="CN1146" s="135">
        <f t="shared" si="2040"/>
        <v>1.6887731437643869E-2</v>
      </c>
      <c r="CO1146" s="135">
        <f t="shared" si="2050"/>
        <v>1.6338774675858123E-2</v>
      </c>
      <c r="CP1146" s="134">
        <f>VLOOKUP($H1146,RoR!$E:$F,2,FALSE)</f>
        <v>3.6658333333333334E-2</v>
      </c>
      <c r="CQ1146" s="135">
        <v>1.0483662879041455E-2</v>
      </c>
      <c r="CR1146" s="135">
        <f t="shared" si="2047"/>
        <v>2.6174670454291879E-2</v>
      </c>
      <c r="CS1146" s="135">
        <f t="shared" si="2051"/>
        <v>1.4563166932675502E-2</v>
      </c>
      <c r="CT1146" s="135">
        <f t="shared" si="2052"/>
        <v>4.301363574220729E-3</v>
      </c>
      <c r="CU1146" s="139">
        <f t="shared" si="2041"/>
        <v>0.85727249999999999</v>
      </c>
      <c r="CV1146" s="335">
        <f t="shared" si="2042"/>
        <v>1.3989193348138562</v>
      </c>
      <c r="CW1146" s="335">
        <f t="shared" si="2043"/>
        <v>0.29302682427824522</v>
      </c>
      <c r="CX1146" s="335">
        <f t="shared" si="2044"/>
        <v>0.76309497491941802</v>
      </c>
      <c r="CY1146" s="335">
        <f t="shared" si="2045"/>
        <v>0.31280857135128509</v>
      </c>
      <c r="CZ1146" s="336">
        <f>INDEX('State Tax Lookup'!$D$7:$Z$91,MATCH(Calculation!$C1146,'State Tax Lookup'!$B$7:$B$91,0),MATCH($H1146,'State Tax Lookup'!$D$6:$Z$6,0))</f>
        <v>0.38574999999999998</v>
      </c>
      <c r="DA1146" s="302">
        <v>0.37</v>
      </c>
      <c r="DB1146" s="57">
        <f t="shared" si="2049"/>
        <v>13.641316644734756</v>
      </c>
      <c r="DC1146" s="56">
        <f t="shared" si="2053"/>
        <v>-4.3200232622920311E-2</v>
      </c>
      <c r="DD1146" s="303">
        <f>VLOOKUP($H1146,RoR!$E:$F,2,FALSE)</f>
        <v>3.6658333333333334E-2</v>
      </c>
      <c r="DE1146" s="304">
        <f>HLOOKUP($H1146,'GDP-PI'!$D$8:$CQ$11,3,FALSE)</f>
        <v>1.0483662879041455E-2</v>
      </c>
      <c r="DF1146" s="303">
        <f>VLOOKUP(H1146,'HW Dx Data'!$E:$F,2,FALSE)</f>
        <v>671.45639385971219</v>
      </c>
      <c r="DG1146" s="364">
        <f ca="1">VLOOKUP(CC1146,'ECI - Input Price'!M$13:N$33,2,FALSE)</f>
        <v>136.94999999999999</v>
      </c>
      <c r="DH1146" s="364"/>
      <c r="DI1146" s="364"/>
      <c r="DJ1146" s="56">
        <f t="shared" ca="1" si="2060"/>
        <v>2.5514417868782811E-2</v>
      </c>
      <c r="DK1146" s="53">
        <f>HLOOKUP(H1146,'GDP-PI'!$8:$9,2,FALSE)</f>
        <v>105.736</v>
      </c>
      <c r="DL1146" s="355">
        <f t="shared" si="2054"/>
        <v>1.0429090367205095E-2</v>
      </c>
    </row>
    <row r="1147" spans="1:116" s="126" customFormat="1" ht="21" customHeight="1" x14ac:dyDescent="0.4">
      <c r="A1147" s="233" t="s">
        <v>250</v>
      </c>
      <c r="B1147" s="126" t="s">
        <v>250</v>
      </c>
      <c r="C1147" s="126">
        <v>4063179</v>
      </c>
      <c r="D1147" s="127" t="s">
        <v>235</v>
      </c>
      <c r="E1147" s="127"/>
      <c r="F1147" s="144"/>
      <c r="G1147" s="126" t="s">
        <v>173</v>
      </c>
      <c r="H1147" s="128">
        <v>2017</v>
      </c>
      <c r="I1147" s="129"/>
      <c r="J1147" s="125">
        <f>IFERROR(INDEX('Labor Expenditures'!$E$7:$W$91,MATCH($C1147,'Labor Expenditures'!$C$7:$C$91,0),MATCH($G1147,'Labor Expenditures'!$E$5:$W$5,0)),"NA")</f>
        <v>340.91464113955521</v>
      </c>
      <c r="K1147" s="125">
        <f t="shared" ca="1" si="2055"/>
        <v>2.4273025357034905</v>
      </c>
      <c r="L1147" s="47"/>
      <c r="M1147" s="131">
        <f t="shared" ca="1" si="2061"/>
        <v>-5.8792900701121704E-2</v>
      </c>
      <c r="N1147" s="131"/>
      <c r="O1147" s="131"/>
      <c r="P1147" s="59">
        <f t="shared" ca="1" si="2063"/>
        <v>-6.1815998524723794E-6</v>
      </c>
      <c r="Q1147" s="61"/>
      <c r="R1147" s="387"/>
      <c r="S1147" s="49">
        <f t="shared" ca="1" si="2069"/>
        <v>170.63161754196335</v>
      </c>
      <c r="T1147" s="61">
        <f ca="1">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</f>
        <v>-0.5776376407609034</v>
      </c>
      <c r="U1147" s="61"/>
      <c r="V1147" s="125">
        <f>IFERROR(INDEX('Non-Labor Expenditures'!$E$7:$AA$91,MATCH($C1147,'Non-Labor Expenditures'!$C$7:$C$91,0),MATCH($G1147,'Non-Labor Expenditures'!$E$5:$AA$5,0)),"NA")</f>
        <v>493.70807444187153</v>
      </c>
      <c r="W1147" s="125">
        <f t="shared" si="2056"/>
        <v>4.5819349652613113</v>
      </c>
      <c r="X1147" s="131">
        <f t="shared" si="2064"/>
        <v>-5.2434831087700959E-2</v>
      </c>
      <c r="Y1147" s="131">
        <f t="shared" si="2065"/>
        <v>-5.5131000554623475E-6</v>
      </c>
      <c r="Z1147" s="131"/>
      <c r="AA1147" s="131"/>
      <c r="AB1147" s="131"/>
      <c r="AC1147" s="125">
        <f t="shared" si="2035"/>
        <v>246.14470148607276</v>
      </c>
      <c r="AD1147" s="129"/>
      <c r="AE1147" s="133">
        <v>22.829249193872201</v>
      </c>
      <c r="AF1147" s="134">
        <v>6.2432442598448119E-4</v>
      </c>
      <c r="AG1147" s="134">
        <f t="shared" si="2066"/>
        <v>6.5642683615488632E-8</v>
      </c>
      <c r="AH1147" s="134"/>
      <c r="AI1147" s="134"/>
      <c r="AJ1147" s="129">
        <f t="shared" si="2031"/>
        <v>1080.7674170674995</v>
      </c>
      <c r="AK1147" s="134">
        <f t="shared" si="2067"/>
        <v>-5.4812415001793423E-2</v>
      </c>
      <c r="AL1147" s="129"/>
      <c r="AM1147" s="129"/>
      <c r="AN1147" s="129"/>
      <c r="AO1147" s="129"/>
      <c r="AP1147" s="133">
        <f t="shared" si="2068"/>
        <v>360.61642211127781</v>
      </c>
      <c r="AQ1147" s="134">
        <f>+BB1147/Outputs!$B$25</f>
        <v>8.0939693365764671E-5</v>
      </c>
      <c r="AR1147" s="93">
        <f t="shared" si="2057"/>
        <v>0.31543756386047983</v>
      </c>
      <c r="AS1147" s="93">
        <f t="shared" si="2058"/>
        <v>0.45681250808011442</v>
      </c>
      <c r="AT1147" s="93">
        <f t="shared" si="2059"/>
        <v>0.22774992805940572</v>
      </c>
      <c r="AU1147" s="93">
        <f t="shared" ca="1" si="2062"/>
        <v>-4.1904227396768017E-2</v>
      </c>
      <c r="AV1147" s="132">
        <f t="shared" ca="1" si="2071"/>
        <v>100.91394090506999</v>
      </c>
      <c r="AW1147" s="134">
        <f t="shared" ca="1" si="2072"/>
        <v>-4.1904227396767975E-2</v>
      </c>
      <c r="AX1147" s="56">
        <f>+AJ1147/$AL$22</f>
        <v>1.0514194364889435E-4</v>
      </c>
      <c r="AY1147" s="135">
        <f t="shared" ca="1" si="2070"/>
        <v>-4.4058919156014332E-6</v>
      </c>
      <c r="AZ1147" s="93"/>
      <c r="BA1147" s="93"/>
      <c r="BB1147" s="234">
        <f>IFERROR(INDEX('Total Customers'!$E$7:$AA$91,MATCH($C1147,'Total Customers'!$C$7:$C$91,0),MATCH($G1147,'Total Customers'!$E$5:$AA$5,0)),"NA")</f>
        <v>2997</v>
      </c>
      <c r="BC1147" s="269">
        <f t="shared" si="1988"/>
        <v>1.3355594639642174E-3</v>
      </c>
      <c r="BD1147" s="92"/>
      <c r="BE1147" s="299" t="str">
        <f t="shared" si="1984"/>
        <v>ST. JOE NATURAL GAS CO, INC.</v>
      </c>
      <c r="BF1147" s="300">
        <f t="shared" si="1985"/>
        <v>4063179</v>
      </c>
      <c r="BG1147" s="231" t="str">
        <f t="shared" si="1986"/>
        <v>FL</v>
      </c>
      <c r="BH1147" s="231"/>
      <c r="BI1147" s="231" t="str">
        <f t="shared" si="1987"/>
        <v>2017 Y</v>
      </c>
      <c r="BJ1147" s="129"/>
      <c r="BK1147" s="129"/>
      <c r="BL1147" s="129">
        <f>INDEX('Dist. Plant Gas Additions'!$E$7:$AD$91,MATCH($C1147,'Dist. Plant Gas Additions'!$C$7:$C$91,0),MATCH(Calculation!$G1147,'Dist. Plant Gas Additions'!$E$5:$AD$5,0))</f>
        <v>149</v>
      </c>
      <c r="BM1147" s="129">
        <f>INDEX('Gen. Plant Additions'!$E$7:$AD$91,MATCH($C1147,'Gen. Plant Additions'!$C$7:$C$91,0),MATCH(Calculation!$G1147,'Gen. Plant Additions'!$E$5:$AD$5,0))</f>
        <v>20</v>
      </c>
      <c r="BN1147" s="301">
        <f t="shared" si="2036"/>
        <v>0.89230977892309782</v>
      </c>
      <c r="BO1147" s="231">
        <f t="shared" si="1989"/>
        <v>17.846195578461955</v>
      </c>
      <c r="BP1147" s="231">
        <f t="shared" si="1990"/>
        <v>-2.1538044215380445</v>
      </c>
      <c r="BQ1147" s="129">
        <f>INDEX('Dist Plant Depreciation'!$D$7:$AC$94,MATCH($C1147,'Dist Plant Depreciation'!$C$7:$C$94,0),MATCH(Calculation!$G1147,'Dist Plant Depreciation'!$D$5:$AC$5,0))</f>
        <v>4659</v>
      </c>
      <c r="BR1147" s="129">
        <f>INDEX('Gen. Plant Depreciation'!$D$7:$AC$94,MATCH($C1147,'Gen. Plant Depreciation'!$C$7:$C$94,0),MATCH(Calculation!$G1147,'Gen. Plant Depreciation'!$D$5:$AC$5,0))</f>
        <v>503</v>
      </c>
      <c r="BS1147" s="129"/>
      <c r="BT1147" s="129"/>
      <c r="BU1147" s="129"/>
      <c r="BV1147" s="129"/>
      <c r="BW1147" s="129"/>
      <c r="BX1147" s="137"/>
      <c r="BY1147" s="129">
        <f>INDEX('Gross Dx Plant'!$D$7:$AC$91,MATCH($C1147,'Gross Dx Plant'!$C$7:$C$91,0),MATCH(Calculation!$G1147,'Gross Dx Plant'!$D$5:$AC$5,0))</f>
        <v>6579</v>
      </c>
      <c r="BZ1147" s="129">
        <f>INDEX('Gross Gen Plant'!$D$7:$AC$91,MATCH($C1147,'Gross Gen Plant'!$C$7:$C$91,0),MATCH(Calculation!$G1147,'Gross Gen Plant'!$D$5:$AC$5,0))</f>
        <v>794</v>
      </c>
      <c r="CA1147" s="129">
        <f t="shared" si="2048"/>
        <v>2211</v>
      </c>
      <c r="CB1147" s="129"/>
      <c r="CC1147" s="133">
        <v>2017</v>
      </c>
      <c r="CD1147" s="129"/>
      <c r="CE1147" s="129"/>
      <c r="CF1147" s="129"/>
      <c r="CG1147" s="137"/>
      <c r="CH1147" s="129">
        <f t="shared" si="2037"/>
        <v>169</v>
      </c>
      <c r="CI1147" s="46">
        <f t="shared" si="2046"/>
        <v>166.84619557846196</v>
      </c>
      <c r="CJ1147" s="231">
        <f t="shared" si="2038"/>
        <v>0.23419357307564462</v>
      </c>
      <c r="CK1147" s="443">
        <v>0.77108433734939763</v>
      </c>
      <c r="CL1147" s="231">
        <f>+CL1128*CK1147+CJ1129*CK1146+CJ1130*CK1145+CJ1131*CK1144+CJ1132*CK1143+CJ1133*CK1142+CJ1134*CK1141+CJ1135*CK1140+CJ1136*CK1139+CJ1137*CK1138+CJ1138*CK1137+CJ1139*CK1136+CJ1140*CK1135+CJ1141*CK1134+CJ1142*CK1133+CJ1143*CK1132+CJ1144*CK1131+CJ1145*CK1130+CJ1146*CK1129+CJ1147</f>
        <v>20.360240106587629</v>
      </c>
      <c r="CM1147" s="134">
        <f t="shared" si="2039"/>
        <v>-6.0176423015779901E-3</v>
      </c>
      <c r="CN1147" s="135">
        <f t="shared" si="2040"/>
        <v>1.7433058139888415E-2</v>
      </c>
      <c r="CO1147" s="135">
        <f t="shared" si="2050"/>
        <v>1.6887429276851995E-2</v>
      </c>
      <c r="CP1147" s="134">
        <f>VLOOKUP($H1147,RoR!$E:$F,2,FALSE)</f>
        <v>3.7433333333333339E-2</v>
      </c>
      <c r="CQ1147" s="135">
        <v>1.9056896421275615E-2</v>
      </c>
      <c r="CR1147" s="135">
        <f t="shared" si="2047"/>
        <v>1.8376436912057724E-2</v>
      </c>
      <c r="CS1147" s="135">
        <f t="shared" si="2051"/>
        <v>1.401451233168163E-2</v>
      </c>
      <c r="CT1147" s="135">
        <f t="shared" si="2052"/>
        <v>1.3976271617800498E-2</v>
      </c>
      <c r="CU1147" s="139">
        <f t="shared" si="2041"/>
        <v>0.90907250000000006</v>
      </c>
      <c r="CV1147" s="335">
        <f t="shared" si="2042"/>
        <v>1.3699568463593395</v>
      </c>
      <c r="CW1147" s="335">
        <f t="shared" si="2043"/>
        <v>0.30714603739982199</v>
      </c>
      <c r="CX1147" s="335">
        <f t="shared" si="2044"/>
        <v>0.77007188472689425</v>
      </c>
      <c r="CY1147" s="335">
        <f t="shared" si="2045"/>
        <v>0.32402839633793828</v>
      </c>
      <c r="CZ1147" s="336">
        <f>INDEX('State Tax Lookup'!$D$7:$Z$91,MATCH(Calculation!$C1147,'State Tax Lookup'!$B$7:$B$91,0),MATCH($H1147,'State Tax Lookup'!$D$6:$Z$6,0))</f>
        <v>0.24574999999999997</v>
      </c>
      <c r="DA1147" s="302">
        <v>0.37</v>
      </c>
      <c r="DB1147" s="57">
        <f t="shared" si="2049"/>
        <v>12.016947600291434</v>
      </c>
      <c r="DC1147" s="56">
        <f t="shared" si="2053"/>
        <v>-0.12678522250852808</v>
      </c>
      <c r="DD1147" s="303">
        <f>VLOOKUP($H1147,RoR!$E:$F,2,FALSE)</f>
        <v>3.7433333333333339E-2</v>
      </c>
      <c r="DE1147" s="304">
        <f>HLOOKUP($H1147,'GDP-PI'!$D$8:$CQ$11,3,FALSE)</f>
        <v>1.9056896421275615E-2</v>
      </c>
      <c r="DF1147" s="303">
        <f>VLOOKUP(H1147,'HW Dx Data'!$E:$F,2,FALSE)</f>
        <v>712.42858370229726</v>
      </c>
      <c r="DG1147" s="364">
        <f ca="1">VLOOKUP(CC1147,'ECI - Input Price'!M$13:N$33,2,FALSE)</f>
        <v>140.44999999999999</v>
      </c>
      <c r="DH1147" s="364"/>
      <c r="DI1147" s="364"/>
      <c r="DJ1147" s="56">
        <f t="shared" ca="1" si="2060"/>
        <v>2.5235657841165486E-2</v>
      </c>
      <c r="DK1147" s="53">
        <f>HLOOKUP(H1147,'GDP-PI'!$8:$9,2,FALSE)</f>
        <v>107.751</v>
      </c>
      <c r="DL1147" s="355">
        <f t="shared" si="2054"/>
        <v>1.8877588227745139E-2</v>
      </c>
    </row>
    <row r="1148" spans="1:116" s="126" customFormat="1" ht="21" customHeight="1" x14ac:dyDescent="0.4">
      <c r="A1148" s="233" t="s">
        <v>250</v>
      </c>
      <c r="B1148" s="126" t="s">
        <v>250</v>
      </c>
      <c r="C1148" s="126">
        <v>4063179</v>
      </c>
      <c r="D1148" s="127" t="s">
        <v>235</v>
      </c>
      <c r="E1148" s="127"/>
      <c r="F1148" s="144"/>
      <c r="G1148" s="126" t="s">
        <v>174</v>
      </c>
      <c r="H1148" s="128">
        <v>2018</v>
      </c>
      <c r="I1148" s="129"/>
      <c r="J1148" s="125">
        <f>IFERROR(INDEX('Labor Expenditures'!$E$7:$W$91,MATCH($C1148,'Labor Expenditures'!$C$7:$C$91,0),MATCH($G1148,'Labor Expenditures'!$E$5:$W$5,0)),"NA")</f>
        <v>464.25302302415827</v>
      </c>
      <c r="K1148" s="125">
        <f t="shared" ca="1" si="2055"/>
        <v>3.2139357772527402</v>
      </c>
      <c r="L1148" s="47"/>
      <c r="M1148" s="131">
        <f t="shared" ca="1" si="2061"/>
        <v>0.28071571176988819</v>
      </c>
      <c r="N1148" s="131"/>
      <c r="O1148" s="131"/>
      <c r="P1148" s="59">
        <f t="shared" ca="1" si="2063"/>
        <v>3.492920408269116E-5</v>
      </c>
      <c r="Q1148" s="61"/>
      <c r="R1148" s="387"/>
      <c r="S1148" s="49">
        <f t="shared" ca="1" si="2069"/>
        <v>117.37390646760046</v>
      </c>
      <c r="T1148" s="61">
        <f ca="1">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</f>
        <v>-0.37414232840079881</v>
      </c>
      <c r="U1148" s="61"/>
      <c r="V1148" s="125">
        <f>IFERROR(INDEX('Non-Labor Expenditures'!$E$7:$AA$91,MATCH($C1148,'Non-Labor Expenditures'!$C$7:$C$91,0),MATCH($G1148,'Non-Labor Expenditures'!$E$5:$AA$5,0)),"NA")</f>
        <v>672.32508784287893</v>
      </c>
      <c r="W1148" s="125">
        <f t="shared" si="2056"/>
        <v>6.0942068476176914</v>
      </c>
      <c r="X1148" s="131">
        <f t="shared" si="2064"/>
        <v>0.28521723241537089</v>
      </c>
      <c r="Y1148" s="131">
        <f t="shared" si="2065"/>
        <v>3.548932425664638E-5</v>
      </c>
      <c r="Z1148" s="131"/>
      <c r="AA1148" s="131"/>
      <c r="AB1148" s="131"/>
      <c r="AC1148" s="125">
        <f t="shared" si="2035"/>
        <v>248.06239612442272</v>
      </c>
      <c r="AD1148" s="129"/>
      <c r="AE1148" s="133">
        <v>23.148232512791093</v>
      </c>
      <c r="AF1148" s="134">
        <v>1.3875855098276789E-2</v>
      </c>
      <c r="AG1148" s="134">
        <f t="shared" si="2066"/>
        <v>1.7265601967689735E-6</v>
      </c>
      <c r="AH1148" s="134"/>
      <c r="AI1148" s="134"/>
      <c r="AJ1148" s="129">
        <f t="shared" si="2031"/>
        <v>1384.6405069914599</v>
      </c>
      <c r="AK1148" s="134">
        <f t="shared" si="2067"/>
        <v>0.24776918404968079</v>
      </c>
      <c r="AL1148" s="129"/>
      <c r="AM1148" s="129"/>
      <c r="AN1148" s="129"/>
      <c r="AO1148" s="129"/>
      <c r="AP1148" s="133">
        <f t="shared" si="2068"/>
        <v>462.16305306791054</v>
      </c>
      <c r="AQ1148" s="134">
        <f>+BB1148/Outputs!$B$26</f>
        <v>8.0204063122846393E-5</v>
      </c>
      <c r="AR1148" s="93">
        <f t="shared" si="2057"/>
        <v>0.33528776652135139</v>
      </c>
      <c r="AS1148" s="93">
        <f t="shared" si="2058"/>
        <v>0.48555930903950195</v>
      </c>
      <c r="AT1148" s="93">
        <f t="shared" si="2059"/>
        <v>0.17915292443914665</v>
      </c>
      <c r="AU1148" s="93">
        <f t="shared" ca="1" si="2062"/>
        <v>0.22854781544513889</v>
      </c>
      <c r="AV1148" s="132">
        <f t="shared" ca="1" si="2071"/>
        <v>126.82597850540006</v>
      </c>
      <c r="AW1148" s="134">
        <f t="shared" ca="1" si="2072"/>
        <v>0.22854781544513894</v>
      </c>
      <c r="AX1148" s="56">
        <f>+AJ1148/$AL$23</f>
        <v>1.2442910253389653E-4</v>
      </c>
      <c r="AY1148" s="135">
        <f t="shared" ca="1" si="2070"/>
        <v>2.8437999561921256E-5</v>
      </c>
      <c r="AZ1148" s="93"/>
      <c r="BA1148" s="93"/>
      <c r="BB1148" s="234">
        <f>IFERROR(INDEX('Total Customers'!$E$7:$AA$91,MATCH($C1148,'Total Customers'!$C$7:$C$91,0),MATCH($G1148,'Total Customers'!$E$5:$AA$5,0)),"NA")</f>
        <v>2996</v>
      </c>
      <c r="BC1148" s="269">
        <f t="shared" si="1988"/>
        <v>-3.3372267955310519E-4</v>
      </c>
      <c r="BD1148" s="92"/>
      <c r="BE1148" s="299" t="str">
        <f t="shared" si="1984"/>
        <v>ST. JOE NATURAL GAS CO, INC.</v>
      </c>
      <c r="BF1148" s="300">
        <f t="shared" si="1985"/>
        <v>4063179</v>
      </c>
      <c r="BG1148" s="231" t="str">
        <f t="shared" si="1986"/>
        <v>FL</v>
      </c>
      <c r="BH1148" s="231"/>
      <c r="BI1148" s="231" t="str">
        <f t="shared" si="1987"/>
        <v>2018 Y</v>
      </c>
      <c r="BJ1148" s="129"/>
      <c r="BK1148" s="129"/>
      <c r="BL1148" s="129">
        <f>INDEX('Dist. Plant Gas Additions'!$E$7:$AD$91,MATCH($C1148,'Dist. Plant Gas Additions'!$C$7:$C$91,0),MATCH(Calculation!$G1148,'Dist. Plant Gas Additions'!$E$5:$AD$5,0))</f>
        <v>309</v>
      </c>
      <c r="BM1148" s="129">
        <f>INDEX('Gen. Plant Additions'!$E$7:$AD$91,MATCH($C1148,'Gen. Plant Additions'!$C$7:$C$91,0),MATCH(Calculation!$G1148,'Gen. Plant Additions'!$E$5:$AD$5,0))</f>
        <v>108</v>
      </c>
      <c r="BN1148" s="301">
        <f t="shared" si="2036"/>
        <v>0.88673139158576053</v>
      </c>
      <c r="BO1148" s="231">
        <f t="shared" si="1989"/>
        <v>95.766990291262132</v>
      </c>
      <c r="BP1148" s="231">
        <f t="shared" si="1990"/>
        <v>-12.233009708737868</v>
      </c>
      <c r="BQ1148" s="129">
        <f>INDEX('Dist Plant Depreciation'!$D$7:$AC$94,MATCH($C1148,'Dist Plant Depreciation'!$C$7:$C$94,0),MATCH(Calculation!$G1148,'Dist Plant Depreciation'!$D$5:$AC$5,0))</f>
        <v>4806</v>
      </c>
      <c r="BR1148" s="129">
        <f>INDEX('Gen. Plant Depreciation'!$D$7:$AC$94,MATCH($C1148,'Gen. Plant Depreciation'!$C$7:$C$94,0),MATCH(Calculation!$G1148,'Gen. Plant Depreciation'!$D$5:$AC$5,0))</f>
        <v>526</v>
      </c>
      <c r="BS1148" s="129"/>
      <c r="BT1148" s="129"/>
      <c r="BU1148" s="129"/>
      <c r="BV1148" s="129"/>
      <c r="BW1148" s="129"/>
      <c r="BX1148" s="137"/>
      <c r="BY1148" s="129">
        <f>INDEX('Gross Dx Plant'!$D$7:$AC$91,MATCH($C1148,'Gross Dx Plant'!$C$7:$C$91,0),MATCH(Calculation!$G1148,'Gross Dx Plant'!$D$5:$AC$5,0))</f>
        <v>6850</v>
      </c>
      <c r="BZ1148" s="129">
        <f>INDEX('Gross Gen Plant'!$D$7:$AC$91,MATCH($C1148,'Gross Gen Plant'!$C$7:$C$91,0),MATCH(Calculation!$G1148,'Gross Gen Plant'!$D$5:$AC$5,0))</f>
        <v>875</v>
      </c>
      <c r="CA1148" s="129">
        <f t="shared" si="2048"/>
        <v>2393</v>
      </c>
      <c r="CB1148" s="129"/>
      <c r="CC1148" s="133">
        <v>2018</v>
      </c>
      <c r="CD1148" s="129"/>
      <c r="CE1148" s="129"/>
      <c r="CF1148" s="129"/>
      <c r="CG1148" s="137"/>
      <c r="CH1148" s="129">
        <f t="shared" si="2037"/>
        <v>417</v>
      </c>
      <c r="CI1148" s="46">
        <f t="shared" si="2046"/>
        <v>404.76699029126212</v>
      </c>
      <c r="CJ1148" s="231">
        <f t="shared" si="2038"/>
        <v>0.53601815751217563</v>
      </c>
      <c r="CK1148" s="443">
        <v>0.75609756097560976</v>
      </c>
      <c r="CL1148" s="231">
        <f>+CL1128*CK1148++CJ1129*CK1147+CJ1130*CK1146+CJ1131*CK1145+CJ1132*CK1144+CJ1133*CK1143+CJ1134*CK1142+CJ1135*CK1141+CJ1136*CK1140+CJ1137*CK1139+CJ1138*CK1138+CJ1139*CK1137+CJ1140*CK1136+CJ1141*CK1135+CJ1142*CK1134+CJ1143*CK1133+CJ1144*CK1132+CJ1145*CK1131+CJ1146*CK1130+CJ1147*CK1129+CJ1148</f>
        <v>20.528281758437366</v>
      </c>
      <c r="CM1148" s="134">
        <f t="shared" si="2039"/>
        <v>8.2195486788012532E-3</v>
      </c>
      <c r="CN1148" s="135">
        <f t="shared" si="2040"/>
        <v>1.8073289103470745E-2</v>
      </c>
      <c r="CO1148" s="135">
        <f t="shared" si="2050"/>
        <v>1.7464692893667675E-2</v>
      </c>
      <c r="CP1148" s="134">
        <f>VLOOKUP($H1148,RoR!$E:$F,2,FALSE)</f>
        <v>3.9299999999999995E-2</v>
      </c>
      <c r="CQ1148" s="135">
        <v>2.386056741932796E-2</v>
      </c>
      <c r="CR1148" s="135">
        <f t="shared" si="2047"/>
        <v>1.5439432580672034E-2</v>
      </c>
      <c r="CS1148" s="135">
        <f t="shared" si="2051"/>
        <v>1.343724871486595E-2</v>
      </c>
      <c r="CT1148" s="135">
        <f t="shared" si="2052"/>
        <v>3.8270792163076606E-2</v>
      </c>
      <c r="CU1148" s="139">
        <f t="shared" si="2041"/>
        <v>0.90907250000000006</v>
      </c>
      <c r="CV1148" s="335">
        <f t="shared" si="2042"/>
        <v>1.3048868010700074</v>
      </c>
      <c r="CW1148" s="335">
        <f t="shared" si="2043"/>
        <v>0.33886768447837151</v>
      </c>
      <c r="CX1148" s="335">
        <f t="shared" si="2044"/>
        <v>0.78602506232557801</v>
      </c>
      <c r="CY1148" s="335">
        <f t="shared" si="2045"/>
        <v>0.34756768162358759</v>
      </c>
      <c r="CZ1148" s="336">
        <f>INDEX('State Tax Lookup'!$D$7:$Z$91,MATCH(Calculation!$C1148,'State Tax Lookup'!$B$7:$B$91,0),MATCH($H1148,'State Tax Lookup'!$D$6:$Z$6,0))</f>
        <v>0.24574999999999997</v>
      </c>
      <c r="DA1148" s="302">
        <v>0.37</v>
      </c>
      <c r="DB1148" s="57">
        <f t="shared" si="2049"/>
        <v>12.183667521885523</v>
      </c>
      <c r="DC1148" s="56">
        <f t="shared" si="2053"/>
        <v>1.3778373673805987E-2</v>
      </c>
      <c r="DD1148" s="303">
        <f>VLOOKUP($H1148,RoR!$E:$F,2,FALSE)</f>
        <v>3.9299999999999995E-2</v>
      </c>
      <c r="DE1148" s="304">
        <f>HLOOKUP($H1148,'GDP-PI'!$D$8:$CQ$11,3,FALSE)</f>
        <v>2.386056741932796E-2</v>
      </c>
      <c r="DF1148" s="303">
        <f>VLOOKUP(H1148,'HW Dx Data'!$E:$F,2,FALSE)</f>
        <v>755.13671434174842</v>
      </c>
      <c r="DG1148" s="364">
        <f ca="1">VLOOKUP(CC1148,'ECI - Input Price'!M$13:N$33,2,FALSE)</f>
        <v>144.44999999999999</v>
      </c>
      <c r="DH1148" s="364"/>
      <c r="DI1148" s="364"/>
      <c r="DJ1148" s="56">
        <f t="shared" ca="1" si="2060"/>
        <v>2.80818733619915E-2</v>
      </c>
      <c r="DK1148" s="53">
        <f>HLOOKUP(H1148,'GDP-PI'!$8:$9,2,FALSE)</f>
        <v>110.322</v>
      </c>
      <c r="DL1148" s="355">
        <f t="shared" si="2054"/>
        <v>2.3580352716508712E-2</v>
      </c>
    </row>
    <row r="1149" spans="1:116" s="126" customFormat="1" ht="21" customHeight="1" x14ac:dyDescent="0.4">
      <c r="A1149" s="233" t="s">
        <v>250</v>
      </c>
      <c r="B1149" s="126" t="s">
        <v>250</v>
      </c>
      <c r="C1149" s="126">
        <v>4063179</v>
      </c>
      <c r="D1149" s="127" t="s">
        <v>235</v>
      </c>
      <c r="E1149" s="127"/>
      <c r="F1149" s="144"/>
      <c r="G1149" s="126" t="s">
        <v>175</v>
      </c>
      <c r="H1149" s="128">
        <v>2019</v>
      </c>
      <c r="I1149" s="129"/>
      <c r="J1149" s="125">
        <f>IFERROR(INDEX('Labor Expenditures'!$E$7:$W$91,MATCH($C1149,'Labor Expenditures'!$C$7:$C$91,0),MATCH($G1149,'Labor Expenditures'!$E$5:$W$5,0)),"NA")</f>
        <v>427.26194463761101</v>
      </c>
      <c r="K1149" s="125">
        <f t="shared" ca="1" si="2055"/>
        <v>2.8545979264246601</v>
      </c>
      <c r="L1149" s="47"/>
      <c r="M1149" s="131">
        <f t="shared" ca="1" si="2061"/>
        <v>-0.1185652831138171</v>
      </c>
      <c r="N1149" s="131"/>
      <c r="O1149" s="131"/>
      <c r="P1149" s="59">
        <f t="shared" ca="1" si="2063"/>
        <v>-1.3434573976317239E-5</v>
      </c>
      <c r="Q1149" s="61"/>
      <c r="R1149" s="387"/>
      <c r="S1149" s="49">
        <f t="shared" ca="1" si="2069"/>
        <v>117.12321927689042</v>
      </c>
      <c r="T1149" s="61">
        <f ca="1">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</f>
        <v>-2.1380840845149074E-3</v>
      </c>
      <c r="U1149" s="61"/>
      <c r="V1149" s="125">
        <f>IFERROR(INDEX('Non-Labor Expenditures'!$E$7:$AA$91,MATCH($C1149,'Non-Labor Expenditures'!$C$7:$C$91,0),MATCH($G1149,'Non-Labor Expenditures'!$E$5:$AA$5,0)),"NA")</f>
        <v>618.75509735873709</v>
      </c>
      <c r="W1149" s="125">
        <f t="shared" si="2056"/>
        <v>5.5089575790054761</v>
      </c>
      <c r="X1149" s="131">
        <f t="shared" si="2064"/>
        <v>-0.10096320466604763</v>
      </c>
      <c r="Y1149" s="131">
        <f t="shared" si="2065"/>
        <v>-1.1440091115626121E-5</v>
      </c>
      <c r="Z1149" s="131"/>
      <c r="AA1149" s="131"/>
      <c r="AB1149" s="131"/>
      <c r="AC1149" s="125">
        <f t="shared" si="2035"/>
        <v>244.93096887597255</v>
      </c>
      <c r="AD1149" s="129"/>
      <c r="AE1149" s="133">
        <v>23.441640192512683</v>
      </c>
      <c r="AF1149" s="134">
        <v>1.2595508066039275E-2</v>
      </c>
      <c r="AG1149" s="134">
        <f t="shared" si="2066"/>
        <v>1.4271908305575959E-6</v>
      </c>
      <c r="AH1149" s="134"/>
      <c r="AI1149" s="134"/>
      <c r="AJ1149" s="129">
        <f t="shared" si="2031"/>
        <v>1290.9480108723205</v>
      </c>
      <c r="AK1149" s="134">
        <f t="shared" si="2067"/>
        <v>-7.0063703586650219E-2</v>
      </c>
      <c r="AL1149" s="129"/>
      <c r="AM1149" s="129"/>
      <c r="AN1149" s="129"/>
      <c r="AO1149" s="129"/>
      <c r="AP1149" s="133">
        <f t="shared" si="2068"/>
        <v>512.07775123852457</v>
      </c>
      <c r="AQ1149" s="134">
        <f>+BB1149/Outputs!$B$27</f>
        <v>6.6931544959267464E-5</v>
      </c>
      <c r="AR1149" s="93">
        <f t="shared" si="2057"/>
        <v>0.33096758431728107</v>
      </c>
      <c r="AS1149" s="93">
        <f t="shared" si="2058"/>
        <v>0.47930287830927548</v>
      </c>
      <c r="AT1149" s="93">
        <f t="shared" si="2059"/>
        <v>0.18972953737344356</v>
      </c>
      <c r="AU1149" s="93">
        <f t="shared" ca="1" si="2062"/>
        <v>-8.5882035385461047E-2</v>
      </c>
      <c r="AV1149" s="132">
        <f t="shared" ca="1" si="2071"/>
        <v>116.3885151619547</v>
      </c>
      <c r="AW1149" s="134">
        <f t="shared" ca="1" si="2072"/>
        <v>-8.5882035385461089E-2</v>
      </c>
      <c r="AX1149" s="56">
        <f>+AJ1149/$AL$24</f>
        <v>1.1330950868156473E-4</v>
      </c>
      <c r="AY1149" s="135">
        <f t="shared" ca="1" si="2070"/>
        <v>-9.731251234099353E-6</v>
      </c>
      <c r="AZ1149" s="93"/>
      <c r="BA1149" s="93"/>
      <c r="BB1149" s="234">
        <v>2521</v>
      </c>
      <c r="BC1149" s="269">
        <f t="shared" si="1988"/>
        <v>-0.1726224174491903</v>
      </c>
      <c r="BD1149" s="92"/>
      <c r="BE1149" s="299" t="str">
        <f t="shared" si="1984"/>
        <v>ST. JOE NATURAL GAS CO, INC.</v>
      </c>
      <c r="BF1149" s="300">
        <f t="shared" si="1985"/>
        <v>4063179</v>
      </c>
      <c r="BG1149" s="231" t="str">
        <f t="shared" si="1986"/>
        <v>FL</v>
      </c>
      <c r="BH1149" s="231"/>
      <c r="BI1149" s="231" t="str">
        <f t="shared" si="1987"/>
        <v>2019 Y</v>
      </c>
      <c r="BJ1149" s="129"/>
      <c r="BK1149" s="129"/>
      <c r="BL1149" s="129"/>
      <c r="BM1149" s="129"/>
      <c r="BN1149" s="301">
        <f t="shared" si="2036"/>
        <v>0.8853938063886857</v>
      </c>
      <c r="BO1149" s="231">
        <f t="shared" ref="BO1149:BO1212" si="2073">+BN1149*BM1149</f>
        <v>0</v>
      </c>
      <c r="BP1149" s="231">
        <f t="shared" ref="BP1149:BP1212" si="2074">+BO1149-BM1149</f>
        <v>0</v>
      </c>
      <c r="BQ1149" s="129" t="str">
        <f>INDEX('Dist Plant Depreciation'!$D$7:$AC$94,MATCH($C1149,'Dist Plant Depreciation'!$C$7:$C$94,0),MATCH(Calculation!$G1149,'Dist Plant Depreciation'!$D$5:$AC$5,0))</f>
        <v>NA</v>
      </c>
      <c r="BR1149" s="129" t="str">
        <f>INDEX('Gen. Plant Depreciation'!$D$7:$AC$94,MATCH($C1149,'Gen. Plant Depreciation'!$C$7:$C$94,0),MATCH(Calculation!$G1149,'Gen. Plant Depreciation'!$D$5:$AC$5,0))</f>
        <v>NA</v>
      </c>
      <c r="BS1149" s="129"/>
      <c r="BT1149" s="129"/>
      <c r="BU1149" s="129"/>
      <c r="BV1149" s="129"/>
      <c r="BW1149" s="129"/>
      <c r="BX1149" s="137"/>
      <c r="BY1149" s="129">
        <f>INDEX('Gross Dx Plant'!$D$7:$AC$91,MATCH($C1149,'Gross Dx Plant'!$C$7:$C$91,0),MATCH(Calculation!$G1149,'Gross Dx Plant'!$D$5:$AC$5,0))</f>
        <v>7262</v>
      </c>
      <c r="BZ1149" s="129">
        <f>INDEX('Gross Gen Plant'!$D$7:$AC$91,MATCH($C1149,'Gross Gen Plant'!$C$7:$C$91,0),MATCH(Calculation!$G1149,'Gross Gen Plant'!$D$5:$AC$5,0))</f>
        <v>940</v>
      </c>
      <c r="CA1149" s="129" t="str">
        <f t="shared" si="2048"/>
        <v>NA</v>
      </c>
      <c r="CB1149" s="129"/>
      <c r="CC1149" s="133">
        <v>2019</v>
      </c>
      <c r="CD1149" s="129"/>
      <c r="CE1149" s="129"/>
      <c r="CF1149" s="129"/>
      <c r="CG1149" s="137"/>
      <c r="CH1149" s="129">
        <v>417</v>
      </c>
      <c r="CI1149" s="46">
        <f t="shared" si="2046"/>
        <v>417</v>
      </c>
      <c r="CJ1149" s="231">
        <f t="shared" si="2038"/>
        <v>0.53908056269518079</v>
      </c>
      <c r="CK1149" s="443">
        <v>0.7407407407407407</v>
      </c>
      <c r="CL1149" s="231">
        <f>CL1128*CK1149+CJ1129*CK1148+CJ1130*CK1147+CJ1131*CK1146+CJ1132*CK1145+CJ1133*CK1144+CJ1134*CK1143+CJ1135*CK1142+CJ1136*CK1141+CJ1137*CK1140+CJ1138*CK1139+CJ1139*CK1138+CJ1140*CK1137+CJ1141*CK1136+CJ1142*CK1135+CJ1143*CK1134+CJ1144*CK1133+CJ1145*CK1132+CJ1146*CK1131+CJ1147*CK1130+CJ1148*CK1129+CJ1149</f>
        <v>20.685145045120766</v>
      </c>
      <c r="CM1149" s="134">
        <f t="shared" si="2039"/>
        <v>7.6122786346932928E-3</v>
      </c>
      <c r="CN1149" s="135">
        <f t="shared" si="2040"/>
        <v>1.8619058356147362E-2</v>
      </c>
      <c r="CO1149" s="135">
        <f t="shared" si="2050"/>
        <v>1.8041801866502175E-2</v>
      </c>
      <c r="CP1149" s="134">
        <f>VLOOKUP($H1149,RoR!$E:$F,2,FALSE)</f>
        <v>3.3875000000000009E-2</v>
      </c>
      <c r="CQ1149" s="135">
        <v>1.8092492884465461E-2</v>
      </c>
      <c r="CR1149" s="135">
        <f t="shared" si="2047"/>
        <v>1.5782507115534548E-2</v>
      </c>
      <c r="CS1149" s="135">
        <f t="shared" si="2051"/>
        <v>1.286013974203145E-2</v>
      </c>
      <c r="CT1149" s="135">
        <f t="shared" si="2052"/>
        <v>4.8445665544254078E-2</v>
      </c>
      <c r="CU1149" s="139">
        <f t="shared" si="2041"/>
        <v>0.90907250000000006</v>
      </c>
      <c r="CV1149" s="335">
        <f t="shared" si="2042"/>
        <v>1.513861292459078</v>
      </c>
      <c r="CW1149" s="335">
        <f t="shared" si="2043"/>
        <v>0.23699261992619944</v>
      </c>
      <c r="CX1149" s="335">
        <f t="shared" si="2044"/>
        <v>0.73619765810468829</v>
      </c>
      <c r="CY1149" s="335">
        <f t="shared" si="2045"/>
        <v>0.26412854465362851</v>
      </c>
      <c r="CZ1149" s="336">
        <f>INDEX('State Tax Lookup'!$D$7:$Z$91,MATCH(Calculation!$C1149,'State Tax Lookup'!$B$7:$B$91,0),MATCH($H1149,'State Tax Lookup'!$D$6:$Z$6,0))</f>
        <v>0.24574999999999997</v>
      </c>
      <c r="DA1149" s="302">
        <v>0.37</v>
      </c>
      <c r="DB1149" s="57">
        <f t="shared" si="2049"/>
        <v>11.93139161660732</v>
      </c>
      <c r="DC1149" s="56">
        <f t="shared" si="2053"/>
        <v>-2.092344932129489E-2</v>
      </c>
      <c r="DD1149" s="303">
        <f>VLOOKUP($H1149,RoR!$E:$F,2,FALSE)</f>
        <v>3.3875000000000009E-2</v>
      </c>
      <c r="DE1149" s="304">
        <f>HLOOKUP($H1149,'GDP-PI'!$D$8:$CQ$11,3,FALSE)</f>
        <v>1.8092492884465461E-2</v>
      </c>
      <c r="DF1149" s="303">
        <f>VLOOKUP(H1149,'HW Dx Data'!$E:$F,2,FALSE)</f>
        <v>773.53929793938721</v>
      </c>
      <c r="DG1149" s="364">
        <f ca="1">VLOOKUP(CC1149,'ECI - Input Price'!M$13:N$33,2,FALSE)</f>
        <v>149.67500000000001</v>
      </c>
      <c r="DH1149" s="364"/>
      <c r="DI1149" s="364"/>
      <c r="DJ1149" s="56">
        <f t="shared" ca="1" si="2060"/>
        <v>3.5532849899171604E-2</v>
      </c>
      <c r="DK1149" s="53">
        <f>HLOOKUP(H1149,'GDP-PI'!$8:$9,2,FALSE)</f>
        <v>112.318</v>
      </c>
      <c r="DL1149" s="355">
        <f t="shared" si="2054"/>
        <v>1.7930771451401852E-2</v>
      </c>
    </row>
    <row r="1150" spans="1:116" s="126" customFormat="1" ht="21" customHeight="1" x14ac:dyDescent="0.4">
      <c r="A1150" s="233" t="s">
        <v>250</v>
      </c>
      <c r="B1150" s="126" t="s">
        <v>250</v>
      </c>
      <c r="C1150" s="126">
        <v>4063179</v>
      </c>
      <c r="D1150" s="126" t="s">
        <v>235</v>
      </c>
      <c r="G1150" s="127" t="s">
        <v>176</v>
      </c>
      <c r="H1150" s="128">
        <v>2020</v>
      </c>
      <c r="I1150" s="129"/>
      <c r="J1150" s="125">
        <f>IFERROR(INDEX('Labor Expenditures'!$E$7:$W$91,MATCH($C1150,'Labor Expenditures'!$C$7:$C$91,0),MATCH($G1150,'Labor Expenditures'!$E$5:$W$5,0)),"NA")</f>
        <v>404.65343708141523</v>
      </c>
      <c r="K1150" s="125">
        <f t="shared" ca="1" si="2055"/>
        <v>2.6422033110115262</v>
      </c>
      <c r="L1150" s="47"/>
      <c r="M1150" s="131">
        <f t="shared" ca="1" si="2061"/>
        <v>-7.7317845227312387E-2</v>
      </c>
      <c r="N1150" s="131"/>
      <c r="O1150" s="131"/>
      <c r="P1150" s="59">
        <f t="shared" ca="1" si="2063"/>
        <v>-8.2526259998285138E-6</v>
      </c>
      <c r="Q1150" s="61"/>
      <c r="R1150" s="387"/>
      <c r="S1150" s="49">
        <f t="shared" ca="1" si="2069"/>
        <v>115.9629145618311</v>
      </c>
      <c r="T1150" s="61">
        <f ca="1">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</f>
        <v>-9.9560988929601607E-3</v>
      </c>
      <c r="U1150" s="61"/>
      <c r="V1150" s="125">
        <f>IFERROR(INDEX('Non-Labor Expenditures'!$E$7:$AA$91,MATCH($C1150,'Non-Labor Expenditures'!$C$7:$C$91,0),MATCH($G1150,'Non-Labor Expenditures'!$E$5:$AA$5,0)),"NA")</f>
        <v>586.01375573062955</v>
      </c>
      <c r="W1150" s="125">
        <f t="shared" si="2056"/>
        <v>5.1575275756724386</v>
      </c>
      <c r="X1150" s="131">
        <f t="shared" si="2064"/>
        <v>-6.5918105491336518E-2</v>
      </c>
      <c r="Y1150" s="131">
        <f t="shared" si="2065"/>
        <v>-7.0358591815111318E-6</v>
      </c>
      <c r="Z1150" s="131"/>
      <c r="AA1150" s="131"/>
      <c r="AB1150" s="131"/>
      <c r="AC1150" s="125">
        <f t="shared" si="2035"/>
        <v>247.6983638970226</v>
      </c>
      <c r="AD1150" s="129"/>
      <c r="AE1150" s="133">
        <v>23.490364328830506</v>
      </c>
      <c r="AF1150" s="134">
        <v>2.0763721609681719E-3</v>
      </c>
      <c r="AG1150" s="134">
        <f t="shared" si="2066"/>
        <v>2.2162442357968042E-7</v>
      </c>
      <c r="AH1150" s="134"/>
      <c r="AI1150" s="134"/>
      <c r="AJ1150" s="129">
        <f t="shared" si="2031"/>
        <v>1238.3655567090673</v>
      </c>
      <c r="AK1150" s="134">
        <f t="shared" si="2067"/>
        <v>-4.158442989003705E-2</v>
      </c>
      <c r="AL1150" s="129"/>
      <c r="AM1150" s="129"/>
      <c r="AN1150" s="129"/>
      <c r="AO1150" s="129"/>
      <c r="AP1150" s="133">
        <f t="shared" si="2068"/>
        <v>459.50484479000636</v>
      </c>
      <c r="AQ1150" s="134">
        <f>+BB1150/Outputs!$B$28</f>
        <v>7.1045912082805951E-5</v>
      </c>
      <c r="AR1150" s="93">
        <f t="shared" si="2057"/>
        <v>0.32676412460693272</v>
      </c>
      <c r="AS1150" s="93">
        <f t="shared" si="2058"/>
        <v>0.4732154835507133</v>
      </c>
      <c r="AT1150" s="93">
        <f t="shared" si="2059"/>
        <v>0.20002039184235409</v>
      </c>
      <c r="AU1150" s="93">
        <f t="shared" ca="1" si="2062"/>
        <v>-5.6416669214228429E-2</v>
      </c>
      <c r="AV1150" s="132">
        <f t="shared" ca="1" si="2071"/>
        <v>110.00405120181878</v>
      </c>
      <c r="AW1150" s="134">
        <f t="shared" ca="1" si="2072"/>
        <v>-5.6416669214228395E-2</v>
      </c>
      <c r="AX1150" s="56">
        <f>+AJ1150/$AL$25</f>
        <v>1.067363682415879E-4</v>
      </c>
      <c r="AY1150" s="135">
        <f t="shared" ca="1" si="2070"/>
        <v>-6.0217103802137372E-6</v>
      </c>
      <c r="AZ1150" s="93"/>
      <c r="BA1150" s="93"/>
      <c r="BB1150" s="234">
        <v>2695</v>
      </c>
      <c r="BC1150" s="269">
        <f t="shared" si="1988"/>
        <v>6.6742556155177768E-2</v>
      </c>
      <c r="BD1150" s="92"/>
      <c r="BE1150" s="299" t="str">
        <f t="shared" si="1984"/>
        <v>ST. JOE NATURAL GAS CO, INC.</v>
      </c>
      <c r="BF1150" s="300">
        <f t="shared" si="1985"/>
        <v>4063179</v>
      </c>
      <c r="BG1150" s="231" t="str">
        <f t="shared" si="1986"/>
        <v>FL</v>
      </c>
      <c r="BH1150" s="231"/>
      <c r="BI1150" s="231" t="str">
        <f t="shared" si="1987"/>
        <v>2020 Y</v>
      </c>
      <c r="BJ1150" s="129"/>
      <c r="BK1150" s="129"/>
      <c r="BL1150" s="129">
        <f>INDEX('Dist. Plant Gas Additions'!$E$7:$AD$91,MATCH($C1150,'Dist. Plant Gas Additions'!$C$7:$C$91,0),MATCH(Calculation!$G1150,'Dist. Plant Gas Additions'!$E$5:$AD$5,0))</f>
        <v>236</v>
      </c>
      <c r="BM1150" s="129">
        <f>INDEX('Gen. Plant Additions'!$E$7:$AD$91,MATCH($C1150,'Gen. Plant Additions'!$C$7:$C$91,0),MATCH(Calculation!$G1150,'Gen. Plant Additions'!$E$5:$AD$5,0))</f>
        <v>14</v>
      </c>
      <c r="BN1150" s="301">
        <f t="shared" si="2036"/>
        <v>0.88822670882996835</v>
      </c>
      <c r="BO1150" s="231">
        <f t="shared" si="2073"/>
        <v>12.435173923619557</v>
      </c>
      <c r="BP1150" s="231">
        <f t="shared" si="2074"/>
        <v>-1.5648260763804434</v>
      </c>
      <c r="BQ1150" s="129">
        <f>INDEX('Dist Plant Depreciation'!$D$7:$AC$94,MATCH($C1150,'Dist Plant Depreciation'!$C$7:$C$94,0),MATCH(Calculation!$G1150,'Dist Plant Depreciation'!$D$5:$AC$5,0))</f>
        <v>5071</v>
      </c>
      <c r="BR1150" s="129">
        <f>INDEX('Gen. Plant Depreciation'!$D$7:$AC$94,MATCH($C1150,'Gen. Plant Depreciation'!$C$7:$C$94,0),MATCH(Calculation!$G1150,'Gen. Plant Depreciation'!$D$5:$AC$5,0))</f>
        <v>592</v>
      </c>
      <c r="BS1150" s="129"/>
      <c r="BT1150" s="129"/>
      <c r="BU1150" s="129"/>
      <c r="BV1150" s="129"/>
      <c r="BW1150" s="129"/>
      <c r="BX1150" s="137"/>
      <c r="BY1150" s="129">
        <f>INDEX('Gross Dx Plant'!$D$7:$AC$91,MATCH($C1150,'Gross Dx Plant'!$C$7:$C$91,0),MATCH(Calculation!$G1150,'Gross Dx Plant'!$D$5:$AC$5,0))</f>
        <v>7303</v>
      </c>
      <c r="BZ1150" s="129">
        <f>INDEX('Gross Gen Plant'!$D$7:$AC$91,MATCH($C1150,'Gross Gen Plant'!$C$7:$C$91,0),MATCH(Calculation!$G1150,'Gross Gen Plant'!$D$5:$AC$5,0))</f>
        <v>919</v>
      </c>
      <c r="CA1150" s="129">
        <f t="shared" si="2048"/>
        <v>2559</v>
      </c>
      <c r="CB1150" s="129"/>
      <c r="CC1150" s="133">
        <v>2020</v>
      </c>
      <c r="CD1150" s="129"/>
      <c r="CE1150" s="129"/>
      <c r="CF1150" s="129"/>
      <c r="CG1150" s="137"/>
      <c r="CH1150" s="129">
        <f>+BM1150+BL1150</f>
        <v>250</v>
      </c>
      <c r="CI1150" s="46">
        <f t="shared" si="2046"/>
        <v>248.43517392361954</v>
      </c>
      <c r="CJ1150" s="231">
        <f t="shared" si="2038"/>
        <v>0.30554819240986958</v>
      </c>
      <c r="CK1150" s="443">
        <v>0.72499999999999998</v>
      </c>
      <c r="CL1150" s="231">
        <f>CL1128*CK1150+CJ1129*CK1149+CJ1130*CK1148+CJ1131*CK1147+CJ1132*CK1146+CJ1133*CK1145+CJ1134*CK1144+CJ1135*CK1143+CJ1136*CK1142+CJ1137*CK1141+CJ1138*CK1140+CJ1139*CK1139+CJ1140*CK1138+CJ1141*CK1137+CJ1142*CK1136+CJ1143*CK1135+CJ1144*CK1134+CJ1145*CK1133+CJ1146*CK1132+CJ1147*CK1131+CJ1148*CK1130+CJ1149*CK1129+CJ1150</f>
        <v>20.593768737244257</v>
      </c>
      <c r="CM1150" s="134">
        <f t="shared" si="2039"/>
        <v>-4.427270427303477E-3</v>
      </c>
      <c r="CN1150" s="135">
        <f t="shared" si="2040"/>
        <v>1.9188867151792351E-2</v>
      </c>
      <c r="CO1150" s="135">
        <f t="shared" si="2050"/>
        <v>1.862707153713682E-2</v>
      </c>
      <c r="CP1150" s="134">
        <f>VLOOKUP($H1150,RoR!$E:$F,2,FALSE)</f>
        <v>2.4766666666666666E-2</v>
      </c>
      <c r="CQ1150" s="135">
        <v>1.1618796630994188E-2</v>
      </c>
      <c r="CR1150" s="135">
        <f t="shared" si="2047"/>
        <v>1.3147870035672478E-2</v>
      </c>
      <c r="CS1150" s="135">
        <f t="shared" si="2051"/>
        <v>1.2274870071396805E-2</v>
      </c>
      <c r="CT1150" s="135">
        <f t="shared" si="2052"/>
        <v>4.5144642961987357E-2</v>
      </c>
      <c r="CU1150" s="139">
        <f t="shared" si="2041"/>
        <v>0.90907250000000006</v>
      </c>
      <c r="CV1150" s="335">
        <f t="shared" si="2042"/>
        <v>2.0706077233668081</v>
      </c>
      <c r="CW1150" s="335">
        <f t="shared" si="2043"/>
        <v>-3.4421265141318998E-2</v>
      </c>
      <c r="CX1150" s="335">
        <f t="shared" si="2044"/>
        <v>0.62416226176410472</v>
      </c>
      <c r="CY1150" s="335">
        <f t="shared" si="2045"/>
        <v>-4.4485877841158712E-2</v>
      </c>
      <c r="CZ1150" s="336">
        <f>INDEX('State Tax Lookup'!$D$7:$Z$91,MATCH(Calculation!$C1150,'State Tax Lookup'!$B$7:$B$91,0),MATCH($H1150,'State Tax Lookup'!$D$6:$Z$6,0))</f>
        <v>0.24574999999999997</v>
      </c>
      <c r="DA1150" s="302">
        <v>0.37</v>
      </c>
      <c r="DB1150" s="57">
        <f t="shared" si="2049"/>
        <v>11.974697946604438</v>
      </c>
      <c r="DC1150" s="56">
        <f t="shared" si="2053"/>
        <v>3.623041506144935E-3</v>
      </c>
      <c r="DD1150" s="303">
        <f>VLOOKUP($H1150,RoR!$E:$F,2,FALSE)</f>
        <v>2.4766666666666666E-2</v>
      </c>
      <c r="DE1150" s="304">
        <f>HLOOKUP($H1150,'GDP-PI'!$D$8:$CQ$11,3,FALSE)</f>
        <v>1.1618796630994188E-2</v>
      </c>
      <c r="DF1150" s="303">
        <f>VLOOKUP(H1150,'HW Dx Data'!$E:$F,2,FALSE)</f>
        <v>813.080162458833</v>
      </c>
      <c r="DG1150" s="364">
        <f ca="1">VLOOKUP(CC1150,'ECI - Input Price'!M$13:N$33,2,FALSE)</f>
        <v>153.15</v>
      </c>
      <c r="DH1150" s="364"/>
      <c r="DI1150" s="364"/>
      <c r="DJ1150" s="56">
        <f t="shared" ca="1" si="2060"/>
        <v>2.2951556467368479E-2</v>
      </c>
      <c r="DK1150" s="53">
        <f>HLOOKUP(H1150,'GDP-PI'!$8:$9,2,FALSE)</f>
        <v>113.623</v>
      </c>
      <c r="DL1150" s="355">
        <f t="shared" si="2054"/>
        <v>1.1551816731392881E-2</v>
      </c>
    </row>
    <row r="1151" spans="1:116" s="126" customFormat="1" ht="21" customHeight="1" x14ac:dyDescent="0.4">
      <c r="A1151" s="233" t="s">
        <v>250</v>
      </c>
      <c r="B1151" s="126" t="s">
        <v>250</v>
      </c>
      <c r="C1151" s="126">
        <v>4063179</v>
      </c>
      <c r="D1151" s="126" t="s">
        <v>235</v>
      </c>
      <c r="G1151" s="127" t="s">
        <v>177</v>
      </c>
      <c r="H1151" s="128">
        <v>2021</v>
      </c>
      <c r="I1151" s="129"/>
      <c r="J1151" s="125">
        <v>442.96540952827968</v>
      </c>
      <c r="K1151" s="125">
        <f t="shared" ca="1" si="2055"/>
        <v>2.8169501400844497</v>
      </c>
      <c r="L1151" s="47"/>
      <c r="M1151" s="130">
        <f t="shared" ca="1" si="2061"/>
        <v>6.4041632498970436E-2</v>
      </c>
      <c r="N1151" s="130"/>
      <c r="O1151" s="130"/>
      <c r="P1151" s="59">
        <f t="shared" ca="1" si="2063"/>
        <v>7.0196402833934284E-6</v>
      </c>
      <c r="Q1151" s="61"/>
      <c r="R1151" s="387"/>
      <c r="S1151" s="132">
        <f ca="1">+S1150*EXP(T1151)</f>
        <v>117.02262560166415</v>
      </c>
      <c r="T1151" s="134">
        <f ca="1">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</f>
        <v>9.0968593752363703E-3</v>
      </c>
      <c r="U1151" s="134"/>
      <c r="V1151" s="125">
        <v>624.42111945552688</v>
      </c>
      <c r="W1151" s="125">
        <f t="shared" si="2056"/>
        <v>5.2698212461433611</v>
      </c>
      <c r="X1151" s="131">
        <f t="shared" si="2064"/>
        <v>2.1539130178118201E-2</v>
      </c>
      <c r="Y1151" s="131">
        <f t="shared" si="2065"/>
        <v>2.3609164846009243E-6</v>
      </c>
      <c r="Z1151" s="131"/>
      <c r="AA1151" s="131"/>
      <c r="AB1151" s="131"/>
      <c r="AC1151" s="125">
        <f t="shared" si="2035"/>
        <v>340.58052455503969</v>
      </c>
      <c r="AD1151" s="129"/>
      <c r="AE1151" s="133">
        <v>23.907300442845109</v>
      </c>
      <c r="AF1151" s="134"/>
      <c r="AG1151" s="134">
        <f t="shared" si="2066"/>
        <v>0</v>
      </c>
      <c r="AH1151" s="134"/>
      <c r="AI1151" s="134"/>
      <c r="AJ1151" s="129">
        <f t="shared" si="2031"/>
        <v>1407.9670535388464</v>
      </c>
      <c r="AK1151" s="134">
        <f t="shared" si="2067"/>
        <v>0.12835444725520948</v>
      </c>
      <c r="AL1151" s="129"/>
      <c r="AM1151" s="134"/>
      <c r="AN1151" s="134"/>
      <c r="AO1151" s="134"/>
      <c r="AP1151" s="133">
        <f t="shared" si="2068"/>
        <v>553.22870473039143</v>
      </c>
      <c r="AQ1151" s="134">
        <f>+BB1151/Outputs!$B$29</f>
        <v>6.5921924896330714E-5</v>
      </c>
      <c r="AR1151" s="93">
        <f t="shared" si="2057"/>
        <v>0.31461347651204685</v>
      </c>
      <c r="AS1151" s="93">
        <f t="shared" si="2058"/>
        <v>0.44349128616758421</v>
      </c>
      <c r="AT1151" s="93">
        <f t="shared" si="2059"/>
        <v>0.24189523732036883</v>
      </c>
      <c r="AU1151" s="93">
        <f t="shared" ca="1" si="2062"/>
        <v>3.0409967536028787E-2</v>
      </c>
      <c r="AV1151" s="132">
        <f t="shared" ca="1" si="2071"/>
        <v>113.40065437251263</v>
      </c>
      <c r="AW1151" s="134">
        <f t="shared" ca="1" si="2072"/>
        <v>3.0409967536028863E-2</v>
      </c>
      <c r="AX1151" s="56">
        <f>+AJ1151/$AL$26</f>
        <v>1.0961057689318397E-4</v>
      </c>
      <c r="AY1151" s="135">
        <f t="shared" ca="1" si="2070"/>
        <v>3.3332540849271201E-6</v>
      </c>
      <c r="AZ1151" s="93"/>
      <c r="BA1151" s="93"/>
      <c r="BB1151" s="234">
        <v>2545</v>
      </c>
      <c r="BC1151" s="269">
        <f t="shared" si="1988"/>
        <v>-5.726755435847438E-2</v>
      </c>
      <c r="BD1151" s="91"/>
      <c r="BE1151" s="299" t="str">
        <f t="shared" si="1984"/>
        <v>ST. JOE NATURAL GAS CO, INC.</v>
      </c>
      <c r="BF1151" s="300">
        <f t="shared" si="1985"/>
        <v>4063179</v>
      </c>
      <c r="BG1151" s="231" t="str">
        <f t="shared" si="1986"/>
        <v>FL</v>
      </c>
      <c r="BH1151" s="231"/>
      <c r="BI1151" s="231" t="str">
        <f t="shared" si="1987"/>
        <v>2021 Y</v>
      </c>
      <c r="BJ1151" s="129"/>
      <c r="BK1151" s="129"/>
      <c r="BL1151" s="129">
        <f>INDEX('Dist. Plant Gas Additions'!$D$7:$AD$91,MATCH($C1151,'Dist. Plant Gas Additions'!$C$7:$C$91,0),MATCH(Calculation!$G1151,'Dist. Plant Gas Additions'!$D$5:$AD$5,0))</f>
        <v>309</v>
      </c>
      <c r="BM1151" s="129">
        <f>INDEX('Gen. Plant Additions'!$D$7:$AD$91,MATCH($C1151,'Gen. Plant Additions'!$C$7:$C$91,0),MATCH(Calculation!$G1151,'Gen. Plant Additions'!$D$5:$AD$5,0))</f>
        <v>127</v>
      </c>
      <c r="BN1151" s="343"/>
      <c r="BO1151" s="231">
        <f t="shared" si="2073"/>
        <v>0</v>
      </c>
      <c r="BP1151" s="231">
        <f t="shared" si="2074"/>
        <v>-127</v>
      </c>
      <c r="BQ1151" s="129"/>
      <c r="BR1151" s="129"/>
      <c r="BS1151" s="137"/>
      <c r="BT1151" s="137"/>
      <c r="BU1151" s="333"/>
      <c r="BV1151" s="93"/>
      <c r="BW1151" s="334"/>
      <c r="BX1151" s="334"/>
      <c r="BY1151" s="129"/>
      <c r="BZ1151" s="129"/>
      <c r="CA1151" s="129"/>
      <c r="CB1151" s="129"/>
      <c r="CC1151" s="133">
        <v>2021</v>
      </c>
      <c r="CD1151" s="129"/>
      <c r="CE1151" s="129"/>
      <c r="CF1151" s="129"/>
      <c r="CG1151" s="137"/>
      <c r="CH1151" s="129">
        <f>+BM1151+BL1151</f>
        <v>436</v>
      </c>
      <c r="CI1151" s="46">
        <f t="shared" si="2046"/>
        <v>309</v>
      </c>
      <c r="CJ1151" s="231">
        <f t="shared" si="2038"/>
        <v>0.33118172419147368</v>
      </c>
      <c r="CK1151" s="443">
        <v>0.70886075949367089</v>
      </c>
      <c r="CL1151" s="129">
        <f>CL1128*CK1151+CJ1129*CK1150+CJ1130*CK1149+CJ1131*CK1148+CJ1132*CK1147+CJ1133*CK1146+CJ1134*CK1145+CJ1135*CK1144+CJ1136*CK1143+CJ1137*CK1142+CJ1138*CK1141+CJ1139*CK1140+CJ1140*CK1139+CJ1141*CK1138+CJ1142*CK1137+CJ1133*CK1136+CJ1144*CK1135+CJ1145*CK1134+CJ1146*CK1133+CJ1147*CK1132+CJ1148*CK1131+CJ1149*CK1130+CJ1151+CJ1150*CK1129</f>
        <v>20.707903342056969</v>
      </c>
      <c r="CM1151" s="134"/>
      <c r="CN1151" s="135">
        <f t="shared" si="2040"/>
        <v>1.0539455995066489E-2</v>
      </c>
      <c r="CO1151" s="135">
        <f t="shared" si="2050"/>
        <v>1.6115793834335399E-2</v>
      </c>
      <c r="CP1151" s="134">
        <f>VLOOKUP($H1151,RoR!$E:$F,2,FALSE)</f>
        <v>2.7033333333333336E-2</v>
      </c>
      <c r="CQ1151" s="135"/>
      <c r="CR1151" s="135"/>
      <c r="CS1151" s="135">
        <f t="shared" si="2051"/>
        <v>1.4786147774198226E-2</v>
      </c>
      <c r="CT1151" s="135">
        <f t="shared" si="2052"/>
        <v>7.433422950153494E-2</v>
      </c>
      <c r="CU1151" s="139">
        <f t="shared" si="2041"/>
        <v>0.90907250000000006</v>
      </c>
      <c r="CV1151" s="335">
        <f t="shared" si="2042"/>
        <v>1.8969932656739068</v>
      </c>
      <c r="CW1151" s="335">
        <f t="shared" si="2043"/>
        <v>5.0215782983970621E-2</v>
      </c>
      <c r="CX1151" s="335">
        <f t="shared" si="2044"/>
        <v>0.655952481704143</v>
      </c>
      <c r="CY1151" s="335">
        <f t="shared" si="2045"/>
        <v>6.2485378865697057E-2</v>
      </c>
      <c r="CZ1151" s="336">
        <f>CZ1150</f>
        <v>0.24574999999999997</v>
      </c>
      <c r="DA1151" s="302">
        <v>0.37</v>
      </c>
      <c r="DB1151" s="141">
        <f t="shared" si="2049"/>
        <v>16.538037738526835</v>
      </c>
      <c r="DC1151" s="135">
        <f>LN(DB1152/DB1150)</f>
        <v>0.13014465280145787</v>
      </c>
      <c r="DD1151" s="336">
        <f>VLOOKUP($H1151,RoR!$E:$F,2,FALSE)</f>
        <v>2.7033333333333336E-2</v>
      </c>
      <c r="DE1151" s="342">
        <f>HLOOKUP($H1151,'GDP-PI'!$D$8:$CR$11,3,FALSE)</f>
        <v>4.2834637353352578E-2</v>
      </c>
      <c r="DF1151" s="336">
        <f>VLOOKUP(H1151,'HW Dx Data'!$E:$F,2,FALSE)</f>
        <v>933.02249921662576</v>
      </c>
      <c r="DG1151" s="364">
        <f ca="1">VLOOKUP(CC1151,'ECI - Input Price'!M$13:N$33,2,FALSE)</f>
        <v>157.25</v>
      </c>
      <c r="DH1151" s="364"/>
      <c r="DI1151" s="364"/>
      <c r="DJ1151" s="135">
        <f t="shared" ca="1" si="2060"/>
        <v>2.6419062301765574E-2</v>
      </c>
      <c r="DK1151" s="137">
        <f>HLOOKUP(H1151,'GDP-PI'!$8:$9,2,FALSE)</f>
        <v>118.49</v>
      </c>
      <c r="DL1151" s="356">
        <f t="shared" si="2054"/>
        <v>4.194261824609434E-2</v>
      </c>
    </row>
    <row r="1152" spans="1:116" s="126" customFormat="1" ht="21" customHeight="1" thickBot="1" x14ac:dyDescent="0.45">
      <c r="A1152" s="235"/>
      <c r="B1152" s="236"/>
      <c r="C1152" s="236"/>
      <c r="D1152" s="236"/>
      <c r="E1152" s="236"/>
      <c r="F1152" s="236"/>
      <c r="G1152" s="237" t="s">
        <v>178</v>
      </c>
      <c r="H1152" s="238"/>
      <c r="I1152" s="239"/>
      <c r="J1152" s="240">
        <v>429.21061232967759</v>
      </c>
      <c r="K1152" s="240">
        <f t="shared" ca="1" si="2055"/>
        <v>2.6404836193766692</v>
      </c>
      <c r="L1152" s="47"/>
      <c r="M1152" s="241">
        <f t="shared" ref="M1152" ca="1" si="2075">LN(K1152/K1151)</f>
        <v>-6.4692699548093105E-2</v>
      </c>
      <c r="N1152" s="241"/>
      <c r="O1152" s="241"/>
      <c r="P1152" s="242">
        <f t="shared" ca="1" si="2063"/>
        <v>-6.4370882889510745E-6</v>
      </c>
      <c r="Q1152" s="61"/>
      <c r="R1152" s="387"/>
      <c r="S1152" s="206">
        <f ca="1">+S1151*EXP(T1152)</f>
        <v>116.9906734164599</v>
      </c>
      <c r="T1152" s="243">
        <f ca="1">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</f>
        <v>-2.7308008166087731E-4</v>
      </c>
      <c r="U1152" s="243"/>
      <c r="V1152" s="264">
        <v>605.0318270189432</v>
      </c>
      <c r="W1152" s="240">
        <f t="shared" si="2056"/>
        <v>4.7546705463178247</v>
      </c>
      <c r="X1152" s="244">
        <f t="shared" ref="X1152" si="2076">LN(W1152/W1151)</f>
        <v>-0.10286903498071209</v>
      </c>
      <c r="Y1152" s="244">
        <f t="shared" si="2065"/>
        <v>-1.0235730847462504E-5</v>
      </c>
      <c r="Z1152" s="206"/>
      <c r="AA1152" s="243"/>
      <c r="AB1152" s="243"/>
      <c r="AC1152" s="240">
        <f t="shared" si="2035"/>
        <v>282.43713743805472</v>
      </c>
      <c r="AD1152" s="243"/>
      <c r="AE1152" s="245">
        <v>23.823503877702422</v>
      </c>
      <c r="AF1152" s="243">
        <v>-3.5112189047356349E-3</v>
      </c>
      <c r="AG1152" s="243"/>
      <c r="AH1152" s="206"/>
      <c r="AI1152" s="243"/>
      <c r="AJ1152" s="239">
        <f t="shared" si="2031"/>
        <v>1316.6795767866756</v>
      </c>
      <c r="AK1152" s="243">
        <f t="shared" si="2067"/>
        <v>-6.7033762635539743E-2</v>
      </c>
      <c r="AL1152" s="239"/>
      <c r="AM1152" s="243"/>
      <c r="AN1152" s="243"/>
      <c r="AO1152" s="243"/>
      <c r="AP1152" s="245">
        <f t="shared" si="2068"/>
        <v>457.49811563122853</v>
      </c>
      <c r="AQ1152" s="243"/>
      <c r="AR1152" s="207">
        <f t="shared" si="2057"/>
        <v>0.32597954726172301</v>
      </c>
      <c r="AS1152" s="207">
        <f t="shared" si="2058"/>
        <v>0.45951333770628433</v>
      </c>
      <c r="AT1152" s="207">
        <f t="shared" si="2059"/>
        <v>0.21450711503199257</v>
      </c>
      <c r="AU1152" s="207"/>
      <c r="AV1152" s="206"/>
      <c r="AW1152" s="243"/>
      <c r="AX1152" s="248">
        <f>+AJ1152/$AL$27</f>
        <v>9.9502545633695314E-5</v>
      </c>
      <c r="AY1152" s="249"/>
      <c r="AZ1152" s="206"/>
      <c r="BA1152" s="243"/>
      <c r="BB1152" s="250">
        <v>2878</v>
      </c>
      <c r="BC1152" s="270">
        <f t="shared" si="1988"/>
        <v>0.12296495846269009</v>
      </c>
      <c r="BD1152" s="91"/>
      <c r="BE1152" s="306">
        <f t="shared" si="1984"/>
        <v>0</v>
      </c>
      <c r="BF1152" s="307">
        <f t="shared" si="1985"/>
        <v>0</v>
      </c>
      <c r="BG1152" s="308">
        <f t="shared" si="1986"/>
        <v>0</v>
      </c>
      <c r="BH1152" s="308"/>
      <c r="BI1152" s="308" t="str">
        <f t="shared" si="1987"/>
        <v>2022Y</v>
      </c>
      <c r="BJ1152" s="239"/>
      <c r="BK1152" s="239"/>
      <c r="BL1152" s="239"/>
      <c r="BM1152" s="239"/>
      <c r="BN1152" s="337"/>
      <c r="BO1152" s="308">
        <f t="shared" si="2073"/>
        <v>0</v>
      </c>
      <c r="BP1152" s="308">
        <f t="shared" si="2074"/>
        <v>0</v>
      </c>
      <c r="BQ1152" s="239"/>
      <c r="BR1152" s="239"/>
      <c r="BS1152" s="310"/>
      <c r="BT1152" s="310"/>
      <c r="BU1152" s="311"/>
      <c r="BV1152" s="207"/>
      <c r="BW1152" s="312"/>
      <c r="BX1152" s="312"/>
      <c r="BY1152" s="239"/>
      <c r="BZ1152" s="239"/>
      <c r="CA1152" s="239"/>
      <c r="CB1152" s="239"/>
      <c r="CC1152" s="245">
        <v>2022</v>
      </c>
      <c r="CD1152" s="239"/>
      <c r="CE1152" s="239"/>
      <c r="CF1152" s="239"/>
      <c r="CG1152" s="310"/>
      <c r="CH1152" s="239">
        <v>445</v>
      </c>
      <c r="CI1152" s="313">
        <f t="shared" si="2046"/>
        <v>445</v>
      </c>
      <c r="CJ1152" s="308">
        <f t="shared" si="2038"/>
        <v>0.43169934323493175</v>
      </c>
      <c r="CK1152" s="443">
        <v>0.69230769230769229</v>
      </c>
      <c r="CL1152" s="239">
        <f>+CL1128*CK1152+CJ1129*CK1151+CJ1130*CK1150+CJ1131*CK1149+CJ1132*CK1148+CJ1133*CK1147+CJ1134*CK1146+CJ1135*CK1145+CJ1136*CK1144+CJ1137*CK1143+CJ1138*CK1142+CJ1139*CK1141+CJ1140*CK1140+CJ1141*CK1139+CJ1142*CK1138+CJ1143*CK1137+CJ1144*CK1136+CJ1145*CK1135+CJ1146*CK1134+CJ1147*CK1133+CJ1148*CK1132+CJ1149*CK1131+CJ1150*CK1130+CJ1151*CK1129+CJ1152*CK1128</f>
        <v>20.523561527458025</v>
      </c>
      <c r="CM1152" s="243">
        <f t="shared" ref="CM1152" si="2077">LN(CL1152/CL1151)</f>
        <v>-8.9418624084342119E-3</v>
      </c>
      <c r="CN1152" s="249">
        <f t="shared" si="2040"/>
        <v>2.9749084089199896E-2</v>
      </c>
      <c r="CO1152" s="249">
        <f t="shared" si="2050"/>
        <v>1.9825802412019578E-2</v>
      </c>
      <c r="CP1152" s="243"/>
      <c r="CQ1152" s="249"/>
      <c r="CR1152" s="249"/>
      <c r="CS1152" s="248">
        <f t="shared" si="2051"/>
        <v>1.1076139196514047E-2</v>
      </c>
      <c r="CT1152" s="249">
        <f t="shared" si="2052"/>
        <v>0.10114668178709289</v>
      </c>
      <c r="CU1152" s="314">
        <f t="shared" si="2041"/>
        <v>0.90907250000000006</v>
      </c>
      <c r="CV1152" s="315">
        <f t="shared" si="2042"/>
        <v>1.2820512820512819</v>
      </c>
      <c r="CW1152" s="315">
        <f t="shared" si="2043"/>
        <v>0.35000000000000003</v>
      </c>
      <c r="CX1152" s="315">
        <f t="shared" si="2044"/>
        <v>0.79171095533705893</v>
      </c>
      <c r="CY1152" s="315">
        <f t="shared" si="2045"/>
        <v>0.35525491585637264</v>
      </c>
      <c r="CZ1152" s="316">
        <f>CZ1151</f>
        <v>0.24574999999999997</v>
      </c>
      <c r="DA1152" s="317">
        <v>0.37</v>
      </c>
      <c r="DB1152" s="318">
        <f t="shared" si="2049"/>
        <v>13.639098694479395</v>
      </c>
      <c r="DC1152" s="249">
        <f>LN(DB1152/DB1151)</f>
        <v>-0.19272247311075164</v>
      </c>
      <c r="DD1152" s="316">
        <v>0.04</v>
      </c>
      <c r="DE1152" s="319">
        <v>7.0000000000000001E-3</v>
      </c>
      <c r="DF1152" s="316">
        <v>1030.81</v>
      </c>
      <c r="DG1152" s="364">
        <f ca="1">VLOOKUP(CC1152,'ECI - Input Price'!M$13:N$33,2,FALSE)</f>
        <v>162.55000000000001</v>
      </c>
      <c r="DH1152" s="364"/>
      <c r="DI1152" s="364"/>
      <c r="DJ1152" s="249">
        <f t="shared" ca="1" si="2060"/>
        <v>3.3148751169364422E-2</v>
      </c>
      <c r="DK1152" s="310">
        <v>127.25</v>
      </c>
      <c r="DL1152" s="357">
        <f t="shared" si="2054"/>
        <v>7.1325086601983473E-2</v>
      </c>
    </row>
    <row r="1153" spans="1:116" s="126" customFormat="1" ht="21" customHeight="1" x14ac:dyDescent="0.4">
      <c r="A1153" s="251" t="s">
        <v>251</v>
      </c>
      <c r="B1153" s="265" t="s">
        <v>251</v>
      </c>
      <c r="C1153" s="265">
        <v>4063183</v>
      </c>
      <c r="D1153" s="252" t="s">
        <v>194</v>
      </c>
      <c r="E1153" s="252" t="s">
        <v>15</v>
      </c>
      <c r="F1153" s="266"/>
      <c r="G1153" s="265" t="s">
        <v>150</v>
      </c>
      <c r="H1153" s="253">
        <v>1998</v>
      </c>
      <c r="I1153" s="254"/>
      <c r="J1153" s="255"/>
      <c r="K1153" s="255"/>
      <c r="L1153" s="47"/>
      <c r="M1153" s="255"/>
      <c r="N1153" s="255"/>
      <c r="O1153" s="255"/>
      <c r="P1153" s="219"/>
      <c r="Q1153" s="218"/>
      <c r="R1153" s="385"/>
      <c r="S1153" s="257"/>
      <c r="T1153" s="258"/>
      <c r="U1153" s="258"/>
      <c r="V1153" s="259"/>
      <c r="W1153" s="259"/>
      <c r="X1153" s="259"/>
      <c r="Y1153" s="255"/>
      <c r="Z1153" s="259"/>
      <c r="AA1153" s="259"/>
      <c r="AB1153" s="259"/>
      <c r="AC1153" s="255"/>
      <c r="AD1153" s="254"/>
      <c r="AE1153" s="260">
        <v>126.21490603776783</v>
      </c>
      <c r="AF1153" s="256"/>
      <c r="AG1153" s="225"/>
      <c r="AH1153" s="256"/>
      <c r="AI1153" s="256"/>
      <c r="AJ1153" s="254">
        <f t="shared" si="2031"/>
        <v>0</v>
      </c>
      <c r="AK1153" s="254"/>
      <c r="AL1153" s="254"/>
      <c r="AM1153" s="256"/>
      <c r="AN1153" s="256"/>
      <c r="AO1153" s="256"/>
      <c r="AP1153" s="226">
        <f>+(AP1150+AP1151+AP1152)/3</f>
        <v>490.07722171720872</v>
      </c>
      <c r="AQ1153" s="256"/>
      <c r="AR1153" s="261"/>
      <c r="AS1153" s="261"/>
      <c r="AT1153" s="261"/>
      <c r="AU1153" s="261"/>
      <c r="AV1153" s="261"/>
      <c r="AW1153" s="256">
        <f ca="1">AVERAGE(AW1162:AW1176)</f>
        <v>2.1767356395922456E-2</v>
      </c>
      <c r="AX1153" s="261"/>
      <c r="AY1153" s="261"/>
      <c r="AZ1153" s="261"/>
      <c r="BA1153" s="261"/>
      <c r="BB1153" s="262">
        <f>IFERROR(INDEX('Total Customers'!$E$7:$AA$91,MATCH($C1153,'Total Customers'!$C$7:$C$91,0),MATCH($G1153,'Total Customers'!$E$5:$AA$5,0)),"NA")</f>
        <v>14428</v>
      </c>
      <c r="BC1153" s="268"/>
      <c r="BD1153" s="92"/>
      <c r="BE1153" s="320" t="str">
        <f t="shared" si="1984"/>
        <v>ST. LAWRENCE GAS COMPANY, INC.</v>
      </c>
      <c r="BF1153" s="321">
        <f t="shared" si="1985"/>
        <v>4063183</v>
      </c>
      <c r="BG1153" s="322" t="str">
        <f t="shared" si="1986"/>
        <v>NY</v>
      </c>
      <c r="BH1153" s="322"/>
      <c r="BI1153" s="322" t="str">
        <f t="shared" si="1987"/>
        <v>1998 Y</v>
      </c>
      <c r="BJ1153" s="254">
        <f>INDEX('Gross Dx Plant'!$D$7:$AC$91,MATCH($C1153,'Gross Dx Plant'!$C$7:$C$91,0),MATCH(Calculation!$G1153,'Gross Dx Plant'!$D$5:$AC$5,0))</f>
        <v>32263</v>
      </c>
      <c r="BK1153" s="254">
        <f>INDEX('Gross Gen Plant'!$D$7:$AC$91,MATCH($C1153,'Gross Gen Plant'!$C$7:$C$91,0),MATCH(Calculation!$G1153,'Gross Gen Plant'!$D$5:$AC$5,0))</f>
        <v>5643</v>
      </c>
      <c r="BL1153" s="254">
        <f>INDEX('Dist. Plant Gas Additions'!$E$7:$AD$91,MATCH($C1153,'Dist. Plant Gas Additions'!$C$7:$C$91,0),MATCH(Calculation!$G1153,'Dist. Plant Gas Additions'!$E$5:$AD$5,0))</f>
        <v>2156</v>
      </c>
      <c r="BM1153" s="254">
        <f>INDEX('Gen. Plant Additions'!$E$7:$AD$91,MATCH($C1153,'Gen. Plant Additions'!$C$7:$C$91,0),MATCH(Calculation!$G1153,'Gen. Plant Additions'!$E$5:$AD$5,0))</f>
        <v>287</v>
      </c>
      <c r="BN1153" s="338">
        <f>+(BY1153/(BY1153+BZ1153))</f>
        <v>0.85113174695298899</v>
      </c>
      <c r="BO1153" s="322">
        <f t="shared" si="2073"/>
        <v>244.27481137550785</v>
      </c>
      <c r="BP1153" s="322">
        <f t="shared" si="2074"/>
        <v>-42.725188624492148</v>
      </c>
      <c r="BQ1153" s="254">
        <f>INDEX('Dist Plant Depreciation'!$D$7:$AC$94,MATCH($C1153,'Dist Plant Depreciation'!$C$7:$C$94,0),MATCH(Calculation!$G1153,'Dist Plant Depreciation'!$D$5:$AC$5,0))</f>
        <v>11143</v>
      </c>
      <c r="BR1153" s="254">
        <f>INDEX('Gen. Plant Depreciation'!$D$7:$AC$94,MATCH($C1153,'Gen. Plant Depreciation'!$C$7:$C$94,0),MATCH(Calculation!$G1153,'Gen. Plant Depreciation'!$D$5:$AC$5,0))</f>
        <v>1303</v>
      </c>
      <c r="BS1153" s="254"/>
      <c r="BT1153" s="254"/>
      <c r="BU1153" s="254"/>
      <c r="BV1153" s="254"/>
      <c r="BW1153" s="254"/>
      <c r="BX1153" s="323"/>
      <c r="BY1153" s="254">
        <f>INDEX('Gross Dx Plant'!$D$7:$AC$91,MATCH($C1153,'Gross Dx Plant'!$C$7:$C$91,0),MATCH(Calculation!$G1153,'Gross Dx Plant'!$D$5:$AC$5,0))</f>
        <v>32263</v>
      </c>
      <c r="BZ1153" s="254">
        <f>INDEX('Gross Gen Plant'!$D$7:$AC$91,MATCH($C1153,'Gross Gen Plant'!$C$7:$C$91,0),MATCH(Calculation!$G1153,'Gross Gen Plant'!$D$5:$AC$5,0))</f>
        <v>5643</v>
      </c>
      <c r="CA1153" s="254">
        <f t="shared" si="2048"/>
        <v>25460</v>
      </c>
      <c r="CB1153" s="254"/>
      <c r="CC1153" s="260">
        <v>1998</v>
      </c>
      <c r="CD1153" s="254">
        <f>BJ1153+BK1153</f>
        <v>37906</v>
      </c>
      <c r="CE1153" s="254">
        <f>11143+1303</f>
        <v>12446</v>
      </c>
      <c r="CF1153" s="254">
        <f>+CD1153-CE1153</f>
        <v>25460</v>
      </c>
      <c r="CG1153" s="254">
        <f>CF1153/$BX$3</f>
        <v>126.21490603776783</v>
      </c>
      <c r="CH1153" s="323"/>
      <c r="CI1153" s="344"/>
      <c r="CJ1153" s="344"/>
      <c r="CK1153" s="443">
        <v>1</v>
      </c>
      <c r="CL1153" s="254">
        <f>+CG1153</f>
        <v>126.21490603776783</v>
      </c>
      <c r="CM1153" s="256"/>
      <c r="CN1153" s="325"/>
      <c r="CO1153" s="325"/>
      <c r="CP1153" s="256" t="e">
        <f>VLOOKUP($H1153,RoR!$E:$F,2,FALSE)</f>
        <v>#N/A</v>
      </c>
      <c r="CQ1153" s="325">
        <v>1.1028127770464469E-2</v>
      </c>
      <c r="CR1153" s="325"/>
      <c r="CS1153" s="325"/>
      <c r="CT1153" s="325"/>
      <c r="CU1153" s="327"/>
      <c r="CV1153" s="331" t="e">
        <f>2/(DD1153*39)</f>
        <v>#N/A</v>
      </c>
      <c r="CW1153" s="328" t="e">
        <f>+(DD1153*40-(1+DD1153))/(DD1153*40)</f>
        <v>#N/A</v>
      </c>
      <c r="CX1153" s="328" t="e">
        <f>+(1-(1/(1+DD1153)^40))</f>
        <v>#N/A</v>
      </c>
      <c r="CY1153" s="328" t="e">
        <f>+CX1153*CW1153*CV1153</f>
        <v>#N/A</v>
      </c>
      <c r="CZ1153" s="329">
        <f>INDEX('State Tax Lookup'!$D$7:$Z$91,MATCH(Calculation!$C1153,'State Tax Lookup'!$B$7:$B$91,0),MATCH($H1153,'State Tax Lookup'!$D$6:$Z$6,0))</f>
        <v>0.39649667</v>
      </c>
      <c r="DA1153" s="330">
        <v>0.37</v>
      </c>
      <c r="DB1153" s="344"/>
      <c r="DC1153" s="326"/>
      <c r="DD1153" s="351" t="e">
        <f>VLOOKUP($H1153,RoR!$E:$F,2,FALSE)</f>
        <v>#N/A</v>
      </c>
      <c r="DE1153" s="354">
        <f>HLOOKUP($H1153,'GDP-PI'!$D$8:$CQ$11,3,FALSE)</f>
        <v>1.1028127770464469E-2</v>
      </c>
      <c r="DF1153" s="351">
        <f>VLOOKUP(H1153,'HW Dx Data'!$E:$F,2,FALSE)</f>
        <v>329.24564746449528</v>
      </c>
      <c r="DG1153" s="330"/>
      <c r="DH1153" s="330"/>
      <c r="DI1153" s="330"/>
      <c r="DJ1153" s="326"/>
      <c r="DK1153" s="344">
        <f>HLOOKUP(H1153,'GDP-PI'!$8:$9,2,FALSE)</f>
        <v>75.266999999999996</v>
      </c>
      <c r="DL1153" s="292"/>
    </row>
    <row r="1154" spans="1:116" s="126" customFormat="1" ht="21" customHeight="1" x14ac:dyDescent="0.4">
      <c r="A1154" s="233" t="s">
        <v>251</v>
      </c>
      <c r="B1154" s="126" t="s">
        <v>251</v>
      </c>
      <c r="C1154" s="126">
        <v>4063183</v>
      </c>
      <c r="D1154" s="127" t="s">
        <v>194</v>
      </c>
      <c r="E1154" s="127" t="s">
        <v>15</v>
      </c>
      <c r="F1154" s="144"/>
      <c r="G1154" s="126" t="s">
        <v>155</v>
      </c>
      <c r="H1154" s="128">
        <v>1999</v>
      </c>
      <c r="I1154" s="129"/>
      <c r="J1154" s="125"/>
      <c r="K1154" s="129"/>
      <c r="L1154" s="47"/>
      <c r="M1154" s="129"/>
      <c r="N1154" s="129"/>
      <c r="O1154" s="129"/>
      <c r="P1154" s="47"/>
      <c r="Q1154" s="47"/>
      <c r="R1154" s="386"/>
      <c r="S1154" s="119"/>
      <c r="T1154" s="47"/>
      <c r="U1154" s="46"/>
      <c r="V1154" s="135"/>
      <c r="W1154" s="135"/>
      <c r="X1154" s="135"/>
      <c r="Y1154" s="143"/>
      <c r="Z1154" s="135"/>
      <c r="AA1154" s="135"/>
      <c r="AB1154" s="135"/>
      <c r="AC1154" s="125">
        <f t="shared" ref="AC1154:AC1177" si="2078">+CL1153*DB1154</f>
        <v>0</v>
      </c>
      <c r="AD1154" s="129"/>
      <c r="AE1154" s="133">
        <v>128.49758036649052</v>
      </c>
      <c r="AF1154" s="134">
        <v>1.7924016789210948E-2</v>
      </c>
      <c r="AG1154" s="61"/>
      <c r="AH1154" s="134"/>
      <c r="AI1154" s="134"/>
      <c r="AJ1154" s="129">
        <f t="shared" si="2031"/>
        <v>0</v>
      </c>
      <c r="AK1154" s="134"/>
      <c r="AL1154" s="129"/>
      <c r="AM1154" s="134"/>
      <c r="AN1154" s="134"/>
      <c r="AO1154" s="134"/>
      <c r="AP1154" s="133"/>
      <c r="AQ1154" s="134"/>
      <c r="AR1154" s="93"/>
      <c r="AS1154" s="93"/>
      <c r="AT1154" s="93"/>
      <c r="AU1154" s="93"/>
      <c r="AV1154" s="93"/>
      <c r="AW1154" s="134"/>
      <c r="AX1154" s="93"/>
      <c r="AY1154" s="93"/>
      <c r="AZ1154" s="93"/>
      <c r="BA1154" s="93"/>
      <c r="BB1154" s="234">
        <f>IFERROR(INDEX('Total Customers'!$E$7:$AA$91,MATCH($C1154,'Total Customers'!$C$7:$C$91,0),MATCH($G1154,'Total Customers'!$E$5:$AA$5,0)),"NA")</f>
        <v>14720</v>
      </c>
      <c r="BC1154" s="269">
        <f t="shared" si="1988"/>
        <v>2.0036350259437587E-2</v>
      </c>
      <c r="BD1154" s="92"/>
      <c r="BE1154" s="299" t="str">
        <f t="shared" si="1984"/>
        <v>ST. LAWRENCE GAS COMPANY, INC.</v>
      </c>
      <c r="BF1154" s="300">
        <f t="shared" si="1985"/>
        <v>4063183</v>
      </c>
      <c r="BG1154" s="231" t="str">
        <f t="shared" si="1986"/>
        <v>NY</v>
      </c>
      <c r="BH1154" s="231"/>
      <c r="BI1154" s="231" t="str">
        <f t="shared" si="1987"/>
        <v>1999 Y</v>
      </c>
      <c r="BJ1154" s="129"/>
      <c r="BK1154" s="129"/>
      <c r="BL1154" s="129">
        <f>INDEX('Dist. Plant Gas Additions'!$E$7:$AD$91,MATCH($C1154,'Dist. Plant Gas Additions'!$C$7:$C$91,0),MATCH(Calculation!$G1154,'Dist. Plant Gas Additions'!$E$5:$AD$5,0))</f>
        <v>616</v>
      </c>
      <c r="BM1154" s="129">
        <f>INDEX('Gen. Plant Additions'!$E$7:$AD$91,MATCH($C1154,'Gen. Plant Additions'!$C$7:$C$91,0),MATCH(Calculation!$G1154,'Gen. Plant Additions'!$E$5:$AD$5,0))</f>
        <v>360</v>
      </c>
      <c r="BN1154" s="301">
        <f t="shared" ref="BN1154:BN1175" si="2079">+(BY1154/(BY1154+BZ1154))</f>
        <v>0.85134889044980355</v>
      </c>
      <c r="BO1154" s="231">
        <f t="shared" si="2073"/>
        <v>306.48560056192929</v>
      </c>
      <c r="BP1154" s="231">
        <f t="shared" si="2074"/>
        <v>-53.514399438070711</v>
      </c>
      <c r="BQ1154" s="129">
        <f>INDEX('Dist Plant Depreciation'!$D$7:$AC$94,MATCH($C1154,'Dist Plant Depreciation'!$C$7:$C$94,0),MATCH(Calculation!$G1154,'Dist Plant Depreciation'!$D$5:$AC$5,0))</f>
        <v>12063</v>
      </c>
      <c r="BR1154" s="129">
        <f>INDEX('Gen. Plant Depreciation'!$D$7:$AC$94,MATCH($C1154,'Gen. Plant Depreciation'!$C$7:$C$94,0),MATCH(Calculation!$G1154,'Gen. Plant Depreciation'!$D$5:$AC$5,0))</f>
        <v>1392</v>
      </c>
      <c r="BS1154" s="129"/>
      <c r="BT1154" s="129"/>
      <c r="BU1154" s="129"/>
      <c r="BV1154" s="129"/>
      <c r="BW1154" s="129"/>
      <c r="BX1154" s="137"/>
      <c r="BY1154" s="129">
        <f>INDEX('Gross Dx Plant'!$D$7:$AC$91,MATCH($C1154,'Gross Dx Plant'!$C$7:$C$91,0),MATCH(Calculation!$G1154,'Gross Dx Plant'!$D$5:$AC$5,0))</f>
        <v>32725</v>
      </c>
      <c r="BZ1154" s="129">
        <f>INDEX('Gross Gen Plant'!$D$7:$AC$91,MATCH($C1154,'Gross Gen Plant'!$C$7:$C$91,0),MATCH(Calculation!$G1154,'Gross Gen Plant'!$D$5:$AC$5,0))</f>
        <v>5714</v>
      </c>
      <c r="CA1154" s="129">
        <f t="shared" si="2048"/>
        <v>24984</v>
      </c>
      <c r="CB1154" s="129"/>
      <c r="CC1154" s="133">
        <v>1999</v>
      </c>
      <c r="CD1154" s="129"/>
      <c r="CE1154" s="129"/>
      <c r="CF1154" s="129"/>
      <c r="CG1154" s="137"/>
      <c r="CH1154" s="129">
        <f t="shared" ref="CH1154:CH1171" si="2080">+BM1154+BL1154</f>
        <v>976</v>
      </c>
      <c r="CI1154" s="46">
        <f>+CH1154+BP1154</f>
        <v>922.48560056192923</v>
      </c>
      <c r="CJ1154" s="231">
        <f t="shared" ref="CJ1154:CJ1177" si="2081">+CI1154/$DF1154</f>
        <v>2.7510195304162828</v>
      </c>
      <c r="CK1154" s="443">
        <v>0.99009900990099009</v>
      </c>
      <c r="CL1154" s="231">
        <f>+CL1153*CK1154+CJ1154</f>
        <v>127.71627303315671</v>
      </c>
      <c r="CM1154" s="134">
        <f t="shared" ref="CM1154:CM1175" si="2082">LN(CL1154/CL1153)</f>
        <v>1.182512912341448E-2</v>
      </c>
      <c r="CN1154" s="135">
        <f t="shared" ref="CN1154:CN1177" si="2083">+(CL1153-CL1154+CJ1154)/CL1153</f>
        <v>9.9009900990099046E-3</v>
      </c>
      <c r="CO1154" s="135"/>
      <c r="CP1154" s="134">
        <f>VLOOKUP($H1154,RoR!$E:$F,2,FALSE)</f>
        <v>7.0416666666666669E-2</v>
      </c>
      <c r="CQ1154" s="135">
        <v>1.4335631817396832E-2</v>
      </c>
      <c r="CR1154" s="135">
        <f>+CP1154-CQ1154</f>
        <v>5.6081034849269837E-2</v>
      </c>
      <c r="CS1154" s="135"/>
      <c r="CT1154" s="135"/>
      <c r="CU1154" s="139">
        <f t="shared" ref="CU1154:CU1177" si="2084">1-CZ1154*DA1154</f>
        <v>0.85329623209999994</v>
      </c>
      <c r="CV1154" s="335">
        <f t="shared" ref="CV1154:CV1177" si="2085">2/(DD1154*39)</f>
        <v>0.72826581702321336</v>
      </c>
      <c r="CW1154" s="335">
        <f t="shared" ref="CW1154:CW1177" si="2086">+(DD1154*40-(1+DD1154))/(DD1154*40)</f>
        <v>0.61997041420118348</v>
      </c>
      <c r="CX1154" s="335">
        <f t="shared" ref="CX1154:CX1177" si="2087">+(1-(1/(1+DD1154)^40))</f>
        <v>0.93425155319585029</v>
      </c>
      <c r="CY1154" s="335">
        <f t="shared" ref="CY1154:CY1177" si="2088">+CX1154*CW1154*CV1154</f>
        <v>0.42181762214141483</v>
      </c>
      <c r="CZ1154" s="336">
        <f>INDEX('State Tax Lookup'!$D$7:$Z$91,MATCH(Calculation!$C1154,'State Tax Lookup'!$B$7:$B$91,0),MATCH($H1154,'State Tax Lookup'!$D$6:$Z$6,0))</f>
        <v>0.39649667</v>
      </c>
      <c r="DA1154" s="302">
        <v>0.37</v>
      </c>
      <c r="DB1154" s="57"/>
      <c r="DC1154" s="56"/>
      <c r="DD1154" s="303">
        <f>VLOOKUP($H1154,RoR!$E:$F,2,FALSE)</f>
        <v>7.0416666666666669E-2</v>
      </c>
      <c r="DE1154" s="304">
        <f>HLOOKUP($H1154,'GDP-PI'!$D$8:$CQ$11,3,FALSE)</f>
        <v>1.4335631817396832E-2</v>
      </c>
      <c r="DF1154" s="303">
        <f>VLOOKUP(H1154,'HW Dx Data'!$E:$F,2,FALSE)</f>
        <v>335.32499146683239</v>
      </c>
      <c r="DG1154" s="364"/>
      <c r="DH1154" s="364"/>
      <c r="DI1154" s="364"/>
      <c r="DJ1154" s="56"/>
      <c r="DK1154" s="53">
        <f>HLOOKUP(H1154,'GDP-PI'!$8:$9,2,FALSE)</f>
        <v>76.346000000000004</v>
      </c>
      <c r="DL1154" s="298"/>
    </row>
    <row r="1155" spans="1:116" s="126" customFormat="1" ht="21" customHeight="1" x14ac:dyDescent="0.4">
      <c r="A1155" s="233" t="s">
        <v>251</v>
      </c>
      <c r="B1155" s="126" t="s">
        <v>251</v>
      </c>
      <c r="C1155" s="126">
        <v>4063183</v>
      </c>
      <c r="D1155" s="127" t="s">
        <v>194</v>
      </c>
      <c r="E1155" s="127" t="s">
        <v>15</v>
      </c>
      <c r="F1155" s="144"/>
      <c r="G1155" s="126" t="s">
        <v>156</v>
      </c>
      <c r="H1155" s="128">
        <v>2000</v>
      </c>
      <c r="I1155" s="129"/>
      <c r="J1155" s="125"/>
      <c r="K1155" s="125"/>
      <c r="L1155" s="47"/>
      <c r="M1155" s="125"/>
      <c r="N1155" s="125"/>
      <c r="O1155" s="125"/>
      <c r="P1155" s="47"/>
      <c r="Q1155" s="47"/>
      <c r="R1155" s="386"/>
      <c r="S1155" s="119"/>
      <c r="T1155" s="47"/>
      <c r="U1155" s="47"/>
      <c r="V1155" s="125"/>
      <c r="W1155" s="125"/>
      <c r="X1155" s="125"/>
      <c r="Y1155" s="125"/>
      <c r="Z1155" s="125"/>
      <c r="AA1155" s="125"/>
      <c r="AB1155" s="125"/>
      <c r="AC1155" s="125">
        <f t="shared" si="2078"/>
        <v>0</v>
      </c>
      <c r="AD1155" s="129"/>
      <c r="AE1155" s="133">
        <v>131.04794521079066</v>
      </c>
      <c r="AF1155" s="134">
        <v>1.9653175891962613E-2</v>
      </c>
      <c r="AG1155" s="61"/>
      <c r="AH1155" s="134"/>
      <c r="AI1155" s="134"/>
      <c r="AJ1155" s="129">
        <f t="shared" si="2031"/>
        <v>0</v>
      </c>
      <c r="AK1155" s="134"/>
      <c r="AL1155" s="129"/>
      <c r="AM1155" s="129"/>
      <c r="AN1155" s="129"/>
      <c r="AO1155" s="129"/>
      <c r="AP1155" s="133"/>
      <c r="AQ1155" s="134"/>
      <c r="AR1155" s="93"/>
      <c r="AS1155" s="93"/>
      <c r="AT1155" s="93"/>
      <c r="AU1155" s="93"/>
      <c r="AV1155" s="93"/>
      <c r="AW1155" s="134"/>
      <c r="AX1155" s="93"/>
      <c r="AY1155" s="93"/>
      <c r="AZ1155" s="93"/>
      <c r="BA1155" s="93"/>
      <c r="BB1155" s="234">
        <f>IFERROR(INDEX('Total Customers'!$E$7:$AA$91,MATCH($C1155,'Total Customers'!$C$7:$C$91,0),MATCH($G1155,'Total Customers'!$E$5:$AA$5,0)),"NA")</f>
        <v>14969</v>
      </c>
      <c r="BC1155" s="269">
        <f t="shared" si="1988"/>
        <v>1.6774282632368454E-2</v>
      </c>
      <c r="BD1155" s="92"/>
      <c r="BE1155" s="299" t="str">
        <f t="shared" ref="BE1155:BE1218" si="2089">A1155</f>
        <v>ST. LAWRENCE GAS COMPANY, INC.</v>
      </c>
      <c r="BF1155" s="300">
        <f t="shared" ref="BF1155:BF1218" si="2090">C1155</f>
        <v>4063183</v>
      </c>
      <c r="BG1155" s="231" t="str">
        <f t="shared" ref="BG1155:BG1218" si="2091">D1155</f>
        <v>NY</v>
      </c>
      <c r="BH1155" s="231"/>
      <c r="BI1155" s="231" t="str">
        <f t="shared" ref="BI1155:BI1218" si="2092">G1155</f>
        <v>2000 Y</v>
      </c>
      <c r="BJ1155" s="129"/>
      <c r="BK1155" s="129"/>
      <c r="BL1155" s="129">
        <f>INDEX('Dist. Plant Gas Additions'!$E$7:$AD$91,MATCH($C1155,'Dist. Plant Gas Additions'!$C$7:$C$91,0),MATCH(Calculation!$G1155,'Dist. Plant Gas Additions'!$E$5:$AD$5,0))</f>
        <v>831</v>
      </c>
      <c r="BM1155" s="129">
        <f>INDEX('Gen. Plant Additions'!$E$7:$AD$91,MATCH($C1155,'Gen. Plant Additions'!$C$7:$C$91,0),MATCH(Calculation!$G1155,'Gen. Plant Additions'!$E$5:$AD$5,0))</f>
        <v>282</v>
      </c>
      <c r="BN1155" s="301">
        <f t="shared" si="2079"/>
        <v>0.85204211382940842</v>
      </c>
      <c r="BO1155" s="231">
        <f t="shared" si="2073"/>
        <v>240.27587609989317</v>
      </c>
      <c r="BP1155" s="231">
        <f t="shared" si="2074"/>
        <v>-41.724123900106832</v>
      </c>
      <c r="BQ1155" s="129">
        <f>INDEX('Dist Plant Depreciation'!$D$7:$AC$94,MATCH($C1155,'Dist Plant Depreciation'!$C$7:$C$94,0),MATCH(Calculation!$G1155,'Dist Plant Depreciation'!$D$5:$AC$5,0))</f>
        <v>12962</v>
      </c>
      <c r="BR1155" s="129">
        <f>INDEX('Gen. Plant Depreciation'!$D$7:$AC$94,MATCH($C1155,'Gen. Plant Depreciation'!$C$7:$C$94,0),MATCH(Calculation!$G1155,'Gen. Plant Depreciation'!$D$5:$AC$5,0))</f>
        <v>1537</v>
      </c>
      <c r="BS1155" s="129"/>
      <c r="BT1155" s="129"/>
      <c r="BU1155" s="129"/>
      <c r="BV1155" s="129"/>
      <c r="BW1155" s="129"/>
      <c r="BX1155" s="137"/>
      <c r="BY1155" s="129">
        <f>INDEX('Gross Dx Plant'!$D$7:$AC$91,MATCH($C1155,'Gross Dx Plant'!$C$7:$C$91,0),MATCH(Calculation!$G1155,'Gross Dx Plant'!$D$5:$AC$5,0))</f>
        <v>33504</v>
      </c>
      <c r="BZ1155" s="129">
        <f>INDEX('Gross Gen Plant'!$D$7:$AC$91,MATCH($C1155,'Gross Gen Plant'!$C$7:$C$91,0),MATCH(Calculation!$G1155,'Gross Gen Plant'!$D$5:$AC$5,0))</f>
        <v>5818</v>
      </c>
      <c r="CA1155" s="129">
        <f t="shared" si="2048"/>
        <v>24823</v>
      </c>
      <c r="CB1155" s="129"/>
      <c r="CC1155" s="133">
        <v>2000</v>
      </c>
      <c r="CD1155" s="129"/>
      <c r="CE1155" s="129"/>
      <c r="CF1155" s="129"/>
      <c r="CG1155" s="137"/>
      <c r="CH1155" s="129">
        <f t="shared" si="2080"/>
        <v>1113</v>
      </c>
      <c r="CI1155" s="46">
        <f t="shared" ref="CI1155:CI1177" si="2093">+CH1155+BP1155</f>
        <v>1071.2758760998931</v>
      </c>
      <c r="CJ1155" s="231">
        <f t="shared" si="2081"/>
        <v>3.0914044463970409</v>
      </c>
      <c r="CK1155" s="443">
        <v>0.98</v>
      </c>
      <c r="CL1155" s="231">
        <f>+CL1153*CK1155+CJ1154*CK1154+CJ1155</f>
        <v>129.50579407669295</v>
      </c>
      <c r="CM1155" s="134">
        <f t="shared" si="2082"/>
        <v>1.3914435384232317E-2</v>
      </c>
      <c r="CN1155" s="135">
        <f t="shared" si="2083"/>
        <v>1.0193559300957803E-2</v>
      </c>
      <c r="CO1155" s="135"/>
      <c r="CP1155" s="134">
        <f>VLOOKUP($H1155,RoR!$E:$F,2,FALSE)</f>
        <v>7.6225000000000001E-2</v>
      </c>
      <c r="CQ1155" s="135">
        <v>2.2568307442433211E-2</v>
      </c>
      <c r="CR1155" s="135">
        <f t="shared" ref="CR1155:CR1175" si="2094">+CP1155-CQ1155</f>
        <v>5.365669255756679E-2</v>
      </c>
      <c r="CS1155" s="135"/>
      <c r="CT1155" s="135"/>
      <c r="CU1155" s="139">
        <f t="shared" si="2084"/>
        <v>0.85329623209999994</v>
      </c>
      <c r="CV1155" s="335">
        <f t="shared" si="2085"/>
        <v>0.67277207323124022</v>
      </c>
      <c r="CW1155" s="335">
        <f t="shared" si="2086"/>
        <v>0.6470236142997704</v>
      </c>
      <c r="CX1155" s="335">
        <f t="shared" si="2087"/>
        <v>0.94704866037543145</v>
      </c>
      <c r="CY1155" s="335">
        <f t="shared" si="2088"/>
        <v>0.41224973107878493</v>
      </c>
      <c r="CZ1155" s="336">
        <f>INDEX('State Tax Lookup'!$D$7:$Z$91,MATCH(Calculation!$C1155,'State Tax Lookup'!$B$7:$B$91,0),MATCH($H1155,'State Tax Lookup'!$D$6:$Z$6,0))</f>
        <v>0.39649667</v>
      </c>
      <c r="DA1155" s="302">
        <v>0.37</v>
      </c>
      <c r="DB1155" s="57"/>
      <c r="DC1155" s="56"/>
      <c r="DD1155" s="303">
        <f>VLOOKUP($H1155,RoR!$E:$F,2,FALSE)</f>
        <v>7.6225000000000001E-2</v>
      </c>
      <c r="DE1155" s="304">
        <f>HLOOKUP($H1155,'GDP-PI'!$D$8:$CQ$11,3,FALSE)</f>
        <v>2.2568307442433211E-2</v>
      </c>
      <c r="DF1155" s="303">
        <f>VLOOKUP(H1155,'HW Dx Data'!$E:$F,2,FALSE)</f>
        <v>346.53371782150339</v>
      </c>
      <c r="DG1155" s="364"/>
      <c r="DH1155" s="364"/>
      <c r="DI1155" s="364"/>
      <c r="DJ1155" s="56"/>
      <c r="DK1155" s="53">
        <f>HLOOKUP(H1155,'GDP-PI'!$8:$9,2,FALSE)</f>
        <v>78.069000000000003</v>
      </c>
      <c r="DL1155" s="298"/>
    </row>
    <row r="1156" spans="1:116" s="126" customFormat="1" ht="21" customHeight="1" x14ac:dyDescent="0.4">
      <c r="A1156" s="233" t="s">
        <v>251</v>
      </c>
      <c r="B1156" s="126" t="s">
        <v>251</v>
      </c>
      <c r="C1156" s="126">
        <v>4063183</v>
      </c>
      <c r="D1156" s="127" t="s">
        <v>194</v>
      </c>
      <c r="E1156" s="127" t="s">
        <v>15</v>
      </c>
      <c r="F1156" s="144"/>
      <c r="G1156" s="126" t="s">
        <v>157</v>
      </c>
      <c r="H1156" s="128">
        <v>2001</v>
      </c>
      <c r="I1156" s="129"/>
      <c r="J1156" s="125"/>
      <c r="K1156" s="125"/>
      <c r="L1156" s="47"/>
      <c r="M1156" s="125"/>
      <c r="N1156" s="125"/>
      <c r="O1156" s="125"/>
      <c r="P1156" s="47"/>
      <c r="Q1156" s="47"/>
      <c r="R1156" s="386"/>
      <c r="S1156" s="119"/>
      <c r="T1156" s="47"/>
      <c r="U1156" s="47"/>
      <c r="V1156" s="125"/>
      <c r="W1156" s="125"/>
      <c r="X1156" s="125"/>
      <c r="Y1156" s="125"/>
      <c r="Z1156" s="125"/>
      <c r="AA1156" s="125"/>
      <c r="AB1156" s="125"/>
      <c r="AC1156" s="125">
        <f t="shared" si="2078"/>
        <v>1340.8180719606298</v>
      </c>
      <c r="AD1156" s="129"/>
      <c r="AE1156" s="133">
        <v>132.49377116408647</v>
      </c>
      <c r="AF1156" s="134">
        <v>1.0972384021706975E-2</v>
      </c>
      <c r="AG1156" s="61"/>
      <c r="AH1156" s="134"/>
      <c r="AI1156" s="134"/>
      <c r="AJ1156" s="129">
        <f t="shared" si="2031"/>
        <v>1340.8180719606298</v>
      </c>
      <c r="AK1156" s="134"/>
      <c r="AL1156" s="129"/>
      <c r="AM1156" s="129"/>
      <c r="AN1156" s="129"/>
      <c r="AO1156" s="129"/>
      <c r="AP1156" s="133"/>
      <c r="AQ1156" s="134"/>
      <c r="AR1156" s="93"/>
      <c r="AS1156" s="93"/>
      <c r="AT1156" s="93"/>
      <c r="AU1156" s="93"/>
      <c r="AV1156" s="93"/>
      <c r="AW1156" s="134"/>
      <c r="AX1156" s="93"/>
      <c r="AY1156" s="93"/>
      <c r="AZ1156" s="93"/>
      <c r="BA1156" s="93"/>
      <c r="BB1156" s="234">
        <f>IFERROR(INDEX('Total Customers'!$E$7:$AA$91,MATCH($C1156,'Total Customers'!$C$7:$C$91,0),MATCH($G1156,'Total Customers'!$E$5:$AA$5,0)),"NA")</f>
        <v>15251</v>
      </c>
      <c r="BC1156" s="269">
        <f t="shared" ref="BC1156:BC1219" si="2095">LN(BB1156/BB1155)</f>
        <v>1.8663678740947921E-2</v>
      </c>
      <c r="BD1156" s="92"/>
      <c r="BE1156" s="299" t="str">
        <f t="shared" si="2089"/>
        <v>ST. LAWRENCE GAS COMPANY, INC.</v>
      </c>
      <c r="BF1156" s="300">
        <f t="shared" si="2090"/>
        <v>4063183</v>
      </c>
      <c r="BG1156" s="231" t="str">
        <f t="shared" si="2091"/>
        <v>NY</v>
      </c>
      <c r="BH1156" s="231"/>
      <c r="BI1156" s="231" t="str">
        <f t="shared" si="2092"/>
        <v>2001 Y</v>
      </c>
      <c r="BJ1156" s="129"/>
      <c r="BK1156" s="129"/>
      <c r="BL1156" s="129">
        <f>INDEX('Dist. Plant Gas Additions'!$E$7:$AD$91,MATCH($C1156,'Dist. Plant Gas Additions'!$C$7:$C$91,0),MATCH(Calculation!$G1156,'Dist. Plant Gas Additions'!$E$5:$AD$5,0))</f>
        <v>562</v>
      </c>
      <c r="BM1156" s="129">
        <f>INDEX('Gen. Plant Additions'!$E$7:$AD$91,MATCH($C1156,'Gen. Plant Additions'!$C$7:$C$91,0),MATCH(Calculation!$G1156,'Gen. Plant Additions'!$E$5:$AD$5,0))</f>
        <v>190</v>
      </c>
      <c r="BN1156" s="301">
        <f t="shared" si="2079"/>
        <v>0.85347147132044154</v>
      </c>
      <c r="BO1156" s="231">
        <f t="shared" si="2073"/>
        <v>162.1595795508839</v>
      </c>
      <c r="BP1156" s="231">
        <f t="shared" si="2074"/>
        <v>-27.840420449116095</v>
      </c>
      <c r="BQ1156" s="129">
        <f>INDEX('Dist Plant Depreciation'!$D$7:$AC$94,MATCH($C1156,'Dist Plant Depreciation'!$C$7:$C$94,0),MATCH(Calculation!$G1156,'Dist Plant Depreciation'!$D$5:$AC$5,0))</f>
        <v>13757</v>
      </c>
      <c r="BR1156" s="129">
        <f>INDEX('Gen. Plant Depreciation'!$D$7:$AC$94,MATCH($C1156,'Gen. Plant Depreciation'!$C$7:$C$94,0),MATCH(Calculation!$G1156,'Gen. Plant Depreciation'!$D$5:$AC$5,0))</f>
        <v>1684</v>
      </c>
      <c r="BS1156" s="129"/>
      <c r="BT1156" s="129"/>
      <c r="BU1156" s="129"/>
      <c r="BV1156" s="129"/>
      <c r="BW1156" s="129"/>
      <c r="BX1156" s="137"/>
      <c r="BY1156" s="129">
        <f>INDEX('Gross Dx Plant'!$D$7:$AC$91,MATCH($C1156,'Gross Dx Plant'!$C$7:$C$91,0),MATCH(Calculation!$G1156,'Gross Dx Plant'!$D$5:$AC$5,0))</f>
        <v>33940</v>
      </c>
      <c r="BZ1156" s="129">
        <f>INDEX('Gross Gen Plant'!$D$7:$AC$91,MATCH($C1156,'Gross Gen Plant'!$C$7:$C$91,0),MATCH(Calculation!$G1156,'Gross Gen Plant'!$D$5:$AC$5,0))</f>
        <v>5827</v>
      </c>
      <c r="CA1156" s="129">
        <f t="shared" si="2048"/>
        <v>24326</v>
      </c>
      <c r="CB1156" s="129"/>
      <c r="CC1156" s="133">
        <v>2001</v>
      </c>
      <c r="CD1156" s="129"/>
      <c r="CE1156" s="129"/>
      <c r="CF1156" s="129"/>
      <c r="CG1156" s="137"/>
      <c r="CH1156" s="129">
        <f t="shared" si="2080"/>
        <v>752</v>
      </c>
      <c r="CI1156" s="46">
        <f t="shared" si="2093"/>
        <v>724.1595795508839</v>
      </c>
      <c r="CJ1156" s="231">
        <f t="shared" si="2081"/>
        <v>2.0488469293298515</v>
      </c>
      <c r="CK1156" s="443">
        <v>0.96969696969696972</v>
      </c>
      <c r="CL1156" s="231">
        <f>+CL1153*CK1156+CJ1154*CK1155+CJ1155*CK1153+CJ1156</f>
        <v>130.22646243094607</v>
      </c>
      <c r="CM1156" s="134">
        <f t="shared" si="2082"/>
        <v>5.5493315567523736E-3</v>
      </c>
      <c r="CN1156" s="135">
        <f t="shared" si="2083"/>
        <v>1.0255746351319131E-2</v>
      </c>
      <c r="CO1156" s="135">
        <f>+(CN1156+CN1155+CN1154)/3</f>
        <v>1.0116765250428946E-2</v>
      </c>
      <c r="CP1156" s="134">
        <f>VLOOKUP($H1156,RoR!$E:$F,2,FALSE)</f>
        <v>7.0824999999999999E-2</v>
      </c>
      <c r="CQ1156" s="135">
        <v>2.2454495382290052E-2</v>
      </c>
      <c r="CR1156" s="135">
        <f t="shared" si="2094"/>
        <v>4.8370504617709947E-2</v>
      </c>
      <c r="CS1156" s="135">
        <f>+$CR$2-CO1156</f>
        <v>2.078517635810468E-2</v>
      </c>
      <c r="CT1156" s="135">
        <f>+((DF1154/DF1153-1)+(DF1155/DF1154-1)+(DF1156/DF1155-1))/3</f>
        <v>2.3947275901631187E-2</v>
      </c>
      <c r="CU1156" s="139">
        <f t="shared" si="2084"/>
        <v>0.85329623209999994</v>
      </c>
      <c r="CV1156" s="335">
        <f t="shared" si="2085"/>
        <v>0.72406708481540816</v>
      </c>
      <c r="CW1156" s="335">
        <f t="shared" si="2086"/>
        <v>0.62201729615248857</v>
      </c>
      <c r="CX1156" s="335">
        <f t="shared" si="2087"/>
        <v>0.9352469954311422</v>
      </c>
      <c r="CY1156" s="335">
        <f t="shared" si="2088"/>
        <v>0.42121864641655071</v>
      </c>
      <c r="CZ1156" s="336">
        <f>INDEX('State Tax Lookup'!$D$7:$Z$91,MATCH(Calculation!$C1156,'State Tax Lookup'!$B$7:$B$91,0),MATCH($H1156,'State Tax Lookup'!$D$6:$Z$6,0))</f>
        <v>0.39649667</v>
      </c>
      <c r="DA1156" s="302">
        <v>0.37</v>
      </c>
      <c r="DB1156" s="57">
        <f t="shared" ref="DB1156:DB1175" si="2096">+(DF1156*CS1156-CT1156)*CU1156/(1-CZ1156)</f>
        <v>10.353344277141773</v>
      </c>
      <c r="DC1156" s="56"/>
      <c r="DD1156" s="303">
        <f>VLOOKUP($H1156,RoR!$E:$F,2,FALSE)</f>
        <v>7.0824999999999999E-2</v>
      </c>
      <c r="DE1156" s="304">
        <f>HLOOKUP($H1156,'GDP-PI'!$D$8:$CQ$11,3,FALSE)</f>
        <v>2.2454495382290052E-2</v>
      </c>
      <c r="DF1156" s="303">
        <f>VLOOKUP(H1156,'HW Dx Data'!$E:$F,2,FALSE)</f>
        <v>353.44738017483138</v>
      </c>
      <c r="DG1156" s="364"/>
      <c r="DH1156" s="364"/>
      <c r="DI1156" s="364"/>
      <c r="DJ1156" s="56"/>
      <c r="DK1156" s="53">
        <f>HLOOKUP(H1156,'GDP-PI'!$8:$9,2,FALSE)</f>
        <v>79.822000000000003</v>
      </c>
      <c r="DL1156" s="298"/>
    </row>
    <row r="1157" spans="1:116" s="126" customFormat="1" ht="21" customHeight="1" x14ac:dyDescent="0.4">
      <c r="A1157" s="233" t="s">
        <v>251</v>
      </c>
      <c r="B1157" s="126" t="s">
        <v>251</v>
      </c>
      <c r="C1157" s="126">
        <v>4063183</v>
      </c>
      <c r="D1157" s="127" t="s">
        <v>194</v>
      </c>
      <c r="E1157" s="127" t="s">
        <v>15</v>
      </c>
      <c r="F1157" s="144"/>
      <c r="G1157" s="126" t="s">
        <v>158</v>
      </c>
      <c r="H1157" s="128">
        <v>2002</v>
      </c>
      <c r="I1157" s="129"/>
      <c r="J1157" s="125"/>
      <c r="K1157" s="125"/>
      <c r="L1157" s="47"/>
      <c r="M1157" s="125"/>
      <c r="N1157" s="125"/>
      <c r="O1157" s="125"/>
      <c r="P1157" s="47"/>
      <c r="Q1157" s="47"/>
      <c r="R1157" s="386"/>
      <c r="S1157" s="119"/>
      <c r="T1157" s="47"/>
      <c r="U1157" s="47"/>
      <c r="V1157" s="125"/>
      <c r="W1157" s="125"/>
      <c r="X1157" s="125"/>
      <c r="Y1157" s="125"/>
      <c r="Z1157" s="125"/>
      <c r="AA1157" s="125"/>
      <c r="AB1157" s="125"/>
      <c r="AC1157" s="125">
        <f t="shared" si="2078"/>
        <v>1353.0694151845912</v>
      </c>
      <c r="AD1157" s="129"/>
      <c r="AE1157" s="133">
        <v>133.48005677951798</v>
      </c>
      <c r="AF1157" s="134">
        <v>7.4164450226491601E-3</v>
      </c>
      <c r="AG1157" s="61"/>
      <c r="AH1157" s="134"/>
      <c r="AI1157" s="134"/>
      <c r="AJ1157" s="129">
        <f t="shared" si="2031"/>
        <v>1353.0694151845912</v>
      </c>
      <c r="AK1157" s="134"/>
      <c r="AL1157" s="129"/>
      <c r="AM1157" s="129"/>
      <c r="AN1157" s="129"/>
      <c r="AO1157" s="129"/>
      <c r="AP1157" s="133"/>
      <c r="AQ1157" s="134"/>
      <c r="AR1157" s="93"/>
      <c r="AS1157" s="93"/>
      <c r="AT1157" s="93"/>
      <c r="AU1157" s="93"/>
      <c r="AV1157" s="93"/>
      <c r="AW1157" s="134"/>
      <c r="AX1157" s="93"/>
      <c r="AY1157" s="93"/>
      <c r="AZ1157" s="93"/>
      <c r="BA1157" s="93"/>
      <c r="BB1157" s="234">
        <f>IFERROR(INDEX('Total Customers'!$E$7:$AA$91,MATCH($C1157,'Total Customers'!$C$7:$C$91,0),MATCH($G1157,'Total Customers'!$E$5:$AA$5,0)),"NA")</f>
        <v>15291</v>
      </c>
      <c r="BC1157" s="269">
        <f t="shared" si="2095"/>
        <v>2.6193453519676511E-3</v>
      </c>
      <c r="BD1157" s="92"/>
      <c r="BE1157" s="299" t="str">
        <f t="shared" si="2089"/>
        <v>ST. LAWRENCE GAS COMPANY, INC.</v>
      </c>
      <c r="BF1157" s="300">
        <f t="shared" si="2090"/>
        <v>4063183</v>
      </c>
      <c r="BG1157" s="231" t="str">
        <f t="shared" si="2091"/>
        <v>NY</v>
      </c>
      <c r="BH1157" s="231"/>
      <c r="BI1157" s="231" t="str">
        <f t="shared" si="2092"/>
        <v>2002 Y</v>
      </c>
      <c r="BJ1157" s="129"/>
      <c r="BK1157" s="129"/>
      <c r="BL1157" s="129">
        <f>INDEX('Dist. Plant Gas Additions'!$E$7:$AD$91,MATCH($C1157,'Dist. Plant Gas Additions'!$C$7:$C$91,0),MATCH(Calculation!$G1157,'Dist. Plant Gas Additions'!$E$5:$AD$5,0))</f>
        <v>412</v>
      </c>
      <c r="BM1157" s="129">
        <f>INDEX('Gen. Plant Additions'!$E$7:$AD$91,MATCH($C1157,'Gen. Plant Additions'!$C$7:$C$91,0),MATCH(Calculation!$G1157,'Gen. Plant Additions'!$E$5:$AD$5,0))</f>
        <v>214</v>
      </c>
      <c r="BN1157" s="301">
        <f t="shared" si="2079"/>
        <v>0.85361968991862225</v>
      </c>
      <c r="BO1157" s="231">
        <f t="shared" si="2073"/>
        <v>182.67461364258517</v>
      </c>
      <c r="BP1157" s="231">
        <f t="shared" si="2074"/>
        <v>-31.325386357414828</v>
      </c>
      <c r="BQ1157" s="129">
        <f>INDEX('Dist Plant Depreciation'!$D$7:$AC$94,MATCH($C1157,'Dist Plant Depreciation'!$C$7:$C$94,0),MATCH(Calculation!$G1157,'Dist Plant Depreciation'!$D$5:$AC$5,0))</f>
        <v>14627</v>
      </c>
      <c r="BR1157" s="129">
        <f>INDEX('Gen. Plant Depreciation'!$D$7:$AC$94,MATCH($C1157,'Gen. Plant Depreciation'!$C$7:$C$94,0),MATCH(Calculation!$G1157,'Gen. Plant Depreciation'!$D$5:$AC$5,0))</f>
        <v>1868</v>
      </c>
      <c r="BS1157" s="129"/>
      <c r="BT1157" s="129"/>
      <c r="BU1157" s="129"/>
      <c r="BV1157" s="129"/>
      <c r="BW1157" s="129"/>
      <c r="BX1157" s="137"/>
      <c r="BY1157" s="129">
        <f>INDEX('Gross Dx Plant'!$D$7:$AC$91,MATCH($C1157,'Gross Dx Plant'!$C$7:$C$91,0),MATCH(Calculation!$G1157,'Gross Dx Plant'!$D$5:$AC$5,0))</f>
        <v>34301</v>
      </c>
      <c r="BZ1157" s="129">
        <f>INDEX('Gross Gen Plant'!$D$7:$AC$91,MATCH($C1157,'Gross Gen Plant'!$C$7:$C$91,0),MATCH(Calculation!$G1157,'Gross Gen Plant'!$D$5:$AC$5,0))</f>
        <v>5882</v>
      </c>
      <c r="CA1157" s="129">
        <f t="shared" si="2048"/>
        <v>23688</v>
      </c>
      <c r="CB1157" s="129"/>
      <c r="CC1157" s="133">
        <v>2002</v>
      </c>
      <c r="CD1157" s="129"/>
      <c r="CE1157" s="129"/>
      <c r="CF1157" s="129"/>
      <c r="CG1157" s="137"/>
      <c r="CH1157" s="129">
        <f t="shared" si="2080"/>
        <v>626</v>
      </c>
      <c r="CI1157" s="46">
        <f t="shared" si="2093"/>
        <v>594.6746136425852</v>
      </c>
      <c r="CJ1157" s="231">
        <f t="shared" si="2081"/>
        <v>1.6457108961226068</v>
      </c>
      <c r="CK1157" s="443">
        <v>0.95918367346938771</v>
      </c>
      <c r="CL1157" s="231">
        <f>+CL1153*CK1157+CJ1154*CK1156+CJ1155*CK1155+CJ1156*CK1154+CJ1157</f>
        <v>130.43478109188146</v>
      </c>
      <c r="CM1157" s="134">
        <f t="shared" si="2082"/>
        <v>1.5983864917676952E-3</v>
      </c>
      <c r="CN1157" s="135">
        <f t="shared" si="2083"/>
        <v>1.1037635580014383E-2</v>
      </c>
      <c r="CO1157" s="135">
        <f t="shared" ref="CO1157:CO1177" si="2097">+(CN1157+CN1156+CN1155)/3</f>
        <v>1.0495647077430439E-2</v>
      </c>
      <c r="CP1157" s="134">
        <f>VLOOKUP($H1157,RoR!$E:$F,2,FALSE)</f>
        <v>6.4916666666666664E-2</v>
      </c>
      <c r="CQ1157" s="135">
        <v>1.5246423291824351E-2</v>
      </c>
      <c r="CR1157" s="135">
        <f t="shared" si="2094"/>
        <v>4.9670243374842313E-2</v>
      </c>
      <c r="CS1157" s="135">
        <f t="shared" ref="CS1157:CS1177" si="2098">+$CR$2-CO1157</f>
        <v>2.0406294531103188E-2</v>
      </c>
      <c r="CT1157" s="135">
        <f t="shared" ref="CT1157:CT1177" si="2099">+((DF1155/DF1154-1)+(DF1156/DF1155-1)+(DF1157/DF1156-1))/3</f>
        <v>2.5243621214759093E-2</v>
      </c>
      <c r="CU1157" s="139">
        <f t="shared" si="2084"/>
        <v>0.85329623209999994</v>
      </c>
      <c r="CV1157" s="335">
        <f t="shared" si="2085"/>
        <v>0.78996741384417901</v>
      </c>
      <c r="CW1157" s="335">
        <f t="shared" si="2086"/>
        <v>0.58989088575096271</v>
      </c>
      <c r="CX1157" s="335">
        <f t="shared" si="2087"/>
        <v>0.91920675783645744</v>
      </c>
      <c r="CY1157" s="335">
        <f t="shared" si="2088"/>
        <v>0.42834536472275586</v>
      </c>
      <c r="CZ1157" s="336">
        <f>INDEX('State Tax Lookup'!$D$7:$Z$91,MATCH(Calculation!$C1157,'State Tax Lookup'!$B$7:$B$91,0),MATCH($H1157,'State Tax Lookup'!$D$6:$Z$6,0))</f>
        <v>0.39649667</v>
      </c>
      <c r="DA1157" s="302">
        <v>0.37</v>
      </c>
      <c r="DB1157" s="57">
        <f t="shared" si="2096"/>
        <v>10.390126476038388</v>
      </c>
      <c r="DC1157" s="56">
        <f t="shared" ref="DC1157:DC1175" si="2100">LN(DB1157/DB1156)</f>
        <v>3.5463918150202257E-3</v>
      </c>
      <c r="DD1157" s="303">
        <f>VLOOKUP($H1157,RoR!$E:$F,2,FALSE)</f>
        <v>6.4916666666666664E-2</v>
      </c>
      <c r="DE1157" s="304">
        <f>HLOOKUP($H1157,'GDP-PI'!$D$8:$CQ$11,3,FALSE)</f>
        <v>1.5246423291824351E-2</v>
      </c>
      <c r="DF1157" s="303">
        <f>VLOOKUP(H1157,'HW Dx Data'!$E:$F,2,FALSE)</f>
        <v>361.34816573413599</v>
      </c>
      <c r="DG1157" s="364"/>
      <c r="DH1157" s="364"/>
      <c r="DI1157" s="364"/>
      <c r="DJ1157" s="56"/>
      <c r="DK1157" s="53">
        <f>HLOOKUP(H1157,'GDP-PI'!$8:$9,2,FALSE)</f>
        <v>81.039000000000001</v>
      </c>
      <c r="DL1157" s="355">
        <f>LN(DK1157/DK1156)</f>
        <v>1.513136459537477E-2</v>
      </c>
    </row>
    <row r="1158" spans="1:116" s="126" customFormat="1" ht="21" customHeight="1" x14ac:dyDescent="0.4">
      <c r="A1158" s="233" t="s">
        <v>251</v>
      </c>
      <c r="B1158" s="126" t="s">
        <v>251</v>
      </c>
      <c r="C1158" s="126">
        <v>4063183</v>
      </c>
      <c r="D1158" s="127" t="s">
        <v>194</v>
      </c>
      <c r="E1158" s="127" t="s">
        <v>15</v>
      </c>
      <c r="F1158" s="144"/>
      <c r="G1158" s="126" t="s">
        <v>159</v>
      </c>
      <c r="H1158" s="128">
        <v>2003</v>
      </c>
      <c r="I1158" s="129"/>
      <c r="J1158" s="125"/>
      <c r="K1158" s="125"/>
      <c r="L1158" s="47"/>
      <c r="M1158" s="125"/>
      <c r="N1158" s="125"/>
      <c r="O1158" s="125"/>
      <c r="P1158" s="59"/>
      <c r="Q1158" s="59"/>
      <c r="R1158" s="386"/>
      <c r="S1158" s="119"/>
      <c r="T1158" s="59"/>
      <c r="U1158" s="59"/>
      <c r="V1158" s="125"/>
      <c r="W1158" s="125"/>
      <c r="X1158" s="125"/>
      <c r="Y1158" s="125"/>
      <c r="Z1158" s="125"/>
      <c r="AA1158" s="125"/>
      <c r="AB1158" s="125"/>
      <c r="AC1158" s="125">
        <f t="shared" si="2078"/>
        <v>1364.3108025094016</v>
      </c>
      <c r="AD1158" s="129"/>
      <c r="AE1158" s="133">
        <v>135.0608555790524</v>
      </c>
      <c r="AF1158" s="134">
        <v>1.1773379672220389E-2</v>
      </c>
      <c r="AG1158" s="61"/>
      <c r="AH1158" s="134"/>
      <c r="AI1158" s="134"/>
      <c r="AJ1158" s="129">
        <f t="shared" si="2031"/>
        <v>1364.3108025094016</v>
      </c>
      <c r="AK1158" s="134"/>
      <c r="AL1158" s="129"/>
      <c r="AM1158" s="129"/>
      <c r="AN1158" s="129"/>
      <c r="AO1158" s="129"/>
      <c r="AP1158" s="133"/>
      <c r="AQ1158" s="134"/>
      <c r="AR1158" s="93"/>
      <c r="AS1158" s="93"/>
      <c r="AT1158" s="93"/>
      <c r="AU1158" s="93"/>
      <c r="AV1158" s="93"/>
      <c r="AW1158" s="134"/>
      <c r="AX1158" s="93"/>
      <c r="AY1158" s="93"/>
      <c r="AZ1158" s="93"/>
      <c r="BA1158" s="93"/>
      <c r="BB1158" s="234">
        <f>IFERROR(INDEX('Total Customers'!$E$7:$AA$91,MATCH($C1158,'Total Customers'!$C$7:$C$91,0),MATCH($G1158,'Total Customers'!$E$5:$AA$5,0)),"NA")</f>
        <v>15474</v>
      </c>
      <c r="BC1158" s="269">
        <f t="shared" si="2095"/>
        <v>1.1896776101248408E-2</v>
      </c>
      <c r="BD1158" s="92"/>
      <c r="BE1158" s="299" t="str">
        <f t="shared" si="2089"/>
        <v>ST. LAWRENCE GAS COMPANY, INC.</v>
      </c>
      <c r="BF1158" s="300">
        <f t="shared" si="2090"/>
        <v>4063183</v>
      </c>
      <c r="BG1158" s="231" t="str">
        <f t="shared" si="2091"/>
        <v>NY</v>
      </c>
      <c r="BH1158" s="231"/>
      <c r="BI1158" s="231" t="str">
        <f t="shared" si="2092"/>
        <v>2003 Y</v>
      </c>
      <c r="BJ1158" s="129"/>
      <c r="BK1158" s="129"/>
      <c r="BL1158" s="129">
        <f>INDEX('Dist. Plant Gas Additions'!$E$7:$AD$91,MATCH($C1158,'Dist. Plant Gas Additions'!$C$7:$C$91,0),MATCH(Calculation!$G1158,'Dist. Plant Gas Additions'!$E$5:$AD$5,0))</f>
        <v>420</v>
      </c>
      <c r="BM1158" s="129">
        <f>INDEX('Gen. Plant Additions'!$E$7:$AD$91,MATCH($C1158,'Gen. Plant Additions'!$C$7:$C$91,0),MATCH(Calculation!$G1158,'Gen. Plant Additions'!$E$5:$AD$5,0))</f>
        <v>445</v>
      </c>
      <c r="BN1158" s="301">
        <f t="shared" si="2079"/>
        <v>0.84915175402090626</v>
      </c>
      <c r="BO1158" s="231">
        <f t="shared" si="2073"/>
        <v>377.87253053930328</v>
      </c>
      <c r="BP1158" s="231">
        <f t="shared" si="2074"/>
        <v>-67.127469460696716</v>
      </c>
      <c r="BQ1158" s="129">
        <f>INDEX('Dist Plant Depreciation'!$D$7:$AC$94,MATCH($C1158,'Dist Plant Depreciation'!$C$7:$C$94,0),MATCH(Calculation!$G1158,'Dist Plant Depreciation'!$D$5:$AC$5,0))</f>
        <v>15533</v>
      </c>
      <c r="BR1158" s="129">
        <f>INDEX('Gen. Plant Depreciation'!$D$7:$AC$94,MATCH($C1158,'Gen. Plant Depreciation'!$C$7:$C$94,0),MATCH(Calculation!$G1158,'Gen. Plant Depreciation'!$D$5:$AC$5,0))</f>
        <v>2028</v>
      </c>
      <c r="BS1158" s="129"/>
      <c r="BT1158" s="129"/>
      <c r="BU1158" s="129"/>
      <c r="BV1158" s="129"/>
      <c r="BW1158" s="129"/>
      <c r="BX1158" s="137"/>
      <c r="BY1158" s="129">
        <f>INDEX('Gross Dx Plant'!$D$7:$AC$91,MATCH($C1158,'Gross Dx Plant'!$C$7:$C$91,0),MATCH(Calculation!$G1158,'Gross Dx Plant'!$D$5:$AC$5,0))</f>
        <v>34687</v>
      </c>
      <c r="BZ1158" s="129">
        <f>INDEX('Gross Gen Plant'!$D$7:$AC$91,MATCH($C1158,'Gross Gen Plant'!$C$7:$C$91,0),MATCH(Calculation!$G1158,'Gross Gen Plant'!$D$5:$AC$5,0))</f>
        <v>6162</v>
      </c>
      <c r="CA1158" s="129">
        <f t="shared" si="2048"/>
        <v>23288</v>
      </c>
      <c r="CB1158" s="129"/>
      <c r="CC1158" s="133">
        <v>2003</v>
      </c>
      <c r="CD1158" s="129"/>
      <c r="CE1158" s="129"/>
      <c r="CF1158" s="129"/>
      <c r="CG1158" s="137"/>
      <c r="CH1158" s="129">
        <f t="shared" si="2080"/>
        <v>865</v>
      </c>
      <c r="CI1158" s="46">
        <f t="shared" si="2093"/>
        <v>797.87253053930328</v>
      </c>
      <c r="CJ1158" s="231">
        <f t="shared" si="2081"/>
        <v>2.1608916507068288</v>
      </c>
      <c r="CK1158" s="443">
        <v>0.94845360824742264</v>
      </c>
      <c r="CL1158" s="231">
        <f>+CL1153*CK1158+CJ1154*CK1157+CJ1155*CK1156+CJ1156*CK1155+CJ1157*CK1154+CJ1158</f>
        <v>131.14361995916434</v>
      </c>
      <c r="CM1158" s="134">
        <f t="shared" si="2082"/>
        <v>5.4197181381532436E-3</v>
      </c>
      <c r="CN1158" s="135">
        <f t="shared" si="2083"/>
        <v>1.1132404802374672E-2</v>
      </c>
      <c r="CO1158" s="135">
        <f t="shared" si="2097"/>
        <v>1.0808595577902728E-2</v>
      </c>
      <c r="CP1158" s="134">
        <f>VLOOKUP($H1158,RoR!$E:$F,2,FALSE)</f>
        <v>5.6666666666666671E-2</v>
      </c>
      <c r="CQ1158" s="135">
        <v>1.8855119140166909E-2</v>
      </c>
      <c r="CR1158" s="135">
        <f t="shared" si="2094"/>
        <v>3.7811547526499761E-2</v>
      </c>
      <c r="CS1158" s="135">
        <f t="shared" si="2098"/>
        <v>2.0093346030630899E-2</v>
      </c>
      <c r="CT1158" s="135">
        <f t="shared" si="2099"/>
        <v>2.1375012817671957E-2</v>
      </c>
      <c r="CU1158" s="139">
        <f t="shared" si="2084"/>
        <v>0.85329623209999994</v>
      </c>
      <c r="CV1158" s="335">
        <f t="shared" si="2085"/>
        <v>0.90497737556561086</v>
      </c>
      <c r="CW1158" s="335">
        <f t="shared" si="2086"/>
        <v>0.5338235294117647</v>
      </c>
      <c r="CX1158" s="335">
        <f t="shared" si="2087"/>
        <v>0.88972433127405692</v>
      </c>
      <c r="CY1158" s="335">
        <f t="shared" si="2088"/>
        <v>0.42982423775949252</v>
      </c>
      <c r="CZ1158" s="336">
        <f>INDEX('State Tax Lookup'!$D$7:$Z$91,MATCH(Calculation!$C1158,'State Tax Lookup'!$B$7:$B$91,0),MATCH($H1158,'State Tax Lookup'!$D$6:$Z$6,0))</f>
        <v>0.39649667</v>
      </c>
      <c r="DA1158" s="302">
        <v>0.37</v>
      </c>
      <c r="DB1158" s="57">
        <f t="shared" si="2096"/>
        <v>10.459716274207166</v>
      </c>
      <c r="DC1158" s="56">
        <f t="shared" si="2100"/>
        <v>6.6753555328408288E-3</v>
      </c>
      <c r="DD1158" s="303">
        <f>VLOOKUP($H1158,RoR!$E:$F,2,FALSE)</f>
        <v>5.6666666666666671E-2</v>
      </c>
      <c r="DE1158" s="304">
        <f>HLOOKUP($H1158,'GDP-PI'!$D$8:$CQ$11,3,FALSE)</f>
        <v>1.8855119140166909E-2</v>
      </c>
      <c r="DF1158" s="303">
        <f>VLOOKUP(H1158,'HW Dx Data'!$E:$F,2,FALSE)</f>
        <v>369.23301095560191</v>
      </c>
      <c r="DG1158" s="364">
        <f ca="1">VLOOKUP(CC1158,'ECI - Input Price'!M$13:N$33,2,FALSE)</f>
        <v>89.25</v>
      </c>
      <c r="DH1158" s="364"/>
      <c r="DI1158" s="364"/>
      <c r="DJ1158" s="56"/>
      <c r="DK1158" s="53">
        <f>HLOOKUP(H1158,'GDP-PI'!$8:$9,2,FALSE)</f>
        <v>82.566999999999993</v>
      </c>
      <c r="DL1158" s="355">
        <f t="shared" ref="DL1158:DL1177" si="2101">LN(DK1158/DK1157)</f>
        <v>1.8679564681853753E-2</v>
      </c>
    </row>
    <row r="1159" spans="1:116" s="126" customFormat="1" ht="21" customHeight="1" x14ac:dyDescent="0.4">
      <c r="A1159" s="233" t="s">
        <v>251</v>
      </c>
      <c r="B1159" s="126" t="s">
        <v>251</v>
      </c>
      <c r="C1159" s="126">
        <v>4063183</v>
      </c>
      <c r="D1159" s="127" t="s">
        <v>194</v>
      </c>
      <c r="E1159" s="127" t="s">
        <v>15</v>
      </c>
      <c r="F1159" s="144"/>
      <c r="G1159" s="126" t="s">
        <v>160</v>
      </c>
      <c r="H1159" s="128">
        <v>2004</v>
      </c>
      <c r="I1159" s="129"/>
      <c r="J1159" s="125">
        <f>IFERROR(INDEX('Labor Expenditures'!$E$7:$W$91,MATCH($C1159,'Labor Expenditures'!$C$7:$C$91,0),MATCH($G1159,'Labor Expenditures'!$E$5:$W$5,0)),"NA")</f>
        <v>1883.1984048662632</v>
      </c>
      <c r="K1159" s="125">
        <f t="shared" ref="K1159:K1177" ca="1" si="2102">+J1159/DG1159</f>
        <v>19.95970752375478</v>
      </c>
      <c r="L1159" s="47"/>
      <c r="M1159" s="131"/>
      <c r="N1159" s="131"/>
      <c r="O1159" s="131"/>
      <c r="P1159" s="59"/>
      <c r="Q1159" s="59"/>
      <c r="R1159" s="386"/>
      <c r="S1159" s="119"/>
      <c r="T1159" s="59"/>
      <c r="U1159" s="59"/>
      <c r="V1159" s="125">
        <f>IFERROR(INDEX('Non-Labor Expenditures'!$E$7:$AA$91,MATCH($C1159,'Non-Labor Expenditures'!$C$7:$C$91,0),MATCH($G1159,'Non-Labor Expenditures'!$E$5:$AA$5,0)),"NA")</f>
        <v>2727.2230231905132</v>
      </c>
      <c r="W1159" s="125">
        <f t="shared" ref="W1159:W1177" si="2103">+V1159/DK1159</f>
        <v>32.168994588106742</v>
      </c>
      <c r="X1159" s="125"/>
      <c r="Y1159" s="125"/>
      <c r="Z1159" s="125"/>
      <c r="AA1159" s="125"/>
      <c r="AB1159" s="125"/>
      <c r="AC1159" s="125">
        <f t="shared" si="2078"/>
        <v>1504.3870398453323</v>
      </c>
      <c r="AD1159" s="129"/>
      <c r="AE1159" s="133">
        <v>135.94758144445004</v>
      </c>
      <c r="AF1159" s="134">
        <v>6.5439219493178555E-3</v>
      </c>
      <c r="AG1159" s="59">
        <f t="shared" ref="AG1159:AG1177" si="2104">+AF1159*$AX1159</f>
        <v>0</v>
      </c>
      <c r="AH1159" s="134"/>
      <c r="AI1159" s="134"/>
      <c r="AJ1159" s="129">
        <f t="shared" si="2031"/>
        <v>6114.8084679021085</v>
      </c>
      <c r="AK1159" s="134"/>
      <c r="AL1159" s="129"/>
      <c r="AM1159" s="129"/>
      <c r="AN1159" s="129"/>
      <c r="AO1159" s="129"/>
      <c r="AP1159" s="133"/>
      <c r="AQ1159" s="134"/>
      <c r="AR1159" s="93">
        <f t="shared" ref="AR1159:AR1177" si="2105">+J1159/AJ1159</f>
        <v>0.30797340828442299</v>
      </c>
      <c r="AS1159" s="93">
        <f t="shared" ref="AS1159:AS1177" si="2106">+V1159/AJ1159</f>
        <v>0.44600301669402559</v>
      </c>
      <c r="AT1159" s="93">
        <f t="shared" ref="AT1159:AT1177" si="2107">+AC1159/AJ1159</f>
        <v>0.24602357502155142</v>
      </c>
      <c r="AU1159" s="93"/>
      <c r="AV1159" s="93"/>
      <c r="AW1159" s="134"/>
      <c r="AX1159" s="93"/>
      <c r="AY1159" s="93"/>
      <c r="AZ1159" s="93"/>
      <c r="BA1159" s="93"/>
      <c r="BB1159" s="234">
        <f>IFERROR(INDEX('Total Customers'!$E$7:$AA$91,MATCH($C1159,'Total Customers'!$C$7:$C$91,0),MATCH($G1159,'Total Customers'!$E$5:$AA$5,0)),"NA")</f>
        <v>15476</v>
      </c>
      <c r="BC1159" s="269">
        <f t="shared" si="2095"/>
        <v>1.2924071100382429E-4</v>
      </c>
      <c r="BD1159" s="92"/>
      <c r="BE1159" s="299" t="str">
        <f t="shared" si="2089"/>
        <v>ST. LAWRENCE GAS COMPANY, INC.</v>
      </c>
      <c r="BF1159" s="300">
        <f t="shared" si="2090"/>
        <v>4063183</v>
      </c>
      <c r="BG1159" s="231" t="str">
        <f t="shared" si="2091"/>
        <v>NY</v>
      </c>
      <c r="BH1159" s="231"/>
      <c r="BI1159" s="231" t="str">
        <f t="shared" si="2092"/>
        <v>2004 Y</v>
      </c>
      <c r="BJ1159" s="129"/>
      <c r="BK1159" s="129"/>
      <c r="BL1159" s="129">
        <f>INDEX('Dist. Plant Gas Additions'!$E$7:$AD$91,MATCH($C1159,'Dist. Plant Gas Additions'!$C$7:$C$91,0),MATCH(Calculation!$G1159,'Dist. Plant Gas Additions'!$E$5:$AD$5,0))</f>
        <v>460</v>
      </c>
      <c r="BM1159" s="129">
        <f>INDEX('Gen. Plant Additions'!$E$7:$AD$91,MATCH($C1159,'Gen. Plant Additions'!$C$7:$C$91,0),MATCH(Calculation!$G1159,'Gen. Plant Additions'!$E$5:$AD$5,0))</f>
        <v>239</v>
      </c>
      <c r="BN1159" s="301">
        <f t="shared" si="2079"/>
        <v>0.84958521321496139</v>
      </c>
      <c r="BO1159" s="231">
        <f t="shared" si="2073"/>
        <v>203.05086595837577</v>
      </c>
      <c r="BP1159" s="231">
        <f t="shared" si="2074"/>
        <v>-35.949134041624234</v>
      </c>
      <c r="BQ1159" s="129">
        <f>INDEX('Dist Plant Depreciation'!$D$7:$AC$94,MATCH($C1159,'Dist Plant Depreciation'!$C$7:$C$94,0),MATCH(Calculation!$G1159,'Dist Plant Depreciation'!$D$5:$AC$5,0))</f>
        <v>16346</v>
      </c>
      <c r="BR1159" s="129">
        <f>INDEX('Gen. Plant Depreciation'!$D$7:$AC$94,MATCH($C1159,'Gen. Plant Depreciation'!$C$7:$C$94,0),MATCH(Calculation!$G1159,'Gen. Plant Depreciation'!$D$5:$AC$5,0))</f>
        <v>2166</v>
      </c>
      <c r="BS1159" s="129"/>
      <c r="BT1159" s="129"/>
      <c r="BU1159" s="129"/>
      <c r="BV1159" s="129"/>
      <c r="BW1159" s="129"/>
      <c r="BX1159" s="137"/>
      <c r="BY1159" s="129">
        <f>INDEX('Gross Dx Plant'!$D$7:$AC$91,MATCH($C1159,'Gross Dx Plant'!$C$7:$C$91,0),MATCH(Calculation!$G1159,'Gross Dx Plant'!$D$5:$AC$5,0))</f>
        <v>35025</v>
      </c>
      <c r="BZ1159" s="129">
        <f>INDEX('Gross Gen Plant'!$D$7:$AC$91,MATCH($C1159,'Gross Gen Plant'!$C$7:$C$91,0),MATCH(Calculation!$G1159,'Gross Gen Plant'!$D$5:$AC$5,0))</f>
        <v>6201</v>
      </c>
      <c r="CA1159" s="129">
        <f t="shared" si="2048"/>
        <v>22714</v>
      </c>
      <c r="CB1159" s="129"/>
      <c r="CC1159" s="133">
        <v>2004</v>
      </c>
      <c r="CD1159" s="129"/>
      <c r="CE1159" s="129"/>
      <c r="CF1159" s="129"/>
      <c r="CG1159" s="137"/>
      <c r="CH1159" s="129">
        <f t="shared" si="2080"/>
        <v>699</v>
      </c>
      <c r="CI1159" s="46">
        <f t="shared" si="2093"/>
        <v>663.05086595837577</v>
      </c>
      <c r="CJ1159" s="231">
        <f t="shared" si="2081"/>
        <v>1.598147351325133</v>
      </c>
      <c r="CK1159" s="443">
        <v>0.9375</v>
      </c>
      <c r="CL1159" s="231">
        <f>+CL1153*CK1159+CJ1154*CK1158+CJ1155*CK1157+CJ1156*CK1156+CJ1157*CK1155+CJ1158*CK1154+CJ1159</f>
        <v>131.23811485560205</v>
      </c>
      <c r="CM1159" s="134">
        <f t="shared" si="2082"/>
        <v>7.2028566005053081E-4</v>
      </c>
      <c r="CN1159" s="135">
        <f t="shared" si="2083"/>
        <v>1.1465692767636223E-2</v>
      </c>
      <c r="CO1159" s="135">
        <f t="shared" si="2097"/>
        <v>1.1211911050008426E-2</v>
      </c>
      <c r="CP1159" s="134">
        <f>VLOOKUP($H1159,RoR!$E:$F,2,FALSE)</f>
        <v>5.6283333333333331E-2</v>
      </c>
      <c r="CQ1159" s="135">
        <v>2.6778252812867276E-2</v>
      </c>
      <c r="CR1159" s="135">
        <f t="shared" si="2094"/>
        <v>2.9505080520466055E-2</v>
      </c>
      <c r="CS1159" s="135">
        <f t="shared" si="2098"/>
        <v>1.9690030558525199E-2</v>
      </c>
      <c r="CT1159" s="135">
        <f t="shared" si="2099"/>
        <v>5.5940039414565046E-2</v>
      </c>
      <c r="CU1159" s="139">
        <f t="shared" si="2084"/>
        <v>0.85329623209999994</v>
      </c>
      <c r="CV1159" s="335">
        <f t="shared" si="2085"/>
        <v>0.91114097628755619</v>
      </c>
      <c r="CW1159" s="335">
        <f t="shared" si="2086"/>
        <v>0.53081877405981637</v>
      </c>
      <c r="CX1159" s="335">
        <f t="shared" si="2087"/>
        <v>0.88811215519385678</v>
      </c>
      <c r="CY1159" s="335">
        <f t="shared" si="2088"/>
        <v>0.42953609753547711</v>
      </c>
      <c r="CZ1159" s="336">
        <f>INDEX('State Tax Lookup'!$D$7:$Z$91,MATCH(Calculation!$C1159,'State Tax Lookup'!$B$7:$B$91,0),MATCH($H1159,'State Tax Lookup'!$D$6:$Z$6,0))</f>
        <v>0.39649667</v>
      </c>
      <c r="DA1159" s="302">
        <v>0.37</v>
      </c>
      <c r="DB1159" s="57">
        <f t="shared" si="2096"/>
        <v>11.47129414540921</v>
      </c>
      <c r="DC1159" s="56">
        <f t="shared" si="2100"/>
        <v>9.2316420063696225E-2</v>
      </c>
      <c r="DD1159" s="303">
        <f>VLOOKUP($H1159,RoR!$E:$F,2,FALSE)</f>
        <v>5.6283333333333331E-2</v>
      </c>
      <c r="DE1159" s="304">
        <f>HLOOKUP($H1159,'GDP-PI'!$D$8:$CQ$11,3,FALSE)</f>
        <v>2.6778252812867276E-2</v>
      </c>
      <c r="DF1159" s="303">
        <f>VLOOKUP(H1159,'HW Dx Data'!$E:$F,2,FALSE)</f>
        <v>414.88719135228365</v>
      </c>
      <c r="DG1159" s="364">
        <f ca="1">VLOOKUP(CC1159,'ECI - Input Price'!M$13:N$33,2,FALSE)</f>
        <v>94.35</v>
      </c>
      <c r="DH1159" s="364"/>
      <c r="DI1159" s="364"/>
      <c r="DJ1159" s="56">
        <f t="shared" ref="DJ1159:DJ1177" ca="1" si="2108">LN(DG1159/DG1158)</f>
        <v>5.5569851154810786E-2</v>
      </c>
      <c r="DK1159" s="53">
        <f>HLOOKUP(H1159,'GDP-PI'!$8:$9,2,FALSE)</f>
        <v>84.778000000000006</v>
      </c>
      <c r="DL1159" s="355">
        <f t="shared" si="2101"/>
        <v>2.6425990216022755E-2</v>
      </c>
    </row>
    <row r="1160" spans="1:116" s="126" customFormat="1" ht="21" customHeight="1" x14ac:dyDescent="0.4">
      <c r="A1160" s="233" t="s">
        <v>251</v>
      </c>
      <c r="B1160" s="126" t="s">
        <v>251</v>
      </c>
      <c r="C1160" s="126">
        <v>4063183</v>
      </c>
      <c r="D1160" s="127" t="s">
        <v>194</v>
      </c>
      <c r="E1160" s="127" t="s">
        <v>15</v>
      </c>
      <c r="F1160" s="144"/>
      <c r="G1160" s="126" t="s">
        <v>161</v>
      </c>
      <c r="H1160" s="128">
        <v>2005</v>
      </c>
      <c r="I1160" s="129"/>
      <c r="J1160" s="125">
        <f>IFERROR(INDEX('Labor Expenditures'!$E$7:$W$91,MATCH($C1160,'Labor Expenditures'!$C$7:$C$91,0),MATCH($G1160,'Labor Expenditures'!$E$5:$W$5,0)),"NA")</f>
        <v>1902.9459375134886</v>
      </c>
      <c r="K1160" s="125">
        <f t="shared" ca="1" si="2102"/>
        <v>19.17808956929694</v>
      </c>
      <c r="L1160" s="47"/>
      <c r="M1160" s="131">
        <f t="shared" ref="M1160:M1176" ca="1" si="2109">LN(K1160/K1159)</f>
        <v>-3.994715851780798E-2</v>
      </c>
      <c r="N1160" s="131"/>
      <c r="O1160" s="131"/>
      <c r="P1160" s="59"/>
      <c r="Q1160" s="61"/>
      <c r="R1160" s="387"/>
      <c r="S1160" s="49">
        <v>100</v>
      </c>
      <c r="T1160" s="46"/>
      <c r="U1160" s="46"/>
      <c r="V1160" s="125">
        <f>IFERROR(INDEX('Non-Labor Expenditures'!$E$7:$AA$91,MATCH($C1160,'Non-Labor Expenditures'!$C$7:$C$91,0),MATCH($G1160,'Non-Labor Expenditures'!$E$5:$AA$5,0)),"NA")</f>
        <v>2755.8211387940282</v>
      </c>
      <c r="W1160" s="125">
        <f t="shared" si="2103"/>
        <v>31.528609136499689</v>
      </c>
      <c r="X1160" s="131">
        <f>LN(W1160/W1159)</f>
        <v>-2.0107727473971718E-2</v>
      </c>
      <c r="Y1160" s="131"/>
      <c r="Z1160" s="131"/>
      <c r="AA1160" s="131"/>
      <c r="AB1160" s="131"/>
      <c r="AC1160" s="125">
        <f t="shared" si="2078"/>
        <v>1674.5472897896025</v>
      </c>
      <c r="AD1160" s="129"/>
      <c r="AE1160" s="133">
        <v>136.88187253258781</v>
      </c>
      <c r="AF1160" s="134">
        <v>6.8489287109282865E-3</v>
      </c>
      <c r="AG1160" s="59">
        <f t="shared" si="2104"/>
        <v>0</v>
      </c>
      <c r="AH1160" s="134"/>
      <c r="AI1160" s="134"/>
      <c r="AJ1160" s="129">
        <f t="shared" si="2031"/>
        <v>6333.3143660971191</v>
      </c>
      <c r="AK1160" s="134">
        <f>LN(AJ1160/AJ1159)</f>
        <v>3.511024870251199E-2</v>
      </c>
      <c r="AL1160" s="129"/>
      <c r="AM1160" s="129"/>
      <c r="AN1160" s="129"/>
      <c r="AO1160" s="129"/>
      <c r="AP1160" s="133"/>
      <c r="AQ1160" s="134"/>
      <c r="AR1160" s="93">
        <f t="shared" si="2105"/>
        <v>0.30046604787220943</v>
      </c>
      <c r="AS1160" s="93">
        <f t="shared" si="2106"/>
        <v>0.43513095663563162</v>
      </c>
      <c r="AT1160" s="93">
        <f t="shared" si="2107"/>
        <v>0.26440299549215901</v>
      </c>
      <c r="AU1160" s="93">
        <f t="shared" ref="AU1160:AU1176" ca="1" si="2110">+(((AR1160+AR1159)/2)*M1160+((AS1159+AS1160)/2)*X1160+((AT1159+AT1160)/2)*AF1160)</f>
        <v>-1.9263577006868239E-2</v>
      </c>
      <c r="AV1160" s="132">
        <v>100</v>
      </c>
      <c r="AW1160" s="134"/>
      <c r="AX1160" s="93"/>
      <c r="AY1160" s="93"/>
      <c r="AZ1160" s="93"/>
      <c r="BA1160" s="93"/>
      <c r="BB1160" s="234">
        <f>IFERROR(INDEX('Total Customers'!$E$7:$AA$91,MATCH($C1160,'Total Customers'!$C$7:$C$91,0),MATCH($G1160,'Total Customers'!$E$5:$AA$5,0)),"NA")</f>
        <v>15511</v>
      </c>
      <c r="BC1160" s="269">
        <f t="shared" si="2095"/>
        <v>2.2590128043473226E-3</v>
      </c>
      <c r="BD1160" s="92"/>
      <c r="BE1160" s="299" t="str">
        <f t="shared" si="2089"/>
        <v>ST. LAWRENCE GAS COMPANY, INC.</v>
      </c>
      <c r="BF1160" s="300">
        <f t="shared" si="2090"/>
        <v>4063183</v>
      </c>
      <c r="BG1160" s="231" t="str">
        <f t="shared" si="2091"/>
        <v>NY</v>
      </c>
      <c r="BH1160" s="231"/>
      <c r="BI1160" s="231" t="str">
        <f t="shared" si="2092"/>
        <v>2005 Y</v>
      </c>
      <c r="BJ1160" s="129"/>
      <c r="BK1160" s="129"/>
      <c r="BL1160" s="129">
        <f>INDEX('Dist. Plant Gas Additions'!$E$7:$AD$91,MATCH($C1160,'Dist. Plant Gas Additions'!$C$7:$C$91,0),MATCH(Calculation!$G1160,'Dist. Plant Gas Additions'!$E$5:$AD$5,0))</f>
        <v>686</v>
      </c>
      <c r="BM1160" s="129">
        <f>INDEX('Gen. Plant Additions'!$E$7:$AD$91,MATCH($C1160,'Gen. Plant Additions'!$C$7:$C$91,0),MATCH(Calculation!$G1160,'Gen. Plant Additions'!$E$5:$AD$5,0))</f>
        <v>143</v>
      </c>
      <c r="BN1160" s="301">
        <f t="shared" si="2079"/>
        <v>0.85662746229886721</v>
      </c>
      <c r="BO1160" s="231">
        <f t="shared" si="2073"/>
        <v>122.49772710873802</v>
      </c>
      <c r="BP1160" s="231">
        <f t="shared" si="2074"/>
        <v>-20.502272891261981</v>
      </c>
      <c r="BQ1160" s="129">
        <f>INDEX('Dist Plant Depreciation'!$D$7:$AC$94,MATCH($C1160,'Dist Plant Depreciation'!$C$7:$C$94,0),MATCH(Calculation!$G1160,'Dist Plant Depreciation'!$D$5:$AC$5,0))</f>
        <v>17185</v>
      </c>
      <c r="BR1160" s="129">
        <f>INDEX('Gen. Plant Depreciation'!$D$7:$AC$94,MATCH($C1160,'Gen. Plant Depreciation'!$C$7:$C$94,0),MATCH(Calculation!$G1160,'Gen. Plant Depreciation'!$D$5:$AC$5,0))</f>
        <v>2136</v>
      </c>
      <c r="BS1160" s="129"/>
      <c r="BT1160" s="129"/>
      <c r="BU1160" s="129"/>
      <c r="BV1160" s="129"/>
      <c r="BW1160" s="129"/>
      <c r="BX1160" s="137"/>
      <c r="BY1160" s="129">
        <f>INDEX('Gross Dx Plant'!$D$7:$AC$91,MATCH($C1160,'Gross Dx Plant'!$C$7:$C$91,0),MATCH(Calculation!$G1160,'Gross Dx Plant'!$D$5:$AC$5,0))</f>
        <v>35616</v>
      </c>
      <c r="BZ1160" s="129">
        <f>INDEX('Gross Gen Plant'!$D$7:$AC$91,MATCH($C1160,'Gross Gen Plant'!$C$7:$C$91,0),MATCH(Calculation!$G1160,'Gross Gen Plant'!$D$5:$AC$5,0))</f>
        <v>5961</v>
      </c>
      <c r="CA1160" s="129">
        <f t="shared" si="2048"/>
        <v>22256</v>
      </c>
      <c r="CB1160" s="129"/>
      <c r="CC1160" s="133">
        <v>2005</v>
      </c>
      <c r="CD1160" s="129"/>
      <c r="CE1160" s="129"/>
      <c r="CF1160" s="129"/>
      <c r="CG1160" s="137"/>
      <c r="CH1160" s="129">
        <f t="shared" si="2080"/>
        <v>829</v>
      </c>
      <c r="CI1160" s="46">
        <f t="shared" si="2093"/>
        <v>808.49772710873799</v>
      </c>
      <c r="CJ1160" s="231">
        <f t="shared" si="2081"/>
        <v>1.7231220580975384</v>
      </c>
      <c r="CK1160" s="443">
        <v>0.9263157894736842</v>
      </c>
      <c r="CL1160" s="231">
        <f>+CL1153*CK1160+CJ1154*CK1159+CJ1155*CK1158+CJ1156*CK1157+CJ1157*CK1156+CJ1158*CK1155+CJ1159*CK1154+CJ1160</f>
        <v>131.41017622025603</v>
      </c>
      <c r="CM1160" s="134">
        <f t="shared" si="2082"/>
        <v>1.3102037600401797E-3</v>
      </c>
      <c r="CN1160" s="135">
        <f t="shared" si="2083"/>
        <v>1.1818675505588802E-2</v>
      </c>
      <c r="CO1160" s="135">
        <f t="shared" si="2097"/>
        <v>1.1472257691866565E-2</v>
      </c>
      <c r="CP1160" s="134">
        <f>VLOOKUP($H1160,RoR!$E:$F,2,FALSE)</f>
        <v>5.2350000000000001E-2</v>
      </c>
      <c r="CQ1160" s="135">
        <v>3.1010403642454332E-2</v>
      </c>
      <c r="CR1160" s="135">
        <f t="shared" si="2094"/>
        <v>2.1339596357545669E-2</v>
      </c>
      <c r="CS1160" s="135">
        <f t="shared" si="2098"/>
        <v>1.9429683916667058E-2</v>
      </c>
      <c r="CT1160" s="135">
        <f t="shared" si="2099"/>
        <v>9.2129610649277341E-2</v>
      </c>
      <c r="CU1160" s="139">
        <f t="shared" si="2084"/>
        <v>0.85329623209999994</v>
      </c>
      <c r="CV1160" s="335">
        <f t="shared" si="2085"/>
        <v>0.97959983346802826</v>
      </c>
      <c r="CW1160" s="335">
        <f t="shared" si="2086"/>
        <v>0.49744508118433622</v>
      </c>
      <c r="CX1160" s="335">
        <f t="shared" si="2087"/>
        <v>0.87010519444335932</v>
      </c>
      <c r="CY1160" s="335">
        <f t="shared" si="2088"/>
        <v>0.42399975420741998</v>
      </c>
      <c r="CZ1160" s="336">
        <f>INDEX('State Tax Lookup'!$D$7:$Z$91,MATCH(Calculation!$C1160,'State Tax Lookup'!$B$7:$B$91,0),MATCH($H1160,'State Tax Lookup'!$D$6:$Z$6,0))</f>
        <v>0.39649667</v>
      </c>
      <c r="DA1160" s="302">
        <v>0.37</v>
      </c>
      <c r="DB1160" s="57">
        <f t="shared" si="2096"/>
        <v>12.759610968445136</v>
      </c>
      <c r="DC1160" s="56">
        <f t="shared" si="2100"/>
        <v>0.10643703558969851</v>
      </c>
      <c r="DD1160" s="303">
        <f>VLOOKUP($H1160,RoR!$E:$F,2,FALSE)</f>
        <v>5.2350000000000001E-2</v>
      </c>
      <c r="DE1160" s="304">
        <f>HLOOKUP($H1160,'GDP-PI'!$D$8:$CQ$11,3,FALSE)</f>
        <v>3.1010403642454332E-2</v>
      </c>
      <c r="DF1160" s="303">
        <f>VLOOKUP(H1160,'HW Dx Data'!$E:$F,2,FALSE)</f>
        <v>469.20514034936258</v>
      </c>
      <c r="DG1160" s="364">
        <f ca="1">VLOOKUP(CC1160,'ECI - Input Price'!M$13:N$33,2,FALSE)</f>
        <v>99.224999999999994</v>
      </c>
      <c r="DH1160" s="364"/>
      <c r="DI1160" s="364"/>
      <c r="DJ1160" s="56">
        <f t="shared" ca="1" si="2108"/>
        <v>5.0378726854569796E-2</v>
      </c>
      <c r="DK1160" s="53">
        <f>HLOOKUP(H1160,'GDP-PI'!$8:$9,2,FALSE)</f>
        <v>87.406999999999996</v>
      </c>
      <c r="DL1160" s="355">
        <f t="shared" si="2101"/>
        <v>3.0539295810733648E-2</v>
      </c>
    </row>
    <row r="1161" spans="1:116" s="126" customFormat="1" ht="21" customHeight="1" x14ac:dyDescent="0.4">
      <c r="A1161" s="233" t="s">
        <v>251</v>
      </c>
      <c r="B1161" s="126" t="s">
        <v>251</v>
      </c>
      <c r="C1161" s="126">
        <v>4063183</v>
      </c>
      <c r="D1161" s="127" t="s">
        <v>194</v>
      </c>
      <c r="E1161" s="127" t="s">
        <v>15</v>
      </c>
      <c r="F1161" s="144"/>
      <c r="G1161" s="126" t="s">
        <v>162</v>
      </c>
      <c r="H1161" s="128">
        <v>2006</v>
      </c>
      <c r="I1161" s="129"/>
      <c r="J1161" s="125">
        <f>IFERROR(INDEX('Labor Expenditures'!$E$7:$W$91,MATCH($C1161,'Labor Expenditures'!$C$7:$C$91,0),MATCH($G1161,'Labor Expenditures'!$E$5:$W$5,0)),"NA")</f>
        <v>1831.3221798897846</v>
      </c>
      <c r="K1161" s="125">
        <f t="shared" ca="1" si="2102"/>
        <v>16.739690858224723</v>
      </c>
      <c r="L1161" s="47"/>
      <c r="M1161" s="131">
        <f t="shared" ca="1" si="2109"/>
        <v>-0.13598586149946038</v>
      </c>
      <c r="N1161" s="131"/>
      <c r="O1161" s="131"/>
      <c r="P1161" s="59">
        <f t="shared" ref="P1161:P1177" ca="1" si="2111">+M1161*$AX1161</f>
        <v>-1.1348527588534433E-4</v>
      </c>
      <c r="Q1161" s="61"/>
      <c r="R1161" s="387"/>
      <c r="S1161" s="49">
        <f ca="1">+S1160*EXP(T1161)</f>
        <v>115.47563111005104</v>
      </c>
      <c r="T1161" s="61">
        <f ca="1">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</f>
        <v>0.1438893356529026</v>
      </c>
      <c r="U1161" s="61"/>
      <c r="V1161" s="125">
        <f>IFERROR(INDEX('Non-Labor Expenditures'!$E$7:$AA$91,MATCH($C1161,'Non-Labor Expenditures'!$C$7:$C$91,0),MATCH($G1161,'Non-Labor Expenditures'!$E$5:$AA$5,0)),"NA")</f>
        <v>2652.0965602822616</v>
      </c>
      <c r="W1161" s="125">
        <f t="shared" si="2103"/>
        <v>29.44353043366856</v>
      </c>
      <c r="X1161" s="131">
        <f t="shared" ref="X1161:X1176" si="2112">LN(W1161/W1160)</f>
        <v>-6.8421153906163171E-2</v>
      </c>
      <c r="Y1161" s="131">
        <f t="shared" ref="Y1161:Y1177" si="2113">+X1161*AX1161</f>
        <v>-5.7100006146340041E-5</v>
      </c>
      <c r="Z1161" s="131"/>
      <c r="AA1161" s="131"/>
      <c r="AB1161" s="131"/>
      <c r="AC1161" s="125">
        <f t="shared" si="2078"/>
        <v>1619.8397805419118</v>
      </c>
      <c r="AD1161" s="129"/>
      <c r="AE1161" s="133">
        <v>139.73240938773219</v>
      </c>
      <c r="AF1161" s="134">
        <v>2.0610922516729278E-2</v>
      </c>
      <c r="AG1161" s="59">
        <f t="shared" si="2104"/>
        <v>1.7200583959765256E-5</v>
      </c>
      <c r="AH1161" s="134"/>
      <c r="AI1161" s="134"/>
      <c r="AJ1161" s="129">
        <f t="shared" si="2031"/>
        <v>6103.2585207139582</v>
      </c>
      <c r="AK1161" s="134">
        <f t="shared" ref="AK1161:AK1177" si="2114">LN(AJ1161/AJ1160)</f>
        <v>-3.7000883389545811E-2</v>
      </c>
      <c r="AL1161" s="129"/>
      <c r="AM1161" s="129"/>
      <c r="AN1161" s="129"/>
      <c r="AO1161" s="129"/>
      <c r="AP1161" s="133">
        <f t="shared" ref="AP1161:AP1177" si="2115">+(AJ1161*1000)/BB1161</f>
        <v>399.97762112287552</v>
      </c>
      <c r="AQ1161" s="134">
        <f>+BB1161/Outputs!$B$14</f>
        <v>4.3997584991330667E-4</v>
      </c>
      <c r="AR1161" s="93">
        <f t="shared" si="2105"/>
        <v>0.30005646552156157</v>
      </c>
      <c r="AS1161" s="93">
        <f t="shared" si="2106"/>
        <v>0.43453780489246258</v>
      </c>
      <c r="AT1161" s="93">
        <f t="shared" si="2107"/>
        <v>0.26540572958597586</v>
      </c>
      <c r="AU1161" s="93">
        <f t="shared" ca="1" si="2110"/>
        <v>-6.5123232466148331E-2</v>
      </c>
      <c r="AV1161" s="132">
        <f ca="1">+AV1160*EXP(AU1161)</f>
        <v>93.695199335791784</v>
      </c>
      <c r="AW1161" s="134">
        <f ca="1">LN(AV1161/AV1160)</f>
        <v>-6.5123232466148387E-2</v>
      </c>
      <c r="AX1161" s="135">
        <f>+AJ1161/$AL$11</f>
        <v>8.3453731611498943E-4</v>
      </c>
      <c r="AY1161" s="135">
        <f ca="1">+AX1161*AW1161</f>
        <v>-5.4347767639032018E-5</v>
      </c>
      <c r="AZ1161" s="93"/>
      <c r="BA1161" s="93"/>
      <c r="BB1161" s="234">
        <f>IFERROR(INDEX('Total Customers'!$E$7:$AA$91,MATCH($C1161,'Total Customers'!$C$7:$C$91,0),MATCH($G1161,'Total Customers'!$E$5:$AA$5,0)),"NA")</f>
        <v>15259</v>
      </c>
      <c r="BC1161" s="269">
        <f t="shared" si="2095"/>
        <v>-1.6379956733015229E-2</v>
      </c>
      <c r="BD1161" s="92"/>
      <c r="BE1161" s="299" t="str">
        <f t="shared" si="2089"/>
        <v>ST. LAWRENCE GAS COMPANY, INC.</v>
      </c>
      <c r="BF1161" s="300">
        <f t="shared" si="2090"/>
        <v>4063183</v>
      </c>
      <c r="BG1161" s="231" t="str">
        <f t="shared" si="2091"/>
        <v>NY</v>
      </c>
      <c r="BH1161" s="231"/>
      <c r="BI1161" s="231" t="str">
        <f t="shared" si="2092"/>
        <v>2006 Y</v>
      </c>
      <c r="BJ1161" s="129"/>
      <c r="BK1161" s="129"/>
      <c r="BL1161" s="129">
        <f>INDEX('Dist. Plant Gas Additions'!$E$7:$AD$91,MATCH($C1161,'Dist. Plant Gas Additions'!$C$7:$C$91,0),MATCH(Calculation!$G1161,'Dist. Plant Gas Additions'!$E$5:$AD$5,0))</f>
        <v>513</v>
      </c>
      <c r="BM1161" s="129">
        <f>INDEX('Gen. Plant Additions'!$E$7:$AD$91,MATCH($C1161,'Gen. Plant Additions'!$C$7:$C$91,0),MATCH(Calculation!$G1161,'Gen. Plant Additions'!$E$5:$AD$5,0))</f>
        <v>1202</v>
      </c>
      <c r="BN1161" s="301">
        <f t="shared" si="2079"/>
        <v>0.84252795741601105</v>
      </c>
      <c r="BO1161" s="231">
        <f t="shared" si="2073"/>
        <v>1012.7186048140453</v>
      </c>
      <c r="BP1161" s="231">
        <f t="shared" si="2074"/>
        <v>-189.28139518595469</v>
      </c>
      <c r="BQ1161" s="129">
        <f>INDEX('Dist Plant Depreciation'!$D$7:$AC$94,MATCH($C1161,'Dist Plant Depreciation'!$C$7:$C$94,0),MATCH(Calculation!$G1161,'Dist Plant Depreciation'!$D$5:$AC$5,0))</f>
        <v>18071</v>
      </c>
      <c r="BR1161" s="129">
        <f>INDEX('Gen. Plant Depreciation'!$D$7:$AC$94,MATCH($C1161,'Gen. Plant Depreciation'!$C$7:$C$94,0),MATCH(Calculation!$G1161,'Gen. Plant Depreciation'!$D$5:$AC$5,0))</f>
        <v>2013</v>
      </c>
      <c r="BS1161" s="129"/>
      <c r="BT1161" s="129"/>
      <c r="BU1161" s="129"/>
      <c r="BV1161" s="129"/>
      <c r="BW1161" s="129"/>
      <c r="BX1161" s="137"/>
      <c r="BY1161" s="129">
        <f>INDEX('Gross Dx Plant'!$D$7:$AC$91,MATCH($C1161,'Gross Dx Plant'!$C$7:$C$91,0),MATCH(Calculation!$G1161,'Gross Dx Plant'!$D$5:$AC$5,0))</f>
        <v>36088</v>
      </c>
      <c r="BZ1161" s="129">
        <f>INDEX('Gross Gen Plant'!$D$7:$AC$91,MATCH($C1161,'Gross Gen Plant'!$C$7:$C$91,0),MATCH(Calculation!$G1161,'Gross Gen Plant'!$D$5:$AC$5,0))</f>
        <v>6745</v>
      </c>
      <c r="CA1161" s="129">
        <f t="shared" si="2048"/>
        <v>22749</v>
      </c>
      <c r="CB1161" s="134"/>
      <c r="CC1161" s="133">
        <v>2006</v>
      </c>
      <c r="CD1161" s="129"/>
      <c r="CE1161" s="129"/>
      <c r="CF1161" s="129"/>
      <c r="CG1161" s="137"/>
      <c r="CH1161" s="129">
        <f t="shared" si="2080"/>
        <v>1715</v>
      </c>
      <c r="CI1161" s="46">
        <f t="shared" si="2093"/>
        <v>1525.7186048140452</v>
      </c>
      <c r="CJ1161" s="231">
        <f t="shared" si="2081"/>
        <v>3.3089698835825669</v>
      </c>
      <c r="CK1161" s="443">
        <v>0.91489361702127658</v>
      </c>
      <c r="CL1161" s="231">
        <f>+CL1153*CK1161+CJ1154*CK1160+CJ1155*CK1159+CJ1156*CK1158+CJ1157*CK1157+CJ1158*CK1156+CJ1159*CK1155+CJ1160*CK1154+CJ1161</f>
        <v>133.11811750632333</v>
      </c>
      <c r="CM1161" s="134">
        <f t="shared" si="2082"/>
        <v>1.291328799377591E-2</v>
      </c>
      <c r="CN1161" s="135">
        <f t="shared" si="2083"/>
        <v>1.218344456697017E-2</v>
      </c>
      <c r="CO1161" s="135">
        <f t="shared" si="2097"/>
        <v>1.1822604280065067E-2</v>
      </c>
      <c r="CP1161" s="134">
        <f>VLOOKUP($H1161,RoR!$E:$F,2,FALSE)</f>
        <v>5.5874999999999994E-2</v>
      </c>
      <c r="CQ1161" s="135">
        <v>3.0512430354548314E-2</v>
      </c>
      <c r="CR1161" s="135">
        <f t="shared" si="2094"/>
        <v>2.536256964545168E-2</v>
      </c>
      <c r="CS1161" s="135">
        <f t="shared" si="2098"/>
        <v>1.907933732846856E-2</v>
      </c>
      <c r="CT1161" s="135">
        <f t="shared" si="2099"/>
        <v>7.9087823893859641E-2</v>
      </c>
      <c r="CU1161" s="139">
        <f t="shared" si="2084"/>
        <v>0.85329623209999994</v>
      </c>
      <c r="CV1161" s="335">
        <f t="shared" si="2085"/>
        <v>0.91779957551769631</v>
      </c>
      <c r="CW1161" s="335">
        <f t="shared" si="2086"/>
        <v>0.52757270693512304</v>
      </c>
      <c r="CX1161" s="335">
        <f t="shared" si="2087"/>
        <v>0.88636824549024895</v>
      </c>
      <c r="CY1161" s="335">
        <f t="shared" si="2088"/>
        <v>0.42918482841932087</v>
      </c>
      <c r="CZ1161" s="336">
        <f>INDEX('State Tax Lookup'!$D$7:$Z$91,MATCH(Calculation!$C1161,'State Tax Lookup'!$B$7:$B$91,0),MATCH($H1161,'State Tax Lookup'!$D$6:$Z$6,0))</f>
        <v>0.39649667</v>
      </c>
      <c r="DA1161" s="302">
        <v>0.37</v>
      </c>
      <c r="DB1161" s="57">
        <f t="shared" si="2096"/>
        <v>12.326593169062534</v>
      </c>
      <c r="DC1161" s="56">
        <f t="shared" si="2100"/>
        <v>-3.4525814300568655E-2</v>
      </c>
      <c r="DD1161" s="303">
        <f>VLOOKUP($H1161,RoR!$E:$F,2,FALSE)</f>
        <v>5.5874999999999994E-2</v>
      </c>
      <c r="DE1161" s="304">
        <f>HLOOKUP($H1161,'GDP-PI'!$D$8:$CQ$11,3,FALSE)</f>
        <v>3.0512430354548314E-2</v>
      </c>
      <c r="DF1161" s="303">
        <f>VLOOKUP(H1161,'HW Dx Data'!$E:$F,2,FALSE)</f>
        <v>461.08567272971823</v>
      </c>
      <c r="DG1161" s="364">
        <f ca="1">VLOOKUP(CC1161,'ECI - Input Price'!M$13:N$33,2,FALSE)</f>
        <v>109.4</v>
      </c>
      <c r="DH1161" s="364"/>
      <c r="DI1161" s="364"/>
      <c r="DJ1161" s="56">
        <f t="shared" ca="1" si="2108"/>
        <v>9.7620891318751846E-2</v>
      </c>
      <c r="DK1161" s="53">
        <f>HLOOKUP(H1161,'GDP-PI'!$8:$9,2,FALSE)</f>
        <v>90.073999999999998</v>
      </c>
      <c r="DL1161" s="355">
        <f t="shared" si="2101"/>
        <v>3.005618372545445E-2</v>
      </c>
    </row>
    <row r="1162" spans="1:116" s="126" customFormat="1" ht="21" customHeight="1" x14ac:dyDescent="0.4">
      <c r="A1162" s="233" t="s">
        <v>251</v>
      </c>
      <c r="B1162" s="126" t="s">
        <v>251</v>
      </c>
      <c r="C1162" s="126">
        <v>4063183</v>
      </c>
      <c r="D1162" s="127" t="s">
        <v>194</v>
      </c>
      <c r="E1162" s="127" t="s">
        <v>15</v>
      </c>
      <c r="F1162" s="144"/>
      <c r="G1162" s="126" t="s">
        <v>163</v>
      </c>
      <c r="H1162" s="128">
        <v>2007</v>
      </c>
      <c r="I1162" s="129"/>
      <c r="J1162" s="125">
        <f>IFERROR(INDEX('Labor Expenditures'!$E$7:$W$91,MATCH($C1162,'Labor Expenditures'!$C$7:$C$91,0),MATCH($G1162,'Labor Expenditures'!$E$5:$W$5,0)),"NA")</f>
        <v>2220.3464244936977</v>
      </c>
      <c r="K1162" s="125">
        <f t="shared" ca="1" si="2102"/>
        <v>21.242252327134157</v>
      </c>
      <c r="L1162" s="47"/>
      <c r="M1162" s="131">
        <f t="shared" ca="1" si="2109"/>
        <v>0.23820963487865859</v>
      </c>
      <c r="N1162" s="131"/>
      <c r="O1162" s="131"/>
      <c r="P1162" s="59">
        <f t="shared" ca="1" si="2111"/>
        <v>2.2308919151549334E-4</v>
      </c>
      <c r="Q1162" s="61"/>
      <c r="R1162" s="387"/>
      <c r="S1162" s="49">
        <f t="shared" ref="S1162:S1175" ca="1" si="2116">+S1161*EXP(T1162)</f>
        <v>119.93727881346111</v>
      </c>
      <c r="T1162" s="61">
        <f ca="1">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</f>
        <v>3.7909407943555302E-2</v>
      </c>
      <c r="U1162" s="61"/>
      <c r="V1162" s="125">
        <f>IFERROR(INDEX('Non-Labor Expenditures'!$E$7:$AA$91,MATCH($C1162,'Non-Labor Expenditures'!$C$7:$C$91,0),MATCH($G1162,'Non-Labor Expenditures'!$E$5:$AA$5,0)),"NA")</f>
        <v>3215.4763261749767</v>
      </c>
      <c r="W1162" s="125">
        <f t="shared" si="2103"/>
        <v>34.762657853953343</v>
      </c>
      <c r="X1162" s="131">
        <f t="shared" si="2112"/>
        <v>0.1660695541833685</v>
      </c>
      <c r="Y1162" s="131">
        <f t="shared" si="2113"/>
        <v>1.5552822872583682E-4</v>
      </c>
      <c r="Z1162" s="131"/>
      <c r="AA1162" s="131"/>
      <c r="AB1162" s="131"/>
      <c r="AC1162" s="125">
        <f t="shared" si="2078"/>
        <v>1742.9808756788198</v>
      </c>
      <c r="AD1162" s="129"/>
      <c r="AE1162" s="133">
        <v>141.84364195151321</v>
      </c>
      <c r="AF1162" s="134">
        <v>1.4996105802679894E-2</v>
      </c>
      <c r="AG1162" s="59">
        <f t="shared" si="2104"/>
        <v>1.4044222523177122E-5</v>
      </c>
      <c r="AH1162" s="134"/>
      <c r="AI1162" s="134"/>
      <c r="AJ1162" s="129">
        <f t="shared" si="2031"/>
        <v>7178.8036263474942</v>
      </c>
      <c r="AK1162" s="134">
        <f t="shared" si="2114"/>
        <v>0.16230993104207767</v>
      </c>
      <c r="AL1162" s="129"/>
      <c r="AM1162" s="129"/>
      <c r="AN1162" s="129"/>
      <c r="AO1162" s="129"/>
      <c r="AP1162" s="133">
        <f t="shared" si="2115"/>
        <v>467.43089115428404</v>
      </c>
      <c r="AQ1162" s="134">
        <f>+BB1162/Outputs!$B$15</f>
        <v>4.3949630026703161E-4</v>
      </c>
      <c r="AR1162" s="93">
        <f t="shared" si="2105"/>
        <v>0.3092919851358838</v>
      </c>
      <c r="AS1162" s="93">
        <f t="shared" si="2106"/>
        <v>0.44791256225112541</v>
      </c>
      <c r="AT1162" s="93">
        <f t="shared" si="2107"/>
        <v>0.24279545261299082</v>
      </c>
      <c r="AU1162" s="93">
        <f t="shared" ca="1" si="2110"/>
        <v>0.14966092485138727</v>
      </c>
      <c r="AV1162" s="132">
        <f ca="1">+AV1161*EXP(AU1162)</f>
        <v>108.82138608350573</v>
      </c>
      <c r="AW1162" s="134">
        <f ca="1">LN(AV1162/AV1161)</f>
        <v>0.14966092485138718</v>
      </c>
      <c r="AX1162" s="135">
        <f>+AJ1162/$AL$12</f>
        <v>9.3652463566023495E-4</v>
      </c>
      <c r="AY1162" s="135">
        <f t="shared" ref="AY1162:AY1176" ca="1" si="2117">+AX1162*AW1162</f>
        <v>1.4016114311901919E-4</v>
      </c>
      <c r="AZ1162" s="93"/>
      <c r="BA1162" s="93"/>
      <c r="BB1162" s="234">
        <f>IFERROR(INDEX('Total Customers'!$E$7:$AA$91,MATCH($C1162,'Total Customers'!$C$7:$C$91,0),MATCH($G1162,'Total Customers'!$E$5:$AA$5,0)),"NA")</f>
        <v>15358</v>
      </c>
      <c r="BC1162" s="269">
        <f t="shared" si="2095"/>
        <v>6.4670179987531889E-3</v>
      </c>
      <c r="BD1162" s="92"/>
      <c r="BE1162" s="299" t="str">
        <f t="shared" si="2089"/>
        <v>ST. LAWRENCE GAS COMPANY, INC.</v>
      </c>
      <c r="BF1162" s="300">
        <f t="shared" si="2090"/>
        <v>4063183</v>
      </c>
      <c r="BG1162" s="231" t="str">
        <f t="shared" si="2091"/>
        <v>NY</v>
      </c>
      <c r="BH1162" s="231"/>
      <c r="BI1162" s="231" t="str">
        <f t="shared" si="2092"/>
        <v>2007 Y</v>
      </c>
      <c r="BJ1162" s="129"/>
      <c r="BK1162" s="129"/>
      <c r="BL1162" s="129">
        <f>INDEX('Dist. Plant Gas Additions'!$E$7:$AD$91,MATCH($C1162,'Dist. Plant Gas Additions'!$C$7:$C$91,0),MATCH(Calculation!$G1162,'Dist. Plant Gas Additions'!$E$5:$AD$5,0))</f>
        <v>1106</v>
      </c>
      <c r="BM1162" s="129">
        <f>INDEX('Gen. Plant Additions'!$E$7:$AD$91,MATCH($C1162,'Gen. Plant Additions'!$C$7:$C$91,0),MATCH(Calculation!$G1162,'Gen. Plant Additions'!$E$5:$AD$5,0))</f>
        <v>402</v>
      </c>
      <c r="BN1162" s="301">
        <f t="shared" si="2079"/>
        <v>0.84216974069284689</v>
      </c>
      <c r="BO1162" s="231">
        <f t="shared" si="2073"/>
        <v>338.55223575852443</v>
      </c>
      <c r="BP1162" s="231">
        <f t="shared" si="2074"/>
        <v>-63.447764241475568</v>
      </c>
      <c r="BQ1162" s="129">
        <f>INDEX('Dist Plant Depreciation'!$D$7:$AC$94,MATCH($C1162,'Dist Plant Depreciation'!$C$7:$C$94,0),MATCH(Calculation!$G1162,'Dist Plant Depreciation'!$D$5:$AC$5,0))</f>
        <v>18649</v>
      </c>
      <c r="BR1162" s="129">
        <f>INDEX('Gen. Plant Depreciation'!$D$7:$AC$94,MATCH($C1162,'Gen. Plant Depreciation'!$C$7:$C$94,0),MATCH(Calculation!$G1162,'Gen. Plant Depreciation'!$D$5:$AC$5,0))</f>
        <v>2220</v>
      </c>
      <c r="BS1162" s="129"/>
      <c r="BT1162" s="129"/>
      <c r="BU1162" s="129"/>
      <c r="BV1162" s="129"/>
      <c r="BW1162" s="129"/>
      <c r="BX1162" s="137"/>
      <c r="BY1162" s="129">
        <f>INDEX('Gross Dx Plant'!$D$7:$AC$91,MATCH($C1162,'Gross Dx Plant'!$C$7:$C$91,0),MATCH(Calculation!$G1162,'Gross Dx Plant'!$D$5:$AC$5,0))</f>
        <v>37122</v>
      </c>
      <c r="BZ1162" s="129">
        <f>INDEX('Gross Gen Plant'!$D$7:$AC$91,MATCH($C1162,'Gross Gen Plant'!$C$7:$C$91,0),MATCH(Calculation!$G1162,'Gross Gen Plant'!$D$5:$AC$5,0))</f>
        <v>6957</v>
      </c>
      <c r="CA1162" s="129">
        <f t="shared" si="2048"/>
        <v>23210</v>
      </c>
      <c r="CB1162" s="129"/>
      <c r="CC1162" s="133">
        <v>2007</v>
      </c>
      <c r="CD1162" s="129"/>
      <c r="CE1162" s="129"/>
      <c r="CF1162" s="129"/>
      <c r="CG1162" s="137"/>
      <c r="CH1162" s="129">
        <f t="shared" si="2080"/>
        <v>1508</v>
      </c>
      <c r="CI1162" s="46">
        <f t="shared" si="2093"/>
        <v>1444.5522357585244</v>
      </c>
      <c r="CJ1162" s="231">
        <f t="shared" si="2081"/>
        <v>2.9005773252834746</v>
      </c>
      <c r="CK1162" s="443">
        <v>0.90322580645161288</v>
      </c>
      <c r="CL1162" s="231">
        <f>+CL1153*CK1162+CJ1154*CK1161+CJ1155*CK1160+CJ1156*CK1159+CJ1157*CK1158+CJ1158*CK1157+CJ1159*CK1156+CJ1160*CK1155+CJ1161*CK1154+CJ1162</f>
        <v>134.35059706795909</v>
      </c>
      <c r="CM1162" s="134">
        <f t="shared" si="2082"/>
        <v>9.215943530670569E-3</v>
      </c>
      <c r="CN1162" s="135">
        <f t="shared" si="2083"/>
        <v>1.2530959683744633E-2</v>
      </c>
      <c r="CO1162" s="135">
        <f t="shared" si="2097"/>
        <v>1.2177693252101203E-2</v>
      </c>
      <c r="CP1162" s="134">
        <f>VLOOKUP($H1162,RoR!$E:$F,2,FALSE)</f>
        <v>5.5558333333333321E-2</v>
      </c>
      <c r="CQ1162" s="135">
        <v>2.691120634145272E-2</v>
      </c>
      <c r="CR1162" s="135">
        <f t="shared" si="2094"/>
        <v>2.86471269918806E-2</v>
      </c>
      <c r="CS1162" s="135">
        <f t="shared" si="2098"/>
        <v>1.8724248356432424E-2</v>
      </c>
      <c r="CT1162" s="135">
        <f t="shared" si="2099"/>
        <v>6.4575155250632399E-2</v>
      </c>
      <c r="CU1162" s="139">
        <f t="shared" si="2084"/>
        <v>0.85329623209999994</v>
      </c>
      <c r="CV1162" s="335">
        <f t="shared" si="2085"/>
        <v>0.92303077153834634</v>
      </c>
      <c r="CW1162" s="335">
        <f t="shared" si="2086"/>
        <v>0.52502249887505614</v>
      </c>
      <c r="CX1162" s="335">
        <f t="shared" si="2087"/>
        <v>0.88499666072084604</v>
      </c>
      <c r="CY1162" s="335">
        <f t="shared" si="2088"/>
        <v>0.42887993290280618</v>
      </c>
      <c r="CZ1162" s="336">
        <f>INDEX('State Tax Lookup'!$D$7:$Z$91,MATCH(Calculation!$C1162,'State Tax Lookup'!$B$7:$B$91,0),MATCH($H1162,'State Tax Lookup'!$D$6:$Z$6,0))</f>
        <v>0.39649667</v>
      </c>
      <c r="DA1162" s="302">
        <v>0.37</v>
      </c>
      <c r="DB1162" s="57">
        <f t="shared" si="2096"/>
        <v>13.093491016322593</v>
      </c>
      <c r="DC1162" s="56">
        <f t="shared" si="2100"/>
        <v>6.0356262958873641E-2</v>
      </c>
      <c r="DD1162" s="303">
        <f>VLOOKUP($H1162,RoR!$E:$F,2,FALSE)</f>
        <v>5.5558333333333321E-2</v>
      </c>
      <c r="DE1162" s="304">
        <f>HLOOKUP($H1162,'GDP-PI'!$D$8:$CQ$11,3,FALSE)</f>
        <v>2.691120634145272E-2</v>
      </c>
      <c r="DF1162" s="303">
        <f>VLOOKUP(H1162,'HW Dx Data'!$E:$F,2,FALSE)</f>
        <v>498.0223154772637</v>
      </c>
      <c r="DG1162" s="364">
        <f ca="1">VLOOKUP(CC1162,'ECI - Input Price'!M$13:N$33,2,FALSE)</f>
        <v>104.52499999999999</v>
      </c>
      <c r="DH1162" s="364"/>
      <c r="DI1162" s="364"/>
      <c r="DJ1162" s="56">
        <f t="shared" ca="1" si="2108"/>
        <v>-4.5584612745252218E-2</v>
      </c>
      <c r="DK1162" s="53">
        <f>HLOOKUP(H1162,'GDP-PI'!$8:$9,2,FALSE)</f>
        <v>92.498000000000005</v>
      </c>
      <c r="DL1162" s="355">
        <f t="shared" si="2101"/>
        <v>2.6555467950038037E-2</v>
      </c>
    </row>
    <row r="1163" spans="1:116" s="126" customFormat="1" ht="21" customHeight="1" x14ac:dyDescent="0.4">
      <c r="A1163" s="233" t="s">
        <v>251</v>
      </c>
      <c r="B1163" s="126" t="s">
        <v>251</v>
      </c>
      <c r="C1163" s="126">
        <v>4063183</v>
      </c>
      <c r="D1163" s="127" t="s">
        <v>194</v>
      </c>
      <c r="E1163" s="127" t="s">
        <v>15</v>
      </c>
      <c r="F1163" s="144"/>
      <c r="G1163" s="126" t="s">
        <v>164</v>
      </c>
      <c r="H1163" s="128">
        <v>2008</v>
      </c>
      <c r="I1163" s="129"/>
      <c r="J1163" s="125">
        <f>IFERROR(INDEX('Labor Expenditures'!$E$7:$W$91,MATCH($C1163,'Labor Expenditures'!$C$7:$C$91,0),MATCH($G1163,'Labor Expenditures'!$E$5:$W$5,0)),"NA")</f>
        <v>2364.537472897724</v>
      </c>
      <c r="K1163" s="125">
        <f t="shared" ca="1" si="2102"/>
        <v>21.914156375326449</v>
      </c>
      <c r="L1163" s="47"/>
      <c r="M1163" s="131">
        <f t="shared" ca="1" si="2109"/>
        <v>3.1140605303014893E-2</v>
      </c>
      <c r="N1163" s="131"/>
      <c r="O1163" s="131"/>
      <c r="P1163" s="59">
        <f t="shared" ca="1" si="2111"/>
        <v>2.9885845418697707E-5</v>
      </c>
      <c r="Q1163" s="61"/>
      <c r="R1163" s="387"/>
      <c r="S1163" s="49">
        <f t="shared" ca="1" si="2116"/>
        <v>113.87616391055546</v>
      </c>
      <c r="T1163" s="61">
        <f ca="1">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</f>
        <v>-5.1857353107765208E-2</v>
      </c>
      <c r="U1163" s="61"/>
      <c r="V1163" s="125">
        <f>IFERROR(INDEX('Non-Labor Expenditures'!$E$7:$AA$91,MATCH($C1163,'Non-Labor Expenditures'!$C$7:$C$91,0),MATCH($G1163,'Non-Labor Expenditures'!$E$5:$AA$5,0)),"NA")</f>
        <v>3424.2918954369761</v>
      </c>
      <c r="W1163" s="125">
        <f t="shared" si="2103"/>
        <v>36.326613505017569</v>
      </c>
      <c r="X1163" s="131">
        <f t="shared" si="2112"/>
        <v>4.4006866576442989E-2</v>
      </c>
      <c r="Y1163" s="131">
        <f t="shared" si="2113"/>
        <v>4.2233681685612574E-5</v>
      </c>
      <c r="Z1163" s="131"/>
      <c r="AA1163" s="131"/>
      <c r="AB1163" s="131"/>
      <c r="AC1163" s="125">
        <f t="shared" si="2078"/>
        <v>1974.904761282743</v>
      </c>
      <c r="AD1163" s="129"/>
      <c r="AE1163" s="133">
        <v>142.7703388342955</v>
      </c>
      <c r="AF1163" s="134">
        <v>6.5119791726596906E-3</v>
      </c>
      <c r="AG1163" s="59">
        <f t="shared" si="2104"/>
        <v>6.2495895962897245E-6</v>
      </c>
      <c r="AH1163" s="134"/>
      <c r="AI1163" s="134"/>
      <c r="AJ1163" s="129">
        <f t="shared" si="2031"/>
        <v>7763.7341296174436</v>
      </c>
      <c r="AK1163" s="134">
        <f t="shared" si="2114"/>
        <v>7.8330677405124921E-2</v>
      </c>
      <c r="AL1163" s="129"/>
      <c r="AM1163" s="129"/>
      <c r="AN1163" s="129"/>
      <c r="AO1163" s="129"/>
      <c r="AP1163" s="133">
        <f t="shared" si="2115"/>
        <v>507.00281653610938</v>
      </c>
      <c r="AQ1163" s="134">
        <f>+BB1163/Outputs!$B$16</f>
        <v>4.3586563019472601E-4</v>
      </c>
      <c r="AR1163" s="93">
        <f t="shared" si="2105"/>
        <v>0.30456188136033402</v>
      </c>
      <c r="AS1163" s="93">
        <f t="shared" si="2106"/>
        <v>0.44106248852260832</v>
      </c>
      <c r="AT1163" s="93">
        <f t="shared" si="2107"/>
        <v>0.25437563011705761</v>
      </c>
      <c r="AU1163" s="93">
        <f t="shared" ca="1" si="2110"/>
        <v>3.0737177577730694E-2</v>
      </c>
      <c r="AV1163" s="132">
        <f t="shared" ref="AV1163:AV1176" ca="1" si="2118">+AV1162*EXP(AU1163)</f>
        <v>112.21818492667941</v>
      </c>
      <c r="AW1163" s="134">
        <f t="shared" ref="AW1163:AW1176" ca="1" si="2119">LN(AV1163/AV1162)</f>
        <v>3.0737177577730698E-2</v>
      </c>
      <c r="AX1163" s="135">
        <f>+AJ1163/$AL$13</f>
        <v>9.597066315151008E-4</v>
      </c>
      <c r="AY1163" s="135">
        <f t="shared" ca="1" si="2117"/>
        <v>2.9498673155405411E-5</v>
      </c>
      <c r="AZ1163" s="93"/>
      <c r="BA1163" s="93"/>
      <c r="BB1163" s="234">
        <f>IFERROR(INDEX('Total Customers'!$E$7:$AA$91,MATCH($C1163,'Total Customers'!$C$7:$C$91,0),MATCH($G1163,'Total Customers'!$E$5:$AA$5,0)),"NA")</f>
        <v>15313</v>
      </c>
      <c r="BC1163" s="269">
        <f t="shared" si="2095"/>
        <v>-2.9343700752811159E-3</v>
      </c>
      <c r="BD1163" s="92"/>
      <c r="BE1163" s="299" t="str">
        <f t="shared" si="2089"/>
        <v>ST. LAWRENCE GAS COMPANY, INC.</v>
      </c>
      <c r="BF1163" s="300">
        <f t="shared" si="2090"/>
        <v>4063183</v>
      </c>
      <c r="BG1163" s="231" t="str">
        <f t="shared" si="2091"/>
        <v>NY</v>
      </c>
      <c r="BH1163" s="231"/>
      <c r="BI1163" s="231" t="str">
        <f t="shared" si="2092"/>
        <v>2008 Y</v>
      </c>
      <c r="BJ1163" s="129"/>
      <c r="BK1163" s="129"/>
      <c r="BL1163" s="129">
        <f>INDEX('Dist. Plant Gas Additions'!$E$7:$AD$91,MATCH($C1163,'Dist. Plant Gas Additions'!$C$7:$C$91,0),MATCH(Calculation!$G1163,'Dist. Plant Gas Additions'!$E$5:$AD$5,0))</f>
        <v>761</v>
      </c>
      <c r="BM1163" s="129">
        <f>INDEX('Gen. Plant Additions'!$E$7:$AD$91,MATCH($C1163,'Gen. Plant Additions'!$C$7:$C$91,0),MATCH(Calculation!$G1163,'Gen. Plant Additions'!$E$5:$AD$5,0))</f>
        <v>316</v>
      </c>
      <c r="BN1163" s="301">
        <f t="shared" si="2079"/>
        <v>0.84534998209810241</v>
      </c>
      <c r="BO1163" s="231">
        <f t="shared" si="2073"/>
        <v>267.13059434300038</v>
      </c>
      <c r="BP1163" s="231">
        <f t="shared" si="2074"/>
        <v>-48.869405656999618</v>
      </c>
      <c r="BQ1163" s="129">
        <f>INDEX('Dist Plant Depreciation'!$D$7:$AC$94,MATCH($C1163,'Dist Plant Depreciation'!$C$7:$C$94,0),MATCH(Calculation!$G1163,'Dist Plant Depreciation'!$D$5:$AC$5,0))</f>
        <v>19190</v>
      </c>
      <c r="BR1163" s="129">
        <f>INDEX('Gen. Plant Depreciation'!$D$7:$AC$94,MATCH($C1163,'Gen. Plant Depreciation'!$C$7:$C$94,0),MATCH(Calculation!$G1163,'Gen. Plant Depreciation'!$D$5:$AC$5,0))</f>
        <v>2291</v>
      </c>
      <c r="BS1163" s="129"/>
      <c r="BT1163" s="129"/>
      <c r="BU1163" s="129"/>
      <c r="BV1163" s="129"/>
      <c r="BW1163" s="129"/>
      <c r="BX1163" s="137"/>
      <c r="BY1163" s="129">
        <f>INDEX('Gross Dx Plant'!$D$7:$AC$91,MATCH($C1163,'Gross Dx Plant'!$C$7:$C$91,0),MATCH(Calculation!$G1163,'Gross Dx Plant'!$D$5:$AC$5,0))</f>
        <v>37777</v>
      </c>
      <c r="BZ1163" s="129">
        <f>INDEX('Gross Gen Plant'!$D$7:$AC$91,MATCH($C1163,'Gross Gen Plant'!$C$7:$C$91,0),MATCH(Calculation!$G1163,'Gross Gen Plant'!$D$5:$AC$5,0))</f>
        <v>6911</v>
      </c>
      <c r="CA1163" s="129">
        <f t="shared" si="2048"/>
        <v>23207</v>
      </c>
      <c r="CB1163" s="129"/>
      <c r="CC1163" s="133">
        <v>2008</v>
      </c>
      <c r="CD1163" s="129"/>
      <c r="CE1163" s="129"/>
      <c r="CF1163" s="129"/>
      <c r="CG1163" s="137"/>
      <c r="CH1163" s="129">
        <f t="shared" si="2080"/>
        <v>1077</v>
      </c>
      <c r="CI1163" s="46">
        <f t="shared" si="2093"/>
        <v>1028.1305943430004</v>
      </c>
      <c r="CJ1163" s="231">
        <f t="shared" si="2081"/>
        <v>1.8041138895720874</v>
      </c>
      <c r="CK1163" s="443">
        <v>0.89130434782608692</v>
      </c>
      <c r="CL1163" s="231">
        <f>+CL1153*CK1163+CJ1154*CK1162+CJ1155*CK1161+CJ1156*CK1160+CJ1157*CK1159+CJ1158*CK1158+CJ1159*CK1157+CJ1160*CK1156+CJ1161*CK1155+CJ1162*CK1154+CJ1163</f>
        <v>134.42181744933222</v>
      </c>
      <c r="CM1163" s="134">
        <f t="shared" si="2082"/>
        <v>5.2996795201609812E-4</v>
      </c>
      <c r="CN1163" s="135">
        <f t="shared" si="2083"/>
        <v>1.2898294060594262E-2</v>
      </c>
      <c r="CO1163" s="135">
        <f t="shared" si="2097"/>
        <v>1.2537566103769687E-2</v>
      </c>
      <c r="CP1163" s="134">
        <f>VLOOKUP($H1163,RoR!$E:$F,2,FALSE)</f>
        <v>5.6316666666666668E-2</v>
      </c>
      <c r="CQ1163" s="135">
        <v>1.9092304698479889E-2</v>
      </c>
      <c r="CR1163" s="135">
        <f t="shared" si="2094"/>
        <v>3.7224361968186778E-2</v>
      </c>
      <c r="CS1163" s="135">
        <f t="shared" si="2098"/>
        <v>1.8364375504763938E-2</v>
      </c>
      <c r="CT1163" s="135">
        <f t="shared" si="2099"/>
        <v>6.9030581091053131E-2</v>
      </c>
      <c r="CU1163" s="139">
        <f t="shared" si="2084"/>
        <v>0.85329623209999994</v>
      </c>
      <c r="CV1163" s="335">
        <f t="shared" si="2085"/>
        <v>0.91060168006009956</v>
      </c>
      <c r="CW1163" s="335">
        <f t="shared" si="2086"/>
        <v>0.53108168097070152</v>
      </c>
      <c r="CX1163" s="335">
        <f t="shared" si="2087"/>
        <v>0.88825329850328805</v>
      </c>
      <c r="CY1163" s="335">
        <f t="shared" si="2088"/>
        <v>0.4295627335323573</v>
      </c>
      <c r="CZ1163" s="336">
        <f>INDEX('State Tax Lookup'!$D$7:$Z$91,MATCH(Calculation!$C1163,'State Tax Lookup'!$B$7:$B$91,0),MATCH($H1163,'State Tax Lookup'!$D$6:$Z$6,0))</f>
        <v>0.39649667</v>
      </c>
      <c r="DA1163" s="302">
        <v>0.37</v>
      </c>
      <c r="DB1163" s="57">
        <f t="shared" si="2096"/>
        <v>14.699635166368255</v>
      </c>
      <c r="DC1163" s="56">
        <f t="shared" si="2100"/>
        <v>0.11570743711849882</v>
      </c>
      <c r="DD1163" s="303">
        <f>VLOOKUP($H1163,RoR!$E:$F,2,FALSE)</f>
        <v>5.6316666666666668E-2</v>
      </c>
      <c r="DE1163" s="304">
        <f>HLOOKUP($H1163,'GDP-PI'!$D$8:$CQ$11,3,FALSE)</f>
        <v>1.9092304698479889E-2</v>
      </c>
      <c r="DF1163" s="303">
        <f>VLOOKUP(H1163,'HW Dx Data'!$E:$F,2,FALSE)</f>
        <v>569.88120333515076</v>
      </c>
      <c r="DG1163" s="364">
        <f ca="1">VLOOKUP(CC1163,'ECI - Input Price'!M$13:N$33,2,FALSE)</f>
        <v>107.9</v>
      </c>
      <c r="DH1163" s="364"/>
      <c r="DI1163" s="364"/>
      <c r="DJ1163" s="56">
        <f t="shared" ca="1" si="2108"/>
        <v>3.1778595021460486E-2</v>
      </c>
      <c r="DK1163" s="53">
        <f>HLOOKUP(H1163,'GDP-PI'!$8:$9,2,FALSE)</f>
        <v>94.263999999999996</v>
      </c>
      <c r="DL1163" s="355">
        <f t="shared" si="2101"/>
        <v>1.8912333748032254E-2</v>
      </c>
    </row>
    <row r="1164" spans="1:116" s="126" customFormat="1" ht="21" customHeight="1" x14ac:dyDescent="0.4">
      <c r="A1164" s="233" t="s">
        <v>251</v>
      </c>
      <c r="B1164" s="126" t="s">
        <v>251</v>
      </c>
      <c r="C1164" s="126">
        <v>4063183</v>
      </c>
      <c r="D1164" s="127" t="s">
        <v>194</v>
      </c>
      <c r="E1164" s="127" t="s">
        <v>15</v>
      </c>
      <c r="F1164" s="144"/>
      <c r="G1164" s="126" t="s">
        <v>165</v>
      </c>
      <c r="H1164" s="128">
        <v>2009</v>
      </c>
      <c r="I1164" s="129"/>
      <c r="J1164" s="125">
        <f>IFERROR(INDEX('Labor Expenditures'!$E$7:$W$91,MATCH($C1164,'Labor Expenditures'!$C$7:$C$91,0),MATCH($G1164,'Labor Expenditures'!$E$5:$W$5,0)),"NA")</f>
        <v>2844.0477732678492</v>
      </c>
      <c r="K1164" s="125">
        <f t="shared" ca="1" si="2102"/>
        <v>25.639375914066704</v>
      </c>
      <c r="L1164" s="47"/>
      <c r="M1164" s="131">
        <f t="shared" ca="1" si="2109"/>
        <v>0.15699645360936021</v>
      </c>
      <c r="N1164" s="131"/>
      <c r="O1164" s="131"/>
      <c r="P1164" s="59">
        <f t="shared" ca="1" si="2111"/>
        <v>1.640066468486746E-4</v>
      </c>
      <c r="Q1164" s="61"/>
      <c r="R1164" s="387"/>
      <c r="S1164" s="49">
        <f t="shared" ca="1" si="2116"/>
        <v>116.54028207220031</v>
      </c>
      <c r="T1164" s="61">
        <f ca="1">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</f>
        <v>2.3125405624783275E-2</v>
      </c>
      <c r="U1164" s="61"/>
      <c r="V1164" s="125">
        <f>IFERROR(INDEX('Non-Labor Expenditures'!$E$7:$AA$91,MATCH($C1164,'Non-Labor Expenditures'!$C$7:$C$91,0),MATCH($G1164,'Non-Labor Expenditures'!$E$5:$AA$5,0)),"NA")</f>
        <v>4118.7123705431422</v>
      </c>
      <c r="W1164" s="125">
        <f t="shared" si="2103"/>
        <v>43.355323430174451</v>
      </c>
      <c r="X1164" s="131">
        <f t="shared" si="2112"/>
        <v>0.17687886979193485</v>
      </c>
      <c r="Y1164" s="131">
        <f t="shared" si="2113"/>
        <v>1.847768511073489E-4</v>
      </c>
      <c r="Z1164" s="131"/>
      <c r="AA1164" s="131"/>
      <c r="AB1164" s="131"/>
      <c r="AC1164" s="125">
        <f t="shared" si="2078"/>
        <v>1871.6773417755028</v>
      </c>
      <c r="AD1164" s="129"/>
      <c r="AE1164" s="133">
        <v>145.07319542028802</v>
      </c>
      <c r="AF1164" s="134">
        <v>1.6001093969833249E-2</v>
      </c>
      <c r="AG1164" s="59">
        <f t="shared" si="2104"/>
        <v>1.671557355322603E-5</v>
      </c>
      <c r="AH1164" s="134"/>
      <c r="AI1164" s="134"/>
      <c r="AJ1164" s="129">
        <f t="shared" si="2031"/>
        <v>8834.4374855864935</v>
      </c>
      <c r="AK1164" s="134">
        <f t="shared" si="2114"/>
        <v>0.12919401415597176</v>
      </c>
      <c r="AL1164" s="129"/>
      <c r="AM1164" s="129"/>
      <c r="AN1164" s="129"/>
      <c r="AO1164" s="129"/>
      <c r="AP1164" s="133">
        <f t="shared" si="2115"/>
        <v>571.54929712017167</v>
      </c>
      <c r="AQ1164" s="134">
        <f>+BB1164/Outputs!$B$17</f>
        <v>4.3940355735798414E-4</v>
      </c>
      <c r="AR1164" s="93">
        <f t="shared" si="2105"/>
        <v>0.32192743204170637</v>
      </c>
      <c r="AS1164" s="93">
        <f t="shared" si="2106"/>
        <v>0.46621104934670465</v>
      </c>
      <c r="AT1164" s="93">
        <f t="shared" si="2107"/>
        <v>0.21186151861158903</v>
      </c>
      <c r="AU1164" s="93">
        <f t="shared" ca="1" si="2110"/>
        <v>0.13314721141388591</v>
      </c>
      <c r="AV1164" s="132">
        <f t="shared" ca="1" si="2118"/>
        <v>128.20009267304144</v>
      </c>
      <c r="AW1164" s="134">
        <f t="shared" ca="1" si="2119"/>
        <v>0.13314721141388583</v>
      </c>
      <c r="AX1164" s="135">
        <f>+AJ1164/$AL$14</f>
        <v>1.04465192097114E-3</v>
      </c>
      <c r="AY1164" s="135">
        <f t="shared" ca="1" si="2117"/>
        <v>1.3909249017546633E-4</v>
      </c>
      <c r="AZ1164" s="93"/>
      <c r="BA1164" s="93"/>
      <c r="BB1164" s="234">
        <f>IFERROR(INDEX('Total Customers'!$E$7:$AA$91,MATCH($C1164,'Total Customers'!$C$7:$C$91,0),MATCH($G1164,'Total Customers'!$E$5:$AA$5,0)),"NA")</f>
        <v>15457</v>
      </c>
      <c r="BC1164" s="269">
        <f t="shared" si="2095"/>
        <v>9.3598343371109668E-3</v>
      </c>
      <c r="BD1164" s="92"/>
      <c r="BE1164" s="299" t="str">
        <f t="shared" si="2089"/>
        <v>ST. LAWRENCE GAS COMPANY, INC.</v>
      </c>
      <c r="BF1164" s="300">
        <f t="shared" si="2090"/>
        <v>4063183</v>
      </c>
      <c r="BG1164" s="231" t="str">
        <f t="shared" si="2091"/>
        <v>NY</v>
      </c>
      <c r="BH1164" s="231"/>
      <c r="BI1164" s="231" t="str">
        <f t="shared" si="2092"/>
        <v>2009 Y</v>
      </c>
      <c r="BJ1164" s="129"/>
      <c r="BK1164" s="129"/>
      <c r="BL1164" s="129">
        <f>INDEX('Dist. Plant Gas Additions'!$E$7:$AD$91,MATCH($C1164,'Dist. Plant Gas Additions'!$C$7:$C$91,0),MATCH(Calculation!$G1164,'Dist. Plant Gas Additions'!$E$5:$AD$5,0))</f>
        <v>1510</v>
      </c>
      <c r="BM1164" s="129">
        <f>INDEX('Gen. Plant Additions'!$E$7:$AD$91,MATCH($C1164,'Gen. Plant Additions'!$C$7:$C$91,0),MATCH(Calculation!$G1164,'Gen. Plant Additions'!$E$5:$AD$5,0))</f>
        <v>313</v>
      </c>
      <c r="BN1164" s="301">
        <f t="shared" si="2079"/>
        <v>0.84485997452119277</v>
      </c>
      <c r="BO1164" s="231">
        <f t="shared" si="2073"/>
        <v>264.44117202513331</v>
      </c>
      <c r="BP1164" s="231">
        <f t="shared" si="2074"/>
        <v>-48.558827974866688</v>
      </c>
      <c r="BQ1164" s="129">
        <f>INDEX('Dist Plant Depreciation'!$D$7:$AC$94,MATCH($C1164,'Dist Plant Depreciation'!$C$7:$C$94,0),MATCH(Calculation!$G1164,'Dist Plant Depreciation'!$D$5:$AC$5,0))</f>
        <v>19678</v>
      </c>
      <c r="BR1164" s="129">
        <f>INDEX('Gen. Plant Depreciation'!$D$7:$AC$94,MATCH($C1164,'Gen. Plant Depreciation'!$C$7:$C$94,0),MATCH(Calculation!$G1164,'Gen. Plant Depreciation'!$D$5:$AC$5,0))</f>
        <v>2640</v>
      </c>
      <c r="BS1164" s="129"/>
      <c r="BT1164" s="129"/>
      <c r="BU1164" s="129"/>
      <c r="BV1164" s="129"/>
      <c r="BW1164" s="129"/>
      <c r="BX1164" s="137"/>
      <c r="BY1164" s="129">
        <f>INDEX('Gross Dx Plant'!$D$7:$AC$91,MATCH($C1164,'Gross Dx Plant'!$C$7:$C$91,0),MATCH(Calculation!$G1164,'Gross Dx Plant'!$D$5:$AC$5,0))</f>
        <v>39128</v>
      </c>
      <c r="BZ1164" s="129">
        <f>INDEX('Gross Gen Plant'!$D$7:$AC$91,MATCH($C1164,'Gross Gen Plant'!$C$7:$C$91,0),MATCH(Calculation!$G1164,'Gross Gen Plant'!$D$5:$AC$5,0))</f>
        <v>7185</v>
      </c>
      <c r="CA1164" s="129">
        <f t="shared" si="2048"/>
        <v>23995</v>
      </c>
      <c r="CB1164" s="129"/>
      <c r="CC1164" s="133">
        <v>2009</v>
      </c>
      <c r="CD1164" s="129"/>
      <c r="CE1164" s="129"/>
      <c r="CF1164" s="129"/>
      <c r="CG1164" s="137"/>
      <c r="CH1164" s="129">
        <f t="shared" si="2080"/>
        <v>1823</v>
      </c>
      <c r="CI1164" s="46">
        <f t="shared" si="2093"/>
        <v>1774.4411720251333</v>
      </c>
      <c r="CJ1164" s="231">
        <f t="shared" si="2081"/>
        <v>3.2207483955829108</v>
      </c>
      <c r="CK1164" s="443">
        <v>0.87912087912087911</v>
      </c>
      <c r="CL1164" s="231">
        <f>+CL1153*CK1164+CJ1154*CK1163+CJ1155*CK1162+CJ1156*CK1161+CJ1157*CK1160+CJ1158*CK1159+CJ1159*CK1158+CJ1160*CK1157+CJ1161*CK1156+CJ1162*CK1155+CJ1163*CK1154+CJ1164</f>
        <v>135.85397477158435</v>
      </c>
      <c r="CM1164" s="134">
        <f t="shared" si="2082"/>
        <v>1.0597846849529019E-2</v>
      </c>
      <c r="CN1164" s="135">
        <f t="shared" si="2083"/>
        <v>1.3305809334150409E-2</v>
      </c>
      <c r="CO1164" s="135">
        <f t="shared" si="2097"/>
        <v>1.2911687692829769E-2</v>
      </c>
      <c r="CP1164" s="134">
        <f>VLOOKUP($H1164,RoR!$E:$F,2,FALSE)</f>
        <v>5.3133333333333324E-2</v>
      </c>
      <c r="CQ1164" s="135">
        <v>7.7972502758210105E-3</v>
      </c>
      <c r="CR1164" s="135">
        <f t="shared" si="2094"/>
        <v>4.5336083057512314E-2</v>
      </c>
      <c r="CS1164" s="135">
        <f t="shared" si="2098"/>
        <v>1.7990253915703858E-2</v>
      </c>
      <c r="CT1164" s="135">
        <f t="shared" si="2099"/>
        <v>6.3720160300892073E-2</v>
      </c>
      <c r="CU1164" s="139">
        <f t="shared" si="2084"/>
        <v>0.85329623209999994</v>
      </c>
      <c r="CV1164" s="335">
        <f t="shared" si="2085"/>
        <v>0.96515780330083989</v>
      </c>
      <c r="CW1164" s="335">
        <f t="shared" si="2086"/>
        <v>0.50448557089084056</v>
      </c>
      <c r="CX1164" s="335">
        <f t="shared" si="2087"/>
        <v>0.87391435735465484</v>
      </c>
      <c r="CY1164" s="335">
        <f t="shared" si="2088"/>
        <v>0.42551605393279146</v>
      </c>
      <c r="CZ1164" s="336">
        <f>INDEX('State Tax Lookup'!$D$7:$Z$91,MATCH(Calculation!$C1164,'State Tax Lookup'!$B$7:$B$91,0),MATCH($H1164,'State Tax Lookup'!$D$6:$Z$6,0))</f>
        <v>0.39649667</v>
      </c>
      <c r="DA1164" s="302">
        <v>0.37</v>
      </c>
      <c r="DB1164" s="57">
        <f t="shared" si="2096"/>
        <v>13.923910398555623</v>
      </c>
      <c r="DC1164" s="56">
        <f t="shared" si="2100"/>
        <v>-5.4215139970035291E-2</v>
      </c>
      <c r="DD1164" s="303">
        <f>VLOOKUP($H1164,RoR!$E:$F,2,FALSE)</f>
        <v>5.3133333333333324E-2</v>
      </c>
      <c r="DE1164" s="304">
        <f>HLOOKUP($H1164,'GDP-PI'!$D$8:$CQ$11,3,FALSE)</f>
        <v>7.7972502758210105E-3</v>
      </c>
      <c r="DF1164" s="303">
        <f>VLOOKUP(H1164,'HW Dx Data'!$E:$F,2,FALSE)</f>
        <v>550.94063679692806</v>
      </c>
      <c r="DG1164" s="364">
        <f ca="1">VLOOKUP(CC1164,'ECI - Input Price'!M$13:N$33,2,FALSE)</f>
        <v>110.925</v>
      </c>
      <c r="DH1164" s="364"/>
      <c r="DI1164" s="364"/>
      <c r="DJ1164" s="56">
        <f t="shared" ca="1" si="2108"/>
        <v>2.7649425000884052E-2</v>
      </c>
      <c r="DK1164" s="53">
        <f>HLOOKUP(H1164,'GDP-PI'!$8:$9,2,FALSE)</f>
        <v>94.998999999999995</v>
      </c>
      <c r="DL1164" s="355">
        <f t="shared" si="2101"/>
        <v>7.7670088183096342E-3</v>
      </c>
    </row>
    <row r="1165" spans="1:116" s="126" customFormat="1" ht="21" customHeight="1" x14ac:dyDescent="0.4">
      <c r="A1165" s="233" t="s">
        <v>251</v>
      </c>
      <c r="B1165" s="126" t="s">
        <v>251</v>
      </c>
      <c r="C1165" s="126">
        <v>4063183</v>
      </c>
      <c r="D1165" s="127" t="s">
        <v>194</v>
      </c>
      <c r="E1165" s="127" t="s">
        <v>15</v>
      </c>
      <c r="F1165" s="144"/>
      <c r="G1165" s="126" t="s">
        <v>166</v>
      </c>
      <c r="H1165" s="128">
        <v>2010</v>
      </c>
      <c r="I1165" s="129"/>
      <c r="J1165" s="125">
        <f>IFERROR(INDEX('Labor Expenditures'!$E$7:$W$91,MATCH($C1165,'Labor Expenditures'!$C$7:$C$91,0),MATCH($G1165,'Labor Expenditures'!$E$5:$W$5,0)),"NA")</f>
        <v>3042.3826098550239</v>
      </c>
      <c r="K1165" s="125">
        <f t="shared" ca="1" si="2102"/>
        <v>26.019949624588616</v>
      </c>
      <c r="L1165" s="47"/>
      <c r="M1165" s="131">
        <f t="shared" ca="1" si="2109"/>
        <v>1.4734245624686709E-2</v>
      </c>
      <c r="N1165" s="131"/>
      <c r="O1165" s="131"/>
      <c r="P1165" s="59">
        <f t="shared" ca="1" si="2111"/>
        <v>1.5825335449525882E-5</v>
      </c>
      <c r="Q1165" s="61"/>
      <c r="R1165" s="387"/>
      <c r="S1165" s="49">
        <f t="shared" ca="1" si="2116"/>
        <v>97.843669042277412</v>
      </c>
      <c r="T1165" s="61">
        <f ca="1">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</f>
        <v>-0.17486599099366654</v>
      </c>
      <c r="U1165" s="61"/>
      <c r="V1165" s="125">
        <f>IFERROR(INDEX('Non-Labor Expenditures'!$E$7:$AA$91,MATCH($C1165,'Non-Labor Expenditures'!$C$7:$C$91,0),MATCH($G1165,'Non-Labor Expenditures'!$E$5:$AA$5,0)),"NA")</f>
        <v>4405.9382577590368</v>
      </c>
      <c r="W1165" s="125">
        <f t="shared" si="2103"/>
        <v>45.843139120779917</v>
      </c>
      <c r="X1165" s="131">
        <f t="shared" si="2112"/>
        <v>5.57960531645127E-2</v>
      </c>
      <c r="Y1165" s="131">
        <f t="shared" si="2113"/>
        <v>5.9927822609972846E-5</v>
      </c>
      <c r="Z1165" s="131"/>
      <c r="AA1165" s="131"/>
      <c r="AB1165" s="131"/>
      <c r="AC1165" s="125">
        <f t="shared" si="2078"/>
        <v>1914.7726983739149</v>
      </c>
      <c r="AD1165" s="129"/>
      <c r="AE1165" s="133">
        <v>146.95197125324171</v>
      </c>
      <c r="AF1165" s="134">
        <v>1.2867396167769217E-2</v>
      </c>
      <c r="AG1165" s="59">
        <f t="shared" si="2104"/>
        <v>1.3820243391064103E-5</v>
      </c>
      <c r="AH1165" s="134"/>
      <c r="AI1165" s="134"/>
      <c r="AJ1165" s="129">
        <f t="shared" si="2031"/>
        <v>9363.093565987976</v>
      </c>
      <c r="AK1165" s="134">
        <f t="shared" si="2114"/>
        <v>5.8118310189416517E-2</v>
      </c>
      <c r="AL1165" s="129"/>
      <c r="AM1165" s="129"/>
      <c r="AN1165" s="129"/>
      <c r="AO1165" s="129"/>
      <c r="AP1165" s="133">
        <f t="shared" si="2115"/>
        <v>603.79786973547277</v>
      </c>
      <c r="AQ1165" s="134">
        <f>+BB1165/Outputs!$B$18</f>
        <v>4.3841299640793674E-4</v>
      </c>
      <c r="AR1165" s="93">
        <f t="shared" si="2105"/>
        <v>0.32493348361984437</v>
      </c>
      <c r="AS1165" s="93">
        <f t="shared" si="2106"/>
        <v>0.47056437348483665</v>
      </c>
      <c r="AT1165" s="93">
        <f t="shared" si="2107"/>
        <v>0.20450214289531898</v>
      </c>
      <c r="AU1165" s="93">
        <f t="shared" ca="1" si="2110"/>
        <v>3.3578447547178467E-2</v>
      </c>
      <c r="AV1165" s="132">
        <f t="shared" ca="1" si="2118"/>
        <v>132.57794212232062</v>
      </c>
      <c r="AW1165" s="134">
        <f t="shared" ca="1" si="2119"/>
        <v>3.3578447547178557E-2</v>
      </c>
      <c r="AX1165" s="135">
        <f>+AJ1165/$AL$15</f>
        <v>1.0740512851917638E-3</v>
      </c>
      <c r="AY1165" s="135">
        <f t="shared" ca="1" si="2117"/>
        <v>3.6064974742791357E-5</v>
      </c>
      <c r="AZ1165" s="93"/>
      <c r="BA1165" s="93"/>
      <c r="BB1165" s="234">
        <f>IFERROR(INDEX('Total Customers'!$E$7:$AA$91,MATCH($C1165,'Total Customers'!$C$7:$C$91,0),MATCH($G1165,'Total Customers'!$E$5:$AA$5,0)),"NA")</f>
        <v>15507</v>
      </c>
      <c r="BC1165" s="269">
        <f t="shared" si="2095"/>
        <v>3.2295597118303983E-3</v>
      </c>
      <c r="BD1165" s="92"/>
      <c r="BE1165" s="299" t="str">
        <f t="shared" si="2089"/>
        <v>ST. LAWRENCE GAS COMPANY, INC.</v>
      </c>
      <c r="BF1165" s="300">
        <f t="shared" si="2090"/>
        <v>4063183</v>
      </c>
      <c r="BG1165" s="231" t="str">
        <f t="shared" si="2091"/>
        <v>NY</v>
      </c>
      <c r="BH1165" s="231"/>
      <c r="BI1165" s="231" t="str">
        <f t="shared" si="2092"/>
        <v>2010 Y</v>
      </c>
      <c r="BJ1165" s="129"/>
      <c r="BK1165" s="129"/>
      <c r="BL1165" s="129">
        <f>INDEX('Dist. Plant Gas Additions'!$E$7:$AD$91,MATCH($C1165,'Dist. Plant Gas Additions'!$C$7:$C$91,0),MATCH(Calculation!$G1165,'Dist. Plant Gas Additions'!$E$5:$AD$5,0))</f>
        <v>1074</v>
      </c>
      <c r="BM1165" s="129">
        <f>INDEX('Gen. Plant Additions'!$E$7:$AD$91,MATCH($C1165,'Gen. Plant Additions'!$C$7:$C$91,0),MATCH(Calculation!$G1165,'Gen. Plant Additions'!$E$5:$AD$5,0))</f>
        <v>597</v>
      </c>
      <c r="BN1165" s="301">
        <f t="shared" si="2079"/>
        <v>0.84120963178741326</v>
      </c>
      <c r="BO1165" s="231">
        <f t="shared" si="2073"/>
        <v>502.20215017708574</v>
      </c>
      <c r="BP1165" s="231">
        <f t="shared" si="2074"/>
        <v>-94.797849822914259</v>
      </c>
      <c r="BQ1165" s="129">
        <f>INDEX('Dist Plant Depreciation'!$D$7:$AC$94,MATCH($C1165,'Dist Plant Depreciation'!$C$7:$C$94,0),MATCH(Calculation!$G1165,'Dist Plant Depreciation'!$D$5:$AC$5,0))</f>
        <v>20337</v>
      </c>
      <c r="BR1165" s="129">
        <f>INDEX('Gen. Plant Depreciation'!$D$7:$AC$94,MATCH($C1165,'Gen. Plant Depreciation'!$C$7:$C$94,0),MATCH(Calculation!$G1165,'Gen. Plant Depreciation'!$D$5:$AC$5,0))</f>
        <v>2877</v>
      </c>
      <c r="BS1165" s="129"/>
      <c r="BT1165" s="129"/>
      <c r="BU1165" s="129"/>
      <c r="BV1165" s="129"/>
      <c r="BW1165" s="129"/>
      <c r="BX1165" s="137"/>
      <c r="BY1165" s="129">
        <f>INDEX('Gross Dx Plant'!$D$7:$AC$91,MATCH($C1165,'Gross Dx Plant'!$C$7:$C$91,0),MATCH(Calculation!$G1165,'Gross Dx Plant'!$D$5:$AC$5,0))</f>
        <v>40140</v>
      </c>
      <c r="BZ1165" s="129">
        <f>INDEX('Gross Gen Plant'!$D$7:$AC$91,MATCH($C1165,'Gross Gen Plant'!$C$7:$C$91,0),MATCH(Calculation!$G1165,'Gross Gen Plant'!$D$5:$AC$5,0))</f>
        <v>7577</v>
      </c>
      <c r="CA1165" s="129">
        <f t="shared" si="2048"/>
        <v>24503</v>
      </c>
      <c r="CB1165" s="129"/>
      <c r="CC1165" s="133">
        <v>2010</v>
      </c>
      <c r="CD1165" s="129"/>
      <c r="CE1165" s="129"/>
      <c r="CF1165" s="129"/>
      <c r="CG1165" s="137"/>
      <c r="CH1165" s="129">
        <f t="shared" si="2080"/>
        <v>1671</v>
      </c>
      <c r="CI1165" s="46">
        <f t="shared" si="2093"/>
        <v>1576.2021501770857</v>
      </c>
      <c r="CJ1165" s="231">
        <f t="shared" si="2081"/>
        <v>2.7701779081903983</v>
      </c>
      <c r="CK1165" s="443">
        <v>0.8666666666666667</v>
      </c>
      <c r="CL1165" s="231">
        <f>+CL1153*CK1165+CJ1154*CK1164+CJ1155*CK1163+CJ1156*CK1162+CJ1157*CK1161+CJ1158*CK1160+CJ1159*CK1159+CJ1160*CK1158+CJ1161*CK1157+CJ1162*CK1156+CJ1163*CK1155+CJ1164*CK1154+CJ1165</f>
        <v>136.764227425108</v>
      </c>
      <c r="CM1165" s="134">
        <f t="shared" si="2082"/>
        <v>6.6778815856377962E-3</v>
      </c>
      <c r="CN1165" s="135">
        <f t="shared" si="2083"/>
        <v>1.3690620813957737E-2</v>
      </c>
      <c r="CO1165" s="135">
        <f t="shared" si="2097"/>
        <v>1.3298241402900804E-2</v>
      </c>
      <c r="CP1165" s="134">
        <f>VLOOKUP($H1165,RoR!$E:$F,2,FALSE)</f>
        <v>4.9433333333333322E-2</v>
      </c>
      <c r="CQ1165" s="135">
        <v>1.1684333519300205E-2</v>
      </c>
      <c r="CR1165" s="135">
        <f t="shared" si="2094"/>
        <v>3.7748999814033117E-2</v>
      </c>
      <c r="CS1165" s="135">
        <f t="shared" si="2098"/>
        <v>1.7603700205632823E-2</v>
      </c>
      <c r="CT1165" s="135">
        <f t="shared" si="2099"/>
        <v>4.7937530248493419E-2</v>
      </c>
      <c r="CU1165" s="139">
        <f t="shared" si="2084"/>
        <v>0.85329623209999994</v>
      </c>
      <c r="CV1165" s="335">
        <f t="shared" si="2085"/>
        <v>1.037398205301105</v>
      </c>
      <c r="CW1165" s="335">
        <f t="shared" si="2086"/>
        <v>0.46926837491571133</v>
      </c>
      <c r="CX1165" s="335">
        <f t="shared" si="2087"/>
        <v>0.8548537519972772</v>
      </c>
      <c r="CY1165" s="335">
        <f t="shared" si="2088"/>
        <v>0.41615833911547367</v>
      </c>
      <c r="CZ1165" s="336">
        <f>INDEX('State Tax Lookup'!$D$7:$Z$91,MATCH(Calculation!$C1165,'State Tax Lookup'!$B$7:$B$91,0),MATCH($H1165,'State Tax Lookup'!$D$6:$Z$6,0))</f>
        <v>0.39649667</v>
      </c>
      <c r="DA1165" s="302">
        <v>0.37</v>
      </c>
      <c r="DB1165" s="57">
        <f t="shared" si="2096"/>
        <v>14.094344325171816</v>
      </c>
      <c r="DC1165" s="56">
        <f t="shared" si="2100"/>
        <v>1.2166070335104478E-2</v>
      </c>
      <c r="DD1165" s="303">
        <f>VLOOKUP($H1165,RoR!$E:$F,2,FALSE)</f>
        <v>4.9433333333333322E-2</v>
      </c>
      <c r="DE1165" s="304">
        <f>HLOOKUP($H1165,'GDP-PI'!$D$8:$CQ$11,3,FALSE)</f>
        <v>1.1684333519300205E-2</v>
      </c>
      <c r="DF1165" s="303">
        <f>VLOOKUP(H1165,'HW Dx Data'!$E:$F,2,FALSE)</f>
        <v>568.98950262971744</v>
      </c>
      <c r="DG1165" s="364">
        <f ca="1">VLOOKUP(CC1165,'ECI - Input Price'!M$13:N$33,2,FALSE)</f>
        <v>116.925</v>
      </c>
      <c r="DH1165" s="364"/>
      <c r="DI1165" s="364"/>
      <c r="DJ1165" s="56">
        <f t="shared" ca="1" si="2108"/>
        <v>5.2678406346976722E-2</v>
      </c>
      <c r="DK1165" s="53">
        <f>HLOOKUP(H1165,'GDP-PI'!$8:$9,2,FALSE)</f>
        <v>96.108999999999995</v>
      </c>
      <c r="DL1165" s="355">
        <f t="shared" si="2101"/>
        <v>1.1616598807150427E-2</v>
      </c>
    </row>
    <row r="1166" spans="1:116" s="126" customFormat="1" ht="21" customHeight="1" x14ac:dyDescent="0.4">
      <c r="A1166" s="233" t="s">
        <v>251</v>
      </c>
      <c r="B1166" s="126" t="s">
        <v>251</v>
      </c>
      <c r="C1166" s="126">
        <v>4063183</v>
      </c>
      <c r="D1166" s="127" t="s">
        <v>194</v>
      </c>
      <c r="E1166" s="127" t="s">
        <v>15</v>
      </c>
      <c r="F1166" s="144"/>
      <c r="G1166" s="126" t="s">
        <v>167</v>
      </c>
      <c r="H1166" s="128">
        <v>2011</v>
      </c>
      <c r="I1166" s="129"/>
      <c r="J1166" s="125">
        <f>IFERROR(INDEX('Labor Expenditures'!$E$7:$W$91,MATCH($C1166,'Labor Expenditures'!$C$7:$C$91,0),MATCH($G1166,'Labor Expenditures'!$E$5:$W$5,0)),"NA")</f>
        <v>2902.5576366865143</v>
      </c>
      <c r="K1166" s="125">
        <f t="shared" ca="1" si="2102"/>
        <v>24.01288634280467</v>
      </c>
      <c r="L1166" s="47"/>
      <c r="M1166" s="131">
        <f t="shared" ca="1" si="2109"/>
        <v>-8.0272919853618938E-2</v>
      </c>
      <c r="N1166" s="131"/>
      <c r="O1166" s="131"/>
      <c r="P1166" s="59">
        <f t="shared" ca="1" si="2111"/>
        <v>-8.0830308535013927E-5</v>
      </c>
      <c r="Q1166" s="61"/>
      <c r="R1166" s="387"/>
      <c r="S1166" s="49">
        <f t="shared" ca="1" si="2116"/>
        <v>118.17945716085212</v>
      </c>
      <c r="T1166" s="61">
        <f ca="1">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</f>
        <v>0.18883330147408356</v>
      </c>
      <c r="U1166" s="61"/>
      <c r="V1166" s="125">
        <f>IFERROR(INDEX('Non-Labor Expenditures'!$E$7:$AA$91,MATCH($C1166,'Non-Labor Expenditures'!$C$7:$C$91,0),MATCH($G1166,'Non-Labor Expenditures'!$E$5:$AA$5,0)),"NA")</f>
        <v>4203.4455809084347</v>
      </c>
      <c r="W1166" s="125">
        <f t="shared" si="2103"/>
        <v>42.843338031111742</v>
      </c>
      <c r="X1166" s="131">
        <f t="shared" si="2112"/>
        <v>-6.7675388904959471E-2</v>
      </c>
      <c r="Y1166" s="131">
        <f t="shared" si="2113"/>
        <v>-6.8145304486122018E-5</v>
      </c>
      <c r="Z1166" s="131"/>
      <c r="AA1166" s="131"/>
      <c r="AB1166" s="131"/>
      <c r="AC1166" s="125">
        <f t="shared" si="2078"/>
        <v>2029.6762382267564</v>
      </c>
      <c r="AD1166" s="129"/>
      <c r="AE1166" s="133">
        <v>147.9358858992677</v>
      </c>
      <c r="AF1166" s="134">
        <v>6.6731692974060204E-3</v>
      </c>
      <c r="AG1166" s="59">
        <f t="shared" si="2104"/>
        <v>6.7195055841910209E-6</v>
      </c>
      <c r="AH1166" s="134"/>
      <c r="AI1166" s="134"/>
      <c r="AJ1166" s="129">
        <f t="shared" si="2031"/>
        <v>9135.6794558217061</v>
      </c>
      <c r="AK1166" s="134">
        <f t="shared" si="2114"/>
        <v>-2.4588178605864763E-2</v>
      </c>
      <c r="AL1166" s="129"/>
      <c r="AM1166" s="129"/>
      <c r="AN1166" s="129"/>
      <c r="AO1166" s="129"/>
      <c r="AP1166" s="133">
        <f t="shared" si="2115"/>
        <v>589.20860727647243</v>
      </c>
      <c r="AQ1166" s="134">
        <f>+BB1166/Outputs!$B$19</f>
        <v>4.3624138697582137E-4</v>
      </c>
      <c r="AR1166" s="93">
        <f t="shared" si="2105"/>
        <v>0.31771666800731074</v>
      </c>
      <c r="AS1166" s="93">
        <f t="shared" si="2106"/>
        <v>0.46011307656266243</v>
      </c>
      <c r="AT1166" s="93">
        <f t="shared" si="2107"/>
        <v>0.22217025543002678</v>
      </c>
      <c r="AU1166" s="93">
        <f t="shared" ca="1" si="2110"/>
        <v>-5.5862052671983943E-2</v>
      </c>
      <c r="AV1166" s="132">
        <f t="shared" ca="1" si="2118"/>
        <v>125.37492677576088</v>
      </c>
      <c r="AW1166" s="134">
        <f t="shared" ca="1" si="2119"/>
        <v>-5.5862052671983922E-2</v>
      </c>
      <c r="AX1166" s="135">
        <f>+AJ1166/$AL$16</f>
        <v>1.0069436701992578E-3</v>
      </c>
      <c r="AY1166" s="135">
        <f t="shared" ca="1" si="2117"/>
        <v>-5.6249940342391745E-5</v>
      </c>
      <c r="AZ1166" s="93"/>
      <c r="BA1166" s="93"/>
      <c r="BB1166" s="234">
        <f>IFERROR(INDEX('Total Customers'!$E$7:$AA$91,MATCH($C1166,'Total Customers'!$C$7:$C$91,0),MATCH($G1166,'Total Customers'!$E$5:$AA$5,0)),"NA")</f>
        <v>15505</v>
      </c>
      <c r="BC1166" s="269">
        <f t="shared" si="2095"/>
        <v>-1.2898232959966712E-4</v>
      </c>
      <c r="BD1166" s="92"/>
      <c r="BE1166" s="299" t="str">
        <f t="shared" si="2089"/>
        <v>ST. LAWRENCE GAS COMPANY, INC.</v>
      </c>
      <c r="BF1166" s="300">
        <f t="shared" si="2090"/>
        <v>4063183</v>
      </c>
      <c r="BG1166" s="231" t="str">
        <f t="shared" si="2091"/>
        <v>NY</v>
      </c>
      <c r="BH1166" s="231"/>
      <c r="BI1166" s="231" t="str">
        <f t="shared" si="2092"/>
        <v>2011 Y</v>
      </c>
      <c r="BJ1166" s="129"/>
      <c r="BK1166" s="129"/>
      <c r="BL1166" s="129">
        <f>INDEX('Dist. Plant Gas Additions'!$E$7:$AD$91,MATCH($C1166,'Dist. Plant Gas Additions'!$C$7:$C$91,0),MATCH(Calculation!$G1166,'Dist. Plant Gas Additions'!$E$5:$AD$5,0))</f>
        <v>667</v>
      </c>
      <c r="BM1166" s="129">
        <f>INDEX('Gen. Plant Additions'!$E$7:$AD$91,MATCH($C1166,'Gen. Plant Additions'!$C$7:$C$91,0),MATCH(Calculation!$G1166,'Gen. Plant Additions'!$E$5:$AD$5,0))</f>
        <v>614</v>
      </c>
      <c r="BN1166" s="301">
        <f t="shared" si="2079"/>
        <v>0.83551037173957687</v>
      </c>
      <c r="BO1166" s="231">
        <f t="shared" si="2073"/>
        <v>513.00336824810017</v>
      </c>
      <c r="BP1166" s="231">
        <f t="shared" si="2074"/>
        <v>-100.99663175189983</v>
      </c>
      <c r="BQ1166" s="129">
        <f>INDEX('Dist Plant Depreciation'!$D$7:$AC$94,MATCH($C1166,'Dist Plant Depreciation'!$C$7:$C$94,0),MATCH(Calculation!$G1166,'Dist Plant Depreciation'!$D$5:$AC$5,0))</f>
        <v>20919</v>
      </c>
      <c r="BR1166" s="129">
        <f>INDEX('Gen. Plant Depreciation'!$D$7:$AC$94,MATCH($C1166,'Gen. Plant Depreciation'!$C$7:$C$94,0),MATCH(Calculation!$G1166,'Gen. Plant Depreciation'!$D$5:$AC$5,0))</f>
        <v>3153</v>
      </c>
      <c r="BS1166" s="129"/>
      <c r="BT1166" s="129"/>
      <c r="BU1166" s="129"/>
      <c r="BV1166" s="129"/>
      <c r="BW1166" s="129"/>
      <c r="BX1166" s="137"/>
      <c r="BY1166" s="129">
        <f>INDEX('Gross Dx Plant'!$D$7:$AC$91,MATCH($C1166,'Gross Dx Plant'!$C$7:$C$91,0),MATCH(Calculation!$G1166,'Gross Dx Plant'!$D$5:$AC$5,0))</f>
        <v>40681</v>
      </c>
      <c r="BZ1166" s="129">
        <f>INDEX('Gross Gen Plant'!$D$7:$AC$91,MATCH($C1166,'Gross Gen Plant'!$C$7:$C$91,0),MATCH(Calculation!$G1166,'Gross Gen Plant'!$D$5:$AC$5,0))</f>
        <v>8009</v>
      </c>
      <c r="CA1166" s="129">
        <f t="shared" si="2048"/>
        <v>24618</v>
      </c>
      <c r="CB1166" s="129"/>
      <c r="CC1166" s="133">
        <v>2011</v>
      </c>
      <c r="CD1166" s="129"/>
      <c r="CE1166" s="129"/>
      <c r="CF1166" s="129"/>
      <c r="CG1166" s="137"/>
      <c r="CH1166" s="129">
        <f t="shared" si="2080"/>
        <v>1281</v>
      </c>
      <c r="CI1166" s="46">
        <f t="shared" si="2093"/>
        <v>1180.0033682481003</v>
      </c>
      <c r="CJ1166" s="231">
        <f t="shared" si="2081"/>
        <v>1.9293361021872566</v>
      </c>
      <c r="CK1166" s="443">
        <v>0.8539325842696629</v>
      </c>
      <c r="CL1166" s="231">
        <f>+CL1153*CK1166+CJ1154*CK1165+CJ1155*CK1164+CJ1156*CK1163+CJ1157*CK1162+CJ1158*CK1161+CJ1159*CK1160+CJ1160*CK1159+CJ1161*CK1158+CJ1162*CK1157+CJ1163*CK1156+CJ1164*CK1155+CJ1165*CK1154+CJ1166</f>
        <v>136.76480731329542</v>
      </c>
      <c r="CM1166" s="134">
        <f t="shared" si="2082"/>
        <v>4.240048504979884E-6</v>
      </c>
      <c r="CN1166" s="135">
        <f t="shared" si="2083"/>
        <v>1.4102782944875152E-2</v>
      </c>
      <c r="CO1166" s="135">
        <f t="shared" si="2097"/>
        <v>1.3699737697661099E-2</v>
      </c>
      <c r="CP1166" s="134">
        <f>VLOOKUP($H1166,RoR!$E:$F,2,FALSE)</f>
        <v>4.6391666666666664E-2</v>
      </c>
      <c r="CQ1166" s="135">
        <v>2.0840920205183799E-2</v>
      </c>
      <c r="CR1166" s="135">
        <f t="shared" si="2094"/>
        <v>2.5550746461482865E-2</v>
      </c>
      <c r="CS1166" s="135">
        <f t="shared" si="2098"/>
        <v>1.7202203910872526E-2</v>
      </c>
      <c r="CT1166" s="135">
        <f t="shared" si="2099"/>
        <v>2.4810540821321614E-2</v>
      </c>
      <c r="CU1166" s="139">
        <f t="shared" si="2084"/>
        <v>0.85329623209999994</v>
      </c>
      <c r="CV1166" s="335">
        <f t="shared" si="2085"/>
        <v>1.1054151524782025</v>
      </c>
      <c r="CW1166" s="335">
        <f t="shared" si="2086"/>
        <v>0.43611011316687626</v>
      </c>
      <c r="CX1166" s="335">
        <f t="shared" si="2087"/>
        <v>0.83698442246886229</v>
      </c>
      <c r="CY1166" s="335">
        <f t="shared" si="2088"/>
        <v>0.40349573304423936</v>
      </c>
      <c r="CZ1166" s="336">
        <f>INDEX('State Tax Lookup'!$D$7:$Z$91,MATCH(Calculation!$C1166,'State Tax Lookup'!$B$7:$B$91,0),MATCH($H1166,'State Tax Lookup'!$D$6:$Z$6,0))</f>
        <v>0.39649667</v>
      </c>
      <c r="DA1166" s="302">
        <v>0.37</v>
      </c>
      <c r="DB1166" s="57">
        <f t="shared" si="2096"/>
        <v>14.840695380948251</v>
      </c>
      <c r="DC1166" s="56">
        <f t="shared" si="2100"/>
        <v>5.1599489968502672E-2</v>
      </c>
      <c r="DD1166" s="303">
        <f>VLOOKUP($H1166,RoR!$E:$F,2,FALSE)</f>
        <v>4.6391666666666664E-2</v>
      </c>
      <c r="DE1166" s="304">
        <f>HLOOKUP($H1166,'GDP-PI'!$D$8:$CQ$11,3,FALSE)</f>
        <v>2.0840920205183799E-2</v>
      </c>
      <c r="DF1166" s="303">
        <f>VLOOKUP(H1166,'HW Dx Data'!$E:$F,2,FALSE)</f>
        <v>611.61109612283201</v>
      </c>
      <c r="DG1166" s="364">
        <f ca="1">VLOOKUP(CC1166,'ECI - Input Price'!M$13:N$33,2,FALSE)</f>
        <v>120.875</v>
      </c>
      <c r="DH1166" s="364"/>
      <c r="DI1166" s="364"/>
      <c r="DJ1166" s="56">
        <f t="shared" ca="1" si="2108"/>
        <v>3.3224250161508609E-2</v>
      </c>
      <c r="DK1166" s="53">
        <f>HLOOKUP(H1166,'GDP-PI'!$8:$9,2,FALSE)</f>
        <v>98.111999999999995</v>
      </c>
      <c r="DL1166" s="355">
        <f t="shared" si="2101"/>
        <v>2.0626719212849295E-2</v>
      </c>
    </row>
    <row r="1167" spans="1:116" s="126" customFormat="1" ht="21" customHeight="1" x14ac:dyDescent="0.4">
      <c r="A1167" s="233" t="s">
        <v>251</v>
      </c>
      <c r="B1167" s="126" t="s">
        <v>251</v>
      </c>
      <c r="C1167" s="126">
        <v>4063183</v>
      </c>
      <c r="D1167" s="127" t="s">
        <v>194</v>
      </c>
      <c r="E1167" s="127" t="s">
        <v>15</v>
      </c>
      <c r="F1167" s="144"/>
      <c r="G1167" s="126" t="s">
        <v>168</v>
      </c>
      <c r="H1167" s="128">
        <v>2012</v>
      </c>
      <c r="I1167" s="129"/>
      <c r="J1167" s="125">
        <f>IFERROR(INDEX('Labor Expenditures'!$E$7:$W$91,MATCH($C1167,'Labor Expenditures'!$C$7:$C$91,0),MATCH($G1167,'Labor Expenditures'!$E$5:$W$5,0)),"NA")</f>
        <v>2625.7623630045978</v>
      </c>
      <c r="K1167" s="125">
        <f t="shared" ca="1" si="2102"/>
        <v>21.0397625240753</v>
      </c>
      <c r="L1167" s="47"/>
      <c r="M1167" s="131">
        <f t="shared" ca="1" si="2109"/>
        <v>-0.13217651627503346</v>
      </c>
      <c r="N1167" s="131"/>
      <c r="O1167" s="131"/>
      <c r="P1167" s="59">
        <f t="shared" ca="1" si="2111"/>
        <v>-1.2088649434570963E-4</v>
      </c>
      <c r="Q1167" s="61"/>
      <c r="R1167" s="387"/>
      <c r="S1167" s="49">
        <f t="shared" ca="1" si="2116"/>
        <v>117.84376305540522</v>
      </c>
      <c r="T1167" s="61">
        <f ca="1">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</f>
        <v>-2.8445873376355575E-3</v>
      </c>
      <c r="U1167" s="61"/>
      <c r="V1167" s="125">
        <f>IFERROR(INDEX('Non-Labor Expenditures'!$E$7:$AA$91,MATCH($C1167,'Non-Labor Expenditures'!$C$7:$C$91,0),MATCH($G1167,'Non-Labor Expenditures'!$E$5:$AA$5,0)),"NA")</f>
        <v>3802.5943263911226</v>
      </c>
      <c r="W1167" s="125">
        <f t="shared" si="2103"/>
        <v>38.025943263911223</v>
      </c>
      <c r="X1167" s="131">
        <f t="shared" si="2112"/>
        <v>-0.11928151685190712</v>
      </c>
      <c r="Y1167" s="131">
        <f t="shared" si="2113"/>
        <v>-1.0909293737521065E-4</v>
      </c>
      <c r="Z1167" s="131"/>
      <c r="AA1167" s="131"/>
      <c r="AB1167" s="131"/>
      <c r="AC1167" s="125">
        <f t="shared" si="2078"/>
        <v>2158.0851098282506</v>
      </c>
      <c r="AD1167" s="129"/>
      <c r="AE1167" s="133">
        <v>150.12314039715585</v>
      </c>
      <c r="AF1167" s="134">
        <v>1.4676916772562925E-2</v>
      </c>
      <c r="AG1167" s="59">
        <f t="shared" si="2104"/>
        <v>1.3423269627919611E-5</v>
      </c>
      <c r="AH1167" s="134"/>
      <c r="AI1167" s="134"/>
      <c r="AJ1167" s="129">
        <f t="shared" si="2031"/>
        <v>8586.4417992239705</v>
      </c>
      <c r="AK1167" s="134">
        <f t="shared" si="2114"/>
        <v>-6.2003142217698641E-2</v>
      </c>
      <c r="AL1167" s="129"/>
      <c r="AM1167" s="129"/>
      <c r="AN1167" s="129"/>
      <c r="AO1167" s="129"/>
      <c r="AP1167" s="133">
        <f t="shared" si="2115"/>
        <v>551.36722527605286</v>
      </c>
      <c r="AQ1167" s="134">
        <f>+BB1167/Outputs!$B$20</f>
        <v>4.3605482636922908E-4</v>
      </c>
      <c r="AR1167" s="93">
        <f t="shared" si="2105"/>
        <v>0.30580331462118687</v>
      </c>
      <c r="AS1167" s="93">
        <f t="shared" si="2106"/>
        <v>0.44286031575207269</v>
      </c>
      <c r="AT1167" s="93">
        <f t="shared" si="2107"/>
        <v>0.2513363696267405</v>
      </c>
      <c r="AU1167" s="93">
        <f t="shared" ca="1" si="2110"/>
        <v>-9.1586558858351347E-2</v>
      </c>
      <c r="AV1167" s="132">
        <f t="shared" ca="1" si="2118"/>
        <v>114.40240522077312</v>
      </c>
      <c r="AW1167" s="134">
        <f t="shared" ca="1" si="2119"/>
        <v>-9.1586558858351305E-2</v>
      </c>
      <c r="AX1167" s="135">
        <f>+AJ1167/$AL$17</f>
        <v>9.1458375324530788E-4</v>
      </c>
      <c r="AY1167" s="135">
        <f t="shared" ca="1" si="2117"/>
        <v>-8.3763578747493239E-5</v>
      </c>
      <c r="AZ1167" s="93"/>
      <c r="BA1167" s="93"/>
      <c r="BB1167" s="234">
        <f>IFERROR(INDEX('Total Customers'!$E$7:$AA$91,MATCH($C1167,'Total Customers'!$C$7:$C$91,0),MATCH($G1167,'Total Customers'!$E$5:$AA$5,0)),"NA")</f>
        <v>15573</v>
      </c>
      <c r="BC1167" s="269">
        <f t="shared" si="2095"/>
        <v>4.3760929607894964E-3</v>
      </c>
      <c r="BD1167" s="92"/>
      <c r="BE1167" s="299" t="str">
        <f t="shared" si="2089"/>
        <v>ST. LAWRENCE GAS COMPANY, INC.</v>
      </c>
      <c r="BF1167" s="300">
        <f t="shared" si="2090"/>
        <v>4063183</v>
      </c>
      <c r="BG1167" s="231" t="str">
        <f t="shared" si="2091"/>
        <v>NY</v>
      </c>
      <c r="BH1167" s="231"/>
      <c r="BI1167" s="231" t="str">
        <f t="shared" si="2092"/>
        <v>2012 Y</v>
      </c>
      <c r="BJ1167" s="129"/>
      <c r="BK1167" s="129"/>
      <c r="BL1167" s="129">
        <f>INDEX('Dist. Plant Gas Additions'!$E$7:$AD$91,MATCH($C1167,'Dist. Plant Gas Additions'!$C$7:$C$91,0),MATCH(Calculation!$G1167,'Dist. Plant Gas Additions'!$E$5:$AD$5,0))</f>
        <v>1518</v>
      </c>
      <c r="BM1167" s="129">
        <f>INDEX('Gen. Plant Additions'!$E$7:$AD$91,MATCH($C1167,'Gen. Plant Additions'!$C$7:$C$91,0),MATCH(Calculation!$G1167,'Gen. Plant Additions'!$E$5:$AD$5,0))</f>
        <v>722</v>
      </c>
      <c r="BN1167" s="301">
        <f t="shared" si="2079"/>
        <v>0.83068291815649631</v>
      </c>
      <c r="BO1167" s="231">
        <f t="shared" si="2073"/>
        <v>599.75306690899038</v>
      </c>
      <c r="BP1167" s="231">
        <f t="shared" si="2074"/>
        <v>-122.24693309100962</v>
      </c>
      <c r="BQ1167" s="129">
        <f>INDEX('Dist Plant Depreciation'!$D$7:$AC$94,MATCH($C1167,'Dist Plant Depreciation'!$C$7:$C$94,0),MATCH(Calculation!$G1167,'Dist Plant Depreciation'!$D$5:$AC$5,0))</f>
        <v>21139</v>
      </c>
      <c r="BR1167" s="129">
        <f>INDEX('Gen. Plant Depreciation'!$D$7:$AC$94,MATCH($C1167,'Gen. Plant Depreciation'!$C$7:$C$94,0),MATCH(Calculation!$G1167,'Gen. Plant Depreciation'!$D$5:$AC$5,0))</f>
        <v>3492</v>
      </c>
      <c r="BS1167" s="129"/>
      <c r="BT1167" s="129"/>
      <c r="BU1167" s="129"/>
      <c r="BV1167" s="129"/>
      <c r="BW1167" s="129"/>
      <c r="BX1167" s="137"/>
      <c r="BY1167" s="129">
        <f>INDEX('Gross Dx Plant'!$D$7:$AC$91,MATCH($C1167,'Gross Dx Plant'!$C$7:$C$91,0),MATCH(Calculation!$G1167,'Gross Dx Plant'!$D$5:$AC$5,0))</f>
        <v>42050</v>
      </c>
      <c r="BZ1167" s="129">
        <f>INDEX('Gross Gen Plant'!$D$7:$AC$91,MATCH($C1167,'Gross Gen Plant'!$C$7:$C$91,0),MATCH(Calculation!$G1167,'Gross Gen Plant'!$D$5:$AC$5,0))</f>
        <v>8571</v>
      </c>
      <c r="CA1167" s="129">
        <f t="shared" si="2048"/>
        <v>25990</v>
      </c>
      <c r="CB1167" s="129"/>
      <c r="CC1167" s="133">
        <v>2012</v>
      </c>
      <c r="CD1167" s="129"/>
      <c r="CE1167" s="129"/>
      <c r="CF1167" s="129"/>
      <c r="CG1167" s="137"/>
      <c r="CH1167" s="129">
        <f t="shared" si="2080"/>
        <v>2240</v>
      </c>
      <c r="CI1167" s="46">
        <f t="shared" si="2093"/>
        <v>2117.7530669089901</v>
      </c>
      <c r="CJ1167" s="231">
        <f t="shared" si="2081"/>
        <v>3.1659319695244768</v>
      </c>
      <c r="CK1167" s="443">
        <v>0.84090909090909094</v>
      </c>
      <c r="CL1167" s="231">
        <f>+CL1153*CK1167+CJ1154*CK1166+CJ1155*CK1165+CJ1156*CK1164+CJ1157*CK1163+CJ1158*CK1162+CJ1159*CK1161+CJ1160*CK1160+CJ1161*CK1159+CJ1162*CK1158+CJ1163*CK1157+CJ1164*CK1156+CJ1165*CK1155+CJ1166*CK1154+CJ1167</f>
        <v>137.93952970161777</v>
      </c>
      <c r="CM1167" s="134">
        <f t="shared" si="2082"/>
        <v>8.5526829451090542E-3</v>
      </c>
      <c r="CN1167" s="135">
        <f t="shared" si="2083"/>
        <v>1.4559371086165033E-2</v>
      </c>
      <c r="CO1167" s="135">
        <f t="shared" si="2097"/>
        <v>1.4117591614999307E-2</v>
      </c>
      <c r="CP1167" s="134">
        <f>VLOOKUP($H1167,RoR!$E:$F,2,FALSE)</f>
        <v>3.6733333333333333E-2</v>
      </c>
      <c r="CQ1167" s="135">
        <v>1.924331376386168E-2</v>
      </c>
      <c r="CR1167" s="135">
        <f t="shared" si="2094"/>
        <v>1.7490019569471653E-2</v>
      </c>
      <c r="CS1167" s="135">
        <f t="shared" si="2098"/>
        <v>1.6784349993534318E-2</v>
      </c>
      <c r="CT1167" s="135">
        <f t="shared" si="2099"/>
        <v>6.7122682943869583E-2</v>
      </c>
      <c r="CU1167" s="139">
        <f t="shared" si="2084"/>
        <v>0.85329623209999994</v>
      </c>
      <c r="CV1167" s="335">
        <f t="shared" si="2085"/>
        <v>1.3960631020522127</v>
      </c>
      <c r="CW1167" s="335">
        <f t="shared" si="2086"/>
        <v>0.29441923774954631</v>
      </c>
      <c r="CX1167" s="335">
        <f t="shared" si="2087"/>
        <v>0.76377954189366437</v>
      </c>
      <c r="CY1167" s="335">
        <f t="shared" si="2088"/>
        <v>0.31393465103033691</v>
      </c>
      <c r="CZ1167" s="336">
        <f>INDEX('State Tax Lookup'!$D$7:$Z$91,MATCH(Calculation!$C1167,'State Tax Lookup'!$B$7:$B$91,0),MATCH($H1167,'State Tax Lookup'!$D$6:$Z$6,0))</f>
        <v>0.39649667</v>
      </c>
      <c r="DA1167" s="302">
        <v>0.37</v>
      </c>
      <c r="DB1167" s="57">
        <f t="shared" si="2096"/>
        <v>15.779535336781446</v>
      </c>
      <c r="DC1167" s="56">
        <f t="shared" si="2100"/>
        <v>6.1340773449993835E-2</v>
      </c>
      <c r="DD1167" s="303">
        <f>VLOOKUP($H1167,RoR!$E:$F,2,FALSE)</f>
        <v>3.6733333333333333E-2</v>
      </c>
      <c r="DE1167" s="304">
        <f>HLOOKUP($H1167,'GDP-PI'!$D$8:$CQ$11,3,FALSE)</f>
        <v>1.924331376386168E-2</v>
      </c>
      <c r="DF1167" s="303">
        <f>VLOOKUP(H1167,'HW Dx Data'!$E:$F,2,FALSE)</f>
        <v>668.91932211262167</v>
      </c>
      <c r="DG1167" s="364">
        <f ca="1">VLOOKUP(CC1167,'ECI - Input Price'!M$13:N$33,2,FALSE)</f>
        <v>124.80000000000001</v>
      </c>
      <c r="DH1167" s="364"/>
      <c r="DI1167" s="364"/>
      <c r="DJ1167" s="56">
        <f t="shared" ca="1" si="2108"/>
        <v>3.1955502161869064E-2</v>
      </c>
      <c r="DK1167" s="53">
        <f>HLOOKUP(H1167,'GDP-PI'!$8:$9,2,FALSE)</f>
        <v>100</v>
      </c>
      <c r="DL1167" s="355">
        <f t="shared" si="2101"/>
        <v>1.9060502738742411E-2</v>
      </c>
    </row>
    <row r="1168" spans="1:116" s="126" customFormat="1" ht="21" customHeight="1" x14ac:dyDescent="0.4">
      <c r="A1168" s="233" t="s">
        <v>251</v>
      </c>
      <c r="B1168" s="126" t="s">
        <v>251</v>
      </c>
      <c r="C1168" s="126">
        <v>4063183</v>
      </c>
      <c r="D1168" s="127" t="s">
        <v>194</v>
      </c>
      <c r="E1168" s="127" t="s">
        <v>15</v>
      </c>
      <c r="F1168" s="144"/>
      <c r="G1168" s="126" t="s">
        <v>169</v>
      </c>
      <c r="H1168" s="128">
        <v>2013</v>
      </c>
      <c r="I1168" s="129"/>
      <c r="J1168" s="125">
        <f>IFERROR(INDEX('Labor Expenditures'!$E$7:$W$91,MATCH($C1168,'Labor Expenditures'!$C$7:$C$91,0),MATCH($G1168,'Labor Expenditures'!$E$5:$W$5,0)),"NA")</f>
        <v>2641.0400699098532</v>
      </c>
      <c r="K1168" s="125">
        <f t="shared" ca="1" si="2102"/>
        <v>20.828391718531964</v>
      </c>
      <c r="L1168" s="47"/>
      <c r="M1168" s="131">
        <f t="shared" ca="1" si="2109"/>
        <v>-1.0097058499259723E-2</v>
      </c>
      <c r="N1168" s="131"/>
      <c r="O1168" s="131"/>
      <c r="P1168" s="59">
        <f t="shared" ca="1" si="2111"/>
        <v>-8.8932403429029124E-6</v>
      </c>
      <c r="Q1168" s="61"/>
      <c r="R1168" s="387"/>
      <c r="S1168" s="49">
        <f t="shared" ca="1" si="2116"/>
        <v>107.58901930393755</v>
      </c>
      <c r="T1168" s="61">
        <f ca="1">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</f>
        <v>-9.1041113802877757E-2</v>
      </c>
      <c r="U1168" s="61"/>
      <c r="V1168" s="125">
        <f>IFERROR(INDEX('Non-Labor Expenditures'!$E$7:$AA$91,MATCH($C1168,'Non-Labor Expenditures'!$C$7:$C$91,0),MATCH($G1168,'Non-Labor Expenditures'!$E$5:$AA$5,0)),"NA")</f>
        <v>3824.7192994719749</v>
      </c>
      <c r="W1168" s="125">
        <f t="shared" si="2103"/>
        <v>37.580883922769054</v>
      </c>
      <c r="X1168" s="131">
        <f t="shared" si="2112"/>
        <v>-1.1773129447971924E-2</v>
      </c>
      <c r="Y1168" s="131">
        <f t="shared" si="2113"/>
        <v>-1.0369482337514286E-5</v>
      </c>
      <c r="Z1168" s="131"/>
      <c r="AA1168" s="131"/>
      <c r="AB1168" s="131"/>
      <c r="AC1168" s="125">
        <f t="shared" si="2078"/>
        <v>2104.6944929223223</v>
      </c>
      <c r="AD1168" s="129"/>
      <c r="AE1168" s="133">
        <v>170.56509649229227</v>
      </c>
      <c r="AF1168" s="134">
        <v>0.12766112817250477</v>
      </c>
      <c r="AG1168" s="59">
        <f t="shared" si="2104"/>
        <v>1.1244077622878547E-4</v>
      </c>
      <c r="AH1168" s="134"/>
      <c r="AI1168" s="134"/>
      <c r="AJ1168" s="129">
        <f t="shared" si="2031"/>
        <v>8570.4538623041499</v>
      </c>
      <c r="AK1168" s="134">
        <f t="shared" si="2114"/>
        <v>-1.8637336104475591E-3</v>
      </c>
      <c r="AL1168" s="129"/>
      <c r="AM1168" s="129"/>
      <c r="AN1168" s="129"/>
      <c r="AO1168" s="129"/>
      <c r="AP1168" s="133">
        <f t="shared" si="2115"/>
        <v>547.84287025723279</v>
      </c>
      <c r="AQ1168" s="134">
        <f>+BB1168/Outputs!$B$21</f>
        <v>4.3525108679224955E-4</v>
      </c>
      <c r="AR1168" s="93">
        <f t="shared" si="2105"/>
        <v>0.30815638382070637</v>
      </c>
      <c r="AS1168" s="93">
        <f t="shared" si="2106"/>
        <v>0.44626799944568007</v>
      </c>
      <c r="AT1168" s="93">
        <f t="shared" si="2107"/>
        <v>0.24557561673361361</v>
      </c>
      <c r="AU1168" s="93">
        <f t="shared" ca="1" si="2110"/>
        <v>2.3384667519583565E-2</v>
      </c>
      <c r="AV1168" s="132">
        <f t="shared" ca="1" si="2118"/>
        <v>117.10919274567283</v>
      </c>
      <c r="AW1168" s="134">
        <f t="shared" ca="1" si="2119"/>
        <v>2.3384667519583499E-2</v>
      </c>
      <c r="AX1168" s="135">
        <f>+AJ1168/$AL$18</f>
        <v>8.807753608196813E-4</v>
      </c>
      <c r="AY1168" s="135">
        <f t="shared" ca="1" si="2117"/>
        <v>2.0596638972209437E-5</v>
      </c>
      <c r="AZ1168" s="93"/>
      <c r="BA1168" s="93"/>
      <c r="BB1168" s="234">
        <f>IFERROR(INDEX('Total Customers'!$E$7:$AA$91,MATCH($C1168,'Total Customers'!$C$7:$C$91,0),MATCH($G1168,'Total Customers'!$E$5:$AA$5,0)),"NA")</f>
        <v>15644</v>
      </c>
      <c r="BC1168" s="269">
        <f t="shared" si="2095"/>
        <v>4.5488113800660358E-3</v>
      </c>
      <c r="BD1168" s="92"/>
      <c r="BE1168" s="299" t="str">
        <f t="shared" si="2089"/>
        <v>ST. LAWRENCE GAS COMPANY, INC.</v>
      </c>
      <c r="BF1168" s="300">
        <f t="shared" si="2090"/>
        <v>4063183</v>
      </c>
      <c r="BG1168" s="231" t="str">
        <f t="shared" si="2091"/>
        <v>NY</v>
      </c>
      <c r="BH1168" s="231"/>
      <c r="BI1168" s="231" t="str">
        <f t="shared" si="2092"/>
        <v>2013 Y</v>
      </c>
      <c r="BJ1168" s="129"/>
      <c r="BK1168" s="129"/>
      <c r="BL1168" s="129">
        <f>INDEX('Dist. Plant Gas Additions'!$E$7:$AD$91,MATCH($C1168,'Dist. Plant Gas Additions'!$C$7:$C$91,0),MATCH(Calculation!$G1168,'Dist. Plant Gas Additions'!$E$5:$AD$5,0))</f>
        <v>13145</v>
      </c>
      <c r="BM1168" s="129">
        <f>INDEX('Gen. Plant Additions'!$E$7:$AD$91,MATCH($C1168,'Gen. Plant Additions'!$C$7:$C$91,0),MATCH(Calculation!$G1168,'Gen. Plant Additions'!$E$5:$AD$5,0))</f>
        <v>1223</v>
      </c>
      <c r="BN1168" s="301">
        <f t="shared" si="2079"/>
        <v>0.85294754422862795</v>
      </c>
      <c r="BO1168" s="231">
        <f t="shared" si="2073"/>
        <v>1043.1548465916119</v>
      </c>
      <c r="BP1168" s="231">
        <f t="shared" si="2074"/>
        <v>-179.84515340838811</v>
      </c>
      <c r="BQ1168" s="129">
        <f>INDEX('Dist Plant Depreciation'!$D$7:$AC$94,MATCH($C1168,'Dist Plant Depreciation'!$C$7:$C$94,0),MATCH(Calculation!$G1168,'Dist Plant Depreciation'!$D$5:$AC$5,0))</f>
        <v>21856</v>
      </c>
      <c r="BR1168" s="129">
        <f>INDEX('Gen. Plant Depreciation'!$D$7:$AC$94,MATCH($C1168,'Gen. Plant Depreciation'!$C$7:$C$94,0),MATCH(Calculation!$G1168,'Gen. Plant Depreciation'!$D$5:$AC$5,0))</f>
        <v>3724</v>
      </c>
      <c r="BS1168" s="129"/>
      <c r="BT1168" s="129"/>
      <c r="BU1168" s="129"/>
      <c r="BV1168" s="129"/>
      <c r="BW1168" s="129"/>
      <c r="BX1168" s="137"/>
      <c r="BY1168" s="129">
        <f>INDEX('Gross Dx Plant'!$D$7:$AC$91,MATCH($C1168,'Gross Dx Plant'!$C$7:$C$91,0),MATCH(Calculation!$G1168,'Gross Dx Plant'!$D$5:$AC$5,0))</f>
        <v>55155</v>
      </c>
      <c r="BZ1168" s="129">
        <f>INDEX('Gross Gen Plant'!$D$7:$AC$91,MATCH($C1168,'Gross Gen Plant'!$C$7:$C$91,0),MATCH(Calculation!$G1168,'Gross Gen Plant'!$D$5:$AC$5,0))</f>
        <v>9509</v>
      </c>
      <c r="CA1168" s="129">
        <f t="shared" si="2048"/>
        <v>39084</v>
      </c>
      <c r="CB1168" s="129"/>
      <c r="CC1168" s="133">
        <v>2013</v>
      </c>
      <c r="CD1168" s="129"/>
      <c r="CE1168" s="129"/>
      <c r="CF1168" s="129"/>
      <c r="CG1168" s="137"/>
      <c r="CH1168" s="129">
        <f t="shared" si="2080"/>
        <v>14368</v>
      </c>
      <c r="CI1168" s="46">
        <f t="shared" si="2093"/>
        <v>14188.154846591611</v>
      </c>
      <c r="CJ1168" s="231">
        <f t="shared" si="2081"/>
        <v>21.391917009054517</v>
      </c>
      <c r="CK1168" s="443">
        <v>0.82758620689655171</v>
      </c>
      <c r="CL1168" s="231">
        <f>+CL1153*CK1168+CJ1154*CK1167+CJ1155*CK1166+CJ1156*CK1165+CJ1157*CK1164+CJ1158*CK1163+CJ1159*CK1162+CJ1160*CK1161+CJ1161*CK1160+CJ1162*CK1159+CJ1163*CK1158+CJ1164*CK1157+CJ1165*CK1156+CJ1166*CK1155+CJ1167*CK1154+CJ1168</f>
        <v>157.26367875533924</v>
      </c>
      <c r="CM1168" s="134">
        <f t="shared" si="2082"/>
        <v>0.13110848055705007</v>
      </c>
      <c r="CN1168" s="135">
        <f t="shared" si="2083"/>
        <v>1.4990394412725008E-2</v>
      </c>
      <c r="CO1168" s="135">
        <f t="shared" si="2097"/>
        <v>1.4550849481255063E-2</v>
      </c>
      <c r="CP1168" s="134">
        <f>VLOOKUP($H1168,RoR!$E:$F,2,FALSE)</f>
        <v>4.2350000000000006E-2</v>
      </c>
      <c r="CQ1168" s="135">
        <v>1.7730000000000024E-2</v>
      </c>
      <c r="CR1168" s="135">
        <f t="shared" si="2094"/>
        <v>2.4619999999999982E-2</v>
      </c>
      <c r="CS1168" s="135">
        <f t="shared" si="2098"/>
        <v>1.635109212727856E-2</v>
      </c>
      <c r="CT1168" s="135">
        <f t="shared" si="2099"/>
        <v>5.3376742735721204E-2</v>
      </c>
      <c r="CU1168" s="139">
        <f t="shared" si="2084"/>
        <v>0.85329623209999994</v>
      </c>
      <c r="CV1168" s="335">
        <f t="shared" si="2085"/>
        <v>1.2109103018193925</v>
      </c>
      <c r="CW1168" s="335">
        <f t="shared" si="2086"/>
        <v>0.38468122786304604</v>
      </c>
      <c r="CX1168" s="335">
        <f t="shared" si="2087"/>
        <v>0.80969194503422559</v>
      </c>
      <c r="CY1168" s="335">
        <f t="shared" si="2088"/>
        <v>0.37716621754800816</v>
      </c>
      <c r="CZ1168" s="336">
        <f>INDEX('State Tax Lookup'!$D$7:$Z$91,MATCH(Calculation!$C1168,'State Tax Lookup'!$B$7:$B$91,0),MATCH($H1168,'State Tax Lookup'!$D$6:$Z$6,0))</f>
        <v>0.39649667</v>
      </c>
      <c r="DA1168" s="302">
        <v>0.37</v>
      </c>
      <c r="DB1168" s="57">
        <f t="shared" si="2096"/>
        <v>15.258095322458086</v>
      </c>
      <c r="DC1168" s="56">
        <f t="shared" si="2100"/>
        <v>-3.3603665621664593E-2</v>
      </c>
      <c r="DD1168" s="303">
        <f>VLOOKUP($H1168,RoR!$E:$F,2,FALSE)</f>
        <v>4.2350000000000006E-2</v>
      </c>
      <c r="DE1168" s="304">
        <f>HLOOKUP($H1168,'GDP-PI'!$D$8:$CQ$11,3,FALSE)</f>
        <v>1.7730000000000024E-2</v>
      </c>
      <c r="DF1168" s="303">
        <f>VLOOKUP(H1168,'HW Dx Data'!$E:$F,2,FALSE)</f>
        <v>663.24840548821396</v>
      </c>
      <c r="DG1168" s="364">
        <f ca="1">VLOOKUP(CC1168,'ECI - Input Price'!M$13:N$33,2,FALSE)</f>
        <v>126.8</v>
      </c>
      <c r="DH1168" s="364"/>
      <c r="DI1168" s="364"/>
      <c r="DJ1168" s="56">
        <f t="shared" ca="1" si="2108"/>
        <v>1.5898586067798204E-2</v>
      </c>
      <c r="DK1168" s="53">
        <f>HLOOKUP(H1168,'GDP-PI'!$8:$9,2,FALSE)</f>
        <v>101.773</v>
      </c>
      <c r="DL1168" s="355">
        <f t="shared" si="2101"/>
        <v>1.7574657016510519E-2</v>
      </c>
    </row>
    <row r="1169" spans="1:116" s="126" customFormat="1" ht="21" customHeight="1" x14ac:dyDescent="0.4">
      <c r="A1169" s="233" t="s">
        <v>251</v>
      </c>
      <c r="B1169" s="126" t="s">
        <v>251</v>
      </c>
      <c r="C1169" s="126">
        <v>4063183</v>
      </c>
      <c r="D1169" s="127" t="s">
        <v>194</v>
      </c>
      <c r="E1169" s="127" t="s">
        <v>15</v>
      </c>
      <c r="F1169" s="144"/>
      <c r="G1169" s="126" t="s">
        <v>170</v>
      </c>
      <c r="H1169" s="128">
        <v>2014</v>
      </c>
      <c r="I1169" s="129"/>
      <c r="J1169" s="125">
        <f>IFERROR(INDEX('Labor Expenditures'!$E$7:$W$91,MATCH($C1169,'Labor Expenditures'!$C$7:$C$91,0),MATCH($G1169,'Labor Expenditures'!$E$5:$W$5,0)),"NA")</f>
        <v>2731.1089743870057</v>
      </c>
      <c r="K1169" s="125">
        <f t="shared" ca="1" si="2102"/>
        <v>21.105942615046409</v>
      </c>
      <c r="L1169" s="47"/>
      <c r="M1169" s="131">
        <f t="shared" ca="1" si="2109"/>
        <v>1.3237598924298422E-2</v>
      </c>
      <c r="N1169" s="131"/>
      <c r="O1169" s="131"/>
      <c r="P1169" s="59">
        <f t="shared" ca="1" si="2111"/>
        <v>1.2197914501106449E-5</v>
      </c>
      <c r="Q1169" s="61"/>
      <c r="R1169" s="387"/>
      <c r="S1169" s="49">
        <f t="shared" ca="1" si="2116"/>
        <v>122.46625202035362</v>
      </c>
      <c r="T1169" s="61">
        <f ca="1">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</f>
        <v>0.1295169068765479</v>
      </c>
      <c r="U1169" s="61"/>
      <c r="V1169" s="125">
        <f>IFERROR(INDEX('Non-Labor Expenditures'!$E$7:$AA$91,MATCH($C1169,'Non-Labor Expenditures'!$C$7:$C$91,0),MATCH($G1169,'Non-Labor Expenditures'!$E$5:$AA$5,0)),"NA")</f>
        <v>3955.1558957057537</v>
      </c>
      <c r="W1169" s="125">
        <f t="shared" si="2103"/>
        <v>38.159868551002475</v>
      </c>
      <c r="X1169" s="131">
        <f t="shared" si="2112"/>
        <v>1.5288887089717325E-2</v>
      </c>
      <c r="Y1169" s="131">
        <f t="shared" si="2113"/>
        <v>1.4088093966582087E-5</v>
      </c>
      <c r="Z1169" s="131"/>
      <c r="AA1169" s="131"/>
      <c r="AB1169" s="131"/>
      <c r="AC1169" s="125">
        <f t="shared" si="2078"/>
        <v>2444.6796904053986</v>
      </c>
      <c r="AD1169" s="129"/>
      <c r="AE1169" s="133">
        <v>173.81132513000605</v>
      </c>
      <c r="AF1169" s="134">
        <v>1.8853351094926429E-2</v>
      </c>
      <c r="AG1169" s="59">
        <f t="shared" si="2104"/>
        <v>1.7372604052320044E-5</v>
      </c>
      <c r="AH1169" s="134"/>
      <c r="AI1169" s="134"/>
      <c r="AJ1169" s="129">
        <f t="shared" si="2031"/>
        <v>9130.9445604981574</v>
      </c>
      <c r="AK1169" s="134">
        <f t="shared" si="2114"/>
        <v>6.3348455410080426E-2</v>
      </c>
      <c r="AL1169" s="129"/>
      <c r="AM1169" s="129"/>
      <c r="AN1169" s="129"/>
      <c r="AO1169" s="129"/>
      <c r="AP1169" s="133">
        <f t="shared" si="2115"/>
        <v>578.05422641796383</v>
      </c>
      <c r="AQ1169" s="134">
        <f>+BB1169/Outputs!$B$22</f>
        <v>4.3713161297856932E-4</v>
      </c>
      <c r="AR1169" s="93">
        <f t="shared" si="2105"/>
        <v>0.29910475923840285</v>
      </c>
      <c r="AS1169" s="93">
        <f t="shared" si="2106"/>
        <v>0.43315955644023446</v>
      </c>
      <c r="AT1169" s="93">
        <f t="shared" si="2107"/>
        <v>0.26773568432136269</v>
      </c>
      <c r="AU1169" s="93">
        <f t="shared" ca="1" si="2110"/>
        <v>1.5580893119718133E-2</v>
      </c>
      <c r="AV1169" s="132">
        <f t="shared" ca="1" si="2118"/>
        <v>118.94814763844248</v>
      </c>
      <c r="AW1169" s="134">
        <f t="shared" ca="1" si="2119"/>
        <v>1.5580893119718029E-2</v>
      </c>
      <c r="AX1169" s="135">
        <f>+AJ1169/$AL$19</f>
        <v>9.2145974287802539E-4</v>
      </c>
      <c r="AY1169" s="135">
        <f t="shared" ca="1" si="2117"/>
        <v>1.435716576790537E-5</v>
      </c>
      <c r="AZ1169" s="93"/>
      <c r="BA1169" s="93"/>
      <c r="BB1169" s="234">
        <f>IFERROR(INDEX('Total Customers'!$E$7:$AA$91,MATCH($C1169,'Total Customers'!$C$7:$C$91,0),MATCH($G1169,'Total Customers'!$E$5:$AA$5,0)),"NA")</f>
        <v>15796</v>
      </c>
      <c r="BC1169" s="269">
        <f t="shared" si="2095"/>
        <v>9.6692865311352565E-3</v>
      </c>
      <c r="BD1169" s="92"/>
      <c r="BE1169" s="299" t="str">
        <f t="shared" si="2089"/>
        <v>ST. LAWRENCE GAS COMPANY, INC.</v>
      </c>
      <c r="BF1169" s="300">
        <f t="shared" si="2090"/>
        <v>4063183</v>
      </c>
      <c r="BG1169" s="231" t="str">
        <f t="shared" si="2091"/>
        <v>NY</v>
      </c>
      <c r="BH1169" s="231"/>
      <c r="BI1169" s="231" t="str">
        <f t="shared" si="2092"/>
        <v>2014 Y</v>
      </c>
      <c r="BJ1169" s="129"/>
      <c r="BK1169" s="129"/>
      <c r="BL1169" s="129">
        <f>INDEX('Dist. Plant Gas Additions'!$E$7:$AD$91,MATCH($C1169,'Dist. Plant Gas Additions'!$C$7:$C$91,0),MATCH(Calculation!$G1169,'Dist. Plant Gas Additions'!$E$5:$AD$5,0))</f>
        <v>2787</v>
      </c>
      <c r="BM1169" s="129">
        <f>INDEX('Gen. Plant Additions'!$E$7:$AD$91,MATCH($C1169,'Gen. Plant Additions'!$C$7:$C$91,0),MATCH(Calculation!$G1169,'Gen. Plant Additions'!$E$5:$AD$5,0))</f>
        <v>376</v>
      </c>
      <c r="BN1169" s="301">
        <f t="shared" si="2079"/>
        <v>0.85426157724799856</v>
      </c>
      <c r="BO1169" s="231">
        <f t="shared" si="2073"/>
        <v>321.20235304524743</v>
      </c>
      <c r="BP1169" s="231">
        <f t="shared" si="2074"/>
        <v>-54.797646954752565</v>
      </c>
      <c r="BQ1169" s="129">
        <f>INDEX('Dist Plant Depreciation'!$D$7:$AC$94,MATCH($C1169,'Dist Plant Depreciation'!$C$7:$C$94,0),MATCH(Calculation!$G1169,'Dist Plant Depreciation'!$D$5:$AC$5,0))</f>
        <v>22673</v>
      </c>
      <c r="BR1169" s="129">
        <f>INDEX('Gen. Plant Depreciation'!$D$7:$AC$94,MATCH($C1169,'Gen. Plant Depreciation'!$C$7:$C$94,0),MATCH(Calculation!$G1169,'Gen. Plant Depreciation'!$D$5:$AC$5,0))</f>
        <v>4306</v>
      </c>
      <c r="BS1169" s="129"/>
      <c r="BT1169" s="129"/>
      <c r="BU1169" s="129"/>
      <c r="BV1169" s="129"/>
      <c r="BW1169" s="129"/>
      <c r="BX1169" s="137"/>
      <c r="BY1169" s="129">
        <f>INDEX('Gross Dx Plant'!$D$7:$AC$91,MATCH($C1169,'Gross Dx Plant'!$C$7:$C$91,0),MATCH(Calculation!$G1169,'Gross Dx Plant'!$D$5:$AC$5,0))</f>
        <v>57942</v>
      </c>
      <c r="BZ1169" s="129">
        <f>INDEX('Gross Gen Plant'!$D$7:$AC$91,MATCH($C1169,'Gross Gen Plant'!$C$7:$C$91,0),MATCH(Calculation!$G1169,'Gross Gen Plant'!$D$5:$AC$5,0))</f>
        <v>9885</v>
      </c>
      <c r="CA1169" s="129">
        <f t="shared" si="2048"/>
        <v>40848</v>
      </c>
      <c r="CB1169" s="129"/>
      <c r="CC1169" s="133">
        <v>2014</v>
      </c>
      <c r="CD1169" s="129"/>
      <c r="CE1169" s="129"/>
      <c r="CF1169" s="129"/>
      <c r="CG1169" s="137"/>
      <c r="CH1169" s="129">
        <f t="shared" si="2080"/>
        <v>3163</v>
      </c>
      <c r="CI1169" s="46">
        <f t="shared" si="2093"/>
        <v>3108.2023530452475</v>
      </c>
      <c r="CJ1169" s="231">
        <f t="shared" si="2081"/>
        <v>4.5410408716181614</v>
      </c>
      <c r="CK1169" s="443">
        <v>0.81395348837209303</v>
      </c>
      <c r="CL1169" s="231">
        <f>+CL1153*CK1169+CJ1154*CK1168+CJ1155*CK1167+CJ1156*CK1166+CJ1157*CK1165+CJ1158*CK1164+CJ1159*CK1163+CJ1160*CK1162+CJ1161*CK1161+CJ1162*CK1160+CJ1163*CK1159+CJ1164*CK1158+CJ1165*CK1157+CJ1166*CK1156+CJ1167*CK1155+CJ1168*CK1154+CJ1169</f>
        <v>159.47775192078396</v>
      </c>
      <c r="CM1169" s="134">
        <f t="shared" si="2082"/>
        <v>1.3980546992973181E-2</v>
      </c>
      <c r="CN1169" s="135">
        <f t="shared" si="2083"/>
        <v>1.4796599727223678E-2</v>
      </c>
      <c r="CO1169" s="135">
        <f t="shared" si="2097"/>
        <v>1.4782121742037906E-2</v>
      </c>
      <c r="CP1169" s="134">
        <f>VLOOKUP($H1169,RoR!$E:$F,2,FALSE)</f>
        <v>4.1625000000000002E-2</v>
      </c>
      <c r="CQ1169" s="135">
        <v>1.841352814597208E-2</v>
      </c>
      <c r="CR1169" s="135">
        <f t="shared" si="2094"/>
        <v>2.3211471854027922E-2</v>
      </c>
      <c r="CS1169" s="135">
        <f t="shared" si="2098"/>
        <v>1.6119819866495719E-2</v>
      </c>
      <c r="CT1169" s="135">
        <f t="shared" si="2099"/>
        <v>3.9072621432650924E-2</v>
      </c>
      <c r="CU1169" s="139">
        <f t="shared" si="2084"/>
        <v>0.85329623209999994</v>
      </c>
      <c r="CV1169" s="335">
        <f t="shared" si="2085"/>
        <v>1.2320012320012319</v>
      </c>
      <c r="CW1169" s="335">
        <f t="shared" si="2086"/>
        <v>0.37439939939939942</v>
      </c>
      <c r="CX1169" s="335">
        <f t="shared" si="2087"/>
        <v>0.80432100613819935</v>
      </c>
      <c r="CY1169" s="335">
        <f t="shared" si="2088"/>
        <v>0.37100152660040037</v>
      </c>
      <c r="CZ1169" s="336">
        <f>INDEX('State Tax Lookup'!$D$7:$Z$91,MATCH(Calculation!$C1169,'State Tax Lookup'!$B$7:$B$91,0),MATCH($H1169,'State Tax Lookup'!$D$6:$Z$6,0))</f>
        <v>0.39649667</v>
      </c>
      <c r="DA1169" s="302">
        <v>0.37</v>
      </c>
      <c r="DB1169" s="57">
        <f t="shared" si="2096"/>
        <v>15.545100494620087</v>
      </c>
      <c r="DC1169" s="56">
        <f t="shared" si="2100"/>
        <v>1.8635305220852882E-2</v>
      </c>
      <c r="DD1169" s="303">
        <f>VLOOKUP($H1169,RoR!$E:$F,2,FALSE)</f>
        <v>4.1625000000000002E-2</v>
      </c>
      <c r="DE1169" s="304">
        <f>HLOOKUP($H1169,'GDP-PI'!$D$8:$CQ$11,3,FALSE)</f>
        <v>1.841352814597208E-2</v>
      </c>
      <c r="DF1169" s="303">
        <f>VLOOKUP(H1169,'HW Dx Data'!$E:$F,2,FALSE)</f>
        <v>684.46914285042885</v>
      </c>
      <c r="DG1169" s="364">
        <f ca="1">VLOOKUP(CC1169,'ECI - Input Price'!M$13:N$33,2,FALSE)</f>
        <v>129.4</v>
      </c>
      <c r="DH1169" s="364"/>
      <c r="DI1169" s="364"/>
      <c r="DJ1169" s="56">
        <f t="shared" ca="1" si="2108"/>
        <v>2.0297340063674733E-2</v>
      </c>
      <c r="DK1169" s="53">
        <f>HLOOKUP(H1169,'GDP-PI'!$8:$9,2,FALSE)</f>
        <v>103.64700000000001</v>
      </c>
      <c r="DL1169" s="355">
        <f t="shared" si="2101"/>
        <v>1.8246051898256087E-2</v>
      </c>
    </row>
    <row r="1170" spans="1:116" s="126" customFormat="1" ht="21" customHeight="1" x14ac:dyDescent="0.4">
      <c r="A1170" s="233" t="s">
        <v>251</v>
      </c>
      <c r="B1170" s="126" t="s">
        <v>251</v>
      </c>
      <c r="C1170" s="126">
        <v>4063183</v>
      </c>
      <c r="D1170" s="127" t="s">
        <v>194</v>
      </c>
      <c r="E1170" s="127" t="s">
        <v>15</v>
      </c>
      <c r="F1170" s="144"/>
      <c r="G1170" s="126" t="s">
        <v>171</v>
      </c>
      <c r="H1170" s="128">
        <v>2015</v>
      </c>
      <c r="I1170" s="129"/>
      <c r="J1170" s="125">
        <f>IFERROR(INDEX('Labor Expenditures'!$E$7:$W$91,MATCH($C1170,'Labor Expenditures'!$C$7:$C$91,0),MATCH($G1170,'Labor Expenditures'!$E$5:$W$5,0)),"NA")</f>
        <v>2935.5606901592691</v>
      </c>
      <c r="K1170" s="125">
        <f t="shared" ca="1" si="2102"/>
        <v>21.989218652878421</v>
      </c>
      <c r="L1170" s="47"/>
      <c r="M1170" s="131">
        <f t="shared" ca="1" si="2109"/>
        <v>4.0997630653965202E-2</v>
      </c>
      <c r="N1170" s="131"/>
      <c r="O1170" s="131"/>
      <c r="P1170" s="59">
        <f t="shared" ca="1" si="2111"/>
        <v>3.9549890912709658E-5</v>
      </c>
      <c r="Q1170" s="61"/>
      <c r="R1170" s="387"/>
      <c r="S1170" s="49">
        <f t="shared" ca="1" si="2116"/>
        <v>122.55902396805523</v>
      </c>
      <c r="T1170" s="61">
        <f ca="1">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</f>
        <v>7.5724393543054715E-4</v>
      </c>
      <c r="U1170" s="61"/>
      <c r="V1170" s="125">
        <f>IFERROR(INDEX('Non-Labor Expenditures'!$E$7:$AA$91,MATCH($C1170,'Non-Labor Expenditures'!$C$7:$C$91,0),MATCH($G1170,'Non-Labor Expenditures'!$E$5:$AA$5,0)),"NA")</f>
        <v>4251.2401664570962</v>
      </c>
      <c r="W1170" s="125">
        <f t="shared" si="2103"/>
        <v>40.627683430242037</v>
      </c>
      <c r="X1170" s="131">
        <f t="shared" si="2112"/>
        <v>6.2665290242026203E-2</v>
      </c>
      <c r="Y1170" s="131">
        <f t="shared" si="2113"/>
        <v>6.0452405506163543E-5</v>
      </c>
      <c r="Z1170" s="131"/>
      <c r="AA1170" s="131"/>
      <c r="AB1170" s="131"/>
      <c r="AC1170" s="125">
        <f t="shared" si="2078"/>
        <v>2422.0299875729502</v>
      </c>
      <c r="AD1170" s="129"/>
      <c r="AE1170" s="133">
        <v>220.31790086686428</v>
      </c>
      <c r="AF1170" s="134">
        <v>0.23710113471802205</v>
      </c>
      <c r="AG1170" s="59">
        <f t="shared" si="2104"/>
        <v>2.2872843780962483E-4</v>
      </c>
      <c r="AH1170" s="134"/>
      <c r="AI1170" s="134"/>
      <c r="AJ1170" s="129">
        <f t="shared" si="2031"/>
        <v>9608.830844189315</v>
      </c>
      <c r="AK1170" s="134">
        <f t="shared" si="2114"/>
        <v>5.1013409200693825E-2</v>
      </c>
      <c r="AL1170" s="129"/>
      <c r="AM1170" s="129"/>
      <c r="AN1170" s="129"/>
      <c r="AO1170" s="129"/>
      <c r="AP1170" s="133">
        <f t="shared" si="2115"/>
        <v>602.9259486847784</v>
      </c>
      <c r="AQ1170" s="134">
        <f>+BB1170/Outputs!$B$23</f>
        <v>4.3744740859416034E-4</v>
      </c>
      <c r="AR1170" s="93">
        <f t="shared" si="2105"/>
        <v>0.3055065426544033</v>
      </c>
      <c r="AS1170" s="93">
        <f t="shared" si="2106"/>
        <v>0.44243053451481257</v>
      </c>
      <c r="AT1170" s="93">
        <f t="shared" si="2107"/>
        <v>0.25206292283078419</v>
      </c>
      <c r="AU1170" s="93">
        <f t="shared" ca="1" si="2110"/>
        <v>0.10145078880378793</v>
      </c>
      <c r="AV1170" s="132">
        <f t="shared" ca="1" si="2118"/>
        <v>131.64888978477049</v>
      </c>
      <c r="AW1170" s="134">
        <f t="shared" ca="1" si="2119"/>
        <v>0.10145078880378786</v>
      </c>
      <c r="AX1170" s="135">
        <f>+AJ1170/$AL$20</f>
        <v>9.64687233916638E-4</v>
      </c>
      <c r="AY1170" s="135">
        <f t="shared" ca="1" si="2117"/>
        <v>9.7868280829787138E-5</v>
      </c>
      <c r="AZ1170" s="93"/>
      <c r="BA1170" s="93"/>
      <c r="BB1170" s="234">
        <f>IFERROR(INDEX('Total Customers'!$E$7:$AA$91,MATCH($C1170,'Total Customers'!$C$7:$C$91,0),MATCH($G1170,'Total Customers'!$E$5:$AA$5,0)),"NA")</f>
        <v>15937</v>
      </c>
      <c r="BC1170" s="269">
        <f t="shared" si="2095"/>
        <v>8.886706453093635E-3</v>
      </c>
      <c r="BD1170" s="92"/>
      <c r="BE1170" s="299" t="str">
        <f t="shared" si="2089"/>
        <v>ST. LAWRENCE GAS COMPANY, INC.</v>
      </c>
      <c r="BF1170" s="300">
        <f t="shared" si="2090"/>
        <v>4063183</v>
      </c>
      <c r="BG1170" s="231" t="str">
        <f t="shared" si="2091"/>
        <v>NY</v>
      </c>
      <c r="BH1170" s="231"/>
      <c r="BI1170" s="231" t="str">
        <f t="shared" si="2092"/>
        <v>2015 Y</v>
      </c>
      <c r="BJ1170" s="129"/>
      <c r="BK1170" s="129"/>
      <c r="BL1170" s="129">
        <f>INDEX('Dist. Plant Gas Additions'!$E$7:$AD$91,MATCH($C1170,'Dist. Plant Gas Additions'!$C$7:$C$91,0),MATCH(Calculation!$G1170,'Dist. Plant Gas Additions'!$E$5:$AD$5,0))</f>
        <v>31793</v>
      </c>
      <c r="BM1170" s="129">
        <f>INDEX('Gen. Plant Additions'!$E$7:$AD$91,MATCH($C1170,'Gen. Plant Additions'!$C$7:$C$91,0),MATCH(Calculation!$G1170,'Gen. Plant Additions'!$E$5:$AD$5,0))</f>
        <v>607</v>
      </c>
      <c r="BN1170" s="301">
        <f t="shared" si="2079"/>
        <v>0.896128186919253</v>
      </c>
      <c r="BO1170" s="231">
        <f t="shared" si="2073"/>
        <v>543.94980945998657</v>
      </c>
      <c r="BP1170" s="231">
        <f t="shared" si="2074"/>
        <v>-63.050190540013432</v>
      </c>
      <c r="BQ1170" s="129">
        <f>INDEX('Dist Plant Depreciation'!$D$7:$AC$94,MATCH($C1170,'Dist Plant Depreciation'!$C$7:$C$94,0),MATCH(Calculation!$G1170,'Dist Plant Depreciation'!$D$5:$AC$5,0))</f>
        <v>23580</v>
      </c>
      <c r="BR1170" s="129">
        <f>INDEX('Gen. Plant Depreciation'!$D$7:$AC$94,MATCH($C1170,'Gen. Plant Depreciation'!$C$7:$C$94,0),MATCH(Calculation!$G1170,'Gen. Plant Depreciation'!$D$5:$AC$5,0))</f>
        <v>4799</v>
      </c>
      <c r="BS1170" s="129"/>
      <c r="BT1170" s="129"/>
      <c r="BU1170" s="129"/>
      <c r="BV1170" s="129"/>
      <c r="BW1170" s="129"/>
      <c r="BX1170" s="137"/>
      <c r="BY1170" s="129">
        <f>INDEX('Gross Dx Plant'!$D$7:$AC$91,MATCH($C1170,'Gross Dx Plant'!$C$7:$C$91,0),MATCH(Calculation!$G1170,'Gross Dx Plant'!$D$5:$AC$5,0))</f>
        <v>89594</v>
      </c>
      <c r="BZ1170" s="129">
        <f>INDEX('Gross Gen Plant'!$D$7:$AC$91,MATCH($C1170,'Gross Gen Plant'!$C$7:$C$91,0),MATCH(Calculation!$G1170,'Gross Gen Plant'!$D$5:$AC$5,0))</f>
        <v>10385</v>
      </c>
      <c r="CA1170" s="129">
        <f t="shared" si="2048"/>
        <v>71600</v>
      </c>
      <c r="CB1170" s="129"/>
      <c r="CC1170" s="133">
        <v>2015</v>
      </c>
      <c r="CD1170" s="129"/>
      <c r="CE1170" s="129"/>
      <c r="CF1170" s="129"/>
      <c r="CG1170" s="137"/>
      <c r="CH1170" s="129">
        <f t="shared" si="2080"/>
        <v>32400</v>
      </c>
      <c r="CI1170" s="46">
        <f t="shared" si="2093"/>
        <v>32336.949809459988</v>
      </c>
      <c r="CJ1170" s="231">
        <f t="shared" si="2081"/>
        <v>47.863009807415295</v>
      </c>
      <c r="CK1170" s="443">
        <v>0.8</v>
      </c>
      <c r="CL1170" s="231">
        <f>+CL1153*CK1170+CJ1154*CK1169+CJ1155*CK1168+CJ1156*CK1167+CJ1157*CK1166+CJ1158*CK1165+CJ1159*CK1164+CJ1160*CK1163+CJ1161*CK1162+CJ1162*CK1161+CJ1163*CK1160+CJ1164*CK1159+CJ1165*CK1158+CJ1166*CK1157+CJ1167*CK1156+CJ1168*CK1155+CJ1169*CK1154+CJ1170</f>
        <v>204.91554785287536</v>
      </c>
      <c r="CM1170" s="134">
        <f t="shared" si="2082"/>
        <v>0.25069350645988797</v>
      </c>
      <c r="CN1170" s="135">
        <f t="shared" si="2083"/>
        <v>1.5207223867367701E-2</v>
      </c>
      <c r="CO1170" s="135">
        <f t="shared" si="2097"/>
        <v>1.4998072669105461E-2</v>
      </c>
      <c r="CP1170" s="134">
        <f>VLOOKUP($H1170,RoR!$E:$F,2,FALSE)</f>
        <v>3.8866666666666674E-2</v>
      </c>
      <c r="CQ1170" s="135">
        <v>9.5709475431029478E-3</v>
      </c>
      <c r="CR1170" s="135">
        <f t="shared" si="2094"/>
        <v>2.9295719123563727E-2</v>
      </c>
      <c r="CS1170" s="135">
        <f t="shared" si="2098"/>
        <v>1.5903868939428162E-2</v>
      </c>
      <c r="CT1170" s="135">
        <f t="shared" si="2099"/>
        <v>3.5270373279175926E-3</v>
      </c>
      <c r="CU1170" s="139">
        <f t="shared" si="2084"/>
        <v>0.85329623209999994</v>
      </c>
      <c r="CV1170" s="335">
        <f t="shared" si="2085"/>
        <v>1.3194352816994324</v>
      </c>
      <c r="CW1170" s="335">
        <f t="shared" si="2086"/>
        <v>0.33177530017152673</v>
      </c>
      <c r="CX1170" s="335">
        <f t="shared" si="2087"/>
        <v>0.78242572977668579</v>
      </c>
      <c r="CY1170" s="335">
        <f t="shared" si="2088"/>
        <v>0.34251158643433932</v>
      </c>
      <c r="CZ1170" s="336">
        <f>INDEX('State Tax Lookup'!$D$7:$Z$91,MATCH(Calculation!$C1170,'State Tax Lookup'!$B$7:$B$91,0),MATCH($H1170,'State Tax Lookup'!$D$6:$Z$6,0))</f>
        <v>0.39649667</v>
      </c>
      <c r="DA1170" s="302">
        <v>0.37</v>
      </c>
      <c r="DB1170" s="57">
        <f t="shared" si="2096"/>
        <v>15.187259403907479</v>
      </c>
      <c r="DC1170" s="56">
        <f t="shared" si="2100"/>
        <v>-2.328862898779319E-2</v>
      </c>
      <c r="DD1170" s="303">
        <f>VLOOKUP($H1170,RoR!$E:$F,2,FALSE)</f>
        <v>3.8866666666666674E-2</v>
      </c>
      <c r="DE1170" s="304">
        <f>HLOOKUP($H1170,'GDP-PI'!$D$8:$CQ$11,3,FALSE)</f>
        <v>9.5709475431029478E-3</v>
      </c>
      <c r="DF1170" s="303">
        <f>VLOOKUP(H1170,'HW Dx Data'!$E:$F,2,FALSE)</f>
        <v>675.61463308665782</v>
      </c>
      <c r="DG1170" s="364">
        <f ca="1">VLOOKUP(CC1170,'ECI - Input Price'!M$13:N$33,2,FALSE)</f>
        <v>133.5</v>
      </c>
      <c r="DH1170" s="364"/>
      <c r="DI1170" s="364"/>
      <c r="DJ1170" s="56">
        <f t="shared" ca="1" si="2108"/>
        <v>3.1193095773504077E-2</v>
      </c>
      <c r="DK1170" s="53">
        <f>HLOOKUP(H1170,'GDP-PI'!$8:$9,2,FALSE)</f>
        <v>104.639</v>
      </c>
      <c r="DL1170" s="355">
        <f t="shared" si="2101"/>
        <v>9.5254361854427965E-3</v>
      </c>
    </row>
    <row r="1171" spans="1:116" s="126" customFormat="1" ht="21" customHeight="1" x14ac:dyDescent="0.4">
      <c r="A1171" s="233" t="s">
        <v>251</v>
      </c>
      <c r="B1171" s="126" t="s">
        <v>251</v>
      </c>
      <c r="C1171" s="126">
        <v>4063183</v>
      </c>
      <c r="D1171" s="127" t="s">
        <v>194</v>
      </c>
      <c r="E1171" s="127" t="s">
        <v>15</v>
      </c>
      <c r="F1171" s="144"/>
      <c r="G1171" s="126" t="s">
        <v>172</v>
      </c>
      <c r="H1171" s="128">
        <v>2016</v>
      </c>
      <c r="I1171" s="129"/>
      <c r="J1171" s="125">
        <f>IFERROR(INDEX('Labor Expenditures'!$E$7:$W$91,MATCH($C1171,'Labor Expenditures'!$C$7:$C$91,0),MATCH($G1171,'Labor Expenditures'!$E$5:$W$5,0)),"NA")</f>
        <v>2884.9848998582529</v>
      </c>
      <c r="K1171" s="125">
        <f t="shared" ca="1" si="2102"/>
        <v>21.065972251611925</v>
      </c>
      <c r="L1171" s="47"/>
      <c r="M1171" s="131">
        <f t="shared" ca="1" si="2109"/>
        <v>-4.2893222804786711E-2</v>
      </c>
      <c r="N1171" s="131"/>
      <c r="O1171" s="131"/>
      <c r="P1171" s="59">
        <f t="shared" ca="1" si="2111"/>
        <v>-4.2518040955644477E-5</v>
      </c>
      <c r="Q1171" s="61"/>
      <c r="R1171" s="387"/>
      <c r="S1171" s="49">
        <f t="shared" ca="1" si="2116"/>
        <v>304.03559094130856</v>
      </c>
      <c r="T1171" s="61">
        <f ca="1">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</f>
        <v>0.90855202776480559</v>
      </c>
      <c r="U1171" s="61"/>
      <c r="V1171" s="125">
        <f>IFERROR(INDEX('Non-Labor Expenditures'!$E$7:$AA$91,MATCH($C1171,'Non-Labor Expenditures'!$C$7:$C$91,0),MATCH($G1171,'Non-Labor Expenditures'!$E$5:$AA$5,0)),"NA")</f>
        <v>4177.9969758466086</v>
      </c>
      <c r="W1171" s="125">
        <f t="shared" si="2103"/>
        <v>39.513476733057885</v>
      </c>
      <c r="X1171" s="131">
        <f t="shared" si="2112"/>
        <v>-2.7807895303208614E-2</v>
      </c>
      <c r="Y1171" s="131">
        <f t="shared" si="2113"/>
        <v>-2.7564662995202903E-5</v>
      </c>
      <c r="Z1171" s="131"/>
      <c r="AA1171" s="131"/>
      <c r="AB1171" s="131"/>
      <c r="AC1171" s="125">
        <f t="shared" si="2078"/>
        <v>3129.6256160610155</v>
      </c>
      <c r="AD1171" s="129"/>
      <c r="AE1171" s="133">
        <v>219.08180093332956</v>
      </c>
      <c r="AF1171" s="134">
        <v>-5.6263269604168963E-3</v>
      </c>
      <c r="AG1171" s="59">
        <f t="shared" si="2104"/>
        <v>-5.5771141567417091E-6</v>
      </c>
      <c r="AH1171" s="134"/>
      <c r="AI1171" s="134"/>
      <c r="AJ1171" s="129">
        <f t="shared" si="2031"/>
        <v>10192.607491765877</v>
      </c>
      <c r="AK1171" s="134">
        <f t="shared" si="2114"/>
        <v>5.8980146571727982E-2</v>
      </c>
      <c r="AL1171" s="129"/>
      <c r="AM1171" s="129"/>
      <c r="AN1171" s="129"/>
      <c r="AO1171" s="129"/>
      <c r="AP1171" s="133">
        <f t="shared" si="2115"/>
        <v>629.6008086828017</v>
      </c>
      <c r="AQ1171" s="134">
        <f>+BB1171/Outputs!$B$24</f>
        <v>4.4052451070322995E-4</v>
      </c>
      <c r="AR1171" s="93">
        <f t="shared" si="2105"/>
        <v>0.28304679663068505</v>
      </c>
      <c r="AS1171" s="93">
        <f t="shared" si="2106"/>
        <v>0.409904627370554</v>
      </c>
      <c r="AT1171" s="93">
        <f t="shared" si="2107"/>
        <v>0.30704857599876101</v>
      </c>
      <c r="AU1171" s="93">
        <f t="shared" ca="1" si="2110"/>
        <v>-2.6046170279575964E-2</v>
      </c>
      <c r="AV1171" s="132">
        <f t="shared" ca="1" si="2118"/>
        <v>128.26421069415721</v>
      </c>
      <c r="AW1171" s="134">
        <f t="shared" ca="1" si="2119"/>
        <v>-2.6046170279575939E-2</v>
      </c>
      <c r="AX1171" s="135">
        <f>+AJ1171/$AL$21</f>
        <v>9.912531205489095E-4</v>
      </c>
      <c r="AY1171" s="135">
        <f t="shared" ca="1" si="2117"/>
        <v>-2.5818347567977911E-5</v>
      </c>
      <c r="AZ1171" s="93"/>
      <c r="BA1171" s="93"/>
      <c r="BB1171" s="234">
        <f>IFERROR(INDEX('Total Customers'!$E$7:$AA$91,MATCH($C1171,'Total Customers'!$C$7:$C$91,0),MATCH($G1171,'Total Customers'!$E$5:$AA$5,0)),"NA")</f>
        <v>16189</v>
      </c>
      <c r="BC1171" s="269">
        <f t="shared" si="2095"/>
        <v>1.5688549381872249E-2</v>
      </c>
      <c r="BD1171" s="92"/>
      <c r="BE1171" s="299" t="str">
        <f t="shared" si="2089"/>
        <v>ST. LAWRENCE GAS COMPANY, INC.</v>
      </c>
      <c r="BF1171" s="300">
        <f t="shared" si="2090"/>
        <v>4063183</v>
      </c>
      <c r="BG1171" s="231" t="str">
        <f t="shared" si="2091"/>
        <v>NY</v>
      </c>
      <c r="BH1171" s="231"/>
      <c r="BI1171" s="231" t="str">
        <f t="shared" si="2092"/>
        <v>2016 Y</v>
      </c>
      <c r="BJ1171" s="129"/>
      <c r="BK1171" s="129"/>
      <c r="BL1171" s="129">
        <f>INDEX('Dist. Plant Gas Additions'!$E$7:$AD$91,MATCH($C1171,'Dist. Plant Gas Additions'!$C$7:$C$91,0),MATCH(Calculation!$G1171,'Dist. Plant Gas Additions'!$E$5:$AD$5,0))</f>
        <v>-404</v>
      </c>
      <c r="BM1171" s="129">
        <f>INDEX('Gen. Plant Additions'!$E$7:$AD$91,MATCH($C1171,'Gen. Plant Additions'!$C$7:$C$91,0),MATCH(Calculation!$G1171,'Gen. Plant Additions'!$E$5:$AD$5,0))</f>
        <v>745</v>
      </c>
      <c r="BN1171" s="301">
        <f t="shared" si="2079"/>
        <v>0.89103245074261894</v>
      </c>
      <c r="BO1171" s="231">
        <f t="shared" si="2073"/>
        <v>663.81917580325114</v>
      </c>
      <c r="BP1171" s="231">
        <f t="shared" si="2074"/>
        <v>-81.180824196748858</v>
      </c>
      <c r="BQ1171" s="129">
        <f>INDEX('Dist Plant Depreciation'!$D$7:$AC$94,MATCH($C1171,'Dist Plant Depreciation'!$C$7:$C$94,0),MATCH(Calculation!$G1171,'Dist Plant Depreciation'!$D$5:$AC$5,0))</f>
        <v>24081</v>
      </c>
      <c r="BR1171" s="129">
        <f>INDEX('Gen. Plant Depreciation'!$D$7:$AC$94,MATCH($C1171,'Gen. Plant Depreciation'!$C$7:$C$94,0),MATCH(Calculation!$G1171,'Gen. Plant Depreciation'!$D$5:$AC$5,0))</f>
        <v>5170</v>
      </c>
      <c r="BS1171" s="129"/>
      <c r="BT1171" s="129"/>
      <c r="BU1171" s="129"/>
      <c r="BV1171" s="129"/>
      <c r="BW1171" s="129"/>
      <c r="BX1171" s="137"/>
      <c r="BY1171" s="129">
        <f>INDEX('Gross Dx Plant'!$D$7:$AC$91,MATCH($C1171,'Gross Dx Plant'!$C$7:$C$91,0),MATCH(Calculation!$G1171,'Gross Dx Plant'!$D$5:$AC$5,0))</f>
        <v>88909</v>
      </c>
      <c r="BZ1171" s="129">
        <f>INDEX('Gross Gen Plant'!$D$7:$AC$91,MATCH($C1171,'Gross Gen Plant'!$C$7:$C$91,0),MATCH(Calculation!$G1171,'Gross Gen Plant'!$D$5:$AC$5,0))</f>
        <v>10873</v>
      </c>
      <c r="CA1171" s="129">
        <f t="shared" si="2048"/>
        <v>70531</v>
      </c>
      <c r="CB1171" s="129"/>
      <c r="CC1171" s="133">
        <v>2016</v>
      </c>
      <c r="CD1171" s="129"/>
      <c r="CE1171" s="129"/>
      <c r="CF1171" s="129"/>
      <c r="CG1171" s="137"/>
      <c r="CH1171" s="129">
        <f t="shared" si="2080"/>
        <v>341</v>
      </c>
      <c r="CI1171" s="46">
        <f t="shared" si="2093"/>
        <v>259.81917580325114</v>
      </c>
      <c r="CJ1171" s="231">
        <f t="shared" si="2081"/>
        <v>0.38694869566993106</v>
      </c>
      <c r="CK1171" s="443">
        <v>0.7857142857142857</v>
      </c>
      <c r="CL1171" s="231">
        <f>+CL1153*CK1171+CJ1154*CK1170+CJ1155*CK1169+CJ1156*CK1168+CJ1157*CK1167+CJ1158*CK1166+CJ1159*CK1165+CJ1160*CK1164+CJ1161*CK1163+CJ1162*CK1162+CJ1163*CK1161+CJ1164*CK1160+CJ1165*CK1159+CJ1166*CK1158+CJ1167*CK1157+CJ1168*CK1156+CJ1169*CK1155+CJ1170*CK1154+CJ1171</f>
        <v>202.34735013806539</v>
      </c>
      <c r="CM1171" s="134">
        <f t="shared" si="2082"/>
        <v>-1.2612156767731461E-2</v>
      </c>
      <c r="CN1171" s="135">
        <f t="shared" si="2083"/>
        <v>1.4421289362589641E-2</v>
      </c>
      <c r="CO1171" s="135">
        <f t="shared" si="2097"/>
        <v>1.4808370985727006E-2</v>
      </c>
      <c r="CP1171" s="134">
        <f>VLOOKUP($H1171,RoR!$E:$F,2,FALSE)</f>
        <v>3.6658333333333334E-2</v>
      </c>
      <c r="CQ1171" s="135">
        <v>1.0483662879041455E-2</v>
      </c>
      <c r="CR1171" s="135">
        <f t="shared" si="2094"/>
        <v>2.6174670454291879E-2</v>
      </c>
      <c r="CS1171" s="135">
        <f t="shared" si="2098"/>
        <v>1.609357062280662E-2</v>
      </c>
      <c r="CT1171" s="135">
        <f t="shared" si="2099"/>
        <v>4.301363574220729E-3</v>
      </c>
      <c r="CU1171" s="139">
        <f t="shared" si="2084"/>
        <v>0.85329623209999994</v>
      </c>
      <c r="CV1171" s="335">
        <f t="shared" si="2085"/>
        <v>1.3989193348138562</v>
      </c>
      <c r="CW1171" s="335">
        <f t="shared" si="2086"/>
        <v>0.29302682427824522</v>
      </c>
      <c r="CX1171" s="335">
        <f t="shared" si="2087"/>
        <v>0.76309497491941802</v>
      </c>
      <c r="CY1171" s="335">
        <f t="shared" si="2088"/>
        <v>0.31280857135128509</v>
      </c>
      <c r="CZ1171" s="336">
        <f>INDEX('State Tax Lookup'!$D$7:$Z$91,MATCH(Calculation!$C1171,'State Tax Lookup'!$B$7:$B$91,0),MATCH($H1171,'State Tax Lookup'!$D$6:$Z$6,0))</f>
        <v>0.39649667</v>
      </c>
      <c r="DA1171" s="302">
        <v>0.37</v>
      </c>
      <c r="DB1171" s="57">
        <f t="shared" si="2096"/>
        <v>15.272758211143717</v>
      </c>
      <c r="DC1171" s="56">
        <f t="shared" si="2100"/>
        <v>5.6138530752250391E-3</v>
      </c>
      <c r="DD1171" s="303">
        <f>VLOOKUP($H1171,RoR!$E:$F,2,FALSE)</f>
        <v>3.6658333333333334E-2</v>
      </c>
      <c r="DE1171" s="304">
        <f>HLOOKUP($H1171,'GDP-PI'!$D$8:$CQ$11,3,FALSE)</f>
        <v>1.0483662879041455E-2</v>
      </c>
      <c r="DF1171" s="303">
        <f>VLOOKUP(H1171,'HW Dx Data'!$E:$F,2,FALSE)</f>
        <v>671.45639385971219</v>
      </c>
      <c r="DG1171" s="364">
        <f ca="1">VLOOKUP(CC1171,'ECI - Input Price'!M$13:N$33,2,FALSE)</f>
        <v>136.94999999999999</v>
      </c>
      <c r="DH1171" s="364"/>
      <c r="DI1171" s="364"/>
      <c r="DJ1171" s="56">
        <f t="shared" ca="1" si="2108"/>
        <v>2.5514417868782811E-2</v>
      </c>
      <c r="DK1171" s="53">
        <f>HLOOKUP(H1171,'GDP-PI'!$8:$9,2,FALSE)</f>
        <v>105.736</v>
      </c>
      <c r="DL1171" s="355">
        <f t="shared" si="2101"/>
        <v>1.0429090367205095E-2</v>
      </c>
    </row>
    <row r="1172" spans="1:116" s="126" customFormat="1" ht="21" customHeight="1" x14ac:dyDescent="0.4">
      <c r="A1172" s="233" t="s">
        <v>251</v>
      </c>
      <c r="B1172" s="126" t="s">
        <v>251</v>
      </c>
      <c r="C1172" s="126">
        <v>4063183</v>
      </c>
      <c r="D1172" s="127" t="s">
        <v>194</v>
      </c>
      <c r="E1172" s="127" t="s">
        <v>15</v>
      </c>
      <c r="F1172" s="144"/>
      <c r="G1172" s="126" t="s">
        <v>173</v>
      </c>
      <c r="H1172" s="128">
        <v>2017</v>
      </c>
      <c r="I1172" s="129"/>
      <c r="J1172" s="125">
        <f>IFERROR(INDEX('Labor Expenditures'!$E$7:$W$91,MATCH($C1172,'Labor Expenditures'!$C$7:$C$91,0),MATCH($G1172,'Labor Expenditures'!$E$5:$W$5,0)),"NA")</f>
        <v>3451.6752516023721</v>
      </c>
      <c r="K1172" s="125">
        <f t="shared" ca="1" si="2102"/>
        <v>24.575829488090939</v>
      </c>
      <c r="L1172" s="47"/>
      <c r="M1172" s="131">
        <f t="shared" ca="1" si="2109"/>
        <v>0.1541043695923725</v>
      </c>
      <c r="N1172" s="131"/>
      <c r="O1172" s="131"/>
      <c r="P1172" s="59">
        <f t="shared" ca="1" si="2111"/>
        <v>1.6883629752814213E-4</v>
      </c>
      <c r="Q1172" s="61"/>
      <c r="R1172" s="387"/>
      <c r="S1172" s="49">
        <f t="shared" ca="1" si="2116"/>
        <v>170.63270302550524</v>
      </c>
      <c r="T1172" s="61">
        <f ca="1">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</f>
        <v>-0.57763145916105096</v>
      </c>
      <c r="U1172" s="61"/>
      <c r="V1172" s="125">
        <f>IFERROR(INDEX('Non-Labor Expenditures'!$E$7:$AA$91,MATCH($C1172,'Non-Labor Expenditures'!$C$7:$C$91,0),MATCH($G1172,'Non-Labor Expenditures'!$E$5:$AA$5,0)),"NA")</f>
        <v>4998.6704483298472</v>
      </c>
      <c r="W1172" s="125">
        <f t="shared" si="2103"/>
        <v>46.390942527956554</v>
      </c>
      <c r="X1172" s="131">
        <f t="shared" si="2112"/>
        <v>0.16046243920579284</v>
      </c>
      <c r="Y1172" s="131">
        <f t="shared" si="2113"/>
        <v>1.7580218003877802E-4</v>
      </c>
      <c r="Z1172" s="131"/>
      <c r="AA1172" s="131"/>
      <c r="AB1172" s="131"/>
      <c r="AC1172" s="125">
        <f t="shared" si="2078"/>
        <v>2811.4361020794909</v>
      </c>
      <c r="AD1172" s="129"/>
      <c r="AE1172" s="133">
        <v>217.74784679437997</v>
      </c>
      <c r="AF1172" s="134">
        <v>-6.1074530649159872E-3</v>
      </c>
      <c r="AG1172" s="59">
        <f t="shared" si="2104"/>
        <v>-6.691307751589914E-6</v>
      </c>
      <c r="AH1172" s="134"/>
      <c r="AI1172" s="134"/>
      <c r="AJ1172" s="129">
        <f t="shared" si="2031"/>
        <v>11261.78180201171</v>
      </c>
      <c r="AK1172" s="134">
        <f t="shared" si="2114"/>
        <v>9.9752150115743621E-2</v>
      </c>
      <c r="AL1172" s="129"/>
      <c r="AM1172" s="129"/>
      <c r="AN1172" s="129"/>
      <c r="AO1172" s="129"/>
      <c r="AP1172" s="133">
        <f t="shared" si="2115"/>
        <v>696.50453349073598</v>
      </c>
      <c r="AQ1172" s="134">
        <f>+BB1172/Outputs!$B$25</f>
        <v>4.3667464198566863E-4</v>
      </c>
      <c r="AR1172" s="93">
        <f t="shared" si="2105"/>
        <v>0.30649459493042158</v>
      </c>
      <c r="AS1172" s="93">
        <f t="shared" si="2106"/>
        <v>0.44386141875319646</v>
      </c>
      <c r="AT1172" s="93">
        <f t="shared" si="2107"/>
        <v>0.24964398631638196</v>
      </c>
      <c r="AU1172" s="93">
        <f t="shared" ca="1" si="2110"/>
        <v>0.11222415653565461</v>
      </c>
      <c r="AV1172" s="132">
        <f t="shared" ca="1" si="2118"/>
        <v>143.49733148177617</v>
      </c>
      <c r="AW1172" s="134">
        <f t="shared" ca="1" si="2119"/>
        <v>0.11222415653565455</v>
      </c>
      <c r="AX1172" s="135">
        <f>+AJ1172/$AL$22</f>
        <v>1.0955970812166951E-3</v>
      </c>
      <c r="AY1172" s="135">
        <f t="shared" ca="1" si="2117"/>
        <v>1.2295245834246862E-4</v>
      </c>
      <c r="AZ1172" s="93"/>
      <c r="BA1172" s="93"/>
      <c r="BB1172" s="234">
        <f>IFERROR(INDEX('Total Customers'!$E$7:$AA$91,MATCH($C1172,'Total Customers'!$C$7:$C$91,0),MATCH($G1172,'Total Customers'!$E$5:$AA$5,0)),"NA")</f>
        <v>16169</v>
      </c>
      <c r="BC1172" s="269">
        <f t="shared" si="2095"/>
        <v>-1.2361705016912408E-3</v>
      </c>
      <c r="BD1172" s="92"/>
      <c r="BE1172" s="299" t="str">
        <f t="shared" si="2089"/>
        <v>ST. LAWRENCE GAS COMPANY, INC.</v>
      </c>
      <c r="BF1172" s="300">
        <f t="shared" si="2090"/>
        <v>4063183</v>
      </c>
      <c r="BG1172" s="231" t="str">
        <f t="shared" si="2091"/>
        <v>NY</v>
      </c>
      <c r="BH1172" s="231"/>
      <c r="BI1172" s="231" t="str">
        <f t="shared" si="2092"/>
        <v>2017 Y</v>
      </c>
      <c r="BJ1172" s="129"/>
      <c r="BK1172" s="129"/>
      <c r="BL1172" s="129"/>
      <c r="BM1172" s="129"/>
      <c r="BN1172" s="301">
        <f t="shared" si="2079"/>
        <v>0.88670690328198665</v>
      </c>
      <c r="BO1172" s="231">
        <f t="shared" si="2073"/>
        <v>0</v>
      </c>
      <c r="BP1172" s="231">
        <f t="shared" si="2074"/>
        <v>0</v>
      </c>
      <c r="BQ1172" s="129"/>
      <c r="BR1172" s="129"/>
      <c r="BS1172" s="129"/>
      <c r="BT1172" s="129"/>
      <c r="BU1172" s="129"/>
      <c r="BV1172" s="129"/>
      <c r="BW1172" s="129"/>
      <c r="BX1172" s="137"/>
      <c r="BY1172" s="129">
        <f>INDEX('Gross Dx Plant'!$D$7:$AC$91,MATCH($C1172,'Gross Dx Plant'!$C$7:$C$91,0),MATCH(Calculation!$G1172,'Gross Dx Plant'!$D$5:$AC$5,0))</f>
        <v>88590</v>
      </c>
      <c r="BZ1172" s="129">
        <f>INDEX('Gross Gen Plant'!$D$7:$AC$91,MATCH($C1172,'Gross Gen Plant'!$C$7:$C$91,0),MATCH(Calculation!$G1172,'Gross Gen Plant'!$D$5:$AC$5,0))</f>
        <v>11319</v>
      </c>
      <c r="CA1172" s="129">
        <f t="shared" si="2048"/>
        <v>99909</v>
      </c>
      <c r="CB1172" s="129"/>
      <c r="CC1172" s="133">
        <v>2017</v>
      </c>
      <c r="CD1172" s="129"/>
      <c r="CE1172" s="129"/>
      <c r="CF1172" s="129"/>
      <c r="CG1172" s="137"/>
      <c r="CH1172" s="129">
        <v>341</v>
      </c>
      <c r="CI1172" s="46">
        <f t="shared" si="2093"/>
        <v>341</v>
      </c>
      <c r="CJ1172" s="231">
        <f t="shared" si="2081"/>
        <v>0.4786444673905641</v>
      </c>
      <c r="CK1172" s="443">
        <v>0.77108433734939763</v>
      </c>
      <c r="CL1172" s="231">
        <f>+CL1153*CK1172+CJ1154*CK1171+CJ1155*CK1170+CJ1156*CK1169+CJ1157*CK1168+CJ1158*CK1167+CJ1159*CK1166+CJ1160*CK1165+CJ1161*CK1164+CJ1162*CK1163+CJ1163*CK1162+CJ1164*CK1161+CJ1165*CK1160+CJ1166*CK1159+CJ1167*CK1158+CJ1168*CK1157+CJ1169*CK1156+CJ1170*CK1155+CJ1171*CK1154+CJ1172</f>
        <v>199.79952632222148</v>
      </c>
      <c r="CM1172" s="134">
        <f t="shared" si="2082"/>
        <v>-1.2671280345864632E-2</v>
      </c>
      <c r="CN1172" s="135">
        <f t="shared" si="2083"/>
        <v>1.4956797216120995E-2</v>
      </c>
      <c r="CO1172" s="135">
        <f t="shared" si="2097"/>
        <v>1.4861770148692778E-2</v>
      </c>
      <c r="CP1172" s="134">
        <f>VLOOKUP($H1172,RoR!$E:$F,2,FALSE)</f>
        <v>3.7433333333333339E-2</v>
      </c>
      <c r="CQ1172" s="135">
        <v>1.9056896421275615E-2</v>
      </c>
      <c r="CR1172" s="135">
        <f t="shared" si="2094"/>
        <v>1.8376436912057724E-2</v>
      </c>
      <c r="CS1172" s="135">
        <f t="shared" si="2098"/>
        <v>1.6040171459840845E-2</v>
      </c>
      <c r="CT1172" s="135">
        <f t="shared" si="2099"/>
        <v>1.3976271617800498E-2</v>
      </c>
      <c r="CU1172" s="139">
        <f t="shared" si="2084"/>
        <v>0.90509623210000001</v>
      </c>
      <c r="CV1172" s="335">
        <f t="shared" si="2085"/>
        <v>1.3699568463593395</v>
      </c>
      <c r="CW1172" s="335">
        <f t="shared" si="2086"/>
        <v>0.30714603739982199</v>
      </c>
      <c r="CX1172" s="335">
        <f t="shared" si="2087"/>
        <v>0.77007188472689425</v>
      </c>
      <c r="CY1172" s="335">
        <f t="shared" si="2088"/>
        <v>0.32402839633793828</v>
      </c>
      <c r="CZ1172" s="336">
        <f>INDEX('State Tax Lookup'!$D$7:$Z$91,MATCH(Calculation!$C1172,'State Tax Lookup'!$B$7:$B$91,0),MATCH($H1172,'State Tax Lookup'!$D$6:$Z$6,0))</f>
        <v>0.25649666999999998</v>
      </c>
      <c r="DA1172" s="302">
        <v>0.37</v>
      </c>
      <c r="DB1172" s="57">
        <f t="shared" si="2096"/>
        <v>13.894108819123133</v>
      </c>
      <c r="DC1172" s="56">
        <f t="shared" si="2100"/>
        <v>-9.4605807997811486E-2</v>
      </c>
      <c r="DD1172" s="303">
        <f>VLOOKUP($H1172,RoR!$E:$F,2,FALSE)</f>
        <v>3.7433333333333339E-2</v>
      </c>
      <c r="DE1172" s="304">
        <f>HLOOKUP($H1172,'GDP-PI'!$D$8:$CQ$11,3,FALSE)</f>
        <v>1.9056896421275615E-2</v>
      </c>
      <c r="DF1172" s="303">
        <f>VLOOKUP(H1172,'HW Dx Data'!$E:$F,2,FALSE)</f>
        <v>712.42858370229726</v>
      </c>
      <c r="DG1172" s="364">
        <f ca="1">VLOOKUP(CC1172,'ECI - Input Price'!M$13:N$33,2,FALSE)</f>
        <v>140.44999999999999</v>
      </c>
      <c r="DH1172" s="364"/>
      <c r="DI1172" s="364"/>
      <c r="DJ1172" s="56">
        <f t="shared" ca="1" si="2108"/>
        <v>2.5235657841165486E-2</v>
      </c>
      <c r="DK1172" s="53">
        <f>HLOOKUP(H1172,'GDP-PI'!$8:$9,2,FALSE)</f>
        <v>107.751</v>
      </c>
      <c r="DL1172" s="355">
        <f t="shared" si="2101"/>
        <v>1.8877588227745139E-2</v>
      </c>
    </row>
    <row r="1173" spans="1:116" s="126" customFormat="1" ht="21" customHeight="1" x14ac:dyDescent="0.4">
      <c r="A1173" s="233" t="s">
        <v>251</v>
      </c>
      <c r="B1173" s="126" t="s">
        <v>251</v>
      </c>
      <c r="C1173" s="126">
        <v>4063183</v>
      </c>
      <c r="D1173" s="127" t="s">
        <v>194</v>
      </c>
      <c r="E1173" s="127" t="s">
        <v>15</v>
      </c>
      <c r="F1173" s="144"/>
      <c r="G1173" s="126" t="s">
        <v>174</v>
      </c>
      <c r="H1173" s="128">
        <v>2018</v>
      </c>
      <c r="I1173" s="129"/>
      <c r="J1173" s="125">
        <f>IFERROR(INDEX('Labor Expenditures'!$E$7:$W$91,MATCH($C1173,'Labor Expenditures'!$C$7:$C$91,0),MATCH($G1173,'Labor Expenditures'!$E$5:$W$5,0)),"NA")</f>
        <v>3450.2757797063036</v>
      </c>
      <c r="K1173" s="125">
        <f t="shared" ca="1" si="2102"/>
        <v>23.885605951583965</v>
      </c>
      <c r="L1173" s="47"/>
      <c r="M1173" s="131">
        <f t="shared" ca="1" si="2109"/>
        <v>-2.8487402728658826E-2</v>
      </c>
      <c r="N1173" s="131"/>
      <c r="O1173" s="131"/>
      <c r="P1173" s="59">
        <f t="shared" ca="1" si="2111"/>
        <v>-2.9092831960677289E-5</v>
      </c>
      <c r="Q1173" s="61"/>
      <c r="R1173" s="387"/>
      <c r="S1173" s="49">
        <f t="shared" ca="1" si="2116"/>
        <v>117.37055341732056</v>
      </c>
      <c r="T1173" s="61">
        <f ca="1">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</f>
        <v>-0.37417725760488146</v>
      </c>
      <c r="U1173" s="61"/>
      <c r="V1173" s="125">
        <f>IFERROR(INDEX('Non-Labor Expenditures'!$E$7:$AA$91,MATCH($C1173,'Non-Labor Expenditures'!$C$7:$C$91,0),MATCH($G1173,'Non-Labor Expenditures'!$E$5:$AA$5,0)),"NA")</f>
        <v>4996.6437516390451</v>
      </c>
      <c r="W1173" s="125">
        <f t="shared" si="2103"/>
        <v>45.291453668706559</v>
      </c>
      <c r="X1173" s="131">
        <f t="shared" si="2112"/>
        <v>-2.3985882083175845E-2</v>
      </c>
      <c r="Y1173" s="131">
        <f t="shared" si="2113"/>
        <v>-2.4495642636190158E-5</v>
      </c>
      <c r="Z1173" s="131"/>
      <c r="AA1173" s="131"/>
      <c r="AB1173" s="131"/>
      <c r="AC1173" s="125">
        <f t="shared" si="2078"/>
        <v>2917.5248378769279</v>
      </c>
      <c r="AD1173" s="129"/>
      <c r="AE1173" s="133">
        <v>214.63254437924178</v>
      </c>
      <c r="AF1173" s="134">
        <v>-1.4410257207265591E-2</v>
      </c>
      <c r="AG1173" s="59">
        <f t="shared" si="2104"/>
        <v>-1.4716511555451795E-5</v>
      </c>
      <c r="AH1173" s="134"/>
      <c r="AI1173" s="134"/>
      <c r="AJ1173" s="129">
        <f t="shared" si="2031"/>
        <v>11364.444369222278</v>
      </c>
      <c r="AK1173" s="134">
        <f t="shared" si="2114"/>
        <v>9.0747145333308632E-3</v>
      </c>
      <c r="AL1173" s="129"/>
      <c r="AM1173" s="129"/>
      <c r="AN1173" s="129"/>
      <c r="AO1173" s="129"/>
      <c r="AP1173" s="133">
        <f t="shared" si="2115"/>
        <v>702.85387897966962</v>
      </c>
      <c r="AQ1173" s="134">
        <f>+BB1173/Outputs!$B$26</f>
        <v>4.3285029927680351E-4</v>
      </c>
      <c r="AR1173" s="93">
        <f t="shared" si="2105"/>
        <v>0.30360268109987876</v>
      </c>
      <c r="AS1173" s="93">
        <f t="shared" si="2106"/>
        <v>0.43967338739157286</v>
      </c>
      <c r="AT1173" s="93">
        <f t="shared" si="2107"/>
        <v>0.25672393150854833</v>
      </c>
      <c r="AU1173" s="93">
        <f t="shared" ca="1" si="2110"/>
        <v>-2.2934670209933866E-2</v>
      </c>
      <c r="AV1173" s="132">
        <f t="shared" ca="1" si="2118"/>
        <v>140.24372037225558</v>
      </c>
      <c r="AW1173" s="134">
        <f t="shared" ca="1" si="2119"/>
        <v>-2.2934670209933842E-2</v>
      </c>
      <c r="AX1173" s="135">
        <f>+AJ1173/$AL$23</f>
        <v>1.0212525247663027E-3</v>
      </c>
      <c r="AY1173" s="135">
        <f t="shared" ca="1" si="2117"/>
        <v>-2.3422089856577447E-5</v>
      </c>
      <c r="AZ1173" s="93"/>
      <c r="BA1173" s="93"/>
      <c r="BB1173" s="234">
        <f>IFERROR(INDEX('Total Customers'!$E$7:$AA$91,MATCH($C1173,'Total Customers'!$C$7:$C$91,0),MATCH($G1173,'Total Customers'!$E$5:$AA$5,0)),"NA")</f>
        <v>16169</v>
      </c>
      <c r="BC1173" s="269">
        <f t="shared" si="2095"/>
        <v>0</v>
      </c>
      <c r="BD1173" s="92"/>
      <c r="BE1173" s="299" t="str">
        <f t="shared" si="2089"/>
        <v>ST. LAWRENCE GAS COMPANY, INC.</v>
      </c>
      <c r="BF1173" s="300">
        <f t="shared" si="2090"/>
        <v>4063183</v>
      </c>
      <c r="BG1173" s="231" t="str">
        <f t="shared" si="2091"/>
        <v>NY</v>
      </c>
      <c r="BH1173" s="231"/>
      <c r="BI1173" s="231" t="str">
        <f t="shared" si="2092"/>
        <v>2018 Y</v>
      </c>
      <c r="BJ1173" s="129"/>
      <c r="BK1173" s="129"/>
      <c r="BL1173" s="129">
        <f>INDEX('Dist. Plant Gas Additions'!$E$7:$AD$91,MATCH($C1173,'Dist. Plant Gas Additions'!$C$7:$C$91,0),MATCH(Calculation!$G1173,'Dist. Plant Gas Additions'!$E$5:$AD$5,0))</f>
        <v>-1827</v>
      </c>
      <c r="BM1173" s="129">
        <f>INDEX('Gen. Plant Additions'!$E$7:$AD$91,MATCH($C1173,'Gen. Plant Additions'!$C$7:$C$91,0),MATCH(Calculation!$G1173,'Gen. Plant Additions'!$E$5:$AD$5,0))</f>
        <v>898</v>
      </c>
      <c r="BN1173" s="301">
        <f t="shared" si="2079"/>
        <v>0.8795922744589364</v>
      </c>
      <c r="BO1173" s="231">
        <f t="shared" si="2073"/>
        <v>789.87386246412484</v>
      </c>
      <c r="BP1173" s="231">
        <f t="shared" si="2074"/>
        <v>-108.12613753587516</v>
      </c>
      <c r="BQ1173" s="129">
        <f>INDEX('Dist Plant Depreciation'!$D$7:$AC$94,MATCH($C1173,'Dist Plant Depreciation'!$C$7:$C$94,0),MATCH(Calculation!$G1173,'Dist Plant Depreciation'!$D$5:$AC$5,0))</f>
        <v>25692</v>
      </c>
      <c r="BR1173" s="129">
        <f>INDEX('Gen. Plant Depreciation'!$D$7:$AC$94,MATCH($C1173,'Gen. Plant Depreciation'!$C$7:$C$94,0),MATCH(Calculation!$G1173,'Gen. Plant Depreciation'!$D$5:$AC$5,0))</f>
        <v>5439</v>
      </c>
      <c r="BS1173" s="129"/>
      <c r="BT1173" s="129"/>
      <c r="BU1173" s="129"/>
      <c r="BV1173" s="129"/>
      <c r="BW1173" s="129"/>
      <c r="BX1173" s="137"/>
      <c r="BY1173" s="129">
        <f>INDEX('Gross Dx Plant'!$D$7:$AC$91,MATCH($C1173,'Gross Dx Plant'!$C$7:$C$91,0),MATCH(Calculation!$G1173,'Gross Dx Plant'!$D$5:$AC$5,0))</f>
        <v>86120</v>
      </c>
      <c r="BZ1173" s="129">
        <f>INDEX('Gross Gen Plant'!$D$7:$AC$91,MATCH($C1173,'Gross Gen Plant'!$C$7:$C$91,0),MATCH(Calculation!$G1173,'Gross Gen Plant'!$D$5:$AC$5,0))</f>
        <v>11789</v>
      </c>
      <c r="CA1173" s="129">
        <f t="shared" si="2048"/>
        <v>66778</v>
      </c>
      <c r="CB1173" s="129"/>
      <c r="CC1173" s="133">
        <v>2018</v>
      </c>
      <c r="CD1173" s="129"/>
      <c r="CE1173" s="129"/>
      <c r="CF1173" s="129"/>
      <c r="CG1173" s="137"/>
      <c r="CH1173" s="129">
        <f>+BM1173+BL1173</f>
        <v>-929</v>
      </c>
      <c r="CI1173" s="46">
        <f t="shared" si="2093"/>
        <v>-1037.1261375358752</v>
      </c>
      <c r="CJ1173" s="231">
        <f t="shared" si="2081"/>
        <v>-1.3734283048864027</v>
      </c>
      <c r="CK1173" s="443">
        <v>0.75609756097560976</v>
      </c>
      <c r="CL1173" s="231">
        <f>+CL1153*CK1173++CJ1154*CK1172+CJ1155*CK1171+CJ1156*CK1170+CJ1157*CK1169+CJ1158*CK1168+CJ1159*CK1167+CJ1160*CK1166+CJ1161*CK1165+CJ1162*CK1164+CJ1163*CK1163+CJ1164*CK1162+CJ1165*CK1161+CJ1166*CK1160+CJ1167*CK1159+CJ1168*CK1158+CJ1169*CK1157+CJ1170*CK1156+CJ1171*CK1155+CJ1172*CK1154+CJ1173</f>
        <v>195.32497077381822</v>
      </c>
      <c r="CM1173" s="134">
        <f t="shared" si="2082"/>
        <v>-2.2649807197668275E-2</v>
      </c>
      <c r="CN1173" s="135">
        <f t="shared" si="2083"/>
        <v>1.5521194171980139E-2</v>
      </c>
      <c r="CO1173" s="135">
        <f t="shared" si="2097"/>
        <v>1.4966426916896924E-2</v>
      </c>
      <c r="CP1173" s="134">
        <f>VLOOKUP($H1173,RoR!$E:$F,2,FALSE)</f>
        <v>3.9299999999999995E-2</v>
      </c>
      <c r="CQ1173" s="135">
        <v>2.386056741932796E-2</v>
      </c>
      <c r="CR1173" s="135">
        <f t="shared" si="2094"/>
        <v>1.5439432580672034E-2</v>
      </c>
      <c r="CS1173" s="135">
        <f t="shared" si="2098"/>
        <v>1.5935514691636701E-2</v>
      </c>
      <c r="CT1173" s="135">
        <f t="shared" si="2099"/>
        <v>3.8270792163076606E-2</v>
      </c>
      <c r="CU1173" s="139">
        <f t="shared" si="2084"/>
        <v>0.90509623210000001</v>
      </c>
      <c r="CV1173" s="335">
        <f t="shared" si="2085"/>
        <v>1.3048868010700074</v>
      </c>
      <c r="CW1173" s="335">
        <f t="shared" si="2086"/>
        <v>0.33886768447837151</v>
      </c>
      <c r="CX1173" s="335">
        <f t="shared" si="2087"/>
        <v>0.78602506232557801</v>
      </c>
      <c r="CY1173" s="335">
        <f t="shared" si="2088"/>
        <v>0.34756768162358759</v>
      </c>
      <c r="CZ1173" s="336">
        <f>INDEX('State Tax Lookup'!$D$7:$Z$91,MATCH(Calculation!$C1173,'State Tax Lookup'!$B$7:$B$91,0),MATCH($H1173,'State Tax Lookup'!$D$6:$Z$6,0))</f>
        <v>0.25649666999999998</v>
      </c>
      <c r="DA1173" s="302">
        <v>0.37</v>
      </c>
      <c r="DB1173" s="57">
        <f t="shared" si="2096"/>
        <v>14.602261034251732</v>
      </c>
      <c r="DC1173" s="56">
        <f t="shared" si="2100"/>
        <v>4.9711457748923278E-2</v>
      </c>
      <c r="DD1173" s="303">
        <f>VLOOKUP($H1173,RoR!$E:$F,2,FALSE)</f>
        <v>3.9299999999999995E-2</v>
      </c>
      <c r="DE1173" s="304">
        <f>HLOOKUP($H1173,'GDP-PI'!$D$8:$CQ$11,3,FALSE)</f>
        <v>2.386056741932796E-2</v>
      </c>
      <c r="DF1173" s="303">
        <f>VLOOKUP(H1173,'HW Dx Data'!$E:$F,2,FALSE)</f>
        <v>755.13671434174842</v>
      </c>
      <c r="DG1173" s="364">
        <f ca="1">VLOOKUP(CC1173,'ECI - Input Price'!M$13:N$33,2,FALSE)</f>
        <v>144.44999999999999</v>
      </c>
      <c r="DH1173" s="364"/>
      <c r="DI1173" s="364"/>
      <c r="DJ1173" s="56">
        <f t="shared" ca="1" si="2108"/>
        <v>2.80818733619915E-2</v>
      </c>
      <c r="DK1173" s="53">
        <f>HLOOKUP(H1173,'GDP-PI'!$8:$9,2,FALSE)</f>
        <v>110.322</v>
      </c>
      <c r="DL1173" s="355">
        <f t="shared" si="2101"/>
        <v>2.3580352716508712E-2</v>
      </c>
    </row>
    <row r="1174" spans="1:116" s="126" customFormat="1" ht="21" customHeight="1" x14ac:dyDescent="0.4">
      <c r="A1174" s="233" t="s">
        <v>251</v>
      </c>
      <c r="B1174" s="126" t="s">
        <v>251</v>
      </c>
      <c r="C1174" s="126">
        <v>4063183</v>
      </c>
      <c r="D1174" s="127" t="s">
        <v>194</v>
      </c>
      <c r="E1174" s="127" t="s">
        <v>15</v>
      </c>
      <c r="F1174" s="144"/>
      <c r="G1174" s="126" t="s">
        <v>175</v>
      </c>
      <c r="H1174" s="128">
        <v>2019</v>
      </c>
      <c r="I1174" s="129"/>
      <c r="J1174" s="125">
        <f>IFERROR(INDEX('Labor Expenditures'!$E$7:$W$91,MATCH($C1174,'Labor Expenditures'!$C$7:$C$91,0),MATCH($G1174,'Labor Expenditures'!$E$5:$W$5,0)),"NA")</f>
        <v>4021.7937134548392</v>
      </c>
      <c r="K1174" s="125">
        <f t="shared" ca="1" si="2102"/>
        <v>26.87017680611217</v>
      </c>
      <c r="L1174" s="47"/>
      <c r="M1174" s="131">
        <f t="shared" ca="1" si="2109"/>
        <v>0.11774098659683623</v>
      </c>
      <c r="N1174" s="131"/>
      <c r="O1174" s="131"/>
      <c r="P1174" s="59">
        <f t="shared" ca="1" si="2111"/>
        <v>1.3081160873662653E-4</v>
      </c>
      <c r="Q1174" s="61"/>
      <c r="R1174" s="387"/>
      <c r="S1174" s="49">
        <f t="shared" ca="1" si="2116"/>
        <v>117.12144685422787</v>
      </c>
      <c r="T1174" s="61">
        <f ca="1">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</f>
        <v>-2.1246495105385899E-3</v>
      </c>
      <c r="U1174" s="61"/>
      <c r="V1174" s="125">
        <f>IFERROR(INDEX('Non-Labor Expenditures'!$E$7:$AA$91,MATCH($C1174,'Non-Labor Expenditures'!$C$7:$C$91,0),MATCH($G1174,'Non-Labor Expenditures'!$E$5:$AA$5,0)),"NA")</f>
        <v>5824.3084645326217</v>
      </c>
      <c r="W1174" s="125">
        <f t="shared" si="2103"/>
        <v>51.855521506193327</v>
      </c>
      <c r="X1174" s="131">
        <f t="shared" si="2112"/>
        <v>0.13534306504460616</v>
      </c>
      <c r="Y1174" s="131">
        <f t="shared" si="2113"/>
        <v>1.5036772309759587E-4</v>
      </c>
      <c r="Z1174" s="131"/>
      <c r="AA1174" s="131"/>
      <c r="AB1174" s="131"/>
      <c r="AC1174" s="125">
        <f t="shared" si="2078"/>
        <v>2811.7789360855018</v>
      </c>
      <c r="AD1174" s="129"/>
      <c r="AE1174" s="133">
        <v>186.33540178330267</v>
      </c>
      <c r="AF1174" s="134">
        <v>-0.14137918481629266</v>
      </c>
      <c r="AG1174" s="59">
        <f t="shared" si="2104"/>
        <v>-1.570739225331838E-4</v>
      </c>
      <c r="AH1174" s="134"/>
      <c r="AI1174" s="134"/>
      <c r="AJ1174" s="129">
        <f t="shared" si="2031"/>
        <v>12657.881114072963</v>
      </c>
      <c r="AK1174" s="134">
        <f t="shared" si="2114"/>
        <v>0.10779046768402574</v>
      </c>
      <c r="AL1174" s="129"/>
      <c r="AM1174" s="129"/>
      <c r="AN1174" s="129"/>
      <c r="AO1174" s="129"/>
      <c r="AP1174" s="133">
        <f t="shared" si="2115"/>
        <v>768.21515531182638</v>
      </c>
      <c r="AQ1174" s="134">
        <f>+BB1174/Outputs!$B$27</f>
        <v>4.3745778115583103E-4</v>
      </c>
      <c r="AR1174" s="93">
        <f t="shared" si="2105"/>
        <v>0.3177304066304929</v>
      </c>
      <c r="AS1174" s="93">
        <f t="shared" si="2106"/>
        <v>0.46013297265505104</v>
      </c>
      <c r="AT1174" s="93">
        <f t="shared" si="2107"/>
        <v>0.222136620714456</v>
      </c>
      <c r="AU1174" s="93">
        <f t="shared" ca="1" si="2110"/>
        <v>6.3619003478002506E-2</v>
      </c>
      <c r="AV1174" s="132">
        <f t="shared" ca="1" si="2118"/>
        <v>149.4558112698524</v>
      </c>
      <c r="AW1174" s="134">
        <f t="shared" ca="1" si="2119"/>
        <v>6.3619003478002589E-2</v>
      </c>
      <c r="AX1174" s="135">
        <f>+AJ1174/$AL$24</f>
        <v>1.1110116580264966E-3</v>
      </c>
      <c r="AY1174" s="135">
        <f t="shared" ca="1" si="2117"/>
        <v>7.0681454536089116E-5</v>
      </c>
      <c r="AZ1174" s="93"/>
      <c r="BA1174" s="93"/>
      <c r="BB1174" s="234">
        <f>IFERROR(INDEX('Total Customers'!$E$7:$AA$91,MATCH($C1174,'Total Customers'!$C$7:$C$91,0),MATCH($G1174,'Total Customers'!$E$5:$AA$5,0)),"NA")</f>
        <v>16477</v>
      </c>
      <c r="BC1174" s="269">
        <f t="shared" si="2095"/>
        <v>1.8869640317616881E-2</v>
      </c>
      <c r="BD1174" s="92"/>
      <c r="BE1174" s="299" t="str">
        <f t="shared" si="2089"/>
        <v>ST. LAWRENCE GAS COMPANY, INC.</v>
      </c>
      <c r="BF1174" s="300">
        <f t="shared" si="2090"/>
        <v>4063183</v>
      </c>
      <c r="BG1174" s="231" t="str">
        <f t="shared" si="2091"/>
        <v>NY</v>
      </c>
      <c r="BH1174" s="231"/>
      <c r="BI1174" s="231" t="str">
        <f t="shared" si="2092"/>
        <v>2019 Y</v>
      </c>
      <c r="BJ1174" s="129"/>
      <c r="BK1174" s="129"/>
      <c r="BL1174" s="129">
        <f>INDEX('Dist. Plant Gas Additions'!$E$7:$AD$91,MATCH($C1174,'Dist. Plant Gas Additions'!$C$7:$C$91,0),MATCH(Calculation!$G1174,'Dist. Plant Gas Additions'!$E$5:$AD$5,0))</f>
        <v>-21150</v>
      </c>
      <c r="BM1174" s="129">
        <f>INDEX('Gen. Plant Additions'!$E$7:$AD$91,MATCH($C1174,'Gen. Plant Additions'!$C$7:$C$91,0),MATCH(Calculation!$G1174,'Gen. Plant Additions'!$E$5:$AD$5,0))</f>
        <v>772</v>
      </c>
      <c r="BN1174" s="301">
        <f t="shared" si="2079"/>
        <v>0.84152046783625734</v>
      </c>
      <c r="BO1174" s="231">
        <f t="shared" si="2073"/>
        <v>649.65380116959068</v>
      </c>
      <c r="BP1174" s="231">
        <f t="shared" si="2074"/>
        <v>-122.34619883040932</v>
      </c>
      <c r="BQ1174" s="129">
        <f>INDEX('Dist Plant Depreciation'!$D$7:$AC$94,MATCH($C1174,'Dist Plant Depreciation'!$C$7:$C$94,0),MATCH(Calculation!$G1174,'Dist Plant Depreciation'!$D$5:$AC$5,0))</f>
        <v>26977</v>
      </c>
      <c r="BR1174" s="129">
        <f>INDEX('Gen. Plant Depreciation'!$D$7:$AC$94,MATCH($C1174,'Gen. Plant Depreciation'!$C$7:$C$94,0),MATCH(Calculation!$G1174,'Gen. Plant Depreciation'!$D$5:$AC$5,0))</f>
        <v>5829</v>
      </c>
      <c r="BS1174" s="129"/>
      <c r="BT1174" s="129"/>
      <c r="BU1174" s="129"/>
      <c r="BV1174" s="129"/>
      <c r="BW1174" s="129"/>
      <c r="BX1174" s="137"/>
      <c r="BY1174" s="129">
        <f>INDEX('Gross Dx Plant'!$D$7:$AC$91,MATCH($C1174,'Gross Dx Plant'!$C$7:$C$91,0),MATCH(Calculation!$G1174,'Gross Dx Plant'!$D$5:$AC$5,0))</f>
        <v>64755</v>
      </c>
      <c r="BZ1174" s="129">
        <f>INDEX('Gross Gen Plant'!$D$7:$AC$91,MATCH($C1174,'Gross Gen Plant'!$C$7:$C$91,0),MATCH(Calculation!$G1174,'Gross Gen Plant'!$D$5:$AC$5,0))</f>
        <v>12195</v>
      </c>
      <c r="CA1174" s="129">
        <f t="shared" si="2048"/>
        <v>44144</v>
      </c>
      <c r="CB1174" s="129"/>
      <c r="CC1174" s="133">
        <v>2019</v>
      </c>
      <c r="CD1174" s="129"/>
      <c r="CE1174" s="129"/>
      <c r="CF1174" s="129"/>
      <c r="CG1174" s="137"/>
      <c r="CH1174" s="129">
        <f>+BM1174+BL1174</f>
        <v>-20378</v>
      </c>
      <c r="CI1174" s="46">
        <f t="shared" si="2093"/>
        <v>-20500.346198830408</v>
      </c>
      <c r="CJ1174" s="231">
        <f t="shared" si="2081"/>
        <v>-26.502009986358534</v>
      </c>
      <c r="CK1174" s="443">
        <v>0.7407407407407407</v>
      </c>
      <c r="CL1174" s="231">
        <f>CL1153*CK1174+CJ1154*CK1173+CJ1155*CK1172+CJ1156*CK1171+CJ1157*CK1170+CJ1158*CK1169+CJ1159*CK1168+CJ1160*CK1167+CJ1161*CK1166+CJ1162*CK1165+CJ1163*CK1164+CJ1164*CK1163+CJ1165*CK1162+CJ1166*CK1161+CJ1167*CK1160+CJ1168*CK1159+CJ1169*CK1158+CJ1170*CK1157+CJ1171*CK1156+CJ1172*CK1155+CJ1173*CK1154+CJ1174</f>
        <v>165.66295100600789</v>
      </c>
      <c r="CM1174" s="134">
        <f t="shared" si="2082"/>
        <v>-0.16470937961249033</v>
      </c>
      <c r="CN1174" s="135">
        <f t="shared" si="2083"/>
        <v>1.617821709601595E-2</v>
      </c>
      <c r="CO1174" s="135">
        <f t="shared" si="2097"/>
        <v>1.5552069494705695E-2</v>
      </c>
      <c r="CP1174" s="134">
        <f>VLOOKUP($H1174,RoR!$E:$F,2,FALSE)</f>
        <v>3.3875000000000009E-2</v>
      </c>
      <c r="CQ1174" s="135">
        <v>1.8092492884465461E-2</v>
      </c>
      <c r="CR1174" s="135">
        <f t="shared" si="2094"/>
        <v>1.5782507115534548E-2</v>
      </c>
      <c r="CS1174" s="135">
        <f t="shared" si="2098"/>
        <v>1.534987211382793E-2</v>
      </c>
      <c r="CT1174" s="135">
        <f t="shared" si="2099"/>
        <v>4.8445665544254078E-2</v>
      </c>
      <c r="CU1174" s="139">
        <f t="shared" si="2084"/>
        <v>0.90509623210000001</v>
      </c>
      <c r="CV1174" s="335">
        <f t="shared" si="2085"/>
        <v>1.513861292459078</v>
      </c>
      <c r="CW1174" s="335">
        <f t="shared" si="2086"/>
        <v>0.23699261992619944</v>
      </c>
      <c r="CX1174" s="335">
        <f t="shared" si="2087"/>
        <v>0.73619765810468829</v>
      </c>
      <c r="CY1174" s="335">
        <f t="shared" si="2088"/>
        <v>0.26412854465362851</v>
      </c>
      <c r="CZ1174" s="336">
        <f>INDEX('State Tax Lookup'!$D$7:$Z$91,MATCH(Calculation!$C1174,'State Tax Lookup'!$B$7:$B$91,0),MATCH($H1174,'State Tax Lookup'!$D$6:$Z$6,0))</f>
        <v>0.25649666999999998</v>
      </c>
      <c r="DA1174" s="302">
        <v>0.37</v>
      </c>
      <c r="DB1174" s="57">
        <f t="shared" si="2096"/>
        <v>14.395389001959593</v>
      </c>
      <c r="DC1174" s="56">
        <f t="shared" si="2100"/>
        <v>-1.4268434976483573E-2</v>
      </c>
      <c r="DD1174" s="303">
        <f>VLOOKUP($H1174,RoR!$E:$F,2,FALSE)</f>
        <v>3.3875000000000009E-2</v>
      </c>
      <c r="DE1174" s="304">
        <f>HLOOKUP($H1174,'GDP-PI'!$D$8:$CQ$11,3,FALSE)</f>
        <v>1.8092492884465461E-2</v>
      </c>
      <c r="DF1174" s="303">
        <f>VLOOKUP(H1174,'HW Dx Data'!$E:$F,2,FALSE)</f>
        <v>773.53929793938721</v>
      </c>
      <c r="DG1174" s="364">
        <f ca="1">VLOOKUP(CC1174,'ECI - Input Price'!M$13:N$33,2,FALSE)</f>
        <v>149.67500000000001</v>
      </c>
      <c r="DH1174" s="364"/>
      <c r="DI1174" s="364"/>
      <c r="DJ1174" s="56">
        <f t="shared" ca="1" si="2108"/>
        <v>3.5532849899171604E-2</v>
      </c>
      <c r="DK1174" s="53">
        <f>HLOOKUP(H1174,'GDP-PI'!$8:$9,2,FALSE)</f>
        <v>112.318</v>
      </c>
      <c r="DL1174" s="355">
        <f t="shared" si="2101"/>
        <v>1.7930771451401852E-2</v>
      </c>
    </row>
    <row r="1175" spans="1:116" s="126" customFormat="1" ht="21" customHeight="1" x14ac:dyDescent="0.4">
      <c r="A1175" s="233" t="s">
        <v>251</v>
      </c>
      <c r="B1175" s="126" t="s">
        <v>251</v>
      </c>
      <c r="C1175" s="126">
        <v>4063183</v>
      </c>
      <c r="D1175" s="126" t="s">
        <v>194</v>
      </c>
      <c r="E1175" s="126" t="s">
        <v>15</v>
      </c>
      <c r="G1175" s="127" t="s">
        <v>176</v>
      </c>
      <c r="H1175" s="128">
        <v>2020</v>
      </c>
      <c r="I1175" s="129"/>
      <c r="J1175" s="125">
        <f>IFERROR(INDEX('Labor Expenditures'!$E$7:$W$91,MATCH($C1175,'Labor Expenditures'!$C$7:$C$91,0),MATCH($G1175,'Labor Expenditures'!$E$5:$W$5,0)),"NA")</f>
        <v>3625.2895969231431</v>
      </c>
      <c r="K1175" s="125">
        <f t="shared" ca="1" si="2102"/>
        <v>23.671495898943146</v>
      </c>
      <c r="L1175" s="47"/>
      <c r="M1175" s="131">
        <f t="shared" ca="1" si="2109"/>
        <v>-0.12674538303659433</v>
      </c>
      <c r="N1175" s="131"/>
      <c r="O1175" s="131"/>
      <c r="P1175" s="59">
        <f t="shared" ca="1" si="2111"/>
        <v>-1.2257172350244047E-4</v>
      </c>
      <c r="Q1175" s="61"/>
      <c r="R1175" s="387"/>
      <c r="S1175" s="49">
        <f t="shared" ca="1" si="2116"/>
        <v>115.96211668606026</v>
      </c>
      <c r="T1175" s="61">
        <f ca="1">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</f>
        <v>-9.9478462669603321E-3</v>
      </c>
      <c r="U1175" s="61"/>
      <c r="V1175" s="125">
        <f>IFERROR(INDEX('Non-Labor Expenditures'!$E$7:$AA$91,MATCH($C1175,'Non-Labor Expenditures'!$C$7:$C$91,0),MATCH($G1175,'Non-Labor Expenditures'!$E$5:$AA$5,0)),"NA")</f>
        <v>5250.0964470411091</v>
      </c>
      <c r="W1175" s="125">
        <f t="shared" si="2103"/>
        <v>46.206282592794672</v>
      </c>
      <c r="X1175" s="131">
        <f t="shared" si="2112"/>
        <v>-0.11534564330061853</v>
      </c>
      <c r="Y1175" s="131">
        <f t="shared" si="2113"/>
        <v>-1.1154737126615917E-4</v>
      </c>
      <c r="Z1175" s="131"/>
      <c r="AA1175" s="131"/>
      <c r="AB1175" s="131"/>
      <c r="AC1175" s="125">
        <f t="shared" si="2078"/>
        <v>2344.6586588642481</v>
      </c>
      <c r="AD1175" s="129"/>
      <c r="AE1175" s="133">
        <v>188.14748743782408</v>
      </c>
      <c r="AF1175" s="134">
        <v>9.6778776824520581E-3</v>
      </c>
      <c r="AG1175" s="59">
        <f t="shared" si="2104"/>
        <v>9.359190204517824E-6</v>
      </c>
      <c r="AH1175" s="134"/>
      <c r="AI1175" s="134"/>
      <c r="AJ1175" s="129">
        <f t="shared" si="2031"/>
        <v>11220.0447028285</v>
      </c>
      <c r="AK1175" s="134">
        <f t="shared" si="2114"/>
        <v>-0.12057814985578529</v>
      </c>
      <c r="AL1175" s="129"/>
      <c r="AM1175" s="129"/>
      <c r="AN1175" s="129"/>
      <c r="AO1175" s="129"/>
      <c r="AP1175" s="133">
        <f t="shared" si="2115"/>
        <v>682.35995273541937</v>
      </c>
      <c r="AQ1175" s="134">
        <f>+BB1175/Outputs!$B$28</f>
        <v>4.3347233112340562E-4</v>
      </c>
      <c r="AR1175" s="93">
        <f t="shared" si="2105"/>
        <v>0.32310830241248784</v>
      </c>
      <c r="AS1175" s="93">
        <f t="shared" si="2106"/>
        <v>0.46792117019975815</v>
      </c>
      <c r="AT1175" s="93">
        <f t="shared" si="2107"/>
        <v>0.20897052738775407</v>
      </c>
      <c r="AU1175" s="93">
        <f t="shared" ca="1" si="2110"/>
        <v>-9.2049073760178707E-2</v>
      </c>
      <c r="AV1175" s="132">
        <f t="shared" ca="1" si="2118"/>
        <v>136.31272554652961</v>
      </c>
      <c r="AW1175" s="134">
        <f t="shared" ca="1" si="2119"/>
        <v>-9.2049073760178679E-2</v>
      </c>
      <c r="AX1175" s="135">
        <f>+AJ1175/$AL$25</f>
        <v>9.6707052017075195E-4</v>
      </c>
      <c r="AY1175" s="135">
        <f t="shared" ca="1" si="2117"/>
        <v>-8.9017945642491916E-5</v>
      </c>
      <c r="AZ1175" s="93"/>
      <c r="BA1175" s="93"/>
      <c r="BB1175" s="234">
        <f>IFERROR(INDEX('Total Customers'!$E$7:$AA$91,MATCH($C1175,'Total Customers'!$C$7:$C$91,0),MATCH($G1175,'Total Customers'!$E$5:$AA$5,0)),"NA")</f>
        <v>16443</v>
      </c>
      <c r="BC1175" s="269">
        <f t="shared" si="2095"/>
        <v>-2.0656143432053777E-3</v>
      </c>
      <c r="BD1175" s="92"/>
      <c r="BE1175" s="299" t="str">
        <f t="shared" si="2089"/>
        <v>ST. LAWRENCE GAS COMPANY, INC.</v>
      </c>
      <c r="BF1175" s="300">
        <f t="shared" si="2090"/>
        <v>4063183</v>
      </c>
      <c r="BG1175" s="231" t="str">
        <f t="shared" si="2091"/>
        <v>NY</v>
      </c>
      <c r="BH1175" s="231"/>
      <c r="BI1175" s="231" t="str">
        <f t="shared" si="2092"/>
        <v>2020 Y</v>
      </c>
      <c r="BJ1175" s="129"/>
      <c r="BK1175" s="129"/>
      <c r="BL1175" s="129">
        <f>INDEX('Dist. Plant Gas Additions'!$E$7:$AD$91,MATCH($C1175,'Dist. Plant Gas Additions'!$C$7:$C$91,0),MATCH(Calculation!$G1175,'Dist. Plant Gas Additions'!$E$5:$AD$5,0))</f>
        <v>32</v>
      </c>
      <c r="BM1175" s="129">
        <f>INDEX('Gen. Plant Additions'!$E$7:$AD$91,MATCH($C1175,'Gen. Plant Additions'!$C$7:$C$91,0),MATCH(Calculation!$G1175,'Gen. Plant Additions'!$E$5:$AD$5,0))</f>
        <v>2987</v>
      </c>
      <c r="BN1175" s="301">
        <f t="shared" si="2079"/>
        <v>0.81002740891853664</v>
      </c>
      <c r="BO1175" s="231">
        <f t="shared" si="2073"/>
        <v>2419.5518704396691</v>
      </c>
      <c r="BP1175" s="231">
        <f t="shared" si="2074"/>
        <v>-567.44812956033093</v>
      </c>
      <c r="BQ1175" s="129">
        <f>INDEX('Dist Plant Depreciation'!$D$7:$AC$94,MATCH($C1175,'Dist Plant Depreciation'!$C$7:$C$94,0),MATCH(Calculation!$G1175,'Dist Plant Depreciation'!$D$5:$AC$5,0))</f>
        <v>28377</v>
      </c>
      <c r="BR1175" s="129">
        <f>INDEX('Gen. Plant Depreciation'!$D$7:$AC$94,MATCH($C1175,'Gen. Plant Depreciation'!$C$7:$C$94,0),MATCH(Calculation!$G1175,'Gen. Plant Depreciation'!$D$5:$AC$5,0))</f>
        <v>6497</v>
      </c>
      <c r="BS1175" s="129"/>
      <c r="BT1175" s="129"/>
      <c r="BU1175" s="129"/>
      <c r="BV1175" s="129"/>
      <c r="BW1175" s="129"/>
      <c r="BX1175" s="137"/>
      <c r="BY1175" s="129">
        <f>INDEX('Gross Dx Plant'!$D$7:$AC$91,MATCH($C1175,'Gross Dx Plant'!$C$7:$C$91,0),MATCH(Calculation!$G1175,'Gross Dx Plant'!$D$5:$AC$5,0))</f>
        <v>64722</v>
      </c>
      <c r="BZ1175" s="129">
        <f>INDEX('Gross Gen Plant'!$D$7:$AC$91,MATCH($C1175,'Gross Gen Plant'!$C$7:$C$91,0),MATCH(Calculation!$G1175,'Gross Gen Plant'!$D$5:$AC$5,0))</f>
        <v>15179</v>
      </c>
      <c r="CA1175" s="129">
        <f t="shared" si="2048"/>
        <v>45027</v>
      </c>
      <c r="CB1175" s="129"/>
      <c r="CC1175" s="133">
        <v>2020</v>
      </c>
      <c r="CD1175" s="129"/>
      <c r="CE1175" s="129"/>
      <c r="CF1175" s="129"/>
      <c r="CG1175" s="137"/>
      <c r="CH1175" s="129">
        <f>+BM1175+BL1175</f>
        <v>3019</v>
      </c>
      <c r="CI1175" s="46">
        <f t="shared" si="2093"/>
        <v>2451.5518704396691</v>
      </c>
      <c r="CJ1175" s="231">
        <f t="shared" si="2081"/>
        <v>3.0151416596193163</v>
      </c>
      <c r="CK1175" s="443">
        <v>0.72499999999999998</v>
      </c>
      <c r="CL1175" s="231">
        <f>CL1153*CK1175+CJ1154*CK1174+CJ1155*CK1173+CJ1156*CK1172+CJ1157*CK1171+CJ1158*CK1170+CJ1159*CK1169+CJ1160*CK1168+CJ1161*CK1167+CJ1162*CK1166+CJ1163*CK1165+CJ1164*CK1164+CJ1165*CK1163+CJ1166*CK1162+CJ1167*CK1161+CJ1168*CK1160+CJ1169*CK1159+CJ1170*CK1158+CJ1171*CK1157+CJ1172*CK1156+CJ1173*CK1155+CJ1174*CK1154+CJ1175</f>
        <v>165.705683100664</v>
      </c>
      <c r="CM1175" s="134">
        <f t="shared" si="2082"/>
        <v>2.5791273219440521E-4</v>
      </c>
      <c r="CN1175" s="135">
        <f t="shared" si="2083"/>
        <v>1.7942512474351632E-2</v>
      </c>
      <c r="CO1175" s="135">
        <f t="shared" si="2097"/>
        <v>1.6547307914115909E-2</v>
      </c>
      <c r="CP1175" s="134">
        <f>VLOOKUP($H1175,RoR!$E:$F,2,FALSE)</f>
        <v>2.4766666666666666E-2</v>
      </c>
      <c r="CQ1175" s="135">
        <v>1.1618796630994188E-2</v>
      </c>
      <c r="CR1175" s="135">
        <f t="shared" si="2094"/>
        <v>1.3147870035672478E-2</v>
      </c>
      <c r="CS1175" s="135">
        <f t="shared" si="2098"/>
        <v>1.4354633694417716E-2</v>
      </c>
      <c r="CT1175" s="135">
        <f t="shared" si="2099"/>
        <v>4.5144642961987357E-2</v>
      </c>
      <c r="CU1175" s="139">
        <f t="shared" si="2084"/>
        <v>0.90509623210000001</v>
      </c>
      <c r="CV1175" s="335">
        <f t="shared" si="2085"/>
        <v>2.0706077233668081</v>
      </c>
      <c r="CW1175" s="335">
        <f t="shared" si="2086"/>
        <v>-3.4421265141318998E-2</v>
      </c>
      <c r="CX1175" s="335">
        <f t="shared" si="2087"/>
        <v>0.62416226176410472</v>
      </c>
      <c r="CY1175" s="335">
        <f t="shared" si="2088"/>
        <v>-4.4485877841158712E-2</v>
      </c>
      <c r="CZ1175" s="336">
        <f>INDEX('State Tax Lookup'!$D$7:$Z$91,MATCH(Calculation!$C1175,'State Tax Lookup'!$B$7:$B$91,0),MATCH($H1175,'State Tax Lookup'!$D$6:$Z$6,0))</f>
        <v>0.25649666999999998</v>
      </c>
      <c r="DA1175" s="302">
        <v>0.37</v>
      </c>
      <c r="DB1175" s="57">
        <f t="shared" si="2096"/>
        <v>14.153186603438069</v>
      </c>
      <c r="DC1175" s="56">
        <f t="shared" si="2100"/>
        <v>-1.6968146715552294E-2</v>
      </c>
      <c r="DD1175" s="303">
        <f>VLOOKUP($H1175,RoR!$E:$F,2,FALSE)</f>
        <v>2.4766666666666666E-2</v>
      </c>
      <c r="DE1175" s="304">
        <f>HLOOKUP($H1175,'GDP-PI'!$D$8:$CQ$11,3,FALSE)</f>
        <v>1.1618796630994188E-2</v>
      </c>
      <c r="DF1175" s="303">
        <f>VLOOKUP(H1175,'HW Dx Data'!$E:$F,2,FALSE)</f>
        <v>813.080162458833</v>
      </c>
      <c r="DG1175" s="364">
        <f ca="1">VLOOKUP(CC1175,'ECI - Input Price'!M$13:N$33,2,FALSE)</f>
        <v>153.15</v>
      </c>
      <c r="DH1175" s="364"/>
      <c r="DI1175" s="364"/>
      <c r="DJ1175" s="56">
        <f t="shared" ca="1" si="2108"/>
        <v>2.2951556467368479E-2</v>
      </c>
      <c r="DK1175" s="53">
        <f>HLOOKUP(H1175,'GDP-PI'!$8:$9,2,FALSE)</f>
        <v>113.623</v>
      </c>
      <c r="DL1175" s="355">
        <f t="shared" si="2101"/>
        <v>1.1551816731392881E-2</v>
      </c>
    </row>
    <row r="1176" spans="1:116" s="126" customFormat="1" ht="21" customHeight="1" x14ac:dyDescent="0.4">
      <c r="A1176" s="233" t="s">
        <v>251</v>
      </c>
      <c r="B1176" s="126" t="s">
        <v>251</v>
      </c>
      <c r="C1176" s="126">
        <v>4063183</v>
      </c>
      <c r="D1176" s="126" t="s">
        <v>194</v>
      </c>
      <c r="E1176" s="126" t="s">
        <v>15</v>
      </c>
      <c r="G1176" s="127" t="s">
        <v>177</v>
      </c>
      <c r="H1176" s="128">
        <v>2021</v>
      </c>
      <c r="I1176" s="129"/>
      <c r="J1176" s="125">
        <v>3578.194154465094</v>
      </c>
      <c r="K1176" s="125">
        <f t="shared" ca="1" si="2102"/>
        <v>22.754811793100757</v>
      </c>
      <c r="L1176" s="47"/>
      <c r="M1176" s="130">
        <f t="shared" ca="1" si="2109"/>
        <v>-3.9494989203965006E-2</v>
      </c>
      <c r="N1176" s="130"/>
      <c r="O1176" s="130"/>
      <c r="P1176" s="59">
        <f t="shared" ca="1" si="2111"/>
        <v>-3.7367815903617478E-5</v>
      </c>
      <c r="Q1176" s="61"/>
      <c r="R1176" s="387"/>
      <c r="S1176" s="132">
        <f ca="1">+S1175*EXP(T1176)</f>
        <v>117.0209989864144</v>
      </c>
      <c r="T1176" s="134">
        <f ca="1">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</f>
        <v>9.0898397349529775E-3</v>
      </c>
      <c r="U1176" s="134"/>
      <c r="V1176" s="125">
        <v>5043.9604346074211</v>
      </c>
      <c r="W1176" s="125">
        <f t="shared" si="2103"/>
        <v>42.568659250632301</v>
      </c>
      <c r="X1176" s="131">
        <f t="shared" si="2112"/>
        <v>-8.1997491524817487E-2</v>
      </c>
      <c r="Y1176" s="131">
        <f t="shared" si="2113"/>
        <v>-7.7581162309830549E-5</v>
      </c>
      <c r="Z1176" s="131"/>
      <c r="AA1176" s="131"/>
      <c r="AB1176" s="131"/>
      <c r="AC1176" s="125">
        <f t="shared" si="2078"/>
        <v>3531.1881068751495</v>
      </c>
      <c r="AD1176" s="129"/>
      <c r="AE1176" s="133">
        <v>168.20221206085887</v>
      </c>
      <c r="AF1176" s="134"/>
      <c r="AG1176" s="59">
        <f t="shared" si="2104"/>
        <v>0</v>
      </c>
      <c r="AH1176" s="134"/>
      <c r="AI1176" s="134"/>
      <c r="AJ1176" s="129">
        <f t="shared" si="2031"/>
        <v>12153.342695947666</v>
      </c>
      <c r="AK1176" s="134">
        <f t="shared" si="2114"/>
        <v>7.9902366660374383E-2</v>
      </c>
      <c r="AL1176" s="129"/>
      <c r="AM1176" s="134"/>
      <c r="AN1176" s="134"/>
      <c r="AO1176" s="134"/>
      <c r="AP1176" s="133">
        <f t="shared" si="2115"/>
        <v>729.05475080669862</v>
      </c>
      <c r="AQ1176" s="134">
        <f>+BB1176/Outputs!$B$29</f>
        <v>4.317950837020955E-4</v>
      </c>
      <c r="AR1176" s="93">
        <f t="shared" si="2105"/>
        <v>0.29442057580242387</v>
      </c>
      <c r="AS1176" s="93">
        <f t="shared" si="2106"/>
        <v>0.41502659480582638</v>
      </c>
      <c r="AT1176" s="93">
        <f t="shared" si="2107"/>
        <v>0.2905528293917497</v>
      </c>
      <c r="AU1176" s="93">
        <f t="shared" ca="1" si="2110"/>
        <v>-4.8394399128068262E-2</v>
      </c>
      <c r="AV1176" s="132">
        <f t="shared" ca="1" si="2118"/>
        <v>129.87303241402981</v>
      </c>
      <c r="AW1176" s="134">
        <f t="shared" ca="1" si="2119"/>
        <v>-4.8394399128068262E-2</v>
      </c>
      <c r="AX1176" s="135">
        <f>+AJ1176/$AL$26</f>
        <v>9.4614067902735425E-4</v>
      </c>
      <c r="AY1176" s="135">
        <f t="shared" ca="1" si="2117"/>
        <v>-4.5787909652151307E-5</v>
      </c>
      <c r="AZ1176" s="93"/>
      <c r="BA1176" s="93"/>
      <c r="BB1176" s="234">
        <f>INDEX('Total Customers'!$D$7:$D$91,MATCH(Calculation!$C1176,'Total Customers'!$C$7:$C$91,0))</f>
        <v>16670</v>
      </c>
      <c r="BC1176" s="269">
        <f t="shared" si="2095"/>
        <v>1.3710842030613665E-2</v>
      </c>
      <c r="BD1176" s="91"/>
      <c r="BE1176" s="299" t="str">
        <f t="shared" si="2089"/>
        <v>ST. LAWRENCE GAS COMPANY, INC.</v>
      </c>
      <c r="BF1176" s="300">
        <f t="shared" si="2090"/>
        <v>4063183</v>
      </c>
      <c r="BG1176" s="231" t="str">
        <f t="shared" si="2091"/>
        <v>NY</v>
      </c>
      <c r="BH1176" s="231"/>
      <c r="BI1176" s="231" t="str">
        <f t="shared" si="2092"/>
        <v>2021 Y</v>
      </c>
      <c r="BJ1176" s="129"/>
      <c r="BK1176" s="129"/>
      <c r="BL1176" s="129">
        <f>INDEX('Dist. Plant Gas Additions'!$D$7:$AD$91,MATCH($C1176,'Dist. Plant Gas Additions'!$C$7:$C$91,0),MATCH(Calculation!$G1176,'Dist. Plant Gas Additions'!$D$5:$AD$5,0))</f>
        <v>-105</v>
      </c>
      <c r="BM1176" s="129">
        <f>INDEX('Gen. Plant Additions'!$D$7:$AD$91,MATCH($C1176,'Gen. Plant Additions'!$C$7:$C$91,0),MATCH(Calculation!$G1176,'Gen. Plant Additions'!$D$5:$AD$5,0))</f>
        <v>586</v>
      </c>
      <c r="BN1176" s="343"/>
      <c r="BO1176" s="231">
        <f t="shared" si="2073"/>
        <v>0</v>
      </c>
      <c r="BP1176" s="231">
        <f t="shared" si="2074"/>
        <v>-586</v>
      </c>
      <c r="BQ1176" s="129"/>
      <c r="BR1176" s="129"/>
      <c r="BS1176" s="137"/>
      <c r="BT1176" s="137"/>
      <c r="BU1176" s="333"/>
      <c r="BV1176" s="93"/>
      <c r="BW1176" s="334"/>
      <c r="BX1176" s="334"/>
      <c r="BY1176" s="129"/>
      <c r="BZ1176" s="129"/>
      <c r="CA1176" s="129"/>
      <c r="CB1176" s="129"/>
      <c r="CC1176" s="133">
        <v>2021</v>
      </c>
      <c r="CD1176" s="129"/>
      <c r="CE1176" s="129"/>
      <c r="CF1176" s="129"/>
      <c r="CG1176" s="137"/>
      <c r="CH1176" s="129">
        <f>+BM1176+BL1176</f>
        <v>481</v>
      </c>
      <c r="CI1176" s="46">
        <f t="shared" si="2093"/>
        <v>-105</v>
      </c>
      <c r="CJ1176" s="231">
        <f t="shared" si="2081"/>
        <v>-0.11253747909419008</v>
      </c>
      <c r="CK1176" s="443">
        <v>0.70886075949367089</v>
      </c>
      <c r="CL1176" s="129">
        <f>CL1153*CK1176+CJ1154*CK1175+CJ1155*CK1174+CJ1156*CK1173+CJ1157*CK1172+CJ1158*CK1171+CJ1159*CK1170+CJ1160*CK1169+CJ1161*CK1168+CJ1162*CK1167+CJ1163*CK1166+CJ1164*CK1165+CJ1165*CK1164+CJ1166*CK1163+CJ1167*CK1162+CJ1158*CK1161+CJ1169*CK1160+CJ1170*CK1159+CJ1171*CK1158+CJ1172*CK1157+CJ1173*CK1156+CJ1174*CK1155+CJ1176+CJ1175*CK1154</f>
        <v>144.92428868329739</v>
      </c>
      <c r="CM1176" s="134"/>
      <c r="CN1176" s="135">
        <f t="shared" si="2083"/>
        <v>0.12473233597978874</v>
      </c>
      <c r="CO1176" s="135">
        <f t="shared" si="2097"/>
        <v>5.2951021850052099E-2</v>
      </c>
      <c r="CP1176" s="134">
        <f>VLOOKUP($H1176,RoR!$E:$F,2,FALSE)</f>
        <v>2.7033333333333336E-2</v>
      </c>
      <c r="CQ1176" s="135"/>
      <c r="CR1176" s="135"/>
      <c r="CS1176" s="135">
        <f t="shared" si="2098"/>
        <v>-2.2049080241518474E-2</v>
      </c>
      <c r="CT1176" s="135">
        <f t="shared" si="2099"/>
        <v>7.433422950153494E-2</v>
      </c>
      <c r="CU1176" s="139">
        <f t="shared" si="2084"/>
        <v>0.90509623210000001</v>
      </c>
      <c r="CV1176" s="335">
        <f t="shared" si="2085"/>
        <v>1.8969932656739068</v>
      </c>
      <c r="CW1176" s="335">
        <f t="shared" si="2086"/>
        <v>5.0215782983970621E-2</v>
      </c>
      <c r="CX1176" s="335">
        <f t="shared" si="2087"/>
        <v>0.655952481704143</v>
      </c>
      <c r="CY1176" s="335">
        <f t="shared" si="2088"/>
        <v>6.2485378865697057E-2</v>
      </c>
      <c r="CZ1176" s="336">
        <f>CZ1175</f>
        <v>0.25649666999999998</v>
      </c>
      <c r="DA1176" s="302">
        <v>0.37</v>
      </c>
      <c r="DB1176" s="359">
        <v>21.31</v>
      </c>
      <c r="DC1176" s="135">
        <f>LN(DB1177/DB1175)</f>
        <v>0.37865825157201377</v>
      </c>
      <c r="DD1176" s="336">
        <f>VLOOKUP($H1176,RoR!$E:$F,2,FALSE)</f>
        <v>2.7033333333333336E-2</v>
      </c>
      <c r="DE1176" s="342">
        <f>HLOOKUP($H1176,'GDP-PI'!$D$8:$CR$11,3,FALSE)</f>
        <v>4.2834637353352578E-2</v>
      </c>
      <c r="DF1176" s="336">
        <f>VLOOKUP(H1176,'HW Dx Data'!$E:$F,2,FALSE)</f>
        <v>933.02249921662576</v>
      </c>
      <c r="DG1176" s="364">
        <f ca="1">VLOOKUP(CC1176,'ECI - Input Price'!M$13:N$33,2,FALSE)</f>
        <v>157.25</v>
      </c>
      <c r="DH1176" s="364"/>
      <c r="DI1176" s="364"/>
      <c r="DJ1176" s="135">
        <f t="shared" ca="1" si="2108"/>
        <v>2.6419062301765574E-2</v>
      </c>
      <c r="DK1176" s="137">
        <f>HLOOKUP(H1176,'GDP-PI'!$8:$9,2,FALSE)</f>
        <v>118.49</v>
      </c>
      <c r="DL1176" s="356">
        <f t="shared" si="2101"/>
        <v>4.194261824609434E-2</v>
      </c>
    </row>
    <row r="1177" spans="1:116" s="126" customFormat="1" ht="21" customHeight="1" thickBot="1" x14ac:dyDescent="0.45">
      <c r="A1177" s="235"/>
      <c r="B1177" s="236"/>
      <c r="C1177" s="236"/>
      <c r="D1177" s="236"/>
      <c r="E1177" s="236"/>
      <c r="F1177" s="236"/>
      <c r="G1177" s="237" t="s">
        <v>178</v>
      </c>
      <c r="H1177" s="238"/>
      <c r="I1177" s="239"/>
      <c r="J1177" s="240">
        <v>3343.1484679342066</v>
      </c>
      <c r="K1177" s="240">
        <f t="shared" ca="1" si="2102"/>
        <v>20.566893066343933</v>
      </c>
      <c r="L1177" s="47"/>
      <c r="M1177" s="241">
        <f t="shared" ref="M1177" ca="1" si="2120">LN(K1177/K1176)</f>
        <v>-0.10109398015078973</v>
      </c>
      <c r="N1177" s="241"/>
      <c r="O1177" s="241"/>
      <c r="P1177" s="242">
        <f t="shared" ca="1" si="2111"/>
        <v>-8.6974336721793526E-5</v>
      </c>
      <c r="Q1177" s="61"/>
      <c r="R1177" s="387"/>
      <c r="S1177" s="206">
        <f ca="1">+S1176*EXP(T1177)</f>
        <v>116.98980031659548</v>
      </c>
      <c r="T1177" s="243">
        <f ca="1">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</f>
        <v>-2.6664299337192588E-4</v>
      </c>
      <c r="U1177" s="243"/>
      <c r="V1177" s="239">
        <v>4712.6309728711103</v>
      </c>
      <c r="W1177" s="240">
        <f t="shared" si="2103"/>
        <v>37.034428077572578</v>
      </c>
      <c r="X1177" s="244">
        <f t="shared" ref="X1177" si="2121">LN(W1177/W1176)</f>
        <v>-0.13927031558340874</v>
      </c>
      <c r="Y1177" s="244">
        <f t="shared" si="2113"/>
        <v>-1.1981864107867175E-4</v>
      </c>
      <c r="Z1177" s="206"/>
      <c r="AA1177" s="243"/>
      <c r="AB1177" s="243"/>
      <c r="AC1177" s="240">
        <f t="shared" si="2078"/>
        <v>2995.3294694881874</v>
      </c>
      <c r="AD1177" s="243"/>
      <c r="AE1177" s="245">
        <v>185.04345280290775</v>
      </c>
      <c r="AF1177" s="243">
        <v>9.5423778689154914E-2</v>
      </c>
      <c r="AG1177" s="242">
        <f t="shared" si="2104"/>
        <v>8.2096083729191571E-5</v>
      </c>
      <c r="AH1177" s="206"/>
      <c r="AI1177" s="243"/>
      <c r="AJ1177" s="239">
        <f t="shared" si="2031"/>
        <v>11051.108910293504</v>
      </c>
      <c r="AK1177" s="243">
        <f t="shared" si="2114"/>
        <v>-9.5073474154937304E-2</v>
      </c>
      <c r="AL1177" s="239"/>
      <c r="AM1177" s="243"/>
      <c r="AN1177" s="243"/>
      <c r="AO1177" s="243"/>
      <c r="AP1177" s="245">
        <f t="shared" si="2115"/>
        <v>664.64839780438467</v>
      </c>
      <c r="AQ1177" s="243"/>
      <c r="AR1177" s="207">
        <f t="shared" si="2105"/>
        <v>0.302517013909821</v>
      </c>
      <c r="AS1177" s="207">
        <f t="shared" si="2106"/>
        <v>0.42643964611384405</v>
      </c>
      <c r="AT1177" s="207">
        <f t="shared" si="2107"/>
        <v>0.27104333997633501</v>
      </c>
      <c r="AU1177" s="207"/>
      <c r="AV1177" s="206"/>
      <c r="AW1177" s="243"/>
      <c r="AX1177" s="249">
        <f>+AJ1177/$AL$26</f>
        <v>8.6033151125382908E-4</v>
      </c>
      <c r="AY1177" s="249">
        <f t="shared" ref="AY1177" si="2122">+AX1177*AW1177</f>
        <v>0</v>
      </c>
      <c r="AZ1177" s="206"/>
      <c r="BA1177" s="243"/>
      <c r="BB1177" s="250">
        <v>16627</v>
      </c>
      <c r="BC1177" s="270">
        <f t="shared" si="2095"/>
        <v>-2.5828167044602149E-3</v>
      </c>
      <c r="BD1177" s="91"/>
      <c r="BE1177" s="306">
        <f t="shared" si="2089"/>
        <v>0</v>
      </c>
      <c r="BF1177" s="307">
        <f t="shared" si="2090"/>
        <v>0</v>
      </c>
      <c r="BG1177" s="308">
        <f t="shared" si="2091"/>
        <v>0</v>
      </c>
      <c r="BH1177" s="308"/>
      <c r="BI1177" s="308" t="str">
        <f t="shared" si="2092"/>
        <v>2022Y</v>
      </c>
      <c r="BJ1177" s="239"/>
      <c r="BK1177" s="239"/>
      <c r="BL1177" s="239"/>
      <c r="BM1177" s="239"/>
      <c r="BN1177" s="337"/>
      <c r="BO1177" s="308">
        <f t="shared" si="2073"/>
        <v>0</v>
      </c>
      <c r="BP1177" s="308">
        <f t="shared" si="2074"/>
        <v>0</v>
      </c>
      <c r="BQ1177" s="239"/>
      <c r="BR1177" s="239"/>
      <c r="BS1177" s="310"/>
      <c r="BT1177" s="310"/>
      <c r="BU1177" s="311"/>
      <c r="BV1177" s="207"/>
      <c r="BW1177" s="312"/>
      <c r="BX1177" s="312"/>
      <c r="BY1177" s="239"/>
      <c r="BZ1177" s="239"/>
      <c r="CA1177" s="239"/>
      <c r="CB1177" s="239"/>
      <c r="CC1177" s="245">
        <v>2022</v>
      </c>
      <c r="CD1177" s="239"/>
      <c r="CE1177" s="239"/>
      <c r="CF1177" s="239"/>
      <c r="CG1177" s="310"/>
      <c r="CH1177" s="239">
        <v>-255</v>
      </c>
      <c r="CI1177" s="313">
        <f t="shared" si="2093"/>
        <v>-255</v>
      </c>
      <c r="CJ1177" s="308">
        <f t="shared" si="2081"/>
        <v>-0.24737827533687101</v>
      </c>
      <c r="CK1177" s="443">
        <v>0.69230769230769229</v>
      </c>
      <c r="CL1177" s="239">
        <f>+CL1153*CK1177+CJ1154*CK1176+CJ1155*CK1175+CJ1156*CK1174+CJ1157*CK1173+CJ1158*CK1172+CJ1159*CK1171+CJ1160*CK1170+CJ1161*CK1169+CJ1162*CK1168+CJ1163*CK1167+CJ1164*CK1166+CJ1165*CK1165+CJ1166*CK1164+CJ1167*CK1163+CJ1168*CK1162+CJ1169*CK1161+CJ1170*CK1160+CJ1171*CK1159+CJ1172*CK1158+CJ1173*CK1157+CJ1174*CK1156+CJ1175*CK1155+CJ1176*CK1154+CJ1177*CK1153</f>
        <v>159.12232538048067</v>
      </c>
      <c r="CM1177" s="243">
        <f t="shared" ref="CM1177" si="2123">LN(CL1177/CL1176)</f>
        <v>9.3461789401354661E-2</v>
      </c>
      <c r="CN1177" s="249">
        <f t="shared" si="2083"/>
        <v>-9.9675596849660417E-2</v>
      </c>
      <c r="CO1177" s="249">
        <f t="shared" si="2097"/>
        <v>1.4333083868159985E-2</v>
      </c>
      <c r="CP1177" s="243"/>
      <c r="CQ1177" s="249"/>
      <c r="CR1177" s="249"/>
      <c r="CS1177" s="248">
        <f t="shared" si="2098"/>
        <v>1.656885774037364E-2</v>
      </c>
      <c r="CT1177" s="249">
        <f t="shared" si="2099"/>
        <v>0.10114668178709289</v>
      </c>
      <c r="CU1177" s="314">
        <f t="shared" si="2084"/>
        <v>0.90509623210000001</v>
      </c>
      <c r="CV1177" s="315">
        <f t="shared" si="2085"/>
        <v>1.2820512820512819</v>
      </c>
      <c r="CW1177" s="315">
        <f t="shared" si="2086"/>
        <v>0.35000000000000003</v>
      </c>
      <c r="CX1177" s="315">
        <f t="shared" si="2087"/>
        <v>0.79171095533705893</v>
      </c>
      <c r="CY1177" s="315">
        <f t="shared" si="2088"/>
        <v>0.35525491585637264</v>
      </c>
      <c r="CZ1177" s="316">
        <f>CZ1176</f>
        <v>0.25649666999999998</v>
      </c>
      <c r="DA1177" s="317">
        <v>0.37</v>
      </c>
      <c r="DB1177" s="318">
        <f>+(DF1177*CS1177-CT1177)*CU1177/(1-CZ1177)</f>
        <v>20.668236475073353</v>
      </c>
      <c r="DC1177" s="249">
        <f>LN(DB1177/DB1176)</f>
        <v>-3.0578394146951179E-2</v>
      </c>
      <c r="DD1177" s="316">
        <v>0.04</v>
      </c>
      <c r="DE1177" s="319">
        <v>7.0000000000000001E-3</v>
      </c>
      <c r="DF1177" s="316">
        <v>1030.81</v>
      </c>
      <c r="DG1177" s="364">
        <f ca="1">VLOOKUP(CC1177,'ECI - Input Price'!M$13:N$33,2,FALSE)</f>
        <v>162.55000000000001</v>
      </c>
      <c r="DH1177" s="364"/>
      <c r="DI1177" s="364"/>
      <c r="DJ1177" s="249">
        <f t="shared" ca="1" si="2108"/>
        <v>3.3148751169364422E-2</v>
      </c>
      <c r="DK1177" s="310">
        <v>127.25</v>
      </c>
      <c r="DL1177" s="357">
        <f t="shared" si="2101"/>
        <v>7.1325086601983473E-2</v>
      </c>
    </row>
    <row r="1178" spans="1:116" s="126" customFormat="1" ht="21" customHeight="1" x14ac:dyDescent="0.4">
      <c r="A1178" s="251" t="s">
        <v>252</v>
      </c>
      <c r="B1178" s="265" t="s">
        <v>252</v>
      </c>
      <c r="C1178" s="265">
        <v>4063281</v>
      </c>
      <c r="D1178" s="252" t="s">
        <v>214</v>
      </c>
      <c r="E1178" s="252"/>
      <c r="F1178" s="266"/>
      <c r="G1178" s="265" t="s">
        <v>150</v>
      </c>
      <c r="H1178" s="253">
        <v>1998</v>
      </c>
      <c r="I1178" s="254"/>
      <c r="J1178" s="255"/>
      <c r="K1178" s="255"/>
      <c r="L1178" s="47"/>
      <c r="M1178" s="255"/>
      <c r="N1178" s="255"/>
      <c r="O1178" s="255"/>
      <c r="P1178" s="219"/>
      <c r="Q1178" s="218"/>
      <c r="R1178" s="385"/>
      <c r="S1178" s="257"/>
      <c r="T1178" s="258"/>
      <c r="U1178" s="258"/>
      <c r="V1178" s="255"/>
      <c r="W1178" s="255"/>
      <c r="X1178" s="255"/>
      <c r="Y1178" s="255"/>
      <c r="Z1178" s="255"/>
      <c r="AA1178" s="255"/>
      <c r="AB1178" s="255"/>
      <c r="AC1178" s="255"/>
      <c r="AD1178" s="254"/>
      <c r="AE1178" s="260">
        <v>42.360815871670312</v>
      </c>
      <c r="AF1178" s="256"/>
      <c r="AG1178" s="225"/>
      <c r="AH1178" s="256"/>
      <c r="AI1178" s="256"/>
      <c r="AJ1178" s="254">
        <f t="shared" si="2031"/>
        <v>0</v>
      </c>
      <c r="AK1178" s="254"/>
      <c r="AL1178" s="254"/>
      <c r="AM1178" s="256"/>
      <c r="AN1178" s="256"/>
      <c r="AO1178" s="256"/>
      <c r="AP1178" s="226">
        <f>+(AP1175+AP1176+AP1177)/3</f>
        <v>692.02103378216759</v>
      </c>
      <c r="AQ1178" s="256"/>
      <c r="AR1178" s="261"/>
      <c r="AS1178" s="261"/>
      <c r="AT1178" s="261"/>
      <c r="AU1178" s="261"/>
      <c r="AV1178" s="261"/>
      <c r="AW1178" s="256">
        <f ca="1">AVERAGE(AW1187:AW1201)</f>
        <v>-1.3930387886138842E-2</v>
      </c>
      <c r="AX1178" s="261"/>
      <c r="AY1178" s="261"/>
      <c r="AZ1178" s="261"/>
      <c r="BA1178" s="261"/>
      <c r="BB1178" s="262">
        <f>IFERROR(INDEX('Total Customers'!$E$7:$AA$91,MATCH($C1178,'Total Customers'!$C$7:$C$91,0),MATCH($G1178,'Total Customers'!$E$5:$AA$5,0)),"NA")</f>
        <v>11232</v>
      </c>
      <c r="BC1178" s="268"/>
      <c r="BD1178" s="92"/>
      <c r="BE1178" s="320" t="str">
        <f t="shared" si="2089"/>
        <v>SUPERIOR WATER, LIGHT AND POWER COMPANY</v>
      </c>
      <c r="BF1178" s="321">
        <f t="shared" si="2090"/>
        <v>4063281</v>
      </c>
      <c r="BG1178" s="322" t="str">
        <f t="shared" si="2091"/>
        <v>WI</v>
      </c>
      <c r="BH1178" s="322"/>
      <c r="BI1178" s="322" t="str">
        <f t="shared" si="2092"/>
        <v>1998 Y</v>
      </c>
      <c r="BJ1178" s="254">
        <f>INDEX('Gross Dx Plant'!$D$7:$AC$91,MATCH($C1178,'Gross Dx Plant'!$C$7:$C$91,0),MATCH(Calculation!$G1178,'Gross Dx Plant'!$D$5:$AC$5,0))</f>
        <v>14321</v>
      </c>
      <c r="BK1178" s="254">
        <f>INDEX('Gross Gen Plant'!$D$7:$AC$91,MATCH($C1178,'Gross Gen Plant'!$C$7:$C$91,0),MATCH(Calculation!$G1178,'Gross Gen Plant'!$D$5:$AC$5,0))</f>
        <v>221</v>
      </c>
      <c r="BL1178" s="254">
        <f>INDEX('Dist. Plant Gas Additions'!$E$7:$AD$91,MATCH($C1178,'Dist. Plant Gas Additions'!$C$7:$C$91,0),MATCH(Calculation!$G1178,'Dist. Plant Gas Additions'!$E$5:$AD$5,0))</f>
        <v>337</v>
      </c>
      <c r="BM1178" s="254">
        <f>INDEX('Gen. Plant Additions'!$E$7:$AD$91,MATCH($C1178,'Gen. Plant Additions'!$C$7:$C$91,0),MATCH(Calculation!$G1178,'Gen. Plant Additions'!$E$5:$AD$5,0))</f>
        <v>3</v>
      </c>
      <c r="BN1178" s="338">
        <f>+(BY1178/(BY1178+BZ1178))</f>
        <v>0.98480264062714895</v>
      </c>
      <c r="BO1178" s="322">
        <f t="shared" si="2073"/>
        <v>2.954407921881447</v>
      </c>
      <c r="BP1178" s="322">
        <f t="shared" si="2074"/>
        <v>-4.5592078118553037E-2</v>
      </c>
      <c r="BQ1178" s="254">
        <f>INDEX('Dist Plant Depreciation'!$D$7:$AC$94,MATCH($C1178,'Dist Plant Depreciation'!$C$7:$C$94,0),MATCH(Calculation!$G1178,'Dist Plant Depreciation'!$D$5:$AC$5,0))</f>
        <v>5923</v>
      </c>
      <c r="BR1178" s="254">
        <f>INDEX('Gen. Plant Depreciation'!$D$7:$AC$94,MATCH($C1178,'Gen. Plant Depreciation'!$C$7:$C$94,0),MATCH(Calculation!$G1178,'Gen. Plant Depreciation'!$D$5:$AC$5,0))</f>
        <v>74</v>
      </c>
      <c r="BS1178" s="254"/>
      <c r="BT1178" s="254"/>
      <c r="BU1178" s="254"/>
      <c r="BV1178" s="254"/>
      <c r="BW1178" s="254"/>
      <c r="BX1178" s="323"/>
      <c r="BY1178" s="254">
        <f>INDEX('Gross Dx Plant'!$D$7:$AC$91,MATCH($C1178,'Gross Dx Plant'!$C$7:$C$91,0),MATCH(Calculation!$G1178,'Gross Dx Plant'!$D$5:$AC$5,0))</f>
        <v>14321</v>
      </c>
      <c r="BZ1178" s="254">
        <f>INDEX('Gross Gen Plant'!$D$7:$AC$91,MATCH($C1178,'Gross Gen Plant'!$C$7:$C$91,0),MATCH(Calculation!$G1178,'Gross Gen Plant'!$D$5:$AC$5,0))</f>
        <v>221</v>
      </c>
      <c r="CA1178" s="254">
        <f t="shared" si="2048"/>
        <v>8545</v>
      </c>
      <c r="CB1178" s="254"/>
      <c r="CC1178" s="260">
        <v>1998</v>
      </c>
      <c r="CD1178" s="254">
        <f>BJ1178+BK1178</f>
        <v>14542</v>
      </c>
      <c r="CE1178" s="254">
        <f>5923+74</f>
        <v>5997</v>
      </c>
      <c r="CF1178" s="254">
        <f>+CD1178-CE1178</f>
        <v>8545</v>
      </c>
      <c r="CG1178" s="254">
        <f>CF1178/$BX$3</f>
        <v>42.360815871670312</v>
      </c>
      <c r="CH1178" s="323"/>
      <c r="CI1178" s="344"/>
      <c r="CJ1178" s="344"/>
      <c r="CK1178" s="443">
        <v>1</v>
      </c>
      <c r="CL1178" s="254">
        <f>+CG1178</f>
        <v>42.360815871670312</v>
      </c>
      <c r="CM1178" s="256"/>
      <c r="CN1178" s="325"/>
      <c r="CO1178" s="325"/>
      <c r="CP1178" s="256" t="e">
        <f>VLOOKUP($H1178,RoR!$E:$F,2,FALSE)</f>
        <v>#N/A</v>
      </c>
      <c r="CQ1178" s="325">
        <v>1.1028127770464469E-2</v>
      </c>
      <c r="CR1178" s="325"/>
      <c r="CS1178" s="325"/>
      <c r="CT1178" s="325"/>
      <c r="CU1178" s="327"/>
      <c r="CV1178" s="331" t="e">
        <f>2/(DD1178*39)</f>
        <v>#N/A</v>
      </c>
      <c r="CW1178" s="328" t="e">
        <f>+(DD1178*40-(1+DD1178))/(DD1178*40)</f>
        <v>#N/A</v>
      </c>
      <c r="CX1178" s="328" t="e">
        <f>+(1-(1/(1+DD1178)^40))</f>
        <v>#N/A</v>
      </c>
      <c r="CY1178" s="328" t="e">
        <f>+CX1178*CW1178*CV1178</f>
        <v>#N/A</v>
      </c>
      <c r="CZ1178" s="329">
        <f>INDEX('State Tax Lookup'!$D$7:$Z$91,MATCH(Calculation!$C1178,'State Tax Lookup'!$B$7:$B$91,0),MATCH($H1178,'State Tax Lookup'!$D$6:$Z$6,0))</f>
        <v>0.40134999999999998</v>
      </c>
      <c r="DA1178" s="330">
        <v>0.37</v>
      </c>
      <c r="DB1178" s="344"/>
      <c r="DC1178" s="326"/>
      <c r="DD1178" s="351" t="e">
        <f>VLOOKUP($H1178,RoR!$E:$F,2,FALSE)</f>
        <v>#N/A</v>
      </c>
      <c r="DE1178" s="354">
        <f>HLOOKUP($H1178,'GDP-PI'!$D$8:$CQ$11,3,FALSE)</f>
        <v>1.1028127770464469E-2</v>
      </c>
      <c r="DF1178" s="351">
        <f>VLOOKUP(H1178,'HW Dx Data'!$E:$F,2,FALSE)</f>
        <v>329.24564746449528</v>
      </c>
      <c r="DG1178" s="330"/>
      <c r="DH1178" s="330"/>
      <c r="DI1178" s="330"/>
      <c r="DJ1178" s="326"/>
      <c r="DK1178" s="344">
        <f>HLOOKUP(H1178,'GDP-PI'!$8:$9,2,FALSE)</f>
        <v>75.266999999999996</v>
      </c>
      <c r="DL1178" s="292"/>
    </row>
    <row r="1179" spans="1:116" s="126" customFormat="1" ht="21" customHeight="1" x14ac:dyDescent="0.4">
      <c r="A1179" s="233" t="s">
        <v>252</v>
      </c>
      <c r="B1179" s="126" t="s">
        <v>252</v>
      </c>
      <c r="C1179" s="126">
        <v>4063281</v>
      </c>
      <c r="D1179" s="127" t="s">
        <v>214</v>
      </c>
      <c r="E1179" s="127"/>
      <c r="F1179" s="144"/>
      <c r="G1179" s="126" t="s">
        <v>155</v>
      </c>
      <c r="H1179" s="128">
        <v>1999</v>
      </c>
      <c r="I1179" s="129"/>
      <c r="J1179" s="125"/>
      <c r="K1179" s="125"/>
      <c r="L1179" s="47"/>
      <c r="M1179" s="125"/>
      <c r="N1179" s="125"/>
      <c r="O1179" s="125"/>
      <c r="P1179" s="47"/>
      <c r="Q1179" s="47"/>
      <c r="R1179" s="386"/>
      <c r="S1179" s="119"/>
      <c r="T1179" s="47"/>
      <c r="U1179" s="47"/>
      <c r="V1179" s="125"/>
      <c r="W1179" s="125"/>
      <c r="X1179" s="125"/>
      <c r="Y1179" s="143"/>
      <c r="Z1179" s="125"/>
      <c r="AA1179" s="125"/>
      <c r="AB1179" s="125"/>
      <c r="AC1179" s="125">
        <f t="shared" ref="AC1179:AC1202" si="2124">+CL1178*DB1179</f>
        <v>0</v>
      </c>
      <c r="AD1179" s="129"/>
      <c r="AE1179" s="133">
        <v>43.116292363439044</v>
      </c>
      <c r="AF1179" s="134">
        <v>1.7677157779277263E-2</v>
      </c>
      <c r="AG1179" s="61"/>
      <c r="AH1179" s="134"/>
      <c r="AI1179" s="134"/>
      <c r="AJ1179" s="129">
        <f t="shared" si="2031"/>
        <v>0</v>
      </c>
      <c r="AK1179" s="134"/>
      <c r="AL1179" s="129"/>
      <c r="AM1179" s="134"/>
      <c r="AN1179" s="134"/>
      <c r="AO1179" s="134"/>
      <c r="AP1179" s="133"/>
      <c r="AQ1179" s="134"/>
      <c r="AR1179" s="93"/>
      <c r="AS1179" s="93"/>
      <c r="AT1179" s="93"/>
      <c r="AU1179" s="93"/>
      <c r="AV1179" s="93"/>
      <c r="AW1179" s="134"/>
      <c r="AX1179" s="93"/>
      <c r="AY1179" s="93"/>
      <c r="AZ1179" s="93"/>
      <c r="BA1179" s="93"/>
      <c r="BB1179" s="234">
        <f>IFERROR(INDEX('Total Customers'!$E$7:$AA$91,MATCH($C1179,'Total Customers'!$C$7:$C$91,0),MATCH($G1179,'Total Customers'!$E$5:$AA$5,0)),"NA")</f>
        <v>11379</v>
      </c>
      <c r="BC1179" s="269">
        <f t="shared" si="2095"/>
        <v>1.3002704091416335E-2</v>
      </c>
      <c r="BD1179" s="92"/>
      <c r="BE1179" s="299" t="str">
        <f t="shared" si="2089"/>
        <v>SUPERIOR WATER, LIGHT AND POWER COMPANY</v>
      </c>
      <c r="BF1179" s="300">
        <f t="shared" si="2090"/>
        <v>4063281</v>
      </c>
      <c r="BG1179" s="231" t="str">
        <f t="shared" si="2091"/>
        <v>WI</v>
      </c>
      <c r="BH1179" s="231"/>
      <c r="BI1179" s="231" t="str">
        <f t="shared" si="2092"/>
        <v>1999 Y</v>
      </c>
      <c r="BJ1179" s="129"/>
      <c r="BK1179" s="129"/>
      <c r="BL1179" s="129">
        <f>INDEX('Dist. Plant Gas Additions'!$E$7:$AD$91,MATCH($C1179,'Dist. Plant Gas Additions'!$C$7:$C$91,0),MATCH(Calculation!$G1179,'Dist. Plant Gas Additions'!$E$5:$AD$5,0))</f>
        <v>316</v>
      </c>
      <c r="BM1179" s="129">
        <f>INDEX('Gen. Plant Additions'!$E$7:$AD$91,MATCH($C1179,'Gen. Plant Additions'!$C$7:$C$91,0),MATCH(Calculation!$G1179,'Gen. Plant Additions'!$E$5:$AD$5,0))</f>
        <v>8</v>
      </c>
      <c r="BN1179" s="301">
        <f t="shared" ref="BN1179:BN1200" si="2125">+(BY1179/(BY1179+BZ1179))</f>
        <v>0.98478701825557813</v>
      </c>
      <c r="BO1179" s="231">
        <f t="shared" si="2073"/>
        <v>7.878296146044625</v>
      </c>
      <c r="BP1179" s="231">
        <f t="shared" si="2074"/>
        <v>-0.12170385395537497</v>
      </c>
      <c r="BQ1179" s="129">
        <f>INDEX('Dist Plant Depreciation'!$D$7:$AC$94,MATCH($C1179,'Dist Plant Depreciation'!$C$7:$C$94,0),MATCH(Calculation!$G1179,'Dist Plant Depreciation'!$D$5:$AC$5,0))</f>
        <v>6236</v>
      </c>
      <c r="BR1179" s="129">
        <f>INDEX('Gen. Plant Depreciation'!$D$7:$AC$94,MATCH($C1179,'Gen. Plant Depreciation'!$C$7:$C$94,0),MATCH(Calculation!$G1179,'Gen. Plant Depreciation'!$D$5:$AC$5,0))</f>
        <v>83</v>
      </c>
      <c r="BS1179" s="129"/>
      <c r="BT1179" s="129"/>
      <c r="BU1179" s="129"/>
      <c r="BV1179" s="129"/>
      <c r="BW1179" s="129"/>
      <c r="BX1179" s="137"/>
      <c r="BY1179" s="129">
        <f>INDEX('Gross Dx Plant'!$D$7:$AC$91,MATCH($C1179,'Gross Dx Plant'!$C$7:$C$91,0),MATCH(Calculation!$G1179,'Gross Dx Plant'!$D$5:$AC$5,0))</f>
        <v>14565</v>
      </c>
      <c r="BZ1179" s="129">
        <f>INDEX('Gross Gen Plant'!$D$7:$AC$91,MATCH($C1179,'Gross Gen Plant'!$C$7:$C$91,0),MATCH(Calculation!$G1179,'Gross Gen Plant'!$D$5:$AC$5,0))</f>
        <v>225</v>
      </c>
      <c r="CA1179" s="129">
        <f t="shared" si="2048"/>
        <v>8471</v>
      </c>
      <c r="CB1179" s="129"/>
      <c r="CC1179" s="133">
        <v>1999</v>
      </c>
      <c r="CD1179" s="129"/>
      <c r="CE1179" s="129"/>
      <c r="CF1179" s="129"/>
      <c r="CG1179" s="137"/>
      <c r="CH1179" s="129">
        <f t="shared" ref="CH1179:CH1201" si="2126">+BM1179+BL1179</f>
        <v>324</v>
      </c>
      <c r="CI1179" s="46">
        <f>+CH1179+BP1179</f>
        <v>323.87829614604465</v>
      </c>
      <c r="CJ1179" s="231">
        <f t="shared" ref="CJ1179:CJ1203" si="2127">+CI1179/$DF1179</f>
        <v>0.96586387650167149</v>
      </c>
      <c r="CK1179" s="443">
        <v>0.99009900990099009</v>
      </c>
      <c r="CL1179" s="231">
        <f>+CL1178*CK1179+CJ1179</f>
        <v>42.907265729640592</v>
      </c>
      <c r="CM1179" s="134">
        <f t="shared" ref="CM1179:CM1200" si="2128">LN(CL1179/CL1178)</f>
        <v>1.2817394946424187E-2</v>
      </c>
      <c r="CN1179" s="135">
        <f t="shared" ref="CN1179:CN1202" si="2129">+(CL1178-CL1179+CJ1179)/CL1178</f>
        <v>9.900990099009941E-3</v>
      </c>
      <c r="CO1179" s="135"/>
      <c r="CP1179" s="134">
        <f>VLOOKUP($H1179,RoR!$E:$F,2,FALSE)</f>
        <v>7.0416666666666669E-2</v>
      </c>
      <c r="CQ1179" s="135">
        <v>1.4335631817396832E-2</v>
      </c>
      <c r="CR1179" s="135">
        <f>+CP1179-CQ1179</f>
        <v>5.6081034849269837E-2</v>
      </c>
      <c r="CS1179" s="135"/>
      <c r="CT1179" s="135"/>
      <c r="CU1179" s="139">
        <f t="shared" ref="CU1179:CU1202" si="2130">1-CZ1179*DA1179</f>
        <v>0.85150049999999999</v>
      </c>
      <c r="CV1179" s="335">
        <f t="shared" ref="CV1179:CV1202" si="2131">2/(DD1179*39)</f>
        <v>0.72826581702321336</v>
      </c>
      <c r="CW1179" s="335">
        <f t="shared" ref="CW1179:CW1202" si="2132">+(DD1179*40-(1+DD1179))/(DD1179*40)</f>
        <v>0.61997041420118348</v>
      </c>
      <c r="CX1179" s="335">
        <f t="shared" ref="CX1179:CX1202" si="2133">+(1-(1/(1+DD1179)^40))</f>
        <v>0.93425155319585029</v>
      </c>
      <c r="CY1179" s="335">
        <f t="shared" ref="CY1179:CY1202" si="2134">+CX1179*CW1179*CV1179</f>
        <v>0.42181762214141483</v>
      </c>
      <c r="CZ1179" s="336">
        <f>INDEX('State Tax Lookup'!$D$7:$Z$91,MATCH(Calculation!$C1179,'State Tax Lookup'!$B$7:$B$91,0),MATCH($H1179,'State Tax Lookup'!$D$6:$Z$6,0))</f>
        <v>0.40134999999999998</v>
      </c>
      <c r="DA1179" s="302">
        <v>0.37</v>
      </c>
      <c r="DB1179" s="57"/>
      <c r="DC1179" s="56"/>
      <c r="DD1179" s="303">
        <f>VLOOKUP($H1179,RoR!$E:$F,2,FALSE)</f>
        <v>7.0416666666666669E-2</v>
      </c>
      <c r="DE1179" s="304">
        <f>HLOOKUP($H1179,'GDP-PI'!$D$8:$CQ$11,3,FALSE)</f>
        <v>1.4335631817396832E-2</v>
      </c>
      <c r="DF1179" s="303">
        <f>VLOOKUP(H1179,'HW Dx Data'!$E:$F,2,FALSE)</f>
        <v>335.32499146683239</v>
      </c>
      <c r="DG1179" s="364"/>
      <c r="DH1179" s="364"/>
      <c r="DI1179" s="364"/>
      <c r="DJ1179" s="56"/>
      <c r="DK1179" s="53">
        <f>HLOOKUP(H1179,'GDP-PI'!$8:$9,2,FALSE)</f>
        <v>76.346000000000004</v>
      </c>
      <c r="DL1179" s="298"/>
    </row>
    <row r="1180" spans="1:116" s="126" customFormat="1" ht="21" customHeight="1" x14ac:dyDescent="0.4">
      <c r="A1180" s="233" t="s">
        <v>252</v>
      </c>
      <c r="B1180" s="126" t="s">
        <v>252</v>
      </c>
      <c r="C1180" s="126">
        <v>4063281</v>
      </c>
      <c r="D1180" s="127" t="s">
        <v>214</v>
      </c>
      <c r="E1180" s="127"/>
      <c r="F1180" s="144"/>
      <c r="G1180" s="126" t="s">
        <v>156</v>
      </c>
      <c r="H1180" s="128">
        <v>2000</v>
      </c>
      <c r="I1180" s="129"/>
      <c r="J1180" s="125"/>
      <c r="K1180" s="125"/>
      <c r="L1180" s="47"/>
      <c r="M1180" s="125"/>
      <c r="N1180" s="125"/>
      <c r="O1180" s="125"/>
      <c r="P1180" s="47"/>
      <c r="Q1180" s="47"/>
      <c r="R1180" s="386"/>
      <c r="S1180" s="119"/>
      <c r="T1180" s="47"/>
      <c r="U1180" s="47"/>
      <c r="V1180" s="125"/>
      <c r="W1180" s="125"/>
      <c r="X1180" s="125"/>
      <c r="Y1180" s="125"/>
      <c r="Z1180" s="125"/>
      <c r="AA1180" s="125"/>
      <c r="AB1180" s="125"/>
      <c r="AC1180" s="125">
        <f t="shared" si="2124"/>
        <v>0</v>
      </c>
      <c r="AD1180" s="129"/>
      <c r="AE1180" s="133">
        <v>44.204466386581061</v>
      </c>
      <c r="AF1180" s="134">
        <v>2.4924894695066153E-2</v>
      </c>
      <c r="AG1180" s="61"/>
      <c r="AH1180" s="134"/>
      <c r="AI1180" s="134"/>
      <c r="AJ1180" s="129">
        <f t="shared" si="2031"/>
        <v>0</v>
      </c>
      <c r="AK1180" s="134"/>
      <c r="AL1180" s="129"/>
      <c r="AM1180" s="129"/>
      <c r="AN1180" s="129"/>
      <c r="AO1180" s="129"/>
      <c r="AP1180" s="133"/>
      <c r="AQ1180" s="134"/>
      <c r="AR1180" s="93"/>
      <c r="AS1180" s="93"/>
      <c r="AT1180" s="93"/>
      <c r="AU1180" s="93"/>
      <c r="AV1180" s="93"/>
      <c r="AW1180" s="134"/>
      <c r="AX1180" s="93"/>
      <c r="AY1180" s="93"/>
      <c r="AZ1180" s="93"/>
      <c r="BA1180" s="93"/>
      <c r="BB1180" s="234">
        <f>IFERROR(INDEX('Total Customers'!$E$7:$AA$91,MATCH($C1180,'Total Customers'!$C$7:$C$91,0),MATCH($G1180,'Total Customers'!$E$5:$AA$5,0)),"NA")</f>
        <v>11478</v>
      </c>
      <c r="BC1180" s="269">
        <f t="shared" si="2095"/>
        <v>8.6626083112991657E-3</v>
      </c>
      <c r="BD1180" s="92"/>
      <c r="BE1180" s="299" t="str">
        <f t="shared" si="2089"/>
        <v>SUPERIOR WATER, LIGHT AND POWER COMPANY</v>
      </c>
      <c r="BF1180" s="300">
        <f t="shared" si="2090"/>
        <v>4063281</v>
      </c>
      <c r="BG1180" s="231" t="str">
        <f t="shared" si="2091"/>
        <v>WI</v>
      </c>
      <c r="BH1180" s="231"/>
      <c r="BI1180" s="231" t="str">
        <f t="shared" si="2092"/>
        <v>2000 Y</v>
      </c>
      <c r="BJ1180" s="129"/>
      <c r="BK1180" s="129"/>
      <c r="BL1180" s="129">
        <f>INDEX('Dist. Plant Gas Additions'!$E$7:$AD$91,MATCH($C1180,'Dist. Plant Gas Additions'!$C$7:$C$91,0),MATCH(Calculation!$G1180,'Dist. Plant Gas Additions'!$E$5:$AD$5,0))</f>
        <v>442</v>
      </c>
      <c r="BM1180" s="129">
        <f>INDEX('Gen. Plant Additions'!$E$7:$AD$91,MATCH($C1180,'Gen. Plant Additions'!$C$7:$C$91,0),MATCH(Calculation!$G1180,'Gen. Plant Additions'!$E$5:$AD$5,0))</f>
        <v>12</v>
      </c>
      <c r="BN1180" s="301">
        <f t="shared" si="2125"/>
        <v>0.98441302203222625</v>
      </c>
      <c r="BO1180" s="231">
        <f t="shared" si="2073"/>
        <v>11.812956264386715</v>
      </c>
      <c r="BP1180" s="231">
        <f t="shared" si="2074"/>
        <v>-0.18704373561328502</v>
      </c>
      <c r="BQ1180" s="129">
        <f>INDEX('Dist Plant Depreciation'!$D$7:$AC$94,MATCH($C1180,'Dist Plant Depreciation'!$C$7:$C$94,0),MATCH(Calculation!$G1180,'Dist Plant Depreciation'!$D$5:$AC$5,0))</f>
        <v>6718</v>
      </c>
      <c r="BR1180" s="129">
        <f>INDEX('Gen. Plant Depreciation'!$D$7:$AC$94,MATCH($C1180,'Gen. Plant Depreciation'!$C$7:$C$94,0),MATCH(Calculation!$G1180,'Gen. Plant Depreciation'!$D$5:$AC$5,0))</f>
        <v>93</v>
      </c>
      <c r="BS1180" s="129"/>
      <c r="BT1180" s="129"/>
      <c r="BU1180" s="129"/>
      <c r="BV1180" s="129"/>
      <c r="BW1180" s="129"/>
      <c r="BX1180" s="137"/>
      <c r="BY1180" s="129">
        <f>INDEX('Gross Dx Plant'!$D$7:$AC$91,MATCH($C1180,'Gross Dx Plant'!$C$7:$C$91,0),MATCH(Calculation!$G1180,'Gross Dx Plant'!$D$5:$AC$5,0))</f>
        <v>14968</v>
      </c>
      <c r="BZ1180" s="129">
        <f>INDEX('Gross Gen Plant'!$D$7:$AC$91,MATCH($C1180,'Gross Gen Plant'!$C$7:$C$91,0),MATCH(Calculation!$G1180,'Gross Gen Plant'!$D$5:$AC$5,0))</f>
        <v>237</v>
      </c>
      <c r="CA1180" s="129">
        <f t="shared" si="2048"/>
        <v>8394</v>
      </c>
      <c r="CB1180" s="129"/>
      <c r="CC1180" s="133">
        <v>2000</v>
      </c>
      <c r="CD1180" s="129"/>
      <c r="CE1180" s="129"/>
      <c r="CF1180" s="129"/>
      <c r="CG1180" s="137"/>
      <c r="CH1180" s="129">
        <f t="shared" si="2126"/>
        <v>454</v>
      </c>
      <c r="CI1180" s="46">
        <f t="shared" ref="CI1180:CI1202" si="2135">+CH1180+BP1180</f>
        <v>453.81295626438674</v>
      </c>
      <c r="CJ1180" s="231">
        <f t="shared" si="2127"/>
        <v>1.3095780667962071</v>
      </c>
      <c r="CK1180" s="443">
        <v>0.98</v>
      </c>
      <c r="CL1180" s="231">
        <f>+CL1178*CK1180+CJ1179*CK1179+CJ1180</f>
        <v>43.779478488856547</v>
      </c>
      <c r="CM1180" s="134">
        <f t="shared" si="2128"/>
        <v>2.0124004016608389E-2</v>
      </c>
      <c r="CN1180" s="135">
        <f t="shared" si="2129"/>
        <v>1.0193269138520691E-2</v>
      </c>
      <c r="CO1180" s="135"/>
      <c r="CP1180" s="134">
        <f>VLOOKUP($H1180,RoR!$E:$F,2,FALSE)</f>
        <v>7.6225000000000001E-2</v>
      </c>
      <c r="CQ1180" s="135">
        <v>2.2568307442433211E-2</v>
      </c>
      <c r="CR1180" s="135">
        <f t="shared" ref="CR1180:CR1200" si="2136">+CP1180-CQ1180</f>
        <v>5.365669255756679E-2</v>
      </c>
      <c r="CS1180" s="135"/>
      <c r="CT1180" s="135"/>
      <c r="CU1180" s="139">
        <f t="shared" si="2130"/>
        <v>0.85150049999999999</v>
      </c>
      <c r="CV1180" s="335">
        <f t="shared" si="2131"/>
        <v>0.67277207323124022</v>
      </c>
      <c r="CW1180" s="335">
        <f t="shared" si="2132"/>
        <v>0.6470236142997704</v>
      </c>
      <c r="CX1180" s="335">
        <f t="shared" si="2133"/>
        <v>0.94704866037543145</v>
      </c>
      <c r="CY1180" s="335">
        <f t="shared" si="2134"/>
        <v>0.41224973107878493</v>
      </c>
      <c r="CZ1180" s="336">
        <f>INDEX('State Tax Lookup'!$D$7:$Z$91,MATCH(Calculation!$C1180,'State Tax Lookup'!$B$7:$B$91,0),MATCH($H1180,'State Tax Lookup'!$D$6:$Z$6,0))</f>
        <v>0.40134999999999998</v>
      </c>
      <c r="DA1180" s="302">
        <v>0.37</v>
      </c>
      <c r="DB1180" s="57"/>
      <c r="DC1180" s="56"/>
      <c r="DD1180" s="303">
        <f>VLOOKUP($H1180,RoR!$E:$F,2,FALSE)</f>
        <v>7.6225000000000001E-2</v>
      </c>
      <c r="DE1180" s="304">
        <f>HLOOKUP($H1180,'GDP-PI'!$D$8:$CQ$11,3,FALSE)</f>
        <v>2.2568307442433211E-2</v>
      </c>
      <c r="DF1180" s="303">
        <f>VLOOKUP(H1180,'HW Dx Data'!$E:$F,2,FALSE)</f>
        <v>346.53371782150339</v>
      </c>
      <c r="DG1180" s="364"/>
      <c r="DH1180" s="364"/>
      <c r="DI1180" s="364"/>
      <c r="DJ1180" s="56"/>
      <c r="DK1180" s="53">
        <f>HLOOKUP(H1180,'GDP-PI'!$8:$9,2,FALSE)</f>
        <v>78.069000000000003</v>
      </c>
      <c r="DL1180" s="298"/>
    </row>
    <row r="1181" spans="1:116" s="126" customFormat="1" ht="21" customHeight="1" x14ac:dyDescent="0.4">
      <c r="A1181" s="233" t="s">
        <v>252</v>
      </c>
      <c r="B1181" s="126" t="s">
        <v>252</v>
      </c>
      <c r="C1181" s="126">
        <v>4063281</v>
      </c>
      <c r="D1181" s="127" t="s">
        <v>214</v>
      </c>
      <c r="E1181" s="127"/>
      <c r="F1181" s="144"/>
      <c r="G1181" s="126" t="s">
        <v>157</v>
      </c>
      <c r="H1181" s="128">
        <v>2001</v>
      </c>
      <c r="I1181" s="129"/>
      <c r="J1181" s="125"/>
      <c r="K1181" s="125"/>
      <c r="L1181" s="47"/>
      <c r="M1181" s="125"/>
      <c r="N1181" s="125"/>
      <c r="O1181" s="125"/>
      <c r="P1181" s="47"/>
      <c r="Q1181" s="47"/>
      <c r="R1181" s="386"/>
      <c r="S1181" s="119"/>
      <c r="T1181" s="47"/>
      <c r="U1181" s="47"/>
      <c r="V1181" s="125"/>
      <c r="W1181" s="125"/>
      <c r="X1181" s="125"/>
      <c r="Y1181" s="125"/>
      <c r="Z1181" s="125"/>
      <c r="AA1181" s="125"/>
      <c r="AB1181" s="125"/>
      <c r="AC1181" s="125">
        <f t="shared" si="2124"/>
        <v>456.44710571490083</v>
      </c>
      <c r="AD1181" s="129"/>
      <c r="AE1181" s="133">
        <v>45.155503655611085</v>
      </c>
      <c r="AF1181" s="134">
        <v>2.1286336119727425E-2</v>
      </c>
      <c r="AG1181" s="61"/>
      <c r="AH1181" s="134"/>
      <c r="AI1181" s="134"/>
      <c r="AJ1181" s="129">
        <f t="shared" si="2031"/>
        <v>456.44710571490083</v>
      </c>
      <c r="AK1181" s="134"/>
      <c r="AL1181" s="129"/>
      <c r="AM1181" s="129"/>
      <c r="AN1181" s="129"/>
      <c r="AO1181" s="129"/>
      <c r="AP1181" s="133"/>
      <c r="AQ1181" s="134"/>
      <c r="AR1181" s="93"/>
      <c r="AS1181" s="93"/>
      <c r="AT1181" s="93"/>
      <c r="AU1181" s="93"/>
      <c r="AV1181" s="93"/>
      <c r="AW1181" s="134"/>
      <c r="AX1181" s="93"/>
      <c r="AY1181" s="93"/>
      <c r="AZ1181" s="93"/>
      <c r="BA1181" s="93"/>
      <c r="BB1181" s="234">
        <f>IFERROR(INDEX('Total Customers'!$E$7:$AA$91,MATCH($C1181,'Total Customers'!$C$7:$C$91,0),MATCH($G1181,'Total Customers'!$E$5:$AA$5,0)),"NA")</f>
        <v>11650</v>
      </c>
      <c r="BC1181" s="269">
        <f t="shared" si="2095"/>
        <v>1.4874020325538839E-2</v>
      </c>
      <c r="BD1181" s="92"/>
      <c r="BE1181" s="299" t="str">
        <f t="shared" si="2089"/>
        <v>SUPERIOR WATER, LIGHT AND POWER COMPANY</v>
      </c>
      <c r="BF1181" s="300">
        <f t="shared" si="2090"/>
        <v>4063281</v>
      </c>
      <c r="BG1181" s="231" t="str">
        <f t="shared" si="2091"/>
        <v>WI</v>
      </c>
      <c r="BH1181" s="231"/>
      <c r="BI1181" s="231" t="str">
        <f t="shared" si="2092"/>
        <v>2001 Y</v>
      </c>
      <c r="BJ1181" s="129"/>
      <c r="BK1181" s="129"/>
      <c r="BL1181" s="129">
        <f>INDEX('Dist. Plant Gas Additions'!$E$7:$AD$91,MATCH($C1181,'Dist. Plant Gas Additions'!$C$7:$C$91,0),MATCH(Calculation!$G1181,'Dist. Plant Gas Additions'!$E$5:$AD$5,0))</f>
        <v>417</v>
      </c>
      <c r="BM1181" s="129">
        <f>INDEX('Gen. Plant Additions'!$E$7:$AD$91,MATCH($C1181,'Gen. Plant Additions'!$C$7:$C$91,0),MATCH(Calculation!$G1181,'Gen. Plant Additions'!$E$5:$AD$5,0))</f>
        <v>0</v>
      </c>
      <c r="BN1181" s="301">
        <f t="shared" si="2125"/>
        <v>0.98479599692070818</v>
      </c>
      <c r="BO1181" s="231">
        <f t="shared" si="2073"/>
        <v>0</v>
      </c>
      <c r="BP1181" s="231">
        <f t="shared" si="2074"/>
        <v>0</v>
      </c>
      <c r="BQ1181" s="129">
        <f>INDEX('Dist Plant Depreciation'!$D$7:$AC$94,MATCH($C1181,'Dist Plant Depreciation'!$C$7:$C$94,0),MATCH(Calculation!$G1181,'Dist Plant Depreciation'!$D$5:$AC$5,0))</f>
        <v>7237</v>
      </c>
      <c r="BR1181" s="129">
        <f>INDEX('Gen. Plant Depreciation'!$D$7:$AC$94,MATCH($C1181,'Gen. Plant Depreciation'!$C$7:$C$94,0),MATCH(Calculation!$G1181,'Gen. Plant Depreciation'!$D$5:$AC$5,0))</f>
        <v>102</v>
      </c>
      <c r="BS1181" s="129"/>
      <c r="BT1181" s="129"/>
      <c r="BU1181" s="129"/>
      <c r="BV1181" s="129"/>
      <c r="BW1181" s="129"/>
      <c r="BX1181" s="137"/>
      <c r="BY1181" s="129">
        <f>INDEX('Gross Dx Plant'!$D$7:$AC$91,MATCH($C1181,'Gross Dx Plant'!$C$7:$C$91,0),MATCH(Calculation!$G1181,'Gross Dx Plant'!$D$5:$AC$5,0))</f>
        <v>15351</v>
      </c>
      <c r="BZ1181" s="129">
        <f>INDEX('Gross Gen Plant'!$D$7:$AC$91,MATCH($C1181,'Gross Gen Plant'!$C$7:$C$91,0),MATCH(Calculation!$G1181,'Gross Gen Plant'!$D$5:$AC$5,0))</f>
        <v>237</v>
      </c>
      <c r="CA1181" s="129">
        <f t="shared" si="2048"/>
        <v>8249</v>
      </c>
      <c r="CB1181" s="129"/>
      <c r="CC1181" s="133">
        <v>2001</v>
      </c>
      <c r="CD1181" s="129"/>
      <c r="CE1181" s="129"/>
      <c r="CF1181" s="129"/>
      <c r="CG1181" s="137"/>
      <c r="CH1181" s="129">
        <f t="shared" si="2126"/>
        <v>417</v>
      </c>
      <c r="CI1181" s="46">
        <f t="shared" si="2135"/>
        <v>417</v>
      </c>
      <c r="CJ1181" s="231">
        <f t="shared" si="2127"/>
        <v>1.1798078678465025</v>
      </c>
      <c r="CK1181" s="443">
        <v>0.96969696969696972</v>
      </c>
      <c r="CL1181" s="231">
        <f>+CL1178*CK1181+CJ1179*CK1180+CJ1180*CK1178+CJ1181</f>
        <v>44.51308731826434</v>
      </c>
      <c r="CM1181" s="134">
        <f t="shared" si="2128"/>
        <v>1.6618063036437716E-2</v>
      </c>
      <c r="CN1181" s="135">
        <f t="shared" si="2129"/>
        <v>1.0191967877193505E-2</v>
      </c>
      <c r="CO1181" s="135">
        <f>+(CN1181+CN1180+CN1179)/3</f>
        <v>1.0095409038241378E-2</v>
      </c>
      <c r="CP1181" s="134">
        <f>VLOOKUP($H1181,RoR!$E:$F,2,FALSE)</f>
        <v>7.0824999999999999E-2</v>
      </c>
      <c r="CQ1181" s="135">
        <v>2.2454495382290052E-2</v>
      </c>
      <c r="CR1181" s="135">
        <f t="shared" si="2136"/>
        <v>4.8370504617709947E-2</v>
      </c>
      <c r="CS1181" s="135">
        <f>+$CR$2-CO1181</f>
        <v>2.0806532570292247E-2</v>
      </c>
      <c r="CT1181" s="135">
        <f>+((DF1179/DF1178-1)+(DF1180/DF1179-1)+(DF1181/DF1180-1))/3</f>
        <v>2.3947275901631187E-2</v>
      </c>
      <c r="CU1181" s="139">
        <f t="shared" si="2130"/>
        <v>0.85150049999999999</v>
      </c>
      <c r="CV1181" s="335">
        <f t="shared" si="2131"/>
        <v>0.72406708481540816</v>
      </c>
      <c r="CW1181" s="335">
        <f t="shared" si="2132"/>
        <v>0.62201729615248857</v>
      </c>
      <c r="CX1181" s="335">
        <f t="shared" si="2133"/>
        <v>0.9352469954311422</v>
      </c>
      <c r="CY1181" s="335">
        <f t="shared" si="2134"/>
        <v>0.42121864641655071</v>
      </c>
      <c r="CZ1181" s="336">
        <f>INDEX('State Tax Lookup'!$D$7:$Z$91,MATCH(Calculation!$C1181,'State Tax Lookup'!$B$7:$B$91,0),MATCH($H1181,'State Tax Lookup'!$D$6:$Z$6,0))</f>
        <v>0.40134999999999998</v>
      </c>
      <c r="DA1181" s="302">
        <v>0.37</v>
      </c>
      <c r="DB1181" s="57">
        <f t="shared" ref="DB1181:DB1202" si="2137">+(DF1181*CS1181-CT1181)*CU1181/(1-CZ1181)</f>
        <v>10.426051690658742</v>
      </c>
      <c r="DC1181" s="56"/>
      <c r="DD1181" s="303">
        <f>VLOOKUP($H1181,RoR!$E:$F,2,FALSE)</f>
        <v>7.0824999999999999E-2</v>
      </c>
      <c r="DE1181" s="304">
        <f>HLOOKUP($H1181,'GDP-PI'!$D$8:$CQ$11,3,FALSE)</f>
        <v>2.2454495382290052E-2</v>
      </c>
      <c r="DF1181" s="303">
        <f>VLOOKUP(H1181,'HW Dx Data'!$E:$F,2,FALSE)</f>
        <v>353.44738017483138</v>
      </c>
      <c r="DG1181" s="364"/>
      <c r="DH1181" s="364"/>
      <c r="DI1181" s="364"/>
      <c r="DJ1181" s="56"/>
      <c r="DK1181" s="53">
        <f>HLOOKUP(H1181,'GDP-PI'!$8:$9,2,FALSE)</f>
        <v>79.822000000000003</v>
      </c>
      <c r="DL1181" s="298"/>
    </row>
    <row r="1182" spans="1:116" s="126" customFormat="1" ht="21" customHeight="1" x14ac:dyDescent="0.4">
      <c r="A1182" s="233" t="s">
        <v>252</v>
      </c>
      <c r="B1182" s="126" t="s">
        <v>252</v>
      </c>
      <c r="C1182" s="126">
        <v>4063281</v>
      </c>
      <c r="D1182" s="127" t="s">
        <v>214</v>
      </c>
      <c r="E1182" s="127"/>
      <c r="F1182" s="144"/>
      <c r="G1182" s="126" t="s">
        <v>158</v>
      </c>
      <c r="H1182" s="128">
        <v>2002</v>
      </c>
      <c r="I1182" s="129"/>
      <c r="J1182" s="125"/>
      <c r="K1182" s="125"/>
      <c r="L1182" s="47"/>
      <c r="M1182" s="125"/>
      <c r="N1182" s="125"/>
      <c r="O1182" s="125"/>
      <c r="P1182" s="47"/>
      <c r="Q1182" s="47"/>
      <c r="R1182" s="386"/>
      <c r="S1182" s="119"/>
      <c r="T1182" s="47"/>
      <c r="U1182" s="47"/>
      <c r="V1182" s="125"/>
      <c r="W1182" s="125"/>
      <c r="X1182" s="125"/>
      <c r="Y1182" s="125"/>
      <c r="Z1182" s="125"/>
      <c r="AA1182" s="125"/>
      <c r="AB1182" s="125"/>
      <c r="AC1182" s="125">
        <f t="shared" si="2124"/>
        <v>465.43542198312883</v>
      </c>
      <c r="AD1182" s="129"/>
      <c r="AE1182" s="133">
        <v>47.612548946437627</v>
      </c>
      <c r="AF1182" s="134">
        <v>5.2984190252350759E-2</v>
      </c>
      <c r="AG1182" s="61"/>
      <c r="AH1182" s="134"/>
      <c r="AI1182" s="134"/>
      <c r="AJ1182" s="129">
        <f t="shared" ref="AJ1182:AJ1245" si="2138">+J1182+V1182+AC1182</f>
        <v>465.43542198312883</v>
      </c>
      <c r="AK1182" s="134"/>
      <c r="AL1182" s="129"/>
      <c r="AM1182" s="129"/>
      <c r="AN1182" s="129"/>
      <c r="AO1182" s="129"/>
      <c r="AP1182" s="133"/>
      <c r="AQ1182" s="134"/>
      <c r="AR1182" s="93"/>
      <c r="AS1182" s="93"/>
      <c r="AT1182" s="93"/>
      <c r="AU1182" s="93"/>
      <c r="AV1182" s="93"/>
      <c r="AW1182" s="134"/>
      <c r="AX1182" s="93"/>
      <c r="AY1182" s="93"/>
      <c r="AZ1182" s="93"/>
      <c r="BA1182" s="93"/>
      <c r="BB1182" s="234">
        <f>IFERROR(INDEX('Total Customers'!$E$7:$AA$91,MATCH($C1182,'Total Customers'!$C$7:$C$91,0),MATCH($G1182,'Total Customers'!$E$5:$AA$5,0)),"NA")</f>
        <v>11775</v>
      </c>
      <c r="BC1182" s="269">
        <f t="shared" si="2095"/>
        <v>1.0672459890771979E-2</v>
      </c>
      <c r="BD1182" s="92"/>
      <c r="BE1182" s="299" t="str">
        <f t="shared" si="2089"/>
        <v>SUPERIOR WATER, LIGHT AND POWER COMPANY</v>
      </c>
      <c r="BF1182" s="300">
        <f t="shared" si="2090"/>
        <v>4063281</v>
      </c>
      <c r="BG1182" s="231" t="str">
        <f t="shared" si="2091"/>
        <v>WI</v>
      </c>
      <c r="BH1182" s="231"/>
      <c r="BI1182" s="231" t="str">
        <f t="shared" si="2092"/>
        <v>2002 Y</v>
      </c>
      <c r="BJ1182" s="129"/>
      <c r="BK1182" s="129"/>
      <c r="BL1182" s="129">
        <f>INDEX('Dist. Plant Gas Additions'!$E$7:$AD$91,MATCH($C1182,'Dist. Plant Gas Additions'!$C$7:$C$91,0),MATCH(Calculation!$G1182,'Dist. Plant Gas Additions'!$E$5:$AD$5,0))</f>
        <v>948</v>
      </c>
      <c r="BM1182" s="129">
        <f>INDEX('Gen. Plant Additions'!$E$7:$AD$91,MATCH($C1182,'Gen. Plant Additions'!$C$7:$C$91,0),MATCH(Calculation!$G1182,'Gen. Plant Additions'!$E$5:$AD$5,0))</f>
        <v>32</v>
      </c>
      <c r="BN1182" s="301">
        <f t="shared" si="2125"/>
        <v>0.9843569999393682</v>
      </c>
      <c r="BO1182" s="231">
        <f t="shared" si="2073"/>
        <v>31.499423998059783</v>
      </c>
      <c r="BP1182" s="231">
        <f t="shared" si="2074"/>
        <v>-0.50057600194021745</v>
      </c>
      <c r="BQ1182" s="129">
        <f>INDEX('Dist Plant Depreciation'!$D$7:$AC$94,MATCH($C1182,'Dist Plant Depreciation'!$C$7:$C$94,0),MATCH(Calculation!$G1182,'Dist Plant Depreciation'!$D$5:$AC$5,0))</f>
        <v>7719</v>
      </c>
      <c r="BR1182" s="129">
        <f>INDEX('Gen. Plant Depreciation'!$D$7:$AC$94,MATCH($C1182,'Gen. Plant Depreciation'!$C$7:$C$94,0),MATCH(Calculation!$G1182,'Gen. Plant Depreciation'!$D$5:$AC$5,0))</f>
        <v>112</v>
      </c>
      <c r="BS1182" s="129"/>
      <c r="BT1182" s="129"/>
      <c r="BU1182" s="129"/>
      <c r="BV1182" s="129"/>
      <c r="BW1182" s="129"/>
      <c r="BX1182" s="137"/>
      <c r="BY1182" s="129">
        <f>INDEX('Gross Dx Plant'!$D$7:$AC$91,MATCH($C1182,'Gross Dx Plant'!$C$7:$C$91,0),MATCH(Calculation!$G1182,'Gross Dx Plant'!$D$5:$AC$5,0))</f>
        <v>16235</v>
      </c>
      <c r="BZ1182" s="129">
        <f>INDEX('Gross Gen Plant'!$D$7:$AC$91,MATCH($C1182,'Gross Gen Plant'!$C$7:$C$91,0),MATCH(Calculation!$G1182,'Gross Gen Plant'!$D$5:$AC$5,0))</f>
        <v>258</v>
      </c>
      <c r="CA1182" s="129">
        <f t="shared" si="2048"/>
        <v>8662</v>
      </c>
      <c r="CB1182" s="129"/>
      <c r="CC1182" s="133">
        <v>2002</v>
      </c>
      <c r="CD1182" s="129"/>
      <c r="CE1182" s="129"/>
      <c r="CF1182" s="129"/>
      <c r="CG1182" s="137"/>
      <c r="CH1182" s="129">
        <f t="shared" si="2126"/>
        <v>980</v>
      </c>
      <c r="CI1182" s="46">
        <f t="shared" si="2135"/>
        <v>979.4994239980598</v>
      </c>
      <c r="CJ1182" s="231">
        <f t="shared" si="2127"/>
        <v>2.7106804928926418</v>
      </c>
      <c r="CK1182" s="443">
        <v>0.95918367346938771</v>
      </c>
      <c r="CL1182" s="231">
        <f>+CL1178*CK1182+CJ1179*CK1181+CJ1180*CK1180+CJ1181*CK1179+CJ1182</f>
        <v>46.730591853313662</v>
      </c>
      <c r="CM1182" s="134">
        <f t="shared" si="2128"/>
        <v>4.8615779040618035E-2</v>
      </c>
      <c r="CN1182" s="135">
        <f t="shared" si="2129"/>
        <v>1.1079347390962987E-2</v>
      </c>
      <c r="CO1182" s="135">
        <f t="shared" ref="CO1182:CO1202" si="2139">+(CN1182+CN1181+CN1180)/3</f>
        <v>1.0488194802225728E-2</v>
      </c>
      <c r="CP1182" s="134">
        <f>VLOOKUP($H1182,RoR!$E:$F,2,FALSE)</f>
        <v>6.4916666666666664E-2</v>
      </c>
      <c r="CQ1182" s="135">
        <v>1.5246423291824351E-2</v>
      </c>
      <c r="CR1182" s="135">
        <f t="shared" si="2136"/>
        <v>4.9670243374842313E-2</v>
      </c>
      <c r="CS1182" s="135">
        <f t="shared" ref="CS1182:CS1202" si="2140">+$CR$2-CO1182</f>
        <v>2.0413746806307899E-2</v>
      </c>
      <c r="CT1182" s="135">
        <f t="shared" ref="CT1182:CT1202" si="2141">+((DF1180/DF1179-1)+(DF1181/DF1180-1)+(DF1182/DF1181-1))/3</f>
        <v>2.5243621214759093E-2</v>
      </c>
      <c r="CU1182" s="139">
        <f t="shared" si="2130"/>
        <v>0.85150049999999999</v>
      </c>
      <c r="CV1182" s="335">
        <f t="shared" si="2131"/>
        <v>0.78996741384417901</v>
      </c>
      <c r="CW1182" s="335">
        <f t="shared" si="2132"/>
        <v>0.58989088575096271</v>
      </c>
      <c r="CX1182" s="335">
        <f t="shared" si="2133"/>
        <v>0.91920675783645744</v>
      </c>
      <c r="CY1182" s="335">
        <f t="shared" si="2134"/>
        <v>0.42834536472275586</v>
      </c>
      <c r="CZ1182" s="336">
        <f>INDEX('State Tax Lookup'!$D$7:$Z$91,MATCH(Calculation!$C1182,'State Tax Lookup'!$B$7:$B$91,0),MATCH($H1182,'State Tax Lookup'!$D$6:$Z$6,0))</f>
        <v>0.40134999999999998</v>
      </c>
      <c r="DA1182" s="302">
        <v>0.37</v>
      </c>
      <c r="DB1182" s="57">
        <f t="shared" si="2137"/>
        <v>10.456147843786027</v>
      </c>
      <c r="DC1182" s="56">
        <f t="shared" ref="DC1182:DC1200" si="2142">LN(DB1182/DB1181)</f>
        <v>2.8824716396203482E-3</v>
      </c>
      <c r="DD1182" s="303">
        <f>VLOOKUP($H1182,RoR!$E:$F,2,FALSE)</f>
        <v>6.4916666666666664E-2</v>
      </c>
      <c r="DE1182" s="304">
        <f>HLOOKUP($H1182,'GDP-PI'!$D$8:$CQ$11,3,FALSE)</f>
        <v>1.5246423291824351E-2</v>
      </c>
      <c r="DF1182" s="303">
        <f>VLOOKUP(H1182,'HW Dx Data'!$E:$F,2,FALSE)</f>
        <v>361.34816573413599</v>
      </c>
      <c r="DG1182" s="364"/>
      <c r="DH1182" s="364"/>
      <c r="DI1182" s="364"/>
      <c r="DJ1182" s="56"/>
      <c r="DK1182" s="53">
        <f>HLOOKUP(H1182,'GDP-PI'!$8:$9,2,FALSE)</f>
        <v>81.039000000000001</v>
      </c>
      <c r="DL1182" s="355">
        <f>LN(DK1182/DK1181)</f>
        <v>1.513136459537477E-2</v>
      </c>
    </row>
    <row r="1183" spans="1:116" s="126" customFormat="1" ht="21" customHeight="1" x14ac:dyDescent="0.4">
      <c r="A1183" s="233" t="s">
        <v>252</v>
      </c>
      <c r="B1183" s="126" t="s">
        <v>252</v>
      </c>
      <c r="C1183" s="126">
        <v>4063281</v>
      </c>
      <c r="D1183" s="127" t="s">
        <v>214</v>
      </c>
      <c r="E1183" s="127"/>
      <c r="F1183" s="144"/>
      <c r="G1183" s="126" t="s">
        <v>159</v>
      </c>
      <c r="H1183" s="128">
        <v>2003</v>
      </c>
      <c r="I1183" s="129"/>
      <c r="J1183" s="125"/>
      <c r="K1183" s="125"/>
      <c r="L1183" s="47"/>
      <c r="M1183" s="125"/>
      <c r="N1183" s="125"/>
      <c r="O1183" s="125"/>
      <c r="P1183" s="59"/>
      <c r="Q1183" s="59"/>
      <c r="R1183" s="386"/>
      <c r="S1183" s="119"/>
      <c r="T1183" s="59"/>
      <c r="U1183" s="59"/>
      <c r="V1183" s="125"/>
      <c r="W1183" s="125"/>
      <c r="X1183" s="125"/>
      <c r="Y1183" s="125"/>
      <c r="Z1183" s="125"/>
      <c r="AA1183" s="125"/>
      <c r="AB1183" s="125"/>
      <c r="AC1183" s="125">
        <f t="shared" si="2124"/>
        <v>492.47075969932899</v>
      </c>
      <c r="AD1183" s="129"/>
      <c r="AE1183" s="133">
        <v>49.157254487855909</v>
      </c>
      <c r="AF1183" s="134">
        <v>3.1928074819870061E-2</v>
      </c>
      <c r="AG1183" s="61"/>
      <c r="AH1183" s="134"/>
      <c r="AI1183" s="134"/>
      <c r="AJ1183" s="129">
        <f t="shared" si="2138"/>
        <v>492.47075969932899</v>
      </c>
      <c r="AK1183" s="134"/>
      <c r="AL1183" s="129"/>
      <c r="AM1183" s="129"/>
      <c r="AN1183" s="129"/>
      <c r="AO1183" s="129"/>
      <c r="AP1183" s="133"/>
      <c r="AQ1183" s="134"/>
      <c r="AR1183" s="93"/>
      <c r="AS1183" s="93"/>
      <c r="AT1183" s="93"/>
      <c r="AU1183" s="93"/>
      <c r="AV1183" s="93"/>
      <c r="AW1183" s="134"/>
      <c r="AX1183" s="93"/>
      <c r="AY1183" s="93"/>
      <c r="AZ1183" s="93"/>
      <c r="BA1183" s="93"/>
      <c r="BB1183" s="234">
        <f>IFERROR(INDEX('Total Customers'!$E$7:$AA$91,MATCH($C1183,'Total Customers'!$C$7:$C$91,0),MATCH($G1183,'Total Customers'!$E$5:$AA$5,0)),"NA")</f>
        <v>11874</v>
      </c>
      <c r="BC1183" s="269">
        <f t="shared" si="2095"/>
        <v>8.3724959460021835E-3</v>
      </c>
      <c r="BD1183" s="92"/>
      <c r="BE1183" s="299" t="str">
        <f t="shared" si="2089"/>
        <v>SUPERIOR WATER, LIGHT AND POWER COMPANY</v>
      </c>
      <c r="BF1183" s="300">
        <f t="shared" si="2090"/>
        <v>4063281</v>
      </c>
      <c r="BG1183" s="231" t="str">
        <f t="shared" si="2091"/>
        <v>WI</v>
      </c>
      <c r="BH1183" s="231"/>
      <c r="BI1183" s="231" t="str">
        <f t="shared" si="2092"/>
        <v>2003 Y</v>
      </c>
      <c r="BJ1183" s="129"/>
      <c r="BK1183" s="129"/>
      <c r="BL1183" s="129">
        <f>INDEX('Dist. Plant Gas Additions'!$E$7:$AD$91,MATCH($C1183,'Dist. Plant Gas Additions'!$C$7:$C$91,0),MATCH(Calculation!$G1183,'Dist. Plant Gas Additions'!$E$5:$AD$5,0))</f>
        <v>618</v>
      </c>
      <c r="BM1183" s="129">
        <f>INDEX('Gen. Plant Additions'!$E$7:$AD$91,MATCH($C1183,'Gen. Plant Additions'!$C$7:$C$91,0),MATCH(Calculation!$G1183,'Gen. Plant Additions'!$E$5:$AD$5,0))</f>
        <v>52</v>
      </c>
      <c r="BN1183" s="301">
        <f t="shared" si="2125"/>
        <v>0.98178399341873313</v>
      </c>
      <c r="BO1183" s="231">
        <f t="shared" si="2073"/>
        <v>51.052767657774126</v>
      </c>
      <c r="BP1183" s="231">
        <f t="shared" si="2074"/>
        <v>-0.94723234222587394</v>
      </c>
      <c r="BQ1183" s="129">
        <f>INDEX('Dist Plant Depreciation'!$D$7:$AC$94,MATCH($C1183,'Dist Plant Depreciation'!$C$7:$C$94,0),MATCH(Calculation!$G1183,'Dist Plant Depreciation'!$D$5:$AC$5,0))</f>
        <v>8152</v>
      </c>
      <c r="BR1183" s="129">
        <f>INDEX('Gen. Plant Depreciation'!$D$7:$AC$94,MATCH($C1183,'Gen. Plant Depreciation'!$C$7:$C$94,0),MATCH(Calculation!$G1183,'Gen. Plant Depreciation'!$D$5:$AC$5,0))</f>
        <v>126</v>
      </c>
      <c r="BS1183" s="129"/>
      <c r="BT1183" s="129"/>
      <c r="BU1183" s="129"/>
      <c r="BV1183" s="129"/>
      <c r="BW1183" s="129"/>
      <c r="BX1183" s="137"/>
      <c r="BY1183" s="129">
        <f>INDEX('Gross Dx Plant'!$D$7:$AC$91,MATCH($C1183,'Gross Dx Plant'!$C$7:$C$91,0),MATCH(Calculation!$G1183,'Gross Dx Plant'!$D$5:$AC$5,0))</f>
        <v>16708</v>
      </c>
      <c r="BZ1183" s="129">
        <f>INDEX('Gross Gen Plant'!$D$7:$AC$91,MATCH($C1183,'Gross Gen Plant'!$C$7:$C$91,0),MATCH(Calculation!$G1183,'Gross Gen Plant'!$D$5:$AC$5,0))</f>
        <v>310</v>
      </c>
      <c r="CA1183" s="129">
        <f t="shared" si="2048"/>
        <v>8740</v>
      </c>
      <c r="CB1183" s="129"/>
      <c r="CC1183" s="133">
        <v>2003</v>
      </c>
      <c r="CD1183" s="129"/>
      <c r="CE1183" s="129"/>
      <c r="CF1183" s="129"/>
      <c r="CG1183" s="137"/>
      <c r="CH1183" s="129">
        <f t="shared" si="2126"/>
        <v>670</v>
      </c>
      <c r="CI1183" s="46">
        <f t="shared" si="2135"/>
        <v>669.0527676577741</v>
      </c>
      <c r="CJ1183" s="231">
        <f t="shared" si="2127"/>
        <v>1.8120069110998955</v>
      </c>
      <c r="CK1183" s="443">
        <v>0.94845360824742264</v>
      </c>
      <c r="CL1183" s="231">
        <f>+CL1178*CK1183+CJ1179*CK1182+CJ1180*CK1181+CJ1181*CK1180+CJ1182*CK1179+CJ1183</f>
        <v>48.025664099638945</v>
      </c>
      <c r="CM1183" s="134">
        <f t="shared" si="2128"/>
        <v>2.7336514751561587E-2</v>
      </c>
      <c r="CN1183" s="135">
        <f t="shared" si="2129"/>
        <v>1.1062018353999441E-2</v>
      </c>
      <c r="CO1183" s="135">
        <f t="shared" si="2139"/>
        <v>1.0777777874051977E-2</v>
      </c>
      <c r="CP1183" s="134">
        <f>VLOOKUP($H1183,RoR!$E:$F,2,FALSE)</f>
        <v>5.6666666666666671E-2</v>
      </c>
      <c r="CQ1183" s="135">
        <v>1.8855119140166909E-2</v>
      </c>
      <c r="CR1183" s="135">
        <f t="shared" si="2136"/>
        <v>3.7811547526499761E-2</v>
      </c>
      <c r="CS1183" s="135">
        <f t="shared" si="2140"/>
        <v>2.012416373448165E-2</v>
      </c>
      <c r="CT1183" s="135">
        <f t="shared" si="2141"/>
        <v>2.1375012817671957E-2</v>
      </c>
      <c r="CU1183" s="139">
        <f t="shared" si="2130"/>
        <v>0.85150049999999999</v>
      </c>
      <c r="CV1183" s="335">
        <f t="shared" si="2131"/>
        <v>0.90497737556561086</v>
      </c>
      <c r="CW1183" s="335">
        <f t="shared" si="2132"/>
        <v>0.5338235294117647</v>
      </c>
      <c r="CX1183" s="335">
        <f t="shared" si="2133"/>
        <v>0.88972433127405692</v>
      </c>
      <c r="CY1183" s="335">
        <f t="shared" si="2134"/>
        <v>0.42982423775949252</v>
      </c>
      <c r="CZ1183" s="336">
        <f>INDEX('State Tax Lookup'!$D$7:$Z$91,MATCH(Calculation!$C1183,'State Tax Lookup'!$B$7:$B$91,0),MATCH($H1183,'State Tax Lookup'!$D$6:$Z$6,0))</f>
        <v>0.40134999999999998</v>
      </c>
      <c r="DA1183" s="302">
        <v>0.37</v>
      </c>
      <c r="DB1183" s="57">
        <f t="shared" si="2137"/>
        <v>10.538508933188441</v>
      </c>
      <c r="DC1183" s="56">
        <f t="shared" si="2142"/>
        <v>7.8459498320873188E-3</v>
      </c>
      <c r="DD1183" s="303">
        <f>VLOOKUP($H1183,RoR!$E:$F,2,FALSE)</f>
        <v>5.6666666666666671E-2</v>
      </c>
      <c r="DE1183" s="304">
        <f>HLOOKUP($H1183,'GDP-PI'!$D$8:$CQ$11,3,FALSE)</f>
        <v>1.8855119140166909E-2</v>
      </c>
      <c r="DF1183" s="303">
        <f>VLOOKUP(H1183,'HW Dx Data'!$E:$F,2,FALSE)</f>
        <v>369.23301095560191</v>
      </c>
      <c r="DG1183" s="364">
        <f ca="1">VLOOKUP(CC1183,'ECI - Input Price'!M$13:N$33,2,FALSE)</f>
        <v>89.25</v>
      </c>
      <c r="DH1183" s="364"/>
      <c r="DI1183" s="364"/>
      <c r="DJ1183" s="56"/>
      <c r="DK1183" s="53">
        <f>HLOOKUP(H1183,'GDP-PI'!$8:$9,2,FALSE)</f>
        <v>82.566999999999993</v>
      </c>
      <c r="DL1183" s="355">
        <f t="shared" ref="DL1183:DL1202" si="2143">LN(DK1183/DK1182)</f>
        <v>1.8679564681853753E-2</v>
      </c>
    </row>
    <row r="1184" spans="1:116" s="126" customFormat="1" ht="21" customHeight="1" x14ac:dyDescent="0.4">
      <c r="A1184" s="233" t="s">
        <v>252</v>
      </c>
      <c r="B1184" s="126" t="s">
        <v>252</v>
      </c>
      <c r="C1184" s="126">
        <v>4063281</v>
      </c>
      <c r="D1184" s="127" t="s">
        <v>214</v>
      </c>
      <c r="E1184" s="127"/>
      <c r="F1184" s="144"/>
      <c r="G1184" s="126" t="s">
        <v>160</v>
      </c>
      <c r="H1184" s="128">
        <v>2004</v>
      </c>
      <c r="I1184" s="129"/>
      <c r="J1184" s="125">
        <f>IFERROR(INDEX('Labor Expenditures'!$E$7:$W$91,MATCH($C1184,'Labor Expenditures'!$C$7:$C$91,0),MATCH($G1184,'Labor Expenditures'!$E$5:$W$5,0)),"NA")</f>
        <v>1387.230690759362</v>
      </c>
      <c r="K1184" s="125">
        <f t="shared" ref="K1184:K1202" ca="1" si="2144">+J1184/DG1184</f>
        <v>14.703027988970451</v>
      </c>
      <c r="L1184" s="47"/>
      <c r="M1184" s="131"/>
      <c r="N1184" s="131"/>
      <c r="O1184" s="131"/>
      <c r="P1184" s="59"/>
      <c r="Q1184" s="59"/>
      <c r="R1184" s="386"/>
      <c r="S1184" s="119"/>
      <c r="T1184" s="59"/>
      <c r="U1184" s="59"/>
      <c r="V1184" s="125">
        <f>IFERROR(INDEX('Non-Labor Expenditures'!$E$7:$AA$91,MATCH($C1184,'Non-Labor Expenditures'!$C$7:$C$91,0),MATCH($G1184,'Non-Labor Expenditures'!$E$5:$AA$5,0)),"NA")</f>
        <v>2008.969139172611</v>
      </c>
      <c r="W1184" s="125">
        <f t="shared" ref="W1184:W1202" si="2145">+V1184/DK1184</f>
        <v>23.69682157131108</v>
      </c>
      <c r="X1184" s="125"/>
      <c r="Y1184" s="125"/>
      <c r="Z1184" s="125"/>
      <c r="AA1184" s="125"/>
      <c r="AB1184" s="125"/>
      <c r="AC1184" s="125">
        <f t="shared" si="2124"/>
        <v>555.47648031178983</v>
      </c>
      <c r="AD1184" s="129"/>
      <c r="AE1184" s="133">
        <v>50.258028860576182</v>
      </c>
      <c r="AF1184" s="134">
        <v>2.2145877855306466E-2</v>
      </c>
      <c r="AG1184" s="59">
        <f t="shared" ref="AG1184:AG1202" si="2146">+AF1184*$AX1184</f>
        <v>0</v>
      </c>
      <c r="AH1184" s="134"/>
      <c r="AI1184" s="134"/>
      <c r="AJ1184" s="129">
        <f t="shared" si="2138"/>
        <v>3951.6763102437626</v>
      </c>
      <c r="AK1184" s="134"/>
      <c r="AL1184" s="129"/>
      <c r="AM1184" s="129"/>
      <c r="AN1184" s="129"/>
      <c r="AO1184" s="129"/>
      <c r="AP1184" s="133"/>
      <c r="AQ1184" s="134"/>
      <c r="AR1184" s="93">
        <f t="shared" ref="AR1184:AR1202" si="2147">+J1184/AJ1184</f>
        <v>0.3510486643765085</v>
      </c>
      <c r="AS1184" s="93">
        <f t="shared" ref="AS1184:AS1202" si="2148">+V1184/AJ1184</f>
        <v>0.50838403286343203</v>
      </c>
      <c r="AT1184" s="93">
        <f t="shared" ref="AT1184:AT1202" si="2149">+AC1184/AJ1184</f>
        <v>0.14056730276005952</v>
      </c>
      <c r="AU1184" s="93"/>
      <c r="AV1184" s="93"/>
      <c r="AW1184" s="134"/>
      <c r="AX1184" s="93"/>
      <c r="AY1184" s="93"/>
      <c r="AZ1184" s="93"/>
      <c r="BA1184" s="93"/>
      <c r="BB1184" s="234">
        <f>IFERROR(INDEX('Total Customers'!$E$7:$AA$91,MATCH($C1184,'Total Customers'!$C$7:$C$91,0),MATCH($G1184,'Total Customers'!$E$5:$AA$5,0)),"NA")</f>
        <v>11884</v>
      </c>
      <c r="BC1184" s="269">
        <f t="shared" si="2095"/>
        <v>8.4182175187754327E-4</v>
      </c>
      <c r="BD1184" s="92"/>
      <c r="BE1184" s="299" t="str">
        <f t="shared" si="2089"/>
        <v>SUPERIOR WATER, LIGHT AND POWER COMPANY</v>
      </c>
      <c r="BF1184" s="300">
        <f t="shared" si="2090"/>
        <v>4063281</v>
      </c>
      <c r="BG1184" s="231" t="str">
        <f t="shared" si="2091"/>
        <v>WI</v>
      </c>
      <c r="BH1184" s="231"/>
      <c r="BI1184" s="231" t="str">
        <f t="shared" si="2092"/>
        <v>2004 Y</v>
      </c>
      <c r="BJ1184" s="129"/>
      <c r="BK1184" s="129"/>
      <c r="BL1184" s="129">
        <f>INDEX('Dist. Plant Gas Additions'!$E$7:$AD$91,MATCH($C1184,'Dist. Plant Gas Additions'!$C$7:$C$91,0),MATCH(Calculation!$G1184,'Dist. Plant Gas Additions'!$E$5:$AD$5,0))</f>
        <v>525</v>
      </c>
      <c r="BM1184" s="129">
        <f>INDEX('Gen. Plant Additions'!$E$7:$AD$91,MATCH($C1184,'Gen. Plant Additions'!$C$7:$C$91,0),MATCH(Calculation!$G1184,'Gen. Plant Additions'!$E$5:$AD$5,0))</f>
        <v>51</v>
      </c>
      <c r="BN1184" s="301">
        <f t="shared" si="2125"/>
        <v>0.97810555427517865</v>
      </c>
      <c r="BO1184" s="231">
        <f t="shared" si="2073"/>
        <v>49.883383268034109</v>
      </c>
      <c r="BP1184" s="231">
        <f t="shared" si="2074"/>
        <v>-1.1166167319658911</v>
      </c>
      <c r="BQ1184" s="129">
        <f>INDEX('Dist Plant Depreciation'!$D$7:$AC$94,MATCH($C1184,'Dist Plant Depreciation'!$C$7:$C$94,0),MATCH(Calculation!$G1184,'Dist Plant Depreciation'!$D$5:$AC$5,0))</f>
        <v>8683</v>
      </c>
      <c r="BR1184" s="129">
        <f>INDEX('Gen. Plant Depreciation'!$D$7:$AC$94,MATCH($C1184,'Gen. Plant Depreciation'!$C$7:$C$94,0),MATCH(Calculation!$G1184,'Gen. Plant Depreciation'!$D$5:$AC$5,0))</f>
        <v>148</v>
      </c>
      <c r="BS1184" s="129"/>
      <c r="BT1184" s="129"/>
      <c r="BU1184" s="129"/>
      <c r="BV1184" s="129"/>
      <c r="BW1184" s="129"/>
      <c r="BX1184" s="137"/>
      <c r="BY1184" s="129">
        <f>INDEX('Gross Dx Plant'!$D$7:$AC$91,MATCH($C1184,'Gross Dx Plant'!$C$7:$C$91,0),MATCH(Calculation!$G1184,'Gross Dx Plant'!$D$5:$AC$5,0))</f>
        <v>16976</v>
      </c>
      <c r="BZ1184" s="129">
        <f>INDEX('Gross Gen Plant'!$D$7:$AC$91,MATCH($C1184,'Gross Gen Plant'!$C$7:$C$91,0),MATCH(Calculation!$G1184,'Gross Gen Plant'!$D$5:$AC$5,0))</f>
        <v>380</v>
      </c>
      <c r="CA1184" s="129">
        <f t="shared" si="2048"/>
        <v>8525</v>
      </c>
      <c r="CB1184" s="129"/>
      <c r="CC1184" s="133">
        <v>2004</v>
      </c>
      <c r="CD1184" s="129"/>
      <c r="CE1184" s="129"/>
      <c r="CF1184" s="129"/>
      <c r="CG1184" s="137"/>
      <c r="CH1184" s="129">
        <f t="shared" si="2126"/>
        <v>576</v>
      </c>
      <c r="CI1184" s="46">
        <f t="shared" si="2135"/>
        <v>574.88338326803409</v>
      </c>
      <c r="CJ1184" s="231">
        <f t="shared" si="2127"/>
        <v>1.3856378197510961</v>
      </c>
      <c r="CK1184" s="443">
        <v>0.9375</v>
      </c>
      <c r="CL1184" s="231">
        <f>+CL1178*CK1184+CJ1179*CK1183+CJ1180*CK1182+CJ1181*CK1181+CJ1182*CK1180+CJ1183*CK1179+CJ1184</f>
        <v>48.865694924914337</v>
      </c>
      <c r="CM1184" s="134">
        <f t="shared" si="2128"/>
        <v>1.7340078246014884E-2</v>
      </c>
      <c r="CN1184" s="135">
        <f t="shared" si="2129"/>
        <v>1.1360738153328448E-2</v>
      </c>
      <c r="CO1184" s="135">
        <f t="shared" si="2139"/>
        <v>1.1167367966096959E-2</v>
      </c>
      <c r="CP1184" s="134">
        <f>VLOOKUP($H1184,RoR!$E:$F,2,FALSE)</f>
        <v>5.6283333333333331E-2</v>
      </c>
      <c r="CQ1184" s="135">
        <v>2.6778252812867276E-2</v>
      </c>
      <c r="CR1184" s="135">
        <f t="shared" si="2136"/>
        <v>2.9505080520466055E-2</v>
      </c>
      <c r="CS1184" s="135">
        <f t="shared" si="2140"/>
        <v>1.9734573642436665E-2</v>
      </c>
      <c r="CT1184" s="135">
        <f t="shared" si="2141"/>
        <v>5.5940039414565046E-2</v>
      </c>
      <c r="CU1184" s="139">
        <f t="shared" si="2130"/>
        <v>0.85150049999999999</v>
      </c>
      <c r="CV1184" s="335">
        <f t="shared" si="2131"/>
        <v>0.91114097628755619</v>
      </c>
      <c r="CW1184" s="335">
        <f t="shared" si="2132"/>
        <v>0.53081877405981637</v>
      </c>
      <c r="CX1184" s="335">
        <f t="shared" si="2133"/>
        <v>0.88811215519385678</v>
      </c>
      <c r="CY1184" s="335">
        <f t="shared" si="2134"/>
        <v>0.42953609753547711</v>
      </c>
      <c r="CZ1184" s="336">
        <f>INDEX('State Tax Lookup'!$D$7:$Z$91,MATCH(Calculation!$C1184,'State Tax Lookup'!$B$7:$B$91,0),MATCH($H1184,'State Tax Lookup'!$D$6:$Z$6,0))</f>
        <v>0.40134999999999998</v>
      </c>
      <c r="DA1184" s="302">
        <v>0.37</v>
      </c>
      <c r="DB1184" s="57">
        <f t="shared" si="2137"/>
        <v>11.566242564794974</v>
      </c>
      <c r="DC1184" s="56">
        <f t="shared" si="2142"/>
        <v>9.3054666078297377E-2</v>
      </c>
      <c r="DD1184" s="303">
        <f>VLOOKUP($H1184,RoR!$E:$F,2,FALSE)</f>
        <v>5.6283333333333331E-2</v>
      </c>
      <c r="DE1184" s="304">
        <f>HLOOKUP($H1184,'GDP-PI'!$D$8:$CQ$11,3,FALSE)</f>
        <v>2.6778252812867276E-2</v>
      </c>
      <c r="DF1184" s="303">
        <f>VLOOKUP(H1184,'HW Dx Data'!$E:$F,2,FALSE)</f>
        <v>414.88719135228365</v>
      </c>
      <c r="DG1184" s="364">
        <f ca="1">VLOOKUP(CC1184,'ECI - Input Price'!M$13:N$33,2,FALSE)</f>
        <v>94.35</v>
      </c>
      <c r="DH1184" s="364"/>
      <c r="DI1184" s="364"/>
      <c r="DJ1184" s="56">
        <f t="shared" ref="DJ1184:DJ1202" ca="1" si="2150">LN(DG1184/DG1183)</f>
        <v>5.5569851154810786E-2</v>
      </c>
      <c r="DK1184" s="53">
        <f>HLOOKUP(H1184,'GDP-PI'!$8:$9,2,FALSE)</f>
        <v>84.778000000000006</v>
      </c>
      <c r="DL1184" s="355">
        <f t="shared" si="2143"/>
        <v>2.6425990216022755E-2</v>
      </c>
    </row>
    <row r="1185" spans="1:116" s="126" customFormat="1" ht="21" customHeight="1" x14ac:dyDescent="0.4">
      <c r="A1185" s="233" t="s">
        <v>252</v>
      </c>
      <c r="B1185" s="126" t="s">
        <v>252</v>
      </c>
      <c r="C1185" s="126">
        <v>4063281</v>
      </c>
      <c r="D1185" s="127" t="s">
        <v>214</v>
      </c>
      <c r="E1185" s="127"/>
      <c r="F1185" s="144"/>
      <c r="G1185" s="126" t="s">
        <v>161</v>
      </c>
      <c r="H1185" s="128">
        <v>2005</v>
      </c>
      <c r="I1185" s="129"/>
      <c r="J1185" s="125">
        <f>IFERROR(INDEX('Labor Expenditures'!$E$7:$W$91,MATCH($C1185,'Labor Expenditures'!$C$7:$C$91,0),MATCH($G1185,'Labor Expenditures'!$E$5:$W$5,0)),"NA")</f>
        <v>1537.4452186554706</v>
      </c>
      <c r="K1185" s="125">
        <f t="shared" ca="1" si="2144"/>
        <v>15.494534831498823</v>
      </c>
      <c r="L1185" s="47"/>
      <c r="M1185" s="131">
        <f t="shared" ref="M1185:M1201" ca="1" si="2151">LN(K1185/K1184)</f>
        <v>5.2433912017182956E-2</v>
      </c>
      <c r="N1185" s="131"/>
      <c r="O1185" s="131"/>
      <c r="P1185" s="59"/>
      <c r="Q1185" s="61"/>
      <c r="R1185" s="387"/>
      <c r="S1185" s="49">
        <v>100</v>
      </c>
      <c r="T1185" s="46"/>
      <c r="U1185" s="46"/>
      <c r="V1185" s="125">
        <f>IFERROR(INDEX('Non-Labor Expenditures'!$E$7:$AA$91,MATCH($C1185,'Non-Labor Expenditures'!$C$7:$C$91,0),MATCH($G1185,'Non-Labor Expenditures'!$E$5:$AA$5,0)),"NA")</f>
        <v>2226.507831769929</v>
      </c>
      <c r="W1185" s="125">
        <f t="shared" si="2145"/>
        <v>25.47287782179836</v>
      </c>
      <c r="X1185" s="131">
        <f>LN(W1185/W1184)</f>
        <v>7.2273343061019443E-2</v>
      </c>
      <c r="Y1185" s="131"/>
      <c r="Z1185" s="131"/>
      <c r="AA1185" s="131"/>
      <c r="AB1185" s="131"/>
      <c r="AC1185" s="125">
        <f t="shared" si="2124"/>
        <v>630.65221695283344</v>
      </c>
      <c r="AD1185" s="129"/>
      <c r="AE1185" s="133">
        <v>51.088041677800206</v>
      </c>
      <c r="AF1185" s="134">
        <v>1.6380139280287271E-2</v>
      </c>
      <c r="AG1185" s="59">
        <f t="shared" si="2146"/>
        <v>0</v>
      </c>
      <c r="AH1185" s="134"/>
      <c r="AI1185" s="134"/>
      <c r="AJ1185" s="129">
        <f t="shared" si="2138"/>
        <v>4394.6052673782333</v>
      </c>
      <c r="AK1185" s="134">
        <f>LN(AJ1185/AJ1184)</f>
        <v>0.10623784185423264</v>
      </c>
      <c r="AL1185" s="129"/>
      <c r="AM1185" s="129"/>
      <c r="AN1185" s="129"/>
      <c r="AO1185" s="129"/>
      <c r="AP1185" s="133"/>
      <c r="AQ1185" s="134"/>
      <c r="AR1185" s="93">
        <f t="shared" si="2147"/>
        <v>0.34984830834936198</v>
      </c>
      <c r="AS1185" s="93">
        <f t="shared" si="2148"/>
        <v>0.50664569314054364</v>
      </c>
      <c r="AT1185" s="93">
        <f t="shared" si="2149"/>
        <v>0.14350599851009432</v>
      </c>
      <c r="AU1185" s="93">
        <f t="shared" ref="AU1185:AU1201" ca="1" si="2152">+(((AR1185+AR1184)/2)*M1185+((AS1184+AS1185)/2)*X1185+((AT1184+AT1185)/2)*AF1185)</f>
        <v>5.7381761023126109E-2</v>
      </c>
      <c r="AV1185" s="132">
        <v>100</v>
      </c>
      <c r="AW1185" s="134"/>
      <c r="AX1185" s="93"/>
      <c r="AY1185" s="93"/>
      <c r="AZ1185" s="93"/>
      <c r="BA1185" s="93"/>
      <c r="BB1185" s="234">
        <f>IFERROR(INDEX('Total Customers'!$E$7:$AA$91,MATCH($C1185,'Total Customers'!$C$7:$C$91,0),MATCH($G1185,'Total Customers'!$E$5:$AA$5,0)),"NA")</f>
        <v>11979</v>
      </c>
      <c r="BC1185" s="269">
        <f t="shared" si="2095"/>
        <v>7.9621591488326648E-3</v>
      </c>
      <c r="BD1185" s="92"/>
      <c r="BE1185" s="299" t="str">
        <f t="shared" si="2089"/>
        <v>SUPERIOR WATER, LIGHT AND POWER COMPANY</v>
      </c>
      <c r="BF1185" s="300">
        <f t="shared" si="2090"/>
        <v>4063281</v>
      </c>
      <c r="BG1185" s="231" t="str">
        <f t="shared" si="2091"/>
        <v>WI</v>
      </c>
      <c r="BH1185" s="231"/>
      <c r="BI1185" s="231" t="str">
        <f t="shared" si="2092"/>
        <v>2005 Y</v>
      </c>
      <c r="BJ1185" s="129"/>
      <c r="BK1185" s="129"/>
      <c r="BL1185" s="129">
        <f>INDEX('Dist. Plant Gas Additions'!$E$7:$AD$91,MATCH($C1185,'Dist. Plant Gas Additions'!$C$7:$C$91,0),MATCH(Calculation!$G1185,'Dist. Plant Gas Additions'!$E$5:$AD$5,0))</f>
        <v>507</v>
      </c>
      <c r="BM1185" s="129">
        <f>INDEX('Gen. Plant Additions'!$E$7:$AD$91,MATCH($C1185,'Gen. Plant Additions'!$C$7:$C$91,0),MATCH(Calculation!$G1185,'Gen. Plant Additions'!$E$5:$AD$5,0))</f>
        <v>25</v>
      </c>
      <c r="BN1185" s="301">
        <f t="shared" si="2125"/>
        <v>0.97619315623592973</v>
      </c>
      <c r="BO1185" s="231">
        <f t="shared" si="2073"/>
        <v>24.404828905898242</v>
      </c>
      <c r="BP1185" s="231">
        <f t="shared" si="2074"/>
        <v>-0.59517109410175806</v>
      </c>
      <c r="BQ1185" s="129">
        <f>INDEX('Dist Plant Depreciation'!$D$7:$AC$94,MATCH($C1185,'Dist Plant Depreciation'!$C$7:$C$94,0),MATCH(Calculation!$G1185,'Dist Plant Depreciation'!$D$5:$AC$5,0))</f>
        <v>9200</v>
      </c>
      <c r="BR1185" s="129">
        <f>INDEX('Gen. Plant Depreciation'!$D$7:$AC$94,MATCH($C1185,'Gen. Plant Depreciation'!$C$7:$C$94,0),MATCH(Calculation!$G1185,'Gen. Plant Depreciation'!$D$5:$AC$5,0))</f>
        <v>168</v>
      </c>
      <c r="BS1185" s="129"/>
      <c r="BT1185" s="129"/>
      <c r="BU1185" s="129"/>
      <c r="BV1185" s="129"/>
      <c r="BW1185" s="129"/>
      <c r="BX1185" s="137"/>
      <c r="BY1185" s="129">
        <f>INDEX('Gross Dx Plant'!$D$7:$AC$91,MATCH($C1185,'Gross Dx Plant'!$C$7:$C$91,0),MATCH(Calculation!$G1185,'Gross Dx Plant'!$D$5:$AC$5,0))</f>
        <v>17345</v>
      </c>
      <c r="BZ1185" s="129">
        <f>INDEX('Gross Gen Plant'!$D$7:$AC$91,MATCH($C1185,'Gross Gen Plant'!$C$7:$C$91,0),MATCH(Calculation!$G1185,'Gross Gen Plant'!$D$5:$AC$5,0))</f>
        <v>423</v>
      </c>
      <c r="CA1185" s="129">
        <f t="shared" si="2048"/>
        <v>8400</v>
      </c>
      <c r="CB1185" s="129"/>
      <c r="CC1185" s="133">
        <v>2005</v>
      </c>
      <c r="CD1185" s="129"/>
      <c r="CE1185" s="129"/>
      <c r="CF1185" s="129"/>
      <c r="CG1185" s="137"/>
      <c r="CH1185" s="129">
        <f t="shared" si="2126"/>
        <v>532</v>
      </c>
      <c r="CI1185" s="46">
        <f t="shared" si="2135"/>
        <v>531.40482890589828</v>
      </c>
      <c r="CJ1185" s="231">
        <f t="shared" si="2127"/>
        <v>1.1325639538182015</v>
      </c>
      <c r="CK1185" s="443">
        <v>0.9263157894736842</v>
      </c>
      <c r="CL1185" s="231">
        <f>+CL1178*CK1185+CJ1179*CK1184+CJ1180*CK1183+CJ1181*CK1182+CJ1182*CK1181+CJ1183*CK1180+CJ1184*CK1179+CJ1185</f>
        <v>49.427504488427324</v>
      </c>
      <c r="CM1185" s="134">
        <f t="shared" si="2128"/>
        <v>1.1431425263215856E-2</v>
      </c>
      <c r="CN1185" s="135">
        <f t="shared" si="2129"/>
        <v>1.1680062898567578E-2</v>
      </c>
      <c r="CO1185" s="135">
        <f t="shared" si="2139"/>
        <v>1.1367606468631821E-2</v>
      </c>
      <c r="CP1185" s="134">
        <f>VLOOKUP($H1185,RoR!$E:$F,2,FALSE)</f>
        <v>5.2350000000000001E-2</v>
      </c>
      <c r="CQ1185" s="135">
        <v>3.1010403642454332E-2</v>
      </c>
      <c r="CR1185" s="135">
        <f t="shared" si="2136"/>
        <v>2.1339596357545669E-2</v>
      </c>
      <c r="CS1185" s="135">
        <f t="shared" si="2140"/>
        <v>1.9534335139901805E-2</v>
      </c>
      <c r="CT1185" s="135">
        <f t="shared" si="2141"/>
        <v>9.2129610649277341E-2</v>
      </c>
      <c r="CU1185" s="139">
        <f t="shared" si="2130"/>
        <v>0.85150049999999999</v>
      </c>
      <c r="CV1185" s="335">
        <f t="shared" si="2131"/>
        <v>0.97959983346802826</v>
      </c>
      <c r="CW1185" s="335">
        <f t="shared" si="2132"/>
        <v>0.49744508118433622</v>
      </c>
      <c r="CX1185" s="335">
        <f t="shared" si="2133"/>
        <v>0.87010519444335932</v>
      </c>
      <c r="CY1185" s="335">
        <f t="shared" si="2134"/>
        <v>0.42399975420741998</v>
      </c>
      <c r="CZ1185" s="336">
        <f>INDEX('State Tax Lookup'!$D$7:$Z$91,MATCH(Calculation!$C1185,'State Tax Lookup'!$B$7:$B$91,0),MATCH($H1185,'State Tax Lookup'!$D$6:$Z$6,0))</f>
        <v>0.40134999999999998</v>
      </c>
      <c r="DA1185" s="302">
        <v>0.37</v>
      </c>
      <c r="DB1185" s="57">
        <f t="shared" si="2137"/>
        <v>12.905827245921214</v>
      </c>
      <c r="DC1185" s="56">
        <f t="shared" si="2142"/>
        <v>0.10958820211622598</v>
      </c>
      <c r="DD1185" s="303">
        <f>VLOOKUP($H1185,RoR!$E:$F,2,FALSE)</f>
        <v>5.2350000000000001E-2</v>
      </c>
      <c r="DE1185" s="304">
        <f>HLOOKUP($H1185,'GDP-PI'!$D$8:$CQ$11,3,FALSE)</f>
        <v>3.1010403642454332E-2</v>
      </c>
      <c r="DF1185" s="303">
        <f>VLOOKUP(H1185,'HW Dx Data'!$E:$F,2,FALSE)</f>
        <v>469.20514034936258</v>
      </c>
      <c r="DG1185" s="364">
        <f ca="1">VLOOKUP(CC1185,'ECI - Input Price'!M$13:N$33,2,FALSE)</f>
        <v>99.224999999999994</v>
      </c>
      <c r="DH1185" s="364"/>
      <c r="DI1185" s="364"/>
      <c r="DJ1185" s="56">
        <f t="shared" ca="1" si="2150"/>
        <v>5.0378726854569796E-2</v>
      </c>
      <c r="DK1185" s="53">
        <f>HLOOKUP(H1185,'GDP-PI'!$8:$9,2,FALSE)</f>
        <v>87.406999999999996</v>
      </c>
      <c r="DL1185" s="355">
        <f t="shared" si="2143"/>
        <v>3.0539295810733648E-2</v>
      </c>
    </row>
    <row r="1186" spans="1:116" s="126" customFormat="1" ht="21" customHeight="1" x14ac:dyDescent="0.4">
      <c r="A1186" s="233" t="s">
        <v>252</v>
      </c>
      <c r="B1186" s="126" t="s">
        <v>252</v>
      </c>
      <c r="C1186" s="126">
        <v>4063281</v>
      </c>
      <c r="D1186" s="127" t="s">
        <v>214</v>
      </c>
      <c r="E1186" s="127"/>
      <c r="F1186" s="144"/>
      <c r="G1186" s="126" t="s">
        <v>162</v>
      </c>
      <c r="H1186" s="128">
        <v>2006</v>
      </c>
      <c r="I1186" s="129"/>
      <c r="J1186" s="125">
        <f>IFERROR(INDEX('Labor Expenditures'!$E$7:$W$91,MATCH($C1186,'Labor Expenditures'!$C$7:$C$91,0),MATCH($G1186,'Labor Expenditures'!$E$5:$W$5,0)),"NA")</f>
        <v>1621.2258941285252</v>
      </c>
      <c r="K1186" s="125">
        <f t="shared" ca="1" si="2144"/>
        <v>14.819249489291821</v>
      </c>
      <c r="L1186" s="47"/>
      <c r="M1186" s="131">
        <f t="shared" ca="1" si="2151"/>
        <v>-4.4560393396577996E-2</v>
      </c>
      <c r="N1186" s="131"/>
      <c r="O1186" s="131"/>
      <c r="P1186" s="59">
        <f t="shared" ref="P1186:P1202" ca="1" si="2153">+M1186*$AX1186</f>
        <v>-2.7945052791598229E-5</v>
      </c>
      <c r="Q1186" s="61"/>
      <c r="R1186" s="387"/>
      <c r="S1186" s="49">
        <f ca="1">+S1185*EXP(T1186)</f>
        <v>115.48873663753372</v>
      </c>
      <c r="T1186" s="61">
        <f ca="1">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</f>
        <v>0.14400282092878794</v>
      </c>
      <c r="U1186" s="61"/>
      <c r="V1186" s="125">
        <f>IFERROR(INDEX('Non-Labor Expenditures'!$E$7:$AA$91,MATCH($C1186,'Non-Labor Expenditures'!$C$7:$C$91,0),MATCH($G1186,'Non-Labor Expenditures'!$E$5:$AA$5,0)),"NA")</f>
        <v>2347.8378979266026</v>
      </c>
      <c r="W1186" s="125">
        <f t="shared" si="2145"/>
        <v>26.065655993145665</v>
      </c>
      <c r="X1186" s="131">
        <f t="shared" ref="X1186:X1201" si="2154">LN(W1186/W1185)</f>
        <v>2.3004314196718934E-2</v>
      </c>
      <c r="Y1186" s="131">
        <f t="shared" ref="Y1186:Y1202" si="2155">+X1186*AX1186</f>
        <v>1.4426640468375921E-5</v>
      </c>
      <c r="Z1186" s="131"/>
      <c r="AA1186" s="131"/>
      <c r="AB1186" s="131"/>
      <c r="AC1186" s="125">
        <f t="shared" si="2124"/>
        <v>617.33615110462256</v>
      </c>
      <c r="AD1186" s="129"/>
      <c r="AE1186" s="133">
        <v>51.857284379206398</v>
      </c>
      <c r="AF1186" s="134">
        <v>1.4944962505218755E-2</v>
      </c>
      <c r="AG1186" s="59">
        <f t="shared" si="2146"/>
        <v>9.372398543700169E-6</v>
      </c>
      <c r="AH1186" s="134"/>
      <c r="AI1186" s="134"/>
      <c r="AJ1186" s="129">
        <f t="shared" si="2138"/>
        <v>4586.3999431597504</v>
      </c>
      <c r="AK1186" s="134">
        <f t="shared" ref="AK1186:AK1202" si="2156">LN(AJ1186/AJ1185)</f>
        <v>4.2717677136079255E-2</v>
      </c>
      <c r="AL1186" s="129"/>
      <c r="AM1186" s="129"/>
      <c r="AN1186" s="129"/>
      <c r="AO1186" s="129"/>
      <c r="AP1186" s="133">
        <f t="shared" ref="AP1186:AP1202" si="2157">+(AJ1186*1000)/BB1186</f>
        <v>380.99351579662323</v>
      </c>
      <c r="AQ1186" s="134">
        <f>+BB1186/Outputs!$B$14</f>
        <v>3.4710199103849437E-4</v>
      </c>
      <c r="AR1186" s="93">
        <f t="shared" si="2147"/>
        <v>0.35348550371113063</v>
      </c>
      <c r="AS1186" s="93">
        <f t="shared" si="2148"/>
        <v>0.51191303135877098</v>
      </c>
      <c r="AT1186" s="93">
        <f t="shared" si="2149"/>
        <v>0.13460146493009842</v>
      </c>
      <c r="AU1186" s="93">
        <f t="shared" ca="1" si="2152"/>
        <v>-1.8766404074018576E-3</v>
      </c>
      <c r="AV1186" s="132">
        <f ca="1">+AV1185*EXP(AU1186)</f>
        <v>99.812511938120522</v>
      </c>
      <c r="AW1186" s="134">
        <f ca="1">LN(AV1186/AV1185)</f>
        <v>-1.8766404074018934E-3</v>
      </c>
      <c r="AX1186" s="135">
        <f>+AJ1186/$AL$11</f>
        <v>6.2712760506607786E-4</v>
      </c>
      <c r="AY1186" s="135">
        <f ca="1">+AX1186*AW1186</f>
        <v>-1.1768930042641781E-6</v>
      </c>
      <c r="AZ1186" s="93"/>
      <c r="BA1186" s="93"/>
      <c r="BB1186" s="234">
        <f>IFERROR(INDEX('Total Customers'!$E$7:$AA$91,MATCH($C1186,'Total Customers'!$C$7:$C$91,0),MATCH($G1186,'Total Customers'!$E$5:$AA$5,0)),"NA")</f>
        <v>12038</v>
      </c>
      <c r="BC1186" s="269">
        <f t="shared" si="2095"/>
        <v>4.9131963763851105E-3</v>
      </c>
      <c r="BD1186" s="92"/>
      <c r="BE1186" s="299" t="str">
        <f t="shared" si="2089"/>
        <v>SUPERIOR WATER, LIGHT AND POWER COMPANY</v>
      </c>
      <c r="BF1186" s="300">
        <f t="shared" si="2090"/>
        <v>4063281</v>
      </c>
      <c r="BG1186" s="231" t="str">
        <f t="shared" si="2091"/>
        <v>WI</v>
      </c>
      <c r="BH1186" s="231"/>
      <c r="BI1186" s="231" t="str">
        <f t="shared" si="2092"/>
        <v>2006 Y</v>
      </c>
      <c r="BJ1186" s="129"/>
      <c r="BK1186" s="129"/>
      <c r="BL1186" s="129">
        <f>INDEX('Dist. Plant Gas Additions'!$E$7:$AD$91,MATCH($C1186,'Dist. Plant Gas Additions'!$C$7:$C$91,0),MATCH(Calculation!$G1186,'Dist. Plant Gas Additions'!$E$5:$AD$5,0))</f>
        <v>476</v>
      </c>
      <c r="BM1186" s="129">
        <f>INDEX('Gen. Plant Additions'!$E$7:$AD$91,MATCH($C1186,'Gen. Plant Additions'!$C$7:$C$91,0),MATCH(Calculation!$G1186,'Gen. Plant Additions'!$E$5:$AD$5,0))</f>
        <v>26</v>
      </c>
      <c r="BN1186" s="301">
        <f t="shared" si="2125"/>
        <v>0.97536756638139122</v>
      </c>
      <c r="BO1186" s="231">
        <f t="shared" si="2073"/>
        <v>25.359556725916171</v>
      </c>
      <c r="BP1186" s="231">
        <f t="shared" si="2074"/>
        <v>-0.64044327408382884</v>
      </c>
      <c r="BQ1186" s="129">
        <f>INDEX('Dist Plant Depreciation'!$D$7:$AC$94,MATCH($C1186,'Dist Plant Depreciation'!$C$7:$C$94,0),MATCH(Calculation!$G1186,'Dist Plant Depreciation'!$D$5:$AC$5,0))</f>
        <v>9786</v>
      </c>
      <c r="BR1186" s="129">
        <f>INDEX('Gen. Plant Depreciation'!$D$7:$AC$94,MATCH($C1186,'Gen. Plant Depreciation'!$C$7:$C$94,0),MATCH(Calculation!$G1186,'Gen. Plant Depreciation'!$D$5:$AC$5,0))</f>
        <v>169</v>
      </c>
      <c r="BS1186" s="129"/>
      <c r="BT1186" s="129"/>
      <c r="BU1186" s="129"/>
      <c r="BV1186" s="129"/>
      <c r="BW1186" s="129"/>
      <c r="BX1186" s="137"/>
      <c r="BY1186" s="129">
        <f>INDEX('Gross Dx Plant'!$D$7:$AC$91,MATCH($C1186,'Gross Dx Plant'!$C$7:$C$91,0),MATCH(Calculation!$G1186,'Gross Dx Plant'!$D$5:$AC$5,0))</f>
        <v>17779</v>
      </c>
      <c r="BZ1186" s="129">
        <f>INDEX('Gross Gen Plant'!$D$7:$AC$91,MATCH($C1186,'Gross Gen Plant'!$C$7:$C$91,0),MATCH(Calculation!$G1186,'Gross Gen Plant'!$D$5:$AC$5,0))</f>
        <v>449</v>
      </c>
      <c r="CA1186" s="129">
        <f t="shared" si="2048"/>
        <v>8273</v>
      </c>
      <c r="CB1186" s="134"/>
      <c r="CC1186" s="133">
        <v>2006</v>
      </c>
      <c r="CD1186" s="129"/>
      <c r="CE1186" s="129"/>
      <c r="CF1186" s="129"/>
      <c r="CG1186" s="137"/>
      <c r="CH1186" s="129">
        <f t="shared" si="2126"/>
        <v>502</v>
      </c>
      <c r="CI1186" s="46">
        <f t="shared" si="2135"/>
        <v>501.35955672591615</v>
      </c>
      <c r="CJ1186" s="231">
        <f t="shared" si="2127"/>
        <v>1.0873457718991106</v>
      </c>
      <c r="CK1186" s="443">
        <v>0.91489361702127658</v>
      </c>
      <c r="CL1186" s="231">
        <f>+CL1178*CK1186+CJ1179*CK1185+CJ1180*CK1184+CJ1181*CK1183+CJ1182*CK1182+CJ1183*CK1181+CJ1184*CK1180+CJ1185*CK1179+CJ1186</f>
        <v>49.920816847127909</v>
      </c>
      <c r="CM1186" s="134">
        <f t="shared" si="2128"/>
        <v>9.9310467756576811E-3</v>
      </c>
      <c r="CN1186" s="135">
        <f t="shared" si="2129"/>
        <v>1.2018276450465127E-2</v>
      </c>
      <c r="CO1186" s="135">
        <f t="shared" si="2139"/>
        <v>1.1686359167453718E-2</v>
      </c>
      <c r="CP1186" s="134">
        <f>VLOOKUP($H1186,RoR!$E:$F,2,FALSE)</f>
        <v>5.5874999999999994E-2</v>
      </c>
      <c r="CQ1186" s="135">
        <v>3.0512430354548314E-2</v>
      </c>
      <c r="CR1186" s="135">
        <f t="shared" si="2136"/>
        <v>2.536256964545168E-2</v>
      </c>
      <c r="CS1186" s="135">
        <f t="shared" si="2140"/>
        <v>1.9215582441079907E-2</v>
      </c>
      <c r="CT1186" s="135">
        <f t="shared" si="2141"/>
        <v>7.9087823893859641E-2</v>
      </c>
      <c r="CU1186" s="139">
        <f t="shared" si="2130"/>
        <v>0.85150049999999999</v>
      </c>
      <c r="CV1186" s="335">
        <f t="shared" si="2131"/>
        <v>0.91779957551769631</v>
      </c>
      <c r="CW1186" s="335">
        <f t="shared" si="2132"/>
        <v>0.52757270693512304</v>
      </c>
      <c r="CX1186" s="335">
        <f t="shared" si="2133"/>
        <v>0.88636824549024895</v>
      </c>
      <c r="CY1186" s="335">
        <f t="shared" si="2134"/>
        <v>0.42918482841932087</v>
      </c>
      <c r="CZ1186" s="336">
        <f>INDEX('State Tax Lookup'!$D$7:$Z$91,MATCH(Calculation!$C1186,'State Tax Lookup'!$B$7:$B$91,0),MATCH($H1186,'State Tax Lookup'!$D$6:$Z$6,0))</f>
        <v>0.40134999999999998</v>
      </c>
      <c r="DA1186" s="302">
        <v>0.37</v>
      </c>
      <c r="DB1186" s="57">
        <f t="shared" si="2137"/>
        <v>12.489729301408737</v>
      </c>
      <c r="DC1186" s="56">
        <f t="shared" si="2142"/>
        <v>-3.2772283184114015E-2</v>
      </c>
      <c r="DD1186" s="303">
        <f>VLOOKUP($H1186,RoR!$E:$F,2,FALSE)</f>
        <v>5.5874999999999994E-2</v>
      </c>
      <c r="DE1186" s="304">
        <f>HLOOKUP($H1186,'GDP-PI'!$D$8:$CQ$11,3,FALSE)</f>
        <v>3.0512430354548314E-2</v>
      </c>
      <c r="DF1186" s="303">
        <f>VLOOKUP(H1186,'HW Dx Data'!$E:$F,2,FALSE)</f>
        <v>461.08567272971823</v>
      </c>
      <c r="DG1186" s="364">
        <f ca="1">VLOOKUP(CC1186,'ECI - Input Price'!M$13:N$33,2,FALSE)</f>
        <v>109.4</v>
      </c>
      <c r="DH1186" s="364"/>
      <c r="DI1186" s="364"/>
      <c r="DJ1186" s="56">
        <f t="shared" ca="1" si="2150"/>
        <v>9.7620891318751846E-2</v>
      </c>
      <c r="DK1186" s="53">
        <f>HLOOKUP(H1186,'GDP-PI'!$8:$9,2,FALSE)</f>
        <v>90.073999999999998</v>
      </c>
      <c r="DL1186" s="355">
        <f t="shared" si="2143"/>
        <v>3.005618372545445E-2</v>
      </c>
    </row>
    <row r="1187" spans="1:116" s="126" customFormat="1" ht="21" customHeight="1" x14ac:dyDescent="0.4">
      <c r="A1187" s="233" t="s">
        <v>252</v>
      </c>
      <c r="B1187" s="126" t="s">
        <v>252</v>
      </c>
      <c r="C1187" s="126">
        <v>4063281</v>
      </c>
      <c r="D1187" s="127" t="s">
        <v>214</v>
      </c>
      <c r="E1187" s="127"/>
      <c r="F1187" s="144"/>
      <c r="G1187" s="126" t="s">
        <v>163</v>
      </c>
      <c r="H1187" s="128">
        <v>2007</v>
      </c>
      <c r="I1187" s="129"/>
      <c r="J1187" s="125">
        <f>IFERROR(INDEX('Labor Expenditures'!$E$7:$W$91,MATCH($C1187,'Labor Expenditures'!$C$7:$C$91,0),MATCH($G1187,'Labor Expenditures'!$E$5:$W$5,0)),"NA")</f>
        <v>1591.4363480371192</v>
      </c>
      <c r="K1187" s="125">
        <f t="shared" ca="1" si="2144"/>
        <v>15.225413518652182</v>
      </c>
      <c r="L1187" s="47"/>
      <c r="M1187" s="131">
        <f t="shared" ca="1" si="2151"/>
        <v>2.7038996892313334E-2</v>
      </c>
      <c r="N1187" s="131"/>
      <c r="O1187" s="131"/>
      <c r="P1187" s="59">
        <f t="shared" ca="1" si="2153"/>
        <v>1.6082135319557036E-5</v>
      </c>
      <c r="Q1187" s="61"/>
      <c r="R1187" s="387"/>
      <c r="S1187" s="49">
        <f t="shared" ref="S1187:S1200" ca="1" si="2158">+S1186*EXP(T1187)</f>
        <v>119.92413393845116</v>
      </c>
      <c r="T1187" s="61">
        <f ca="1">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</f>
        <v>3.7686318752039809E-2</v>
      </c>
      <c r="U1187" s="61"/>
      <c r="V1187" s="125">
        <f>IFERROR(INDEX('Non-Labor Expenditures'!$E$7:$AA$91,MATCH($C1187,'Non-Labor Expenditures'!$C$7:$C$91,0),MATCH($G1187,'Non-Labor Expenditures'!$E$5:$AA$5,0)),"NA")</f>
        <v>2304.6970712665216</v>
      </c>
      <c r="W1187" s="125">
        <f t="shared" si="2145"/>
        <v>24.916182741967624</v>
      </c>
      <c r="X1187" s="131">
        <f t="shared" si="2154"/>
        <v>-4.5101083802976748E-2</v>
      </c>
      <c r="Y1187" s="131">
        <f t="shared" si="2155"/>
        <v>-2.6825023711746835E-5</v>
      </c>
      <c r="Z1187" s="131"/>
      <c r="AA1187" s="131"/>
      <c r="AB1187" s="131"/>
      <c r="AC1187" s="125">
        <f t="shared" si="2124"/>
        <v>663.03886202078513</v>
      </c>
      <c r="AD1187" s="129"/>
      <c r="AE1187" s="133">
        <v>52.47343241322087</v>
      </c>
      <c r="AF1187" s="134">
        <v>1.1811577958029108E-2</v>
      </c>
      <c r="AG1187" s="59">
        <f t="shared" si="2146"/>
        <v>7.025238244415863E-6</v>
      </c>
      <c r="AH1187" s="134"/>
      <c r="AI1187" s="134"/>
      <c r="AJ1187" s="129">
        <f t="shared" si="2138"/>
        <v>4559.172281324426</v>
      </c>
      <c r="AK1187" s="134">
        <f t="shared" si="2156"/>
        <v>-5.9543004221901553E-3</v>
      </c>
      <c r="AL1187" s="129"/>
      <c r="AM1187" s="129"/>
      <c r="AN1187" s="129"/>
      <c r="AO1187" s="129"/>
      <c r="AP1187" s="133">
        <f t="shared" si="2157"/>
        <v>376.54214414638466</v>
      </c>
      <c r="AQ1187" s="134">
        <f>+BB1187/Outputs!$B$15</f>
        <v>3.4649180906584317E-4</v>
      </c>
      <c r="AR1187" s="93">
        <f t="shared" si="2147"/>
        <v>0.34906256000810998</v>
      </c>
      <c r="AS1187" s="93">
        <f t="shared" si="2148"/>
        <v>0.50550778278486419</v>
      </c>
      <c r="AT1187" s="93">
        <f t="shared" si="2149"/>
        <v>0.1454296572070258</v>
      </c>
      <c r="AU1187" s="93">
        <f t="shared" ca="1" si="2152"/>
        <v>-1.1791488530091305E-2</v>
      </c>
      <c r="AV1187" s="132">
        <f ca="1">+AV1186*EXP(AU1187)</f>
        <v>98.642485581222346</v>
      </c>
      <c r="AW1187" s="134">
        <f ca="1">LN(AV1187/AV1186)</f>
        <v>-1.1791488530091303E-2</v>
      </c>
      <c r="AX1187" s="135">
        <f>+AJ1187/$AL$12</f>
        <v>5.9477558962732372E-4</v>
      </c>
      <c r="AY1187" s="135">
        <f t="shared" ref="AY1187:AY1201" ca="1" si="2159">+AX1187*AW1187</f>
        <v>-7.01328954306888E-6</v>
      </c>
      <c r="AZ1187" s="93"/>
      <c r="BA1187" s="93"/>
      <c r="BB1187" s="234">
        <f>IFERROR(INDEX('Total Customers'!$E$7:$AA$91,MATCH($C1187,'Total Customers'!$C$7:$C$91,0),MATCH($G1187,'Total Customers'!$E$5:$AA$5,0)),"NA")</f>
        <v>12108</v>
      </c>
      <c r="BC1187" s="269">
        <f t="shared" si="2095"/>
        <v>5.7980780338931556E-3</v>
      </c>
      <c r="BD1187" s="92"/>
      <c r="BE1187" s="299" t="str">
        <f t="shared" si="2089"/>
        <v>SUPERIOR WATER, LIGHT AND POWER COMPANY</v>
      </c>
      <c r="BF1187" s="300">
        <f t="shared" si="2090"/>
        <v>4063281</v>
      </c>
      <c r="BG1187" s="231" t="str">
        <f t="shared" si="2091"/>
        <v>WI</v>
      </c>
      <c r="BH1187" s="231"/>
      <c r="BI1187" s="231" t="str">
        <f t="shared" si="2092"/>
        <v>2007 Y</v>
      </c>
      <c r="BJ1187" s="129"/>
      <c r="BK1187" s="129"/>
      <c r="BL1187" s="129">
        <f>INDEX('Dist. Plant Gas Additions'!$E$7:$AD$91,MATCH($C1187,'Dist. Plant Gas Additions'!$C$7:$C$91,0),MATCH(Calculation!$G1187,'Dist. Plant Gas Additions'!$E$5:$AD$5,0))</f>
        <v>396</v>
      </c>
      <c r="BM1187" s="129">
        <f>INDEX('Gen. Plant Additions'!$E$7:$AD$91,MATCH($C1187,'Gen. Plant Additions'!$C$7:$C$91,0),MATCH(Calculation!$G1187,'Gen. Plant Additions'!$E$5:$AD$5,0))</f>
        <v>78</v>
      </c>
      <c r="BN1187" s="301">
        <f t="shared" si="2125"/>
        <v>0.97180229441406674</v>
      </c>
      <c r="BO1187" s="231">
        <f t="shared" si="2073"/>
        <v>75.800578964297202</v>
      </c>
      <c r="BP1187" s="231">
        <f t="shared" si="2074"/>
        <v>-2.1994210357027981</v>
      </c>
      <c r="BQ1187" s="129">
        <f>INDEX('Dist Plant Depreciation'!$D$7:$AC$94,MATCH($C1187,'Dist Plant Depreciation'!$C$7:$C$94,0),MATCH(Calculation!$G1187,'Dist Plant Depreciation'!$D$5:$AC$5,0))</f>
        <v>10337</v>
      </c>
      <c r="BR1187" s="129">
        <f>INDEX('Gen. Plant Depreciation'!$D$7:$AC$94,MATCH($C1187,'Gen. Plant Depreciation'!$C$7:$C$94,0),MATCH(Calculation!$G1187,'Gen. Plant Depreciation'!$D$5:$AC$5,0))</f>
        <v>179</v>
      </c>
      <c r="BS1187" s="129"/>
      <c r="BT1187" s="129"/>
      <c r="BU1187" s="129"/>
      <c r="BV1187" s="129"/>
      <c r="BW1187" s="129"/>
      <c r="BX1187" s="137"/>
      <c r="BY1187" s="129">
        <f>INDEX('Gross Dx Plant'!$D$7:$AC$91,MATCH($C1187,'Gross Dx Plant'!$C$7:$C$91,0),MATCH(Calculation!$G1187,'Gross Dx Plant'!$D$5:$AC$5,0))</f>
        <v>18128</v>
      </c>
      <c r="BZ1187" s="129">
        <f>INDEX('Gross Gen Plant'!$D$7:$AC$91,MATCH($C1187,'Gross Gen Plant'!$C$7:$C$91,0),MATCH(Calculation!$G1187,'Gross Gen Plant'!$D$5:$AC$5,0))</f>
        <v>526</v>
      </c>
      <c r="CA1187" s="129">
        <f t="shared" si="2048"/>
        <v>8138</v>
      </c>
      <c r="CB1187" s="129"/>
      <c r="CC1187" s="133">
        <v>2007</v>
      </c>
      <c r="CD1187" s="129"/>
      <c r="CE1187" s="129"/>
      <c r="CF1187" s="129"/>
      <c r="CG1187" s="137"/>
      <c r="CH1187" s="129">
        <f t="shared" si="2126"/>
        <v>474</v>
      </c>
      <c r="CI1187" s="46">
        <f t="shared" si="2135"/>
        <v>471.80057896429719</v>
      </c>
      <c r="CJ1187" s="231">
        <f t="shared" si="2127"/>
        <v>0.94734826995083998</v>
      </c>
      <c r="CK1187" s="443">
        <v>0.90322580645161288</v>
      </c>
      <c r="CL1187" s="231">
        <f>+CL1178*CK1187+CJ1179*CK1186+CJ1180*CK1185+CJ1181*CK1184+CJ1182*CK1183+CJ1183*CK1182+CJ1184*CK1181+CJ1185*CK1180+CJ1186*CK1179+CJ1187</f>
        <v>50.250689341499161</v>
      </c>
      <c r="CM1187" s="134">
        <f t="shared" si="2128"/>
        <v>6.5861780330265752E-3</v>
      </c>
      <c r="CN1187" s="135">
        <f t="shared" si="2129"/>
        <v>1.2369104004657603E-2</v>
      </c>
      <c r="CO1187" s="135">
        <f t="shared" si="2139"/>
        <v>1.202248111789677E-2</v>
      </c>
      <c r="CP1187" s="134">
        <f>VLOOKUP($H1187,RoR!$E:$F,2,FALSE)</f>
        <v>5.5558333333333321E-2</v>
      </c>
      <c r="CQ1187" s="135">
        <v>2.691120634145272E-2</v>
      </c>
      <c r="CR1187" s="135">
        <f t="shared" si="2136"/>
        <v>2.86471269918806E-2</v>
      </c>
      <c r="CS1187" s="135">
        <f t="shared" si="2140"/>
        <v>1.8879460490636855E-2</v>
      </c>
      <c r="CT1187" s="135">
        <f t="shared" si="2141"/>
        <v>6.4575155250632399E-2</v>
      </c>
      <c r="CU1187" s="139">
        <f t="shared" si="2130"/>
        <v>0.85150049999999999</v>
      </c>
      <c r="CV1187" s="335">
        <f t="shared" si="2131"/>
        <v>0.92303077153834634</v>
      </c>
      <c r="CW1187" s="335">
        <f t="shared" si="2132"/>
        <v>0.52502249887505614</v>
      </c>
      <c r="CX1187" s="335">
        <f t="shared" si="2133"/>
        <v>0.88499666072084604</v>
      </c>
      <c r="CY1187" s="335">
        <f t="shared" si="2134"/>
        <v>0.42887993290280618</v>
      </c>
      <c r="CZ1187" s="336">
        <f>INDEX('State Tax Lookup'!$D$7:$Z$91,MATCH(Calculation!$C1187,'State Tax Lookup'!$B$7:$B$91,0),MATCH($H1187,'State Tax Lookup'!$D$6:$Z$6,0))</f>
        <v>0.40134999999999998</v>
      </c>
      <c r="DA1187" s="302">
        <v>0.37</v>
      </c>
      <c r="DB1187" s="57">
        <f t="shared" si="2137"/>
        <v>13.281811154076332</v>
      </c>
      <c r="DC1187" s="56">
        <f t="shared" si="2142"/>
        <v>6.1488866156421088E-2</v>
      </c>
      <c r="DD1187" s="303">
        <f>VLOOKUP($H1187,RoR!$E:$F,2,FALSE)</f>
        <v>5.5558333333333321E-2</v>
      </c>
      <c r="DE1187" s="304">
        <f>HLOOKUP($H1187,'GDP-PI'!$D$8:$CQ$11,3,FALSE)</f>
        <v>2.691120634145272E-2</v>
      </c>
      <c r="DF1187" s="303">
        <f>VLOOKUP(H1187,'HW Dx Data'!$E:$F,2,FALSE)</f>
        <v>498.0223154772637</v>
      </c>
      <c r="DG1187" s="364">
        <f ca="1">VLOOKUP(CC1187,'ECI - Input Price'!M$13:N$33,2,FALSE)</f>
        <v>104.52499999999999</v>
      </c>
      <c r="DH1187" s="364"/>
      <c r="DI1187" s="364"/>
      <c r="DJ1187" s="56">
        <f t="shared" ca="1" si="2150"/>
        <v>-4.5584612745252218E-2</v>
      </c>
      <c r="DK1187" s="53">
        <f>HLOOKUP(H1187,'GDP-PI'!$8:$9,2,FALSE)</f>
        <v>92.498000000000005</v>
      </c>
      <c r="DL1187" s="355">
        <f t="shared" si="2143"/>
        <v>2.6555467950038037E-2</v>
      </c>
    </row>
    <row r="1188" spans="1:116" s="126" customFormat="1" ht="21" customHeight="1" x14ac:dyDescent="0.4">
      <c r="A1188" s="233" t="s">
        <v>252</v>
      </c>
      <c r="B1188" s="126" t="s">
        <v>252</v>
      </c>
      <c r="C1188" s="126">
        <v>4063281</v>
      </c>
      <c r="D1188" s="127" t="s">
        <v>214</v>
      </c>
      <c r="E1188" s="127"/>
      <c r="F1188" s="144"/>
      <c r="G1188" s="126" t="s">
        <v>164</v>
      </c>
      <c r="H1188" s="128">
        <v>2008</v>
      </c>
      <c r="I1188" s="129"/>
      <c r="J1188" s="125">
        <f>IFERROR(INDEX('Labor Expenditures'!$E$7:$W$91,MATCH($C1188,'Labor Expenditures'!$C$7:$C$91,0),MATCH($G1188,'Labor Expenditures'!$E$5:$W$5,0)),"NA")</f>
        <v>1615.5188599493317</v>
      </c>
      <c r="K1188" s="125">
        <f t="shared" ca="1" si="2144"/>
        <v>14.972371269224576</v>
      </c>
      <c r="L1188" s="47"/>
      <c r="M1188" s="131">
        <f t="shared" ca="1" si="2151"/>
        <v>-1.6759386424562876E-2</v>
      </c>
      <c r="N1188" s="131"/>
      <c r="O1188" s="131"/>
      <c r="P1188" s="59">
        <f t="shared" ca="1" si="2153"/>
        <v>-9.7468706434098006E-6</v>
      </c>
      <c r="Q1188" s="61"/>
      <c r="R1188" s="387"/>
      <c r="S1188" s="49">
        <f t="shared" ca="1" si="2158"/>
        <v>113.86028045947756</v>
      </c>
      <c r="T1188" s="61">
        <f ca="1">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</f>
        <v>-5.1887238953183902E-2</v>
      </c>
      <c r="U1188" s="61"/>
      <c r="V1188" s="125">
        <f>IFERROR(INDEX('Non-Labor Expenditures'!$E$7:$AA$91,MATCH($C1188,'Non-Labor Expenditures'!$C$7:$C$91,0),MATCH($G1188,'Non-Labor Expenditures'!$E$5:$AA$5,0)),"NA")</f>
        <v>2339.5730465081797</v>
      </c>
      <c r="W1188" s="125">
        <f t="shared" si="2145"/>
        <v>24.819369499577569</v>
      </c>
      <c r="X1188" s="131">
        <f t="shared" si="2154"/>
        <v>-3.8931251511346646E-3</v>
      </c>
      <c r="Y1188" s="131">
        <f t="shared" si="2155"/>
        <v>-2.2641513409524788E-6</v>
      </c>
      <c r="Z1188" s="131"/>
      <c r="AA1188" s="131"/>
      <c r="AB1188" s="131"/>
      <c r="AC1188" s="125">
        <f t="shared" si="2124"/>
        <v>749.68729331960685</v>
      </c>
      <c r="AD1188" s="129"/>
      <c r="AE1188" s="133">
        <v>53.304363415286907</v>
      </c>
      <c r="AF1188" s="134">
        <v>1.5711200783959083E-2</v>
      </c>
      <c r="AG1188" s="59">
        <f t="shared" si="2146"/>
        <v>9.1372701729372508E-6</v>
      </c>
      <c r="AH1188" s="134"/>
      <c r="AI1188" s="134"/>
      <c r="AJ1188" s="129">
        <f t="shared" si="2138"/>
        <v>4704.7791997771183</v>
      </c>
      <c r="AK1188" s="134">
        <f t="shared" si="2156"/>
        <v>3.1437753293000165E-2</v>
      </c>
      <c r="AL1188" s="129"/>
      <c r="AM1188" s="129"/>
      <c r="AN1188" s="129"/>
      <c r="AO1188" s="129"/>
      <c r="AP1188" s="133">
        <f t="shared" si="2157"/>
        <v>386.9061841921972</v>
      </c>
      <c r="AQ1188" s="134">
        <f>+BB1188/Outputs!$B$16</f>
        <v>3.4611937981896874E-4</v>
      </c>
      <c r="AR1188" s="93">
        <f t="shared" si="2147"/>
        <v>0.34337825248544385</v>
      </c>
      <c r="AS1188" s="93">
        <f t="shared" si="2148"/>
        <v>0.49727584380984624</v>
      </c>
      <c r="AT1188" s="93">
        <f t="shared" si="2149"/>
        <v>0.15934590370470991</v>
      </c>
      <c r="AU1188" s="93">
        <f t="shared" ca="1" si="2152"/>
        <v>-5.3602276395158096E-3</v>
      </c>
      <c r="AV1188" s="132">
        <f t="shared" ref="AV1188:AV1201" ca="1" si="2160">+AV1187*EXP(AU1188)</f>
        <v>98.11515397491381</v>
      </c>
      <c r="AW1188" s="134">
        <f t="shared" ref="AW1188:AW1201" ca="1" si="2161">LN(AV1188/AV1187)</f>
        <v>-5.3602276395158747E-3</v>
      </c>
      <c r="AX1188" s="135">
        <f>+AJ1188/$AL$13</f>
        <v>5.81576818893835E-4</v>
      </c>
      <c r="AY1188" s="135">
        <f t="shared" ca="1" si="2159"/>
        <v>-3.1173841391364525E-6</v>
      </c>
      <c r="AZ1188" s="93"/>
      <c r="BA1188" s="93"/>
      <c r="BB1188" s="234">
        <f>IFERROR(INDEX('Total Customers'!$E$7:$AA$91,MATCH($C1188,'Total Customers'!$C$7:$C$91,0),MATCH($G1188,'Total Customers'!$E$5:$AA$5,0)),"NA")</f>
        <v>12160</v>
      </c>
      <c r="BC1188" s="269">
        <f t="shared" si="2095"/>
        <v>4.285485378548639E-3</v>
      </c>
      <c r="BD1188" s="92"/>
      <c r="BE1188" s="299" t="str">
        <f t="shared" si="2089"/>
        <v>SUPERIOR WATER, LIGHT AND POWER COMPANY</v>
      </c>
      <c r="BF1188" s="300">
        <f t="shared" si="2090"/>
        <v>4063281</v>
      </c>
      <c r="BG1188" s="231" t="str">
        <f t="shared" si="2091"/>
        <v>WI</v>
      </c>
      <c r="BH1188" s="231"/>
      <c r="BI1188" s="231" t="str">
        <f t="shared" si="2092"/>
        <v>2008 Y</v>
      </c>
      <c r="BJ1188" s="129"/>
      <c r="BK1188" s="129"/>
      <c r="BL1188" s="129">
        <f>INDEX('Dist. Plant Gas Additions'!$E$7:$AD$91,MATCH($C1188,'Dist. Plant Gas Additions'!$C$7:$C$91,0),MATCH(Calculation!$G1188,'Dist. Plant Gas Additions'!$E$5:$AD$5,0))</f>
        <v>642</v>
      </c>
      <c r="BM1188" s="129">
        <f>INDEX('Gen. Plant Additions'!$E$7:$AD$91,MATCH($C1188,'Gen. Plant Additions'!$C$7:$C$91,0),MATCH(Calculation!$G1188,'Gen. Plant Additions'!$E$5:$AD$5,0))</f>
        <v>32</v>
      </c>
      <c r="BN1188" s="301">
        <f t="shared" si="2125"/>
        <v>0.97104908166441839</v>
      </c>
      <c r="BO1188" s="231">
        <f t="shared" si="2073"/>
        <v>31.073570613261388</v>
      </c>
      <c r="BP1188" s="231">
        <f t="shared" si="2074"/>
        <v>-0.92642938673861153</v>
      </c>
      <c r="BQ1188" s="129">
        <f>INDEX('Dist Plant Depreciation'!$D$7:$AC$94,MATCH($C1188,'Dist Plant Depreciation'!$C$7:$C$94,0),MATCH(Calculation!$G1188,'Dist Plant Depreciation'!$D$5:$AC$5,0))</f>
        <v>10866</v>
      </c>
      <c r="BR1188" s="129">
        <f>INDEX('Gen. Plant Depreciation'!$D$7:$AC$94,MATCH($C1188,'Gen. Plant Depreciation'!$C$7:$C$94,0),MATCH(Calculation!$G1188,'Gen. Plant Depreciation'!$D$5:$AC$5,0))</f>
        <v>198</v>
      </c>
      <c r="BS1188" s="129"/>
      <c r="BT1188" s="129"/>
      <c r="BU1188" s="129"/>
      <c r="BV1188" s="129"/>
      <c r="BW1188" s="129"/>
      <c r="BX1188" s="137"/>
      <c r="BY1188" s="129">
        <f>INDEX('Gross Dx Plant'!$D$7:$AC$91,MATCH($C1188,'Gross Dx Plant'!$C$7:$C$91,0),MATCH(Calculation!$G1188,'Gross Dx Plant'!$D$5:$AC$5,0))</f>
        <v>18716</v>
      </c>
      <c r="BZ1188" s="129">
        <f>INDEX('Gross Gen Plant'!$D$7:$AC$91,MATCH($C1188,'Gross Gen Plant'!$C$7:$C$91,0),MATCH(Calculation!$G1188,'Gross Gen Plant'!$D$5:$AC$5,0))</f>
        <v>558</v>
      </c>
      <c r="CA1188" s="129">
        <f t="shared" si="2048"/>
        <v>8210</v>
      </c>
      <c r="CB1188" s="129"/>
      <c r="CC1188" s="133">
        <v>2008</v>
      </c>
      <c r="CD1188" s="129"/>
      <c r="CE1188" s="129"/>
      <c r="CF1188" s="129"/>
      <c r="CG1188" s="137"/>
      <c r="CH1188" s="129">
        <f t="shared" si="2126"/>
        <v>674</v>
      </c>
      <c r="CI1188" s="46">
        <f t="shared" si="2135"/>
        <v>673.07357061326138</v>
      </c>
      <c r="CJ1188" s="231">
        <f t="shared" si="2127"/>
        <v>1.1810769800340695</v>
      </c>
      <c r="CK1188" s="443">
        <v>0.89130434782608692</v>
      </c>
      <c r="CL1188" s="231">
        <f>+CL1178*CK1188+CJ1179*CK1187+CJ1180*CK1186+CJ1181*CK1185+CJ1182*CK1184+CJ1183*CK1183+CJ1184*CK1182+CJ1185*CK1181+CJ1186*CK1180+CJ1187*CK1179+CJ1188</f>
        <v>50.791608697236427</v>
      </c>
      <c r="CM1188" s="134">
        <f t="shared" si="2128"/>
        <v>1.0706892731053727E-2</v>
      </c>
      <c r="CN1188" s="135">
        <f t="shared" si="2129"/>
        <v>1.2739280449395428E-2</v>
      </c>
      <c r="CO1188" s="135">
        <f t="shared" si="2139"/>
        <v>1.2375553634839385E-2</v>
      </c>
      <c r="CP1188" s="134">
        <f>VLOOKUP($H1188,RoR!$E:$F,2,FALSE)</f>
        <v>5.6316666666666668E-2</v>
      </c>
      <c r="CQ1188" s="135">
        <v>1.9092304698479889E-2</v>
      </c>
      <c r="CR1188" s="135">
        <f t="shared" si="2136"/>
        <v>3.7224361968186778E-2</v>
      </c>
      <c r="CS1188" s="135">
        <f t="shared" si="2140"/>
        <v>1.8526387973694242E-2</v>
      </c>
      <c r="CT1188" s="135">
        <f t="shared" si="2141"/>
        <v>6.9030581091053131E-2</v>
      </c>
      <c r="CU1188" s="139">
        <f t="shared" si="2130"/>
        <v>0.85150049999999999</v>
      </c>
      <c r="CV1188" s="335">
        <f t="shared" si="2131"/>
        <v>0.91060168006009956</v>
      </c>
      <c r="CW1188" s="335">
        <f t="shared" si="2132"/>
        <v>0.53108168097070152</v>
      </c>
      <c r="CX1188" s="335">
        <f t="shared" si="2133"/>
        <v>0.88825329850328805</v>
      </c>
      <c r="CY1188" s="335">
        <f t="shared" si="2134"/>
        <v>0.4295627335323573</v>
      </c>
      <c r="CZ1188" s="336">
        <f>INDEX('State Tax Lookup'!$D$7:$Z$91,MATCH(Calculation!$C1188,'State Tax Lookup'!$B$7:$B$91,0),MATCH($H1188,'State Tax Lookup'!$D$6:$Z$6,0))</f>
        <v>0.40134999999999998</v>
      </c>
      <c r="DA1188" s="302">
        <v>0.37</v>
      </c>
      <c r="DB1188" s="57">
        <f t="shared" si="2137"/>
        <v>14.918945454156848</v>
      </c>
      <c r="DC1188" s="56">
        <f t="shared" si="2142"/>
        <v>0.11623639542820979</v>
      </c>
      <c r="DD1188" s="303">
        <f>VLOOKUP($H1188,RoR!$E:$F,2,FALSE)</f>
        <v>5.6316666666666668E-2</v>
      </c>
      <c r="DE1188" s="304">
        <f>HLOOKUP($H1188,'GDP-PI'!$D$8:$CQ$11,3,FALSE)</f>
        <v>1.9092304698479889E-2</v>
      </c>
      <c r="DF1188" s="303">
        <f>VLOOKUP(H1188,'HW Dx Data'!$E:$F,2,FALSE)</f>
        <v>569.88120333515076</v>
      </c>
      <c r="DG1188" s="364">
        <f ca="1">VLOOKUP(CC1188,'ECI - Input Price'!M$13:N$33,2,FALSE)</f>
        <v>107.9</v>
      </c>
      <c r="DH1188" s="364"/>
      <c r="DI1188" s="364"/>
      <c r="DJ1188" s="56">
        <f t="shared" ca="1" si="2150"/>
        <v>3.1778595021460486E-2</v>
      </c>
      <c r="DK1188" s="53">
        <f>HLOOKUP(H1188,'GDP-PI'!$8:$9,2,FALSE)</f>
        <v>94.263999999999996</v>
      </c>
      <c r="DL1188" s="355">
        <f t="shared" si="2143"/>
        <v>1.8912333748032254E-2</v>
      </c>
    </row>
    <row r="1189" spans="1:116" s="126" customFormat="1" ht="21" customHeight="1" x14ac:dyDescent="0.4">
      <c r="A1189" s="233" t="s">
        <v>252</v>
      </c>
      <c r="B1189" s="126" t="s">
        <v>252</v>
      </c>
      <c r="C1189" s="126">
        <v>4063281</v>
      </c>
      <c r="D1189" s="127" t="s">
        <v>214</v>
      </c>
      <c r="E1189" s="127"/>
      <c r="F1189" s="144"/>
      <c r="G1189" s="126" t="s">
        <v>165</v>
      </c>
      <c r="H1189" s="128">
        <v>2009</v>
      </c>
      <c r="I1189" s="129"/>
      <c r="J1189" s="125">
        <f>IFERROR(INDEX('Labor Expenditures'!$E$7:$W$91,MATCH($C1189,'Labor Expenditures'!$C$7:$C$91,0),MATCH($G1189,'Labor Expenditures'!$E$5:$W$5,0)),"NA")</f>
        <v>1550.9284016796626</v>
      </c>
      <c r="K1189" s="125">
        <f t="shared" ca="1" si="2144"/>
        <v>13.981775088390016</v>
      </c>
      <c r="L1189" s="47"/>
      <c r="M1189" s="131">
        <f t="shared" ca="1" si="2151"/>
        <v>-6.8451885141486299E-2</v>
      </c>
      <c r="N1189" s="131"/>
      <c r="O1189" s="131"/>
      <c r="P1189" s="59">
        <f t="shared" ca="1" si="2153"/>
        <v>-3.6548053140036489E-5</v>
      </c>
      <c r="Q1189" s="61"/>
      <c r="R1189" s="387"/>
      <c r="S1189" s="49">
        <f t="shared" ca="1" si="2158"/>
        <v>116.50491788193983</v>
      </c>
      <c r="T1189" s="61">
        <f ca="1">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</f>
        <v>2.2961398977934602E-2</v>
      </c>
      <c r="U1189" s="61"/>
      <c r="V1189" s="125">
        <f>IFERROR(INDEX('Non-Labor Expenditures'!$E$7:$AA$91,MATCH($C1189,'Non-Labor Expenditures'!$C$7:$C$91,0),MATCH($G1189,'Non-Labor Expenditures'!$E$5:$AA$5,0)),"NA")</f>
        <v>2246.0339991001729</v>
      </c>
      <c r="W1189" s="125">
        <f t="shared" si="2145"/>
        <v>23.642712019075706</v>
      </c>
      <c r="X1189" s="131">
        <f t="shared" si="2154"/>
        <v>-4.8569468958911996E-2</v>
      </c>
      <c r="Y1189" s="131">
        <f t="shared" si="2155"/>
        <v>-2.5932368828478479E-5</v>
      </c>
      <c r="Z1189" s="131"/>
      <c r="AA1189" s="131"/>
      <c r="AB1189" s="131"/>
      <c r="AC1189" s="125">
        <f t="shared" si="2124"/>
        <v>718.33259820965225</v>
      </c>
      <c r="AD1189" s="129"/>
      <c r="AE1189" s="133">
        <v>54.393873104903747</v>
      </c>
      <c r="AF1189" s="134">
        <v>2.023332774752859E-2</v>
      </c>
      <c r="AG1189" s="59">
        <f t="shared" si="2146"/>
        <v>1.080304415558413E-5</v>
      </c>
      <c r="AH1189" s="134"/>
      <c r="AI1189" s="134"/>
      <c r="AJ1189" s="129">
        <f t="shared" si="2138"/>
        <v>4515.2949989894878</v>
      </c>
      <c r="AK1189" s="134">
        <f t="shared" si="2156"/>
        <v>-4.1108320815884447E-2</v>
      </c>
      <c r="AL1189" s="129"/>
      <c r="AM1189" s="129"/>
      <c r="AN1189" s="129"/>
      <c r="AO1189" s="129"/>
      <c r="AP1189" s="133">
        <f t="shared" si="2157"/>
        <v>368.20476221067338</v>
      </c>
      <c r="AQ1189" s="134">
        <f>+BB1189/Outputs!$B$17</f>
        <v>3.4860618644503845E-4</v>
      </c>
      <c r="AR1189" s="93">
        <f t="shared" si="2147"/>
        <v>0.34348329445291098</v>
      </c>
      <c r="AS1189" s="93">
        <f t="shared" si="2148"/>
        <v>0.49742796419787189</v>
      </c>
      <c r="AT1189" s="93">
        <f t="shared" si="2149"/>
        <v>0.15908874134921713</v>
      </c>
      <c r="AU1189" s="93">
        <f t="shared" ca="1" si="2152"/>
        <v>-4.4443105452963122E-2</v>
      </c>
      <c r="AV1189" s="132">
        <f t="shared" ca="1" si="2160"/>
        <v>93.850090182911018</v>
      </c>
      <c r="AW1189" s="134">
        <f t="shared" ca="1" si="2161"/>
        <v>-4.4443105452963136E-2</v>
      </c>
      <c r="AX1189" s="135">
        <f>+AJ1189/$AL$14</f>
        <v>5.3392325228872317E-4</v>
      </c>
      <c r="AY1189" s="135">
        <f t="shared" ca="1" si="2159"/>
        <v>-2.3729207405256766E-5</v>
      </c>
      <c r="AZ1189" s="93"/>
      <c r="BA1189" s="93"/>
      <c r="BB1189" s="234">
        <f>IFERROR(INDEX('Total Customers'!$E$7:$AA$91,MATCH($C1189,'Total Customers'!$C$7:$C$91,0),MATCH($G1189,'Total Customers'!$E$5:$AA$5,0)),"NA")</f>
        <v>12263</v>
      </c>
      <c r="BC1189" s="269">
        <f t="shared" si="2095"/>
        <v>8.4347222418680139E-3</v>
      </c>
      <c r="BD1189" s="92"/>
      <c r="BE1189" s="299" t="str">
        <f t="shared" si="2089"/>
        <v>SUPERIOR WATER, LIGHT AND POWER COMPANY</v>
      </c>
      <c r="BF1189" s="300">
        <f t="shared" si="2090"/>
        <v>4063281</v>
      </c>
      <c r="BG1189" s="231" t="str">
        <f t="shared" si="2091"/>
        <v>WI</v>
      </c>
      <c r="BH1189" s="231"/>
      <c r="BI1189" s="231" t="str">
        <f t="shared" si="2092"/>
        <v>2009 Y</v>
      </c>
      <c r="BJ1189" s="129"/>
      <c r="BK1189" s="129"/>
      <c r="BL1189" s="129">
        <f>INDEX('Dist. Plant Gas Additions'!$E$7:$AD$91,MATCH($C1189,'Dist. Plant Gas Additions'!$C$7:$C$91,0),MATCH(Calculation!$G1189,'Dist. Plant Gas Additions'!$E$5:$AD$5,0))</f>
        <v>563</v>
      </c>
      <c r="BM1189" s="129">
        <f>INDEX('Gen. Plant Additions'!$E$7:$AD$91,MATCH($C1189,'Gen. Plant Additions'!$C$7:$C$91,0),MATCH(Calculation!$G1189,'Gen. Plant Additions'!$E$5:$AD$5,0))</f>
        <v>241</v>
      </c>
      <c r="BN1189" s="301">
        <f t="shared" si="2125"/>
        <v>0.96011979036685802</v>
      </c>
      <c r="BO1189" s="231">
        <f t="shared" si="2073"/>
        <v>231.38886947841277</v>
      </c>
      <c r="BP1189" s="231">
        <f t="shared" si="2074"/>
        <v>-9.6111305215872278</v>
      </c>
      <c r="BQ1189" s="129">
        <f>INDEX('Dist Plant Depreciation'!$D$7:$AC$94,MATCH($C1189,'Dist Plant Depreciation'!$C$7:$C$94,0),MATCH(Calculation!$G1189,'Dist Plant Depreciation'!$D$5:$AC$5,0))</f>
        <v>11468</v>
      </c>
      <c r="BR1189" s="129">
        <f>INDEX('Gen. Plant Depreciation'!$D$7:$AC$94,MATCH($C1189,'Gen. Plant Depreciation'!$C$7:$C$94,0),MATCH(Calculation!$G1189,'Gen. Plant Depreciation'!$D$5:$AC$5,0))</f>
        <v>246</v>
      </c>
      <c r="BS1189" s="129"/>
      <c r="BT1189" s="129"/>
      <c r="BU1189" s="129"/>
      <c r="BV1189" s="129"/>
      <c r="BW1189" s="129"/>
      <c r="BX1189" s="137"/>
      <c r="BY1189" s="129">
        <f>INDEX('Gross Dx Plant'!$D$7:$AC$91,MATCH($C1189,'Gross Dx Plant'!$C$7:$C$91,0),MATCH(Calculation!$G1189,'Gross Dx Plant'!$D$5:$AC$5,0))</f>
        <v>19236</v>
      </c>
      <c r="BZ1189" s="129">
        <f>INDEX('Gross Gen Plant'!$D$7:$AC$91,MATCH($C1189,'Gross Gen Plant'!$C$7:$C$91,0),MATCH(Calculation!$G1189,'Gross Gen Plant'!$D$5:$AC$5,0))</f>
        <v>799</v>
      </c>
      <c r="CA1189" s="129">
        <f t="shared" si="2048"/>
        <v>8321</v>
      </c>
      <c r="CB1189" s="129"/>
      <c r="CC1189" s="133">
        <v>2009</v>
      </c>
      <c r="CD1189" s="129"/>
      <c r="CE1189" s="129"/>
      <c r="CF1189" s="129"/>
      <c r="CG1189" s="137"/>
      <c r="CH1189" s="129">
        <f t="shared" si="2126"/>
        <v>804</v>
      </c>
      <c r="CI1189" s="46">
        <f t="shared" si="2135"/>
        <v>794.38886947841274</v>
      </c>
      <c r="CJ1189" s="231">
        <f t="shared" si="2127"/>
        <v>1.4418774300201378</v>
      </c>
      <c r="CK1189" s="443">
        <v>0.87912087912087911</v>
      </c>
      <c r="CL1189" s="231">
        <f>+CL1178*CK1189+CJ1179*CK1188+CJ1180*CK1187+CJ1181*CK1186+CJ1182*CK1185+CJ1183*CK1184+CJ1184*CK1183+CJ1185*CK1182+CJ1186*CK1181+CJ1187*CK1180+CJ1188*CK1179+CJ1189</f>
        <v>51.567710201626404</v>
      </c>
      <c r="CM1189" s="134">
        <f t="shared" si="2128"/>
        <v>1.5164547509701426E-2</v>
      </c>
      <c r="CN1189" s="135">
        <f t="shared" si="2129"/>
        <v>1.3107990526521465E-2</v>
      </c>
      <c r="CO1189" s="135">
        <f t="shared" si="2139"/>
        <v>1.2738791660191498E-2</v>
      </c>
      <c r="CP1189" s="134">
        <f>VLOOKUP($H1189,RoR!$E:$F,2,FALSE)</f>
        <v>5.3133333333333324E-2</v>
      </c>
      <c r="CQ1189" s="135">
        <v>7.7972502758210105E-3</v>
      </c>
      <c r="CR1189" s="135">
        <f t="shared" si="2136"/>
        <v>4.5336083057512314E-2</v>
      </c>
      <c r="CS1189" s="135">
        <f t="shared" si="2140"/>
        <v>1.8163149948342127E-2</v>
      </c>
      <c r="CT1189" s="135">
        <f t="shared" si="2141"/>
        <v>6.3720160300892073E-2</v>
      </c>
      <c r="CU1189" s="139">
        <f t="shared" si="2130"/>
        <v>0.85150049999999999</v>
      </c>
      <c r="CV1189" s="335">
        <f t="shared" si="2131"/>
        <v>0.96515780330083989</v>
      </c>
      <c r="CW1189" s="335">
        <f t="shared" si="2132"/>
        <v>0.50448557089084056</v>
      </c>
      <c r="CX1189" s="335">
        <f t="shared" si="2133"/>
        <v>0.87391435735465484</v>
      </c>
      <c r="CY1189" s="335">
        <f t="shared" si="2134"/>
        <v>0.42551605393279146</v>
      </c>
      <c r="CZ1189" s="336">
        <f>INDEX('State Tax Lookup'!$D$7:$Z$91,MATCH(Calculation!$C1189,'State Tax Lookup'!$B$7:$B$91,0),MATCH($H1189,'State Tax Lookup'!$D$6:$Z$6,0))</f>
        <v>0.40134999999999998</v>
      </c>
      <c r="DA1189" s="302">
        <v>0.37</v>
      </c>
      <c r="DB1189" s="57">
        <f t="shared" si="2137"/>
        <v>14.142741618828401</v>
      </c>
      <c r="DC1189" s="56">
        <f t="shared" si="2142"/>
        <v>-5.3430379581120943E-2</v>
      </c>
      <c r="DD1189" s="303">
        <f>VLOOKUP($H1189,RoR!$E:$F,2,FALSE)</f>
        <v>5.3133333333333324E-2</v>
      </c>
      <c r="DE1189" s="304">
        <f>HLOOKUP($H1189,'GDP-PI'!$D$8:$CQ$11,3,FALSE)</f>
        <v>7.7972502758210105E-3</v>
      </c>
      <c r="DF1189" s="303">
        <f>VLOOKUP(H1189,'HW Dx Data'!$E:$F,2,FALSE)</f>
        <v>550.94063679692806</v>
      </c>
      <c r="DG1189" s="364">
        <f ca="1">VLOOKUP(CC1189,'ECI - Input Price'!M$13:N$33,2,FALSE)</f>
        <v>110.925</v>
      </c>
      <c r="DH1189" s="364"/>
      <c r="DI1189" s="364"/>
      <c r="DJ1189" s="56">
        <f t="shared" ca="1" si="2150"/>
        <v>2.7649425000884052E-2</v>
      </c>
      <c r="DK1189" s="53">
        <f>HLOOKUP(H1189,'GDP-PI'!$8:$9,2,FALSE)</f>
        <v>94.998999999999995</v>
      </c>
      <c r="DL1189" s="355">
        <f t="shared" si="2143"/>
        <v>7.7670088183096342E-3</v>
      </c>
    </row>
    <row r="1190" spans="1:116" s="126" customFormat="1" ht="21" customHeight="1" x14ac:dyDescent="0.4">
      <c r="A1190" s="233" t="s">
        <v>252</v>
      </c>
      <c r="B1190" s="126" t="s">
        <v>252</v>
      </c>
      <c r="C1190" s="126">
        <v>4063281</v>
      </c>
      <c r="D1190" s="127" t="s">
        <v>214</v>
      </c>
      <c r="E1190" s="127"/>
      <c r="F1190" s="144"/>
      <c r="G1190" s="126" t="s">
        <v>166</v>
      </c>
      <c r="H1190" s="128">
        <v>2010</v>
      </c>
      <c r="I1190" s="129"/>
      <c r="J1190" s="125">
        <f>IFERROR(INDEX('Labor Expenditures'!$E$7:$W$91,MATCH($C1190,'Labor Expenditures'!$C$7:$C$91,0),MATCH($G1190,'Labor Expenditures'!$E$5:$W$5,0)),"NA")</f>
        <v>1568.1777202576584</v>
      </c>
      <c r="K1190" s="125">
        <f t="shared" ca="1" si="2144"/>
        <v>13.411825702438815</v>
      </c>
      <c r="L1190" s="47"/>
      <c r="M1190" s="131">
        <f t="shared" ca="1" si="2151"/>
        <v>-4.1617869286936449E-2</v>
      </c>
      <c r="N1190" s="131"/>
      <c r="O1190" s="131"/>
      <c r="P1190" s="59">
        <f t="shared" ca="1" si="2153"/>
        <v>-2.1857314579706164E-5</v>
      </c>
      <c r="Q1190" s="61"/>
      <c r="R1190" s="387"/>
      <c r="S1190" s="49">
        <f t="shared" ca="1" si="2158"/>
        <v>97.812430419154595</v>
      </c>
      <c r="T1190" s="61">
        <f ca="1">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</f>
        <v>-0.17488181632911606</v>
      </c>
      <c r="U1190" s="61"/>
      <c r="V1190" s="125">
        <f>IFERROR(INDEX('Non-Labor Expenditures'!$E$7:$AA$91,MATCH($C1190,'Non-Labor Expenditures'!$C$7:$C$91,0),MATCH($G1190,'Non-Labor Expenditures'!$E$5:$AA$5,0)),"NA")</f>
        <v>2271.0142341294177</v>
      </c>
      <c r="W1190" s="125">
        <f t="shared" si="2145"/>
        <v>23.629568865864986</v>
      </c>
      <c r="X1190" s="131">
        <f t="shared" si="2154"/>
        <v>-5.5606174711015049E-4</v>
      </c>
      <c r="Y1190" s="131">
        <f t="shared" si="2155"/>
        <v>-2.9203841380083897E-7</v>
      </c>
      <c r="Z1190" s="131"/>
      <c r="AA1190" s="131"/>
      <c r="AB1190" s="131"/>
      <c r="AC1190" s="125">
        <f t="shared" si="2124"/>
        <v>739.1824530052827</v>
      </c>
      <c r="AD1190" s="129"/>
      <c r="AE1190" s="133">
        <v>55.060081285607268</v>
      </c>
      <c r="AF1190" s="134">
        <v>1.217345525204855E-2</v>
      </c>
      <c r="AG1190" s="59">
        <f t="shared" si="2146"/>
        <v>6.3933845130683239E-6</v>
      </c>
      <c r="AH1190" s="134"/>
      <c r="AI1190" s="134"/>
      <c r="AJ1190" s="129">
        <f t="shared" si="2138"/>
        <v>4578.374407392359</v>
      </c>
      <c r="AK1190" s="134">
        <f t="shared" si="2156"/>
        <v>1.3873479965000135E-2</v>
      </c>
      <c r="AL1190" s="129"/>
      <c r="AM1190" s="129"/>
      <c r="AN1190" s="129"/>
      <c r="AO1190" s="129"/>
      <c r="AP1190" s="133">
        <f t="shared" si="2157"/>
        <v>371.44040300116495</v>
      </c>
      <c r="AQ1190" s="134">
        <f>+BB1190/Outputs!$B$18</f>
        <v>3.4847995058516983E-4</v>
      </c>
      <c r="AR1190" s="93">
        <f t="shared" si="2147"/>
        <v>0.34251845321466917</v>
      </c>
      <c r="AS1190" s="93">
        <f t="shared" si="2148"/>
        <v>0.49603069387741217</v>
      </c>
      <c r="AT1190" s="93">
        <f t="shared" si="2149"/>
        <v>0.16145085290791858</v>
      </c>
      <c r="AU1190" s="93">
        <f t="shared" ca="1" si="2152"/>
        <v>-1.2600140507465659E-2</v>
      </c>
      <c r="AV1190" s="132">
        <f t="shared" ca="1" si="2160"/>
        <v>92.674984654305518</v>
      </c>
      <c r="AW1190" s="134">
        <f t="shared" ca="1" si="2161"/>
        <v>-1.2600140507465626E-2</v>
      </c>
      <c r="AX1190" s="135">
        <f>+AJ1190/$AL$15</f>
        <v>5.2519062013986907E-4</v>
      </c>
      <c r="AY1190" s="135">
        <f t="shared" ca="1" si="2159"/>
        <v>-6.6174756069653571E-6</v>
      </c>
      <c r="AZ1190" s="93"/>
      <c r="BA1190" s="93"/>
      <c r="BB1190" s="234">
        <f>IFERROR(INDEX('Total Customers'!$E$7:$AA$91,MATCH($C1190,'Total Customers'!$C$7:$C$91,0),MATCH($G1190,'Total Customers'!$E$5:$AA$5,0)),"NA")</f>
        <v>12326</v>
      </c>
      <c r="BC1190" s="269">
        <f t="shared" si="2095"/>
        <v>5.1242537601623745E-3</v>
      </c>
      <c r="BD1190" s="92"/>
      <c r="BE1190" s="299" t="str">
        <f t="shared" si="2089"/>
        <v>SUPERIOR WATER, LIGHT AND POWER COMPANY</v>
      </c>
      <c r="BF1190" s="300">
        <f t="shared" si="2090"/>
        <v>4063281</v>
      </c>
      <c r="BG1190" s="231" t="str">
        <f t="shared" si="2091"/>
        <v>WI</v>
      </c>
      <c r="BH1190" s="231"/>
      <c r="BI1190" s="231" t="str">
        <f t="shared" si="2092"/>
        <v>2010 Y</v>
      </c>
      <c r="BJ1190" s="129"/>
      <c r="BK1190" s="129"/>
      <c r="BL1190" s="129">
        <f>INDEX('Dist. Plant Gas Additions'!$E$7:$AD$91,MATCH($C1190,'Dist. Plant Gas Additions'!$C$7:$C$91,0),MATCH(Calculation!$G1190,'Dist. Plant Gas Additions'!$E$5:$AD$5,0))</f>
        <v>402</v>
      </c>
      <c r="BM1190" s="129">
        <f>INDEX('Gen. Plant Additions'!$E$7:$AD$91,MATCH($C1190,'Gen. Plant Additions'!$C$7:$C$91,0),MATCH(Calculation!$G1190,'Gen. Plant Additions'!$E$5:$AD$5,0))</f>
        <v>199</v>
      </c>
      <c r="BN1190" s="301">
        <f t="shared" si="2125"/>
        <v>0.9515322228157933</v>
      </c>
      <c r="BO1190" s="231">
        <f t="shared" si="2073"/>
        <v>189.35491234034288</v>
      </c>
      <c r="BP1190" s="231">
        <f t="shared" si="2074"/>
        <v>-9.645087659657122</v>
      </c>
      <c r="BQ1190" s="129">
        <f>INDEX('Dist Plant Depreciation'!$D$7:$AC$94,MATCH($C1190,'Dist Plant Depreciation'!$C$7:$C$94,0),MATCH(Calculation!$G1190,'Dist Plant Depreciation'!$D$5:$AC$5,0))</f>
        <v>12109</v>
      </c>
      <c r="BR1190" s="129">
        <f>INDEX('Gen. Plant Depreciation'!$D$7:$AC$94,MATCH($C1190,'Gen. Plant Depreciation'!$C$7:$C$94,0),MATCH(Calculation!$G1190,'Gen. Plant Depreciation'!$D$5:$AC$5,0))</f>
        <v>262</v>
      </c>
      <c r="BS1190" s="129"/>
      <c r="BT1190" s="129"/>
      <c r="BU1190" s="129"/>
      <c r="BV1190" s="129"/>
      <c r="BW1190" s="129"/>
      <c r="BX1190" s="137"/>
      <c r="BY1190" s="129">
        <f>INDEX('Gross Dx Plant'!$D$7:$AC$91,MATCH($C1190,'Gross Dx Plant'!$C$7:$C$91,0),MATCH(Calculation!$G1190,'Gross Dx Plant'!$D$5:$AC$5,0))</f>
        <v>19593</v>
      </c>
      <c r="BZ1190" s="129">
        <f>INDEX('Gross Gen Plant'!$D$7:$AC$91,MATCH($C1190,'Gross Gen Plant'!$C$7:$C$91,0),MATCH(Calculation!$G1190,'Gross Gen Plant'!$D$5:$AC$5,0))</f>
        <v>998</v>
      </c>
      <c r="CA1190" s="129">
        <f t="shared" si="2048"/>
        <v>8220</v>
      </c>
      <c r="CB1190" s="129"/>
      <c r="CC1190" s="133">
        <v>2010</v>
      </c>
      <c r="CD1190" s="129"/>
      <c r="CE1190" s="129"/>
      <c r="CF1190" s="129"/>
      <c r="CG1190" s="137"/>
      <c r="CH1190" s="129">
        <f t="shared" si="2126"/>
        <v>601</v>
      </c>
      <c r="CI1190" s="46">
        <f t="shared" si="2135"/>
        <v>591.35491234034293</v>
      </c>
      <c r="CJ1190" s="231">
        <f t="shared" si="2127"/>
        <v>1.0393072448740417</v>
      </c>
      <c r="CK1190" s="443">
        <v>0.8666666666666667</v>
      </c>
      <c r="CL1190" s="231">
        <f>+CL1178*CK1190+CJ1179*CK1189+CJ1180*CK1188+CJ1181*CK1187+CJ1182*CK1186+CJ1183*CK1185+CJ1184*CK1184+CJ1185*CK1183+CJ1186*CK1182+CJ1187*CK1181+CJ1188*CK1180+CJ1189*CK1179+CJ1190</f>
        <v>51.912347603963816</v>
      </c>
      <c r="CM1190" s="134">
        <f t="shared" si="2128"/>
        <v>6.6609679951573648E-3</v>
      </c>
      <c r="CN1190" s="135">
        <f t="shared" si="2129"/>
        <v>1.3471023627392329E-2</v>
      </c>
      <c r="CO1190" s="135">
        <f t="shared" si="2139"/>
        <v>1.3106098201103075E-2</v>
      </c>
      <c r="CP1190" s="134">
        <f>VLOOKUP($H1190,RoR!$E:$F,2,FALSE)</f>
        <v>4.9433333333333322E-2</v>
      </c>
      <c r="CQ1190" s="135">
        <v>1.1684333519300205E-2</v>
      </c>
      <c r="CR1190" s="135">
        <f t="shared" si="2136"/>
        <v>3.7748999814033117E-2</v>
      </c>
      <c r="CS1190" s="135">
        <f t="shared" si="2140"/>
        <v>1.779584340743055E-2</v>
      </c>
      <c r="CT1190" s="135">
        <f t="shared" si="2141"/>
        <v>4.7937530248493419E-2</v>
      </c>
      <c r="CU1190" s="139">
        <f t="shared" si="2130"/>
        <v>0.85150049999999999</v>
      </c>
      <c r="CV1190" s="335">
        <f t="shared" si="2131"/>
        <v>1.037398205301105</v>
      </c>
      <c r="CW1190" s="335">
        <f t="shared" si="2132"/>
        <v>0.46926837491571133</v>
      </c>
      <c r="CX1190" s="335">
        <f t="shared" si="2133"/>
        <v>0.8548537519972772</v>
      </c>
      <c r="CY1190" s="335">
        <f t="shared" si="2134"/>
        <v>0.41615833911547367</v>
      </c>
      <c r="CZ1190" s="336">
        <f>INDEX('State Tax Lookup'!$D$7:$Z$91,MATCH(Calculation!$C1190,'State Tax Lookup'!$B$7:$B$91,0),MATCH($H1190,'State Tax Lookup'!$D$6:$Z$6,0))</f>
        <v>0.40134999999999998</v>
      </c>
      <c r="DA1190" s="302">
        <v>0.37</v>
      </c>
      <c r="DB1190" s="57">
        <f t="shared" si="2137"/>
        <v>14.334211275139564</v>
      </c>
      <c r="DC1190" s="56">
        <f t="shared" si="2142"/>
        <v>1.3447544223317039E-2</v>
      </c>
      <c r="DD1190" s="303">
        <f>VLOOKUP($H1190,RoR!$E:$F,2,FALSE)</f>
        <v>4.9433333333333322E-2</v>
      </c>
      <c r="DE1190" s="304">
        <f>HLOOKUP($H1190,'GDP-PI'!$D$8:$CQ$11,3,FALSE)</f>
        <v>1.1684333519300205E-2</v>
      </c>
      <c r="DF1190" s="303">
        <f>VLOOKUP(H1190,'HW Dx Data'!$E:$F,2,FALSE)</f>
        <v>568.98950262971744</v>
      </c>
      <c r="DG1190" s="364">
        <f ca="1">VLOOKUP(CC1190,'ECI - Input Price'!M$13:N$33,2,FALSE)</f>
        <v>116.925</v>
      </c>
      <c r="DH1190" s="364"/>
      <c r="DI1190" s="364"/>
      <c r="DJ1190" s="56">
        <f t="shared" ca="1" si="2150"/>
        <v>5.2678406346976722E-2</v>
      </c>
      <c r="DK1190" s="53">
        <f>HLOOKUP(H1190,'GDP-PI'!$8:$9,2,FALSE)</f>
        <v>96.108999999999995</v>
      </c>
      <c r="DL1190" s="355">
        <f t="shared" si="2143"/>
        <v>1.1616598807150427E-2</v>
      </c>
    </row>
    <row r="1191" spans="1:116" s="126" customFormat="1" ht="21" customHeight="1" x14ac:dyDescent="0.4">
      <c r="A1191" s="233" t="s">
        <v>252</v>
      </c>
      <c r="B1191" s="126" t="s">
        <v>252</v>
      </c>
      <c r="C1191" s="126">
        <v>4063281</v>
      </c>
      <c r="D1191" s="127" t="s">
        <v>214</v>
      </c>
      <c r="E1191" s="127"/>
      <c r="F1191" s="144"/>
      <c r="G1191" s="126" t="s">
        <v>167</v>
      </c>
      <c r="H1191" s="128">
        <v>2011</v>
      </c>
      <c r="I1191" s="129"/>
      <c r="J1191" s="125">
        <f>IFERROR(INDEX('Labor Expenditures'!$E$7:$W$91,MATCH($C1191,'Labor Expenditures'!$C$7:$C$91,0),MATCH($G1191,'Labor Expenditures'!$E$5:$W$5,0)),"NA")</f>
        <v>1619.2926589918366</v>
      </c>
      <c r="K1191" s="125">
        <f t="shared" ca="1" si="2144"/>
        <v>13.396423238815608</v>
      </c>
      <c r="L1191" s="47"/>
      <c r="M1191" s="131">
        <f t="shared" ca="1" si="2151"/>
        <v>-1.149084026467764E-3</v>
      </c>
      <c r="N1191" s="131"/>
      <c r="O1191" s="131"/>
      <c r="P1191" s="59">
        <f t="shared" ca="1" si="2153"/>
        <v>-6.0148239555389725E-7</v>
      </c>
      <c r="Q1191" s="61"/>
      <c r="R1191" s="387"/>
      <c r="S1191" s="49">
        <f t="shared" ca="1" si="2158"/>
        <v>118.15127573319667</v>
      </c>
      <c r="T1191" s="61">
        <f ca="1">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</f>
        <v>0.18891413178261857</v>
      </c>
      <c r="U1191" s="61"/>
      <c r="V1191" s="125">
        <f>IFERROR(INDEX('Non-Labor Expenditures'!$E$7:$AA$91,MATCH($C1191,'Non-Labor Expenditures'!$C$7:$C$91,0),MATCH($G1191,'Non-Labor Expenditures'!$E$5:$AA$5,0)),"NA")</f>
        <v>2345.0382123701615</v>
      </c>
      <c r="W1191" s="125">
        <f t="shared" si="2145"/>
        <v>23.901645184790461</v>
      </c>
      <c r="X1191" s="131">
        <f t="shared" si="2154"/>
        <v>1.1448446922191484E-2</v>
      </c>
      <c r="Y1191" s="131">
        <f t="shared" si="2155"/>
        <v>5.9926333684219511E-6</v>
      </c>
      <c r="Z1191" s="131"/>
      <c r="AA1191" s="131"/>
      <c r="AB1191" s="131"/>
      <c r="AC1191" s="125">
        <f t="shared" si="2124"/>
        <v>784.71987249863719</v>
      </c>
      <c r="AD1191" s="129"/>
      <c r="AE1191" s="133">
        <v>55.78395522295331</v>
      </c>
      <c r="AF1191" s="134">
        <v>1.3061311209208514E-2</v>
      </c>
      <c r="AG1191" s="59">
        <f t="shared" si="2146"/>
        <v>6.8368792657741299E-6</v>
      </c>
      <c r="AH1191" s="134"/>
      <c r="AI1191" s="134"/>
      <c r="AJ1191" s="129">
        <f t="shared" si="2138"/>
        <v>4749.0507438606355</v>
      </c>
      <c r="AK1191" s="134">
        <f t="shared" si="2156"/>
        <v>3.660075243869159E-2</v>
      </c>
      <c r="AL1191" s="129"/>
      <c r="AM1191" s="129"/>
      <c r="AN1191" s="129"/>
      <c r="AO1191" s="129"/>
      <c r="AP1191" s="133">
        <f t="shared" si="2157"/>
        <v>385.28725814219018</v>
      </c>
      <c r="AQ1191" s="134">
        <f>+BB1191/Outputs!$B$19</f>
        <v>3.4679853826920183E-4</v>
      </c>
      <c r="AR1191" s="93">
        <f t="shared" si="2147"/>
        <v>0.34097185865726681</v>
      </c>
      <c r="AS1191" s="93">
        <f t="shared" si="2148"/>
        <v>0.4937909360942761</v>
      </c>
      <c r="AT1191" s="93">
        <f t="shared" si="2149"/>
        <v>0.165237205248457</v>
      </c>
      <c r="AU1191" s="93">
        <f t="shared" ca="1" si="2152"/>
        <v>7.4067534947314254E-3</v>
      </c>
      <c r="AV1191" s="132">
        <f t="shared" ca="1" si="2160"/>
        <v>93.363953783285737</v>
      </c>
      <c r="AW1191" s="134">
        <f t="shared" ca="1" si="2161"/>
        <v>7.4067534947314878E-3</v>
      </c>
      <c r="AX1191" s="135">
        <f>+AJ1191/$AL$16</f>
        <v>5.2344509339567519E-4</v>
      </c>
      <c r="AY1191" s="135">
        <f t="shared" ca="1" si="2159"/>
        <v>3.8770287748084674E-6</v>
      </c>
      <c r="AZ1191" s="93"/>
      <c r="BA1191" s="93"/>
      <c r="BB1191" s="234">
        <f>IFERROR(INDEX('Total Customers'!$E$7:$AA$91,MATCH($C1191,'Total Customers'!$C$7:$C$91,0),MATCH($G1191,'Total Customers'!$E$5:$AA$5,0)),"NA")</f>
        <v>12326</v>
      </c>
      <c r="BC1191" s="269">
        <f t="shared" si="2095"/>
        <v>0</v>
      </c>
      <c r="BD1191" s="92"/>
      <c r="BE1191" s="299" t="str">
        <f t="shared" si="2089"/>
        <v>SUPERIOR WATER, LIGHT AND POWER COMPANY</v>
      </c>
      <c r="BF1191" s="300">
        <f t="shared" si="2090"/>
        <v>4063281</v>
      </c>
      <c r="BG1191" s="231" t="str">
        <f t="shared" si="2091"/>
        <v>WI</v>
      </c>
      <c r="BH1191" s="231"/>
      <c r="BI1191" s="231" t="str">
        <f t="shared" si="2092"/>
        <v>2011 Y</v>
      </c>
      <c r="BJ1191" s="129"/>
      <c r="BK1191" s="129"/>
      <c r="BL1191" s="129">
        <f>INDEX('Dist. Plant Gas Additions'!$E$7:$AD$91,MATCH($C1191,'Dist. Plant Gas Additions'!$C$7:$C$91,0),MATCH(Calculation!$G1191,'Dist. Plant Gas Additions'!$E$5:$AD$5,0))</f>
        <v>547</v>
      </c>
      <c r="BM1191" s="129">
        <f>INDEX('Gen. Plant Additions'!$E$7:$AD$91,MATCH($C1191,'Gen. Plant Additions'!$C$7:$C$91,0),MATCH(Calculation!$G1191,'Gen. Plant Additions'!$E$5:$AD$5,0))</f>
        <v>146</v>
      </c>
      <c r="BN1191" s="301">
        <f t="shared" si="2125"/>
        <v>0.94609875612514138</v>
      </c>
      <c r="BO1191" s="231">
        <f t="shared" si="2073"/>
        <v>138.13041839427063</v>
      </c>
      <c r="BP1191" s="231">
        <f t="shared" si="2074"/>
        <v>-7.8695816057293655</v>
      </c>
      <c r="BQ1191" s="129">
        <f>INDEX('Dist Plant Depreciation'!$D$7:$AC$94,MATCH($C1191,'Dist Plant Depreciation'!$C$7:$C$94,0),MATCH(Calculation!$G1191,'Dist Plant Depreciation'!$D$5:$AC$5,0))</f>
        <v>12633</v>
      </c>
      <c r="BR1191" s="129">
        <f>INDEX('Gen. Plant Depreciation'!$D$7:$AC$94,MATCH($C1191,'Gen. Plant Depreciation'!$C$7:$C$94,0),MATCH(Calculation!$G1191,'Gen. Plant Depreciation'!$D$5:$AC$5,0))</f>
        <v>365</v>
      </c>
      <c r="BS1191" s="129"/>
      <c r="BT1191" s="129"/>
      <c r="BU1191" s="129"/>
      <c r="BV1191" s="129"/>
      <c r="BW1191" s="129"/>
      <c r="BX1191" s="137"/>
      <c r="BY1191" s="129">
        <f>INDEX('Gross Dx Plant'!$D$7:$AC$91,MATCH($C1191,'Gross Dx Plant'!$C$7:$C$91,0),MATCH(Calculation!$G1191,'Gross Dx Plant'!$D$5:$AC$5,0))</f>
        <v>20080</v>
      </c>
      <c r="BZ1191" s="129">
        <f>INDEX('Gross Gen Plant'!$D$7:$AC$91,MATCH($C1191,'Gross Gen Plant'!$C$7:$C$91,0),MATCH(Calculation!$G1191,'Gross Gen Plant'!$D$5:$AC$5,0))</f>
        <v>1144</v>
      </c>
      <c r="CA1191" s="129">
        <f t="shared" si="2048"/>
        <v>8226</v>
      </c>
      <c r="CB1191" s="129"/>
      <c r="CC1191" s="133">
        <v>2011</v>
      </c>
      <c r="CD1191" s="129"/>
      <c r="CE1191" s="129"/>
      <c r="CF1191" s="129"/>
      <c r="CG1191" s="137"/>
      <c r="CH1191" s="129">
        <f t="shared" si="2126"/>
        <v>693</v>
      </c>
      <c r="CI1191" s="46">
        <f t="shared" si="2135"/>
        <v>685.13041839427069</v>
      </c>
      <c r="CJ1191" s="231">
        <f t="shared" si="2127"/>
        <v>1.1202059981211876</v>
      </c>
      <c r="CK1191" s="443">
        <v>0.8539325842696629</v>
      </c>
      <c r="CL1191" s="231">
        <f>+CL1178*CK1191+CJ1179*CK1190+CJ1180*CK1189+CJ1181*CK1188+CJ1182*CK1187+CJ1183*CK1186+CJ1184*CK1185+CJ1185*CK1184+CJ1186*CK1183+CJ1187*CK1182+CJ1188*CK1181+CJ1189*CK1180+CJ1190*CK1179+CJ1191</f>
        <v>52.312203064347905</v>
      </c>
      <c r="CM1191" s="134">
        <f t="shared" si="2128"/>
        <v>7.6729987245043761E-3</v>
      </c>
      <c r="CN1191" s="135">
        <f t="shared" si="2129"/>
        <v>1.3876285141882041E-2</v>
      </c>
      <c r="CO1191" s="135">
        <f t="shared" si="2139"/>
        <v>1.3485099765265277E-2</v>
      </c>
      <c r="CP1191" s="134">
        <f>VLOOKUP($H1191,RoR!$E:$F,2,FALSE)</f>
        <v>4.6391666666666664E-2</v>
      </c>
      <c r="CQ1191" s="135">
        <v>2.0840920205183799E-2</v>
      </c>
      <c r="CR1191" s="135">
        <f t="shared" si="2136"/>
        <v>2.5550746461482865E-2</v>
      </c>
      <c r="CS1191" s="135">
        <f t="shared" si="2140"/>
        <v>1.7416841843268346E-2</v>
      </c>
      <c r="CT1191" s="135">
        <f t="shared" si="2141"/>
        <v>2.4810540821321614E-2</v>
      </c>
      <c r="CU1191" s="139">
        <f t="shared" si="2130"/>
        <v>0.85150049999999999</v>
      </c>
      <c r="CV1191" s="335">
        <f t="shared" si="2131"/>
        <v>1.1054151524782025</v>
      </c>
      <c r="CW1191" s="335">
        <f t="shared" si="2132"/>
        <v>0.43611011316687626</v>
      </c>
      <c r="CX1191" s="335">
        <f t="shared" si="2133"/>
        <v>0.83698442246886229</v>
      </c>
      <c r="CY1191" s="335">
        <f t="shared" si="2134"/>
        <v>0.40349573304423936</v>
      </c>
      <c r="CZ1191" s="336">
        <f>INDEX('State Tax Lookup'!$D$7:$Z$91,MATCH(Calculation!$C1191,'State Tax Lookup'!$B$7:$B$91,0),MATCH($H1191,'State Tax Lookup'!$D$6:$Z$6,0))</f>
        <v>0.40134999999999998</v>
      </c>
      <c r="DA1191" s="302">
        <v>0.37</v>
      </c>
      <c r="DB1191" s="57">
        <f t="shared" si="2137"/>
        <v>15.116247072569671</v>
      </c>
      <c r="DC1191" s="56">
        <f t="shared" si="2142"/>
        <v>5.3121053552617724E-2</v>
      </c>
      <c r="DD1191" s="303">
        <f>VLOOKUP($H1191,RoR!$E:$F,2,FALSE)</f>
        <v>4.6391666666666664E-2</v>
      </c>
      <c r="DE1191" s="304">
        <f>HLOOKUP($H1191,'GDP-PI'!$D$8:$CQ$11,3,FALSE)</f>
        <v>2.0840920205183799E-2</v>
      </c>
      <c r="DF1191" s="303">
        <f>VLOOKUP(H1191,'HW Dx Data'!$E:$F,2,FALSE)</f>
        <v>611.61109612283201</v>
      </c>
      <c r="DG1191" s="364">
        <f ca="1">VLOOKUP(CC1191,'ECI - Input Price'!M$13:N$33,2,FALSE)</f>
        <v>120.875</v>
      </c>
      <c r="DH1191" s="364"/>
      <c r="DI1191" s="364"/>
      <c r="DJ1191" s="56">
        <f t="shared" ca="1" si="2150"/>
        <v>3.3224250161508609E-2</v>
      </c>
      <c r="DK1191" s="53">
        <f>HLOOKUP(H1191,'GDP-PI'!$8:$9,2,FALSE)</f>
        <v>98.111999999999995</v>
      </c>
      <c r="DL1191" s="355">
        <f t="shared" si="2143"/>
        <v>2.0626719212849295E-2</v>
      </c>
    </row>
    <row r="1192" spans="1:116" s="126" customFormat="1" ht="21" customHeight="1" x14ac:dyDescent="0.4">
      <c r="A1192" s="233" t="s">
        <v>252</v>
      </c>
      <c r="B1192" s="126" t="s">
        <v>252</v>
      </c>
      <c r="C1192" s="126">
        <v>4063281</v>
      </c>
      <c r="D1192" s="127" t="s">
        <v>214</v>
      </c>
      <c r="E1192" s="127"/>
      <c r="F1192" s="144"/>
      <c r="G1192" s="126" t="s">
        <v>168</v>
      </c>
      <c r="H1192" s="128">
        <v>2012</v>
      </c>
      <c r="I1192" s="129"/>
      <c r="J1192" s="125">
        <f>IFERROR(INDEX('Labor Expenditures'!$E$7:$W$91,MATCH($C1192,'Labor Expenditures'!$C$7:$C$91,0),MATCH($G1192,'Labor Expenditures'!$E$5:$W$5,0)),"NA")</f>
        <v>1598.5986349579066</v>
      </c>
      <c r="K1192" s="125">
        <f t="shared" ca="1" si="2144"/>
        <v>12.809283933957584</v>
      </c>
      <c r="L1192" s="47"/>
      <c r="M1192" s="131">
        <f t="shared" ca="1" si="2151"/>
        <v>-4.4817533492516617E-2</v>
      </c>
      <c r="N1192" s="131"/>
      <c r="O1192" s="131"/>
      <c r="P1192" s="59">
        <f t="shared" ca="1" si="2153"/>
        <v>-2.2703576579364747E-5</v>
      </c>
      <c r="Q1192" s="61"/>
      <c r="R1192" s="387"/>
      <c r="S1192" s="49">
        <f t="shared" ca="1" si="2158"/>
        <v>117.82990486157877</v>
      </c>
      <c r="T1192" s="61">
        <f ca="1">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</f>
        <v>-2.7237008432898484E-3</v>
      </c>
      <c r="U1192" s="61"/>
      <c r="V1192" s="125">
        <f>IFERROR(INDEX('Non-Labor Expenditures'!$E$7:$AA$91,MATCH($C1192,'Non-Labor Expenditures'!$C$7:$C$91,0),MATCH($G1192,'Non-Labor Expenditures'!$E$5:$AA$5,0)),"NA")</f>
        <v>2315.0694004584925</v>
      </c>
      <c r="W1192" s="125">
        <f t="shared" si="2145"/>
        <v>23.150694004584924</v>
      </c>
      <c r="X1192" s="131">
        <f t="shared" si="2154"/>
        <v>-3.1922534069390267E-2</v>
      </c>
      <c r="Y1192" s="131">
        <f t="shared" si="2155"/>
        <v>-1.6171253533459124E-5</v>
      </c>
      <c r="Z1192" s="131"/>
      <c r="AA1192" s="131"/>
      <c r="AB1192" s="131"/>
      <c r="AC1192" s="125">
        <f t="shared" si="2124"/>
        <v>842.26876869647879</v>
      </c>
      <c r="AD1192" s="129"/>
      <c r="AE1192" s="133">
        <v>56.360409166950923</v>
      </c>
      <c r="AF1192" s="134">
        <v>1.0280659653958791E-2</v>
      </c>
      <c r="AG1192" s="59">
        <f t="shared" si="2146"/>
        <v>5.2079560286157202E-6</v>
      </c>
      <c r="AH1192" s="134"/>
      <c r="AI1192" s="134"/>
      <c r="AJ1192" s="129">
        <f t="shared" si="2138"/>
        <v>4755.9368041128782</v>
      </c>
      <c r="AK1192" s="134">
        <f t="shared" si="2156"/>
        <v>1.4489364498823853E-3</v>
      </c>
      <c r="AL1192" s="129"/>
      <c r="AM1192" s="129"/>
      <c r="AN1192" s="129"/>
      <c r="AO1192" s="129"/>
      <c r="AP1192" s="133">
        <f t="shared" si="2157"/>
        <v>384.13187982496396</v>
      </c>
      <c r="AQ1192" s="134">
        <f>+BB1192/Outputs!$B$20</f>
        <v>3.4667660728680572E-4</v>
      </c>
      <c r="AR1192" s="93">
        <f t="shared" si="2147"/>
        <v>0.33612697157276294</v>
      </c>
      <c r="AS1192" s="93">
        <f t="shared" si="2148"/>
        <v>0.48677463469582855</v>
      </c>
      <c r="AT1192" s="93">
        <f t="shared" si="2149"/>
        <v>0.17709839373140843</v>
      </c>
      <c r="AU1192" s="93">
        <f t="shared" ca="1" si="2152"/>
        <v>-2.9064300780925145E-2</v>
      </c>
      <c r="AV1192" s="132">
        <f t="shared" ca="1" si="2160"/>
        <v>90.689450302820902</v>
      </c>
      <c r="AW1192" s="134">
        <f t="shared" ca="1" si="2161"/>
        <v>-2.90643007809251E-2</v>
      </c>
      <c r="AX1192" s="135">
        <f>+AJ1192/$AL$17</f>
        <v>5.0657800218201795E-4</v>
      </c>
      <c r="AY1192" s="135">
        <f t="shared" ca="1" si="2159"/>
        <v>-1.4723335424418302E-5</v>
      </c>
      <c r="AZ1192" s="93"/>
      <c r="BA1192" s="93"/>
      <c r="BB1192" s="234">
        <f>IFERROR(INDEX('Total Customers'!$E$7:$AA$91,MATCH($C1192,'Total Customers'!$C$7:$C$91,0),MATCH($G1192,'Total Customers'!$E$5:$AA$5,0)),"NA")</f>
        <v>12381</v>
      </c>
      <c r="BC1192" s="269">
        <f t="shared" si="2095"/>
        <v>4.4521868985031091E-3</v>
      </c>
      <c r="BD1192" s="92"/>
      <c r="BE1192" s="299" t="str">
        <f t="shared" si="2089"/>
        <v>SUPERIOR WATER, LIGHT AND POWER COMPANY</v>
      </c>
      <c r="BF1192" s="300">
        <f t="shared" si="2090"/>
        <v>4063281</v>
      </c>
      <c r="BG1192" s="231" t="str">
        <f t="shared" si="2091"/>
        <v>WI</v>
      </c>
      <c r="BH1192" s="231"/>
      <c r="BI1192" s="231" t="str">
        <f t="shared" si="2092"/>
        <v>2012 Y</v>
      </c>
      <c r="BJ1192" s="129"/>
      <c r="BK1192" s="129"/>
      <c r="BL1192" s="129">
        <f>INDEX('Dist. Plant Gas Additions'!$E$7:$AD$91,MATCH($C1192,'Dist. Plant Gas Additions'!$C$7:$C$91,0),MATCH(Calculation!$G1192,'Dist. Plant Gas Additions'!$E$5:$AD$5,0))</f>
        <v>662</v>
      </c>
      <c r="BM1192" s="129">
        <f>INDEX('Gen. Plant Additions'!$E$7:$AD$91,MATCH($C1192,'Gen. Plant Additions'!$C$7:$C$91,0),MATCH(Calculation!$G1192,'Gen. Plant Additions'!$E$5:$AD$5,0))</f>
        <v>11</v>
      </c>
      <c r="BN1192" s="301">
        <f t="shared" si="2125"/>
        <v>0.94707418778353114</v>
      </c>
      <c r="BO1192" s="231">
        <f t="shared" si="2073"/>
        <v>10.417816065618842</v>
      </c>
      <c r="BP1192" s="231">
        <f t="shared" si="2074"/>
        <v>-0.5821839343811579</v>
      </c>
      <c r="BQ1192" s="129">
        <f>INDEX('Dist Plant Depreciation'!$D$7:$AC$94,MATCH($C1192,'Dist Plant Depreciation'!$C$7:$C$94,0),MATCH(Calculation!$G1192,'Dist Plant Depreciation'!$D$5:$AC$5,0))</f>
        <v>13304</v>
      </c>
      <c r="BR1192" s="129">
        <f>INDEX('Gen. Plant Depreciation'!$D$7:$AC$94,MATCH($C1192,'Gen. Plant Depreciation'!$C$7:$C$94,0),MATCH(Calculation!$G1192,'Gen. Plant Depreciation'!$D$5:$AC$5,0))</f>
        <v>270</v>
      </c>
      <c r="BS1192" s="129"/>
      <c r="BT1192" s="129"/>
      <c r="BU1192" s="129"/>
      <c r="BV1192" s="129"/>
      <c r="BW1192" s="129"/>
      <c r="BX1192" s="137"/>
      <c r="BY1192" s="129">
        <f>INDEX('Gross Dx Plant'!$D$7:$AC$91,MATCH($C1192,'Gross Dx Plant'!$C$7:$C$91,0),MATCH(Calculation!$G1192,'Gross Dx Plant'!$D$5:$AC$5,0))</f>
        <v>20668</v>
      </c>
      <c r="BZ1192" s="129">
        <f>INDEX('Gross Gen Plant'!$D$7:$AC$91,MATCH($C1192,'Gross Gen Plant'!$C$7:$C$91,0),MATCH(Calculation!$G1192,'Gross Gen Plant'!$D$5:$AC$5,0))</f>
        <v>1155</v>
      </c>
      <c r="CA1192" s="129">
        <f t="shared" si="2048"/>
        <v>8249</v>
      </c>
      <c r="CB1192" s="129"/>
      <c r="CC1192" s="133">
        <v>2012</v>
      </c>
      <c r="CD1192" s="129"/>
      <c r="CE1192" s="129"/>
      <c r="CF1192" s="129"/>
      <c r="CG1192" s="137"/>
      <c r="CH1192" s="129">
        <f t="shared" si="2126"/>
        <v>673</v>
      </c>
      <c r="CI1192" s="46">
        <f t="shared" si="2135"/>
        <v>672.41781606561881</v>
      </c>
      <c r="CJ1192" s="231">
        <f t="shared" si="2127"/>
        <v>1.005230068615671</v>
      </c>
      <c r="CK1192" s="443">
        <v>0.84090909090909094</v>
      </c>
      <c r="CL1192" s="231">
        <f>+CL1178*CK1192+CJ1179*CK1191+CJ1180*CK1190+CJ1181*CK1189+CJ1182*CK1188+CJ1183*CK1187+CJ1184*CK1186+CJ1185*CK1185+CJ1186*CK1184+CJ1187*CK1183+CJ1188*CK1182+CJ1189*CK1181+CJ1190*CK1180+CJ1191*CK1179+CJ1192</f>
        <v>52.569877466251818</v>
      </c>
      <c r="CM1192" s="134">
        <f t="shared" si="2128"/>
        <v>4.9136119160116979E-3</v>
      </c>
      <c r="CN1192" s="135">
        <f t="shared" si="2129"/>
        <v>1.4290273070553142E-2</v>
      </c>
      <c r="CO1192" s="135">
        <f t="shared" si="2139"/>
        <v>1.3879193946609171E-2</v>
      </c>
      <c r="CP1192" s="134">
        <f>VLOOKUP($H1192,RoR!$E:$F,2,FALSE)</f>
        <v>3.6733333333333333E-2</v>
      </c>
      <c r="CQ1192" s="135">
        <v>1.924331376386168E-2</v>
      </c>
      <c r="CR1192" s="135">
        <f t="shared" si="2136"/>
        <v>1.7490019569471653E-2</v>
      </c>
      <c r="CS1192" s="135">
        <f t="shared" si="2140"/>
        <v>1.7022747661924454E-2</v>
      </c>
      <c r="CT1192" s="135">
        <f t="shared" si="2141"/>
        <v>6.7122682943869583E-2</v>
      </c>
      <c r="CU1192" s="139">
        <f t="shared" si="2130"/>
        <v>0.85150049999999999</v>
      </c>
      <c r="CV1192" s="335">
        <f t="shared" si="2131"/>
        <v>1.3960631020522127</v>
      </c>
      <c r="CW1192" s="335">
        <f t="shared" si="2132"/>
        <v>0.29441923774954631</v>
      </c>
      <c r="CX1192" s="335">
        <f t="shared" si="2133"/>
        <v>0.76377954189366437</v>
      </c>
      <c r="CY1192" s="335">
        <f t="shared" si="2134"/>
        <v>0.31393465103033691</v>
      </c>
      <c r="CZ1192" s="336">
        <f>INDEX('State Tax Lookup'!$D$7:$Z$91,MATCH(Calculation!$C1192,'State Tax Lookup'!$B$7:$B$91,0),MATCH($H1192,'State Tax Lookup'!$D$6:$Z$6,0))</f>
        <v>0.40134999999999998</v>
      </c>
      <c r="DA1192" s="302">
        <v>0.37</v>
      </c>
      <c r="DB1192" s="57">
        <f t="shared" si="2137"/>
        <v>16.100808594515232</v>
      </c>
      <c r="DC1192" s="56">
        <f t="shared" si="2142"/>
        <v>6.3099363534905778E-2</v>
      </c>
      <c r="DD1192" s="303">
        <f>VLOOKUP($H1192,RoR!$E:$F,2,FALSE)</f>
        <v>3.6733333333333333E-2</v>
      </c>
      <c r="DE1192" s="304">
        <f>HLOOKUP($H1192,'GDP-PI'!$D$8:$CQ$11,3,FALSE)</f>
        <v>1.924331376386168E-2</v>
      </c>
      <c r="DF1192" s="303">
        <f>VLOOKUP(H1192,'HW Dx Data'!$E:$F,2,FALSE)</f>
        <v>668.91932211262167</v>
      </c>
      <c r="DG1192" s="364">
        <f ca="1">VLOOKUP(CC1192,'ECI - Input Price'!M$13:N$33,2,FALSE)</f>
        <v>124.80000000000001</v>
      </c>
      <c r="DH1192" s="364"/>
      <c r="DI1192" s="364"/>
      <c r="DJ1192" s="56">
        <f t="shared" ca="1" si="2150"/>
        <v>3.1955502161869064E-2</v>
      </c>
      <c r="DK1192" s="53">
        <f>HLOOKUP(H1192,'GDP-PI'!$8:$9,2,FALSE)</f>
        <v>100</v>
      </c>
      <c r="DL1192" s="355">
        <f t="shared" si="2143"/>
        <v>1.9060502738742411E-2</v>
      </c>
    </row>
    <row r="1193" spans="1:116" s="126" customFormat="1" ht="21" customHeight="1" x14ac:dyDescent="0.4">
      <c r="A1193" s="233" t="s">
        <v>252</v>
      </c>
      <c r="B1193" s="126" t="s">
        <v>252</v>
      </c>
      <c r="C1193" s="126">
        <v>4063281</v>
      </c>
      <c r="D1193" s="127" t="s">
        <v>214</v>
      </c>
      <c r="E1193" s="127"/>
      <c r="F1193" s="144"/>
      <c r="G1193" s="126" t="s">
        <v>169</v>
      </c>
      <c r="H1193" s="128">
        <v>2013</v>
      </c>
      <c r="I1193" s="129"/>
      <c r="J1193" s="125">
        <f>IFERROR(INDEX('Labor Expenditures'!$E$7:$W$91,MATCH($C1193,'Labor Expenditures'!$C$7:$C$91,0),MATCH($G1193,'Labor Expenditures'!$E$5:$W$5,0)),"NA")</f>
        <v>1547.7991506599569</v>
      </c>
      <c r="K1193" s="125">
        <f t="shared" ca="1" si="2144"/>
        <v>12.206617907412911</v>
      </c>
      <c r="L1193" s="47"/>
      <c r="M1193" s="131">
        <f t="shared" ca="1" si="2151"/>
        <v>-4.8191959264849558E-2</v>
      </c>
      <c r="N1193" s="131"/>
      <c r="O1193" s="131"/>
      <c r="P1193" s="59">
        <f t="shared" ca="1" si="2153"/>
        <v>-2.2825209631257515E-5</v>
      </c>
      <c r="Q1193" s="61"/>
      <c r="R1193" s="387"/>
      <c r="S1193" s="49">
        <f t="shared" ca="1" si="2158"/>
        <v>107.57732375446747</v>
      </c>
      <c r="T1193" s="61">
        <f ca="1">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</f>
        <v>-9.1032220562534863E-2</v>
      </c>
      <c r="U1193" s="61"/>
      <c r="V1193" s="125">
        <f>IFERROR(INDEX('Non-Labor Expenditures'!$E$7:$AA$91,MATCH($C1193,'Non-Labor Expenditures'!$C$7:$C$91,0),MATCH($G1193,'Non-Labor Expenditures'!$E$5:$AA$5,0)),"NA")</f>
        <v>2241.5022591601696</v>
      </c>
      <c r="W1193" s="125">
        <f t="shared" si="2145"/>
        <v>22.024527715211004</v>
      </c>
      <c r="X1193" s="131">
        <f t="shared" si="2154"/>
        <v>-4.9868030213561794E-2</v>
      </c>
      <c r="Y1193" s="131">
        <f t="shared" si="2155"/>
        <v>-2.3619048921977562E-5</v>
      </c>
      <c r="Z1193" s="131"/>
      <c r="AA1193" s="131"/>
      <c r="AB1193" s="131"/>
      <c r="AC1193" s="125">
        <f t="shared" si="2124"/>
        <v>819.40301671348618</v>
      </c>
      <c r="AD1193" s="129"/>
      <c r="AE1193" s="133">
        <v>57.955945926466349</v>
      </c>
      <c r="AF1193" s="134">
        <v>2.7916222061784037E-2</v>
      </c>
      <c r="AG1193" s="59">
        <f t="shared" si="2146"/>
        <v>1.3221990356754708E-5</v>
      </c>
      <c r="AH1193" s="134"/>
      <c r="AI1193" s="134"/>
      <c r="AJ1193" s="129">
        <f t="shared" si="2138"/>
        <v>4608.7044265336126</v>
      </c>
      <c r="AK1193" s="134">
        <f t="shared" si="2156"/>
        <v>-3.1446909075712702E-2</v>
      </c>
      <c r="AL1193" s="129"/>
      <c r="AM1193" s="129"/>
      <c r="AN1193" s="129"/>
      <c r="AO1193" s="129"/>
      <c r="AP1193" s="133">
        <f t="shared" si="2157"/>
        <v>370.71303302233048</v>
      </c>
      <c r="AQ1193" s="134">
        <f>+BB1193/Outputs!$B$21</f>
        <v>3.4588605925602446E-4</v>
      </c>
      <c r="AR1193" s="93">
        <f t="shared" si="2147"/>
        <v>0.33584257253488425</v>
      </c>
      <c r="AS1193" s="93">
        <f t="shared" si="2148"/>
        <v>0.48636277177056708</v>
      </c>
      <c r="AT1193" s="93">
        <f t="shared" si="2149"/>
        <v>0.17779465569454869</v>
      </c>
      <c r="AU1193" s="93">
        <f t="shared" ca="1" si="2152"/>
        <v>-3.5502350654254965E-2</v>
      </c>
      <c r="AV1193" s="132">
        <f t="shared" ca="1" si="2160"/>
        <v>87.526244497893387</v>
      </c>
      <c r="AW1193" s="134">
        <f t="shared" ca="1" si="2161"/>
        <v>-3.5502350654254895E-2</v>
      </c>
      <c r="AX1193" s="135">
        <f>+AJ1193/$AL$18</f>
        <v>4.7363107828458549E-4</v>
      </c>
      <c r="AY1193" s="135">
        <f t="shared" ca="1" si="2159"/>
        <v>-1.6815016622012205E-5</v>
      </c>
      <c r="AZ1193" s="93"/>
      <c r="BA1193" s="93"/>
      <c r="BB1193" s="234">
        <f>IFERROR(INDEX('Total Customers'!$E$7:$AA$91,MATCH($C1193,'Total Customers'!$C$7:$C$91,0),MATCH($G1193,'Total Customers'!$E$5:$AA$5,0)),"NA")</f>
        <v>12432</v>
      </c>
      <c r="BC1193" s="269">
        <f t="shared" si="2095"/>
        <v>4.110754186737192E-3</v>
      </c>
      <c r="BD1193" s="92"/>
      <c r="BE1193" s="299" t="str">
        <f t="shared" si="2089"/>
        <v>SUPERIOR WATER, LIGHT AND POWER COMPANY</v>
      </c>
      <c r="BF1193" s="300">
        <f t="shared" si="2090"/>
        <v>4063281</v>
      </c>
      <c r="BG1193" s="231" t="str">
        <f t="shared" si="2091"/>
        <v>WI</v>
      </c>
      <c r="BH1193" s="231"/>
      <c r="BI1193" s="231" t="str">
        <f t="shared" si="2092"/>
        <v>2013 Y</v>
      </c>
      <c r="BJ1193" s="129"/>
      <c r="BK1193" s="129"/>
      <c r="BL1193" s="129">
        <f>INDEX('Dist. Plant Gas Additions'!$E$7:$AD$91,MATCH($C1193,'Dist. Plant Gas Additions'!$C$7:$C$91,0),MATCH(Calculation!$G1193,'Dist. Plant Gas Additions'!$E$5:$AD$5,0))</f>
        <v>1344</v>
      </c>
      <c r="BM1193" s="129">
        <f>INDEX('Gen. Plant Additions'!$E$7:$AD$91,MATCH($C1193,'Gen. Plant Additions'!$C$7:$C$91,0),MATCH(Calculation!$G1193,'Gen. Plant Additions'!$E$5:$AD$5,0))</f>
        <v>13</v>
      </c>
      <c r="BN1193" s="301">
        <f t="shared" si="2125"/>
        <v>0.94949844344517464</v>
      </c>
      <c r="BO1193" s="231">
        <f t="shared" si="2073"/>
        <v>12.34347976478727</v>
      </c>
      <c r="BP1193" s="231">
        <f t="shared" si="2074"/>
        <v>-0.65652023521272973</v>
      </c>
      <c r="BQ1193" s="129">
        <f>INDEX('Dist Plant Depreciation'!$D$7:$AC$94,MATCH($C1193,'Dist Plant Depreciation'!$C$7:$C$94,0),MATCH(Calculation!$G1193,'Dist Plant Depreciation'!$D$5:$AC$5,0))</f>
        <v>13849</v>
      </c>
      <c r="BR1193" s="129">
        <f>INDEX('Gen. Plant Depreciation'!$D$7:$AC$94,MATCH($C1193,'Gen. Plant Depreciation'!$C$7:$C$94,0),MATCH(Calculation!$G1193,'Gen. Plant Depreciation'!$D$5:$AC$5,0))</f>
        <v>420</v>
      </c>
      <c r="BS1193" s="129"/>
      <c r="BT1193" s="129"/>
      <c r="BU1193" s="129"/>
      <c r="BV1193" s="129"/>
      <c r="BW1193" s="129"/>
      <c r="BX1193" s="137"/>
      <c r="BY1193" s="129">
        <f>INDEX('Gross Dx Plant'!$D$7:$AC$91,MATCH($C1193,'Gross Dx Plant'!$C$7:$C$91,0),MATCH(Calculation!$G1193,'Gross Dx Plant'!$D$5:$AC$5,0))</f>
        <v>21960</v>
      </c>
      <c r="BZ1193" s="129">
        <f>INDEX('Gross Gen Plant'!$D$7:$AC$91,MATCH($C1193,'Gross Gen Plant'!$C$7:$C$91,0),MATCH(Calculation!$G1193,'Gross Gen Plant'!$D$5:$AC$5,0))</f>
        <v>1168</v>
      </c>
      <c r="CA1193" s="129">
        <f t="shared" si="2048"/>
        <v>8859</v>
      </c>
      <c r="CB1193" s="129"/>
      <c r="CC1193" s="133">
        <v>2013</v>
      </c>
      <c r="CD1193" s="129"/>
      <c r="CE1193" s="129"/>
      <c r="CF1193" s="129"/>
      <c r="CG1193" s="137"/>
      <c r="CH1193" s="129">
        <f t="shared" si="2126"/>
        <v>1357</v>
      </c>
      <c r="CI1193" s="46">
        <f t="shared" si="2135"/>
        <v>1356.3434797647872</v>
      </c>
      <c r="CJ1193" s="231">
        <f t="shared" si="2127"/>
        <v>2.0450007396043257</v>
      </c>
      <c r="CK1193" s="443">
        <v>0.82758620689655171</v>
      </c>
      <c r="CL1193" s="231">
        <f>+CL1178*CK1193+CJ1179*CK1192+CJ1180*CK1191+CJ1181*CK1190+CJ1182*CK1189+CJ1183*CK1188+CJ1184*CK1187+CJ1185*CK1186+CJ1186*CK1185+CJ1187*CK1184+CJ1188*CK1183+CJ1189*CK1182+CJ1190*CK1181+CJ1191*CK1180+CJ1192*CK1179+CJ1193</f>
        <v>53.840486576036412</v>
      </c>
      <c r="CM1193" s="134">
        <f t="shared" si="2128"/>
        <v>2.3882438780281675E-2</v>
      </c>
      <c r="CN1193" s="135">
        <f t="shared" si="2129"/>
        <v>1.4730710192673861E-2</v>
      </c>
      <c r="CO1193" s="135">
        <f t="shared" si="2139"/>
        <v>1.4299089468369683E-2</v>
      </c>
      <c r="CP1193" s="134">
        <f>VLOOKUP($H1193,RoR!$E:$F,2,FALSE)</f>
        <v>4.2350000000000006E-2</v>
      </c>
      <c r="CQ1193" s="135">
        <v>1.7730000000000024E-2</v>
      </c>
      <c r="CR1193" s="135">
        <f t="shared" si="2136"/>
        <v>2.4619999999999982E-2</v>
      </c>
      <c r="CS1193" s="135">
        <f t="shared" si="2140"/>
        <v>1.6602852140163944E-2</v>
      </c>
      <c r="CT1193" s="135">
        <f t="shared" si="2141"/>
        <v>5.3376742735721204E-2</v>
      </c>
      <c r="CU1193" s="139">
        <f t="shared" si="2130"/>
        <v>0.85150049999999999</v>
      </c>
      <c r="CV1193" s="335">
        <f t="shared" si="2131"/>
        <v>1.2109103018193925</v>
      </c>
      <c r="CW1193" s="335">
        <f t="shared" si="2132"/>
        <v>0.38468122786304604</v>
      </c>
      <c r="CX1193" s="335">
        <f t="shared" si="2133"/>
        <v>0.80969194503422559</v>
      </c>
      <c r="CY1193" s="335">
        <f t="shared" si="2134"/>
        <v>0.37716621754800816</v>
      </c>
      <c r="CZ1193" s="336">
        <f>INDEX('State Tax Lookup'!$D$7:$Z$91,MATCH(Calculation!$C1193,'State Tax Lookup'!$B$7:$B$91,0),MATCH($H1193,'State Tax Lookup'!$D$6:$Z$6,0))</f>
        <v>0.40134999999999998</v>
      </c>
      <c r="DA1193" s="302">
        <v>0.37</v>
      </c>
      <c r="DB1193" s="57">
        <f t="shared" si="2137"/>
        <v>15.586930314599206</v>
      </c>
      <c r="DC1193" s="56">
        <f t="shared" si="2142"/>
        <v>-3.2436731232653844E-2</v>
      </c>
      <c r="DD1193" s="303">
        <f>VLOOKUP($H1193,RoR!$E:$F,2,FALSE)</f>
        <v>4.2350000000000006E-2</v>
      </c>
      <c r="DE1193" s="304">
        <f>HLOOKUP($H1193,'GDP-PI'!$D$8:$CQ$11,3,FALSE)</f>
        <v>1.7730000000000024E-2</v>
      </c>
      <c r="DF1193" s="303">
        <f>VLOOKUP(H1193,'HW Dx Data'!$E:$F,2,FALSE)</f>
        <v>663.24840548821396</v>
      </c>
      <c r="DG1193" s="364">
        <f ca="1">VLOOKUP(CC1193,'ECI - Input Price'!M$13:N$33,2,FALSE)</f>
        <v>126.8</v>
      </c>
      <c r="DH1193" s="364"/>
      <c r="DI1193" s="364"/>
      <c r="DJ1193" s="56">
        <f t="shared" ca="1" si="2150"/>
        <v>1.5898586067798204E-2</v>
      </c>
      <c r="DK1193" s="53">
        <f>HLOOKUP(H1193,'GDP-PI'!$8:$9,2,FALSE)</f>
        <v>101.773</v>
      </c>
      <c r="DL1193" s="355">
        <f t="shared" si="2143"/>
        <v>1.7574657016510519E-2</v>
      </c>
    </row>
    <row r="1194" spans="1:116" s="126" customFormat="1" ht="21" customHeight="1" x14ac:dyDescent="0.4">
      <c r="A1194" s="233" t="s">
        <v>252</v>
      </c>
      <c r="B1194" s="126" t="s">
        <v>252</v>
      </c>
      <c r="C1194" s="126">
        <v>4063281</v>
      </c>
      <c r="D1194" s="127" t="s">
        <v>214</v>
      </c>
      <c r="E1194" s="127"/>
      <c r="F1194" s="144"/>
      <c r="G1194" s="126" t="s">
        <v>170</v>
      </c>
      <c r="H1194" s="128">
        <v>2014</v>
      </c>
      <c r="I1194" s="129"/>
      <c r="J1194" s="125">
        <f>IFERROR(INDEX('Labor Expenditures'!$E$7:$W$91,MATCH($C1194,'Labor Expenditures'!$C$7:$C$91,0),MATCH($G1194,'Labor Expenditures'!$E$5:$W$5,0)),"NA")</f>
        <v>1464.4265597298224</v>
      </c>
      <c r="K1194" s="125">
        <f t="shared" ca="1" si="2144"/>
        <v>11.317052239024902</v>
      </c>
      <c r="L1194" s="47"/>
      <c r="M1194" s="131">
        <f t="shared" ca="1" si="2151"/>
        <v>-7.5667620141590952E-2</v>
      </c>
      <c r="N1194" s="131"/>
      <c r="O1194" s="131"/>
      <c r="P1194" s="59">
        <f t="shared" ca="1" si="2153"/>
        <v>-3.383791426677126E-5</v>
      </c>
      <c r="Q1194" s="61"/>
      <c r="R1194" s="387"/>
      <c r="S1194" s="49">
        <f t="shared" ca="1" si="2158"/>
        <v>122.4514455681566</v>
      </c>
      <c r="T1194" s="61">
        <f ca="1">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</f>
        <v>0.1295047089620468</v>
      </c>
      <c r="U1194" s="61"/>
      <c r="V1194" s="125">
        <f>IFERROR(INDEX('Non-Labor Expenditures'!$E$7:$AA$91,MATCH($C1194,'Non-Labor Expenditures'!$C$7:$C$91,0),MATCH($G1194,'Non-Labor Expenditures'!$E$5:$AA$5,0)),"NA")</f>
        <v>2120.7631756413221</v>
      </c>
      <c r="W1194" s="125">
        <f t="shared" si="2145"/>
        <v>20.461404340128723</v>
      </c>
      <c r="X1194" s="131">
        <f t="shared" si="2154"/>
        <v>-7.3616331976172303E-2</v>
      </c>
      <c r="Y1194" s="131">
        <f t="shared" si="2155"/>
        <v>-3.292059569711102E-5</v>
      </c>
      <c r="Z1194" s="131"/>
      <c r="AA1194" s="131"/>
      <c r="AB1194" s="131"/>
      <c r="AC1194" s="125">
        <f t="shared" si="2124"/>
        <v>846.12758495349999</v>
      </c>
      <c r="AD1194" s="129"/>
      <c r="AE1194" s="133">
        <v>59.054872956280299</v>
      </c>
      <c r="AF1194" s="134">
        <v>1.8783892835604828E-2</v>
      </c>
      <c r="AG1194" s="59">
        <f t="shared" si="2146"/>
        <v>8.3999966455671737E-6</v>
      </c>
      <c r="AH1194" s="134"/>
      <c r="AI1194" s="134"/>
      <c r="AJ1194" s="129">
        <f t="shared" si="2138"/>
        <v>4431.3173203246442</v>
      </c>
      <c r="AK1194" s="134">
        <f t="shared" si="2156"/>
        <v>-3.9249878693891342E-2</v>
      </c>
      <c r="AL1194" s="129"/>
      <c r="AM1194" s="129"/>
      <c r="AN1194" s="129"/>
      <c r="AO1194" s="129"/>
      <c r="AP1194" s="133">
        <f t="shared" si="2157"/>
        <v>354.93130318979934</v>
      </c>
      <c r="AQ1194" s="134">
        <f>+BB1194/Outputs!$B$22</f>
        <v>3.4550444340576334E-4</v>
      </c>
      <c r="AR1194" s="93">
        <f t="shared" si="2147"/>
        <v>0.33047205918048239</v>
      </c>
      <c r="AS1194" s="93">
        <f t="shared" si="2148"/>
        <v>0.4785852653598619</v>
      </c>
      <c r="AT1194" s="93">
        <f t="shared" si="2149"/>
        <v>0.19094267545965576</v>
      </c>
      <c r="AU1194" s="93">
        <f t="shared" ca="1" si="2152"/>
        <v>-5.7264027487842213E-2</v>
      </c>
      <c r="AV1194" s="132">
        <f t="shared" ca="1" si="2160"/>
        <v>82.654945407827682</v>
      </c>
      <c r="AW1194" s="134">
        <f t="shared" ca="1" si="2161"/>
        <v>-5.7264027487842116E-2</v>
      </c>
      <c r="AX1194" s="135">
        <f>+AJ1194/$AL$19</f>
        <v>4.4719146979187391E-4</v>
      </c>
      <c r="AY1194" s="135">
        <f t="shared" ca="1" si="2159"/>
        <v>-2.5607984618490386E-5</v>
      </c>
      <c r="AZ1194" s="93"/>
      <c r="BA1194" s="93"/>
      <c r="BB1194" s="234">
        <f>IFERROR(INDEX('Total Customers'!$E$7:$AA$91,MATCH($C1194,'Total Customers'!$C$7:$C$91,0),MATCH($G1194,'Total Customers'!$E$5:$AA$5,0)),"NA")</f>
        <v>12485</v>
      </c>
      <c r="BC1194" s="269">
        <f t="shared" si="2095"/>
        <v>4.2541301064448287E-3</v>
      </c>
      <c r="BD1194" s="92"/>
      <c r="BE1194" s="299" t="str">
        <f t="shared" si="2089"/>
        <v>SUPERIOR WATER, LIGHT AND POWER COMPANY</v>
      </c>
      <c r="BF1194" s="300">
        <f t="shared" si="2090"/>
        <v>4063281</v>
      </c>
      <c r="BG1194" s="231" t="str">
        <f t="shared" si="2091"/>
        <v>WI</v>
      </c>
      <c r="BH1194" s="231"/>
      <c r="BI1194" s="231" t="str">
        <f t="shared" si="2092"/>
        <v>2014 Y</v>
      </c>
      <c r="BJ1194" s="129"/>
      <c r="BK1194" s="129"/>
      <c r="BL1194" s="129">
        <f>INDEX('Dist. Plant Gas Additions'!$E$7:$AD$91,MATCH($C1194,'Dist. Plant Gas Additions'!$C$7:$C$91,0),MATCH(Calculation!$G1194,'Dist. Plant Gas Additions'!$E$5:$AD$5,0))</f>
        <v>1048</v>
      </c>
      <c r="BM1194" s="129">
        <f>INDEX('Gen. Plant Additions'!$E$7:$AD$91,MATCH($C1194,'Gen. Plant Additions'!$C$7:$C$91,0),MATCH(Calculation!$G1194,'Gen. Plant Additions'!$E$5:$AD$5,0))</f>
        <v>31</v>
      </c>
      <c r="BN1194" s="301">
        <f t="shared" si="2125"/>
        <v>0.95005826535708338</v>
      </c>
      <c r="BO1194" s="231">
        <f t="shared" si="2073"/>
        <v>29.451806226069586</v>
      </c>
      <c r="BP1194" s="231">
        <f t="shared" si="2074"/>
        <v>-1.5481937739304144</v>
      </c>
      <c r="BQ1194" s="129">
        <f>INDEX('Dist Plant Depreciation'!$D$7:$AC$94,MATCH($C1194,'Dist Plant Depreciation'!$C$7:$C$94,0),MATCH(Calculation!$G1194,'Dist Plant Depreciation'!$D$5:$AC$5,0))</f>
        <v>14424</v>
      </c>
      <c r="BR1194" s="129">
        <f>INDEX('Gen. Plant Depreciation'!$D$7:$AC$94,MATCH($C1194,'Gen. Plant Depreciation'!$C$7:$C$94,0),MATCH(Calculation!$G1194,'Gen. Plant Depreciation'!$D$5:$AC$5,0))</f>
        <v>478</v>
      </c>
      <c r="BS1194" s="129"/>
      <c r="BT1194" s="129"/>
      <c r="BU1194" s="129"/>
      <c r="BV1194" s="129"/>
      <c r="BW1194" s="129"/>
      <c r="BX1194" s="137"/>
      <c r="BY1194" s="129">
        <f>INDEX('Gross Dx Plant'!$D$7:$AC$91,MATCH($C1194,'Gross Dx Plant'!$C$7:$C$91,0),MATCH(Calculation!$G1194,'Gross Dx Plant'!$D$5:$AC$5,0))</f>
        <v>22828</v>
      </c>
      <c r="BZ1194" s="129">
        <f>INDEX('Gross Gen Plant'!$D$7:$AC$91,MATCH($C1194,'Gross Gen Plant'!$C$7:$C$91,0),MATCH(Calculation!$G1194,'Gross Gen Plant'!$D$5:$AC$5,0))</f>
        <v>1200</v>
      </c>
      <c r="CA1194" s="129">
        <f t="shared" si="2048"/>
        <v>9126</v>
      </c>
      <c r="CB1194" s="129"/>
      <c r="CC1194" s="133">
        <v>2014</v>
      </c>
      <c r="CD1194" s="129"/>
      <c r="CE1194" s="129"/>
      <c r="CF1194" s="129"/>
      <c r="CG1194" s="137"/>
      <c r="CH1194" s="129">
        <f t="shared" si="2126"/>
        <v>1079</v>
      </c>
      <c r="CI1194" s="46">
        <f t="shared" si="2135"/>
        <v>1077.4518062260695</v>
      </c>
      <c r="CJ1194" s="231">
        <f t="shared" si="2127"/>
        <v>1.5741422640896403</v>
      </c>
      <c r="CK1194" s="443">
        <v>0.81395348837209303</v>
      </c>
      <c r="CL1194" s="231">
        <f>+CL1178*CK1194+CJ1179*CK1193+CJ1180*CK1192+CJ1181*CK1191+CJ1182*CK1190+CJ1183*CK1189+CJ1184*CK1188+CJ1185*CK1187+CJ1186*CK1186+CJ1187*CK1185+CJ1188*CK1184+CJ1189*CK1183+CJ1190*CK1182+CJ1191*CK1181+CJ1192*CK1180+CJ1193*CK1179+CJ1194</f>
        <v>54.602328222161894</v>
      </c>
      <c r="CM1194" s="134">
        <f t="shared" si="2128"/>
        <v>1.4050800532685443E-2</v>
      </c>
      <c r="CN1194" s="135">
        <f t="shared" si="2129"/>
        <v>1.5087170819249256E-2</v>
      </c>
      <c r="CO1194" s="135">
        <f t="shared" si="2139"/>
        <v>1.4702718027492087E-2</v>
      </c>
      <c r="CP1194" s="134">
        <f>VLOOKUP($H1194,RoR!$E:$F,2,FALSE)</f>
        <v>4.1625000000000002E-2</v>
      </c>
      <c r="CQ1194" s="135">
        <v>1.841352814597208E-2</v>
      </c>
      <c r="CR1194" s="135">
        <f t="shared" si="2136"/>
        <v>2.3211471854027922E-2</v>
      </c>
      <c r="CS1194" s="135">
        <f t="shared" si="2140"/>
        <v>1.619922358104154E-2</v>
      </c>
      <c r="CT1194" s="135">
        <f t="shared" si="2141"/>
        <v>3.9072621432650924E-2</v>
      </c>
      <c r="CU1194" s="139">
        <f t="shared" si="2130"/>
        <v>0.85150049999999999</v>
      </c>
      <c r="CV1194" s="335">
        <f t="shared" si="2131"/>
        <v>1.2320012320012319</v>
      </c>
      <c r="CW1194" s="335">
        <f t="shared" si="2132"/>
        <v>0.37439939939939942</v>
      </c>
      <c r="CX1194" s="335">
        <f t="shared" si="2133"/>
        <v>0.80432100613819935</v>
      </c>
      <c r="CY1194" s="335">
        <f t="shared" si="2134"/>
        <v>0.37100152660040037</v>
      </c>
      <c r="CZ1194" s="336">
        <f>INDEX('State Tax Lookup'!$D$7:$Z$91,MATCH(Calculation!$C1194,'State Tax Lookup'!$B$7:$B$91,0),MATCH($H1194,'State Tax Lookup'!$D$6:$Z$6,0))</f>
        <v>0.40134999999999998</v>
      </c>
      <c r="DA1194" s="302">
        <v>0.37</v>
      </c>
      <c r="DB1194" s="57">
        <f t="shared" si="2137"/>
        <v>15.715452046640653</v>
      </c>
      <c r="DC1194" s="56">
        <f t="shared" si="2142"/>
        <v>8.2116723742760092E-3</v>
      </c>
      <c r="DD1194" s="303">
        <f>VLOOKUP($H1194,RoR!$E:$F,2,FALSE)</f>
        <v>4.1625000000000002E-2</v>
      </c>
      <c r="DE1194" s="304">
        <f>HLOOKUP($H1194,'GDP-PI'!$D$8:$CQ$11,3,FALSE)</f>
        <v>1.841352814597208E-2</v>
      </c>
      <c r="DF1194" s="303">
        <f>VLOOKUP(H1194,'HW Dx Data'!$E:$F,2,FALSE)</f>
        <v>684.46914285042885</v>
      </c>
      <c r="DG1194" s="364">
        <f ca="1">VLOOKUP(CC1194,'ECI - Input Price'!M$13:N$33,2,FALSE)</f>
        <v>129.4</v>
      </c>
      <c r="DH1194" s="364"/>
      <c r="DI1194" s="364"/>
      <c r="DJ1194" s="56">
        <f t="shared" ca="1" si="2150"/>
        <v>2.0297340063674733E-2</v>
      </c>
      <c r="DK1194" s="53">
        <f>HLOOKUP(H1194,'GDP-PI'!$8:$9,2,FALSE)</f>
        <v>103.64700000000001</v>
      </c>
      <c r="DL1194" s="355">
        <f t="shared" si="2143"/>
        <v>1.8246051898256087E-2</v>
      </c>
    </row>
    <row r="1195" spans="1:116" s="126" customFormat="1" ht="21" customHeight="1" x14ac:dyDescent="0.4">
      <c r="A1195" s="233" t="s">
        <v>252</v>
      </c>
      <c r="B1195" s="126" t="s">
        <v>252</v>
      </c>
      <c r="C1195" s="126">
        <v>4063281</v>
      </c>
      <c r="D1195" s="127" t="s">
        <v>214</v>
      </c>
      <c r="E1195" s="127"/>
      <c r="F1195" s="144"/>
      <c r="G1195" s="126" t="s">
        <v>171</v>
      </c>
      <c r="H1195" s="128">
        <v>2015</v>
      </c>
      <c r="I1195" s="129"/>
      <c r="J1195" s="125">
        <f>IFERROR(INDEX('Labor Expenditures'!$E$7:$W$91,MATCH($C1195,'Labor Expenditures'!$C$7:$C$91,0),MATCH($G1195,'Labor Expenditures'!$E$5:$W$5,0)),"NA")</f>
        <v>1605.1418520042516</v>
      </c>
      <c r="K1195" s="125">
        <f t="shared" ca="1" si="2144"/>
        <v>12.023534471941959</v>
      </c>
      <c r="L1195" s="47"/>
      <c r="M1195" s="131">
        <f t="shared" ca="1" si="2151"/>
        <v>6.0555299178157461E-2</v>
      </c>
      <c r="N1195" s="131"/>
      <c r="O1195" s="131"/>
      <c r="P1195" s="59">
        <f t="shared" ca="1" si="2153"/>
        <v>2.8927350267542875E-5</v>
      </c>
      <c r="Q1195" s="61"/>
      <c r="R1195" s="387"/>
      <c r="S1195" s="49">
        <f t="shared" ca="1" si="2158"/>
        <v>122.53935978536492</v>
      </c>
      <c r="T1195" s="61">
        <f ca="1">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</f>
        <v>7.1769404451783739E-4</v>
      </c>
      <c r="U1195" s="61"/>
      <c r="V1195" s="125">
        <f>IFERROR(INDEX('Non-Labor Expenditures'!$E$7:$AA$91,MATCH($C1195,'Non-Labor Expenditures'!$C$7:$C$91,0),MATCH($G1195,'Non-Labor Expenditures'!$E$5:$AA$5,0)),"NA")</f>
        <v>2324.5452008459679</v>
      </c>
      <c r="W1195" s="125">
        <f t="shared" si="2145"/>
        <v>22.21490267343885</v>
      </c>
      <c r="X1195" s="131">
        <f t="shared" si="2154"/>
        <v>8.2222958766218879E-2</v>
      </c>
      <c r="Y1195" s="131">
        <f t="shared" si="2155"/>
        <v>3.9278021255686907E-5</v>
      </c>
      <c r="Z1195" s="131"/>
      <c r="AA1195" s="131"/>
      <c r="AB1195" s="131"/>
      <c r="AC1195" s="125">
        <f t="shared" si="2124"/>
        <v>828.4891084083639</v>
      </c>
      <c r="AD1195" s="129"/>
      <c r="AE1195" s="133">
        <v>59.273739550176025</v>
      </c>
      <c r="AF1195" s="134">
        <v>3.6993054994253075E-3</v>
      </c>
      <c r="AG1195" s="59">
        <f t="shared" si="2146"/>
        <v>1.7671633594557954E-6</v>
      </c>
      <c r="AH1195" s="134"/>
      <c r="AI1195" s="134"/>
      <c r="AJ1195" s="129">
        <f t="shared" si="2138"/>
        <v>4758.1761612585833</v>
      </c>
      <c r="AK1195" s="134">
        <f t="shared" si="2156"/>
        <v>7.1167532061837985E-2</v>
      </c>
      <c r="AL1195" s="129"/>
      <c r="AM1195" s="129"/>
      <c r="AN1195" s="129"/>
      <c r="AO1195" s="129"/>
      <c r="AP1195" s="133">
        <f t="shared" si="2157"/>
        <v>378.5343008161164</v>
      </c>
      <c r="AQ1195" s="134">
        <f>+BB1195/Outputs!$B$23</f>
        <v>3.4502816879140337E-4</v>
      </c>
      <c r="AR1195" s="93">
        <f t="shared" si="2147"/>
        <v>0.33734393128893242</v>
      </c>
      <c r="AS1195" s="93">
        <f t="shared" si="2148"/>
        <v>0.48853701966156365</v>
      </c>
      <c r="AT1195" s="93">
        <f t="shared" si="2149"/>
        <v>0.17411904904950401</v>
      </c>
      <c r="AU1195" s="93">
        <f t="shared" ca="1" si="2152"/>
        <v>6.0654963853573718E-2</v>
      </c>
      <c r="AV1195" s="132">
        <f t="shared" ca="1" si="2160"/>
        <v>87.823544200630224</v>
      </c>
      <c r="AW1195" s="134">
        <f t="shared" ca="1" si="2161"/>
        <v>6.0654963853573662E-2</v>
      </c>
      <c r="AX1195" s="135">
        <f>+AJ1195/$AL$20</f>
        <v>4.7770138468702483E-4</v>
      </c>
      <c r="AY1195" s="135">
        <f t="shared" ca="1" si="2159"/>
        <v>2.8974960220993579E-5</v>
      </c>
      <c r="AZ1195" s="93"/>
      <c r="BA1195" s="93"/>
      <c r="BB1195" s="234">
        <f>IFERROR(INDEX('Total Customers'!$E$7:$AA$91,MATCH($C1195,'Total Customers'!$C$7:$C$91,0),MATCH($G1195,'Total Customers'!$E$5:$AA$5,0)),"NA")</f>
        <v>12570</v>
      </c>
      <c r="BC1195" s="269">
        <f t="shared" si="2095"/>
        <v>6.7850988704195253E-3</v>
      </c>
      <c r="BD1195" s="92"/>
      <c r="BE1195" s="299" t="str">
        <f t="shared" si="2089"/>
        <v>SUPERIOR WATER, LIGHT AND POWER COMPANY</v>
      </c>
      <c r="BF1195" s="300">
        <f t="shared" si="2090"/>
        <v>4063281</v>
      </c>
      <c r="BG1195" s="231" t="str">
        <f t="shared" si="2091"/>
        <v>WI</v>
      </c>
      <c r="BH1195" s="231"/>
      <c r="BI1195" s="231" t="str">
        <f t="shared" si="2092"/>
        <v>2015 Y</v>
      </c>
      <c r="BJ1195" s="129"/>
      <c r="BK1195" s="129"/>
      <c r="BL1195" s="129">
        <f>INDEX('Dist. Plant Gas Additions'!$E$7:$AD$91,MATCH($C1195,'Dist. Plant Gas Additions'!$C$7:$C$91,0),MATCH(Calculation!$G1195,'Dist. Plant Gas Additions'!$E$5:$AD$5,0))</f>
        <v>488</v>
      </c>
      <c r="BM1195" s="129">
        <f>INDEX('Gen. Plant Additions'!$E$7:$AD$91,MATCH($C1195,'Gen. Plant Additions'!$C$7:$C$91,0),MATCH(Calculation!$G1195,'Gen. Plant Additions'!$E$5:$AD$5,0))</f>
        <v>0</v>
      </c>
      <c r="BN1195" s="301">
        <f t="shared" si="2125"/>
        <v>0.95090418132722365</v>
      </c>
      <c r="BO1195" s="231">
        <f t="shared" si="2073"/>
        <v>0</v>
      </c>
      <c r="BP1195" s="231">
        <f t="shared" si="2074"/>
        <v>0</v>
      </c>
      <c r="BQ1195" s="129">
        <f>INDEX('Dist Plant Depreciation'!$D$7:$AC$94,MATCH($C1195,'Dist Plant Depreciation'!$C$7:$C$94,0),MATCH(Calculation!$G1195,'Dist Plant Depreciation'!$D$5:$AC$5,0))</f>
        <v>15137</v>
      </c>
      <c r="BR1195" s="129">
        <f>INDEX('Gen. Plant Depreciation'!$D$7:$AC$94,MATCH($C1195,'Gen. Plant Depreciation'!$C$7:$C$94,0),MATCH(Calculation!$G1195,'Gen. Plant Depreciation'!$D$5:$AC$5,0))</f>
        <v>549</v>
      </c>
      <c r="BS1195" s="129"/>
      <c r="BT1195" s="129"/>
      <c r="BU1195" s="129"/>
      <c r="BV1195" s="129"/>
      <c r="BW1195" s="129"/>
      <c r="BX1195" s="137"/>
      <c r="BY1195" s="129">
        <f>INDEX('Gross Dx Plant'!$D$7:$AC$91,MATCH($C1195,'Gross Dx Plant'!$C$7:$C$91,0),MATCH(Calculation!$G1195,'Gross Dx Plant'!$D$5:$AC$5,0))</f>
        <v>23242</v>
      </c>
      <c r="BZ1195" s="129">
        <f>INDEX('Gross Gen Plant'!$D$7:$AC$91,MATCH($C1195,'Gross Gen Plant'!$C$7:$C$91,0),MATCH(Calculation!$G1195,'Gross Gen Plant'!$D$5:$AC$5,0))</f>
        <v>1200</v>
      </c>
      <c r="CA1195" s="129">
        <f t="shared" si="2048"/>
        <v>8756</v>
      </c>
      <c r="CB1195" s="129"/>
      <c r="CC1195" s="133">
        <v>2015</v>
      </c>
      <c r="CD1195" s="129"/>
      <c r="CE1195" s="129"/>
      <c r="CF1195" s="129"/>
      <c r="CG1195" s="137"/>
      <c r="CH1195" s="129">
        <f t="shared" si="2126"/>
        <v>488</v>
      </c>
      <c r="CI1195" s="46">
        <f t="shared" si="2135"/>
        <v>488</v>
      </c>
      <c r="CJ1195" s="231">
        <f t="shared" si="2127"/>
        <v>0.72230525524660538</v>
      </c>
      <c r="CK1195" s="443">
        <v>0.8</v>
      </c>
      <c r="CL1195" s="231">
        <f>+CL1178*CK1195+CJ1179*CK1194+CJ1180*CK1193+CJ1181*CK1192+CJ1182*CK1191+CJ1183*CK1190+CJ1184*CK1189+CJ1185*CK1188+CJ1186*CK1187+CJ1187*CK1186+CJ1188*CK1185+CJ1189*CK1184+CJ1190*CK1183+CJ1191*CK1182+CJ1192*CK1181+CJ1193*CK1180+CJ1194*CK1179+CJ1195</f>
        <v>54.478068810141252</v>
      </c>
      <c r="CM1195" s="134">
        <f t="shared" si="2128"/>
        <v>-2.2783097449349493E-3</v>
      </c>
      <c r="CN1195" s="135">
        <f t="shared" si="2129"/>
        <v>1.5504186265149865E-2</v>
      </c>
      <c r="CO1195" s="135">
        <f t="shared" si="2139"/>
        <v>1.5107355759024327E-2</v>
      </c>
      <c r="CP1195" s="134">
        <f>VLOOKUP($H1195,RoR!$E:$F,2,FALSE)</f>
        <v>3.8866666666666674E-2</v>
      </c>
      <c r="CQ1195" s="135">
        <v>9.5709475431029478E-3</v>
      </c>
      <c r="CR1195" s="135">
        <f t="shared" si="2136"/>
        <v>2.9295719123563727E-2</v>
      </c>
      <c r="CS1195" s="135">
        <f t="shared" si="2140"/>
        <v>1.5794585849509296E-2</v>
      </c>
      <c r="CT1195" s="135">
        <f t="shared" si="2141"/>
        <v>3.5270373279175926E-3</v>
      </c>
      <c r="CU1195" s="139">
        <f t="shared" si="2130"/>
        <v>0.85150049999999999</v>
      </c>
      <c r="CV1195" s="335">
        <f t="shared" si="2131"/>
        <v>1.3194352816994324</v>
      </c>
      <c r="CW1195" s="335">
        <f t="shared" si="2132"/>
        <v>0.33177530017152673</v>
      </c>
      <c r="CX1195" s="335">
        <f t="shared" si="2133"/>
        <v>0.78242572977668579</v>
      </c>
      <c r="CY1195" s="335">
        <f t="shared" si="2134"/>
        <v>0.34251158643433932</v>
      </c>
      <c r="CZ1195" s="336">
        <f>INDEX('State Tax Lookup'!$D$7:$Z$91,MATCH(Calculation!$C1195,'State Tax Lookup'!$B$7:$B$91,0),MATCH($H1195,'State Tax Lookup'!$D$6:$Z$6,0))</f>
        <v>0.40134999999999998</v>
      </c>
      <c r="DA1195" s="302">
        <v>0.37</v>
      </c>
      <c r="DB1195" s="57">
        <f t="shared" si="2137"/>
        <v>15.17314618961794</v>
      </c>
      <c r="DC1195" s="56">
        <f t="shared" si="2142"/>
        <v>-3.5117267783457105E-2</v>
      </c>
      <c r="DD1195" s="303">
        <f>VLOOKUP($H1195,RoR!$E:$F,2,FALSE)</f>
        <v>3.8866666666666674E-2</v>
      </c>
      <c r="DE1195" s="304">
        <f>HLOOKUP($H1195,'GDP-PI'!$D$8:$CQ$11,3,FALSE)</f>
        <v>9.5709475431029478E-3</v>
      </c>
      <c r="DF1195" s="303">
        <f>VLOOKUP(H1195,'HW Dx Data'!$E:$F,2,FALSE)</f>
        <v>675.61463308665782</v>
      </c>
      <c r="DG1195" s="364">
        <f ca="1">VLOOKUP(CC1195,'ECI - Input Price'!M$13:N$33,2,FALSE)</f>
        <v>133.5</v>
      </c>
      <c r="DH1195" s="364"/>
      <c r="DI1195" s="364"/>
      <c r="DJ1195" s="56">
        <f t="shared" ca="1" si="2150"/>
        <v>3.1193095773504077E-2</v>
      </c>
      <c r="DK1195" s="53">
        <f>HLOOKUP(H1195,'GDP-PI'!$8:$9,2,FALSE)</f>
        <v>104.639</v>
      </c>
      <c r="DL1195" s="355">
        <f t="shared" si="2143"/>
        <v>9.5254361854427965E-3</v>
      </c>
    </row>
    <row r="1196" spans="1:116" s="126" customFormat="1" ht="21" customHeight="1" x14ac:dyDescent="0.4">
      <c r="A1196" s="233" t="s">
        <v>252</v>
      </c>
      <c r="B1196" s="126" t="s">
        <v>252</v>
      </c>
      <c r="C1196" s="126">
        <v>4063281</v>
      </c>
      <c r="D1196" s="127" t="s">
        <v>214</v>
      </c>
      <c r="E1196" s="127"/>
      <c r="F1196" s="144"/>
      <c r="G1196" s="126" t="s">
        <v>172</v>
      </c>
      <c r="H1196" s="128">
        <v>2016</v>
      </c>
      <c r="I1196" s="129"/>
      <c r="J1196" s="125">
        <f>IFERROR(INDEX('Labor Expenditures'!$E$7:$W$91,MATCH($C1196,'Labor Expenditures'!$C$7:$C$91,0),MATCH($G1196,'Labor Expenditures'!$E$5:$W$5,0)),"NA")</f>
        <v>1400.6314451372921</v>
      </c>
      <c r="K1196" s="125">
        <f t="shared" ca="1" si="2144"/>
        <v>10.227319789246383</v>
      </c>
      <c r="L1196" s="47"/>
      <c r="M1196" s="131">
        <f t="shared" ca="1" si="2151"/>
        <v>-0.16180338467875541</v>
      </c>
      <c r="N1196" s="131"/>
      <c r="O1196" s="131"/>
      <c r="P1196" s="59">
        <f t="shared" ca="1" si="2153"/>
        <v>-6.6529148509124621E-5</v>
      </c>
      <c r="Q1196" s="61"/>
      <c r="R1196" s="387"/>
      <c r="S1196" s="49">
        <f t="shared" ca="1" si="2158"/>
        <v>303.99973465294124</v>
      </c>
      <c r="T1196" s="61">
        <f ca="1">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</f>
        <v>0.90859454580576127</v>
      </c>
      <c r="U1196" s="61"/>
      <c r="V1196" s="125">
        <f>IFERROR(INDEX('Non-Labor Expenditures'!$E$7:$AA$91,MATCH($C1196,'Non-Labor Expenditures'!$C$7:$C$91,0),MATCH($G1196,'Non-Labor Expenditures'!$E$5:$AA$5,0)),"NA")</f>
        <v>2028.3759344275206</v>
      </c>
      <c r="W1196" s="125">
        <f t="shared" si="2145"/>
        <v>19.183399546299469</v>
      </c>
      <c r="X1196" s="131">
        <f t="shared" si="2154"/>
        <v>-0.14671805717717742</v>
      </c>
      <c r="Y1196" s="131">
        <f t="shared" si="2155"/>
        <v>-6.0326472368240177E-5</v>
      </c>
      <c r="Z1196" s="131"/>
      <c r="AA1196" s="131"/>
      <c r="AB1196" s="131"/>
      <c r="AC1196" s="125">
        <f t="shared" si="2124"/>
        <v>798.89640711308255</v>
      </c>
      <c r="AD1196" s="129"/>
      <c r="AE1196" s="133">
        <v>61.079538899173663</v>
      </c>
      <c r="AF1196" s="134">
        <v>3.00105639095288E-2</v>
      </c>
      <c r="AG1196" s="59">
        <f t="shared" si="2146"/>
        <v>1.2339527180742377E-5</v>
      </c>
      <c r="AH1196" s="134"/>
      <c r="AI1196" s="134"/>
      <c r="AJ1196" s="129">
        <f t="shared" si="2138"/>
        <v>4227.9037866778954</v>
      </c>
      <c r="AK1196" s="134">
        <f t="shared" si="2156"/>
        <v>-0.11815812389615156</v>
      </c>
      <c r="AL1196" s="129"/>
      <c r="AM1196" s="129"/>
      <c r="AN1196" s="129"/>
      <c r="AO1196" s="129"/>
      <c r="AP1196" s="133">
        <f t="shared" si="2157"/>
        <v>334.16881020217318</v>
      </c>
      <c r="AQ1196" s="134">
        <f>+BB1196/Outputs!$B$24</f>
        <v>3.4427797327921832E-4</v>
      </c>
      <c r="AR1196" s="93">
        <f t="shared" si="2147"/>
        <v>0.33128271498293671</v>
      </c>
      <c r="AS1196" s="93">
        <f t="shared" si="2148"/>
        <v>0.47975924637143436</v>
      </c>
      <c r="AT1196" s="93">
        <f t="shared" si="2149"/>
        <v>0.18895803864562891</v>
      </c>
      <c r="AU1196" s="93">
        <f t="shared" ca="1" si="2152"/>
        <v>-0.1196782266165549</v>
      </c>
      <c r="AV1196" s="132">
        <f t="shared" ca="1" si="2160"/>
        <v>77.917563941364705</v>
      </c>
      <c r="AW1196" s="134">
        <f t="shared" ca="1" si="2161"/>
        <v>-0.11967822661655486</v>
      </c>
      <c r="AX1196" s="135">
        <f>+AJ1196/$AL$21</f>
        <v>4.111727862875777E-4</v>
      </c>
      <c r="AY1196" s="135">
        <f t="shared" ca="1" si="2159"/>
        <v>-4.9208429895885004E-5</v>
      </c>
      <c r="AZ1196" s="93"/>
      <c r="BA1196" s="93"/>
      <c r="BB1196" s="234">
        <f>IFERROR(INDEX('Total Customers'!$E$7:$AA$91,MATCH($C1196,'Total Customers'!$C$7:$C$91,0),MATCH($G1196,'Total Customers'!$E$5:$AA$5,0)),"NA")</f>
        <v>12652</v>
      </c>
      <c r="BC1196" s="269">
        <f t="shared" si="2095"/>
        <v>6.5022828412463329E-3</v>
      </c>
      <c r="BD1196" s="92"/>
      <c r="BE1196" s="299" t="str">
        <f t="shared" si="2089"/>
        <v>SUPERIOR WATER, LIGHT AND POWER COMPANY</v>
      </c>
      <c r="BF1196" s="300">
        <f t="shared" si="2090"/>
        <v>4063281</v>
      </c>
      <c r="BG1196" s="231" t="str">
        <f t="shared" si="2091"/>
        <v>WI</v>
      </c>
      <c r="BH1196" s="231"/>
      <c r="BI1196" s="231" t="str">
        <f t="shared" si="2092"/>
        <v>2016 Y</v>
      </c>
      <c r="BJ1196" s="129"/>
      <c r="BK1196" s="129"/>
      <c r="BL1196" s="129">
        <f>INDEX('Dist. Plant Gas Additions'!$E$7:$AD$91,MATCH($C1196,'Dist. Plant Gas Additions'!$C$7:$C$91,0),MATCH(Calculation!$G1196,'Dist. Plant Gas Additions'!$E$5:$AD$5,0))</f>
        <v>1438</v>
      </c>
      <c r="BM1196" s="129">
        <f>INDEX('Gen. Plant Additions'!$E$7:$AD$91,MATCH($C1196,'Gen. Plant Additions'!$C$7:$C$91,0),MATCH(Calculation!$G1196,'Gen. Plant Additions'!$E$5:$AD$5,0))</f>
        <v>128</v>
      </c>
      <c r="BN1196" s="301">
        <f t="shared" si="2125"/>
        <v>0.94917461411773718</v>
      </c>
      <c r="BO1196" s="231">
        <f t="shared" si="2073"/>
        <v>121.49435060707036</v>
      </c>
      <c r="BP1196" s="231">
        <f t="shared" si="2074"/>
        <v>-6.5056493929296408</v>
      </c>
      <c r="BQ1196" s="129">
        <f>INDEX('Dist Plant Depreciation'!$D$7:$AC$94,MATCH($C1196,'Dist Plant Depreciation'!$C$7:$C$94,0),MATCH(Calculation!$G1196,'Dist Plant Depreciation'!$D$5:$AC$5,0))</f>
        <v>15821</v>
      </c>
      <c r="BR1196" s="129">
        <f>INDEX('Gen. Plant Depreciation'!$D$7:$AC$94,MATCH($C1196,'Gen. Plant Depreciation'!$C$7:$C$94,0),MATCH(Calculation!$G1196,'Gen. Plant Depreciation'!$D$5:$AC$5,0))</f>
        <v>521</v>
      </c>
      <c r="BS1196" s="129"/>
      <c r="BT1196" s="129"/>
      <c r="BU1196" s="129"/>
      <c r="BV1196" s="129"/>
      <c r="BW1196" s="129"/>
      <c r="BX1196" s="137"/>
      <c r="BY1196" s="129">
        <f>INDEX('Gross Dx Plant'!$D$7:$AC$91,MATCH($C1196,'Gross Dx Plant'!$C$7:$C$91,0),MATCH(Calculation!$G1196,'Gross Dx Plant'!$D$5:$AC$5,0))</f>
        <v>24782</v>
      </c>
      <c r="BZ1196" s="129">
        <f>INDEX('Gross Gen Plant'!$D$7:$AC$91,MATCH($C1196,'Gross Gen Plant'!$C$7:$C$91,0),MATCH(Calculation!$G1196,'Gross Gen Plant'!$D$5:$AC$5,0))</f>
        <v>1327</v>
      </c>
      <c r="CA1196" s="129">
        <f t="shared" si="2048"/>
        <v>9767</v>
      </c>
      <c r="CB1196" s="129"/>
      <c r="CC1196" s="133">
        <v>2016</v>
      </c>
      <c r="CD1196" s="129"/>
      <c r="CE1196" s="129"/>
      <c r="CF1196" s="129"/>
      <c r="CG1196" s="137"/>
      <c r="CH1196" s="129">
        <f t="shared" si="2126"/>
        <v>1566</v>
      </c>
      <c r="CI1196" s="46">
        <f t="shared" si="2135"/>
        <v>1559.4943506070704</v>
      </c>
      <c r="CJ1196" s="231">
        <f t="shared" si="2127"/>
        <v>2.322554919229642</v>
      </c>
      <c r="CK1196" s="443">
        <v>0.7857142857142857</v>
      </c>
      <c r="CL1196" s="231">
        <f>+CL1178*CK1196+CJ1179*CK1195+CJ1180*CK1194+CJ1181*CK1193+CJ1182*CK1192+CJ1183*CK1191+CJ1184*CK1190+CJ1185*CK1189+CJ1186*CK1188+CJ1187*CK1187+CJ1188*CK1186+CJ1189*CK1185+CJ1190*CK1184+CJ1191*CK1183+CJ1192*CK1182+CJ1193*CK1181+CJ1194*CK1180+CJ1195*CK1179+CJ1196</f>
        <v>55.927264331141473</v>
      </c>
      <c r="CM1196" s="134">
        <f t="shared" si="2128"/>
        <v>2.6253781738827513E-2</v>
      </c>
      <c r="CN1196" s="135">
        <f t="shared" si="2129"/>
        <v>1.603139423449686E-2</v>
      </c>
      <c r="CO1196" s="135">
        <f t="shared" si="2139"/>
        <v>1.554091710629866E-2</v>
      </c>
      <c r="CP1196" s="134">
        <f>VLOOKUP($H1196,RoR!$E:$F,2,FALSE)</f>
        <v>3.6658333333333334E-2</v>
      </c>
      <c r="CQ1196" s="135">
        <v>1.0483662879041455E-2</v>
      </c>
      <c r="CR1196" s="135">
        <f t="shared" si="2136"/>
        <v>2.6174670454291879E-2</v>
      </c>
      <c r="CS1196" s="135">
        <f t="shared" si="2140"/>
        <v>1.5361024502234965E-2</v>
      </c>
      <c r="CT1196" s="135">
        <f t="shared" si="2141"/>
        <v>4.301363574220729E-3</v>
      </c>
      <c r="CU1196" s="139">
        <f t="shared" si="2130"/>
        <v>0.85150049999999999</v>
      </c>
      <c r="CV1196" s="335">
        <f t="shared" si="2131"/>
        <v>1.3989193348138562</v>
      </c>
      <c r="CW1196" s="335">
        <f t="shared" si="2132"/>
        <v>0.29302682427824522</v>
      </c>
      <c r="CX1196" s="335">
        <f t="shared" si="2133"/>
        <v>0.76309497491941802</v>
      </c>
      <c r="CY1196" s="335">
        <f t="shared" si="2134"/>
        <v>0.31280857135128509</v>
      </c>
      <c r="CZ1196" s="336">
        <f>INDEX('State Tax Lookup'!$D$7:$Z$91,MATCH(Calculation!$C1196,'State Tax Lookup'!$B$7:$B$91,0),MATCH($H1196,'State Tax Lookup'!$D$6:$Z$6,0))</f>
        <v>0.40134999999999998</v>
      </c>
      <c r="DA1196" s="302">
        <v>0.37</v>
      </c>
      <c r="DB1196" s="57">
        <f t="shared" si="2137"/>
        <v>14.664550791939336</v>
      </c>
      <c r="DC1196" s="56">
        <f t="shared" si="2142"/>
        <v>-3.4094096692133889E-2</v>
      </c>
      <c r="DD1196" s="303">
        <f>VLOOKUP($H1196,RoR!$E:$F,2,FALSE)</f>
        <v>3.6658333333333334E-2</v>
      </c>
      <c r="DE1196" s="304">
        <f>HLOOKUP($H1196,'GDP-PI'!$D$8:$CQ$11,3,FALSE)</f>
        <v>1.0483662879041455E-2</v>
      </c>
      <c r="DF1196" s="303">
        <f>VLOOKUP(H1196,'HW Dx Data'!$E:$F,2,FALSE)</f>
        <v>671.45639385971219</v>
      </c>
      <c r="DG1196" s="364">
        <f ca="1">VLOOKUP(CC1196,'ECI - Input Price'!M$13:N$33,2,FALSE)</f>
        <v>136.94999999999999</v>
      </c>
      <c r="DH1196" s="364"/>
      <c r="DI1196" s="364"/>
      <c r="DJ1196" s="56">
        <f t="shared" ca="1" si="2150"/>
        <v>2.5514417868782811E-2</v>
      </c>
      <c r="DK1196" s="53">
        <f>HLOOKUP(H1196,'GDP-PI'!$8:$9,2,FALSE)</f>
        <v>105.736</v>
      </c>
      <c r="DL1196" s="355">
        <f t="shared" si="2143"/>
        <v>1.0429090367205095E-2</v>
      </c>
    </row>
    <row r="1197" spans="1:116" s="126" customFormat="1" ht="21" customHeight="1" x14ac:dyDescent="0.4">
      <c r="A1197" s="233" t="s">
        <v>252</v>
      </c>
      <c r="B1197" s="126" t="s">
        <v>252</v>
      </c>
      <c r="C1197" s="126">
        <v>4063281</v>
      </c>
      <c r="D1197" s="127" t="s">
        <v>214</v>
      </c>
      <c r="E1197" s="127"/>
      <c r="F1197" s="144"/>
      <c r="G1197" s="126" t="s">
        <v>173</v>
      </c>
      <c r="H1197" s="128">
        <v>2017</v>
      </c>
      <c r="I1197" s="129"/>
      <c r="J1197" s="125">
        <f>IFERROR(INDEX('Labor Expenditures'!$E$7:$W$91,MATCH($C1197,'Labor Expenditures'!$C$7:$C$91,0),MATCH($G1197,'Labor Expenditures'!$E$5:$W$5,0)),"NA")</f>
        <v>1383.0778572526083</v>
      </c>
      <c r="K1197" s="125">
        <f t="shared" ca="1" si="2144"/>
        <v>9.8474749537387574</v>
      </c>
      <c r="L1197" s="47"/>
      <c r="M1197" s="131">
        <f t="shared" ca="1" si="2151"/>
        <v>-3.7847478004204585E-2</v>
      </c>
      <c r="N1197" s="131"/>
      <c r="O1197" s="131"/>
      <c r="P1197" s="59">
        <f t="shared" ca="1" si="2153"/>
        <v>-1.5141527347331423E-5</v>
      </c>
      <c r="Q1197" s="61"/>
      <c r="R1197" s="387"/>
      <c r="S1197" s="49">
        <f t="shared" ca="1" si="2158"/>
        <v>170.58377637666163</v>
      </c>
      <c r="T1197" s="61">
        <f ca="1">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</f>
        <v>-0.57780029545857914</v>
      </c>
      <c r="U1197" s="61"/>
      <c r="V1197" s="125">
        <f>IFERROR(INDEX('Non-Labor Expenditures'!$E$7:$AA$91,MATCH($C1197,'Non-Labor Expenditures'!$C$7:$C$91,0),MATCH($G1197,'Non-Labor Expenditures'!$E$5:$AA$5,0)),"NA")</f>
        <v>2002.9550606125244</v>
      </c>
      <c r="W1197" s="125">
        <f t="shared" si="2145"/>
        <v>18.588737558004329</v>
      </c>
      <c r="X1197" s="131">
        <f t="shared" si="2154"/>
        <v>-3.1489408390784249E-2</v>
      </c>
      <c r="Y1197" s="131">
        <f t="shared" si="2155"/>
        <v>-1.2597873450045428E-5</v>
      </c>
      <c r="Z1197" s="131"/>
      <c r="AA1197" s="131"/>
      <c r="AB1197" s="131"/>
      <c r="AC1197" s="125">
        <f t="shared" si="2124"/>
        <v>726.30677883994656</v>
      </c>
      <c r="AD1197" s="129"/>
      <c r="AE1197" s="133">
        <v>64.511394804252049</v>
      </c>
      <c r="AF1197" s="134">
        <v>5.4664940637865131E-2</v>
      </c>
      <c r="AG1197" s="59">
        <f t="shared" si="2146"/>
        <v>2.1869639332811844E-5</v>
      </c>
      <c r="AH1197" s="134"/>
      <c r="AI1197" s="134"/>
      <c r="AJ1197" s="129">
        <f t="shared" si="2138"/>
        <v>4112.3396967050794</v>
      </c>
      <c r="AK1197" s="134">
        <f t="shared" si="2156"/>
        <v>-2.7714175716232869E-2</v>
      </c>
      <c r="AL1197" s="129"/>
      <c r="AM1197" s="129"/>
      <c r="AN1197" s="129"/>
      <c r="AO1197" s="129"/>
      <c r="AP1197" s="133">
        <f t="shared" si="2157"/>
        <v>323.37341328183373</v>
      </c>
      <c r="AQ1197" s="134">
        <f>+BB1197/Outputs!$B$25</f>
        <v>3.4344680698446088E-4</v>
      </c>
      <c r="AR1197" s="93">
        <f t="shared" si="2147"/>
        <v>0.3363238349110042</v>
      </c>
      <c r="AS1197" s="93">
        <f t="shared" si="2148"/>
        <v>0.48705972957860161</v>
      </c>
      <c r="AT1197" s="93">
        <f t="shared" si="2149"/>
        <v>0.17661643551039416</v>
      </c>
      <c r="AU1197" s="93">
        <f t="shared" ca="1" si="2152"/>
        <v>-1.786383742888329E-2</v>
      </c>
      <c r="AV1197" s="132">
        <f t="shared" ca="1" si="2160"/>
        <v>76.538015943049032</v>
      </c>
      <c r="AW1197" s="134">
        <f t="shared" ca="1" si="2161"/>
        <v>-1.7863837428883228E-2</v>
      </c>
      <c r="AX1197" s="135">
        <f>+AJ1197/$AL$22</f>
        <v>4.0006700963401862E-4</v>
      </c>
      <c r="AY1197" s="135">
        <f t="shared" ca="1" si="2159"/>
        <v>-7.1467320207615684E-6</v>
      </c>
      <c r="AZ1197" s="93"/>
      <c r="BA1197" s="93"/>
      <c r="BB1197" s="234">
        <f>IFERROR(INDEX('Total Customers'!$E$7:$AA$91,MATCH($C1197,'Total Customers'!$C$7:$C$91,0),MATCH($G1197,'Total Customers'!$E$5:$AA$5,0)),"NA")</f>
        <v>12717</v>
      </c>
      <c r="BC1197" s="269">
        <f t="shared" si="2095"/>
        <v>5.1243755952073977E-3</v>
      </c>
      <c r="BD1197" s="92"/>
      <c r="BE1197" s="299" t="str">
        <f t="shared" si="2089"/>
        <v>SUPERIOR WATER, LIGHT AND POWER COMPANY</v>
      </c>
      <c r="BF1197" s="300">
        <f t="shared" si="2090"/>
        <v>4063281</v>
      </c>
      <c r="BG1197" s="231" t="str">
        <f t="shared" si="2091"/>
        <v>WI</v>
      </c>
      <c r="BH1197" s="231"/>
      <c r="BI1197" s="231" t="str">
        <f t="shared" si="2092"/>
        <v>2017 Y</v>
      </c>
      <c r="BJ1197" s="129"/>
      <c r="BK1197" s="129"/>
      <c r="BL1197" s="129">
        <f>INDEX('Dist. Plant Gas Additions'!$E$7:$AD$91,MATCH($C1197,'Dist. Plant Gas Additions'!$C$7:$C$91,0),MATCH(Calculation!$G1197,'Dist. Plant Gas Additions'!$E$5:$AD$5,0))</f>
        <v>2475</v>
      </c>
      <c r="BM1197" s="129">
        <f>INDEX('Gen. Plant Additions'!$E$7:$AD$91,MATCH($C1197,'Gen. Plant Additions'!$C$7:$C$91,0),MATCH(Calculation!$G1197,'Gen. Plant Additions'!$E$5:$AD$5,0))</f>
        <v>368</v>
      </c>
      <c r="BN1197" s="301">
        <f t="shared" si="2125"/>
        <v>0.94040293941844522</v>
      </c>
      <c r="BO1197" s="231">
        <f t="shared" si="2073"/>
        <v>346.06828170598783</v>
      </c>
      <c r="BP1197" s="231">
        <f t="shared" si="2074"/>
        <v>-21.931718294012171</v>
      </c>
      <c r="BQ1197" s="129">
        <f>INDEX('Dist Plant Depreciation'!$D$7:$AC$94,MATCH($C1197,'Dist Plant Depreciation'!$C$7:$C$94,0),MATCH(Calculation!$G1197,'Dist Plant Depreciation'!$D$5:$AC$5,0))</f>
        <v>16773</v>
      </c>
      <c r="BR1197" s="129">
        <f>INDEX('Gen. Plant Depreciation'!$D$7:$AC$94,MATCH($C1197,'Gen. Plant Depreciation'!$C$7:$C$94,0),MATCH(Calculation!$G1197,'Gen. Plant Depreciation'!$D$5:$AC$5,0))</f>
        <v>474</v>
      </c>
      <c r="BS1197" s="129"/>
      <c r="BT1197" s="129"/>
      <c r="BU1197" s="129"/>
      <c r="BV1197" s="129"/>
      <c r="BW1197" s="129"/>
      <c r="BX1197" s="137"/>
      <c r="BY1197" s="129">
        <f>INDEX('Gross Dx Plant'!$D$7:$AC$91,MATCH($C1197,'Gross Dx Plant'!$C$7:$C$91,0),MATCH(Calculation!$G1197,'Gross Dx Plant'!$D$5:$AC$5,0))</f>
        <v>26746</v>
      </c>
      <c r="BZ1197" s="129">
        <f>INDEX('Gross Gen Plant'!$D$7:$AC$91,MATCH($C1197,'Gross Gen Plant'!$C$7:$C$91,0),MATCH(Calculation!$G1197,'Gross Gen Plant'!$D$5:$AC$5,0))</f>
        <v>1695</v>
      </c>
      <c r="CA1197" s="129">
        <f t="shared" si="2048"/>
        <v>11194</v>
      </c>
      <c r="CB1197" s="129"/>
      <c r="CC1197" s="133">
        <v>2017</v>
      </c>
      <c r="CD1197" s="129"/>
      <c r="CE1197" s="129"/>
      <c r="CF1197" s="129"/>
      <c r="CG1197" s="137"/>
      <c r="CH1197" s="129">
        <f t="shared" si="2126"/>
        <v>2843</v>
      </c>
      <c r="CI1197" s="46">
        <f t="shared" si="2135"/>
        <v>2821.0682817059878</v>
      </c>
      <c r="CJ1197" s="231">
        <f t="shared" si="2127"/>
        <v>3.9597909829019837</v>
      </c>
      <c r="CK1197" s="443">
        <v>0.77108433734939763</v>
      </c>
      <c r="CL1197" s="231">
        <f>+CL1178*CK1197+CJ1179*CK1196+CJ1180*CK1195+CJ1181*CK1194+CJ1182*CK1193+CJ1183*CK1192+CJ1184*CK1191+CJ1185*CK1190+CJ1186*CK1189+CJ1187*CK1188+CJ1188*CK1187+CJ1189*CK1186+CJ1190*CK1185+CJ1191*CK1184+CJ1192*CK1183+CJ1193*CK1182+CJ1194*CK1181+CJ1195*CK1180+CJ1196*CK1179+CJ1197</f>
        <v>58.970220799218644</v>
      </c>
      <c r="CM1197" s="134">
        <f t="shared" si="2128"/>
        <v>5.2980589001735461E-2</v>
      </c>
      <c r="CN1197" s="135">
        <f t="shared" si="2129"/>
        <v>1.6393337414043675E-2</v>
      </c>
      <c r="CO1197" s="135">
        <f t="shared" si="2139"/>
        <v>1.5976305971230134E-2</v>
      </c>
      <c r="CP1197" s="134">
        <f>VLOOKUP($H1197,RoR!$E:$F,2,FALSE)</f>
        <v>3.7433333333333339E-2</v>
      </c>
      <c r="CQ1197" s="135">
        <v>1.9056896421275615E-2</v>
      </c>
      <c r="CR1197" s="135">
        <f t="shared" si="2136"/>
        <v>1.8376436912057724E-2</v>
      </c>
      <c r="CS1197" s="135">
        <f t="shared" si="2140"/>
        <v>1.4925635637303491E-2</v>
      </c>
      <c r="CT1197" s="135">
        <f t="shared" si="2141"/>
        <v>1.3976271617800498E-2</v>
      </c>
      <c r="CU1197" s="139">
        <f t="shared" si="2130"/>
        <v>0.90330050000000006</v>
      </c>
      <c r="CV1197" s="335">
        <f t="shared" si="2131"/>
        <v>1.3699568463593395</v>
      </c>
      <c r="CW1197" s="335">
        <f t="shared" si="2132"/>
        <v>0.30714603739982199</v>
      </c>
      <c r="CX1197" s="335">
        <f t="shared" si="2133"/>
        <v>0.77007188472689425</v>
      </c>
      <c r="CY1197" s="335">
        <f t="shared" si="2134"/>
        <v>0.32402839633793828</v>
      </c>
      <c r="CZ1197" s="336">
        <f>INDEX('State Tax Lookup'!$D$7:$Z$91,MATCH(Calculation!$C1197,'State Tax Lookup'!$B$7:$B$91,0),MATCH($H1197,'State Tax Lookup'!$D$6:$Z$6,0))</f>
        <v>0.26134999999999997</v>
      </c>
      <c r="DA1197" s="302">
        <v>0.37</v>
      </c>
      <c r="DB1197" s="57">
        <f t="shared" si="2137"/>
        <v>12.986631610291793</v>
      </c>
      <c r="DC1197" s="56">
        <f t="shared" si="2142"/>
        <v>-0.12151257996738689</v>
      </c>
      <c r="DD1197" s="303">
        <f>VLOOKUP($H1197,RoR!$E:$F,2,FALSE)</f>
        <v>3.7433333333333339E-2</v>
      </c>
      <c r="DE1197" s="304">
        <f>HLOOKUP($H1197,'GDP-PI'!$D$8:$CQ$11,3,FALSE)</f>
        <v>1.9056896421275615E-2</v>
      </c>
      <c r="DF1197" s="303">
        <f>VLOOKUP(H1197,'HW Dx Data'!$E:$F,2,FALSE)</f>
        <v>712.42858370229726</v>
      </c>
      <c r="DG1197" s="364">
        <f ca="1">VLOOKUP(CC1197,'ECI - Input Price'!M$13:N$33,2,FALSE)</f>
        <v>140.44999999999999</v>
      </c>
      <c r="DH1197" s="364"/>
      <c r="DI1197" s="364"/>
      <c r="DJ1197" s="56">
        <f t="shared" ca="1" si="2150"/>
        <v>2.5235657841165486E-2</v>
      </c>
      <c r="DK1197" s="53">
        <f>HLOOKUP(H1197,'GDP-PI'!$8:$9,2,FALSE)</f>
        <v>107.751</v>
      </c>
      <c r="DL1197" s="355">
        <f t="shared" si="2143"/>
        <v>1.8877588227745139E-2</v>
      </c>
    </row>
    <row r="1198" spans="1:116" s="126" customFormat="1" ht="21" customHeight="1" x14ac:dyDescent="0.4">
      <c r="A1198" s="233" t="s">
        <v>252</v>
      </c>
      <c r="B1198" s="126" t="s">
        <v>252</v>
      </c>
      <c r="C1198" s="126">
        <v>4063281</v>
      </c>
      <c r="D1198" s="127" t="s">
        <v>214</v>
      </c>
      <c r="E1198" s="127"/>
      <c r="F1198" s="144"/>
      <c r="G1198" s="126" t="s">
        <v>174</v>
      </c>
      <c r="H1198" s="128">
        <v>2018</v>
      </c>
      <c r="I1198" s="129"/>
      <c r="J1198" s="125">
        <f>IFERROR(INDEX('Labor Expenditures'!$E$7:$W$91,MATCH($C1198,'Labor Expenditures'!$C$7:$C$91,0),MATCH($G1198,'Labor Expenditures'!$E$5:$W$5,0)),"NA")</f>
        <v>1439.1617637630518</v>
      </c>
      <c r="K1198" s="125">
        <f t="shared" ca="1" si="2144"/>
        <v>9.9630444012672346</v>
      </c>
      <c r="L1198" s="47"/>
      <c r="M1198" s="131">
        <f t="shared" ca="1" si="2151"/>
        <v>1.1667615222477796E-2</v>
      </c>
      <c r="N1198" s="131"/>
      <c r="O1198" s="131"/>
      <c r="P1198" s="59">
        <f t="shared" ca="1" si="2153"/>
        <v>4.5230626119954746E-6</v>
      </c>
      <c r="Q1198" s="61"/>
      <c r="R1198" s="387"/>
      <c r="S1198" s="49">
        <f t="shared" ca="1" si="2158"/>
        <v>117.34031269091876</v>
      </c>
      <c r="T1198" s="61">
        <f ca="1">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</f>
        <v>-0.37414816477292079</v>
      </c>
      <c r="U1198" s="61"/>
      <c r="V1198" s="125">
        <f>IFERROR(INDEX('Non-Labor Expenditures'!$E$7:$AA$91,MATCH($C1198,'Non-Labor Expenditures'!$C$7:$C$91,0),MATCH($G1198,'Non-Labor Expenditures'!$E$5:$AA$5,0)),"NA")</f>
        <v>2084.1750322684629</v>
      </c>
      <c r="W1198" s="125">
        <f t="shared" si="2145"/>
        <v>18.891744459568017</v>
      </c>
      <c r="X1198" s="131">
        <f t="shared" si="2154"/>
        <v>1.6169135867960583E-2</v>
      </c>
      <c r="Y1198" s="131">
        <f t="shared" si="2155"/>
        <v>6.2681201357886733E-6</v>
      </c>
      <c r="Z1198" s="131"/>
      <c r="AA1198" s="131"/>
      <c r="AB1198" s="131"/>
      <c r="AC1198" s="125">
        <f t="shared" si="2124"/>
        <v>790.51842080880556</v>
      </c>
      <c r="AD1198" s="129"/>
      <c r="AE1198" s="133">
        <v>68.117734341620917</v>
      </c>
      <c r="AF1198" s="134">
        <v>5.4395723599218779E-2</v>
      </c>
      <c r="AG1198" s="59">
        <f t="shared" si="2146"/>
        <v>2.1087022409693164E-5</v>
      </c>
      <c r="AH1198" s="134"/>
      <c r="AI1198" s="134"/>
      <c r="AJ1198" s="129">
        <f t="shared" si="2138"/>
        <v>4313.8552168403203</v>
      </c>
      <c r="AK1198" s="134">
        <f t="shared" si="2156"/>
        <v>4.7839850363485668E-2</v>
      </c>
      <c r="AL1198" s="129"/>
      <c r="AM1198" s="129"/>
      <c r="AN1198" s="129"/>
      <c r="AO1198" s="129"/>
      <c r="AP1198" s="133">
        <f t="shared" si="2157"/>
        <v>337.83814056232438</v>
      </c>
      <c r="AQ1198" s="134">
        <f>+BB1198/Outputs!$B$26</f>
        <v>3.4183100200788568E-4</v>
      </c>
      <c r="AR1198" s="93">
        <f t="shared" si="2147"/>
        <v>0.33361383065080347</v>
      </c>
      <c r="AS1198" s="93">
        <f t="shared" si="2148"/>
        <v>0.4831351372508545</v>
      </c>
      <c r="AT1198" s="93">
        <f t="shared" si="2149"/>
        <v>0.18325103209834198</v>
      </c>
      <c r="AU1198" s="93">
        <f t="shared" ca="1" si="2152"/>
        <v>2.1539519412689605E-2</v>
      </c>
      <c r="AV1198" s="132">
        <f t="shared" ca="1" si="2160"/>
        <v>78.204491130869243</v>
      </c>
      <c r="AW1198" s="134">
        <f t="shared" ca="1" si="2161"/>
        <v>2.1539519412689667E-2</v>
      </c>
      <c r="AX1198" s="135">
        <f>+AJ1198/$AL$23</f>
        <v>3.8765956245126617E-4</v>
      </c>
      <c r="AY1198" s="135">
        <f t="shared" ca="1" si="2159"/>
        <v>8.3500006709338299E-6</v>
      </c>
      <c r="AZ1198" s="93"/>
      <c r="BA1198" s="93"/>
      <c r="BB1198" s="234">
        <f>IFERROR(INDEX('Total Customers'!$E$7:$AA$91,MATCH($C1198,'Total Customers'!$C$7:$C$91,0),MATCH($G1198,'Total Customers'!$E$5:$AA$5,0)),"NA")</f>
        <v>12769</v>
      </c>
      <c r="BC1198" s="269">
        <f t="shared" si="2095"/>
        <v>4.0806774039342476E-3</v>
      </c>
      <c r="BD1198" s="92"/>
      <c r="BE1198" s="299" t="str">
        <f t="shared" si="2089"/>
        <v>SUPERIOR WATER, LIGHT AND POWER COMPANY</v>
      </c>
      <c r="BF1198" s="300">
        <f t="shared" si="2090"/>
        <v>4063281</v>
      </c>
      <c r="BG1198" s="231" t="str">
        <f t="shared" si="2091"/>
        <v>WI</v>
      </c>
      <c r="BH1198" s="231"/>
      <c r="BI1198" s="231" t="str">
        <f t="shared" si="2092"/>
        <v>2018 Y</v>
      </c>
      <c r="BJ1198" s="129"/>
      <c r="BK1198" s="129"/>
      <c r="BL1198" s="129">
        <f>INDEX('Dist. Plant Gas Additions'!$E$7:$AD$91,MATCH($C1198,'Dist. Plant Gas Additions'!$C$7:$C$91,0),MATCH(Calculation!$G1198,'Dist. Plant Gas Additions'!$E$5:$AD$5,0))</f>
        <v>2761</v>
      </c>
      <c r="BM1198" s="129">
        <f>INDEX('Gen. Plant Additions'!$E$7:$AD$91,MATCH($C1198,'Gen. Plant Additions'!$C$7:$C$91,0),MATCH(Calculation!$G1198,'Gen. Plant Additions'!$E$5:$AD$5,0))</f>
        <v>416</v>
      </c>
      <c r="BN1198" s="301">
        <f t="shared" si="2125"/>
        <v>0.9330664887702913</v>
      </c>
      <c r="BO1198" s="231">
        <f t="shared" si="2073"/>
        <v>388.15565932844117</v>
      </c>
      <c r="BP1198" s="231">
        <f t="shared" si="2074"/>
        <v>-27.844340671558825</v>
      </c>
      <c r="BQ1198" s="129">
        <f>INDEX('Dist Plant Depreciation'!$D$7:$AC$94,MATCH($C1198,'Dist Plant Depreciation'!$C$7:$C$94,0),MATCH(Calculation!$G1198,'Dist Plant Depreciation'!$D$5:$AC$5,0))</f>
        <v>17587</v>
      </c>
      <c r="BR1198" s="129">
        <f>INDEX('Gen. Plant Depreciation'!$D$7:$AC$94,MATCH($C1198,'Gen. Plant Depreciation'!$C$7:$C$94,0),MATCH(Calculation!$G1198,'Gen. Plant Depreciation'!$D$5:$AC$5,0))</f>
        <v>494</v>
      </c>
      <c r="BS1198" s="129"/>
      <c r="BT1198" s="129"/>
      <c r="BU1198" s="129"/>
      <c r="BV1198" s="129"/>
      <c r="BW1198" s="129"/>
      <c r="BX1198" s="137"/>
      <c r="BY1198" s="129">
        <f>INDEX('Gross Dx Plant'!$D$7:$AC$91,MATCH($C1198,'Gross Dx Plant'!$C$7:$C$91,0),MATCH(Calculation!$G1198,'Gross Dx Plant'!$D$5:$AC$5,0))</f>
        <v>29372</v>
      </c>
      <c r="BZ1198" s="129">
        <f>INDEX('Gross Gen Plant'!$D$7:$AC$91,MATCH($C1198,'Gross Gen Plant'!$C$7:$C$91,0),MATCH(Calculation!$G1198,'Gross Gen Plant'!$D$5:$AC$5,0))</f>
        <v>2107</v>
      </c>
      <c r="CA1198" s="129">
        <f t="shared" si="2048"/>
        <v>13398</v>
      </c>
      <c r="CB1198" s="129"/>
      <c r="CC1198" s="133">
        <v>2018</v>
      </c>
      <c r="CD1198" s="129"/>
      <c r="CE1198" s="129"/>
      <c r="CF1198" s="129"/>
      <c r="CG1198" s="137"/>
      <c r="CH1198" s="129">
        <f t="shared" si="2126"/>
        <v>3177</v>
      </c>
      <c r="CI1198" s="46">
        <f t="shared" si="2135"/>
        <v>3149.1556593284413</v>
      </c>
      <c r="CJ1198" s="231">
        <f t="shared" si="2127"/>
        <v>4.1703119442067598</v>
      </c>
      <c r="CK1198" s="443">
        <v>0.75609756097560976</v>
      </c>
      <c r="CL1198" s="231">
        <f>+CL1178*CK1198++CJ1179*CK1197+CJ1180*CK1196+CJ1181*CK1195+CJ1182*CK1194+CJ1183*CK1193+CJ1184*CK1192+CJ1185*CK1191+CJ1186*CK1190+CJ1187*CK1189+CJ1188*CK1188+CJ1189*CK1187+CJ1190*CK1186+CJ1191*CK1185+CJ1192*CK1184+CJ1193*CK1183+CJ1194*CK1182+CJ1195*CK1181+CJ1196*CK1180+CJ1197*CK1179+CJ1198</f>
        <v>62.162822223506325</v>
      </c>
      <c r="CM1198" s="134">
        <f t="shared" si="2128"/>
        <v>5.2724523325883468E-2</v>
      </c>
      <c r="CN1198" s="135">
        <f t="shared" si="2129"/>
        <v>1.6579733069814691E-2</v>
      </c>
      <c r="CO1198" s="135">
        <f t="shared" si="2139"/>
        <v>1.6334821572785072E-2</v>
      </c>
      <c r="CP1198" s="134">
        <f>VLOOKUP($H1198,RoR!$E:$F,2,FALSE)</f>
        <v>3.9299999999999995E-2</v>
      </c>
      <c r="CQ1198" s="135">
        <v>2.386056741932796E-2</v>
      </c>
      <c r="CR1198" s="135">
        <f t="shared" si="2136"/>
        <v>1.5439432580672034E-2</v>
      </c>
      <c r="CS1198" s="135">
        <f t="shared" si="2140"/>
        <v>1.4567120035748553E-2</v>
      </c>
      <c r="CT1198" s="135">
        <f t="shared" si="2141"/>
        <v>3.8270792163076606E-2</v>
      </c>
      <c r="CU1198" s="139">
        <f t="shared" si="2130"/>
        <v>0.90330050000000006</v>
      </c>
      <c r="CV1198" s="335">
        <f t="shared" si="2131"/>
        <v>1.3048868010700074</v>
      </c>
      <c r="CW1198" s="335">
        <f t="shared" si="2132"/>
        <v>0.33886768447837151</v>
      </c>
      <c r="CX1198" s="335">
        <f t="shared" si="2133"/>
        <v>0.78602506232557801</v>
      </c>
      <c r="CY1198" s="335">
        <f t="shared" si="2134"/>
        <v>0.34756768162358759</v>
      </c>
      <c r="CZ1198" s="336">
        <f>INDEX('State Tax Lookup'!$D$7:$Z$91,MATCH(Calculation!$C1198,'State Tax Lookup'!$B$7:$B$91,0),MATCH($H1198,'State Tax Lookup'!$D$6:$Z$6,0))</f>
        <v>0.26134999999999997</v>
      </c>
      <c r="DA1198" s="302">
        <v>0.37</v>
      </c>
      <c r="DB1198" s="57">
        <f t="shared" si="2137"/>
        <v>13.405383430737976</v>
      </c>
      <c r="DC1198" s="56">
        <f t="shared" si="2142"/>
        <v>3.1735884150323621E-2</v>
      </c>
      <c r="DD1198" s="303">
        <f>VLOOKUP($H1198,RoR!$E:$F,2,FALSE)</f>
        <v>3.9299999999999995E-2</v>
      </c>
      <c r="DE1198" s="304">
        <f>HLOOKUP($H1198,'GDP-PI'!$D$8:$CQ$11,3,FALSE)</f>
        <v>2.386056741932796E-2</v>
      </c>
      <c r="DF1198" s="303">
        <f>VLOOKUP(H1198,'HW Dx Data'!$E:$F,2,FALSE)</f>
        <v>755.13671434174842</v>
      </c>
      <c r="DG1198" s="364">
        <f ca="1">VLOOKUP(CC1198,'ECI - Input Price'!M$13:N$33,2,FALSE)</f>
        <v>144.44999999999999</v>
      </c>
      <c r="DH1198" s="364"/>
      <c r="DI1198" s="364"/>
      <c r="DJ1198" s="56">
        <f t="shared" ca="1" si="2150"/>
        <v>2.80818733619915E-2</v>
      </c>
      <c r="DK1198" s="53">
        <f>HLOOKUP(H1198,'GDP-PI'!$8:$9,2,FALSE)</f>
        <v>110.322</v>
      </c>
      <c r="DL1198" s="355">
        <f t="shared" si="2143"/>
        <v>2.3580352716508712E-2</v>
      </c>
    </row>
    <row r="1199" spans="1:116" s="126" customFormat="1" ht="21" customHeight="1" x14ac:dyDescent="0.4">
      <c r="A1199" s="233" t="s">
        <v>252</v>
      </c>
      <c r="B1199" s="126" t="s">
        <v>252</v>
      </c>
      <c r="C1199" s="126">
        <v>4063281</v>
      </c>
      <c r="D1199" s="127" t="s">
        <v>214</v>
      </c>
      <c r="E1199" s="127"/>
      <c r="F1199" s="144"/>
      <c r="G1199" s="126" t="s">
        <v>175</v>
      </c>
      <c r="H1199" s="128">
        <v>2019</v>
      </c>
      <c r="I1199" s="129"/>
      <c r="J1199" s="125">
        <f>IFERROR(INDEX('Labor Expenditures'!$E$7:$W$91,MATCH($C1199,'Labor Expenditures'!$C$7:$C$91,0),MATCH($G1199,'Labor Expenditures'!$E$5:$W$5,0)),"NA")</f>
        <v>1452.8549370943911</v>
      </c>
      <c r="K1199" s="125">
        <f t="shared" ca="1" si="2144"/>
        <v>9.7067308307625915</v>
      </c>
      <c r="L1199" s="47"/>
      <c r="M1199" s="131">
        <f t="shared" ca="1" si="2151"/>
        <v>-2.6063142718384294E-2</v>
      </c>
      <c r="N1199" s="131"/>
      <c r="O1199" s="131"/>
      <c r="P1199" s="59">
        <f t="shared" ca="1" si="2153"/>
        <v>-1.0054967537491949E-5</v>
      </c>
      <c r="Q1199" s="61"/>
      <c r="R1199" s="387"/>
      <c r="S1199" s="49">
        <f t="shared" ca="1" si="2158"/>
        <v>117.07595441489553</v>
      </c>
      <c r="T1199" s="61">
        <f ca="1">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</f>
        <v>-2.2554611192752167E-3</v>
      </c>
      <c r="U1199" s="61"/>
      <c r="V1199" s="125">
        <f>IFERROR(INDEX('Non-Labor Expenditures'!$E$7:$AA$91,MATCH($C1199,'Non-Labor Expenditures'!$C$7:$C$91,0),MATCH($G1199,'Non-Labor Expenditures'!$E$5:$AA$5,0)),"NA")</f>
        <v>2104.0053047842357</v>
      </c>
      <c r="W1199" s="125">
        <f t="shared" si="2145"/>
        <v>18.732574518636689</v>
      </c>
      <c r="X1199" s="131">
        <f t="shared" si="2154"/>
        <v>-8.4610642706143529E-3</v>
      </c>
      <c r="Y1199" s="131">
        <f t="shared" si="2155"/>
        <v>-3.2642159655462429E-6</v>
      </c>
      <c r="Z1199" s="131"/>
      <c r="AA1199" s="131"/>
      <c r="AB1199" s="131"/>
      <c r="AC1199" s="125">
        <f t="shared" si="2124"/>
        <v>838.51833314378973</v>
      </c>
      <c r="AD1199" s="129"/>
      <c r="AE1199" s="133">
        <v>70.883306197821355</v>
      </c>
      <c r="AF1199" s="134">
        <v>3.9797354782525635E-2</v>
      </c>
      <c r="AG1199" s="59">
        <f t="shared" si="2146"/>
        <v>1.5353524889156269E-5</v>
      </c>
      <c r="AH1199" s="134"/>
      <c r="AI1199" s="134"/>
      <c r="AJ1199" s="129">
        <f t="shared" si="2138"/>
        <v>4395.378575022416</v>
      </c>
      <c r="AK1199" s="134">
        <f t="shared" si="2156"/>
        <v>1.8721678918379243E-2</v>
      </c>
      <c r="AL1199" s="129"/>
      <c r="AM1199" s="129"/>
      <c r="AN1199" s="129"/>
      <c r="AO1199" s="129"/>
      <c r="AP1199" s="133">
        <f t="shared" si="2157"/>
        <v>343.01377985191323</v>
      </c>
      <c r="AQ1199" s="134">
        <f>+BB1199/Outputs!$B$27</f>
        <v>3.4020659147483272E-4</v>
      </c>
      <c r="AR1199" s="93">
        <f t="shared" si="2147"/>
        <v>0.330541479487232</v>
      </c>
      <c r="AS1199" s="93">
        <f t="shared" si="2148"/>
        <v>0.47868579892996033</v>
      </c>
      <c r="AT1199" s="93">
        <f t="shared" si="2149"/>
        <v>0.19077272158280778</v>
      </c>
      <c r="AU1199" s="93">
        <f t="shared" ca="1" si="2152"/>
        <v>-5.2814236854040221E-3</v>
      </c>
      <c r="AV1199" s="132">
        <f t="shared" ca="1" si="2160"/>
        <v>77.792548857485542</v>
      </c>
      <c r="AW1199" s="134">
        <f t="shared" ca="1" si="2161"/>
        <v>-5.2814236854041366E-3</v>
      </c>
      <c r="AX1199" s="135">
        <f>+AJ1199/$AL$24</f>
        <v>3.8579259785119561E-4</v>
      </c>
      <c r="AY1199" s="135">
        <f t="shared" ca="1" si="2159"/>
        <v>-2.0375341639448974E-6</v>
      </c>
      <c r="AZ1199" s="93"/>
      <c r="BA1199" s="93"/>
      <c r="BB1199" s="234">
        <f>IFERROR(INDEX('Total Customers'!$E$7:$AA$91,MATCH($C1199,'Total Customers'!$C$7:$C$91,0),MATCH($G1199,'Total Customers'!$E$5:$AA$5,0)),"NA")</f>
        <v>12814</v>
      </c>
      <c r="BC1199" s="269">
        <f t="shared" si="2095"/>
        <v>3.5179647742857364E-3</v>
      </c>
      <c r="BD1199" s="92"/>
      <c r="BE1199" s="299" t="str">
        <f t="shared" si="2089"/>
        <v>SUPERIOR WATER, LIGHT AND POWER COMPANY</v>
      </c>
      <c r="BF1199" s="300">
        <f t="shared" si="2090"/>
        <v>4063281</v>
      </c>
      <c r="BG1199" s="231" t="str">
        <f t="shared" si="2091"/>
        <v>WI</v>
      </c>
      <c r="BH1199" s="231"/>
      <c r="BI1199" s="231" t="str">
        <f t="shared" si="2092"/>
        <v>2019 Y</v>
      </c>
      <c r="BJ1199" s="129"/>
      <c r="BK1199" s="129"/>
      <c r="BL1199" s="129">
        <f>INDEX('Dist. Plant Gas Additions'!$E$7:$AD$91,MATCH($C1199,'Dist. Plant Gas Additions'!$C$7:$C$91,0),MATCH(Calculation!$G1199,'Dist. Plant Gas Additions'!$E$5:$AD$5,0))</f>
        <v>2188</v>
      </c>
      <c r="BM1199" s="129">
        <f>INDEX('Gen. Plant Additions'!$E$7:$AD$91,MATCH($C1199,'Gen. Plant Additions'!$C$7:$C$91,0),MATCH(Calculation!$G1199,'Gen. Plant Additions'!$E$5:$AD$5,0))</f>
        <v>451</v>
      </c>
      <c r="BN1199" s="301">
        <f t="shared" si="2125"/>
        <v>0.92492959399202068</v>
      </c>
      <c r="BO1199" s="231">
        <f t="shared" si="2073"/>
        <v>417.14324689040131</v>
      </c>
      <c r="BP1199" s="231">
        <f t="shared" si="2074"/>
        <v>-33.856753109598685</v>
      </c>
      <c r="BQ1199" s="129">
        <f>INDEX('Dist Plant Depreciation'!$D$7:$AC$94,MATCH($C1199,'Dist Plant Depreciation'!$C$7:$C$94,0),MATCH(Calculation!$G1199,'Dist Plant Depreciation'!$D$5:$AC$5,0))</f>
        <v>18624</v>
      </c>
      <c r="BR1199" s="129">
        <f>INDEX('Gen. Plant Depreciation'!$D$7:$AC$94,MATCH($C1199,'Gen. Plant Depreciation'!$C$7:$C$94,0),MATCH(Calculation!$G1199,'Gen. Plant Depreciation'!$D$5:$AC$5,0))</f>
        <v>856</v>
      </c>
      <c r="BS1199" s="129"/>
      <c r="BT1199" s="129"/>
      <c r="BU1199" s="129"/>
      <c r="BV1199" s="129"/>
      <c r="BW1199" s="129"/>
      <c r="BX1199" s="137"/>
      <c r="BY1199" s="129">
        <f>INDEX('Gross Dx Plant'!$D$7:$AC$91,MATCH($C1199,'Gross Dx Plant'!$C$7:$C$91,0),MATCH(Calculation!$G1199,'Gross Dx Plant'!$D$5:$AC$5,0))</f>
        <v>31529</v>
      </c>
      <c r="BZ1199" s="129">
        <f>INDEX('Gross Gen Plant'!$D$7:$AC$91,MATCH($C1199,'Gross Gen Plant'!$C$7:$C$91,0),MATCH(Calculation!$G1199,'Gross Gen Plant'!$D$5:$AC$5,0))</f>
        <v>2559</v>
      </c>
      <c r="CA1199" s="129">
        <f t="shared" ref="CA1199:CA1268" si="2162">IF(OR(BQ1199="NA",BR1199="NA"),"NA",(SUM(BY1199:BZ1199)-SUM(BQ1199:BR1199)))</f>
        <v>14608</v>
      </c>
      <c r="CB1199" s="129"/>
      <c r="CC1199" s="133">
        <v>2019</v>
      </c>
      <c r="CD1199" s="129"/>
      <c r="CE1199" s="129"/>
      <c r="CF1199" s="129"/>
      <c r="CG1199" s="137"/>
      <c r="CH1199" s="129">
        <f t="shared" si="2126"/>
        <v>2639</v>
      </c>
      <c r="CI1199" s="46">
        <f t="shared" si="2135"/>
        <v>2605.1432468904013</v>
      </c>
      <c r="CJ1199" s="231">
        <f t="shared" si="2127"/>
        <v>3.3678227516432324</v>
      </c>
      <c r="CK1199" s="443">
        <v>0.7407407407407407</v>
      </c>
      <c r="CL1199" s="231">
        <f>CL1178*CK1199+CJ1179*CK1198+CJ1180*CK1197+CJ1181*CK1196+CJ1182*CK1195+CJ1183*CK1194+CJ1184*CK1193+CJ1185*CK1192+CJ1186*CK1191+CJ1187*CK1190+CJ1188*CK1189+CJ1189*CK1188+CJ1190*CK1187+CJ1191*CK1186+CJ1192*CK1185+CJ1193*CK1184+CJ1194*CK1183+CJ1195*CK1182+CJ1196*CK1181+CJ1197*CK1180+CJ1198*CK1179+CJ1199</f>
        <v>64.48841004800255</v>
      </c>
      <c r="CM1199" s="134">
        <f t="shared" si="2128"/>
        <v>3.6728410882649928E-2</v>
      </c>
      <c r="CN1199" s="135">
        <f t="shared" si="2129"/>
        <v>1.6766209928494782E-2</v>
      </c>
      <c r="CO1199" s="135">
        <f t="shared" si="2139"/>
        <v>1.6579760137451049E-2</v>
      </c>
      <c r="CP1199" s="134">
        <f>VLOOKUP($H1199,RoR!$E:$F,2,FALSE)</f>
        <v>3.3875000000000009E-2</v>
      </c>
      <c r="CQ1199" s="135">
        <v>1.8092492884465461E-2</v>
      </c>
      <c r="CR1199" s="135">
        <f t="shared" si="2136"/>
        <v>1.5782507115534548E-2</v>
      </c>
      <c r="CS1199" s="135">
        <f t="shared" si="2140"/>
        <v>1.4322181471082576E-2</v>
      </c>
      <c r="CT1199" s="135">
        <f t="shared" si="2141"/>
        <v>4.8445665544254078E-2</v>
      </c>
      <c r="CU1199" s="139">
        <f t="shared" si="2130"/>
        <v>0.90330050000000006</v>
      </c>
      <c r="CV1199" s="335">
        <f t="shared" si="2131"/>
        <v>1.513861292459078</v>
      </c>
      <c r="CW1199" s="335">
        <f t="shared" si="2132"/>
        <v>0.23699261992619944</v>
      </c>
      <c r="CX1199" s="335">
        <f t="shared" si="2133"/>
        <v>0.73619765810468829</v>
      </c>
      <c r="CY1199" s="335">
        <f t="shared" si="2134"/>
        <v>0.26412854465362851</v>
      </c>
      <c r="CZ1199" s="336">
        <f>INDEX('State Tax Lookup'!$D$7:$Z$91,MATCH(Calculation!$C1199,'State Tax Lookup'!$B$7:$B$91,0),MATCH($H1199,'State Tax Lookup'!$D$6:$Z$6,0))</f>
        <v>0.26134999999999997</v>
      </c>
      <c r="DA1199" s="302">
        <v>0.37</v>
      </c>
      <c r="DB1199" s="57">
        <f t="shared" si="2137"/>
        <v>13.489064735975122</v>
      </c>
      <c r="DC1199" s="56">
        <f t="shared" si="2142"/>
        <v>6.2229628038210248E-3</v>
      </c>
      <c r="DD1199" s="303">
        <f>VLOOKUP($H1199,RoR!$E:$F,2,FALSE)</f>
        <v>3.3875000000000009E-2</v>
      </c>
      <c r="DE1199" s="304">
        <f>HLOOKUP($H1199,'GDP-PI'!$D$8:$CQ$11,3,FALSE)</f>
        <v>1.8092492884465461E-2</v>
      </c>
      <c r="DF1199" s="303">
        <f>VLOOKUP(H1199,'HW Dx Data'!$E:$F,2,FALSE)</f>
        <v>773.53929793938721</v>
      </c>
      <c r="DG1199" s="364">
        <f ca="1">VLOOKUP(CC1199,'ECI - Input Price'!M$13:N$33,2,FALSE)</f>
        <v>149.67500000000001</v>
      </c>
      <c r="DH1199" s="364"/>
      <c r="DI1199" s="364"/>
      <c r="DJ1199" s="56">
        <f t="shared" ca="1" si="2150"/>
        <v>3.5532849899171604E-2</v>
      </c>
      <c r="DK1199" s="53">
        <f>HLOOKUP(H1199,'GDP-PI'!$8:$9,2,FALSE)</f>
        <v>112.318</v>
      </c>
      <c r="DL1199" s="355">
        <f t="shared" si="2143"/>
        <v>1.7930771451401852E-2</v>
      </c>
    </row>
    <row r="1200" spans="1:116" s="126" customFormat="1" ht="21" customHeight="1" x14ac:dyDescent="0.4">
      <c r="A1200" s="233" t="s">
        <v>252</v>
      </c>
      <c r="B1200" s="126" t="s">
        <v>252</v>
      </c>
      <c r="C1200" s="126">
        <v>4063281</v>
      </c>
      <c r="D1200" s="126" t="s">
        <v>214</v>
      </c>
      <c r="G1200" s="127" t="s">
        <v>176</v>
      </c>
      <c r="H1200" s="128">
        <v>2020</v>
      </c>
      <c r="I1200" s="129"/>
      <c r="J1200" s="125">
        <f>IFERROR(INDEX('Labor Expenditures'!$E$7:$W$91,MATCH($C1200,'Labor Expenditures'!$C$7:$C$91,0),MATCH($G1200,'Labor Expenditures'!$E$5:$W$5,0)),"NA")</f>
        <v>1485.6332152052296</v>
      </c>
      <c r="K1200" s="125">
        <f t="shared" ca="1" si="2144"/>
        <v>9.7005107097958181</v>
      </c>
      <c r="L1200" s="47"/>
      <c r="M1200" s="131">
        <f t="shared" ca="1" si="2151"/>
        <v>-6.4101033284491311E-4</v>
      </c>
      <c r="N1200" s="131"/>
      <c r="O1200" s="131"/>
      <c r="P1200" s="59">
        <f t="shared" ca="1" si="2153"/>
        <v>-2.5069837376123255E-7</v>
      </c>
      <c r="Q1200" s="61"/>
      <c r="R1200" s="387"/>
      <c r="S1200" s="49">
        <f t="shared" ca="1" si="2158"/>
        <v>115.93128358141462</v>
      </c>
      <c r="T1200" s="61">
        <f ca="1">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</f>
        <v>-9.8252745434578917E-3</v>
      </c>
      <c r="U1200" s="61"/>
      <c r="V1200" s="125">
        <f>IFERROR(INDEX('Non-Labor Expenditures'!$E$7:$AA$91,MATCH($C1200,'Non-Labor Expenditures'!$C$7:$C$91,0),MATCH($G1200,'Non-Labor Expenditures'!$E$5:$AA$5,0)),"NA")</f>
        <v>2151.4743736265959</v>
      </c>
      <c r="W1200" s="125">
        <f t="shared" si="2145"/>
        <v>18.935201267583111</v>
      </c>
      <c r="X1200" s="131">
        <f t="shared" si="2154"/>
        <v>1.0758729403130324E-2</v>
      </c>
      <c r="Y1200" s="131">
        <f t="shared" si="2155"/>
        <v>4.2077261892664236E-6</v>
      </c>
      <c r="Z1200" s="131"/>
      <c r="AA1200" s="131"/>
      <c r="AB1200" s="131"/>
      <c r="AC1200" s="125">
        <f t="shared" si="2124"/>
        <v>900.45814103777843</v>
      </c>
      <c r="AD1200" s="129"/>
      <c r="AE1200" s="133">
        <v>72.111325440549379</v>
      </c>
      <c r="AF1200" s="134">
        <v>1.7176161362357712E-2</v>
      </c>
      <c r="AG1200" s="59">
        <f t="shared" si="2146"/>
        <v>6.7175761456023252E-6</v>
      </c>
      <c r="AH1200" s="134"/>
      <c r="AI1200" s="134"/>
      <c r="AJ1200" s="129">
        <f t="shared" si="2138"/>
        <v>4537.5657298696042</v>
      </c>
      <c r="AK1200" s="134">
        <f t="shared" si="2156"/>
        <v>3.1837020318691976E-2</v>
      </c>
      <c r="AL1200" s="129"/>
      <c r="AM1200" s="129"/>
      <c r="AN1200" s="129"/>
      <c r="AO1200" s="129"/>
      <c r="AP1200" s="133">
        <f t="shared" si="2157"/>
        <v>352.48704496773121</v>
      </c>
      <c r="AQ1200" s="134">
        <f>+BB1200/Outputs!$B$28</f>
        <v>3.3935956446826013E-4</v>
      </c>
      <c r="AR1200" s="93">
        <f t="shared" si="2147"/>
        <v>0.3274075360331854</v>
      </c>
      <c r="AS1200" s="93">
        <f t="shared" si="2148"/>
        <v>0.47414726346860497</v>
      </c>
      <c r="AT1200" s="93">
        <f t="shared" si="2149"/>
        <v>0.1984452004982096</v>
      </c>
      <c r="AU1200" s="93">
        <f t="shared" ca="1" si="2152"/>
        <v>8.2573954010267767E-3</v>
      </c>
      <c r="AV1200" s="132">
        <f t="shared" ca="1" si="2160"/>
        <v>78.437572133723677</v>
      </c>
      <c r="AW1200" s="134">
        <f t="shared" ca="1" si="2161"/>
        <v>8.2573954010267368E-3</v>
      </c>
      <c r="AX1200" s="135">
        <f>+AJ1200/$AL$25</f>
        <v>3.9109880280492582E-4</v>
      </c>
      <c r="AY1200" s="135">
        <f t="shared" ca="1" si="2159"/>
        <v>3.229457455628457E-6</v>
      </c>
      <c r="AZ1200" s="93"/>
      <c r="BA1200" s="93"/>
      <c r="BB1200" s="234">
        <f>IFERROR(INDEX('Total Customers'!$E$7:$AA$91,MATCH($C1200,'Total Customers'!$C$7:$C$91,0),MATCH($G1200,'Total Customers'!$E$5:$AA$5,0)),"NA")</f>
        <v>12873</v>
      </c>
      <c r="BC1200" s="269">
        <f t="shared" si="2095"/>
        <v>4.5937714606674677E-3</v>
      </c>
      <c r="BD1200" s="92"/>
      <c r="BE1200" s="299" t="str">
        <f t="shared" si="2089"/>
        <v>SUPERIOR WATER, LIGHT AND POWER COMPANY</v>
      </c>
      <c r="BF1200" s="300">
        <f t="shared" si="2090"/>
        <v>4063281</v>
      </c>
      <c r="BG1200" s="231" t="str">
        <f t="shared" si="2091"/>
        <v>WI</v>
      </c>
      <c r="BH1200" s="231"/>
      <c r="BI1200" s="231" t="str">
        <f t="shared" si="2092"/>
        <v>2020 Y</v>
      </c>
      <c r="BJ1200" s="129"/>
      <c r="BK1200" s="129"/>
      <c r="BL1200" s="129">
        <f>INDEX('Dist. Plant Gas Additions'!$E$7:$AD$91,MATCH($C1200,'Dist. Plant Gas Additions'!$C$7:$C$91,0),MATCH(Calculation!$G1200,'Dist. Plant Gas Additions'!$E$5:$AD$5,0))</f>
        <v>1436</v>
      </c>
      <c r="BM1200" s="129">
        <f>INDEX('Gen. Plant Additions'!$E$7:$AD$91,MATCH($C1200,'Gen. Plant Additions'!$C$7:$C$91,0),MATCH(Calculation!$G1200,'Gen. Plant Additions'!$E$5:$AD$5,0))</f>
        <v>123</v>
      </c>
      <c r="BN1200" s="301">
        <f t="shared" si="2125"/>
        <v>0.92459514170040491</v>
      </c>
      <c r="BO1200" s="231">
        <f t="shared" si="2073"/>
        <v>113.7252024291498</v>
      </c>
      <c r="BP1200" s="231">
        <f t="shared" si="2074"/>
        <v>-9.2747975708501968</v>
      </c>
      <c r="BQ1200" s="129">
        <f>INDEX('Dist Plant Depreciation'!$D$7:$AC$94,MATCH($C1200,'Dist Plant Depreciation'!$C$7:$C$94,0),MATCH(Calculation!$G1200,'Dist Plant Depreciation'!$D$5:$AC$5,0))</f>
        <v>19590</v>
      </c>
      <c r="BR1200" s="129">
        <f>INDEX('Gen. Plant Depreciation'!$D$7:$AC$94,MATCH($C1200,'Gen. Plant Depreciation'!$C$7:$C$94,0),MATCH(Calculation!$G1200,'Gen. Plant Depreciation'!$D$5:$AC$5,0))</f>
        <v>1000</v>
      </c>
      <c r="BS1200" s="129"/>
      <c r="BT1200" s="129"/>
      <c r="BU1200" s="129"/>
      <c r="BV1200" s="129"/>
      <c r="BW1200" s="129"/>
      <c r="BX1200" s="137"/>
      <c r="BY1200" s="129">
        <f>INDEX('Gross Dx Plant'!$D$7:$AC$91,MATCH($C1200,'Gross Dx Plant'!$C$7:$C$91,0),MATCH(Calculation!$G1200,'Gross Dx Plant'!$D$5:$AC$5,0))</f>
        <v>32886</v>
      </c>
      <c r="BZ1200" s="129">
        <f>INDEX('Gross Gen Plant'!$D$7:$AC$91,MATCH($C1200,'Gross Gen Plant'!$C$7:$C$91,0),MATCH(Calculation!$G1200,'Gross Gen Plant'!$D$5:$AC$5,0))</f>
        <v>2682</v>
      </c>
      <c r="CA1200" s="129">
        <f t="shared" si="2162"/>
        <v>14978</v>
      </c>
      <c r="CB1200" s="129"/>
      <c r="CC1200" s="133">
        <v>2020</v>
      </c>
      <c r="CD1200" s="129"/>
      <c r="CE1200" s="129"/>
      <c r="CF1200" s="129"/>
      <c r="CG1200" s="137"/>
      <c r="CH1200" s="129">
        <f t="shared" si="2126"/>
        <v>1559</v>
      </c>
      <c r="CI1200" s="46">
        <f t="shared" si="2135"/>
        <v>1549.7252024291497</v>
      </c>
      <c r="CJ1200" s="231">
        <f t="shared" si="2127"/>
        <v>1.9059931283314437</v>
      </c>
      <c r="CK1200" s="443">
        <v>0.72499999999999998</v>
      </c>
      <c r="CL1200" s="231">
        <f>CL1178*CK1200+CJ1179*CK1199+CJ1180*CK1198+CJ1181*CK1197+CJ1182*CK1196+CJ1183*CK1195+CJ1184*CK1194+CJ1185*CK1193+CJ1186*CK1192+CJ1187*CK1191+CJ1188*CK1190+CJ1189*CK1189+CJ1190*CK1188+CJ1191*CK1187+CJ1192*CK1186+CJ1193*CK1185+CJ1194*CK1184+CJ1195*CK1183+CJ1196*CK1182+CJ1197*CK1181+CJ1198*CK1180+CJ1199*CK1179+CJ1200</f>
        <v>65.293921804288516</v>
      </c>
      <c r="CM1200" s="134">
        <f t="shared" si="2128"/>
        <v>1.2413432374448807E-2</v>
      </c>
      <c r="CN1200" s="135">
        <f t="shared" si="2129"/>
        <v>1.7064793057021001E-2</v>
      </c>
      <c r="CO1200" s="135">
        <f t="shared" si="2139"/>
        <v>1.6803578685110159E-2</v>
      </c>
      <c r="CP1200" s="134">
        <f>VLOOKUP($H1200,RoR!$E:$F,2,FALSE)</f>
        <v>2.4766666666666666E-2</v>
      </c>
      <c r="CQ1200" s="135">
        <v>1.1618796630994188E-2</v>
      </c>
      <c r="CR1200" s="135">
        <f t="shared" si="2136"/>
        <v>1.3147870035672478E-2</v>
      </c>
      <c r="CS1200" s="135">
        <f t="shared" si="2140"/>
        <v>1.4098362923423466E-2</v>
      </c>
      <c r="CT1200" s="135">
        <f t="shared" si="2141"/>
        <v>4.5144642961987357E-2</v>
      </c>
      <c r="CU1200" s="139">
        <f t="shared" si="2130"/>
        <v>0.90330050000000006</v>
      </c>
      <c r="CV1200" s="335">
        <f t="shared" si="2131"/>
        <v>2.0706077233668081</v>
      </c>
      <c r="CW1200" s="335">
        <f t="shared" si="2132"/>
        <v>-3.4421265141318998E-2</v>
      </c>
      <c r="CX1200" s="335">
        <f t="shared" si="2133"/>
        <v>0.62416226176410472</v>
      </c>
      <c r="CY1200" s="335">
        <f t="shared" si="2134"/>
        <v>-4.4485877841158712E-2</v>
      </c>
      <c r="CZ1200" s="336">
        <f>INDEX('State Tax Lookup'!$D$7:$Z$91,MATCH(Calculation!$C1200,'State Tax Lookup'!$B$7:$B$91,0),MATCH($H1200,'State Tax Lookup'!$D$6:$Z$6,0))</f>
        <v>0.26134999999999997</v>
      </c>
      <c r="DA1200" s="302">
        <v>0.37</v>
      </c>
      <c r="DB1200" s="57">
        <f t="shared" si="2137"/>
        <v>13.96310035194718</v>
      </c>
      <c r="DC1200" s="56">
        <f t="shared" si="2142"/>
        <v>3.4538823280771201E-2</v>
      </c>
      <c r="DD1200" s="303">
        <f>VLOOKUP($H1200,RoR!$E:$F,2,FALSE)</f>
        <v>2.4766666666666666E-2</v>
      </c>
      <c r="DE1200" s="304">
        <f>HLOOKUP($H1200,'GDP-PI'!$D$8:$CQ$11,3,FALSE)</f>
        <v>1.1618796630994188E-2</v>
      </c>
      <c r="DF1200" s="303">
        <f>VLOOKUP(H1200,'HW Dx Data'!$E:$F,2,FALSE)</f>
        <v>813.080162458833</v>
      </c>
      <c r="DG1200" s="364">
        <f ca="1">VLOOKUP(CC1200,'ECI - Input Price'!M$13:N$33,2,FALSE)</f>
        <v>153.15</v>
      </c>
      <c r="DH1200" s="364"/>
      <c r="DI1200" s="364"/>
      <c r="DJ1200" s="56">
        <f t="shared" ca="1" si="2150"/>
        <v>2.2951556467368479E-2</v>
      </c>
      <c r="DK1200" s="53">
        <f>HLOOKUP(H1200,'GDP-PI'!$8:$9,2,FALSE)</f>
        <v>113.623</v>
      </c>
      <c r="DL1200" s="355">
        <f t="shared" si="2143"/>
        <v>1.1551816731392881E-2</v>
      </c>
    </row>
    <row r="1201" spans="1:116" s="126" customFormat="1" ht="21" customHeight="1" x14ac:dyDescent="0.4">
      <c r="A1201" s="233" t="s">
        <v>252</v>
      </c>
      <c r="B1201" s="126" t="s">
        <v>252</v>
      </c>
      <c r="C1201" s="126">
        <v>4063281</v>
      </c>
      <c r="D1201" s="126" t="s">
        <v>214</v>
      </c>
      <c r="G1201" s="127" t="s">
        <v>177</v>
      </c>
      <c r="H1201" s="128">
        <v>2021</v>
      </c>
      <c r="I1201" s="129"/>
      <c r="J1201" s="125">
        <v>1627.5865850867478</v>
      </c>
      <c r="K1201" s="125">
        <f t="shared" ca="1" si="2144"/>
        <v>10.350312146815567</v>
      </c>
      <c r="L1201" s="47"/>
      <c r="M1201" s="130">
        <f t="shared" ca="1" si="2151"/>
        <v>6.4838143751453498E-2</v>
      </c>
      <c r="N1201" s="130"/>
      <c r="O1201" s="130"/>
      <c r="P1201" s="59">
        <f t="shared" ca="1" si="2153"/>
        <v>2.4537480963633987E-5</v>
      </c>
      <c r="Q1201" s="61"/>
      <c r="R1201" s="387"/>
      <c r="S1201" s="132">
        <f ca="1">+S1200*EXP(T1201)</f>
        <v>116.9942560742663</v>
      </c>
      <c r="T1201" s="134">
        <f ca="1">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</f>
        <v>9.1272075508565947E-3</v>
      </c>
      <c r="U1201" s="134"/>
      <c r="V1201" s="125">
        <v>2294.3088006644521</v>
      </c>
      <c r="W1201" s="125">
        <f t="shared" si="2145"/>
        <v>19.362889700940602</v>
      </c>
      <c r="X1201" s="131">
        <f t="shared" si="2154"/>
        <v>2.2335641430601724E-2</v>
      </c>
      <c r="Y1201" s="131">
        <f t="shared" si="2155"/>
        <v>8.4527462494121501E-6</v>
      </c>
      <c r="Z1201" s="131"/>
      <c r="AA1201" s="131"/>
      <c r="AB1201" s="131"/>
      <c r="AC1201" s="125">
        <f t="shared" si="2124"/>
        <v>939.25919662756019</v>
      </c>
      <c r="AD1201" s="129"/>
      <c r="AE1201" s="133">
        <v>73.644954910789011</v>
      </c>
      <c r="AF1201" s="134"/>
      <c r="AG1201" s="59">
        <f t="shared" si="2146"/>
        <v>0</v>
      </c>
      <c r="AH1201" s="134"/>
      <c r="AI1201" s="134"/>
      <c r="AJ1201" s="129">
        <f t="shared" si="2138"/>
        <v>4861.1545823787601</v>
      </c>
      <c r="AK1201" s="134">
        <f t="shared" si="2156"/>
        <v>6.8885292680467211E-2</v>
      </c>
      <c r="AL1201" s="129"/>
      <c r="AM1201" s="134"/>
      <c r="AN1201" s="134"/>
      <c r="AO1201" s="134"/>
      <c r="AP1201" s="133">
        <f t="shared" si="2157"/>
        <v>375.2917920465344</v>
      </c>
      <c r="AQ1201" s="134">
        <f>+BB1201/Outputs!$B$29</f>
        <v>3.3551540007158029E-4</v>
      </c>
      <c r="AR1201" s="93">
        <f t="shared" si="2147"/>
        <v>0.33481481765393761</v>
      </c>
      <c r="AS1201" s="93">
        <f t="shared" si="2148"/>
        <v>0.47196787548808078</v>
      </c>
      <c r="AT1201" s="93">
        <f t="shared" si="2149"/>
        <v>0.19321730685798158</v>
      </c>
      <c r="AU1201" s="93">
        <f t="shared" ca="1" si="2152"/>
        <v>3.2034678329796007E-2</v>
      </c>
      <c r="AV1201" s="132">
        <f t="shared" ca="1" si="2160"/>
        <v>80.990974884741433</v>
      </c>
      <c r="AW1201" s="134">
        <f t="shared" ca="1" si="2161"/>
        <v>3.2034678329796056E-2</v>
      </c>
      <c r="AX1201" s="135">
        <f>+AJ1201/$AL$26</f>
        <v>3.784420642530181E-4</v>
      </c>
      <c r="AY1201" s="135">
        <f t="shared" ca="1" si="2159"/>
        <v>1.2123269794809446E-5</v>
      </c>
      <c r="AZ1201" s="93"/>
      <c r="BA1201" s="93"/>
      <c r="BB1201" s="234">
        <f>INDEX('Total Customers'!$D$7:$D$91,MATCH(Calculation!$C1201,'Total Customers'!$C$7:$C$91,0))</f>
        <v>12953</v>
      </c>
      <c r="BC1201" s="269">
        <f t="shared" si="2095"/>
        <v>6.1953268706215463E-3</v>
      </c>
      <c r="BD1201" s="91"/>
      <c r="BE1201" s="299" t="str">
        <f t="shared" si="2089"/>
        <v>SUPERIOR WATER, LIGHT AND POWER COMPANY</v>
      </c>
      <c r="BF1201" s="300">
        <f t="shared" si="2090"/>
        <v>4063281</v>
      </c>
      <c r="BG1201" s="231" t="str">
        <f t="shared" si="2091"/>
        <v>WI</v>
      </c>
      <c r="BH1201" s="231"/>
      <c r="BI1201" s="231" t="str">
        <f t="shared" si="2092"/>
        <v>2021 Y</v>
      </c>
      <c r="BJ1201" s="129"/>
      <c r="BK1201" s="129"/>
      <c r="BL1201" s="129">
        <f>INDEX('Dist. Plant Gas Additions'!$D$7:$AD$91,MATCH($C1201,'Dist. Plant Gas Additions'!$C$7:$C$91,0),MATCH(Calculation!$G1201,'Dist. Plant Gas Additions'!$D$5:$AD$5,0))</f>
        <v>2722</v>
      </c>
      <c r="BM1201" s="129">
        <f>INDEX('Gen. Plant Additions'!$D$7:$AD$91,MATCH($C1201,'Gen. Plant Additions'!$C$7:$C$91,0),MATCH(Calculation!$G1201,'Gen. Plant Additions'!$D$5:$AD$5,0))</f>
        <v>-406</v>
      </c>
      <c r="BN1201" s="343"/>
      <c r="BO1201" s="231">
        <f t="shared" si="2073"/>
        <v>0</v>
      </c>
      <c r="BP1201" s="231">
        <f t="shared" si="2074"/>
        <v>406</v>
      </c>
      <c r="BQ1201" s="129"/>
      <c r="BR1201" s="129"/>
      <c r="BS1201" s="137"/>
      <c r="BT1201" s="137"/>
      <c r="BU1201" s="333"/>
      <c r="BV1201" s="93"/>
      <c r="BW1201" s="334"/>
      <c r="BX1201" s="334"/>
      <c r="BY1201" s="129"/>
      <c r="BZ1201" s="129"/>
      <c r="CA1201" s="129"/>
      <c r="CB1201" s="129"/>
      <c r="CC1201" s="133">
        <v>2021</v>
      </c>
      <c r="CD1201" s="129"/>
      <c r="CE1201" s="129"/>
      <c r="CF1201" s="129"/>
      <c r="CG1201" s="137"/>
      <c r="CH1201" s="129">
        <f t="shared" si="2126"/>
        <v>2316</v>
      </c>
      <c r="CI1201" s="46">
        <f t="shared" si="2135"/>
        <v>2722</v>
      </c>
      <c r="CJ1201" s="231">
        <f t="shared" si="2127"/>
        <v>2.9174001723274801</v>
      </c>
      <c r="CK1201" s="443">
        <v>0.70886075949367089</v>
      </c>
      <c r="CL1201" s="129">
        <f>CL1178*CK1201+CJ1179*CK1200+CJ1180*CK1199+CJ1181*CK1198+CJ1182*CK1197+CJ1183*CK1196+CJ1184*CK1195+CJ1185*CK1194+CJ1186*CK1193+CJ1187*CK1192+CJ1188*CK1191+CJ1189*CK1190+CJ1190*CK1189+CJ1191*CK1188+CJ1192*CK1187+CJ1183*CK1186+CJ1194*CK1185+CJ1195*CK1184+CJ1196*CK1183+CJ1197*CK1182+CJ1198*CK1181+CJ1199*CK1180+CJ1201+CJ1200*CK1179</f>
        <v>66.852328254544759</v>
      </c>
      <c r="CM1201" s="134"/>
      <c r="CN1201" s="135">
        <f t="shared" si="2129"/>
        <v>2.0813479792876805E-2</v>
      </c>
      <c r="CO1201" s="135">
        <f t="shared" si="2139"/>
        <v>1.8214827592797533E-2</v>
      </c>
      <c r="CP1201" s="134">
        <f>VLOOKUP($H1201,RoR!$E:$F,2,FALSE)</f>
        <v>2.7033333333333336E-2</v>
      </c>
      <c r="CQ1201" s="135"/>
      <c r="CR1201" s="135"/>
      <c r="CS1201" s="135">
        <f t="shared" si="2140"/>
        <v>1.2687114015736092E-2</v>
      </c>
      <c r="CT1201" s="135">
        <f t="shared" si="2141"/>
        <v>7.433422950153494E-2</v>
      </c>
      <c r="CU1201" s="139">
        <f t="shared" si="2130"/>
        <v>0.90330050000000006</v>
      </c>
      <c r="CV1201" s="335">
        <f t="shared" si="2131"/>
        <v>1.8969932656739068</v>
      </c>
      <c r="CW1201" s="335">
        <f t="shared" si="2132"/>
        <v>5.0215782983970621E-2</v>
      </c>
      <c r="CX1201" s="335">
        <f t="shared" si="2133"/>
        <v>0.655952481704143</v>
      </c>
      <c r="CY1201" s="335">
        <f t="shared" si="2134"/>
        <v>6.2485378865697057E-2</v>
      </c>
      <c r="CZ1201" s="336">
        <f>CZ1200</f>
        <v>0.26134999999999997</v>
      </c>
      <c r="DA1201" s="302">
        <v>0.37</v>
      </c>
      <c r="DB1201" s="141">
        <f t="shared" si="2137"/>
        <v>14.385093905722011</v>
      </c>
      <c r="DC1201" s="135">
        <f>LN(DB1202/DB1200)</f>
        <v>0.17874633758376707</v>
      </c>
      <c r="DD1201" s="336">
        <f>VLOOKUP($H1201,RoR!$E:$F,2,FALSE)</f>
        <v>2.7033333333333336E-2</v>
      </c>
      <c r="DE1201" s="342">
        <f>HLOOKUP($H1201,'GDP-PI'!$D$8:$CR$11,3,FALSE)</f>
        <v>4.2834637353352578E-2</v>
      </c>
      <c r="DF1201" s="336">
        <f>VLOOKUP(H1201,'HW Dx Data'!$E:$F,2,FALSE)</f>
        <v>933.02249921662576</v>
      </c>
      <c r="DG1201" s="364">
        <f ca="1">VLOOKUP(CC1201,'ECI - Input Price'!M$13:N$33,2,FALSE)</f>
        <v>157.25</v>
      </c>
      <c r="DH1201" s="364"/>
      <c r="DI1201" s="364"/>
      <c r="DJ1201" s="135">
        <f t="shared" ca="1" si="2150"/>
        <v>2.6419062301765574E-2</v>
      </c>
      <c r="DK1201" s="137">
        <f>HLOOKUP(H1201,'GDP-PI'!$8:$9,2,FALSE)</f>
        <v>118.49</v>
      </c>
      <c r="DL1201" s="356">
        <f t="shared" si="2143"/>
        <v>4.194261824609434E-2</v>
      </c>
    </row>
    <row r="1202" spans="1:116" s="126" customFormat="1" ht="21" customHeight="1" thickBot="1" x14ac:dyDescent="0.45">
      <c r="A1202" s="235"/>
      <c r="B1202" s="236"/>
      <c r="C1202" s="236"/>
      <c r="D1202" s="236"/>
      <c r="E1202" s="236"/>
      <c r="F1202" s="236"/>
      <c r="G1202" s="237" t="s">
        <v>178</v>
      </c>
      <c r="H1202" s="238"/>
      <c r="I1202" s="239"/>
      <c r="J1202" s="240">
        <v>1760.4766365271946</v>
      </c>
      <c r="K1202" s="240">
        <f t="shared" ca="1" si="2144"/>
        <v>10.830369957103626</v>
      </c>
      <c r="L1202" s="47"/>
      <c r="M1202" s="241">
        <f t="shared" ref="M1202" ca="1" si="2163">LN(K1202/K1201)</f>
        <v>4.5337542457609889E-2</v>
      </c>
      <c r="N1202" s="241"/>
      <c r="O1202" s="241"/>
      <c r="P1202" s="242">
        <f t="shared" ca="1" si="2153"/>
        <v>1.8912234086326035E-5</v>
      </c>
      <c r="Q1202" s="61"/>
      <c r="R1202" s="387"/>
      <c r="S1202" s="206">
        <f ca="1">+S1201*EXP(T1202)</f>
        <v>116.97323776166419</v>
      </c>
      <c r="T1202" s="243">
        <f ca="1">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</f>
        <v>-1.7966865665013256E-4</v>
      </c>
      <c r="U1202" s="243"/>
      <c r="V1202" s="239">
        <v>2481.6357406467687</v>
      </c>
      <c r="W1202" s="240">
        <f t="shared" si="2145"/>
        <v>19.502049042410757</v>
      </c>
      <c r="X1202" s="244">
        <f t="shared" ref="X1202" si="2164">LN(W1202/W1201)</f>
        <v>7.1612070249909609E-3</v>
      </c>
      <c r="Y1202" s="244">
        <f t="shared" si="2155"/>
        <v>2.9872466890745396E-6</v>
      </c>
      <c r="Z1202" s="206"/>
      <c r="AA1202" s="243"/>
      <c r="AB1202" s="243"/>
      <c r="AC1202" s="240">
        <f t="shared" si="2124"/>
        <v>1116.161258639022</v>
      </c>
      <c r="AD1202" s="243"/>
      <c r="AE1202" s="245">
        <v>73.095544880603256</v>
      </c>
      <c r="AF1202" s="243">
        <v>-7.4882203378133106E-3</v>
      </c>
      <c r="AG1202" s="242">
        <f t="shared" si="2146"/>
        <v>-3.1236579717818838E-6</v>
      </c>
      <c r="AH1202" s="206"/>
      <c r="AI1202" s="243"/>
      <c r="AJ1202" s="239">
        <f t="shared" si="2138"/>
        <v>5358.273635812985</v>
      </c>
      <c r="AK1202" s="243">
        <f t="shared" si="2156"/>
        <v>9.7365862243978821E-2</v>
      </c>
      <c r="AL1202" s="239"/>
      <c r="AM1202" s="243"/>
      <c r="AN1202" s="243"/>
      <c r="AO1202" s="243"/>
      <c r="AP1202" s="245">
        <f t="shared" si="2157"/>
        <v>413.60661025187068</v>
      </c>
      <c r="AQ1202" s="243"/>
      <c r="AR1202" s="207">
        <f t="shared" si="2147"/>
        <v>0.32855295495936088</v>
      </c>
      <c r="AS1202" s="207">
        <f t="shared" si="2148"/>
        <v>0.46314091241259314</v>
      </c>
      <c r="AT1202" s="207">
        <f t="shared" si="2149"/>
        <v>0.20830613262804601</v>
      </c>
      <c r="AU1202" s="207"/>
      <c r="AV1202" s="206"/>
      <c r="AW1202" s="243"/>
      <c r="AX1202" s="249">
        <f>+AJ1202/$AL$26</f>
        <v>4.1714290323540955E-4</v>
      </c>
      <c r="AY1202" s="249"/>
      <c r="AZ1202" s="206"/>
      <c r="BA1202" s="243"/>
      <c r="BB1202" s="250">
        <v>12955</v>
      </c>
      <c r="BC1202" s="270">
        <f t="shared" si="2095"/>
        <v>1.543924659543449E-4</v>
      </c>
      <c r="BD1202" s="91"/>
      <c r="BE1202" s="306">
        <f t="shared" si="2089"/>
        <v>0</v>
      </c>
      <c r="BF1202" s="307">
        <f t="shared" si="2090"/>
        <v>0</v>
      </c>
      <c r="BG1202" s="308">
        <f t="shared" si="2091"/>
        <v>0</v>
      </c>
      <c r="BH1202" s="308"/>
      <c r="BI1202" s="308" t="str">
        <f t="shared" si="2092"/>
        <v>2022Y</v>
      </c>
      <c r="BJ1202" s="239"/>
      <c r="BK1202" s="239"/>
      <c r="BL1202" s="239"/>
      <c r="BM1202" s="239"/>
      <c r="BN1202" s="337"/>
      <c r="BO1202" s="308">
        <f t="shared" si="2073"/>
        <v>0</v>
      </c>
      <c r="BP1202" s="308">
        <f t="shared" si="2074"/>
        <v>0</v>
      </c>
      <c r="BQ1202" s="239"/>
      <c r="BR1202" s="239"/>
      <c r="BS1202" s="310"/>
      <c r="BT1202" s="310"/>
      <c r="BU1202" s="311"/>
      <c r="BV1202" s="207"/>
      <c r="BW1202" s="312"/>
      <c r="BX1202" s="312"/>
      <c r="BY1202" s="239"/>
      <c r="BZ1202" s="239"/>
      <c r="CA1202" s="239"/>
      <c r="CB1202" s="239"/>
      <c r="CC1202" s="245">
        <v>2022</v>
      </c>
      <c r="CD1202" s="239"/>
      <c r="CE1202" s="239"/>
      <c r="CF1202" s="239"/>
      <c r="CG1202" s="310"/>
      <c r="CH1202" s="239">
        <v>2239</v>
      </c>
      <c r="CI1202" s="313">
        <f t="shared" si="2135"/>
        <v>2239</v>
      </c>
      <c r="CJ1202" s="308">
        <f t="shared" si="2127"/>
        <v>2.1720782685460951</v>
      </c>
      <c r="CK1202" s="443">
        <v>0.69230769230769229</v>
      </c>
      <c r="CL1202" s="239">
        <f>+CL1178*CK1202+CJ1179*CK1201+CJ1180*CK1200+CJ1181*CK1199+CJ1182*CK1198+CJ1183*CK1197+CJ1184*CK1196+CJ1185*CK1195+CJ1186*CK1194+CJ1187*CK1193+CJ1188*CK1192+CJ1189*CK1191+CJ1190*CK1190+CJ1191*CK1189+CJ1192*CK1188+CJ1193*CK1187+CJ1194*CK1186+CJ1195*CK1185+CJ1196*CK1184+CJ1197*CK1183+CJ1198*CK1182+CJ1199*CK1181+CJ1200*CK1180+CJ1201*CK1179+CJ1202*CK1178</f>
        <v>68.03502967786892</v>
      </c>
      <c r="CM1202" s="243">
        <f t="shared" ref="CM1202" si="2165">LN(CL1202/CL1201)</f>
        <v>1.7536583874924714E-2</v>
      </c>
      <c r="CN1202" s="249">
        <f t="shared" si="2129"/>
        <v>1.4799437372694256E-2</v>
      </c>
      <c r="CO1202" s="249">
        <f t="shared" si="2139"/>
        <v>1.7559236740864022E-2</v>
      </c>
      <c r="CP1202" s="243"/>
      <c r="CQ1202" s="249"/>
      <c r="CR1202" s="249"/>
      <c r="CS1202" s="248">
        <f t="shared" si="2140"/>
        <v>1.3342704867669603E-2</v>
      </c>
      <c r="CT1202" s="249">
        <f t="shared" si="2141"/>
        <v>0.10114668178709289</v>
      </c>
      <c r="CU1202" s="314">
        <f t="shared" si="2130"/>
        <v>0.90330050000000006</v>
      </c>
      <c r="CV1202" s="315">
        <f t="shared" si="2131"/>
        <v>1.2820512820512819</v>
      </c>
      <c r="CW1202" s="315">
        <f t="shared" si="2132"/>
        <v>0.35000000000000003</v>
      </c>
      <c r="CX1202" s="315">
        <f t="shared" si="2133"/>
        <v>0.79171095533705893</v>
      </c>
      <c r="CY1202" s="315">
        <f t="shared" si="2134"/>
        <v>0.35525491585637264</v>
      </c>
      <c r="CZ1202" s="316">
        <f>CZ1201</f>
        <v>0.26134999999999997</v>
      </c>
      <c r="DA1202" s="317">
        <v>0.37</v>
      </c>
      <c r="DB1202" s="318">
        <f t="shared" si="2137"/>
        <v>16.695922008716924</v>
      </c>
      <c r="DC1202" s="249">
        <f>LN(DB1202/DB1201)</f>
        <v>0.14897197349548363</v>
      </c>
      <c r="DD1202" s="316">
        <v>0.04</v>
      </c>
      <c r="DE1202" s="319">
        <v>7.0000000000000001E-3</v>
      </c>
      <c r="DF1202" s="316">
        <v>1030.81</v>
      </c>
      <c r="DG1202" s="364">
        <f ca="1">VLOOKUP(CC1202,'ECI - Input Price'!M$13:N$33,2,FALSE)</f>
        <v>162.55000000000001</v>
      </c>
      <c r="DH1202" s="364"/>
      <c r="DI1202" s="364"/>
      <c r="DJ1202" s="249">
        <f t="shared" ca="1" si="2150"/>
        <v>3.3148751169364422E-2</v>
      </c>
      <c r="DK1202" s="310">
        <v>127.25</v>
      </c>
      <c r="DL1202" s="357">
        <f t="shared" si="2143"/>
        <v>7.1325086601983473E-2</v>
      </c>
    </row>
    <row r="1203" spans="1:116" s="126" customFormat="1" ht="21" customHeight="1" x14ac:dyDescent="0.4">
      <c r="A1203" s="251" t="s">
        <v>253</v>
      </c>
      <c r="B1203" s="265" t="s">
        <v>253</v>
      </c>
      <c r="C1203" s="265">
        <v>4059746</v>
      </c>
      <c r="D1203" s="252" t="s">
        <v>199</v>
      </c>
      <c r="E1203" s="252"/>
      <c r="F1203" s="266"/>
      <c r="G1203" s="265" t="s">
        <v>150</v>
      </c>
      <c r="H1203" s="253">
        <v>1998</v>
      </c>
      <c r="I1203" s="254"/>
      <c r="J1203" s="255"/>
      <c r="K1203" s="255"/>
      <c r="L1203" s="47"/>
      <c r="M1203" s="255"/>
      <c r="N1203" s="255"/>
      <c r="O1203" s="255"/>
      <c r="P1203" s="219"/>
      <c r="Q1203" s="218"/>
      <c r="R1203" s="385"/>
      <c r="S1203" s="257"/>
      <c r="T1203" s="258"/>
      <c r="U1203" s="258"/>
      <c r="V1203" s="259"/>
      <c r="W1203" s="259"/>
      <c r="X1203" s="259"/>
      <c r="Y1203" s="255"/>
      <c r="Z1203" s="259"/>
      <c r="AA1203" s="259"/>
      <c r="AB1203" s="259"/>
      <c r="AC1203" s="255"/>
      <c r="AD1203" s="254"/>
      <c r="AE1203" s="260">
        <v>3146.5633858998472</v>
      </c>
      <c r="AF1203" s="256"/>
      <c r="AG1203" s="225"/>
      <c r="AH1203" s="256"/>
      <c r="AI1203" s="256"/>
      <c r="AJ1203" s="254">
        <f t="shared" si="2138"/>
        <v>0</v>
      </c>
      <c r="AK1203" s="254"/>
      <c r="AL1203" s="254"/>
      <c r="AM1203" s="256"/>
      <c r="AN1203" s="256"/>
      <c r="AO1203" s="256"/>
      <c r="AP1203" s="226">
        <f>+(AP1200+AP1201+AP1202)/3</f>
        <v>380.46181575537872</v>
      </c>
      <c r="AQ1203" s="256"/>
      <c r="AR1203" s="261"/>
      <c r="AS1203" s="261"/>
      <c r="AT1203" s="261"/>
      <c r="AU1203" s="261"/>
      <c r="AV1203" s="261"/>
      <c r="AW1203" s="256">
        <f ca="1">AVERAGE(AW1212:AW1226)</f>
        <v>-8.0956167143526742E-3</v>
      </c>
      <c r="AX1203" s="261"/>
      <c r="AY1203" s="261"/>
      <c r="AZ1203" s="261"/>
      <c r="BA1203" s="261"/>
      <c r="BB1203" s="262">
        <f>IFERROR(INDEX('Total Customers'!$E$7:$AA$91,MATCH($C1203,'Total Customers'!$C$7:$C$91,0),MATCH($G1203,'Total Customers'!$E$5:$AA$5,0)),"NA")</f>
        <v>1171867</v>
      </c>
      <c r="BC1203" s="268"/>
      <c r="BD1203" s="92"/>
      <c r="BE1203" s="320" t="str">
        <f t="shared" si="2089"/>
        <v>THE EAST OHIO GAS COMPANY</v>
      </c>
      <c r="BF1203" s="321">
        <f t="shared" si="2090"/>
        <v>4059746</v>
      </c>
      <c r="BG1203" s="322" t="str">
        <f t="shared" si="2091"/>
        <v>OH</v>
      </c>
      <c r="BH1203" s="322"/>
      <c r="BI1203" s="322" t="str">
        <f t="shared" si="2092"/>
        <v>1998 Y</v>
      </c>
      <c r="BJ1203" s="254">
        <f>INDEX('Gross Dx Plant'!$D$7:$AC$91,MATCH($C1203,'Gross Dx Plant'!$C$7:$C$91,0),MATCH(Calculation!$G1203,'Gross Dx Plant'!$D$5:$AC$5,0))</f>
        <v>960981</v>
      </c>
      <c r="BK1203" s="254">
        <f>INDEX('Gross Gen Plant'!$D$7:$AC$91,MATCH($C1203,'Gross Gen Plant'!$C$7:$C$91,0),MATCH(Calculation!$G1203,'Gross Gen Plant'!$D$5:$AC$5,0))</f>
        <v>83637</v>
      </c>
      <c r="BL1203" s="254">
        <f>INDEX('Dist. Plant Gas Additions'!$E$7:$AD$91,MATCH($C1203,'Dist. Plant Gas Additions'!$C$7:$C$91,0),MATCH(Calculation!$G1203,'Dist. Plant Gas Additions'!$E$5:$AD$5,0))</f>
        <v>42230</v>
      </c>
      <c r="BM1203" s="254">
        <f>INDEX('Gen. Plant Additions'!$E$7:$AD$91,MATCH($C1203,'Gen. Plant Additions'!$C$7:$C$91,0),MATCH(Calculation!$G1203,'Gen. Plant Additions'!$E$5:$AD$5,0))</f>
        <v>5870</v>
      </c>
      <c r="BN1203" s="338">
        <f>+(BY1203/(BY1203+BZ1203))</f>
        <v>0.91993532564056912</v>
      </c>
      <c r="BO1203" s="322">
        <f t="shared" si="2073"/>
        <v>5400.0203615101409</v>
      </c>
      <c r="BP1203" s="322">
        <f t="shared" si="2074"/>
        <v>-469.9796384898591</v>
      </c>
      <c r="BQ1203" s="254">
        <f>INDEX('Dist Plant Depreciation'!$D$7:$AC$94,MATCH($C1203,'Dist Plant Depreciation'!$C$7:$C$94,0),MATCH(Calculation!$G1203,'Dist Plant Depreciation'!$D$5:$AC$5,0))</f>
        <v>373335</v>
      </c>
      <c r="BR1203" s="254">
        <f>INDEX('Gen. Plant Depreciation'!$D$7:$AC$94,MATCH($C1203,'Gen. Plant Depreciation'!$C$7:$C$94,0),MATCH(Calculation!$G1203,'Gen. Plant Depreciation'!$D$5:$AC$5,0))</f>
        <v>36560</v>
      </c>
      <c r="BS1203" s="254"/>
      <c r="BT1203" s="254"/>
      <c r="BU1203" s="254"/>
      <c r="BV1203" s="254"/>
      <c r="BW1203" s="254"/>
      <c r="BX1203" s="323"/>
      <c r="BY1203" s="254">
        <f>INDEX('Gross Dx Plant'!$D$7:$AC$91,MATCH($C1203,'Gross Dx Plant'!$C$7:$C$91,0),MATCH(Calculation!$G1203,'Gross Dx Plant'!$D$5:$AC$5,0))</f>
        <v>960981</v>
      </c>
      <c r="BZ1203" s="254">
        <f>INDEX('Gross Gen Plant'!$D$7:$AC$91,MATCH($C1203,'Gross Gen Plant'!$C$7:$C$91,0),MATCH(Calculation!$G1203,'Gross Gen Plant'!$D$5:$AC$5,0))</f>
        <v>83637</v>
      </c>
      <c r="CA1203" s="254">
        <f t="shared" si="2162"/>
        <v>634723</v>
      </c>
      <c r="CB1203" s="254"/>
      <c r="CC1203" s="260">
        <v>1998</v>
      </c>
      <c r="CD1203" s="254">
        <f>BJ1203+BK1203</f>
        <v>1044618</v>
      </c>
      <c r="CE1203" s="254">
        <f>373335+36560</f>
        <v>409895</v>
      </c>
      <c r="CF1203" s="254">
        <f>+CD1203-CE1203</f>
        <v>634723</v>
      </c>
      <c r="CG1203" s="254">
        <f>CF1203/$BX$3</f>
        <v>3146.5633858998472</v>
      </c>
      <c r="CH1203" s="323"/>
      <c r="CI1203" s="344"/>
      <c r="CJ1203" s="322">
        <f t="shared" si="2127"/>
        <v>0</v>
      </c>
      <c r="CK1203" s="443">
        <v>1</v>
      </c>
      <c r="CL1203" s="254">
        <f>+CG1203</f>
        <v>3146.5633858998472</v>
      </c>
      <c r="CM1203" s="256"/>
      <c r="CN1203" s="325"/>
      <c r="CO1203" s="325"/>
      <c r="CP1203" s="256" t="e">
        <f>VLOOKUP($H1203,RoR!$E:$F,2,FALSE)</f>
        <v>#N/A</v>
      </c>
      <c r="CQ1203" s="325">
        <v>1.1028127770464469E-2</v>
      </c>
      <c r="CR1203" s="325"/>
      <c r="CS1203" s="325"/>
      <c r="CT1203" s="325"/>
      <c r="CU1203" s="327"/>
      <c r="CV1203" s="331" t="e">
        <f>2/(DD1203*39)</f>
        <v>#N/A</v>
      </c>
      <c r="CW1203" s="328" t="e">
        <f>+(DD1203*40-(1+DD1203))/(DD1203*40)</f>
        <v>#N/A</v>
      </c>
      <c r="CX1203" s="328" t="e">
        <f>+(1-(1/(1+DD1203)^40))</f>
        <v>#N/A</v>
      </c>
      <c r="CY1203" s="328" t="e">
        <f>+CX1203*CW1203*CV1203</f>
        <v>#N/A</v>
      </c>
      <c r="CZ1203" s="329">
        <f>INDEX('State Tax Lookup'!$D$7:$Z$91,MATCH(Calculation!$C1203,'State Tax Lookup'!$B$7:$B$91,0),MATCH($H1203,'State Tax Lookup'!$D$6:$Z$6,0))</f>
        <v>0.35</v>
      </c>
      <c r="DA1203" s="330">
        <v>0.37</v>
      </c>
      <c r="DB1203" s="344"/>
      <c r="DC1203" s="326"/>
      <c r="DD1203" s="351" t="e">
        <f>VLOOKUP($H1203,RoR!$E:$F,2,FALSE)</f>
        <v>#N/A</v>
      </c>
      <c r="DE1203" s="354">
        <f>HLOOKUP($H1203,'GDP-PI'!$D$8:$CQ$11,3,FALSE)</f>
        <v>1.1028127770464469E-2</v>
      </c>
      <c r="DF1203" s="351">
        <f>VLOOKUP(H1203,'HW Dx Data'!$E:$F,2,FALSE)</f>
        <v>329.24564746449528</v>
      </c>
      <c r="DG1203" s="330"/>
      <c r="DH1203" s="330"/>
      <c r="DI1203" s="330"/>
      <c r="DJ1203" s="326"/>
      <c r="DK1203" s="344">
        <f>HLOOKUP(H1203,'GDP-PI'!$8:$9,2,FALSE)</f>
        <v>75.266999999999996</v>
      </c>
      <c r="DL1203" s="292"/>
    </row>
    <row r="1204" spans="1:116" s="126" customFormat="1" ht="21" customHeight="1" x14ac:dyDescent="0.4">
      <c r="A1204" s="233" t="s">
        <v>253</v>
      </c>
      <c r="B1204" s="126" t="s">
        <v>253</v>
      </c>
      <c r="C1204" s="126">
        <v>4059746</v>
      </c>
      <c r="D1204" s="127" t="s">
        <v>199</v>
      </c>
      <c r="E1204" s="127"/>
      <c r="F1204" s="144"/>
      <c r="G1204" s="126" t="s">
        <v>155</v>
      </c>
      <c r="H1204" s="128">
        <v>1999</v>
      </c>
      <c r="I1204" s="129"/>
      <c r="J1204" s="125"/>
      <c r="K1204" s="129"/>
      <c r="L1204" s="47"/>
      <c r="M1204" s="129"/>
      <c r="N1204" s="129"/>
      <c r="O1204" s="129"/>
      <c r="P1204" s="47"/>
      <c r="Q1204" s="47"/>
      <c r="R1204" s="386"/>
      <c r="S1204" s="119"/>
      <c r="T1204" s="47"/>
      <c r="U1204" s="46"/>
      <c r="V1204" s="135"/>
      <c r="W1204" s="135"/>
      <c r="X1204" s="135"/>
      <c r="Y1204" s="143"/>
      <c r="Z1204" s="135"/>
      <c r="AA1204" s="135"/>
      <c r="AB1204" s="135"/>
      <c r="AC1204" s="125">
        <f t="shared" ref="AC1204:AC1227" si="2166">+CL1203*DB1204</f>
        <v>0</v>
      </c>
      <c r="AD1204" s="129"/>
      <c r="AE1204" s="133">
        <v>3247.8849126618707</v>
      </c>
      <c r="AF1204" s="134">
        <v>3.1693119704852474E-2</v>
      </c>
      <c r="AG1204" s="61"/>
      <c r="AH1204" s="134"/>
      <c r="AI1204" s="134"/>
      <c r="AJ1204" s="129">
        <f t="shared" si="2138"/>
        <v>0</v>
      </c>
      <c r="AK1204" s="134"/>
      <c r="AL1204" s="129"/>
      <c r="AM1204" s="134"/>
      <c r="AN1204" s="134"/>
      <c r="AO1204" s="134"/>
      <c r="AP1204" s="133"/>
      <c r="AQ1204" s="134"/>
      <c r="AR1204" s="93"/>
      <c r="AS1204" s="93"/>
      <c r="AT1204" s="93"/>
      <c r="AU1204" s="93"/>
      <c r="AV1204" s="93"/>
      <c r="AW1204" s="134"/>
      <c r="AX1204" s="93"/>
      <c r="AY1204" s="93"/>
      <c r="AZ1204" s="93"/>
      <c r="BA1204" s="93"/>
      <c r="BB1204" s="234">
        <f>IFERROR(INDEX('Total Customers'!$E$7:$AA$91,MATCH($C1204,'Total Customers'!$C$7:$C$91,0),MATCH($G1204,'Total Customers'!$E$5:$AA$5,0)),"NA")</f>
        <v>1201730</v>
      </c>
      <c r="BC1204" s="269">
        <f t="shared" si="2095"/>
        <v>2.5163981770271598E-2</v>
      </c>
      <c r="BD1204" s="92"/>
      <c r="BE1204" s="299" t="str">
        <f t="shared" si="2089"/>
        <v>THE EAST OHIO GAS COMPANY</v>
      </c>
      <c r="BF1204" s="300">
        <f t="shared" si="2090"/>
        <v>4059746</v>
      </c>
      <c r="BG1204" s="231" t="str">
        <f t="shared" si="2091"/>
        <v>OH</v>
      </c>
      <c r="BH1204" s="231"/>
      <c r="BI1204" s="231" t="str">
        <f t="shared" si="2092"/>
        <v>1999 Y</v>
      </c>
      <c r="BJ1204" s="129"/>
      <c r="BK1204" s="129"/>
      <c r="BL1204" s="129">
        <f>INDEX('Dist. Plant Gas Additions'!$E$7:$AD$91,MATCH($C1204,'Dist. Plant Gas Additions'!$C$7:$C$91,0),MATCH(Calculation!$G1204,'Dist. Plant Gas Additions'!$E$5:$AD$5,0))</f>
        <v>35618</v>
      </c>
      <c r="BM1204" s="129">
        <f>INDEX('Gen. Plant Additions'!$E$7:$AD$91,MATCH($C1204,'Gen. Plant Additions'!$C$7:$C$91,0),MATCH(Calculation!$G1204,'Gen. Plant Additions'!$E$5:$AD$5,0))</f>
        <v>3607</v>
      </c>
      <c r="BN1204" s="301">
        <f t="shared" ref="BN1204:BN1225" si="2167">+(BY1204/(BY1204+BZ1204))</f>
        <v>0.92255556968263264</v>
      </c>
      <c r="BO1204" s="231">
        <f t="shared" si="2073"/>
        <v>3327.6579398452559</v>
      </c>
      <c r="BP1204" s="231">
        <f t="shared" si="2074"/>
        <v>-279.3420601547441</v>
      </c>
      <c r="BQ1204" s="129">
        <f>INDEX('Dist Plant Depreciation'!$D$7:$AC$94,MATCH($C1204,'Dist Plant Depreciation'!$C$7:$C$94,0),MATCH(Calculation!$G1204,'Dist Plant Depreciation'!$D$5:$AC$5,0))</f>
        <v>392864</v>
      </c>
      <c r="BR1204" s="129">
        <f>INDEX('Gen. Plant Depreciation'!$D$7:$AC$94,MATCH($C1204,'Gen. Plant Depreciation'!$C$7:$C$94,0),MATCH(Calculation!$G1204,'Gen. Plant Depreciation'!$D$5:$AC$5,0))</f>
        <v>38602</v>
      </c>
      <c r="BS1204" s="129"/>
      <c r="BT1204" s="129"/>
      <c r="BU1204" s="129"/>
      <c r="BV1204" s="129"/>
      <c r="BW1204" s="129"/>
      <c r="BX1204" s="137"/>
      <c r="BY1204" s="129">
        <f>INDEX('Gross Dx Plant'!$D$7:$AC$91,MATCH($C1204,'Gross Dx Plant'!$C$7:$C$91,0),MATCH(Calculation!$G1204,'Gross Dx Plant'!$D$5:$AC$5,0))</f>
        <v>994073</v>
      </c>
      <c r="BZ1204" s="129">
        <f>INDEX('Gross Gen Plant'!$D$7:$AC$91,MATCH($C1204,'Gross Gen Plant'!$C$7:$C$91,0),MATCH(Calculation!$G1204,'Gross Gen Plant'!$D$5:$AC$5,0))</f>
        <v>83448</v>
      </c>
      <c r="CA1204" s="129">
        <f t="shared" si="2162"/>
        <v>646055</v>
      </c>
      <c r="CB1204" s="129"/>
      <c r="CC1204" s="133">
        <v>1999</v>
      </c>
      <c r="CD1204" s="129"/>
      <c r="CE1204" s="129"/>
      <c r="CF1204" s="129"/>
      <c r="CG1204" s="137"/>
      <c r="CH1204" s="129">
        <f t="shared" ref="CH1204:CH1226" si="2168">+BM1204+BL1204</f>
        <v>39225</v>
      </c>
      <c r="CI1204" s="46">
        <f>+CH1204+BP1204</f>
        <v>38945.65793984526</v>
      </c>
      <c r="CJ1204" s="53"/>
      <c r="CK1204" s="443">
        <v>0.99009900990099009</v>
      </c>
      <c r="CL1204" s="231">
        <f>+CL1203*CK1204+CJ1204</f>
        <v>3115.4092929701455</v>
      </c>
      <c r="CM1204" s="134">
        <f t="shared" ref="CM1204:CM1225" si="2169">LN(CL1204/CL1203)</f>
        <v>-9.950330853168092E-3</v>
      </c>
      <c r="CN1204" s="135">
        <f t="shared" ref="CN1204:CN1227" si="2170">+(CL1203-CL1204+CJ1204)/CL1203</f>
        <v>9.9009900990099532E-3</v>
      </c>
      <c r="CO1204" s="135"/>
      <c r="CP1204" s="134">
        <f>VLOOKUP($H1204,RoR!$E:$F,2,FALSE)</f>
        <v>7.0416666666666669E-2</v>
      </c>
      <c r="CQ1204" s="135">
        <v>1.4335631817396832E-2</v>
      </c>
      <c r="CR1204" s="135">
        <f>+CP1204-CQ1204</f>
        <v>5.6081034849269837E-2</v>
      </c>
      <c r="CS1204" s="135"/>
      <c r="CT1204" s="135"/>
      <c r="CU1204" s="139">
        <f t="shared" ref="CU1204:CU1227" si="2171">1-CZ1204*DA1204</f>
        <v>0.87050000000000005</v>
      </c>
      <c r="CV1204" s="335">
        <f t="shared" ref="CV1204:CV1227" si="2172">2/(DD1204*39)</f>
        <v>0.72826581702321336</v>
      </c>
      <c r="CW1204" s="335">
        <f t="shared" ref="CW1204:CW1227" si="2173">+(DD1204*40-(1+DD1204))/(DD1204*40)</f>
        <v>0.61997041420118348</v>
      </c>
      <c r="CX1204" s="335">
        <f t="shared" ref="CX1204:CX1227" si="2174">+(1-(1/(1+DD1204)^40))</f>
        <v>0.93425155319585029</v>
      </c>
      <c r="CY1204" s="335">
        <f t="shared" ref="CY1204:CY1227" si="2175">+CX1204*CW1204*CV1204</f>
        <v>0.42181762214141483</v>
      </c>
      <c r="CZ1204" s="336">
        <f>INDEX('State Tax Lookup'!$D$7:$Z$91,MATCH(Calculation!$C1204,'State Tax Lookup'!$B$7:$B$91,0),MATCH($H1204,'State Tax Lookup'!$D$6:$Z$6,0))</f>
        <v>0.35</v>
      </c>
      <c r="DA1204" s="302">
        <v>0.37</v>
      </c>
      <c r="DB1204" s="57"/>
      <c r="DC1204" s="56"/>
      <c r="DD1204" s="303">
        <f>VLOOKUP($H1204,RoR!$E:$F,2,FALSE)</f>
        <v>7.0416666666666669E-2</v>
      </c>
      <c r="DE1204" s="304">
        <f>HLOOKUP($H1204,'GDP-PI'!$D$8:$CQ$11,3,FALSE)</f>
        <v>1.4335631817396832E-2</v>
      </c>
      <c r="DF1204" s="303">
        <f>VLOOKUP(H1204,'HW Dx Data'!$E:$F,2,FALSE)</f>
        <v>335.32499146683239</v>
      </c>
      <c r="DG1204" s="364"/>
      <c r="DH1204" s="364"/>
      <c r="DI1204" s="364"/>
      <c r="DJ1204" s="56"/>
      <c r="DK1204" s="53">
        <f>HLOOKUP(H1204,'GDP-PI'!$8:$9,2,FALSE)</f>
        <v>76.346000000000004</v>
      </c>
      <c r="DL1204" s="298"/>
    </row>
    <row r="1205" spans="1:116" s="126" customFormat="1" ht="21" customHeight="1" x14ac:dyDescent="0.4">
      <c r="A1205" s="233" t="s">
        <v>253</v>
      </c>
      <c r="B1205" s="126" t="s">
        <v>253</v>
      </c>
      <c r="C1205" s="126">
        <v>4059746</v>
      </c>
      <c r="D1205" s="127" t="s">
        <v>199</v>
      </c>
      <c r="E1205" s="127"/>
      <c r="F1205" s="144"/>
      <c r="G1205" s="126" t="s">
        <v>156</v>
      </c>
      <c r="H1205" s="128">
        <v>2000</v>
      </c>
      <c r="I1205" s="129"/>
      <c r="J1205" s="125"/>
      <c r="K1205" s="125"/>
      <c r="L1205" s="47"/>
      <c r="M1205" s="125"/>
      <c r="N1205" s="125"/>
      <c r="O1205" s="125"/>
      <c r="P1205" s="47"/>
      <c r="Q1205" s="47"/>
      <c r="R1205" s="386"/>
      <c r="S1205" s="119"/>
      <c r="T1205" s="47"/>
      <c r="U1205" s="47"/>
      <c r="V1205" s="125"/>
      <c r="W1205" s="125"/>
      <c r="X1205" s="125"/>
      <c r="Y1205" s="125"/>
      <c r="Z1205" s="125"/>
      <c r="AA1205" s="125"/>
      <c r="AB1205" s="125"/>
      <c r="AC1205" s="125">
        <f t="shared" si="2166"/>
        <v>0</v>
      </c>
      <c r="AD1205" s="129"/>
      <c r="AE1205" s="133">
        <v>3381.1363370076415</v>
      </c>
      <c r="AF1205" s="134">
        <v>4.0207858997320246E-2</v>
      </c>
      <c r="AG1205" s="61"/>
      <c r="AH1205" s="134"/>
      <c r="AI1205" s="134"/>
      <c r="AJ1205" s="129">
        <f t="shared" si="2138"/>
        <v>0</v>
      </c>
      <c r="AK1205" s="134"/>
      <c r="AL1205" s="129"/>
      <c r="AM1205" s="129"/>
      <c r="AN1205" s="129"/>
      <c r="AO1205" s="129"/>
      <c r="AP1205" s="133"/>
      <c r="AQ1205" s="134"/>
      <c r="AR1205" s="93"/>
      <c r="AS1205" s="93"/>
      <c r="AT1205" s="93"/>
      <c r="AU1205" s="93"/>
      <c r="AV1205" s="93"/>
      <c r="AW1205" s="134"/>
      <c r="AX1205" s="93"/>
      <c r="AY1205" s="93"/>
      <c r="AZ1205" s="93"/>
      <c r="BA1205" s="93"/>
      <c r="BB1205" s="234">
        <f>IFERROR(INDEX('Total Customers'!$E$7:$AA$91,MATCH($C1205,'Total Customers'!$C$7:$C$91,0),MATCH($G1205,'Total Customers'!$E$5:$AA$5,0)),"NA")</f>
        <v>1234870</v>
      </c>
      <c r="BC1205" s="269">
        <f t="shared" si="2095"/>
        <v>2.720351612454901E-2</v>
      </c>
      <c r="BD1205" s="92"/>
      <c r="BE1205" s="299" t="str">
        <f t="shared" si="2089"/>
        <v>THE EAST OHIO GAS COMPANY</v>
      </c>
      <c r="BF1205" s="300">
        <f t="shared" si="2090"/>
        <v>4059746</v>
      </c>
      <c r="BG1205" s="231" t="str">
        <f t="shared" si="2091"/>
        <v>OH</v>
      </c>
      <c r="BH1205" s="231"/>
      <c r="BI1205" s="231" t="str">
        <f t="shared" si="2092"/>
        <v>2000 Y</v>
      </c>
      <c r="BJ1205" s="129"/>
      <c r="BK1205" s="129"/>
      <c r="BL1205" s="129">
        <f>INDEX('Dist. Plant Gas Additions'!$E$7:$AD$91,MATCH($C1205,'Dist. Plant Gas Additions'!$C$7:$C$91,0),MATCH(Calculation!$G1205,'Dist. Plant Gas Additions'!$E$5:$AD$5,0))</f>
        <v>46321</v>
      </c>
      <c r="BM1205" s="129">
        <f>INDEX('Gen. Plant Additions'!$E$7:$AD$91,MATCH($C1205,'Gen. Plant Additions'!$C$7:$C$91,0),MATCH(Calculation!$G1205,'Gen. Plant Additions'!$E$5:$AD$5,0))</f>
        <v>5646</v>
      </c>
      <c r="BN1205" s="301">
        <f t="shared" si="2167"/>
        <v>0.92326637207632745</v>
      </c>
      <c r="BO1205" s="231">
        <f t="shared" si="2073"/>
        <v>5212.7619367429452</v>
      </c>
      <c r="BP1205" s="231">
        <f t="shared" si="2074"/>
        <v>-433.23806325705482</v>
      </c>
      <c r="BQ1205" s="129">
        <f>INDEX('Dist Plant Depreciation'!$D$7:$AC$94,MATCH($C1205,'Dist Plant Depreciation'!$C$7:$C$94,0),MATCH(Calculation!$G1205,'Dist Plant Depreciation'!$D$5:$AC$5,0))</f>
        <v>410935</v>
      </c>
      <c r="BR1205" s="129">
        <f>INDEX('Gen. Plant Depreciation'!$D$7:$AC$94,MATCH($C1205,'Gen. Plant Depreciation'!$C$7:$C$94,0),MATCH(Calculation!$G1205,'Gen. Plant Depreciation'!$D$5:$AC$5,0))</f>
        <v>41638</v>
      </c>
      <c r="BS1205" s="129"/>
      <c r="BT1205" s="129"/>
      <c r="BU1205" s="129"/>
      <c r="BV1205" s="129"/>
      <c r="BW1205" s="129"/>
      <c r="BX1205" s="137"/>
      <c r="BY1205" s="129">
        <f>INDEX('Gross Dx Plant'!$D$7:$AC$91,MATCH($C1205,'Gross Dx Plant'!$C$7:$C$91,0),MATCH(Calculation!$G1205,'Gross Dx Plant'!$D$5:$AC$5,0))</f>
        <v>1036541</v>
      </c>
      <c r="BZ1205" s="129">
        <f>INDEX('Gross Gen Plant'!$D$7:$AC$91,MATCH($C1205,'Gross Gen Plant'!$C$7:$C$91,0),MATCH(Calculation!$G1205,'Gross Gen Plant'!$D$5:$AC$5,0))</f>
        <v>86148</v>
      </c>
      <c r="CA1205" s="129">
        <f t="shared" si="2162"/>
        <v>670116</v>
      </c>
      <c r="CB1205" s="129"/>
      <c r="CC1205" s="133">
        <v>2000</v>
      </c>
      <c r="CD1205" s="129"/>
      <c r="CE1205" s="129"/>
      <c r="CF1205" s="129"/>
      <c r="CG1205" s="137"/>
      <c r="CH1205" s="129">
        <f t="shared" si="2168"/>
        <v>51967</v>
      </c>
      <c r="CI1205" s="46">
        <f t="shared" ref="CI1205:CI1227" si="2176">+CH1205+BP1205</f>
        <v>51533.761936742943</v>
      </c>
      <c r="CJ1205" s="231">
        <f t="shared" ref="CJ1205:CJ1227" si="2177">+CI1205/$DF1205</f>
        <v>148.7121145402871</v>
      </c>
      <c r="CK1205" s="443">
        <v>0.98</v>
      </c>
      <c r="CL1205" s="231">
        <f>+CL1203*CK1205+CJ1204*CK1204+CJ1205</f>
        <v>3232.3442327221373</v>
      </c>
      <c r="CM1205" s="134">
        <f t="shared" si="2169"/>
        <v>3.684710481661032E-2</v>
      </c>
      <c r="CN1205" s="135">
        <f t="shared" si="2170"/>
        <v>1.019999999999994E-2</v>
      </c>
      <c r="CO1205" s="135"/>
      <c r="CP1205" s="134">
        <f>VLOOKUP($H1205,RoR!$E:$F,2,FALSE)</f>
        <v>7.6225000000000001E-2</v>
      </c>
      <c r="CQ1205" s="135">
        <v>2.2568307442433211E-2</v>
      </c>
      <c r="CR1205" s="135">
        <f t="shared" ref="CR1205:CR1225" si="2178">+CP1205-CQ1205</f>
        <v>5.365669255756679E-2</v>
      </c>
      <c r="CS1205" s="135"/>
      <c r="CT1205" s="135"/>
      <c r="CU1205" s="139">
        <f t="shared" si="2171"/>
        <v>0.87050000000000005</v>
      </c>
      <c r="CV1205" s="335">
        <f t="shared" si="2172"/>
        <v>0.67277207323124022</v>
      </c>
      <c r="CW1205" s="335">
        <f t="shared" si="2173"/>
        <v>0.6470236142997704</v>
      </c>
      <c r="CX1205" s="335">
        <f t="shared" si="2174"/>
        <v>0.94704866037543145</v>
      </c>
      <c r="CY1205" s="335">
        <f t="shared" si="2175"/>
        <v>0.41224973107878493</v>
      </c>
      <c r="CZ1205" s="336">
        <f>INDEX('State Tax Lookup'!$D$7:$Z$91,MATCH(Calculation!$C1205,'State Tax Lookup'!$B$7:$B$91,0),MATCH($H1205,'State Tax Lookup'!$D$6:$Z$6,0))</f>
        <v>0.35</v>
      </c>
      <c r="DA1205" s="302">
        <v>0.37</v>
      </c>
      <c r="DB1205" s="57"/>
      <c r="DC1205" s="56"/>
      <c r="DD1205" s="303">
        <f>VLOOKUP($H1205,RoR!$E:$F,2,FALSE)</f>
        <v>7.6225000000000001E-2</v>
      </c>
      <c r="DE1205" s="304">
        <f>HLOOKUP($H1205,'GDP-PI'!$D$8:$CQ$11,3,FALSE)</f>
        <v>2.2568307442433211E-2</v>
      </c>
      <c r="DF1205" s="303">
        <f>VLOOKUP(H1205,'HW Dx Data'!$E:$F,2,FALSE)</f>
        <v>346.53371782150339</v>
      </c>
      <c r="DG1205" s="364"/>
      <c r="DH1205" s="364"/>
      <c r="DI1205" s="364"/>
      <c r="DJ1205" s="56"/>
      <c r="DK1205" s="53">
        <f>HLOOKUP(H1205,'GDP-PI'!$8:$9,2,FALSE)</f>
        <v>78.069000000000003</v>
      </c>
      <c r="DL1205" s="298"/>
    </row>
    <row r="1206" spans="1:116" s="126" customFormat="1" ht="21" customHeight="1" x14ac:dyDescent="0.4">
      <c r="A1206" s="233" t="s">
        <v>253</v>
      </c>
      <c r="B1206" s="126" t="s">
        <v>253</v>
      </c>
      <c r="C1206" s="126">
        <v>4059746</v>
      </c>
      <c r="D1206" s="127" t="s">
        <v>199</v>
      </c>
      <c r="E1206" s="127"/>
      <c r="F1206" s="144"/>
      <c r="G1206" s="126" t="s">
        <v>157</v>
      </c>
      <c r="H1206" s="128">
        <v>2001</v>
      </c>
      <c r="I1206" s="129"/>
      <c r="J1206" s="125"/>
      <c r="K1206" s="125"/>
      <c r="L1206" s="47"/>
      <c r="M1206" s="125"/>
      <c r="N1206" s="125"/>
      <c r="O1206" s="125"/>
      <c r="P1206" s="47"/>
      <c r="Q1206" s="47"/>
      <c r="R1206" s="386"/>
      <c r="S1206" s="119"/>
      <c r="T1206" s="47"/>
      <c r="U1206" s="47"/>
      <c r="V1206" s="125"/>
      <c r="W1206" s="125"/>
      <c r="X1206" s="125"/>
      <c r="Y1206" s="125"/>
      <c r="Z1206" s="125"/>
      <c r="AA1206" s="125"/>
      <c r="AB1206" s="125"/>
      <c r="AC1206" s="125">
        <f t="shared" si="2166"/>
        <v>31810.169932508496</v>
      </c>
      <c r="AD1206" s="129"/>
      <c r="AE1206" s="133">
        <v>3466.3369623966296</v>
      </c>
      <c r="AF1206" s="134">
        <v>2.4886558580068805E-2</v>
      </c>
      <c r="AG1206" s="61"/>
      <c r="AH1206" s="134"/>
      <c r="AI1206" s="134"/>
      <c r="AJ1206" s="129">
        <f t="shared" si="2138"/>
        <v>31810.169932508496</v>
      </c>
      <c r="AK1206" s="134"/>
      <c r="AL1206" s="129"/>
      <c r="AM1206" s="129"/>
      <c r="AN1206" s="129"/>
      <c r="AO1206" s="129"/>
      <c r="AP1206" s="133"/>
      <c r="AQ1206" s="134"/>
      <c r="AR1206" s="93"/>
      <c r="AS1206" s="93"/>
      <c r="AT1206" s="93"/>
      <c r="AU1206" s="93"/>
      <c r="AV1206" s="93"/>
      <c r="AW1206" s="134"/>
      <c r="AX1206" s="93"/>
      <c r="AY1206" s="93"/>
      <c r="AZ1206" s="93"/>
      <c r="BA1206" s="93"/>
      <c r="BB1206" s="234">
        <f>IFERROR(INDEX('Total Customers'!$E$7:$AA$91,MATCH($C1206,'Total Customers'!$C$7:$C$91,0),MATCH($G1206,'Total Customers'!$E$5:$AA$5,0)),"NA")</f>
        <v>1221538</v>
      </c>
      <c r="BC1206" s="269">
        <f t="shared" si="2095"/>
        <v>-1.0854980857862318E-2</v>
      </c>
      <c r="BD1206" s="92"/>
      <c r="BE1206" s="299" t="str">
        <f t="shared" si="2089"/>
        <v>THE EAST OHIO GAS COMPANY</v>
      </c>
      <c r="BF1206" s="300">
        <f t="shared" si="2090"/>
        <v>4059746</v>
      </c>
      <c r="BG1206" s="231" t="str">
        <f t="shared" si="2091"/>
        <v>OH</v>
      </c>
      <c r="BH1206" s="231"/>
      <c r="BI1206" s="231" t="str">
        <f t="shared" si="2092"/>
        <v>2001 Y</v>
      </c>
      <c r="BJ1206" s="129"/>
      <c r="BK1206" s="129"/>
      <c r="BL1206" s="129">
        <f>INDEX('Dist. Plant Gas Additions'!$E$7:$AD$91,MATCH($C1206,'Dist. Plant Gas Additions'!$C$7:$C$91,0),MATCH(Calculation!$G1206,'Dist. Plant Gas Additions'!$E$5:$AD$5,0))</f>
        <v>34271</v>
      </c>
      <c r="BM1206" s="129">
        <f>INDEX('Gen. Plant Additions'!$E$7:$AD$91,MATCH($C1206,'Gen. Plant Additions'!$C$7:$C$91,0),MATCH(Calculation!$G1206,'Gen. Plant Additions'!$E$5:$AD$5,0))</f>
        <v>1931</v>
      </c>
      <c r="BN1206" s="301">
        <f t="shared" si="2167"/>
        <v>0.92844257419120935</v>
      </c>
      <c r="BO1206" s="231">
        <f t="shared" si="2073"/>
        <v>1792.8226107632252</v>
      </c>
      <c r="BP1206" s="231">
        <f t="shared" si="2074"/>
        <v>-138.17738923677484</v>
      </c>
      <c r="BQ1206" s="129">
        <f>INDEX('Dist Plant Depreciation'!$D$7:$AC$94,MATCH($C1206,'Dist Plant Depreciation'!$C$7:$C$94,0),MATCH(Calculation!$G1206,'Dist Plant Depreciation'!$D$5:$AC$5,0))</f>
        <v>412027</v>
      </c>
      <c r="BR1206" s="129">
        <f>INDEX('Gen. Plant Depreciation'!$D$7:$AC$94,MATCH($C1206,'Gen. Plant Depreciation'!$C$7:$C$94,0),MATCH(Calculation!$G1206,'Gen. Plant Depreciation'!$D$5:$AC$5,0))</f>
        <v>41761</v>
      </c>
      <c r="BS1206" s="129"/>
      <c r="BT1206" s="129"/>
      <c r="BU1206" s="129"/>
      <c r="BV1206" s="129"/>
      <c r="BW1206" s="129"/>
      <c r="BX1206" s="137"/>
      <c r="BY1206" s="129">
        <f>INDEX('Gross Dx Plant'!$D$7:$AC$91,MATCH($C1206,'Gross Dx Plant'!$C$7:$C$91,0),MATCH(Calculation!$G1206,'Gross Dx Plant'!$D$5:$AC$5,0))</f>
        <v>1055071</v>
      </c>
      <c r="BZ1206" s="129">
        <f>INDEX('Gross Gen Plant'!$D$7:$AC$91,MATCH($C1206,'Gross Gen Plant'!$C$7:$C$91,0),MATCH(Calculation!$G1206,'Gross Gen Plant'!$D$5:$AC$5,0))</f>
        <v>81317</v>
      </c>
      <c r="CA1206" s="129">
        <f t="shared" si="2162"/>
        <v>682600</v>
      </c>
      <c r="CB1206" s="129"/>
      <c r="CC1206" s="133">
        <v>2001</v>
      </c>
      <c r="CD1206" s="129"/>
      <c r="CE1206" s="129"/>
      <c r="CF1206" s="129"/>
      <c r="CG1206" s="137"/>
      <c r="CH1206" s="129">
        <f t="shared" si="2168"/>
        <v>36202</v>
      </c>
      <c r="CI1206" s="46">
        <f t="shared" si="2176"/>
        <v>36063.822610763222</v>
      </c>
      <c r="CJ1206" s="231">
        <f t="shared" si="2177"/>
        <v>102.03448839520155</v>
      </c>
      <c r="CK1206" s="443">
        <v>0.96969696969696972</v>
      </c>
      <c r="CL1206" s="231">
        <f>+CL1203*CK1206+CJ1204*CK1205+CJ1205*CK1203+CJ1206</f>
        <v>3301.9595832020073</v>
      </c>
      <c r="CM1206" s="134">
        <f t="shared" si="2169"/>
        <v>2.1308462690234488E-2</v>
      </c>
      <c r="CN1206" s="135">
        <f t="shared" si="2170"/>
        <v>1.0029605630223882E-2</v>
      </c>
      <c r="CO1206" s="135">
        <f>+(CN1206+CN1205+CN1204)/3</f>
        <v>1.0043531909744592E-2</v>
      </c>
      <c r="CP1206" s="134">
        <f>VLOOKUP($H1206,RoR!$E:$F,2,FALSE)</f>
        <v>7.0824999999999999E-2</v>
      </c>
      <c r="CQ1206" s="135">
        <v>2.2454495382290052E-2</v>
      </c>
      <c r="CR1206" s="135">
        <f t="shared" si="2178"/>
        <v>4.8370504617709947E-2</v>
      </c>
      <c r="CS1206" s="135">
        <f>+$CR$2-CO1206</f>
        <v>2.0858409698789035E-2</v>
      </c>
      <c r="CT1206" s="135">
        <f>+((DF1204/DF1203-1)+(DF1205/DF1204-1)+(DF1206/DF1205-1))/3</f>
        <v>2.3947275901631187E-2</v>
      </c>
      <c r="CU1206" s="139">
        <f t="shared" si="2171"/>
        <v>0.87050000000000005</v>
      </c>
      <c r="CV1206" s="335">
        <f t="shared" si="2172"/>
        <v>0.72406708481540816</v>
      </c>
      <c r="CW1206" s="335">
        <f t="shared" si="2173"/>
        <v>0.62201729615248857</v>
      </c>
      <c r="CX1206" s="335">
        <f t="shared" si="2174"/>
        <v>0.9352469954311422</v>
      </c>
      <c r="CY1206" s="335">
        <f t="shared" si="2175"/>
        <v>0.42121864641655071</v>
      </c>
      <c r="CZ1206" s="336">
        <f>INDEX('State Tax Lookup'!$D$7:$Z$91,MATCH(Calculation!$C1206,'State Tax Lookup'!$B$7:$B$91,0),MATCH($H1206,'State Tax Lookup'!$D$6:$Z$6,0))</f>
        <v>0.35</v>
      </c>
      <c r="DA1206" s="302">
        <v>0.37</v>
      </c>
      <c r="DB1206" s="57">
        <f t="shared" ref="DB1206:DB1227" si="2179">+(DF1206*CS1206-CT1206)*CU1206/(1-CZ1206)</f>
        <v>9.8412073845610735</v>
      </c>
      <c r="DC1206" s="56"/>
      <c r="DD1206" s="303">
        <f>VLOOKUP($H1206,RoR!$E:$F,2,FALSE)</f>
        <v>7.0824999999999999E-2</v>
      </c>
      <c r="DE1206" s="304">
        <f>HLOOKUP($H1206,'GDP-PI'!$D$8:$CQ$11,3,FALSE)</f>
        <v>2.2454495382290052E-2</v>
      </c>
      <c r="DF1206" s="303">
        <f>VLOOKUP(H1206,'HW Dx Data'!$E:$F,2,FALSE)</f>
        <v>353.44738017483138</v>
      </c>
      <c r="DG1206" s="364"/>
      <c r="DH1206" s="364"/>
      <c r="DI1206" s="364"/>
      <c r="DJ1206" s="56"/>
      <c r="DK1206" s="53">
        <f>HLOOKUP(H1206,'GDP-PI'!$8:$9,2,FALSE)</f>
        <v>79.822000000000003</v>
      </c>
      <c r="DL1206" s="298"/>
    </row>
    <row r="1207" spans="1:116" s="126" customFormat="1" ht="21" customHeight="1" x14ac:dyDescent="0.4">
      <c r="A1207" s="233" t="s">
        <v>253</v>
      </c>
      <c r="B1207" s="126" t="s">
        <v>253</v>
      </c>
      <c r="C1207" s="126">
        <v>4059746</v>
      </c>
      <c r="D1207" s="127" t="s">
        <v>199</v>
      </c>
      <c r="E1207" s="127"/>
      <c r="F1207" s="144"/>
      <c r="G1207" s="126" t="s">
        <v>158</v>
      </c>
      <c r="H1207" s="128">
        <v>2002</v>
      </c>
      <c r="I1207" s="129"/>
      <c r="J1207" s="125"/>
      <c r="K1207" s="125"/>
      <c r="L1207" s="47"/>
      <c r="M1207" s="125"/>
      <c r="N1207" s="125"/>
      <c r="O1207" s="125"/>
      <c r="P1207" s="47"/>
      <c r="Q1207" s="47"/>
      <c r="R1207" s="386"/>
      <c r="S1207" s="119"/>
      <c r="T1207" s="47"/>
      <c r="U1207" s="47"/>
      <c r="V1207" s="125"/>
      <c r="W1207" s="125"/>
      <c r="X1207" s="125"/>
      <c r="Y1207" s="125"/>
      <c r="Z1207" s="125"/>
      <c r="AA1207" s="125"/>
      <c r="AB1207" s="125"/>
      <c r="AC1207" s="125">
        <f t="shared" si="2166"/>
        <v>32512.949633029279</v>
      </c>
      <c r="AD1207" s="129"/>
      <c r="AE1207" s="133">
        <v>3631.1889201580966</v>
      </c>
      <c r="AF1207" s="134">
        <v>4.6461714910821815E-2</v>
      </c>
      <c r="AG1207" s="61"/>
      <c r="AH1207" s="134"/>
      <c r="AI1207" s="134"/>
      <c r="AJ1207" s="129">
        <f t="shared" si="2138"/>
        <v>32512.949633029279</v>
      </c>
      <c r="AK1207" s="134"/>
      <c r="AL1207" s="129"/>
      <c r="AM1207" s="129"/>
      <c r="AN1207" s="129"/>
      <c r="AO1207" s="129"/>
      <c r="AP1207" s="133"/>
      <c r="AQ1207" s="134"/>
      <c r="AR1207" s="93"/>
      <c r="AS1207" s="93"/>
      <c r="AT1207" s="93"/>
      <c r="AU1207" s="93"/>
      <c r="AV1207" s="93"/>
      <c r="AW1207" s="134"/>
      <c r="AX1207" s="93"/>
      <c r="AY1207" s="93"/>
      <c r="AZ1207" s="93"/>
      <c r="BA1207" s="93"/>
      <c r="BB1207" s="234">
        <f>IFERROR(INDEX('Total Customers'!$E$7:$AA$91,MATCH($C1207,'Total Customers'!$C$7:$C$91,0),MATCH($G1207,'Total Customers'!$E$5:$AA$5,0)),"NA")</f>
        <v>1213805</v>
      </c>
      <c r="BC1207" s="269">
        <f t="shared" si="2095"/>
        <v>-6.3506668177181723E-3</v>
      </c>
      <c r="BD1207" s="92"/>
      <c r="BE1207" s="299" t="str">
        <f t="shared" si="2089"/>
        <v>THE EAST OHIO GAS COMPANY</v>
      </c>
      <c r="BF1207" s="300">
        <f t="shared" si="2090"/>
        <v>4059746</v>
      </c>
      <c r="BG1207" s="231" t="str">
        <f t="shared" si="2091"/>
        <v>OH</v>
      </c>
      <c r="BH1207" s="231"/>
      <c r="BI1207" s="231" t="str">
        <f t="shared" si="2092"/>
        <v>2002 Y</v>
      </c>
      <c r="BJ1207" s="129"/>
      <c r="BK1207" s="129"/>
      <c r="BL1207" s="129">
        <f>INDEX('Dist. Plant Gas Additions'!$E$7:$AD$91,MATCH($C1207,'Dist. Plant Gas Additions'!$C$7:$C$91,0),MATCH(Calculation!$G1207,'Dist. Plant Gas Additions'!$E$5:$AD$5,0))</f>
        <v>61019</v>
      </c>
      <c r="BM1207" s="129">
        <f>INDEX('Gen. Plant Additions'!$E$7:$AD$91,MATCH($C1207,'Gen. Plant Additions'!$C$7:$C$91,0),MATCH(Calculation!$G1207,'Gen. Plant Additions'!$E$5:$AD$5,0))</f>
        <v>5700</v>
      </c>
      <c r="BN1207" s="301">
        <f t="shared" si="2167"/>
        <v>0.94745254745254748</v>
      </c>
      <c r="BO1207" s="231">
        <f t="shared" si="2073"/>
        <v>5400.4795204795209</v>
      </c>
      <c r="BP1207" s="231">
        <f t="shared" si="2074"/>
        <v>-299.52047952047906</v>
      </c>
      <c r="BQ1207" s="129">
        <f>INDEX('Dist Plant Depreciation'!$D$7:$AC$94,MATCH($C1207,'Dist Plant Depreciation'!$C$7:$C$94,0),MATCH(Calculation!$G1207,'Dist Plant Depreciation'!$D$5:$AC$5,0))</f>
        <v>380465</v>
      </c>
      <c r="BR1207" s="129">
        <f>INDEX('Gen. Plant Depreciation'!$D$7:$AC$94,MATCH($C1207,'Gen. Plant Depreciation'!$C$7:$C$94,0),MATCH(Calculation!$G1207,'Gen. Plant Depreciation'!$D$5:$AC$5,0))</f>
        <v>26110</v>
      </c>
      <c r="BS1207" s="129"/>
      <c r="BT1207" s="129"/>
      <c r="BU1207" s="129"/>
      <c r="BV1207" s="129"/>
      <c r="BW1207" s="129"/>
      <c r="BX1207" s="137"/>
      <c r="BY1207" s="129">
        <f>INDEX('Gross Dx Plant'!$D$7:$AC$91,MATCH($C1207,'Gross Dx Plant'!$C$7:$C$91,0),MATCH(Calculation!$G1207,'Gross Dx Plant'!$D$5:$AC$5,0))</f>
        <v>1114370</v>
      </c>
      <c r="BZ1207" s="129">
        <f>INDEX('Gross Gen Plant'!$D$7:$AC$91,MATCH($C1207,'Gross Gen Plant'!$C$7:$C$91,0),MATCH(Calculation!$G1207,'Gross Gen Plant'!$D$5:$AC$5,0))</f>
        <v>61805</v>
      </c>
      <c r="CA1207" s="129">
        <f t="shared" si="2162"/>
        <v>769600</v>
      </c>
      <c r="CB1207" s="129"/>
      <c r="CC1207" s="133">
        <v>2002</v>
      </c>
      <c r="CD1207" s="129"/>
      <c r="CE1207" s="129"/>
      <c r="CF1207" s="129"/>
      <c r="CG1207" s="137"/>
      <c r="CH1207" s="129">
        <f t="shared" si="2168"/>
        <v>66719</v>
      </c>
      <c r="CI1207" s="46">
        <f t="shared" si="2176"/>
        <v>66419.479520479523</v>
      </c>
      <c r="CJ1207" s="231">
        <f t="shared" si="2177"/>
        <v>183.8102025107498</v>
      </c>
      <c r="CK1207" s="443">
        <v>0.95918367346938771</v>
      </c>
      <c r="CL1207" s="231">
        <f>+CL1203*CK1207+CJ1204*CK1206+CJ1205*CK1205+CJ1206*CK1204+CJ1207</f>
        <v>3448.7045479877643</v>
      </c>
      <c r="CM1207" s="134">
        <f t="shared" si="2169"/>
        <v>4.3482561864390347E-2</v>
      </c>
      <c r="CN1207" s="135">
        <f t="shared" si="2170"/>
        <v>1.1225224534411028E-2</v>
      </c>
      <c r="CO1207" s="135">
        <f t="shared" ref="CO1207:CO1227" si="2180">+(CN1207+CN1206+CN1205)/3</f>
        <v>1.0484943388211617E-2</v>
      </c>
      <c r="CP1207" s="134">
        <f>VLOOKUP($H1207,RoR!$E:$F,2,FALSE)</f>
        <v>6.4916666666666664E-2</v>
      </c>
      <c r="CQ1207" s="135">
        <v>1.5246423291824351E-2</v>
      </c>
      <c r="CR1207" s="135">
        <f t="shared" si="2178"/>
        <v>4.9670243374842313E-2</v>
      </c>
      <c r="CS1207" s="135">
        <f t="shared" ref="CS1207:CS1227" si="2181">+$CR$2-CO1207</f>
        <v>2.0416998220322009E-2</v>
      </c>
      <c r="CT1207" s="135">
        <f t="shared" ref="CT1207:CT1226" si="2182">+((DF1205/DF1204-1)+(DF1206/DF1205-1)+(DF1207/DF1206-1))/3</f>
        <v>2.5243621214759093E-2</v>
      </c>
      <c r="CU1207" s="139">
        <f t="shared" si="2171"/>
        <v>0.87050000000000005</v>
      </c>
      <c r="CV1207" s="335">
        <f t="shared" si="2172"/>
        <v>0.78996741384417901</v>
      </c>
      <c r="CW1207" s="335">
        <f t="shared" si="2173"/>
        <v>0.58989088575096271</v>
      </c>
      <c r="CX1207" s="335">
        <f t="shared" si="2174"/>
        <v>0.91920675783645744</v>
      </c>
      <c r="CY1207" s="335">
        <f t="shared" si="2175"/>
        <v>0.42834536472275586</v>
      </c>
      <c r="CZ1207" s="336">
        <f>INDEX('State Tax Lookup'!$D$7:$Z$91,MATCH(Calculation!$C1207,'State Tax Lookup'!$B$7:$B$91,0),MATCH($H1207,'State Tax Lookup'!$D$6:$Z$6,0))</f>
        <v>0.35</v>
      </c>
      <c r="DA1207" s="302">
        <v>0.37</v>
      </c>
      <c r="DB1207" s="57">
        <f t="shared" si="2179"/>
        <v>9.846561962306188</v>
      </c>
      <c r="DC1207" s="56">
        <f t="shared" ref="DC1207:DC1225" si="2183">LN(DB1207/DB1206)</f>
        <v>5.4394967584200352E-4</v>
      </c>
      <c r="DD1207" s="303">
        <f>VLOOKUP($H1207,RoR!$E:$F,2,FALSE)</f>
        <v>6.4916666666666664E-2</v>
      </c>
      <c r="DE1207" s="304">
        <f>HLOOKUP($H1207,'GDP-PI'!$D$8:$CQ$11,3,FALSE)</f>
        <v>1.5246423291824351E-2</v>
      </c>
      <c r="DF1207" s="303">
        <f>VLOOKUP(H1207,'HW Dx Data'!$E:$F,2,FALSE)</f>
        <v>361.34816573413599</v>
      </c>
      <c r="DG1207" s="364"/>
      <c r="DH1207" s="364"/>
      <c r="DI1207" s="364"/>
      <c r="DJ1207" s="56"/>
      <c r="DK1207" s="53">
        <f>HLOOKUP(H1207,'GDP-PI'!$8:$9,2,FALSE)</f>
        <v>81.039000000000001</v>
      </c>
      <c r="DL1207" s="355">
        <f>LN(DK1207/DK1206)</f>
        <v>1.513136459537477E-2</v>
      </c>
    </row>
    <row r="1208" spans="1:116" s="126" customFormat="1" ht="21" customHeight="1" x14ac:dyDescent="0.4">
      <c r="A1208" s="233" t="s">
        <v>253</v>
      </c>
      <c r="B1208" s="126" t="s">
        <v>253</v>
      </c>
      <c r="C1208" s="126">
        <v>4059746</v>
      </c>
      <c r="D1208" s="127" t="s">
        <v>199</v>
      </c>
      <c r="E1208" s="127"/>
      <c r="F1208" s="144"/>
      <c r="G1208" s="126" t="s">
        <v>159</v>
      </c>
      <c r="H1208" s="128">
        <v>2003</v>
      </c>
      <c r="I1208" s="129"/>
      <c r="J1208" s="125"/>
      <c r="K1208" s="125"/>
      <c r="L1208" s="47"/>
      <c r="M1208" s="125"/>
      <c r="N1208" s="125"/>
      <c r="O1208" s="125"/>
      <c r="P1208" s="59"/>
      <c r="Q1208" s="59"/>
      <c r="R1208" s="386"/>
      <c r="S1208" s="119"/>
      <c r="T1208" s="59"/>
      <c r="U1208" s="59"/>
      <c r="V1208" s="125"/>
      <c r="W1208" s="125"/>
      <c r="X1208" s="125"/>
      <c r="Y1208" s="125"/>
      <c r="Z1208" s="125"/>
      <c r="AA1208" s="125"/>
      <c r="AB1208" s="125"/>
      <c r="AC1208" s="125">
        <f t="shared" si="2166"/>
        <v>34229.967935678818</v>
      </c>
      <c r="AD1208" s="129"/>
      <c r="AE1208" s="133">
        <v>3787.8425789533258</v>
      </c>
      <c r="AF1208" s="134">
        <v>4.2236495767700499E-2</v>
      </c>
      <c r="AG1208" s="61"/>
      <c r="AH1208" s="134"/>
      <c r="AI1208" s="134"/>
      <c r="AJ1208" s="129">
        <f t="shared" si="2138"/>
        <v>34229.967935678818</v>
      </c>
      <c r="AK1208" s="134"/>
      <c r="AL1208" s="129"/>
      <c r="AM1208" s="129"/>
      <c r="AN1208" s="129"/>
      <c r="AO1208" s="129"/>
      <c r="AP1208" s="133"/>
      <c r="AQ1208" s="134"/>
      <c r="AR1208" s="93"/>
      <c r="AS1208" s="93"/>
      <c r="AT1208" s="93"/>
      <c r="AU1208" s="93"/>
      <c r="AV1208" s="93"/>
      <c r="AW1208" s="134"/>
      <c r="AX1208" s="93"/>
      <c r="AY1208" s="93"/>
      <c r="AZ1208" s="93"/>
      <c r="BA1208" s="93"/>
      <c r="BB1208" s="234">
        <f>IFERROR(INDEX('Total Customers'!$E$7:$AA$91,MATCH($C1208,'Total Customers'!$C$7:$C$91,0),MATCH($G1208,'Total Customers'!$E$5:$AA$5,0)),"NA")</f>
        <v>1215966</v>
      </c>
      <c r="BC1208" s="269">
        <f t="shared" si="2095"/>
        <v>1.7787689208463855E-3</v>
      </c>
      <c r="BD1208" s="92"/>
      <c r="BE1208" s="299" t="str">
        <f t="shared" si="2089"/>
        <v>THE EAST OHIO GAS COMPANY</v>
      </c>
      <c r="BF1208" s="300">
        <f t="shared" si="2090"/>
        <v>4059746</v>
      </c>
      <c r="BG1208" s="231" t="str">
        <f t="shared" si="2091"/>
        <v>OH</v>
      </c>
      <c r="BH1208" s="231"/>
      <c r="BI1208" s="231" t="str">
        <f t="shared" si="2092"/>
        <v>2003 Y</v>
      </c>
      <c r="BJ1208" s="129"/>
      <c r="BK1208" s="129"/>
      <c r="BL1208" s="129">
        <f>INDEX('Dist. Plant Gas Additions'!$E$7:$AD$91,MATCH($C1208,'Dist. Plant Gas Additions'!$C$7:$C$91,0),MATCH(Calculation!$G1208,'Dist. Plant Gas Additions'!$E$5:$AD$5,0))</f>
        <v>61448</v>
      </c>
      <c r="BM1208" s="129">
        <f>INDEX('Gen. Plant Additions'!$E$7:$AD$91,MATCH($C1208,'Gen. Plant Additions'!$C$7:$C$91,0),MATCH(Calculation!$G1208,'Gen. Plant Additions'!$E$5:$AD$5,0))</f>
        <v>3986</v>
      </c>
      <c r="BN1208" s="301">
        <f t="shared" si="2167"/>
        <v>0.90406427403208001</v>
      </c>
      <c r="BO1208" s="231">
        <f t="shared" si="2073"/>
        <v>3603.6001962918708</v>
      </c>
      <c r="BP1208" s="231">
        <f t="shared" si="2074"/>
        <v>-382.39980370812918</v>
      </c>
      <c r="BQ1208" s="129">
        <f>INDEX('Dist Plant Depreciation'!$D$7:$AC$94,MATCH($C1208,'Dist Plant Depreciation'!$C$7:$C$94,0),MATCH(Calculation!$G1208,'Dist Plant Depreciation'!$D$5:$AC$5,0))</f>
        <v>411484</v>
      </c>
      <c r="BR1208" s="129">
        <f>INDEX('Gen. Plant Depreciation'!$D$7:$AC$94,MATCH($C1208,'Gen. Plant Depreciation'!$C$7:$C$94,0),MATCH(Calculation!$G1208,'Gen. Plant Depreciation'!$D$5:$AC$5,0))</f>
        <v>138844</v>
      </c>
      <c r="BS1208" s="129"/>
      <c r="BT1208" s="129"/>
      <c r="BU1208" s="129"/>
      <c r="BV1208" s="129"/>
      <c r="BW1208" s="129"/>
      <c r="BX1208" s="137"/>
      <c r="BY1208" s="129">
        <f>INDEX('Gross Dx Plant'!$D$7:$AC$91,MATCH($C1208,'Gross Dx Plant'!$C$7:$C$91,0),MATCH(Calculation!$G1208,'Gross Dx Plant'!$D$5:$AC$5,0))</f>
        <v>1173536</v>
      </c>
      <c r="BZ1208" s="129">
        <f>INDEX('Gross Gen Plant'!$D$7:$AC$91,MATCH($C1208,'Gross Gen Plant'!$C$7:$C$91,0),MATCH(Calculation!$G1208,'Gross Gen Plant'!$D$5:$AC$5,0))</f>
        <v>124531</v>
      </c>
      <c r="CA1208" s="129">
        <f t="shared" si="2162"/>
        <v>747739</v>
      </c>
      <c r="CB1208" s="129"/>
      <c r="CC1208" s="133">
        <v>2003</v>
      </c>
      <c r="CD1208" s="129"/>
      <c r="CE1208" s="129"/>
      <c r="CF1208" s="129"/>
      <c r="CG1208" s="137"/>
      <c r="CH1208" s="129">
        <f t="shared" si="2168"/>
        <v>65434</v>
      </c>
      <c r="CI1208" s="46">
        <f t="shared" si="2176"/>
        <v>65051.600196291867</v>
      </c>
      <c r="CJ1208" s="231">
        <f t="shared" si="2177"/>
        <v>176.18034754783596</v>
      </c>
      <c r="CK1208" s="443">
        <v>0.94845360824742264</v>
      </c>
      <c r="CL1208" s="231">
        <f>+CL1203*CK1208+CJ1204*CK1207+CJ1205*CK1206+CJ1206*CK1205+CJ1207*CK1204+CJ1208</f>
        <v>3586.73952945361</v>
      </c>
      <c r="CM1208" s="134">
        <f t="shared" si="2169"/>
        <v>3.9244913571493817E-2</v>
      </c>
      <c r="CN1208" s="135">
        <f t="shared" si="2170"/>
        <v>1.1060781099455783E-2</v>
      </c>
      <c r="CO1208" s="135">
        <f t="shared" si="2180"/>
        <v>1.0771870421363565E-2</v>
      </c>
      <c r="CP1208" s="134">
        <f>VLOOKUP($H1208,RoR!$E:$F,2,FALSE)</f>
        <v>5.6666666666666671E-2</v>
      </c>
      <c r="CQ1208" s="135">
        <v>1.8855119140166909E-2</v>
      </c>
      <c r="CR1208" s="135">
        <f t="shared" si="2178"/>
        <v>3.7811547526499761E-2</v>
      </c>
      <c r="CS1208" s="135">
        <f t="shared" si="2181"/>
        <v>2.013007118717006E-2</v>
      </c>
      <c r="CT1208" s="135">
        <f t="shared" si="2182"/>
        <v>2.1375012817671957E-2</v>
      </c>
      <c r="CU1208" s="139">
        <f t="shared" si="2171"/>
        <v>0.87050000000000005</v>
      </c>
      <c r="CV1208" s="335">
        <f t="shared" si="2172"/>
        <v>0.90497737556561086</v>
      </c>
      <c r="CW1208" s="335">
        <f t="shared" si="2173"/>
        <v>0.5338235294117647</v>
      </c>
      <c r="CX1208" s="335">
        <f t="shared" si="2174"/>
        <v>0.88972433127405692</v>
      </c>
      <c r="CY1208" s="335">
        <f t="shared" si="2175"/>
        <v>0.42982423775949252</v>
      </c>
      <c r="CZ1208" s="336">
        <f>INDEX('State Tax Lookup'!$D$7:$Z$91,MATCH(Calculation!$C1208,'State Tax Lookup'!$B$7:$B$91,0),MATCH($H1208,'State Tax Lookup'!$D$6:$Z$6,0))</f>
        <v>0.35</v>
      </c>
      <c r="DA1208" s="302">
        <v>0.37</v>
      </c>
      <c r="DB1208" s="57">
        <f t="shared" si="2179"/>
        <v>9.9254567793147643</v>
      </c>
      <c r="DC1208" s="56">
        <f t="shared" si="2183"/>
        <v>7.9804937231813221E-3</v>
      </c>
      <c r="DD1208" s="303">
        <f>VLOOKUP($H1208,RoR!$E:$F,2,FALSE)</f>
        <v>5.6666666666666671E-2</v>
      </c>
      <c r="DE1208" s="304">
        <f>HLOOKUP($H1208,'GDP-PI'!$D$8:$CQ$11,3,FALSE)</f>
        <v>1.8855119140166909E-2</v>
      </c>
      <c r="DF1208" s="303">
        <f>VLOOKUP(H1208,'HW Dx Data'!$E:$F,2,FALSE)</f>
        <v>369.23301095560191</v>
      </c>
      <c r="DG1208" s="364">
        <f ca="1">VLOOKUP(CC1208,'ECI - Input Price'!M$13:N$33,2,FALSE)</f>
        <v>89.25</v>
      </c>
      <c r="DH1208" s="364"/>
      <c r="DI1208" s="364"/>
      <c r="DJ1208" s="56"/>
      <c r="DK1208" s="53">
        <f>HLOOKUP(H1208,'GDP-PI'!$8:$9,2,FALSE)</f>
        <v>82.566999999999993</v>
      </c>
      <c r="DL1208" s="355">
        <f t="shared" ref="DL1208:DL1227" si="2184">LN(DK1208/DK1207)</f>
        <v>1.8679564681853753E-2</v>
      </c>
    </row>
    <row r="1209" spans="1:116" s="126" customFormat="1" ht="21" customHeight="1" x14ac:dyDescent="0.4">
      <c r="A1209" s="233" t="s">
        <v>253</v>
      </c>
      <c r="B1209" s="126" t="s">
        <v>253</v>
      </c>
      <c r="C1209" s="126">
        <v>4059746</v>
      </c>
      <c r="D1209" s="127" t="s">
        <v>199</v>
      </c>
      <c r="E1209" s="127"/>
      <c r="F1209" s="144"/>
      <c r="G1209" s="126" t="s">
        <v>160</v>
      </c>
      <c r="H1209" s="128">
        <v>2004</v>
      </c>
      <c r="I1209" s="129"/>
      <c r="J1209" s="125">
        <f>IFERROR(INDEX('Labor Expenditures'!$E$7:$W$91,MATCH($C1209,'Labor Expenditures'!$C$7:$C$91,0),MATCH($G1209,'Labor Expenditures'!$E$5:$W$5,0)),"NA")</f>
        <v>48343.436546285091</v>
      </c>
      <c r="K1209" s="125">
        <f t="shared" ref="K1209:K1227" ca="1" si="2185">+J1209/DG1209</f>
        <v>512.38406514345627</v>
      </c>
      <c r="L1209" s="47"/>
      <c r="M1209" s="131"/>
      <c r="N1209" s="131"/>
      <c r="O1209" s="131"/>
      <c r="P1209" s="59"/>
      <c r="Q1209" s="59"/>
      <c r="R1209" s="386"/>
      <c r="S1209" s="119"/>
      <c r="T1209" s="59"/>
      <c r="U1209" s="59"/>
      <c r="V1209" s="125">
        <f>IFERROR(INDEX('Non-Labor Expenditures'!$E$7:$AA$91,MATCH($C1209,'Non-Labor Expenditures'!$C$7:$C$91,0),MATCH($G1209,'Non-Labor Expenditures'!$E$5:$AA$5,0)),"NA")</f>
        <v>70010.325427469419</v>
      </c>
      <c r="W1209" s="125">
        <f t="shared" ref="W1209:W1227" si="2186">+V1209/DK1209</f>
        <v>825.80770279399621</v>
      </c>
      <c r="X1209" s="125"/>
      <c r="Y1209" s="125"/>
      <c r="Z1209" s="125"/>
      <c r="AA1209" s="125"/>
      <c r="AB1209" s="125"/>
      <c r="AC1209" s="125">
        <f t="shared" si="2166"/>
        <v>38976.520140054417</v>
      </c>
      <c r="AD1209" s="129"/>
      <c r="AE1209" s="133">
        <v>3908.6621476444902</v>
      </c>
      <c r="AF1209" s="134">
        <v>3.1398537085032568E-2</v>
      </c>
      <c r="AG1209" s="59">
        <f t="shared" ref="AG1209:AG1227" si="2187">+AF1209*$AX1209</f>
        <v>0</v>
      </c>
      <c r="AH1209" s="134"/>
      <c r="AI1209" s="134"/>
      <c r="AJ1209" s="129">
        <f t="shared" si="2138"/>
        <v>157330.28211380891</v>
      </c>
      <c r="AK1209" s="134"/>
      <c r="AL1209" s="129"/>
      <c r="AM1209" s="129"/>
      <c r="AN1209" s="129"/>
      <c r="AO1209" s="129"/>
      <c r="AP1209" s="133"/>
      <c r="AQ1209" s="134"/>
      <c r="AR1209" s="93">
        <f t="shared" ref="AR1209:AR1227" si="2188">+J1209/AJ1209</f>
        <v>0.3072735642291331</v>
      </c>
      <c r="AS1209" s="93">
        <f t="shared" ref="AS1209:AS1227" si="2189">+V1209/AJ1209</f>
        <v>0.44498951178912682</v>
      </c>
      <c r="AT1209" s="93">
        <f t="shared" ref="AT1209:AT1227" si="2190">+AC1209/AJ1209</f>
        <v>0.24773692398174021</v>
      </c>
      <c r="AU1209" s="93"/>
      <c r="AV1209" s="93"/>
      <c r="AW1209" s="134"/>
      <c r="AX1209" s="93"/>
      <c r="AY1209" s="93"/>
      <c r="AZ1209" s="93"/>
      <c r="BA1209" s="93"/>
      <c r="BB1209" s="234">
        <f>IFERROR(INDEX('Total Customers'!$E$7:$AA$91,MATCH($C1209,'Total Customers'!$C$7:$C$91,0),MATCH($G1209,'Total Customers'!$E$5:$AA$5,0)),"NA")</f>
        <v>1217546</v>
      </c>
      <c r="BC1209" s="269">
        <f t="shared" si="2095"/>
        <v>1.2985349749787855E-3</v>
      </c>
      <c r="BD1209" s="92"/>
      <c r="BE1209" s="299" t="str">
        <f t="shared" si="2089"/>
        <v>THE EAST OHIO GAS COMPANY</v>
      </c>
      <c r="BF1209" s="300">
        <f t="shared" si="2090"/>
        <v>4059746</v>
      </c>
      <c r="BG1209" s="231" t="str">
        <f t="shared" si="2091"/>
        <v>OH</v>
      </c>
      <c r="BH1209" s="231"/>
      <c r="BI1209" s="231" t="str">
        <f t="shared" si="2092"/>
        <v>2004 Y</v>
      </c>
      <c r="BJ1209" s="129"/>
      <c r="BK1209" s="129"/>
      <c r="BL1209" s="129">
        <f>INDEX('Dist. Plant Gas Additions'!$E$7:$AD$91,MATCH($C1209,'Dist. Plant Gas Additions'!$C$7:$C$91,0),MATCH(Calculation!$G1209,'Dist. Plant Gas Additions'!$E$5:$AD$5,0))</f>
        <v>55008</v>
      </c>
      <c r="BM1209" s="129">
        <f>INDEX('Gen. Plant Additions'!$E$7:$AD$91,MATCH($C1209,'Gen. Plant Additions'!$C$7:$C$91,0),MATCH(Calculation!$G1209,'Gen. Plant Additions'!$E$5:$AD$5,0))</f>
        <v>4289</v>
      </c>
      <c r="BN1209" s="301">
        <f t="shared" si="2167"/>
        <v>0.90745687709509604</v>
      </c>
      <c r="BO1209" s="231">
        <f t="shared" si="2073"/>
        <v>3892.082545860867</v>
      </c>
      <c r="BP1209" s="231">
        <f t="shared" si="2074"/>
        <v>-396.91745413913304</v>
      </c>
      <c r="BQ1209" s="129">
        <f>INDEX('Dist Plant Depreciation'!$D$7:$AC$94,MATCH($C1209,'Dist Plant Depreciation'!$C$7:$C$94,0),MATCH(Calculation!$G1209,'Dist Plant Depreciation'!$D$5:$AC$5,0))</f>
        <v>438381</v>
      </c>
      <c r="BR1209" s="129">
        <f>INDEX('Gen. Plant Depreciation'!$D$7:$AC$94,MATCH($C1209,'Gen. Plant Depreciation'!$C$7:$C$94,0),MATCH(Calculation!$G1209,'Gen. Plant Depreciation'!$D$5:$AC$5,0))</f>
        <v>140244</v>
      </c>
      <c r="BS1209" s="129"/>
      <c r="BT1209" s="129"/>
      <c r="BU1209" s="129"/>
      <c r="BV1209" s="129"/>
      <c r="BW1209" s="129"/>
      <c r="BX1209" s="137"/>
      <c r="BY1209" s="129">
        <f>INDEX('Gross Dx Plant'!$D$7:$AC$91,MATCH($C1209,'Gross Dx Plant'!$C$7:$C$91,0),MATCH(Calculation!$G1209,'Gross Dx Plant'!$D$5:$AC$5,0))</f>
        <v>1226310</v>
      </c>
      <c r="BZ1209" s="129">
        <f>INDEX('Gross Gen Plant'!$D$7:$AC$91,MATCH($C1209,'Gross Gen Plant'!$C$7:$C$91,0),MATCH(Calculation!$G1209,'Gross Gen Plant'!$D$5:$AC$5,0))</f>
        <v>125060</v>
      </c>
      <c r="CA1209" s="129">
        <f t="shared" si="2162"/>
        <v>772745</v>
      </c>
      <c r="CB1209" s="129"/>
      <c r="CC1209" s="133">
        <v>2004</v>
      </c>
      <c r="CD1209" s="129"/>
      <c r="CE1209" s="129"/>
      <c r="CF1209" s="129"/>
      <c r="CG1209" s="137"/>
      <c r="CH1209" s="129">
        <f t="shared" si="2168"/>
        <v>59297</v>
      </c>
      <c r="CI1209" s="46">
        <f t="shared" si="2176"/>
        <v>58900.082545860867</v>
      </c>
      <c r="CJ1209" s="231">
        <f t="shared" si="2177"/>
        <v>141.96650022836783</v>
      </c>
      <c r="CK1209" s="443">
        <v>0.9375</v>
      </c>
      <c r="CL1209" s="231">
        <f>+CL1203*CK1209+CJ1204*CK1208+CJ1205*CK1207+CJ1206*CK1206+CJ1207*CK1205+CJ1208*CK1204+CJ1209</f>
        <v>3688.0244271566939</v>
      </c>
      <c r="CM1209" s="134">
        <f t="shared" si="2169"/>
        <v>2.7847348325395451E-2</v>
      </c>
      <c r="CN1209" s="135">
        <f t="shared" si="2170"/>
        <v>1.1342223819492446E-2</v>
      </c>
      <c r="CO1209" s="135">
        <f t="shared" si="2180"/>
        <v>1.1209409817786418E-2</v>
      </c>
      <c r="CP1209" s="134">
        <f>VLOOKUP($H1209,RoR!$E:$F,2,FALSE)</f>
        <v>5.6283333333333331E-2</v>
      </c>
      <c r="CQ1209" s="135">
        <v>2.6778252812867276E-2</v>
      </c>
      <c r="CR1209" s="135">
        <f t="shared" si="2178"/>
        <v>2.9505080520466055E-2</v>
      </c>
      <c r="CS1209" s="135">
        <f t="shared" si="2181"/>
        <v>1.9692531790747207E-2</v>
      </c>
      <c r="CT1209" s="135">
        <f t="shared" si="2182"/>
        <v>5.5940039414565046E-2</v>
      </c>
      <c r="CU1209" s="139">
        <f t="shared" si="2171"/>
        <v>0.87050000000000005</v>
      </c>
      <c r="CV1209" s="335">
        <f t="shared" si="2172"/>
        <v>0.91114097628755619</v>
      </c>
      <c r="CW1209" s="335">
        <f t="shared" si="2173"/>
        <v>0.53081877405981637</v>
      </c>
      <c r="CX1209" s="335">
        <f t="shared" si="2174"/>
        <v>0.88811215519385678</v>
      </c>
      <c r="CY1209" s="335">
        <f t="shared" si="2175"/>
        <v>0.42953609753547711</v>
      </c>
      <c r="CZ1209" s="336">
        <f>INDEX('State Tax Lookup'!$D$7:$Z$91,MATCH(Calculation!$C1209,'State Tax Lookup'!$B$7:$B$91,0),MATCH($H1209,'State Tax Lookup'!$D$6:$Z$6,0))</f>
        <v>0.35</v>
      </c>
      <c r="DA1209" s="302">
        <v>0.37</v>
      </c>
      <c r="DB1209" s="57">
        <f t="shared" si="2179"/>
        <v>10.866838759822615</v>
      </c>
      <c r="DC1209" s="56">
        <f t="shared" si="2183"/>
        <v>9.0612987753658156E-2</v>
      </c>
      <c r="DD1209" s="303">
        <f>VLOOKUP($H1209,RoR!$E:$F,2,FALSE)</f>
        <v>5.6283333333333331E-2</v>
      </c>
      <c r="DE1209" s="304">
        <f>HLOOKUP($H1209,'GDP-PI'!$D$8:$CQ$11,3,FALSE)</f>
        <v>2.6778252812867276E-2</v>
      </c>
      <c r="DF1209" s="303">
        <f>VLOOKUP(H1209,'HW Dx Data'!$E:$F,2,FALSE)</f>
        <v>414.88719135228365</v>
      </c>
      <c r="DG1209" s="364">
        <f ca="1">VLOOKUP(CC1209,'ECI - Input Price'!M$13:N$33,2,FALSE)</f>
        <v>94.35</v>
      </c>
      <c r="DH1209" s="364"/>
      <c r="DI1209" s="364"/>
      <c r="DJ1209" s="56">
        <f t="shared" ref="DJ1209:DJ1227" ca="1" si="2191">LN(DG1209/DG1208)</f>
        <v>5.5569851154810786E-2</v>
      </c>
      <c r="DK1209" s="53">
        <f>HLOOKUP(H1209,'GDP-PI'!$8:$9,2,FALSE)</f>
        <v>84.778000000000006</v>
      </c>
      <c r="DL1209" s="355">
        <f t="shared" si="2184"/>
        <v>2.6425990216022755E-2</v>
      </c>
    </row>
    <row r="1210" spans="1:116" s="126" customFormat="1" ht="21" customHeight="1" x14ac:dyDescent="0.4">
      <c r="A1210" s="233" t="s">
        <v>253</v>
      </c>
      <c r="B1210" s="126" t="s">
        <v>253</v>
      </c>
      <c r="C1210" s="126">
        <v>4059746</v>
      </c>
      <c r="D1210" s="127" t="s">
        <v>199</v>
      </c>
      <c r="E1210" s="127"/>
      <c r="F1210" s="144"/>
      <c r="G1210" s="126" t="s">
        <v>161</v>
      </c>
      <c r="H1210" s="128">
        <v>2005</v>
      </c>
      <c r="I1210" s="129"/>
      <c r="J1210" s="125">
        <f>IFERROR(INDEX('Labor Expenditures'!$E$7:$W$91,MATCH($C1210,'Labor Expenditures'!$C$7:$C$91,0),MATCH($G1210,'Labor Expenditures'!$E$5:$W$5,0)),"NA")</f>
        <v>55033.466797274566</v>
      </c>
      <c r="K1210" s="125">
        <f t="shared" ca="1" si="2185"/>
        <v>554.63307429855956</v>
      </c>
      <c r="L1210" s="47"/>
      <c r="M1210" s="131">
        <f t="shared" ref="M1210:M1226" ca="1" si="2192">LN(K1210/K1209)</f>
        <v>7.9232296647361977E-2</v>
      </c>
      <c r="N1210" s="131"/>
      <c r="O1210" s="131"/>
      <c r="P1210" s="59"/>
      <c r="Q1210" s="61"/>
      <c r="R1210" s="387"/>
      <c r="S1210" s="49">
        <v>100</v>
      </c>
      <c r="T1210" s="46"/>
      <c r="U1210" s="46"/>
      <c r="V1210" s="125">
        <f>IFERROR(INDEX('Non-Labor Expenditures'!$E$7:$AA$91,MATCH($C1210,'Non-Labor Expenditures'!$C$7:$C$91,0),MATCH($G1210,'Non-Labor Expenditures'!$E$5:$AA$5,0)),"NA")</f>
        <v>79698.738756194158</v>
      </c>
      <c r="W1210" s="125">
        <f t="shared" si="2186"/>
        <v>911.81185438459352</v>
      </c>
      <c r="X1210" s="131">
        <f>LN(W1210/W1209)</f>
        <v>9.9071727691198111E-2</v>
      </c>
      <c r="Y1210" s="131"/>
      <c r="Z1210" s="131"/>
      <c r="AA1210" s="131"/>
      <c r="AB1210" s="131"/>
      <c r="AC1210" s="125">
        <f t="shared" si="2166"/>
        <v>44859.022963828851</v>
      </c>
      <c r="AD1210" s="129"/>
      <c r="AE1210" s="133">
        <v>4027.3609193405409</v>
      </c>
      <c r="AF1210" s="134">
        <v>2.9916149001687337E-2</v>
      </c>
      <c r="AG1210" s="59">
        <f t="shared" si="2187"/>
        <v>0</v>
      </c>
      <c r="AH1210" s="134"/>
      <c r="AI1210" s="134"/>
      <c r="AJ1210" s="129">
        <f t="shared" si="2138"/>
        <v>179591.22851729757</v>
      </c>
      <c r="AK1210" s="134">
        <f>LN(AJ1210/AJ1209)</f>
        <v>0.1323360122999315</v>
      </c>
      <c r="AL1210" s="129"/>
      <c r="AM1210" s="129"/>
      <c r="AN1210" s="129"/>
      <c r="AO1210" s="129"/>
      <c r="AP1210" s="133"/>
      <c r="AQ1210" s="134"/>
      <c r="AR1210" s="93">
        <f t="shared" si="2188"/>
        <v>0.30643738701288492</v>
      </c>
      <c r="AS1210" s="93">
        <f t="shared" si="2189"/>
        <v>0.44377857100363821</v>
      </c>
      <c r="AT1210" s="93">
        <f t="shared" si="2190"/>
        <v>0.2497840419834769</v>
      </c>
      <c r="AU1210" s="93">
        <f t="shared" ref="AU1210:AU1226" ca="1" si="2193">+(((AR1210+AR1209)/2)*M1210+((AS1209+AS1210)/2)*X1210+((AT1209+AT1210)/2)*AF1210)</f>
        <v>7.5780714486447076E-2</v>
      </c>
      <c r="AV1210" s="132">
        <v>100</v>
      </c>
      <c r="AW1210" s="134"/>
      <c r="AX1210" s="93"/>
      <c r="AY1210" s="93"/>
      <c r="AZ1210" s="93"/>
      <c r="BA1210" s="93"/>
      <c r="BB1210" s="234">
        <f>IFERROR(INDEX('Total Customers'!$E$7:$AA$91,MATCH($C1210,'Total Customers'!$C$7:$C$91,0),MATCH($G1210,'Total Customers'!$E$5:$AA$5,0)),"NA")</f>
        <v>1218695</v>
      </c>
      <c r="BC1210" s="269">
        <f t="shared" si="2095"/>
        <v>9.4325650474801331E-4</v>
      </c>
      <c r="BD1210" s="92"/>
      <c r="BE1210" s="299" t="str">
        <f t="shared" si="2089"/>
        <v>THE EAST OHIO GAS COMPANY</v>
      </c>
      <c r="BF1210" s="300">
        <f t="shared" si="2090"/>
        <v>4059746</v>
      </c>
      <c r="BG1210" s="231" t="str">
        <f t="shared" si="2091"/>
        <v>OH</v>
      </c>
      <c r="BH1210" s="231"/>
      <c r="BI1210" s="231" t="str">
        <f t="shared" si="2092"/>
        <v>2005 Y</v>
      </c>
      <c r="BJ1210" s="129"/>
      <c r="BK1210" s="129"/>
      <c r="BL1210" s="129">
        <f>INDEX('Dist. Plant Gas Additions'!$E$7:$AD$91,MATCH($C1210,'Dist. Plant Gas Additions'!$C$7:$C$91,0),MATCH(Calculation!$G1210,'Dist. Plant Gas Additions'!$E$5:$AD$5,0))</f>
        <v>58561</v>
      </c>
      <c r="BM1210" s="129">
        <f>INDEX('Gen. Plant Additions'!$E$7:$AD$91,MATCH($C1210,'Gen. Plant Additions'!$C$7:$C$91,0),MATCH(Calculation!$G1210,'Gen. Plant Additions'!$E$5:$AD$5,0))</f>
        <v>8175</v>
      </c>
      <c r="BN1210" s="301">
        <f t="shared" si="2167"/>
        <v>0.90779957602731565</v>
      </c>
      <c r="BO1210" s="231">
        <f t="shared" si="2073"/>
        <v>7421.2615340233051</v>
      </c>
      <c r="BP1210" s="231">
        <f t="shared" si="2074"/>
        <v>-753.7384659766949</v>
      </c>
      <c r="BQ1210" s="129">
        <f>INDEX('Dist Plant Depreciation'!$D$7:$AC$94,MATCH($C1210,'Dist Plant Depreciation'!$C$7:$C$94,0),MATCH(Calculation!$G1210,'Dist Plant Depreciation'!$D$5:$AC$5,0))</f>
        <v>450655</v>
      </c>
      <c r="BR1210" s="129">
        <f>INDEX('Gen. Plant Depreciation'!$D$7:$AC$94,MATCH($C1210,'Gen. Plant Depreciation'!$C$7:$C$94,0),MATCH(Calculation!$G1210,'Gen. Plant Depreciation'!$D$5:$AC$5,0))</f>
        <v>82645</v>
      </c>
      <c r="BS1210" s="129"/>
      <c r="BT1210" s="129"/>
      <c r="BU1210" s="129"/>
      <c r="BV1210" s="129"/>
      <c r="BW1210" s="129"/>
      <c r="BX1210" s="137"/>
      <c r="BY1210" s="129">
        <f>INDEX('Gross Dx Plant'!$D$7:$AC$91,MATCH($C1210,'Gross Dx Plant'!$C$7:$C$91,0),MATCH(Calculation!$G1210,'Gross Dx Plant'!$D$5:$AC$5,0))</f>
        <v>1265006</v>
      </c>
      <c r="BZ1210" s="129">
        <f>INDEX('Gross Gen Plant'!$D$7:$AC$91,MATCH($C1210,'Gross Gen Plant'!$C$7:$C$91,0),MATCH(Calculation!$G1210,'Gross Gen Plant'!$D$5:$AC$5,0))</f>
        <v>128480</v>
      </c>
      <c r="CA1210" s="129">
        <f t="shared" si="2162"/>
        <v>860186</v>
      </c>
      <c r="CB1210" s="129"/>
      <c r="CC1210" s="133">
        <v>2005</v>
      </c>
      <c r="CD1210" s="129"/>
      <c r="CE1210" s="129"/>
      <c r="CF1210" s="129"/>
      <c r="CG1210" s="137"/>
      <c r="CH1210" s="129">
        <f t="shared" si="2168"/>
        <v>66736</v>
      </c>
      <c r="CI1210" s="46">
        <f t="shared" si="2176"/>
        <v>65982.261534023302</v>
      </c>
      <c r="CJ1210" s="231">
        <f t="shared" si="2177"/>
        <v>140.62561523706663</v>
      </c>
      <c r="CK1210" s="443">
        <v>0.9263157894736842</v>
      </c>
      <c r="CL1210" s="231">
        <f>+CL1203*CK1210+CJ1204*CK1209+CJ1205*CK1208+CJ1206*CK1207+CJ1207*CK1206+CJ1208*CK1205+CJ1209*CK1204+CJ1210</f>
        <v>3785.7111474873464</v>
      </c>
      <c r="CM1210" s="134">
        <f t="shared" si="2169"/>
        <v>2.6142825882910808E-2</v>
      </c>
      <c r="CN1210" s="135">
        <f t="shared" si="2170"/>
        <v>1.1642790267394796E-2</v>
      </c>
      <c r="CO1210" s="135">
        <f t="shared" si="2180"/>
        <v>1.1348598395447676E-2</v>
      </c>
      <c r="CP1210" s="134">
        <f>VLOOKUP($H1210,RoR!$E:$F,2,FALSE)</f>
        <v>5.2350000000000001E-2</v>
      </c>
      <c r="CQ1210" s="135">
        <v>3.1010403642454332E-2</v>
      </c>
      <c r="CR1210" s="135">
        <f t="shared" si="2178"/>
        <v>2.1339596357545669E-2</v>
      </c>
      <c r="CS1210" s="135">
        <f t="shared" si="2181"/>
        <v>1.9553343213085949E-2</v>
      </c>
      <c r="CT1210" s="135">
        <f t="shared" si="2182"/>
        <v>9.2129610649277341E-2</v>
      </c>
      <c r="CU1210" s="139">
        <f t="shared" si="2171"/>
        <v>0.87050000000000005</v>
      </c>
      <c r="CV1210" s="335">
        <f t="shared" si="2172"/>
        <v>0.97959983346802826</v>
      </c>
      <c r="CW1210" s="335">
        <f t="shared" si="2173"/>
        <v>0.49744508118433622</v>
      </c>
      <c r="CX1210" s="335">
        <f t="shared" si="2174"/>
        <v>0.87010519444335932</v>
      </c>
      <c r="CY1210" s="335">
        <f t="shared" si="2175"/>
        <v>0.42399975420741998</v>
      </c>
      <c r="CZ1210" s="336">
        <f>INDEX('State Tax Lookup'!$D$7:$Z$91,MATCH(Calculation!$C1210,'State Tax Lookup'!$B$7:$B$91,0),MATCH($H1210,'State Tax Lookup'!$D$6:$Z$6,0))</f>
        <v>0.35</v>
      </c>
      <c r="DA1210" s="302">
        <v>0.37</v>
      </c>
      <c r="DB1210" s="57">
        <f t="shared" si="2179"/>
        <v>12.163428916986106</v>
      </c>
      <c r="DC1210" s="56">
        <f t="shared" si="2183"/>
        <v>0.11271798372033598</v>
      </c>
      <c r="DD1210" s="303">
        <f>VLOOKUP($H1210,RoR!$E:$F,2,FALSE)</f>
        <v>5.2350000000000001E-2</v>
      </c>
      <c r="DE1210" s="304">
        <f>HLOOKUP($H1210,'GDP-PI'!$D$8:$CQ$11,3,FALSE)</f>
        <v>3.1010403642454332E-2</v>
      </c>
      <c r="DF1210" s="303">
        <f>VLOOKUP(H1210,'HW Dx Data'!$E:$F,2,FALSE)</f>
        <v>469.20514034936258</v>
      </c>
      <c r="DG1210" s="364">
        <f ca="1">VLOOKUP(CC1210,'ECI - Input Price'!M$13:N$33,2,FALSE)</f>
        <v>99.224999999999994</v>
      </c>
      <c r="DH1210" s="364"/>
      <c r="DI1210" s="364"/>
      <c r="DJ1210" s="56">
        <f t="shared" ca="1" si="2191"/>
        <v>5.0378726854569796E-2</v>
      </c>
      <c r="DK1210" s="53">
        <f>HLOOKUP(H1210,'GDP-PI'!$8:$9,2,FALSE)</f>
        <v>87.406999999999996</v>
      </c>
      <c r="DL1210" s="355">
        <f t="shared" si="2184"/>
        <v>3.0539295810733648E-2</v>
      </c>
    </row>
    <row r="1211" spans="1:116" s="126" customFormat="1" ht="21" customHeight="1" x14ac:dyDescent="0.4">
      <c r="A1211" s="233" t="s">
        <v>253</v>
      </c>
      <c r="B1211" s="126" t="s">
        <v>253</v>
      </c>
      <c r="C1211" s="126">
        <v>4059746</v>
      </c>
      <c r="D1211" s="127" t="s">
        <v>199</v>
      </c>
      <c r="E1211" s="127"/>
      <c r="F1211" s="144"/>
      <c r="G1211" s="126" t="s">
        <v>162</v>
      </c>
      <c r="H1211" s="128">
        <v>2006</v>
      </c>
      <c r="I1211" s="129"/>
      <c r="J1211" s="125">
        <f>IFERROR(INDEX('Labor Expenditures'!$E$7:$W$91,MATCH($C1211,'Labor Expenditures'!$C$7:$C$91,0),MATCH($G1211,'Labor Expenditures'!$E$5:$W$5,0)),"NA")</f>
        <v>58497.879170367589</v>
      </c>
      <c r="K1211" s="125">
        <f t="shared" ca="1" si="2185"/>
        <v>534.71553172182439</v>
      </c>
      <c r="L1211" s="47"/>
      <c r="M1211" s="131">
        <f t="shared" ca="1" si="2192"/>
        <v>-3.657187863846395E-2</v>
      </c>
      <c r="N1211" s="131"/>
      <c r="O1211" s="131"/>
      <c r="P1211" s="59">
        <f t="shared" ref="P1211:P1227" ca="1" si="2194">+M1211*$AX1211</f>
        <v>-9.3928002723783917E-4</v>
      </c>
      <c r="Q1211" s="61"/>
      <c r="R1211" s="387"/>
      <c r="S1211" s="49">
        <f ca="1">+S1210*EXP(T1211)</f>
        <v>115.49196402147039</v>
      </c>
      <c r="T1211" s="61">
        <f ca="1">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</f>
        <v>0.14403076598157954</v>
      </c>
      <c r="U1211" s="61"/>
      <c r="V1211" s="125">
        <f>IFERROR(INDEX('Non-Labor Expenditures'!$E$7:$AA$91,MATCH($C1211,'Non-Labor Expenditures'!$C$7:$C$91,0),MATCH($G1211,'Non-Labor Expenditures'!$E$5:$AA$5,0)),"NA")</f>
        <v>84715.854935408628</v>
      </c>
      <c r="W1211" s="125">
        <f t="shared" si="2186"/>
        <v>940.51396557728788</v>
      </c>
      <c r="X1211" s="131">
        <f t="shared" ref="X1211:X1226" si="2195">LN(W1211/W1210)</f>
        <v>3.0992828954833716E-2</v>
      </c>
      <c r="Y1211" s="131">
        <f t="shared" ref="Y1211:Y1227" si="2196">+X1211*AX1211</f>
        <v>7.9599261259324212E-4</v>
      </c>
      <c r="Z1211" s="131"/>
      <c r="AA1211" s="131"/>
      <c r="AB1211" s="131"/>
      <c r="AC1211" s="125">
        <f t="shared" si="2166"/>
        <v>44615.774803793152</v>
      </c>
      <c r="AD1211" s="129"/>
      <c r="AE1211" s="133">
        <v>4152.151576450864</v>
      </c>
      <c r="AF1211" s="134">
        <v>3.0515349329026348E-2</v>
      </c>
      <c r="AG1211" s="59">
        <f t="shared" si="2187"/>
        <v>7.837294450275988E-4</v>
      </c>
      <c r="AH1211" s="134"/>
      <c r="AI1211" s="134"/>
      <c r="AJ1211" s="129">
        <f t="shared" si="2138"/>
        <v>187829.50890956935</v>
      </c>
      <c r="AK1211" s="134">
        <f t="shared" ref="AK1211:AK1227" si="2197">LN(AJ1211/AJ1210)</f>
        <v>4.4851368189661907E-2</v>
      </c>
      <c r="AL1211" s="129"/>
      <c r="AM1211" s="129"/>
      <c r="AN1211" s="129"/>
      <c r="AO1211" s="129"/>
      <c r="AP1211" s="133">
        <f t="shared" ref="AP1211:AP1227" si="2198">+(AJ1211*1000)/BB1211</f>
        <v>154.46658101031372</v>
      </c>
      <c r="AQ1211" s="134">
        <f>+BB1211/Outputs!$B$14</f>
        <v>3.5061626173693031E-2</v>
      </c>
      <c r="AR1211" s="93">
        <f t="shared" si="2188"/>
        <v>0.31144136781261261</v>
      </c>
      <c r="AS1211" s="93">
        <f t="shared" si="2189"/>
        <v>0.45102526981633717</v>
      </c>
      <c r="AT1211" s="93">
        <f t="shared" si="2190"/>
        <v>0.23753336237105027</v>
      </c>
      <c r="AU1211" s="93">
        <f t="shared" ca="1" si="2193"/>
        <v>1.0003088189945608E-2</v>
      </c>
      <c r="AV1211" s="132">
        <f ca="1">+AV1210*EXP(AU1211)</f>
        <v>101.00532863157549</v>
      </c>
      <c r="AW1211" s="134">
        <f ca="1">LN(AV1211/AV1210)</f>
        <v>1.0003088189945587E-2</v>
      </c>
      <c r="AX1211" s="135">
        <f>+AJ1211/$AL$11</f>
        <v>2.5683122174915151E-2</v>
      </c>
      <c r="AY1211" s="135">
        <f ca="1">+AX1211*AW1211</f>
        <v>2.5691053610882336E-4</v>
      </c>
      <c r="AZ1211" s="93"/>
      <c r="BA1211" s="93"/>
      <c r="BB1211" s="234">
        <f>IFERROR(INDEX('Total Customers'!$E$7:$AA$91,MATCH($C1211,'Total Customers'!$C$7:$C$91,0),MATCH($G1211,'Total Customers'!$E$5:$AA$5,0)),"NA")</f>
        <v>1215988</v>
      </c>
      <c r="BC1211" s="269">
        <f t="shared" si="2095"/>
        <v>-2.223699032254162E-3</v>
      </c>
      <c r="BD1211" s="92"/>
      <c r="BE1211" s="299" t="str">
        <f t="shared" si="2089"/>
        <v>THE EAST OHIO GAS COMPANY</v>
      </c>
      <c r="BF1211" s="300">
        <f t="shared" si="2090"/>
        <v>4059746</v>
      </c>
      <c r="BG1211" s="231" t="str">
        <f t="shared" si="2091"/>
        <v>OH</v>
      </c>
      <c r="BH1211" s="231"/>
      <c r="BI1211" s="231" t="str">
        <f t="shared" si="2092"/>
        <v>2006 Y</v>
      </c>
      <c r="BJ1211" s="129"/>
      <c r="BK1211" s="129"/>
      <c r="BL1211" s="129">
        <f>INDEX('Dist. Plant Gas Additions'!$E$7:$AD$91,MATCH($C1211,'Dist. Plant Gas Additions'!$C$7:$C$91,0),MATCH(Calculation!$G1211,'Dist. Plant Gas Additions'!$E$5:$AD$5,0))</f>
        <v>61306</v>
      </c>
      <c r="BM1211" s="129">
        <f>INDEX('Gen. Plant Additions'!$E$7:$AD$91,MATCH($C1211,'Gen. Plant Additions'!$C$7:$C$91,0),MATCH(Calculation!$G1211,'Gen. Plant Additions'!$E$5:$AD$5,0))</f>
        <v>7768</v>
      </c>
      <c r="BN1211" s="301">
        <f t="shared" si="2167"/>
        <v>0.90801853672237043</v>
      </c>
      <c r="BO1211" s="231">
        <f t="shared" si="2073"/>
        <v>7053.4879932593731</v>
      </c>
      <c r="BP1211" s="231">
        <f t="shared" si="2074"/>
        <v>-714.51200674062693</v>
      </c>
      <c r="BQ1211" s="129">
        <f>INDEX('Dist Plant Depreciation'!$D$7:$AC$94,MATCH($C1211,'Dist Plant Depreciation'!$C$7:$C$94,0),MATCH(Calculation!$G1211,'Dist Plant Depreciation'!$D$5:$AC$5,0))</f>
        <v>478599</v>
      </c>
      <c r="BR1211" s="129">
        <f>INDEX('Gen. Plant Depreciation'!$D$7:$AC$94,MATCH($C1211,'Gen. Plant Depreciation'!$C$7:$C$94,0),MATCH(Calculation!$G1211,'Gen. Plant Depreciation'!$D$5:$AC$5,0))</f>
        <v>76859</v>
      </c>
      <c r="BS1211" s="129"/>
      <c r="BT1211" s="129"/>
      <c r="BU1211" s="129"/>
      <c r="BV1211" s="129"/>
      <c r="BW1211" s="129"/>
      <c r="BX1211" s="137"/>
      <c r="BY1211" s="129">
        <f>INDEX('Gross Dx Plant'!$D$7:$AC$91,MATCH($C1211,'Gross Dx Plant'!$C$7:$C$91,0),MATCH(Calculation!$G1211,'Gross Dx Plant'!$D$5:$AC$5,0))</f>
        <v>1325530</v>
      </c>
      <c r="BZ1211" s="129">
        <f>INDEX('Gross Gen Plant'!$D$7:$AC$91,MATCH($C1211,'Gross Gen Plant'!$C$7:$C$91,0),MATCH(Calculation!$G1211,'Gross Gen Plant'!$D$5:$AC$5,0))</f>
        <v>134275</v>
      </c>
      <c r="CA1211" s="129">
        <f t="shared" si="2162"/>
        <v>904347</v>
      </c>
      <c r="CB1211" s="134"/>
      <c r="CC1211" s="133">
        <v>2006</v>
      </c>
      <c r="CD1211" s="129"/>
      <c r="CE1211" s="129"/>
      <c r="CF1211" s="129"/>
      <c r="CG1211" s="137"/>
      <c r="CH1211" s="129">
        <f t="shared" si="2168"/>
        <v>69074</v>
      </c>
      <c r="CI1211" s="46">
        <f t="shared" si="2176"/>
        <v>68359.487993259376</v>
      </c>
      <c r="CJ1211" s="231">
        <f t="shared" si="2177"/>
        <v>148.25767104962881</v>
      </c>
      <c r="CK1211" s="443">
        <v>0.91489361702127658</v>
      </c>
      <c r="CL1211" s="231">
        <f>+CL1203*CK1211+CJ1204*CK1210+CJ1205*CK1209+CJ1206*CK1208+CJ1207*CK1207+CJ1208*CK1206+CJ1209*CK1205+CJ1210*CK1204+CJ1211</f>
        <v>3888.7307614673286</v>
      </c>
      <c r="CM1211" s="134">
        <f t="shared" si="2169"/>
        <v>2.6849067018614097E-2</v>
      </c>
      <c r="CN1211" s="135">
        <f t="shared" si="2170"/>
        <v>1.1949685358237629E-2</v>
      </c>
      <c r="CO1211" s="135">
        <f t="shared" si="2180"/>
        <v>1.1644899815041623E-2</v>
      </c>
      <c r="CP1211" s="134">
        <f>VLOOKUP($H1211,RoR!$E:$F,2,FALSE)</f>
        <v>5.5874999999999994E-2</v>
      </c>
      <c r="CQ1211" s="135">
        <v>3.0512430354548314E-2</v>
      </c>
      <c r="CR1211" s="135">
        <f t="shared" si="2178"/>
        <v>2.536256964545168E-2</v>
      </c>
      <c r="CS1211" s="135">
        <f t="shared" si="2181"/>
        <v>1.9257041793492004E-2</v>
      </c>
      <c r="CT1211" s="135">
        <f t="shared" si="2182"/>
        <v>7.9087823893859641E-2</v>
      </c>
      <c r="CU1211" s="139">
        <f t="shared" si="2171"/>
        <v>0.87050000000000005</v>
      </c>
      <c r="CV1211" s="335">
        <f t="shared" si="2172"/>
        <v>0.91779957551769631</v>
      </c>
      <c r="CW1211" s="335">
        <f t="shared" si="2173"/>
        <v>0.52757270693512304</v>
      </c>
      <c r="CX1211" s="335">
        <f t="shared" si="2174"/>
        <v>0.88636824549024895</v>
      </c>
      <c r="CY1211" s="335">
        <f t="shared" si="2175"/>
        <v>0.42918482841932087</v>
      </c>
      <c r="CZ1211" s="336">
        <f>INDEX('State Tax Lookup'!$D$7:$Z$91,MATCH(Calculation!$C1211,'State Tax Lookup'!$B$7:$B$91,0),MATCH($H1211,'State Tax Lookup'!$D$6:$Z$6,0))</f>
        <v>0.35</v>
      </c>
      <c r="DA1211" s="302">
        <v>0.37</v>
      </c>
      <c r="DB1211" s="57">
        <f t="shared" si="2179"/>
        <v>11.785308774391186</v>
      </c>
      <c r="DC1211" s="56">
        <f t="shared" si="2183"/>
        <v>-3.1580083420946661E-2</v>
      </c>
      <c r="DD1211" s="303">
        <f>VLOOKUP($H1211,RoR!$E:$F,2,FALSE)</f>
        <v>5.5874999999999994E-2</v>
      </c>
      <c r="DE1211" s="304">
        <f>HLOOKUP($H1211,'GDP-PI'!$D$8:$CQ$11,3,FALSE)</f>
        <v>3.0512430354548314E-2</v>
      </c>
      <c r="DF1211" s="303">
        <f>VLOOKUP(H1211,'HW Dx Data'!$E:$F,2,FALSE)</f>
        <v>461.08567272971823</v>
      </c>
      <c r="DG1211" s="364">
        <f ca="1">VLOOKUP(CC1211,'ECI - Input Price'!M$13:N$33,2,FALSE)</f>
        <v>109.4</v>
      </c>
      <c r="DH1211" s="364"/>
      <c r="DI1211" s="364"/>
      <c r="DJ1211" s="56">
        <f t="shared" ca="1" si="2191"/>
        <v>9.7620891318751846E-2</v>
      </c>
      <c r="DK1211" s="53">
        <f>HLOOKUP(H1211,'GDP-PI'!$8:$9,2,FALSE)</f>
        <v>90.073999999999998</v>
      </c>
      <c r="DL1211" s="355">
        <f t="shared" si="2184"/>
        <v>3.005618372545445E-2</v>
      </c>
    </row>
    <row r="1212" spans="1:116" s="126" customFormat="1" ht="21" customHeight="1" x14ac:dyDescent="0.4">
      <c r="A1212" s="233" t="s">
        <v>253</v>
      </c>
      <c r="B1212" s="126" t="s">
        <v>253</v>
      </c>
      <c r="C1212" s="126">
        <v>4059746</v>
      </c>
      <c r="D1212" s="127" t="s">
        <v>199</v>
      </c>
      <c r="E1212" s="127"/>
      <c r="F1212" s="144"/>
      <c r="G1212" s="126" t="s">
        <v>163</v>
      </c>
      <c r="H1212" s="128">
        <v>2007</v>
      </c>
      <c r="I1212" s="129"/>
      <c r="J1212" s="125">
        <f>IFERROR(INDEX('Labor Expenditures'!$E$7:$W$91,MATCH($C1212,'Labor Expenditures'!$C$7:$C$91,0),MATCH($G1212,'Labor Expenditures'!$E$5:$W$5,0)),"NA")</f>
        <v>60021.416821556013</v>
      </c>
      <c r="K1212" s="125">
        <f t="shared" ca="1" si="2185"/>
        <v>574.23024942890231</v>
      </c>
      <c r="L1212" s="47"/>
      <c r="M1212" s="131">
        <f t="shared" ca="1" si="2192"/>
        <v>7.1295558220205391E-2</v>
      </c>
      <c r="N1212" s="131"/>
      <c r="O1212" s="131"/>
      <c r="P1212" s="59">
        <f t="shared" ca="1" si="2194"/>
        <v>1.8207761910629986E-3</v>
      </c>
      <c r="Q1212" s="61"/>
      <c r="R1212" s="387"/>
      <c r="S1212" s="49">
        <f t="shared" ref="S1212:S1225" ca="1" si="2199">+S1211*EXP(T1212)</f>
        <v>119.9255565969934</v>
      </c>
      <c r="T1212" s="61">
        <f ca="1">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</f>
        <v>3.7670236616720247E-2</v>
      </c>
      <c r="U1212" s="61"/>
      <c r="V1212" s="125">
        <f>IFERROR(INDEX('Non-Labor Expenditures'!$E$7:$AA$91,MATCH($C1212,'Non-Labor Expenditures'!$C$7:$C$91,0),MATCH($G1212,'Non-Labor Expenditures'!$E$5:$AA$5,0)),"NA")</f>
        <v>86922.222011910955</v>
      </c>
      <c r="W1212" s="125">
        <f t="shared" si="2186"/>
        <v>939.72001569667395</v>
      </c>
      <c r="X1212" s="131">
        <f t="shared" si="2195"/>
        <v>-8.4452247508502915E-4</v>
      </c>
      <c r="Y1212" s="131">
        <f t="shared" si="2196"/>
        <v>-2.1567772997906487E-5</v>
      </c>
      <c r="Z1212" s="131"/>
      <c r="AA1212" s="131"/>
      <c r="AB1212" s="131"/>
      <c r="AC1212" s="125">
        <f t="shared" si="2166"/>
        <v>48817.714825108167</v>
      </c>
      <c r="AD1212" s="129"/>
      <c r="AE1212" s="133">
        <v>4264.4146378450969</v>
      </c>
      <c r="AF1212" s="134">
        <v>2.6678271607232244E-2</v>
      </c>
      <c r="AG1212" s="59">
        <f t="shared" si="2187"/>
        <v>6.8132101036546915E-4</v>
      </c>
      <c r="AH1212" s="134"/>
      <c r="AI1212" s="134"/>
      <c r="AJ1212" s="129">
        <f t="shared" si="2138"/>
        <v>195761.35365857516</v>
      </c>
      <c r="AK1212" s="134">
        <f t="shared" si="2197"/>
        <v>4.136165012446999E-2</v>
      </c>
      <c r="AL1212" s="129"/>
      <c r="AM1212" s="129"/>
      <c r="AN1212" s="129"/>
      <c r="AO1212" s="129"/>
      <c r="AP1212" s="133">
        <f t="shared" si="2198"/>
        <v>161.81017990146901</v>
      </c>
      <c r="AQ1212" s="134">
        <f>+BB1212/Outputs!$B$15</f>
        <v>3.4621165092157867E-2</v>
      </c>
      <c r="AR1212" s="93">
        <f t="shared" si="2188"/>
        <v>0.30660503567133374</v>
      </c>
      <c r="AS1212" s="93">
        <f t="shared" si="2189"/>
        <v>0.44402135757352229</v>
      </c>
      <c r="AT1212" s="93">
        <f t="shared" si="2190"/>
        <v>0.24937360675514389</v>
      </c>
      <c r="AU1212" s="93">
        <f t="shared" ca="1" si="2193"/>
        <v>2.8148956359550656E-2</v>
      </c>
      <c r="AV1212" s="132">
        <f ca="1">+AV1211*EXP(AU1212)</f>
        <v>103.8889178307915</v>
      </c>
      <c r="AW1212" s="134">
        <f ca="1">LN(AV1212/AV1211)</f>
        <v>2.8148956359550698E-2</v>
      </c>
      <c r="AX1212" s="135">
        <f>+AJ1212/$AL$12</f>
        <v>2.5538423942755312E-2</v>
      </c>
      <c r="AY1212" s="135">
        <f t="shared" ref="AY1212:AY1226" ca="1" si="2200">+AX1212*AW1212</f>
        <v>7.1887998105632392E-4</v>
      </c>
      <c r="AZ1212" s="93"/>
      <c r="BA1212" s="93"/>
      <c r="BB1212" s="234">
        <f>IFERROR(INDEX('Total Customers'!$E$7:$AA$91,MATCH($C1212,'Total Customers'!$C$7:$C$91,0),MATCH($G1212,'Total Customers'!$E$5:$AA$5,0)),"NA")</f>
        <v>1209821</v>
      </c>
      <c r="BC1212" s="269">
        <f t="shared" si="2095"/>
        <v>-5.084500293173538E-3</v>
      </c>
      <c r="BD1212" s="92"/>
      <c r="BE1212" s="299" t="str">
        <f t="shared" si="2089"/>
        <v>THE EAST OHIO GAS COMPANY</v>
      </c>
      <c r="BF1212" s="300">
        <f t="shared" si="2090"/>
        <v>4059746</v>
      </c>
      <c r="BG1212" s="231" t="str">
        <f t="shared" si="2091"/>
        <v>OH</v>
      </c>
      <c r="BH1212" s="231"/>
      <c r="BI1212" s="231" t="str">
        <f t="shared" si="2092"/>
        <v>2007 Y</v>
      </c>
      <c r="BJ1212" s="129"/>
      <c r="BK1212" s="129"/>
      <c r="BL1212" s="129">
        <f>INDEX('Dist. Plant Gas Additions'!$E$7:$AD$91,MATCH($C1212,'Dist. Plant Gas Additions'!$C$7:$C$91,0),MATCH(Calculation!$G1212,'Dist. Plant Gas Additions'!$E$5:$AD$5,0))</f>
        <v>66456</v>
      </c>
      <c r="BM1212" s="129">
        <f>INDEX('Gen. Plant Additions'!$E$7:$AD$91,MATCH($C1212,'Gen. Plant Additions'!$C$7:$C$91,0),MATCH(Calculation!$G1212,'Gen. Plant Additions'!$E$5:$AD$5,0))</f>
        <v>2700</v>
      </c>
      <c r="BN1212" s="301">
        <f t="shared" si="2167"/>
        <v>0.91278544258303829</v>
      </c>
      <c r="BO1212" s="231">
        <f t="shared" si="2073"/>
        <v>2464.5206949742033</v>
      </c>
      <c r="BP1212" s="231">
        <f t="shared" si="2074"/>
        <v>-235.47930502579675</v>
      </c>
      <c r="BQ1212" s="129">
        <f>INDEX('Dist Plant Depreciation'!$D$7:$AC$94,MATCH($C1212,'Dist Plant Depreciation'!$C$7:$C$94,0),MATCH(Calculation!$G1212,'Dist Plant Depreciation'!$D$5:$AC$5,0))</f>
        <v>513518</v>
      </c>
      <c r="BR1212" s="129">
        <f>INDEX('Gen. Plant Depreciation'!$D$7:$AC$94,MATCH($C1212,'Gen. Plant Depreciation'!$C$7:$C$94,0),MATCH(Calculation!$G1212,'Gen. Plant Depreciation'!$D$5:$AC$5,0))</f>
        <v>83528</v>
      </c>
      <c r="BS1212" s="129"/>
      <c r="BT1212" s="129"/>
      <c r="BU1212" s="129"/>
      <c r="BV1212" s="129"/>
      <c r="BW1212" s="129"/>
      <c r="BX1212" s="137"/>
      <c r="BY1212" s="129">
        <f>INDEX('Gross Dx Plant'!$D$7:$AC$91,MATCH($C1212,'Gross Dx Plant'!$C$7:$C$91,0),MATCH(Calculation!$G1212,'Gross Dx Plant'!$D$5:$AC$5,0))</f>
        <v>1400672</v>
      </c>
      <c r="BZ1212" s="129">
        <f>INDEX('Gross Gen Plant'!$D$7:$AC$91,MATCH($C1212,'Gross Gen Plant'!$C$7:$C$91,0),MATCH(Calculation!$G1212,'Gross Gen Plant'!$D$5:$AC$5,0))</f>
        <v>133831</v>
      </c>
      <c r="CA1212" s="129">
        <f t="shared" si="2162"/>
        <v>937457</v>
      </c>
      <c r="CB1212" s="129"/>
      <c r="CC1212" s="133">
        <v>2007</v>
      </c>
      <c r="CD1212" s="129"/>
      <c r="CE1212" s="129"/>
      <c r="CF1212" s="129"/>
      <c r="CG1212" s="137"/>
      <c r="CH1212" s="129">
        <f t="shared" si="2168"/>
        <v>69156</v>
      </c>
      <c r="CI1212" s="46">
        <f t="shared" si="2176"/>
        <v>68920.520694974199</v>
      </c>
      <c r="CJ1212" s="231">
        <f t="shared" si="2177"/>
        <v>138.38841865735762</v>
      </c>
      <c r="CK1212" s="443">
        <v>0.90322580645161288</v>
      </c>
      <c r="CL1212" s="231">
        <f>+CL1203*CK1212+CJ1204*CK1211+CJ1205*CK1210+CJ1206*CK1209+CJ1207*CK1208+CJ1208*CK1207+CJ1209*CK1206+CJ1210*CK1205+CJ1211*CK1204+CJ1212</f>
        <v>3979.4495071698325</v>
      </c>
      <c r="CM1212" s="134">
        <f t="shared" si="2169"/>
        <v>2.3060672958998697E-2</v>
      </c>
      <c r="CN1212" s="135">
        <f t="shared" si="2170"/>
        <v>1.2258414346193167E-2</v>
      </c>
      <c r="CO1212" s="135">
        <f t="shared" si="2180"/>
        <v>1.1950296657275197E-2</v>
      </c>
      <c r="CP1212" s="134">
        <f>VLOOKUP($H1212,RoR!$E:$F,2,FALSE)</f>
        <v>5.5558333333333321E-2</v>
      </c>
      <c r="CQ1212" s="135">
        <v>2.691120634145272E-2</v>
      </c>
      <c r="CR1212" s="135">
        <f t="shared" si="2178"/>
        <v>2.86471269918806E-2</v>
      </c>
      <c r="CS1212" s="135">
        <f t="shared" si="2181"/>
        <v>1.895164495125843E-2</v>
      </c>
      <c r="CT1212" s="135">
        <f t="shared" si="2182"/>
        <v>6.4575155250632399E-2</v>
      </c>
      <c r="CU1212" s="139">
        <f t="shared" si="2171"/>
        <v>0.87050000000000005</v>
      </c>
      <c r="CV1212" s="335">
        <f t="shared" si="2172"/>
        <v>0.92303077153834634</v>
      </c>
      <c r="CW1212" s="335">
        <f t="shared" si="2173"/>
        <v>0.52502249887505614</v>
      </c>
      <c r="CX1212" s="335">
        <f t="shared" si="2174"/>
        <v>0.88499666072084604</v>
      </c>
      <c r="CY1212" s="335">
        <f t="shared" si="2175"/>
        <v>0.42887993290280618</v>
      </c>
      <c r="CZ1212" s="336">
        <f>INDEX('State Tax Lookup'!$D$7:$Z$91,MATCH(Calculation!$C1212,'State Tax Lookup'!$B$7:$B$91,0),MATCH($H1212,'State Tax Lookup'!$D$6:$Z$6,0))</f>
        <v>0.35</v>
      </c>
      <c r="DA1212" s="302">
        <v>0.37</v>
      </c>
      <c r="DB1212" s="57">
        <f t="shared" si="2179"/>
        <v>12.553637116982575</v>
      </c>
      <c r="DC1212" s="56">
        <f t="shared" si="2183"/>
        <v>6.3156697037053108E-2</v>
      </c>
      <c r="DD1212" s="303">
        <f>VLOOKUP($H1212,RoR!$E:$F,2,FALSE)</f>
        <v>5.5558333333333321E-2</v>
      </c>
      <c r="DE1212" s="304">
        <f>HLOOKUP($H1212,'GDP-PI'!$D$8:$CQ$11,3,FALSE)</f>
        <v>2.691120634145272E-2</v>
      </c>
      <c r="DF1212" s="303">
        <f>VLOOKUP(H1212,'HW Dx Data'!$E:$F,2,FALSE)</f>
        <v>498.0223154772637</v>
      </c>
      <c r="DG1212" s="364">
        <f ca="1">VLOOKUP(CC1212,'ECI - Input Price'!M$13:N$33,2,FALSE)</f>
        <v>104.52499999999999</v>
      </c>
      <c r="DH1212" s="364"/>
      <c r="DI1212" s="364"/>
      <c r="DJ1212" s="56">
        <f t="shared" ca="1" si="2191"/>
        <v>-4.5584612745252218E-2</v>
      </c>
      <c r="DK1212" s="53">
        <f>HLOOKUP(H1212,'GDP-PI'!$8:$9,2,FALSE)</f>
        <v>92.498000000000005</v>
      </c>
      <c r="DL1212" s="355">
        <f t="shared" si="2184"/>
        <v>2.6555467950038037E-2</v>
      </c>
    </row>
    <row r="1213" spans="1:116" s="126" customFormat="1" ht="21" customHeight="1" x14ac:dyDescent="0.4">
      <c r="A1213" s="233" t="s">
        <v>253</v>
      </c>
      <c r="B1213" s="126" t="s">
        <v>253</v>
      </c>
      <c r="C1213" s="126">
        <v>4059746</v>
      </c>
      <c r="D1213" s="127" t="s">
        <v>199</v>
      </c>
      <c r="E1213" s="127"/>
      <c r="F1213" s="144"/>
      <c r="G1213" s="126" t="s">
        <v>164</v>
      </c>
      <c r="H1213" s="128">
        <v>2008</v>
      </c>
      <c r="I1213" s="129"/>
      <c r="J1213" s="125">
        <f>IFERROR(INDEX('Labor Expenditures'!$E$7:$W$91,MATCH($C1213,'Labor Expenditures'!$C$7:$C$91,0),MATCH($G1213,'Labor Expenditures'!$E$5:$W$5,0)),"NA")</f>
        <v>65992.14568423164</v>
      </c>
      <c r="K1213" s="125">
        <f t="shared" ca="1" si="2185"/>
        <v>611.60468660084928</v>
      </c>
      <c r="L1213" s="47"/>
      <c r="M1213" s="131">
        <f t="shared" ca="1" si="2192"/>
        <v>6.3055689581364829E-2</v>
      </c>
      <c r="N1213" s="131"/>
      <c r="O1213" s="131"/>
      <c r="P1213" s="59">
        <f t="shared" ca="1" si="2194"/>
        <v>1.6976748324356223E-3</v>
      </c>
      <c r="Q1213" s="61"/>
      <c r="R1213" s="387"/>
      <c r="S1213" s="49">
        <f t="shared" ca="1" si="2199"/>
        <v>113.86274098259865</v>
      </c>
      <c r="T1213" s="61">
        <f ca="1">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</f>
        <v>-5.1877492082540493E-2</v>
      </c>
      <c r="U1213" s="61"/>
      <c r="V1213" s="125">
        <f>IFERROR(INDEX('Non-Labor Expenditures'!$E$7:$AA$91,MATCH($C1213,'Non-Labor Expenditures'!$C$7:$C$91,0),MATCH($G1213,'Non-Labor Expenditures'!$E$5:$AA$5,0)),"NA")</f>
        <v>95568.952583389691</v>
      </c>
      <c r="W1213" s="125">
        <f t="shared" si="2186"/>
        <v>1013.8435944092092</v>
      </c>
      <c r="X1213" s="131">
        <f t="shared" si="2195"/>
        <v>7.5921950854793169E-2</v>
      </c>
      <c r="Y1213" s="131">
        <f t="shared" si="2196"/>
        <v>2.0440785922938871E-3</v>
      </c>
      <c r="Z1213" s="131"/>
      <c r="AA1213" s="131"/>
      <c r="AB1213" s="131"/>
      <c r="AC1213" s="125">
        <f t="shared" si="2166"/>
        <v>56241.165619322237</v>
      </c>
      <c r="AD1213" s="129"/>
      <c r="AE1213" s="133">
        <v>4435.0567688288047</v>
      </c>
      <c r="AF1213" s="134">
        <v>3.9235492209710982E-2</v>
      </c>
      <c r="AG1213" s="59">
        <f t="shared" si="2187"/>
        <v>1.0563536471471019E-3</v>
      </c>
      <c r="AH1213" s="134"/>
      <c r="AI1213" s="134"/>
      <c r="AJ1213" s="129">
        <f t="shared" si="2138"/>
        <v>217802.26388694358</v>
      </c>
      <c r="AK1213" s="134">
        <f t="shared" si="2197"/>
        <v>0.10669127078440251</v>
      </c>
      <c r="AL1213" s="129"/>
      <c r="AM1213" s="129"/>
      <c r="AN1213" s="129"/>
      <c r="AO1213" s="129"/>
      <c r="AP1213" s="133">
        <f t="shared" si="2198"/>
        <v>181.30773620493352</v>
      </c>
      <c r="AQ1213" s="134">
        <f>+BB1213/Outputs!$B$16</f>
        <v>3.4193093683045218E-2</v>
      </c>
      <c r="AR1213" s="93">
        <f t="shared" si="2188"/>
        <v>0.30299109158243981</v>
      </c>
      <c r="AS1213" s="93">
        <f t="shared" si="2189"/>
        <v>0.43878769154115616</v>
      </c>
      <c r="AT1213" s="93">
        <f t="shared" si="2190"/>
        <v>0.25822121687640404</v>
      </c>
      <c r="AU1213" s="93">
        <f t="shared" ca="1" si="2193"/>
        <v>6.2689411079726323E-2</v>
      </c>
      <c r="AV1213" s="132">
        <f t="shared" ref="AV1213:AV1226" ca="1" si="2201">+AV1212*EXP(AU1213)</f>
        <v>110.61012617324751</v>
      </c>
      <c r="AW1213" s="134">
        <f t="shared" ref="AW1213:AW1226" ca="1" si="2202">LN(AV1213/AV1212)</f>
        <v>6.2689411079726282E-2</v>
      </c>
      <c r="AX1213" s="135">
        <f>+AJ1213/$AL$13</f>
        <v>2.6923420292549537E-2</v>
      </c>
      <c r="AY1213" s="135">
        <f t="shared" ca="1" si="2200"/>
        <v>1.6878133623918824E-3</v>
      </c>
      <c r="AZ1213" s="93"/>
      <c r="BA1213" s="93"/>
      <c r="BB1213" s="234">
        <f>IFERROR(INDEX('Total Customers'!$E$7:$AA$91,MATCH($C1213,'Total Customers'!$C$7:$C$91,0),MATCH($G1213,'Total Customers'!$E$5:$AA$5,0)),"NA")</f>
        <v>1201285</v>
      </c>
      <c r="BC1213" s="269">
        <f t="shared" si="2095"/>
        <v>-7.0805975868077249E-3</v>
      </c>
      <c r="BD1213" s="92"/>
      <c r="BE1213" s="299" t="str">
        <f t="shared" si="2089"/>
        <v>THE EAST OHIO GAS COMPANY</v>
      </c>
      <c r="BF1213" s="300">
        <f t="shared" si="2090"/>
        <v>4059746</v>
      </c>
      <c r="BG1213" s="231" t="str">
        <f t="shared" si="2091"/>
        <v>OH</v>
      </c>
      <c r="BH1213" s="231"/>
      <c r="BI1213" s="231" t="str">
        <f t="shared" si="2092"/>
        <v>2008 Y</v>
      </c>
      <c r="BJ1213" s="129"/>
      <c r="BK1213" s="129"/>
      <c r="BL1213" s="129">
        <f>INDEX('Dist. Plant Gas Additions'!$E$7:$AD$91,MATCH($C1213,'Dist. Plant Gas Additions'!$C$7:$C$91,0),MATCH(Calculation!$G1213,'Dist. Plant Gas Additions'!$E$5:$AD$5,0))</f>
        <v>107979</v>
      </c>
      <c r="BM1213" s="129">
        <f>INDEX('Gen. Plant Additions'!$E$7:$AD$91,MATCH($C1213,'Gen. Plant Additions'!$C$7:$C$91,0),MATCH(Calculation!$G1213,'Gen. Plant Additions'!$E$5:$AD$5,0))</f>
        <v>5332</v>
      </c>
      <c r="BN1213" s="301">
        <f t="shared" si="2167"/>
        <v>0.91705718625338439</v>
      </c>
      <c r="BO1213" s="231">
        <f t="shared" ref="BO1213:BO1237" si="2203">+BN1213*BM1213</f>
        <v>4889.7489171030456</v>
      </c>
      <c r="BP1213" s="231">
        <f t="shared" ref="BP1213:BP1237" si="2204">+BO1213-BM1213</f>
        <v>-442.25108289695436</v>
      </c>
      <c r="BQ1213" s="129">
        <f>INDEX('Dist Plant Depreciation'!$D$7:$AC$94,MATCH($C1213,'Dist Plant Depreciation'!$C$7:$C$94,0),MATCH(Calculation!$G1213,'Dist Plant Depreciation'!$D$5:$AC$5,0))</f>
        <v>567057</v>
      </c>
      <c r="BR1213" s="129">
        <f>INDEX('Gen. Plant Depreciation'!$D$7:$AC$94,MATCH($C1213,'Gen. Plant Depreciation'!$C$7:$C$94,0),MATCH(Calculation!$G1213,'Gen. Plant Depreciation'!$D$5:$AC$5,0))</f>
        <v>89350</v>
      </c>
      <c r="BS1213" s="129"/>
      <c r="BT1213" s="129"/>
      <c r="BU1213" s="129"/>
      <c r="BV1213" s="129"/>
      <c r="BW1213" s="129"/>
      <c r="BX1213" s="137"/>
      <c r="BY1213" s="129">
        <f>INDEX('Gross Dx Plant'!$D$7:$AC$91,MATCH($C1213,'Gross Dx Plant'!$C$7:$C$91,0),MATCH(Calculation!$G1213,'Gross Dx Plant'!$D$5:$AC$5,0))</f>
        <v>1499781</v>
      </c>
      <c r="BZ1213" s="129">
        <f>INDEX('Gross Gen Plant'!$D$7:$AC$91,MATCH($C1213,'Gross Gen Plant'!$C$7:$C$91,0),MATCH(Calculation!$G1213,'Gross Gen Plant'!$D$5:$AC$5,0))</f>
        <v>135647</v>
      </c>
      <c r="CA1213" s="129">
        <f t="shared" si="2162"/>
        <v>979021</v>
      </c>
      <c r="CB1213" s="129"/>
      <c r="CC1213" s="133">
        <v>2008</v>
      </c>
      <c r="CD1213" s="129"/>
      <c r="CE1213" s="129"/>
      <c r="CF1213" s="129"/>
      <c r="CG1213" s="137"/>
      <c r="CH1213" s="129">
        <f t="shared" si="2168"/>
        <v>113311</v>
      </c>
      <c r="CI1213" s="46">
        <f t="shared" si="2176"/>
        <v>112868.74891710305</v>
      </c>
      <c r="CJ1213" s="231">
        <f t="shared" si="2177"/>
        <v>198.05662698919411</v>
      </c>
      <c r="CK1213" s="443">
        <v>0.89130434782608692</v>
      </c>
      <c r="CL1213" s="231">
        <f>+CL1203*CK1213+CJ1204*CK1212+CJ1205*CK1211+CJ1206*CK1210+CJ1207*CK1209+CJ1208*CK1208+CJ1209*CK1207+CJ1210*CK1206+CJ1211*CK1205+CJ1212*CK1204+CJ1213</f>
        <v>4127.4420628567932</v>
      </c>
      <c r="CM1213" s="134">
        <f t="shared" si="2169"/>
        <v>3.6514364904240919E-2</v>
      </c>
      <c r="CN1213" s="135">
        <f t="shared" si="2170"/>
        <v>1.2580652477693769E-2</v>
      </c>
      <c r="CO1213" s="135">
        <f t="shared" si="2180"/>
        <v>1.2262917394041522E-2</v>
      </c>
      <c r="CP1213" s="134">
        <f>VLOOKUP($H1213,RoR!$E:$F,2,FALSE)</f>
        <v>5.6316666666666668E-2</v>
      </c>
      <c r="CQ1213" s="135">
        <v>1.9092304698479889E-2</v>
      </c>
      <c r="CR1213" s="135">
        <f t="shared" si="2178"/>
        <v>3.7224361968186778E-2</v>
      </c>
      <c r="CS1213" s="135">
        <f t="shared" si="2181"/>
        <v>1.8639024214492102E-2</v>
      </c>
      <c r="CT1213" s="135">
        <f t="shared" si="2182"/>
        <v>6.9030581091053131E-2</v>
      </c>
      <c r="CU1213" s="139">
        <f t="shared" si="2171"/>
        <v>0.87050000000000005</v>
      </c>
      <c r="CV1213" s="335">
        <f t="shared" si="2172"/>
        <v>0.91060168006009956</v>
      </c>
      <c r="CW1213" s="335">
        <f t="shared" si="2173"/>
        <v>0.53108168097070152</v>
      </c>
      <c r="CX1213" s="335">
        <f t="shared" si="2174"/>
        <v>0.88825329850328805</v>
      </c>
      <c r="CY1213" s="335">
        <f t="shared" si="2175"/>
        <v>0.4295627335323573</v>
      </c>
      <c r="CZ1213" s="336">
        <f>INDEX('State Tax Lookup'!$D$7:$Z$91,MATCH(Calculation!$C1213,'State Tax Lookup'!$B$7:$B$91,0),MATCH($H1213,'State Tax Lookup'!$D$6:$Z$6,0))</f>
        <v>0.35</v>
      </c>
      <c r="DA1213" s="302">
        <v>0.37</v>
      </c>
      <c r="DB1213" s="57">
        <f t="shared" si="2179"/>
        <v>14.132900924610729</v>
      </c>
      <c r="DC1213" s="56">
        <f t="shared" si="2183"/>
        <v>0.11849504443589309</v>
      </c>
      <c r="DD1213" s="303">
        <f>VLOOKUP($H1213,RoR!$E:$F,2,FALSE)</f>
        <v>5.6316666666666668E-2</v>
      </c>
      <c r="DE1213" s="304">
        <f>HLOOKUP($H1213,'GDP-PI'!$D$8:$CQ$11,3,FALSE)</f>
        <v>1.9092304698479889E-2</v>
      </c>
      <c r="DF1213" s="303">
        <f>VLOOKUP(H1213,'HW Dx Data'!$E:$F,2,FALSE)</f>
        <v>569.88120333515076</v>
      </c>
      <c r="DG1213" s="364">
        <f ca="1">VLOOKUP(CC1213,'ECI - Input Price'!M$13:N$33,2,FALSE)</f>
        <v>107.9</v>
      </c>
      <c r="DH1213" s="364"/>
      <c r="DI1213" s="364"/>
      <c r="DJ1213" s="56">
        <f t="shared" ca="1" si="2191"/>
        <v>3.1778595021460486E-2</v>
      </c>
      <c r="DK1213" s="53">
        <f>HLOOKUP(H1213,'GDP-PI'!$8:$9,2,FALSE)</f>
        <v>94.263999999999996</v>
      </c>
      <c r="DL1213" s="355">
        <f t="shared" si="2184"/>
        <v>1.8912333748032254E-2</v>
      </c>
    </row>
    <row r="1214" spans="1:116" s="126" customFormat="1" ht="21" customHeight="1" x14ac:dyDescent="0.4">
      <c r="A1214" s="233" t="s">
        <v>253</v>
      </c>
      <c r="B1214" s="126" t="s">
        <v>253</v>
      </c>
      <c r="C1214" s="126">
        <v>4059746</v>
      </c>
      <c r="D1214" s="127" t="s">
        <v>199</v>
      </c>
      <c r="E1214" s="127"/>
      <c r="F1214" s="144"/>
      <c r="G1214" s="126" t="s">
        <v>165</v>
      </c>
      <c r="H1214" s="128">
        <v>2009</v>
      </c>
      <c r="I1214" s="129"/>
      <c r="J1214" s="125">
        <f>IFERROR(INDEX('Labor Expenditures'!$E$7:$W$91,MATCH($C1214,'Labor Expenditures'!$C$7:$C$91,0),MATCH($G1214,'Labor Expenditures'!$E$5:$W$5,0)),"NA")</f>
        <v>62209.956168217257</v>
      </c>
      <c r="K1214" s="125">
        <f t="shared" ca="1" si="2185"/>
        <v>560.82899407903767</v>
      </c>
      <c r="L1214" s="47"/>
      <c r="M1214" s="131">
        <f t="shared" ca="1" si="2192"/>
        <v>-8.6670101212393963E-2</v>
      </c>
      <c r="N1214" s="131"/>
      <c r="O1214" s="131"/>
      <c r="P1214" s="59">
        <f t="shared" ca="1" si="2194"/>
        <v>-2.1294468828326955E-3</v>
      </c>
      <c r="Q1214" s="61"/>
      <c r="R1214" s="387"/>
      <c r="S1214" s="49">
        <f t="shared" ca="1" si="2199"/>
        <v>116.51169375349262</v>
      </c>
      <c r="T1214" s="61">
        <f ca="1">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</f>
        <v>2.2997947031074637E-2</v>
      </c>
      <c r="U1214" s="61"/>
      <c r="V1214" s="125">
        <f>IFERROR(INDEX('Non-Labor Expenditures'!$E$7:$AA$91,MATCH($C1214,'Non-Labor Expenditures'!$C$7:$C$91,0),MATCH($G1214,'Non-Labor Expenditures'!$E$5:$AA$5,0)),"NA")</f>
        <v>90091.635748641856</v>
      </c>
      <c r="W1214" s="125">
        <f t="shared" si="2186"/>
        <v>948.34299043823478</v>
      </c>
      <c r="X1214" s="131">
        <f t="shared" si="2195"/>
        <v>-6.6787685029819757E-2</v>
      </c>
      <c r="Y1214" s="131">
        <f t="shared" si="2196"/>
        <v>-1.6409445207619506E-3</v>
      </c>
      <c r="Z1214" s="131"/>
      <c r="AA1214" s="131"/>
      <c r="AB1214" s="131"/>
      <c r="AC1214" s="125">
        <f t="shared" si="2166"/>
        <v>55478.915464192884</v>
      </c>
      <c r="AD1214" s="129"/>
      <c r="AE1214" s="133">
        <v>4622.900533089266</v>
      </c>
      <c r="AF1214" s="134">
        <v>4.148191324497566E-2</v>
      </c>
      <c r="AG1214" s="59">
        <f t="shared" si="2187"/>
        <v>1.0191926583422277E-3</v>
      </c>
      <c r="AH1214" s="134"/>
      <c r="AI1214" s="134"/>
      <c r="AJ1214" s="129">
        <f t="shared" si="2138"/>
        <v>207780.50738105201</v>
      </c>
      <c r="AK1214" s="134">
        <f t="shared" si="2197"/>
        <v>-4.7105335229243837E-2</v>
      </c>
      <c r="AL1214" s="129"/>
      <c r="AM1214" s="129"/>
      <c r="AN1214" s="129"/>
      <c r="AO1214" s="129"/>
      <c r="AP1214" s="133">
        <f t="shared" si="2198"/>
        <v>174.05580308659881</v>
      </c>
      <c r="AQ1214" s="134">
        <f>+BB1214/Outputs!$B$17</f>
        <v>3.3935531592453411E-2</v>
      </c>
      <c r="AR1214" s="93">
        <f t="shared" si="2188"/>
        <v>0.29940227287119586</v>
      </c>
      <c r="AS1214" s="93">
        <f t="shared" si="2189"/>
        <v>0.43359041174840024</v>
      </c>
      <c r="AT1214" s="93">
        <f t="shared" si="2190"/>
        <v>0.26700731538040384</v>
      </c>
      <c r="AU1214" s="93">
        <f t="shared" ca="1" si="2193"/>
        <v>-4.4343061723711386E-2</v>
      </c>
      <c r="AV1214" s="132">
        <f t="shared" ca="1" si="2201"/>
        <v>105.81249153502662</v>
      </c>
      <c r="AW1214" s="134">
        <f t="shared" ca="1" si="2202"/>
        <v>-4.4343061723711434E-2</v>
      </c>
      <c r="AX1214" s="135">
        <f>+AJ1214/$AL$14</f>
        <v>2.4569567279196639E-2</v>
      </c>
      <c r="AY1214" s="135">
        <f t="shared" ca="1" si="2200"/>
        <v>-1.0894898383862974E-3</v>
      </c>
      <c r="AZ1214" s="93"/>
      <c r="BA1214" s="93"/>
      <c r="BB1214" s="234">
        <f>IFERROR(INDEX('Total Customers'!$E$7:$AA$91,MATCH($C1214,'Total Customers'!$C$7:$C$91,0),MATCH($G1214,'Total Customers'!$E$5:$AA$5,0)),"NA")</f>
        <v>1193758</v>
      </c>
      <c r="BC1214" s="269">
        <f t="shared" si="2095"/>
        <v>-6.2855028332199463E-3</v>
      </c>
      <c r="BD1214" s="92"/>
      <c r="BE1214" s="299" t="str">
        <f t="shared" si="2089"/>
        <v>THE EAST OHIO GAS COMPANY</v>
      </c>
      <c r="BF1214" s="300">
        <f t="shared" si="2090"/>
        <v>4059746</v>
      </c>
      <c r="BG1214" s="231" t="str">
        <f t="shared" si="2091"/>
        <v>OH</v>
      </c>
      <c r="BH1214" s="231"/>
      <c r="BI1214" s="231" t="str">
        <f t="shared" si="2092"/>
        <v>2009 Y</v>
      </c>
      <c r="BJ1214" s="129"/>
      <c r="BK1214" s="129"/>
      <c r="BL1214" s="129">
        <f>INDEX('Dist. Plant Gas Additions'!$E$7:$AD$91,MATCH($C1214,'Dist. Plant Gas Additions'!$C$7:$C$91,0),MATCH(Calculation!$G1214,'Dist. Plant Gas Additions'!$E$5:$AD$5,0))</f>
        <v>115442</v>
      </c>
      <c r="BM1214" s="129">
        <f>INDEX('Gen. Plant Additions'!$E$7:$AD$91,MATCH($C1214,'Gen. Plant Additions'!$C$7:$C$91,0),MATCH(Calculation!$G1214,'Gen. Plant Additions'!$E$5:$AD$5,0))</f>
        <v>4659</v>
      </c>
      <c r="BN1214" s="301">
        <f t="shared" si="2167"/>
        <v>0.92108737792953377</v>
      </c>
      <c r="BO1214" s="231">
        <f t="shared" si="2203"/>
        <v>4291.3460937736982</v>
      </c>
      <c r="BP1214" s="231">
        <f t="shared" si="2204"/>
        <v>-367.65390622630184</v>
      </c>
      <c r="BQ1214" s="129">
        <f>INDEX('Dist Plant Depreciation'!$D$7:$AC$94,MATCH($C1214,'Dist Plant Depreciation'!$C$7:$C$94,0),MATCH(Calculation!$G1214,'Dist Plant Depreciation'!$D$5:$AC$5,0))</f>
        <v>603245</v>
      </c>
      <c r="BR1214" s="129">
        <f>INDEX('Gen. Plant Depreciation'!$D$7:$AC$94,MATCH($C1214,'Gen. Plant Depreciation'!$C$7:$C$94,0),MATCH(Calculation!$G1214,'Gen. Plant Depreciation'!$D$5:$AC$5,0))</f>
        <v>80139</v>
      </c>
      <c r="BS1214" s="129"/>
      <c r="BT1214" s="129"/>
      <c r="BU1214" s="129"/>
      <c r="BV1214" s="129"/>
      <c r="BW1214" s="129"/>
      <c r="BX1214" s="137"/>
      <c r="BY1214" s="129">
        <f>INDEX('Gross Dx Plant'!$D$7:$AC$91,MATCH($C1214,'Gross Dx Plant'!$C$7:$C$91,0),MATCH(Calculation!$G1214,'Gross Dx Plant'!$D$5:$AC$5,0))</f>
        <v>1609369</v>
      </c>
      <c r="BZ1214" s="129">
        <f>INDEX('Gross Gen Plant'!$D$7:$AC$91,MATCH($C1214,'Gross Gen Plant'!$C$7:$C$91,0),MATCH(Calculation!$G1214,'Gross Gen Plant'!$D$5:$AC$5,0))</f>
        <v>137880</v>
      </c>
      <c r="CA1214" s="129">
        <f t="shared" si="2162"/>
        <v>1063865</v>
      </c>
      <c r="CB1214" s="129"/>
      <c r="CC1214" s="133">
        <v>2009</v>
      </c>
      <c r="CD1214" s="129"/>
      <c r="CE1214" s="129"/>
      <c r="CF1214" s="129"/>
      <c r="CG1214" s="137"/>
      <c r="CH1214" s="129">
        <f t="shared" si="2168"/>
        <v>120101</v>
      </c>
      <c r="CI1214" s="46">
        <f t="shared" si="2176"/>
        <v>119733.3460937737</v>
      </c>
      <c r="CJ1214" s="231">
        <f t="shared" si="2177"/>
        <v>217.32531255977469</v>
      </c>
      <c r="CK1214" s="443">
        <v>0.87912087912087911</v>
      </c>
      <c r="CL1214" s="231">
        <f>+CL1203*CK1214+CJ1204*CK1213+CJ1205*CK1212+CJ1206*CK1211+CJ1207*CK1210+CJ1208*CK1209+CJ1209*CK1208+CJ1210*CK1207+CJ1211*CK1206+CJ1212*CK1205+CJ1213*CK1204+CJ1214</f>
        <v>4291.6573415138873</v>
      </c>
      <c r="CM1214" s="134">
        <f t="shared" si="2169"/>
        <v>3.9015125175429835E-2</v>
      </c>
      <c r="CN1214" s="135">
        <f t="shared" si="2170"/>
        <v>1.2867541953071208E-2</v>
      </c>
      <c r="CO1214" s="135">
        <f t="shared" si="2180"/>
        <v>1.2568869592319383E-2</v>
      </c>
      <c r="CP1214" s="134">
        <f>VLOOKUP($H1214,RoR!$E:$F,2,FALSE)</f>
        <v>5.3133333333333324E-2</v>
      </c>
      <c r="CQ1214" s="135">
        <v>7.7972502758210105E-3</v>
      </c>
      <c r="CR1214" s="135">
        <f t="shared" si="2178"/>
        <v>4.5336083057512314E-2</v>
      </c>
      <c r="CS1214" s="135">
        <f t="shared" si="2181"/>
        <v>1.8333072016214244E-2</v>
      </c>
      <c r="CT1214" s="135">
        <f t="shared" si="2182"/>
        <v>6.3720160300892073E-2</v>
      </c>
      <c r="CU1214" s="139">
        <f t="shared" si="2171"/>
        <v>0.87050000000000005</v>
      </c>
      <c r="CV1214" s="335">
        <f t="shared" si="2172"/>
        <v>0.96515780330083989</v>
      </c>
      <c r="CW1214" s="335">
        <f t="shared" si="2173"/>
        <v>0.50448557089084056</v>
      </c>
      <c r="CX1214" s="335">
        <f t="shared" si="2174"/>
        <v>0.87391435735465484</v>
      </c>
      <c r="CY1214" s="335">
        <f t="shared" si="2175"/>
        <v>0.42551605393279146</v>
      </c>
      <c r="CZ1214" s="336">
        <f>INDEX('State Tax Lookup'!$D$7:$Z$91,MATCH(Calculation!$C1214,'State Tax Lookup'!$B$7:$B$91,0),MATCH($H1214,'State Tax Lookup'!$D$6:$Z$6,0))</f>
        <v>0.35</v>
      </c>
      <c r="DA1214" s="302">
        <v>0.37</v>
      </c>
      <c r="DB1214" s="57">
        <f t="shared" si="2179"/>
        <v>13.441476493020319</v>
      </c>
      <c r="DC1214" s="56">
        <f t="shared" si="2183"/>
        <v>-5.0160290972305087E-2</v>
      </c>
      <c r="DD1214" s="303">
        <f>VLOOKUP($H1214,RoR!$E:$F,2,FALSE)</f>
        <v>5.3133333333333324E-2</v>
      </c>
      <c r="DE1214" s="304">
        <f>HLOOKUP($H1214,'GDP-PI'!$D$8:$CQ$11,3,FALSE)</f>
        <v>7.7972502758210105E-3</v>
      </c>
      <c r="DF1214" s="303">
        <f>VLOOKUP(H1214,'HW Dx Data'!$E:$F,2,FALSE)</f>
        <v>550.94063679692806</v>
      </c>
      <c r="DG1214" s="364">
        <f ca="1">VLOOKUP(CC1214,'ECI - Input Price'!M$13:N$33,2,FALSE)</f>
        <v>110.925</v>
      </c>
      <c r="DH1214" s="364"/>
      <c r="DI1214" s="364"/>
      <c r="DJ1214" s="56">
        <f t="shared" ca="1" si="2191"/>
        <v>2.7649425000884052E-2</v>
      </c>
      <c r="DK1214" s="53">
        <f>HLOOKUP(H1214,'GDP-PI'!$8:$9,2,FALSE)</f>
        <v>94.998999999999995</v>
      </c>
      <c r="DL1214" s="355">
        <f t="shared" si="2184"/>
        <v>7.7670088183096342E-3</v>
      </c>
    </row>
    <row r="1215" spans="1:116" s="126" customFormat="1" ht="21" customHeight="1" x14ac:dyDescent="0.4">
      <c r="A1215" s="233" t="s">
        <v>253</v>
      </c>
      <c r="B1215" s="126" t="s">
        <v>253</v>
      </c>
      <c r="C1215" s="126">
        <v>4059746</v>
      </c>
      <c r="D1215" s="127" t="s">
        <v>199</v>
      </c>
      <c r="E1215" s="127"/>
      <c r="F1215" s="144"/>
      <c r="G1215" s="126" t="s">
        <v>166</v>
      </c>
      <c r="H1215" s="128">
        <v>2010</v>
      </c>
      <c r="I1215" s="129"/>
      <c r="J1215" s="125">
        <f>IFERROR(INDEX('Labor Expenditures'!$E$7:$W$91,MATCH($C1215,'Labor Expenditures'!$C$7:$C$91,0),MATCH($G1215,'Labor Expenditures'!$E$5:$W$5,0)),"NA")</f>
        <v>63587.528138708694</v>
      </c>
      <c r="K1215" s="125">
        <f t="shared" ca="1" si="2185"/>
        <v>543.8317565850648</v>
      </c>
      <c r="L1215" s="47"/>
      <c r="M1215" s="131">
        <f t="shared" ca="1" si="2192"/>
        <v>-3.0776107627606752E-2</v>
      </c>
      <c r="N1215" s="131"/>
      <c r="O1215" s="131"/>
      <c r="P1215" s="59">
        <f t="shared" ca="1" si="2194"/>
        <v>-7.5685479161703804E-4</v>
      </c>
      <c r="Q1215" s="61"/>
      <c r="R1215" s="387"/>
      <c r="S1215" s="49">
        <f t="shared" ca="1" si="2199"/>
        <v>97.820257209143946</v>
      </c>
      <c r="T1215" s="61">
        <f ca="1">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</f>
        <v>-0.17485995901453635</v>
      </c>
      <c r="U1215" s="61"/>
      <c r="V1215" s="125">
        <f>IFERROR(INDEX('Non-Labor Expenditures'!$E$7:$AA$91,MATCH($C1215,'Non-Labor Expenditures'!$C$7:$C$91,0),MATCH($G1215,'Non-Labor Expenditures'!$E$5:$AA$5,0)),"NA")</f>
        <v>92086.617256866419</v>
      </c>
      <c r="W1215" s="125">
        <f t="shared" si="2186"/>
        <v>958.14769955848487</v>
      </c>
      <c r="X1215" s="131">
        <f t="shared" si="2195"/>
        <v>1.0285699912219495E-2</v>
      </c>
      <c r="Y1215" s="131">
        <f t="shared" si="2196"/>
        <v>2.5294885753243126E-4</v>
      </c>
      <c r="Z1215" s="131"/>
      <c r="AA1215" s="131"/>
      <c r="AB1215" s="131"/>
      <c r="AC1215" s="125">
        <f t="shared" si="2166"/>
        <v>58710.272786220085</v>
      </c>
      <c r="AD1215" s="129"/>
      <c r="AE1215" s="133">
        <v>4869.7558199102214</v>
      </c>
      <c r="AF1215" s="134">
        <v>5.2021467077164048E-2</v>
      </c>
      <c r="AG1215" s="59">
        <f t="shared" si="2187"/>
        <v>1.2793267134594221E-3</v>
      </c>
      <c r="AH1215" s="134"/>
      <c r="AI1215" s="134"/>
      <c r="AJ1215" s="129">
        <f t="shared" si="2138"/>
        <v>214384.41818179522</v>
      </c>
      <c r="AK1215" s="134">
        <f t="shared" si="2197"/>
        <v>3.1288480610530141E-2</v>
      </c>
      <c r="AL1215" s="129"/>
      <c r="AM1215" s="129"/>
      <c r="AN1215" s="129"/>
      <c r="AO1215" s="129"/>
      <c r="AP1215" s="133">
        <f t="shared" si="2198"/>
        <v>180.6778762922232</v>
      </c>
      <c r="AQ1215" s="134">
        <f>+BB1215/Outputs!$B$18</f>
        <v>3.3546241785375366E-2</v>
      </c>
      <c r="AR1215" s="93">
        <f t="shared" si="2188"/>
        <v>0.29660517624367311</v>
      </c>
      <c r="AS1215" s="93">
        <f t="shared" si="2189"/>
        <v>0.42953969340616049</v>
      </c>
      <c r="AT1215" s="93">
        <f t="shared" si="2190"/>
        <v>0.27385513035016629</v>
      </c>
      <c r="AU1215" s="93">
        <f t="shared" ca="1" si="2193"/>
        <v>9.3357828799274945E-3</v>
      </c>
      <c r="AV1215" s="132">
        <f t="shared" ca="1" si="2201"/>
        <v>106.80495950637567</v>
      </c>
      <c r="AW1215" s="134">
        <f t="shared" ca="1" si="2202"/>
        <v>9.3357828799275466E-3</v>
      </c>
      <c r="AX1215" s="135">
        <f>+AJ1215/$AL$15</f>
        <v>2.4592284403701686E-2</v>
      </c>
      <c r="AY1215" s="135">
        <f t="shared" ca="1" si="2200"/>
        <v>2.2958822771438741E-4</v>
      </c>
      <c r="AZ1215" s="93"/>
      <c r="BA1215" s="93"/>
      <c r="BB1215" s="234">
        <f>IFERROR(INDEX('Total Customers'!$E$7:$AA$91,MATCH($C1215,'Total Customers'!$C$7:$C$91,0),MATCH($G1215,'Total Customers'!$E$5:$AA$5,0)),"NA")</f>
        <v>1186556</v>
      </c>
      <c r="BC1215" s="269">
        <f t="shared" si="2095"/>
        <v>-6.0513209410025439E-3</v>
      </c>
      <c r="BD1215" s="92"/>
      <c r="BE1215" s="299" t="str">
        <f t="shared" si="2089"/>
        <v>THE EAST OHIO GAS COMPANY</v>
      </c>
      <c r="BF1215" s="300">
        <f t="shared" si="2090"/>
        <v>4059746</v>
      </c>
      <c r="BG1215" s="231" t="str">
        <f t="shared" si="2091"/>
        <v>OH</v>
      </c>
      <c r="BH1215" s="231"/>
      <c r="BI1215" s="231" t="str">
        <f t="shared" si="2092"/>
        <v>2010 Y</v>
      </c>
      <c r="BJ1215" s="129"/>
      <c r="BK1215" s="129"/>
      <c r="BL1215" s="129">
        <f>INDEX('Dist. Plant Gas Additions'!$E$7:$AD$91,MATCH($C1215,'Dist. Plant Gas Additions'!$C$7:$C$91,0),MATCH(Calculation!$G1215,'Dist. Plant Gas Additions'!$E$5:$AD$5,0))</f>
        <v>142061</v>
      </c>
      <c r="BM1215" s="129">
        <f>INDEX('Gen. Plant Additions'!$E$7:$AD$91,MATCH($C1215,'Gen. Plant Additions'!$C$7:$C$91,0),MATCH(Calculation!$G1215,'Gen. Plant Additions'!$E$5:$AD$5,0))</f>
        <v>16766</v>
      </c>
      <c r="BN1215" s="301">
        <f t="shared" si="2167"/>
        <v>0.9247505678698974</v>
      </c>
      <c r="BO1215" s="231">
        <f t="shared" si="2203"/>
        <v>15504.368020906701</v>
      </c>
      <c r="BP1215" s="231">
        <f t="shared" si="2204"/>
        <v>-1261.6319790932994</v>
      </c>
      <c r="BQ1215" s="129">
        <f>INDEX('Dist Plant Depreciation'!$D$7:$AC$94,MATCH($C1215,'Dist Plant Depreciation'!$C$7:$C$94,0),MATCH(Calculation!$G1215,'Dist Plant Depreciation'!$D$5:$AC$5,0))</f>
        <v>642201</v>
      </c>
      <c r="BR1215" s="129">
        <f>INDEX('Gen. Plant Depreciation'!$D$7:$AC$94,MATCH($C1215,'Gen. Plant Depreciation'!$C$7:$C$94,0),MATCH(Calculation!$G1215,'Gen. Plant Depreciation'!$D$5:$AC$5,0))</f>
        <v>70978</v>
      </c>
      <c r="BS1215" s="129"/>
      <c r="BT1215" s="129"/>
      <c r="BU1215" s="129"/>
      <c r="BV1215" s="129"/>
      <c r="BW1215" s="129"/>
      <c r="BX1215" s="137"/>
      <c r="BY1215" s="129">
        <f>INDEX('Gross Dx Plant'!$D$7:$AC$91,MATCH($C1215,'Gross Dx Plant'!$C$7:$C$91,0),MATCH(Calculation!$G1215,'Gross Dx Plant'!$D$5:$AC$5,0))</f>
        <v>1750182</v>
      </c>
      <c r="BZ1215" s="129">
        <f>INDEX('Gross Gen Plant'!$D$7:$AC$91,MATCH($C1215,'Gross Gen Plant'!$C$7:$C$91,0),MATCH(Calculation!$G1215,'Gross Gen Plant'!$D$5:$AC$5,0))</f>
        <v>142417</v>
      </c>
      <c r="CA1215" s="129">
        <f t="shared" si="2162"/>
        <v>1179420</v>
      </c>
      <c r="CB1215" s="129"/>
      <c r="CC1215" s="133">
        <v>2010</v>
      </c>
      <c r="CD1215" s="129"/>
      <c r="CE1215" s="129"/>
      <c r="CF1215" s="129"/>
      <c r="CG1215" s="137"/>
      <c r="CH1215" s="129">
        <f t="shared" si="2168"/>
        <v>158827</v>
      </c>
      <c r="CI1215" s="46">
        <f t="shared" si="2176"/>
        <v>157565.3680209067</v>
      </c>
      <c r="CJ1215" s="231">
        <f t="shared" si="2177"/>
        <v>276.92139713067053</v>
      </c>
      <c r="CK1215" s="443">
        <v>0.8666666666666667</v>
      </c>
      <c r="CL1215" s="231">
        <f>+CL1203*CK1215+CJ1204*CK1214+CJ1205*CK1213+CJ1206*CK1212+CJ1207*CK1211+CJ1208*CK1210+CJ1209*CK1209+CJ1210*CK1208+CJ1211*CK1207+CJ1212*CK1206+CJ1213*CK1205+CJ1214*CK1204+CJ1215</f>
        <v>4512.157059463234</v>
      </c>
      <c r="CM1215" s="134">
        <f t="shared" si="2169"/>
        <v>5.0102337839931371E-2</v>
      </c>
      <c r="CN1215" s="135">
        <f t="shared" si="2170"/>
        <v>1.3146827598640734E-2</v>
      </c>
      <c r="CO1215" s="135">
        <f t="shared" si="2180"/>
        <v>1.2865007343135238E-2</v>
      </c>
      <c r="CP1215" s="134">
        <f>VLOOKUP($H1215,RoR!$E:$F,2,FALSE)</f>
        <v>4.9433333333333322E-2</v>
      </c>
      <c r="CQ1215" s="135">
        <v>1.1684333519300205E-2</v>
      </c>
      <c r="CR1215" s="135">
        <f t="shared" si="2178"/>
        <v>3.7748999814033117E-2</v>
      </c>
      <c r="CS1215" s="135">
        <f t="shared" si="2181"/>
        <v>1.8036934265398388E-2</v>
      </c>
      <c r="CT1215" s="135">
        <f t="shared" si="2182"/>
        <v>4.7937530248493419E-2</v>
      </c>
      <c r="CU1215" s="139">
        <f t="shared" si="2171"/>
        <v>0.87050000000000005</v>
      </c>
      <c r="CV1215" s="335">
        <f t="shared" si="2172"/>
        <v>1.037398205301105</v>
      </c>
      <c r="CW1215" s="335">
        <f t="shared" si="2173"/>
        <v>0.46926837491571133</v>
      </c>
      <c r="CX1215" s="335">
        <f t="shared" si="2174"/>
        <v>0.8548537519972772</v>
      </c>
      <c r="CY1215" s="335">
        <f t="shared" si="2175"/>
        <v>0.41615833911547367</v>
      </c>
      <c r="CZ1215" s="336">
        <f>INDEX('State Tax Lookup'!$D$7:$Z$91,MATCH(Calculation!$C1215,'State Tax Lookup'!$B$7:$B$91,0),MATCH($H1215,'State Tax Lookup'!$D$6:$Z$6,0))</f>
        <v>0.35</v>
      </c>
      <c r="DA1215" s="302">
        <v>0.37</v>
      </c>
      <c r="DB1215" s="57">
        <f t="shared" si="2179"/>
        <v>13.680093286643888</v>
      </c>
      <c r="DC1215" s="56">
        <f t="shared" si="2183"/>
        <v>1.7596544197594568E-2</v>
      </c>
      <c r="DD1215" s="303">
        <f>VLOOKUP($H1215,RoR!$E:$F,2,FALSE)</f>
        <v>4.9433333333333322E-2</v>
      </c>
      <c r="DE1215" s="304">
        <f>HLOOKUP($H1215,'GDP-PI'!$D$8:$CQ$11,3,FALSE)</f>
        <v>1.1684333519300205E-2</v>
      </c>
      <c r="DF1215" s="303">
        <f>VLOOKUP(H1215,'HW Dx Data'!$E:$F,2,FALSE)</f>
        <v>568.98950262971744</v>
      </c>
      <c r="DG1215" s="364">
        <f ca="1">VLOOKUP(CC1215,'ECI - Input Price'!M$13:N$33,2,FALSE)</f>
        <v>116.925</v>
      </c>
      <c r="DH1215" s="364"/>
      <c r="DI1215" s="364"/>
      <c r="DJ1215" s="56">
        <f t="shared" ca="1" si="2191"/>
        <v>5.2678406346976722E-2</v>
      </c>
      <c r="DK1215" s="53">
        <f>HLOOKUP(H1215,'GDP-PI'!$8:$9,2,FALSE)</f>
        <v>96.108999999999995</v>
      </c>
      <c r="DL1215" s="355">
        <f t="shared" si="2184"/>
        <v>1.1616598807150427E-2</v>
      </c>
    </row>
    <row r="1216" spans="1:116" s="126" customFormat="1" ht="21" customHeight="1" x14ac:dyDescent="0.4">
      <c r="A1216" s="233" t="s">
        <v>253</v>
      </c>
      <c r="B1216" s="126" t="s">
        <v>253</v>
      </c>
      <c r="C1216" s="126">
        <v>4059746</v>
      </c>
      <c r="D1216" s="127" t="s">
        <v>199</v>
      </c>
      <c r="E1216" s="127"/>
      <c r="F1216" s="144"/>
      <c r="G1216" s="126" t="s">
        <v>167</v>
      </c>
      <c r="H1216" s="128">
        <v>2011</v>
      </c>
      <c r="I1216" s="129"/>
      <c r="J1216" s="125">
        <f>IFERROR(INDEX('Labor Expenditures'!$E$7:$W$91,MATCH($C1216,'Labor Expenditures'!$C$7:$C$91,0),MATCH($G1216,'Labor Expenditures'!$E$5:$W$5,0)),"NA")</f>
        <v>56965.937046217638</v>
      </c>
      <c r="K1216" s="125">
        <f t="shared" ca="1" si="2185"/>
        <v>471.2797273730518</v>
      </c>
      <c r="L1216" s="47"/>
      <c r="M1216" s="131">
        <f t="shared" ca="1" si="2192"/>
        <v>-0.14318810930710454</v>
      </c>
      <c r="N1216" s="131"/>
      <c r="O1216" s="131"/>
      <c r="P1216" s="59">
        <f t="shared" ca="1" si="2194"/>
        <v>-3.2350896562069694E-3</v>
      </c>
      <c r="Q1216" s="61"/>
      <c r="R1216" s="387"/>
      <c r="S1216" s="49">
        <f t="shared" ca="1" si="2199"/>
        <v>118.16080107579435</v>
      </c>
      <c r="T1216" s="61">
        <f ca="1">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</f>
        <v>0.18891473326501412</v>
      </c>
      <c r="U1216" s="61"/>
      <c r="V1216" s="125">
        <f>IFERROR(INDEX('Non-Labor Expenditures'!$E$7:$AA$91,MATCH($C1216,'Non-Labor Expenditures'!$C$7:$C$91,0),MATCH($G1216,'Non-Labor Expenditures'!$E$5:$AA$5,0)),"NA")</f>
        <v>82497.316612318944</v>
      </c>
      <c r="W1216" s="125">
        <f t="shared" si="2186"/>
        <v>840.84838360566448</v>
      </c>
      <c r="X1216" s="131">
        <f t="shared" si="2195"/>
        <v>-0.13059057835844504</v>
      </c>
      <c r="Y1216" s="131">
        <f t="shared" si="2196"/>
        <v>-2.9504700585115521E-3</v>
      </c>
      <c r="Z1216" s="131"/>
      <c r="AA1216" s="131"/>
      <c r="AB1216" s="131"/>
      <c r="AC1216" s="125">
        <f t="shared" si="2166"/>
        <v>65518.424027044843</v>
      </c>
      <c r="AD1216" s="129"/>
      <c r="AE1216" s="133">
        <v>5132.0731576330136</v>
      </c>
      <c r="AF1216" s="134">
        <v>5.246590565274397E-2</v>
      </c>
      <c r="AG1216" s="59">
        <f t="shared" si="2187"/>
        <v>1.1853771203633122E-3</v>
      </c>
      <c r="AH1216" s="134"/>
      <c r="AI1216" s="134"/>
      <c r="AJ1216" s="129">
        <f t="shared" si="2138"/>
        <v>204981.67768558144</v>
      </c>
      <c r="AK1216" s="134">
        <f t="shared" si="2197"/>
        <v>-4.4850152164181416E-2</v>
      </c>
      <c r="AL1216" s="129"/>
      <c r="AM1216" s="129"/>
      <c r="AN1216" s="129"/>
      <c r="AO1216" s="129"/>
      <c r="AP1216" s="133">
        <f t="shared" si="2198"/>
        <v>173.4283052556701</v>
      </c>
      <c r="AQ1216" s="134">
        <f>+BB1216/Outputs!$B$19</f>
        <v>3.3254479760129976E-2</v>
      </c>
      <c r="AR1216" s="93">
        <f t="shared" si="2188"/>
        <v>0.27790745831242974</v>
      </c>
      <c r="AS1216" s="93">
        <f t="shared" si="2189"/>
        <v>0.40246190558973</v>
      </c>
      <c r="AT1216" s="93">
        <f t="shared" si="2190"/>
        <v>0.31963063609784015</v>
      </c>
      <c r="AU1216" s="93">
        <f t="shared" ca="1" si="2193"/>
        <v>-7.9888589847224356E-2</v>
      </c>
      <c r="AV1216" s="132">
        <f t="shared" ca="1" si="2201"/>
        <v>98.60438891360424</v>
      </c>
      <c r="AW1216" s="134">
        <f t="shared" ca="1" si="2202"/>
        <v>-7.9888589847224342E-2</v>
      </c>
      <c r="AX1216" s="135">
        <f>+AJ1216/$AL$16</f>
        <v>2.2593284259857564E-2</v>
      </c>
      <c r="AY1216" s="135">
        <f t="shared" ca="1" si="2200"/>
        <v>-1.8049456195375106E-3</v>
      </c>
      <c r="AZ1216" s="93"/>
      <c r="BA1216" s="93"/>
      <c r="BB1216" s="234">
        <f>IFERROR(INDEX('Total Customers'!$E$7:$AA$91,MATCH($C1216,'Total Customers'!$C$7:$C$91,0),MATCH($G1216,'Total Customers'!$E$5:$AA$5,0)),"NA")</f>
        <v>1181939</v>
      </c>
      <c r="BC1216" s="269">
        <f t="shared" si="2095"/>
        <v>-3.8986832128376668E-3</v>
      </c>
      <c r="BD1216" s="92"/>
      <c r="BE1216" s="299" t="str">
        <f t="shared" si="2089"/>
        <v>THE EAST OHIO GAS COMPANY</v>
      </c>
      <c r="BF1216" s="300">
        <f t="shared" si="2090"/>
        <v>4059746</v>
      </c>
      <c r="BG1216" s="231" t="str">
        <f t="shared" si="2091"/>
        <v>OH</v>
      </c>
      <c r="BH1216" s="231"/>
      <c r="BI1216" s="231" t="str">
        <f t="shared" si="2092"/>
        <v>2011 Y</v>
      </c>
      <c r="BJ1216" s="129"/>
      <c r="BK1216" s="129"/>
      <c r="BL1216" s="129">
        <f>INDEX('Dist. Plant Gas Additions'!$E$7:$AD$91,MATCH($C1216,'Dist. Plant Gas Additions'!$C$7:$C$91,0),MATCH(Calculation!$G1216,'Dist. Plant Gas Additions'!$E$5:$AD$5,0))</f>
        <v>168082</v>
      </c>
      <c r="BM1216" s="129">
        <f>INDEX('Gen. Plant Additions'!$E$7:$AD$91,MATCH($C1216,'Gen. Plant Additions'!$C$7:$C$91,0),MATCH(Calculation!$G1216,'Gen. Plant Additions'!$E$5:$AD$5,0))</f>
        <v>13645</v>
      </c>
      <c r="BN1216" s="301">
        <f t="shared" si="2167"/>
        <v>0.9266063522692789</v>
      </c>
      <c r="BO1216" s="231">
        <f t="shared" si="2203"/>
        <v>12643.543676714311</v>
      </c>
      <c r="BP1216" s="231">
        <f t="shared" si="2204"/>
        <v>-1001.456323285689</v>
      </c>
      <c r="BQ1216" s="129">
        <f>INDEX('Dist Plant Depreciation'!$D$7:$AC$94,MATCH($C1216,'Dist Plant Depreciation'!$C$7:$C$94,0),MATCH(Calculation!$G1216,'Dist Plant Depreciation'!$D$5:$AC$5,0))</f>
        <v>681706</v>
      </c>
      <c r="BR1216" s="129">
        <f>INDEX('Gen. Plant Depreciation'!$D$7:$AC$94,MATCH($C1216,'Gen. Plant Depreciation'!$C$7:$C$94,0),MATCH(Calculation!$G1216,'Gen. Plant Depreciation'!$D$5:$AC$5,0))</f>
        <v>61309</v>
      </c>
      <c r="BS1216" s="129"/>
      <c r="BT1216" s="129"/>
      <c r="BU1216" s="129"/>
      <c r="BV1216" s="129"/>
      <c r="BW1216" s="129"/>
      <c r="BX1216" s="137"/>
      <c r="BY1216" s="129">
        <f>INDEX('Gross Dx Plant'!$D$7:$AC$91,MATCH($C1216,'Gross Dx Plant'!$C$7:$C$91,0),MATCH(Calculation!$G1216,'Gross Dx Plant'!$D$5:$AC$5,0))</f>
        <v>1905414</v>
      </c>
      <c r="BZ1216" s="129">
        <f>INDEX('Gross Gen Plant'!$D$7:$AC$91,MATCH($C1216,'Gross Gen Plant'!$C$7:$C$91,0),MATCH(Calculation!$G1216,'Gross Gen Plant'!$D$5:$AC$5,0))</f>
        <v>150922</v>
      </c>
      <c r="CA1216" s="129">
        <f t="shared" si="2162"/>
        <v>1313321</v>
      </c>
      <c r="CB1216" s="129"/>
      <c r="CC1216" s="133">
        <v>2011</v>
      </c>
      <c r="CD1216" s="129"/>
      <c r="CE1216" s="129"/>
      <c r="CF1216" s="129"/>
      <c r="CG1216" s="137"/>
      <c r="CH1216" s="129">
        <f t="shared" si="2168"/>
        <v>181727</v>
      </c>
      <c r="CI1216" s="46">
        <f t="shared" si="2176"/>
        <v>180725.5436767143</v>
      </c>
      <c r="CJ1216" s="231">
        <f t="shared" si="2177"/>
        <v>295.49094975938527</v>
      </c>
      <c r="CK1216" s="443">
        <v>0.8539325842696629</v>
      </c>
      <c r="CL1216" s="231">
        <f>+CL1203*CK1216+CJ1204*CK1215+CJ1205*CK1214+CJ1206*CK1213+CJ1207*CK1212+CJ1208*CK1211+CJ1209*CK1210+CJ1210*CK1209+CJ1211*CK1208+CJ1212*CK1207+CJ1213*CK1206+CJ1214*CK1205+CJ1215*CK1204+CJ1216</f>
        <v>4747.2431335687397</v>
      </c>
      <c r="CM1216" s="134">
        <f t="shared" si="2169"/>
        <v>5.0788733752348707E-2</v>
      </c>
      <c r="CN1216" s="135">
        <f t="shared" si="2170"/>
        <v>1.3387139423082332E-2</v>
      </c>
      <c r="CO1216" s="135">
        <f t="shared" si="2180"/>
        <v>1.3133836324931425E-2</v>
      </c>
      <c r="CP1216" s="134">
        <f>VLOOKUP($H1216,RoR!$E:$F,2,FALSE)</f>
        <v>4.6391666666666664E-2</v>
      </c>
      <c r="CQ1216" s="135">
        <v>2.0840920205183799E-2</v>
      </c>
      <c r="CR1216" s="135">
        <f t="shared" si="2178"/>
        <v>2.5550746461482865E-2</v>
      </c>
      <c r="CS1216" s="135">
        <f t="shared" si="2181"/>
        <v>1.77681052836022E-2</v>
      </c>
      <c r="CT1216" s="135">
        <f t="shared" si="2182"/>
        <v>2.4810540821321614E-2</v>
      </c>
      <c r="CU1216" s="139">
        <f t="shared" si="2171"/>
        <v>0.87050000000000005</v>
      </c>
      <c r="CV1216" s="335">
        <f t="shared" si="2172"/>
        <v>1.1054151524782025</v>
      </c>
      <c r="CW1216" s="335">
        <f t="shared" si="2173"/>
        <v>0.43611011316687626</v>
      </c>
      <c r="CX1216" s="335">
        <f t="shared" si="2174"/>
        <v>0.83698442246886229</v>
      </c>
      <c r="CY1216" s="335">
        <f t="shared" si="2175"/>
        <v>0.40349573304423936</v>
      </c>
      <c r="CZ1216" s="336">
        <f>INDEX('State Tax Lookup'!$D$7:$Z$91,MATCH(Calculation!$C1216,'State Tax Lookup'!$B$7:$B$91,0),MATCH($H1216,'State Tax Lookup'!$D$6:$Z$6,0))</f>
        <v>0.35</v>
      </c>
      <c r="DA1216" s="302">
        <v>0.37</v>
      </c>
      <c r="DB1216" s="57">
        <f t="shared" si="2179"/>
        <v>14.520421865554235</v>
      </c>
      <c r="DC1216" s="56">
        <f t="shared" si="2183"/>
        <v>5.9614331705850697E-2</v>
      </c>
      <c r="DD1216" s="303">
        <f>VLOOKUP($H1216,RoR!$E:$F,2,FALSE)</f>
        <v>4.6391666666666664E-2</v>
      </c>
      <c r="DE1216" s="304">
        <f>HLOOKUP($H1216,'GDP-PI'!$D$8:$CQ$11,3,FALSE)</f>
        <v>2.0840920205183799E-2</v>
      </c>
      <c r="DF1216" s="303">
        <f>VLOOKUP(H1216,'HW Dx Data'!$E:$F,2,FALSE)</f>
        <v>611.61109612283201</v>
      </c>
      <c r="DG1216" s="364">
        <f ca="1">VLOOKUP(CC1216,'ECI - Input Price'!M$13:N$33,2,FALSE)</f>
        <v>120.875</v>
      </c>
      <c r="DH1216" s="364"/>
      <c r="DI1216" s="364"/>
      <c r="DJ1216" s="56">
        <f t="shared" ca="1" si="2191"/>
        <v>3.3224250161508609E-2</v>
      </c>
      <c r="DK1216" s="53">
        <f>HLOOKUP(H1216,'GDP-PI'!$8:$9,2,FALSE)</f>
        <v>98.111999999999995</v>
      </c>
      <c r="DL1216" s="355">
        <f t="shared" si="2184"/>
        <v>2.0626719212849295E-2</v>
      </c>
    </row>
    <row r="1217" spans="1:116" s="126" customFormat="1" ht="21" customHeight="1" x14ac:dyDescent="0.4">
      <c r="A1217" s="233" t="s">
        <v>253</v>
      </c>
      <c r="B1217" s="126" t="s">
        <v>253</v>
      </c>
      <c r="C1217" s="126">
        <v>4059746</v>
      </c>
      <c r="D1217" s="127" t="s">
        <v>199</v>
      </c>
      <c r="E1217" s="127"/>
      <c r="F1217" s="144"/>
      <c r="G1217" s="126" t="s">
        <v>168</v>
      </c>
      <c r="H1217" s="128">
        <v>2012</v>
      </c>
      <c r="I1217" s="129"/>
      <c r="J1217" s="125">
        <f>IFERROR(INDEX('Labor Expenditures'!$E$7:$W$91,MATCH($C1217,'Labor Expenditures'!$C$7:$C$91,0),MATCH($G1217,'Labor Expenditures'!$E$5:$W$5,0)),"NA")</f>
        <v>57417.203838511479</v>
      </c>
      <c r="K1217" s="125">
        <f t="shared" ca="1" si="2185"/>
        <v>460.07374870602143</v>
      </c>
      <c r="L1217" s="47"/>
      <c r="M1217" s="131">
        <f t="shared" ca="1" si="2192"/>
        <v>-2.4065018824670294E-2</v>
      </c>
      <c r="N1217" s="131"/>
      <c r="O1217" s="131"/>
      <c r="P1217" s="59">
        <f t="shared" ca="1" si="2194"/>
        <v>-5.5016972224068369E-4</v>
      </c>
      <c r="Q1217" s="61"/>
      <c r="R1217" s="387"/>
      <c r="S1217" s="49">
        <f t="shared" ca="1" si="2199"/>
        <v>117.84207970160284</v>
      </c>
      <c r="T1217" s="61">
        <f ca="1">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</f>
        <v>-2.7009972667104837E-3</v>
      </c>
      <c r="U1217" s="61"/>
      <c r="V1217" s="125">
        <f>IFERROR(INDEX('Non-Labor Expenditures'!$E$7:$AA$91,MATCH($C1217,'Non-Labor Expenditures'!$C$7:$C$91,0),MATCH($G1217,'Non-Labor Expenditures'!$E$5:$AA$5,0)),"NA")</f>
        <v>83150.835212570993</v>
      </c>
      <c r="W1217" s="125">
        <f t="shared" si="2186"/>
        <v>831.50835212570996</v>
      </c>
      <c r="X1217" s="131">
        <f t="shared" si="2195"/>
        <v>-1.1170019401543916E-2</v>
      </c>
      <c r="Y1217" s="131">
        <f t="shared" si="2196"/>
        <v>-2.5536678430812152E-4</v>
      </c>
      <c r="Z1217" s="131"/>
      <c r="AA1217" s="131"/>
      <c r="AB1217" s="131"/>
      <c r="AC1217" s="125">
        <f t="shared" si="2166"/>
        <v>74066.80564675745</v>
      </c>
      <c r="AD1217" s="129"/>
      <c r="AE1217" s="133">
        <v>5404.4099007711475</v>
      </c>
      <c r="AF1217" s="134">
        <v>5.1705566744016981E-2</v>
      </c>
      <c r="AG1217" s="59">
        <f t="shared" si="2187"/>
        <v>1.1820824866627833E-3</v>
      </c>
      <c r="AH1217" s="134"/>
      <c r="AI1217" s="134"/>
      <c r="AJ1217" s="129">
        <f t="shared" si="2138"/>
        <v>214634.84469783993</v>
      </c>
      <c r="AK1217" s="134">
        <f t="shared" si="2197"/>
        <v>4.6017589462013814E-2</v>
      </c>
      <c r="AL1217" s="129"/>
      <c r="AM1217" s="129"/>
      <c r="AN1217" s="129"/>
      <c r="AO1217" s="129"/>
      <c r="AP1217" s="133">
        <f t="shared" si="2198"/>
        <v>180.33389516608855</v>
      </c>
      <c r="AQ1217" s="134">
        <f>+BB1217/Outputs!$B$20</f>
        <v>3.3326651434101809E-2</v>
      </c>
      <c r="AR1217" s="93">
        <f t="shared" si="2188"/>
        <v>0.26751110202699219</v>
      </c>
      <c r="AS1217" s="93">
        <f t="shared" si="2189"/>
        <v>0.38740603991690925</v>
      </c>
      <c r="AT1217" s="93">
        <f t="shared" si="2190"/>
        <v>0.34508285805609856</v>
      </c>
      <c r="AU1217" s="93">
        <f t="shared" ca="1" si="2193"/>
        <v>6.2105198698828336E-3</v>
      </c>
      <c r="AV1217" s="132">
        <f t="shared" ca="1" si="2201"/>
        <v>99.218678986102475</v>
      </c>
      <c r="AW1217" s="134">
        <f t="shared" ca="1" si="2202"/>
        <v>6.2105198698828787E-3</v>
      </c>
      <c r="AX1217" s="135">
        <f>+AJ1217/$AL$17</f>
        <v>2.2861803111355817E-2</v>
      </c>
      <c r="AY1217" s="135">
        <f t="shared" ca="1" si="2200"/>
        <v>1.4198368248442551E-4</v>
      </c>
      <c r="AZ1217" s="93"/>
      <c r="BA1217" s="93"/>
      <c r="BB1217" s="234">
        <f>IFERROR(INDEX('Total Customers'!$E$7:$AA$91,MATCH($C1217,'Total Customers'!$C$7:$C$91,0),MATCH($G1217,'Total Customers'!$E$5:$AA$5,0)),"NA")</f>
        <v>1190208</v>
      </c>
      <c r="BC1217" s="269">
        <f t="shared" si="2095"/>
        <v>6.971771558238922E-3</v>
      </c>
      <c r="BD1217" s="92"/>
      <c r="BE1217" s="299" t="str">
        <f t="shared" si="2089"/>
        <v>THE EAST OHIO GAS COMPANY</v>
      </c>
      <c r="BF1217" s="300">
        <f t="shared" si="2090"/>
        <v>4059746</v>
      </c>
      <c r="BG1217" s="231" t="str">
        <f t="shared" si="2091"/>
        <v>OH</v>
      </c>
      <c r="BH1217" s="231"/>
      <c r="BI1217" s="231" t="str">
        <f t="shared" si="2092"/>
        <v>2012 Y</v>
      </c>
      <c r="BJ1217" s="129"/>
      <c r="BK1217" s="129"/>
      <c r="BL1217" s="129">
        <f>INDEX('Dist. Plant Gas Additions'!$E$7:$AD$91,MATCH($C1217,'Dist. Plant Gas Additions'!$C$7:$C$91,0),MATCH(Calculation!$G1217,'Dist. Plant Gas Additions'!$E$5:$AD$5,0))</f>
        <v>199361</v>
      </c>
      <c r="BM1217" s="129">
        <f>INDEX('Gen. Plant Additions'!$E$7:$AD$91,MATCH($C1217,'Gen. Plant Additions'!$C$7:$C$91,0),MATCH(Calculation!$G1217,'Gen. Plant Additions'!$E$5:$AD$5,0))</f>
        <v>7916</v>
      </c>
      <c r="BN1217" s="301">
        <f t="shared" si="2167"/>
        <v>0.93230375236610619</v>
      </c>
      <c r="BO1217" s="231">
        <f t="shared" si="2203"/>
        <v>7380.1165037300962</v>
      </c>
      <c r="BP1217" s="231">
        <f t="shared" si="2204"/>
        <v>-535.88349626990384</v>
      </c>
      <c r="BQ1217" s="129">
        <f>INDEX('Dist Plant Depreciation'!$D$7:$AC$94,MATCH($C1217,'Dist Plant Depreciation'!$C$7:$C$94,0),MATCH(Calculation!$G1217,'Dist Plant Depreciation'!$D$5:$AC$5,0))</f>
        <v>723495</v>
      </c>
      <c r="BR1217" s="129">
        <f>INDEX('Gen. Plant Depreciation'!$D$7:$AC$94,MATCH($C1217,'Gen. Plant Depreciation'!$C$7:$C$94,0),MATCH(Calculation!$G1217,'Gen. Plant Depreciation'!$D$5:$AC$5,0))</f>
        <v>47271</v>
      </c>
      <c r="BS1217" s="129"/>
      <c r="BT1217" s="129"/>
      <c r="BU1217" s="129"/>
      <c r="BV1217" s="129"/>
      <c r="BW1217" s="129"/>
      <c r="BX1217" s="137"/>
      <c r="BY1217" s="129">
        <f>INDEX('Gross Dx Plant'!$D$7:$AC$91,MATCH($C1217,'Gross Dx Plant'!$C$7:$C$91,0),MATCH(Calculation!$G1217,'Gross Dx Plant'!$D$5:$AC$5,0))</f>
        <v>2093255</v>
      </c>
      <c r="BZ1217" s="129">
        <f>INDEX('Gross Gen Plant'!$D$7:$AC$91,MATCH($C1217,'Gross Gen Plant'!$C$7:$C$91,0),MATCH(Calculation!$G1217,'Gross Gen Plant'!$D$5:$AC$5,0))</f>
        <v>151995</v>
      </c>
      <c r="CA1217" s="129">
        <f t="shared" si="2162"/>
        <v>1474484</v>
      </c>
      <c r="CB1217" s="129"/>
      <c r="CC1217" s="133">
        <v>2012</v>
      </c>
      <c r="CD1217" s="129"/>
      <c r="CE1217" s="129"/>
      <c r="CF1217" s="129"/>
      <c r="CG1217" s="137"/>
      <c r="CH1217" s="129">
        <f t="shared" si="2168"/>
        <v>207277</v>
      </c>
      <c r="CI1217" s="46">
        <f t="shared" si="2176"/>
        <v>206741.1165037301</v>
      </c>
      <c r="CJ1217" s="231">
        <f t="shared" si="2177"/>
        <v>309.06734141090101</v>
      </c>
      <c r="CK1217" s="443">
        <v>0.84090909090909094</v>
      </c>
      <c r="CL1217" s="231">
        <f>+CL1203*CK1217+CJ1204*CK1216+CJ1205*CK1215+CJ1206*CK1214+CJ1207*CK1213+CJ1208*CK1212+CJ1209*CK1211+CJ1210*CK1210+CJ1211*CK1209+CJ1212*CK1208+CJ1213*CK1207+CJ1214*CK1206+CJ1215*CK1205+CJ1216*CK1204+CJ1217</f>
        <v>4991.6422289936581</v>
      </c>
      <c r="CM1217" s="134">
        <f t="shared" si="2169"/>
        <v>5.0200903006850879E-2</v>
      </c>
      <c r="CN1217" s="135">
        <f t="shared" si="2170"/>
        <v>1.3622273847467392E-2</v>
      </c>
      <c r="CO1217" s="135">
        <f t="shared" si="2180"/>
        <v>1.3385413623063487E-2</v>
      </c>
      <c r="CP1217" s="134">
        <f>VLOOKUP($H1217,RoR!$E:$F,2,FALSE)</f>
        <v>3.6733333333333333E-2</v>
      </c>
      <c r="CQ1217" s="135">
        <v>1.924331376386168E-2</v>
      </c>
      <c r="CR1217" s="135">
        <f t="shared" si="2178"/>
        <v>1.7490019569471653E-2</v>
      </c>
      <c r="CS1217" s="135">
        <f t="shared" si="2181"/>
        <v>1.751652798547014E-2</v>
      </c>
      <c r="CT1217" s="135">
        <f t="shared" si="2182"/>
        <v>6.7122682943869583E-2</v>
      </c>
      <c r="CU1217" s="139">
        <f t="shared" si="2171"/>
        <v>0.87050000000000005</v>
      </c>
      <c r="CV1217" s="335">
        <f t="shared" si="2172"/>
        <v>1.3960631020522127</v>
      </c>
      <c r="CW1217" s="335">
        <f t="shared" si="2173"/>
        <v>0.29441923774954631</v>
      </c>
      <c r="CX1217" s="335">
        <f t="shared" si="2174"/>
        <v>0.76377954189366437</v>
      </c>
      <c r="CY1217" s="335">
        <f t="shared" si="2175"/>
        <v>0.31393465103033691</v>
      </c>
      <c r="CZ1217" s="336">
        <f>INDEX('State Tax Lookup'!$D$7:$Z$91,MATCH(Calculation!$C1217,'State Tax Lookup'!$B$7:$B$91,0),MATCH($H1217,'State Tax Lookup'!$D$6:$Z$6,0))</f>
        <v>0.35</v>
      </c>
      <c r="DA1217" s="302">
        <v>0.37</v>
      </c>
      <c r="DB1217" s="57">
        <f t="shared" si="2179"/>
        <v>15.602067044558078</v>
      </c>
      <c r="DC1217" s="56">
        <f t="shared" si="2183"/>
        <v>7.1847345257931239E-2</v>
      </c>
      <c r="DD1217" s="303">
        <f>VLOOKUP($H1217,RoR!$E:$F,2,FALSE)</f>
        <v>3.6733333333333333E-2</v>
      </c>
      <c r="DE1217" s="304">
        <f>HLOOKUP($H1217,'GDP-PI'!$D$8:$CQ$11,3,FALSE)</f>
        <v>1.924331376386168E-2</v>
      </c>
      <c r="DF1217" s="303">
        <f>VLOOKUP(H1217,'HW Dx Data'!$E:$F,2,FALSE)</f>
        <v>668.91932211262167</v>
      </c>
      <c r="DG1217" s="364">
        <f ca="1">VLOOKUP(CC1217,'ECI - Input Price'!M$13:N$33,2,FALSE)</f>
        <v>124.80000000000001</v>
      </c>
      <c r="DH1217" s="364"/>
      <c r="DI1217" s="364"/>
      <c r="DJ1217" s="56">
        <f t="shared" ca="1" si="2191"/>
        <v>3.1955502161869064E-2</v>
      </c>
      <c r="DK1217" s="53">
        <f>HLOOKUP(H1217,'GDP-PI'!$8:$9,2,FALSE)</f>
        <v>100</v>
      </c>
      <c r="DL1217" s="355">
        <f t="shared" si="2184"/>
        <v>1.9060502738742411E-2</v>
      </c>
    </row>
    <row r="1218" spans="1:116" s="126" customFormat="1" ht="21" customHeight="1" x14ac:dyDescent="0.4">
      <c r="A1218" s="233" t="s">
        <v>253</v>
      </c>
      <c r="B1218" s="126" t="s">
        <v>253</v>
      </c>
      <c r="C1218" s="126">
        <v>4059746</v>
      </c>
      <c r="D1218" s="127" t="s">
        <v>199</v>
      </c>
      <c r="E1218" s="127"/>
      <c r="F1218" s="144"/>
      <c r="G1218" s="126" t="s">
        <v>169</v>
      </c>
      <c r="H1218" s="128">
        <v>2013</v>
      </c>
      <c r="I1218" s="129"/>
      <c r="J1218" s="125">
        <f>IFERROR(INDEX('Labor Expenditures'!$E$7:$W$91,MATCH($C1218,'Labor Expenditures'!$C$7:$C$91,0),MATCH($G1218,'Labor Expenditures'!$E$5:$W$5,0)),"NA")</f>
        <v>53787.378632157721</v>
      </c>
      <c r="K1218" s="125">
        <f t="shared" ca="1" si="2185"/>
        <v>424.1906832189095</v>
      </c>
      <c r="L1218" s="47"/>
      <c r="M1218" s="131">
        <f t="shared" ca="1" si="2192"/>
        <v>-8.1203721197626894E-2</v>
      </c>
      <c r="N1218" s="131"/>
      <c r="O1218" s="131"/>
      <c r="P1218" s="59">
        <f t="shared" ca="1" si="2194"/>
        <v>-1.7352998789070776E-3</v>
      </c>
      <c r="Q1218" s="61"/>
      <c r="R1218" s="387"/>
      <c r="S1218" s="49">
        <f t="shared" ca="1" si="2199"/>
        <v>107.59089499758986</v>
      </c>
      <c r="T1218" s="61">
        <f ca="1">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</f>
        <v>-9.1009395352903602E-2</v>
      </c>
      <c r="U1218" s="61"/>
      <c r="V1218" s="125">
        <f>IFERROR(INDEX('Non-Labor Expenditures'!$E$7:$AA$91,MATCH($C1218,'Non-Labor Expenditures'!$C$7:$C$91,0),MATCH($G1218,'Non-Labor Expenditures'!$E$5:$AA$5,0)),"NA")</f>
        <v>77894.170355939365</v>
      </c>
      <c r="W1218" s="125">
        <f t="shared" si="2186"/>
        <v>765.3716639574285</v>
      </c>
      <c r="X1218" s="131">
        <f t="shared" si="2195"/>
        <v>-8.2879792146339226E-2</v>
      </c>
      <c r="Y1218" s="131">
        <f t="shared" si="2196"/>
        <v>-1.7711170270801489E-3</v>
      </c>
      <c r="Z1218" s="131"/>
      <c r="AA1218" s="131"/>
      <c r="AB1218" s="131"/>
      <c r="AC1218" s="125">
        <f t="shared" si="2166"/>
        <v>76258.082195072406</v>
      </c>
      <c r="AD1218" s="129"/>
      <c r="AE1218" s="133">
        <v>5700.8852532184246</v>
      </c>
      <c r="AF1218" s="134">
        <v>5.3406201778310236E-2</v>
      </c>
      <c r="AG1218" s="59">
        <f t="shared" si="2187"/>
        <v>1.1412749823772493E-3</v>
      </c>
      <c r="AH1218" s="134"/>
      <c r="AI1218" s="134"/>
      <c r="AJ1218" s="129">
        <f t="shared" si="2138"/>
        <v>207939.63118316949</v>
      </c>
      <c r="AK1218" s="134">
        <f t="shared" si="2197"/>
        <v>-3.1690384583765031E-2</v>
      </c>
      <c r="AL1218" s="129"/>
      <c r="AM1218" s="129"/>
      <c r="AN1218" s="129"/>
      <c r="AO1218" s="129"/>
      <c r="AP1218" s="133">
        <f t="shared" si="2198"/>
        <v>174.63909858649873</v>
      </c>
      <c r="AQ1218" s="134">
        <f>+BB1218/Outputs!$B$21</f>
        <v>3.3127437645357284E-2</v>
      </c>
      <c r="AR1218" s="93">
        <f t="shared" si="2188"/>
        <v>0.25866824099912722</v>
      </c>
      <c r="AS1218" s="93">
        <f t="shared" si="2189"/>
        <v>0.37459992552994426</v>
      </c>
      <c r="AT1218" s="93">
        <f t="shared" si="2190"/>
        <v>0.36673183347092853</v>
      </c>
      <c r="AU1218" s="93">
        <f t="shared" ca="1" si="2193"/>
        <v>-3.393364882854559E-2</v>
      </c>
      <c r="AV1218" s="132">
        <f t="shared" ca="1" si="2201"/>
        <v>95.908311253434277</v>
      </c>
      <c r="AW1218" s="134">
        <f t="shared" ca="1" si="2202"/>
        <v>-3.3933648828545437E-2</v>
      </c>
      <c r="AX1218" s="135">
        <f>+AJ1218/$AL$18</f>
        <v>2.1369708842330616E-2</v>
      </c>
      <c r="AY1218" s="135">
        <f t="shared" ca="1" si="2200"/>
        <v>-7.2515219542390943E-4</v>
      </c>
      <c r="AZ1218" s="93"/>
      <c r="BA1218" s="93"/>
      <c r="BB1218" s="234">
        <f>IFERROR(INDEX('Total Customers'!$E$7:$AA$91,MATCH($C1218,'Total Customers'!$C$7:$C$91,0),MATCH($G1218,'Total Customers'!$E$5:$AA$5,0)),"NA")</f>
        <v>1190682</v>
      </c>
      <c r="BC1218" s="269">
        <f t="shared" si="2095"/>
        <v>3.9817043732582192E-4</v>
      </c>
      <c r="BD1218" s="92"/>
      <c r="BE1218" s="299" t="str">
        <f t="shared" si="2089"/>
        <v>THE EAST OHIO GAS COMPANY</v>
      </c>
      <c r="BF1218" s="300">
        <f t="shared" si="2090"/>
        <v>4059746</v>
      </c>
      <c r="BG1218" s="231" t="str">
        <f t="shared" si="2091"/>
        <v>OH</v>
      </c>
      <c r="BH1218" s="231"/>
      <c r="BI1218" s="231" t="str">
        <f t="shared" si="2092"/>
        <v>2013 Y</v>
      </c>
      <c r="BJ1218" s="129"/>
      <c r="BK1218" s="129"/>
      <c r="BL1218" s="129">
        <f>INDEX('Dist. Plant Gas Additions'!$E$7:$AD$91,MATCH($C1218,'Dist. Plant Gas Additions'!$C$7:$C$91,0),MATCH(Calculation!$G1218,'Dist. Plant Gas Additions'!$E$5:$AD$5,0))</f>
        <v>217175</v>
      </c>
      <c r="BM1218" s="129">
        <f>INDEX('Gen. Plant Additions'!$E$7:$AD$91,MATCH($C1218,'Gen. Plant Additions'!$C$7:$C$91,0),MATCH(Calculation!$G1218,'Gen. Plant Additions'!$E$5:$AD$5,0))</f>
        <v>6276</v>
      </c>
      <c r="BN1218" s="301">
        <f t="shared" si="2167"/>
        <v>0.93690910964408003</v>
      </c>
      <c r="BO1218" s="231">
        <f t="shared" si="2203"/>
        <v>5880.0415721262461</v>
      </c>
      <c r="BP1218" s="231">
        <f t="shared" si="2204"/>
        <v>-395.95842787375386</v>
      </c>
      <c r="BQ1218" s="129">
        <f>INDEX('Dist Plant Depreciation'!$D$7:$AC$94,MATCH($C1218,'Dist Plant Depreciation'!$C$7:$C$94,0),MATCH(Calculation!$G1218,'Dist Plant Depreciation'!$D$5:$AC$5,0))</f>
        <v>769372</v>
      </c>
      <c r="BR1218" s="129">
        <f>INDEX('Gen. Plant Depreciation'!$D$7:$AC$94,MATCH($C1218,'Gen. Plant Depreciation'!$C$7:$C$94,0),MATCH(Calculation!$G1218,'Gen. Plant Depreciation'!$D$5:$AC$5,0))</f>
        <v>33064</v>
      </c>
      <c r="BS1218" s="129"/>
      <c r="BT1218" s="129"/>
      <c r="BU1218" s="129"/>
      <c r="BV1218" s="129"/>
      <c r="BW1218" s="129"/>
      <c r="BX1218" s="137"/>
      <c r="BY1218" s="129">
        <f>INDEX('Gross Dx Plant'!$D$7:$AC$91,MATCH($C1218,'Gross Dx Plant'!$C$7:$C$91,0),MATCH(Calculation!$G1218,'Gross Dx Plant'!$D$5:$AC$5,0))</f>
        <v>2300392</v>
      </c>
      <c r="BZ1218" s="129">
        <f>INDEX('Gross Gen Plant'!$D$7:$AC$91,MATCH($C1218,'Gross Gen Plant'!$C$7:$C$91,0),MATCH(Calculation!$G1218,'Gross Gen Plant'!$D$5:$AC$5,0))</f>
        <v>154907</v>
      </c>
      <c r="CA1218" s="129">
        <f t="shared" si="2162"/>
        <v>1652863</v>
      </c>
      <c r="CB1218" s="129"/>
      <c r="CC1218" s="133">
        <v>2013</v>
      </c>
      <c r="CD1218" s="129"/>
      <c r="CE1218" s="129"/>
      <c r="CF1218" s="129"/>
      <c r="CG1218" s="137"/>
      <c r="CH1218" s="129">
        <f t="shared" si="2168"/>
        <v>223451</v>
      </c>
      <c r="CI1218" s="46">
        <f t="shared" si="2176"/>
        <v>223055.04157212624</v>
      </c>
      <c r="CJ1218" s="231">
        <f t="shared" si="2177"/>
        <v>336.30693979269574</v>
      </c>
      <c r="CK1218" s="443">
        <v>0.82758620689655171</v>
      </c>
      <c r="CL1218" s="231">
        <f>+CL1203*CK1218+CJ1204*CK1217+CJ1205*CK1216+CJ1206*CK1215+CJ1207*CK1214+CJ1208*CK1213+CJ1209*CK1212+CJ1210*CK1211+CJ1211*CK1210+CJ1212*CK1209+CJ1213*CK1208+CJ1214*CK1207+CJ1215*CK1206+CJ1216*CK1205+CJ1217*CK1204+CJ1218</f>
        <v>5258.7796057037658</v>
      </c>
      <c r="CM1218" s="134">
        <f t="shared" si="2169"/>
        <v>5.2134026078090583E-2</v>
      </c>
      <c r="CN1218" s="135">
        <f t="shared" si="2170"/>
        <v>1.3857075469235508E-2</v>
      </c>
      <c r="CO1218" s="135">
        <f t="shared" si="2180"/>
        <v>1.3622162913261744E-2</v>
      </c>
      <c r="CP1218" s="134">
        <f>VLOOKUP($H1218,RoR!$E:$F,2,FALSE)</f>
        <v>4.2350000000000006E-2</v>
      </c>
      <c r="CQ1218" s="135">
        <v>1.7730000000000024E-2</v>
      </c>
      <c r="CR1218" s="135">
        <f t="shared" si="2178"/>
        <v>2.4619999999999982E-2</v>
      </c>
      <c r="CS1218" s="135">
        <f t="shared" si="2181"/>
        <v>1.7279778695271881E-2</v>
      </c>
      <c r="CT1218" s="135">
        <f t="shared" si="2182"/>
        <v>5.3376742735721204E-2</v>
      </c>
      <c r="CU1218" s="139">
        <f t="shared" si="2171"/>
        <v>0.87050000000000005</v>
      </c>
      <c r="CV1218" s="335">
        <f t="shared" si="2172"/>
        <v>1.2109103018193925</v>
      </c>
      <c r="CW1218" s="335">
        <f t="shared" si="2173"/>
        <v>0.38468122786304604</v>
      </c>
      <c r="CX1218" s="335">
        <f t="shared" si="2174"/>
        <v>0.80969194503422559</v>
      </c>
      <c r="CY1218" s="335">
        <f t="shared" si="2175"/>
        <v>0.37716621754800816</v>
      </c>
      <c r="CZ1218" s="336">
        <f>INDEX('State Tax Lookup'!$D$7:$Z$91,MATCH(Calculation!$C1218,'State Tax Lookup'!$B$7:$B$91,0),MATCH($H1218,'State Tax Lookup'!$D$6:$Z$6,0))</f>
        <v>0.35</v>
      </c>
      <c r="DA1218" s="302">
        <v>0.37</v>
      </c>
      <c r="DB1218" s="57">
        <f t="shared" si="2179"/>
        <v>15.277153028342426</v>
      </c>
      <c r="DC1218" s="56">
        <f t="shared" si="2183"/>
        <v>-2.1044962090086539E-2</v>
      </c>
      <c r="DD1218" s="303">
        <f>VLOOKUP($H1218,RoR!$E:$F,2,FALSE)</f>
        <v>4.2350000000000006E-2</v>
      </c>
      <c r="DE1218" s="304">
        <f>HLOOKUP($H1218,'GDP-PI'!$D$8:$CQ$11,3,FALSE)</f>
        <v>1.7730000000000024E-2</v>
      </c>
      <c r="DF1218" s="303">
        <f>VLOOKUP(H1218,'HW Dx Data'!$E:$F,2,FALSE)</f>
        <v>663.24840548821396</v>
      </c>
      <c r="DG1218" s="364">
        <f ca="1">VLOOKUP(CC1218,'ECI - Input Price'!M$13:N$33,2,FALSE)</f>
        <v>126.8</v>
      </c>
      <c r="DH1218" s="364"/>
      <c r="DI1218" s="364"/>
      <c r="DJ1218" s="56">
        <f t="shared" ca="1" si="2191"/>
        <v>1.5898586067798204E-2</v>
      </c>
      <c r="DK1218" s="53">
        <f>HLOOKUP(H1218,'GDP-PI'!$8:$9,2,FALSE)</f>
        <v>101.773</v>
      </c>
      <c r="DL1218" s="355">
        <f t="shared" si="2184"/>
        <v>1.7574657016510519E-2</v>
      </c>
    </row>
    <row r="1219" spans="1:116" s="126" customFormat="1" ht="21" customHeight="1" x14ac:dyDescent="0.4">
      <c r="A1219" s="233" t="s">
        <v>253</v>
      </c>
      <c r="B1219" s="126" t="s">
        <v>253</v>
      </c>
      <c r="C1219" s="126">
        <v>4059746</v>
      </c>
      <c r="D1219" s="127" t="s">
        <v>199</v>
      </c>
      <c r="E1219" s="127"/>
      <c r="F1219" s="144"/>
      <c r="G1219" s="126" t="s">
        <v>170</v>
      </c>
      <c r="H1219" s="128">
        <v>2014</v>
      </c>
      <c r="I1219" s="129"/>
      <c r="J1219" s="125">
        <f>IFERROR(INDEX('Labor Expenditures'!$E$7:$W$91,MATCH($C1219,'Labor Expenditures'!$C$7:$C$91,0),MATCH($G1219,'Labor Expenditures'!$E$5:$W$5,0)),"NA")</f>
        <v>54232.6483570071</v>
      </c>
      <c r="K1219" s="125">
        <f t="shared" ca="1" si="2185"/>
        <v>419.10856535554171</v>
      </c>
      <c r="L1219" s="47"/>
      <c r="M1219" s="131">
        <f t="shared" ca="1" si="2192"/>
        <v>-1.2053086488577818E-2</v>
      </c>
      <c r="N1219" s="131"/>
      <c r="O1219" s="131"/>
      <c r="P1219" s="59">
        <f t="shared" ca="1" si="2194"/>
        <v>-2.6112455260912491E-4</v>
      </c>
      <c r="Q1219" s="61"/>
      <c r="R1219" s="387"/>
      <c r="S1219" s="49">
        <f t="shared" ca="1" si="2199"/>
        <v>122.47103732638388</v>
      </c>
      <c r="T1219" s="61">
        <f ca="1">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</f>
        <v>0.12953854687631358</v>
      </c>
      <c r="U1219" s="61"/>
      <c r="V1219" s="125">
        <f>IFERROR(INDEX('Non-Labor Expenditures'!$E$7:$AA$91,MATCH($C1219,'Non-Labor Expenditures'!$C$7:$C$91,0),MATCH($G1219,'Non-Labor Expenditures'!$E$5:$AA$5,0)),"NA")</f>
        <v>78539.004082434141</v>
      </c>
      <c r="W1219" s="125">
        <f t="shared" si="2186"/>
        <v>757.75472596827831</v>
      </c>
      <c r="X1219" s="131">
        <f t="shared" si="2195"/>
        <v>-1.0001798323159099E-2</v>
      </c>
      <c r="Y1219" s="131">
        <f t="shared" si="2196"/>
        <v>-2.1668434179881009E-4</v>
      </c>
      <c r="Z1219" s="131"/>
      <c r="AA1219" s="131"/>
      <c r="AB1219" s="131"/>
      <c r="AC1219" s="125">
        <f t="shared" si="2166"/>
        <v>81906.958019255355</v>
      </c>
      <c r="AD1219" s="129"/>
      <c r="AE1219" s="133">
        <v>5975.5135522944183</v>
      </c>
      <c r="AF1219" s="134">
        <v>4.7048573935157635E-2</v>
      </c>
      <c r="AG1219" s="59">
        <f t="shared" si="2187"/>
        <v>1.0192856270763375E-3</v>
      </c>
      <c r="AH1219" s="134"/>
      <c r="AI1219" s="134"/>
      <c r="AJ1219" s="129">
        <f t="shared" si="2138"/>
        <v>214678.61045869661</v>
      </c>
      <c r="AK1219" s="134">
        <f t="shared" si="2197"/>
        <v>3.1894271792435716E-2</v>
      </c>
      <c r="AL1219" s="129"/>
      <c r="AM1219" s="129"/>
      <c r="AN1219" s="129"/>
      <c r="AO1219" s="129"/>
      <c r="AP1219" s="133">
        <f t="shared" si="2198"/>
        <v>180.1932300850246</v>
      </c>
      <c r="AQ1219" s="134">
        <f>+BB1219/Outputs!$B$22</f>
        <v>3.296973037923575E-2</v>
      </c>
      <c r="AR1219" s="93">
        <f t="shared" si="2188"/>
        <v>0.25262250506061135</v>
      </c>
      <c r="AS1219" s="93">
        <f t="shared" si="2189"/>
        <v>0.36584457070325954</v>
      </c>
      <c r="AT1219" s="93">
        <f t="shared" si="2190"/>
        <v>0.38153292423612906</v>
      </c>
      <c r="AU1219" s="93">
        <f t="shared" ca="1" si="2193"/>
        <v>1.0818190836084082E-2</v>
      </c>
      <c r="AV1219" s="132">
        <f t="shared" ca="1" si="2201"/>
        <v>96.951498191081527</v>
      </c>
      <c r="AW1219" s="134">
        <f t="shared" ca="1" si="2202"/>
        <v>1.081819083608416E-2</v>
      </c>
      <c r="AX1219" s="135">
        <f>+AJ1219/$AL$19</f>
        <v>2.1664538195804137E-2</v>
      </c>
      <c r="AY1219" s="135">
        <f t="shared" ca="1" si="2200"/>
        <v>2.3437110857784358E-4</v>
      </c>
      <c r="AZ1219" s="93"/>
      <c r="BA1219" s="93"/>
      <c r="BB1219" s="234">
        <f>IFERROR(INDEX('Total Customers'!$E$7:$AA$91,MATCH($C1219,'Total Customers'!$C$7:$C$91,0),MATCH($G1219,'Total Customers'!$E$5:$AA$5,0)),"NA")</f>
        <v>1191380</v>
      </c>
      <c r="BC1219" s="269">
        <f t="shared" si="2095"/>
        <v>5.8604689548574578E-4</v>
      </c>
      <c r="BD1219" s="92"/>
      <c r="BE1219" s="299" t="str">
        <f t="shared" ref="BE1219:BE1282" si="2205">A1219</f>
        <v>THE EAST OHIO GAS COMPANY</v>
      </c>
      <c r="BF1219" s="300">
        <f t="shared" ref="BF1219:BF1282" si="2206">C1219</f>
        <v>4059746</v>
      </c>
      <c r="BG1219" s="231" t="str">
        <f t="shared" ref="BG1219:BG1282" si="2207">D1219</f>
        <v>OH</v>
      </c>
      <c r="BH1219" s="231"/>
      <c r="BI1219" s="231" t="str">
        <f t="shared" ref="BI1219:BI1282" si="2208">G1219</f>
        <v>2014 Y</v>
      </c>
      <c r="BJ1219" s="129"/>
      <c r="BK1219" s="129"/>
      <c r="BL1219" s="129">
        <f>INDEX('Dist. Plant Gas Additions'!$E$7:$AD$91,MATCH($C1219,'Dist. Plant Gas Additions'!$C$7:$C$91,0),MATCH(Calculation!$G1219,'Dist. Plant Gas Additions'!$E$5:$AD$5,0))</f>
        <v>208114</v>
      </c>
      <c r="BM1219" s="129">
        <f>INDEX('Gen. Plant Additions'!$E$7:$AD$91,MATCH($C1219,'Gen. Plant Additions'!$C$7:$C$91,0),MATCH(Calculation!$G1219,'Gen. Plant Additions'!$E$5:$AD$5,0))</f>
        <v>9691</v>
      </c>
      <c r="BN1219" s="301">
        <f t="shared" si="2167"/>
        <v>0.94121927408809047</v>
      </c>
      <c r="BO1219" s="231">
        <f t="shared" si="2203"/>
        <v>9121.3559851876853</v>
      </c>
      <c r="BP1219" s="231">
        <f t="shared" si="2204"/>
        <v>-569.64401481231471</v>
      </c>
      <c r="BQ1219" s="129">
        <f>INDEX('Dist Plant Depreciation'!$D$7:$AC$94,MATCH($C1219,'Dist Plant Depreciation'!$C$7:$C$94,0),MATCH(Calculation!$G1219,'Dist Plant Depreciation'!$D$5:$AC$5,0))</f>
        <v>818318</v>
      </c>
      <c r="BR1219" s="129">
        <f>INDEX('Gen. Plant Depreciation'!$D$7:$AC$94,MATCH($C1219,'Gen. Plant Depreciation'!$C$7:$C$94,0),MATCH(Calculation!$G1219,'Gen. Plant Depreciation'!$D$5:$AC$5,0))</f>
        <v>14505</v>
      </c>
      <c r="BS1219" s="129"/>
      <c r="BT1219" s="129"/>
      <c r="BU1219" s="129"/>
      <c r="BV1219" s="129"/>
      <c r="BW1219" s="129"/>
      <c r="BX1219" s="137"/>
      <c r="BY1219" s="129">
        <f>INDEX('Gross Dx Plant'!$D$7:$AC$91,MATCH($C1219,'Gross Dx Plant'!$C$7:$C$91,0),MATCH(Calculation!$G1219,'Gross Dx Plant'!$D$5:$AC$5,0))</f>
        <v>2499020</v>
      </c>
      <c r="BZ1219" s="129">
        <f>INDEX('Gross Gen Plant'!$D$7:$AC$91,MATCH($C1219,'Gross Gen Plant'!$C$7:$C$91,0),MATCH(Calculation!$G1219,'Gross Gen Plant'!$D$5:$AC$5,0))</f>
        <v>156068</v>
      </c>
      <c r="CA1219" s="129">
        <f t="shared" si="2162"/>
        <v>1822265</v>
      </c>
      <c r="CB1219" s="129"/>
      <c r="CC1219" s="133">
        <v>2014</v>
      </c>
      <c r="CD1219" s="129"/>
      <c r="CE1219" s="129"/>
      <c r="CF1219" s="129"/>
      <c r="CG1219" s="137"/>
      <c r="CH1219" s="129">
        <f t="shared" si="2168"/>
        <v>217805</v>
      </c>
      <c r="CI1219" s="46">
        <f t="shared" si="2176"/>
        <v>217235.35598518769</v>
      </c>
      <c r="CJ1219" s="231">
        <f t="shared" si="2177"/>
        <v>317.37786612340869</v>
      </c>
      <c r="CK1219" s="443">
        <v>0.81395348837209303</v>
      </c>
      <c r="CL1219" s="231">
        <f>+CL1203*CK1219+CJ1204*CK1218+CJ1205*CK1217+CJ1206*CK1216+CJ1207*CK1215+CJ1208*CK1214+CJ1209*CK1213+CJ1210*CK1212+CJ1211*CK1211+CJ1212*CK1210+CJ1213*CK1209+CJ1214*CK1208+CJ1215*CK1207+CJ1216*CK1206+CJ1217*CK1205+CJ1218*CK1204+CJ1219</f>
        <v>5502.106858098954</v>
      </c>
      <c r="CM1219" s="134">
        <f t="shared" si="2169"/>
        <v>4.5232098291200361E-2</v>
      </c>
      <c r="CN1219" s="135">
        <f t="shared" si="2170"/>
        <v>1.4081330514004401E-2</v>
      </c>
      <c r="CO1219" s="135">
        <f t="shared" si="2180"/>
        <v>1.3853559943569099E-2</v>
      </c>
      <c r="CP1219" s="134">
        <f>VLOOKUP($H1219,RoR!$E:$F,2,FALSE)</f>
        <v>4.1625000000000002E-2</v>
      </c>
      <c r="CQ1219" s="135">
        <v>1.841352814597208E-2</v>
      </c>
      <c r="CR1219" s="135">
        <f t="shared" si="2178"/>
        <v>2.3211471854027922E-2</v>
      </c>
      <c r="CS1219" s="135">
        <f t="shared" si="2181"/>
        <v>1.7048381664964526E-2</v>
      </c>
      <c r="CT1219" s="135">
        <f t="shared" si="2182"/>
        <v>3.9072621432650924E-2</v>
      </c>
      <c r="CU1219" s="139">
        <f t="shared" si="2171"/>
        <v>0.87050000000000005</v>
      </c>
      <c r="CV1219" s="335">
        <f t="shared" si="2172"/>
        <v>1.2320012320012319</v>
      </c>
      <c r="CW1219" s="335">
        <f t="shared" si="2173"/>
        <v>0.37439939939939942</v>
      </c>
      <c r="CX1219" s="335">
        <f t="shared" si="2174"/>
        <v>0.80432100613819935</v>
      </c>
      <c r="CY1219" s="335">
        <f t="shared" si="2175"/>
        <v>0.37100152660040037</v>
      </c>
      <c r="CZ1219" s="336">
        <f>INDEX('State Tax Lookup'!$D$7:$Z$91,MATCH(Calculation!$C1219,'State Tax Lookup'!$B$7:$B$91,0),MATCH($H1219,'State Tax Lookup'!$D$6:$Z$6,0))</f>
        <v>0.35</v>
      </c>
      <c r="DA1219" s="302">
        <v>0.37</v>
      </c>
      <c r="DB1219" s="57">
        <f t="shared" si="2179"/>
        <v>15.575278707329286</v>
      </c>
      <c r="DC1219" s="56">
        <f t="shared" si="2183"/>
        <v>1.9326512801023189E-2</v>
      </c>
      <c r="DD1219" s="303">
        <f>VLOOKUP($H1219,RoR!$E:$F,2,FALSE)</f>
        <v>4.1625000000000002E-2</v>
      </c>
      <c r="DE1219" s="304">
        <f>HLOOKUP($H1219,'GDP-PI'!$D$8:$CQ$11,3,FALSE)</f>
        <v>1.841352814597208E-2</v>
      </c>
      <c r="DF1219" s="303">
        <f>VLOOKUP(H1219,'HW Dx Data'!$E:$F,2,FALSE)</f>
        <v>684.46914285042885</v>
      </c>
      <c r="DG1219" s="364">
        <f ca="1">VLOOKUP(CC1219,'ECI - Input Price'!M$13:N$33,2,FALSE)</f>
        <v>129.4</v>
      </c>
      <c r="DH1219" s="364"/>
      <c r="DI1219" s="364"/>
      <c r="DJ1219" s="56">
        <f t="shared" ca="1" si="2191"/>
        <v>2.0297340063674733E-2</v>
      </c>
      <c r="DK1219" s="53">
        <f>HLOOKUP(H1219,'GDP-PI'!$8:$9,2,FALSE)</f>
        <v>103.64700000000001</v>
      </c>
      <c r="DL1219" s="355">
        <f t="shared" si="2184"/>
        <v>1.8246051898256087E-2</v>
      </c>
    </row>
    <row r="1220" spans="1:116" s="126" customFormat="1" ht="21" customHeight="1" x14ac:dyDescent="0.4">
      <c r="A1220" s="233" t="s">
        <v>253</v>
      </c>
      <c r="B1220" s="126" t="s">
        <v>253</v>
      </c>
      <c r="C1220" s="126">
        <v>4059746</v>
      </c>
      <c r="D1220" s="127" t="s">
        <v>199</v>
      </c>
      <c r="E1220" s="127"/>
      <c r="F1220" s="144"/>
      <c r="G1220" s="126" t="s">
        <v>171</v>
      </c>
      <c r="H1220" s="128">
        <v>2015</v>
      </c>
      <c r="I1220" s="129"/>
      <c r="J1220" s="125">
        <f>IFERROR(INDEX('Labor Expenditures'!$E$7:$W$91,MATCH($C1220,'Labor Expenditures'!$C$7:$C$91,0),MATCH($G1220,'Labor Expenditures'!$E$5:$W$5,0)),"NA")</f>
        <v>51575.147147367468</v>
      </c>
      <c r="K1220" s="125">
        <f t="shared" ca="1" si="2185"/>
        <v>386.33069024245293</v>
      </c>
      <c r="L1220" s="47"/>
      <c r="M1220" s="131">
        <f t="shared" ca="1" si="2192"/>
        <v>-8.1436279049942745E-2</v>
      </c>
      <c r="N1220" s="131"/>
      <c r="O1220" s="131"/>
      <c r="P1220" s="59">
        <f t="shared" ca="1" si="2194"/>
        <v>-1.7163764743818404E-3</v>
      </c>
      <c r="Q1220" s="61"/>
      <c r="R1220" s="387"/>
      <c r="S1220" s="49">
        <f t="shared" ca="1" si="2199"/>
        <v>122.55542035467836</v>
      </c>
      <c r="T1220" s="61">
        <f ca="1">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</f>
        <v>6.8876669425029478E-4</v>
      </c>
      <c r="U1220" s="61"/>
      <c r="V1220" s="125">
        <f>IFERROR(INDEX('Non-Labor Expenditures'!$E$7:$AA$91,MATCH($C1220,'Non-Labor Expenditures'!$C$7:$C$91,0),MATCH($G1220,'Non-Labor Expenditures'!$E$5:$AA$5,0)),"NA")</f>
        <v>74690.445978116652</v>
      </c>
      <c r="W1220" s="125">
        <f t="shared" si="2186"/>
        <v>713.79166446656268</v>
      </c>
      <c r="X1220" s="131">
        <f t="shared" si="2195"/>
        <v>-5.9768619461881424E-2</v>
      </c>
      <c r="Y1220" s="131">
        <f t="shared" si="2196"/>
        <v>-1.2597021075550481E-3</v>
      </c>
      <c r="Z1220" s="131"/>
      <c r="AA1220" s="131"/>
      <c r="AB1220" s="131"/>
      <c r="AC1220" s="125">
        <f t="shared" si="2166"/>
        <v>83666.40917485542</v>
      </c>
      <c r="AD1220" s="129"/>
      <c r="AE1220" s="133">
        <v>6335.6620413010278</v>
      </c>
      <c r="AF1220" s="134">
        <v>5.8524269349532747E-2</v>
      </c>
      <c r="AG1220" s="59">
        <f t="shared" si="2187"/>
        <v>1.2334757956011357E-3</v>
      </c>
      <c r="AH1220" s="134"/>
      <c r="AI1220" s="134"/>
      <c r="AJ1220" s="129">
        <f t="shared" si="2138"/>
        <v>209932.00230033955</v>
      </c>
      <c r="AK1220" s="134">
        <f t="shared" si="2197"/>
        <v>-2.2358394957631391E-2</v>
      </c>
      <c r="AL1220" s="129"/>
      <c r="AM1220" s="129"/>
      <c r="AN1220" s="129"/>
      <c r="AO1220" s="129"/>
      <c r="AP1220" s="133">
        <f t="shared" si="2198"/>
        <v>175.96451599141983</v>
      </c>
      <c r="AQ1220" s="134">
        <f>+BB1220/Outputs!$B$23</f>
        <v>3.2747098359762986E-2</v>
      </c>
      <c r="AR1220" s="93">
        <f t="shared" si="2188"/>
        <v>0.24567548816869475</v>
      </c>
      <c r="AS1220" s="93">
        <f t="shared" si="2189"/>
        <v>0.35578399271998867</v>
      </c>
      <c r="AT1220" s="93">
        <f t="shared" si="2190"/>
        <v>0.39854051911131655</v>
      </c>
      <c r="AU1220" s="93">
        <f t="shared" ca="1" si="2193"/>
        <v>-1.9028524557916576E-2</v>
      </c>
      <c r="AV1220" s="132">
        <f t="shared" ca="1" si="2201"/>
        <v>95.124095752132135</v>
      </c>
      <c r="AW1220" s="134">
        <f t="shared" ca="1" si="2202"/>
        <v>-1.90285245579166E-2</v>
      </c>
      <c r="AX1220" s="135">
        <f>+AJ1220/$AL$20</f>
        <v>2.1076312601773364E-2</v>
      </c>
      <c r="AY1220" s="135">
        <f t="shared" ca="1" si="2200"/>
        <v>-4.0105113193317156E-4</v>
      </c>
      <c r="AZ1220" s="93"/>
      <c r="BA1220" s="93"/>
      <c r="BB1220" s="234">
        <f>IFERROR(INDEX('Total Customers'!$E$7:$AA$91,MATCH($C1220,'Total Customers'!$C$7:$C$91,0),MATCH($G1220,'Total Customers'!$E$5:$AA$5,0)),"NA")</f>
        <v>1193036</v>
      </c>
      <c r="BC1220" s="269">
        <f t="shared" ref="BC1220:BC1283" si="2209">LN(BB1220/BB1219)</f>
        <v>1.3890195890765844E-3</v>
      </c>
      <c r="BD1220" s="92"/>
      <c r="BE1220" s="299" t="str">
        <f t="shared" si="2205"/>
        <v>THE EAST OHIO GAS COMPANY</v>
      </c>
      <c r="BF1220" s="300">
        <f t="shared" si="2206"/>
        <v>4059746</v>
      </c>
      <c r="BG1220" s="231" t="str">
        <f t="shared" si="2207"/>
        <v>OH</v>
      </c>
      <c r="BH1220" s="231"/>
      <c r="BI1220" s="231" t="str">
        <f t="shared" si="2208"/>
        <v>2015 Y</v>
      </c>
      <c r="BJ1220" s="129"/>
      <c r="BK1220" s="129"/>
      <c r="BL1220" s="129">
        <f>INDEX('Dist. Plant Gas Additions'!$E$7:$AD$91,MATCH($C1220,'Dist. Plant Gas Additions'!$C$7:$C$91,0),MATCH(Calculation!$G1220,'Dist. Plant Gas Additions'!$E$5:$AD$5,0))</f>
        <v>243349</v>
      </c>
      <c r="BM1220" s="129">
        <f>INDEX('Gen. Plant Additions'!$E$7:$AD$91,MATCH($C1220,'Gen. Plant Additions'!$C$7:$C$91,0),MATCH(Calculation!$G1220,'Gen. Plant Additions'!$E$5:$AD$5,0))</f>
        <v>31575</v>
      </c>
      <c r="BN1220" s="301">
        <f t="shared" si="2167"/>
        <v>0.93769325758430466</v>
      </c>
      <c r="BO1220" s="231">
        <f t="shared" si="2203"/>
        <v>29607.664608224419</v>
      </c>
      <c r="BP1220" s="231">
        <f t="shared" si="2204"/>
        <v>-1967.3353917755812</v>
      </c>
      <c r="BQ1220" s="129">
        <f>INDEX('Dist Plant Depreciation'!$D$7:$AC$94,MATCH($C1220,'Dist Plant Depreciation'!$C$7:$C$94,0),MATCH(Calculation!$G1220,'Dist Plant Depreciation'!$D$5:$AC$5,0))</f>
        <v>869611</v>
      </c>
      <c r="BR1220" s="129">
        <f>INDEX('Gen. Plant Depreciation'!$D$7:$AC$94,MATCH($C1220,'Gen. Plant Depreciation'!$C$7:$C$94,0),MATCH(Calculation!$G1220,'Gen. Plant Depreciation'!$D$5:$AC$5,0))</f>
        <v>-2784</v>
      </c>
      <c r="BS1220" s="129"/>
      <c r="BT1220" s="129"/>
      <c r="BU1220" s="129"/>
      <c r="BV1220" s="129"/>
      <c r="BW1220" s="129"/>
      <c r="BX1220" s="137"/>
      <c r="BY1220" s="129">
        <f>INDEX('Gross Dx Plant'!$D$7:$AC$91,MATCH($C1220,'Gross Dx Plant'!$C$7:$C$91,0),MATCH(Calculation!$G1220,'Gross Dx Plant'!$D$5:$AC$5,0))</f>
        <v>2734427</v>
      </c>
      <c r="BZ1220" s="129">
        <f>INDEX('Gross Gen Plant'!$D$7:$AC$91,MATCH($C1220,'Gross Gen Plant'!$C$7:$C$91,0),MATCH(Calculation!$G1220,'Gross Gen Plant'!$D$5:$AC$5,0))</f>
        <v>181694</v>
      </c>
      <c r="CA1220" s="129">
        <f t="shared" si="2162"/>
        <v>2049294</v>
      </c>
      <c r="CB1220" s="129"/>
      <c r="CC1220" s="133">
        <v>2015</v>
      </c>
      <c r="CD1220" s="129"/>
      <c r="CE1220" s="129"/>
      <c r="CF1220" s="129"/>
      <c r="CG1220" s="137"/>
      <c r="CH1220" s="129">
        <f t="shared" si="2168"/>
        <v>274924</v>
      </c>
      <c r="CI1220" s="46">
        <f t="shared" si="2176"/>
        <v>272956.66460822441</v>
      </c>
      <c r="CJ1220" s="231">
        <f t="shared" si="2177"/>
        <v>404.0123633219377</v>
      </c>
      <c r="CK1220" s="443">
        <v>0.8</v>
      </c>
      <c r="CL1220" s="231">
        <f>+CL1203*CK1220+CJ1204*CK1219+CJ1205*CK1218+CJ1206*CK1217+CJ1207*CK1216+CJ1208*CK1215+CJ1209*CK1214+CJ1210*CK1213+CJ1211*CK1212+CJ1212*CK1211+CJ1213*CK1210+CJ1214*CK1209+CJ1215*CK1208+CJ1216*CK1207+CJ1217*CK1206+CJ1218*CK1205+CJ1219*CK1204+CJ1220</f>
        <v>5827.255454356884</v>
      </c>
      <c r="CM1220" s="134">
        <f t="shared" si="2169"/>
        <v>5.741504297631727E-2</v>
      </c>
      <c r="CN1220" s="135">
        <f t="shared" si="2170"/>
        <v>1.4333376122625169E-2</v>
      </c>
      <c r="CO1220" s="135">
        <f t="shared" si="2180"/>
        <v>1.4090594035288359E-2</v>
      </c>
      <c r="CP1220" s="134">
        <f>VLOOKUP($H1220,RoR!$E:$F,2,FALSE)</f>
        <v>3.8866666666666674E-2</v>
      </c>
      <c r="CQ1220" s="135">
        <v>9.5709475431029478E-3</v>
      </c>
      <c r="CR1220" s="135">
        <f t="shared" si="2178"/>
        <v>2.9295719123563727E-2</v>
      </c>
      <c r="CS1220" s="135">
        <f t="shared" si="2181"/>
        <v>1.6811347573245268E-2</v>
      </c>
      <c r="CT1220" s="135">
        <f t="shared" si="2182"/>
        <v>3.5270373279175926E-3</v>
      </c>
      <c r="CU1220" s="139">
        <f t="shared" si="2171"/>
        <v>0.87050000000000005</v>
      </c>
      <c r="CV1220" s="335">
        <f t="shared" si="2172"/>
        <v>1.3194352816994324</v>
      </c>
      <c r="CW1220" s="335">
        <f t="shared" si="2173"/>
        <v>0.33177530017152673</v>
      </c>
      <c r="CX1220" s="335">
        <f t="shared" si="2174"/>
        <v>0.78242572977668579</v>
      </c>
      <c r="CY1220" s="335">
        <f t="shared" si="2175"/>
        <v>0.34251158643433932</v>
      </c>
      <c r="CZ1220" s="336">
        <f>INDEX('State Tax Lookup'!$D$7:$Z$91,MATCH(Calculation!$C1220,'State Tax Lookup'!$B$7:$B$91,0),MATCH($H1220,'State Tax Lookup'!$D$6:$Z$6,0))</f>
        <v>0.35</v>
      </c>
      <c r="DA1220" s="302">
        <v>0.37</v>
      </c>
      <c r="DB1220" s="57">
        <f t="shared" si="2179"/>
        <v>15.206249411841339</v>
      </c>
      <c r="DC1220" s="56">
        <f t="shared" si="2183"/>
        <v>-2.3978470174036679E-2</v>
      </c>
      <c r="DD1220" s="303">
        <f>VLOOKUP($H1220,RoR!$E:$F,2,FALSE)</f>
        <v>3.8866666666666674E-2</v>
      </c>
      <c r="DE1220" s="304">
        <f>HLOOKUP($H1220,'GDP-PI'!$D$8:$CQ$11,3,FALSE)</f>
        <v>9.5709475431029478E-3</v>
      </c>
      <c r="DF1220" s="303">
        <f>VLOOKUP(H1220,'HW Dx Data'!$E:$F,2,FALSE)</f>
        <v>675.61463308665782</v>
      </c>
      <c r="DG1220" s="364">
        <f ca="1">VLOOKUP(CC1220,'ECI - Input Price'!M$13:N$33,2,FALSE)</f>
        <v>133.5</v>
      </c>
      <c r="DH1220" s="364"/>
      <c r="DI1220" s="364"/>
      <c r="DJ1220" s="56">
        <f t="shared" ca="1" si="2191"/>
        <v>3.1193095773504077E-2</v>
      </c>
      <c r="DK1220" s="53">
        <f>HLOOKUP(H1220,'GDP-PI'!$8:$9,2,FALSE)</f>
        <v>104.639</v>
      </c>
      <c r="DL1220" s="355">
        <f t="shared" si="2184"/>
        <v>9.5254361854427965E-3</v>
      </c>
    </row>
    <row r="1221" spans="1:116" s="126" customFormat="1" ht="21" customHeight="1" x14ac:dyDescent="0.4">
      <c r="A1221" s="233" t="s">
        <v>253</v>
      </c>
      <c r="B1221" s="126" t="s">
        <v>253</v>
      </c>
      <c r="C1221" s="126">
        <v>4059746</v>
      </c>
      <c r="D1221" s="127" t="s">
        <v>199</v>
      </c>
      <c r="E1221" s="127"/>
      <c r="F1221" s="144"/>
      <c r="G1221" s="126" t="s">
        <v>172</v>
      </c>
      <c r="H1221" s="128">
        <v>2016</v>
      </c>
      <c r="I1221" s="129"/>
      <c r="J1221" s="125">
        <f>IFERROR(INDEX('Labor Expenditures'!$E$7:$W$91,MATCH($C1221,'Labor Expenditures'!$C$7:$C$91,0),MATCH($G1221,'Labor Expenditures'!$E$5:$W$5,0)),"NA")</f>
        <v>52139.14993054614</v>
      </c>
      <c r="K1221" s="125">
        <f t="shared" ca="1" si="2185"/>
        <v>380.71668441435668</v>
      </c>
      <c r="L1221" s="47"/>
      <c r="M1221" s="131">
        <f t="shared" ca="1" si="2192"/>
        <v>-1.4638225120252146E-2</v>
      </c>
      <c r="N1221" s="131"/>
      <c r="O1221" s="131"/>
      <c r="P1221" s="59">
        <f t="shared" ca="1" si="2194"/>
        <v>-3.0541128696131442E-4</v>
      </c>
      <c r="Q1221" s="61"/>
      <c r="R1221" s="387"/>
      <c r="S1221" s="49">
        <f t="shared" ca="1" si="2199"/>
        <v>304.05980641659369</v>
      </c>
      <c r="T1221" s="61">
        <f ca="1">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</f>
        <v>0.9086610749542704</v>
      </c>
      <c r="U1221" s="61"/>
      <c r="V1221" s="125">
        <f>IFERROR(INDEX('Non-Labor Expenditures'!$E$7:$AA$91,MATCH($C1221,'Non-Labor Expenditures'!$C$7:$C$91,0),MATCH($G1221,'Non-Labor Expenditures'!$E$5:$AA$5,0)),"NA")</f>
        <v>75507.227349348541</v>
      </c>
      <c r="W1221" s="125">
        <f t="shared" si="2186"/>
        <v>714.11087377381909</v>
      </c>
      <c r="X1221" s="131">
        <f t="shared" si="2195"/>
        <v>4.4710238132539905E-4</v>
      </c>
      <c r="Y1221" s="131">
        <f t="shared" si="2196"/>
        <v>9.3283244766566601E-6</v>
      </c>
      <c r="Z1221" s="131"/>
      <c r="AA1221" s="131"/>
      <c r="AB1221" s="131"/>
      <c r="AC1221" s="125">
        <f t="shared" si="2166"/>
        <v>86888.246935778501</v>
      </c>
      <c r="AD1221" s="129"/>
      <c r="AE1221" s="133">
        <v>6705.9084810423183</v>
      </c>
      <c r="AF1221" s="134">
        <v>5.6794686978072648E-2</v>
      </c>
      <c r="AG1221" s="59">
        <f t="shared" si="2187"/>
        <v>1.1849618584250457E-3</v>
      </c>
      <c r="AH1221" s="134"/>
      <c r="AI1221" s="134"/>
      <c r="AJ1221" s="129">
        <f t="shared" si="2138"/>
        <v>214534.62421567319</v>
      </c>
      <c r="AK1221" s="134">
        <f t="shared" si="2197"/>
        <v>2.1687463882852451E-2</v>
      </c>
      <c r="AL1221" s="129"/>
      <c r="AM1221" s="129"/>
      <c r="AN1221" s="129"/>
      <c r="AO1221" s="129"/>
      <c r="AP1221" s="133">
        <f t="shared" si="2198"/>
        <v>178.74921093558083</v>
      </c>
      <c r="AQ1221" s="134">
        <f>+BB1221/Outputs!$B$24</f>
        <v>3.2659032504880219E-2</v>
      </c>
      <c r="AR1221" s="93">
        <f t="shared" si="2188"/>
        <v>0.24303372996859604</v>
      </c>
      <c r="AS1221" s="93">
        <f t="shared" si="2189"/>
        <v>0.35195823343387495</v>
      </c>
      <c r="AT1221" s="93">
        <f t="shared" si="2190"/>
        <v>0.40500803659752899</v>
      </c>
      <c r="AU1221" s="93">
        <f t="shared" ca="1" si="2193"/>
        <v>1.9399943187204054E-2</v>
      </c>
      <c r="AV1221" s="132">
        <f t="shared" ca="1" si="2201"/>
        <v>96.987514471791769</v>
      </c>
      <c r="AW1221" s="134">
        <f t="shared" ca="1" si="2202"/>
        <v>1.9399943187203957E-2</v>
      </c>
      <c r="AX1221" s="135">
        <f>+AJ1221/$AL$21</f>
        <v>2.0863956145801756E-2</v>
      </c>
      <c r="AY1221" s="135">
        <f t="shared" ca="1" si="2200"/>
        <v>4.047595638888689E-4</v>
      </c>
      <c r="AZ1221" s="93"/>
      <c r="BA1221" s="93"/>
      <c r="BB1221" s="234">
        <f>IFERROR(INDEX('Total Customers'!$E$7:$AA$91,MATCH($C1221,'Total Customers'!$C$7:$C$91,0),MATCH($G1221,'Total Customers'!$E$5:$AA$5,0)),"NA")</f>
        <v>1200199</v>
      </c>
      <c r="BC1221" s="269">
        <f t="shared" si="2209"/>
        <v>5.9860576911457417E-3</v>
      </c>
      <c r="BD1221" s="92"/>
      <c r="BE1221" s="299" t="str">
        <f t="shared" si="2205"/>
        <v>THE EAST OHIO GAS COMPANY</v>
      </c>
      <c r="BF1221" s="300">
        <f t="shared" si="2206"/>
        <v>4059746</v>
      </c>
      <c r="BG1221" s="231" t="str">
        <f t="shared" si="2207"/>
        <v>OH</v>
      </c>
      <c r="BH1221" s="231"/>
      <c r="BI1221" s="231" t="str">
        <f t="shared" si="2208"/>
        <v>2016 Y</v>
      </c>
      <c r="BJ1221" s="129"/>
      <c r="BK1221" s="129"/>
      <c r="BL1221" s="129">
        <f>INDEX('Dist. Plant Gas Additions'!$E$7:$AD$91,MATCH($C1221,'Dist. Plant Gas Additions'!$C$7:$C$91,0),MATCH(Calculation!$G1221,'Dist. Plant Gas Additions'!$E$5:$AD$5,0))</f>
        <v>256809</v>
      </c>
      <c r="BM1221" s="129">
        <f>INDEX('Gen. Plant Additions'!$E$7:$AD$91,MATCH($C1221,'Gen. Plant Additions'!$C$7:$C$91,0),MATCH(Calculation!$G1221,'Gen. Plant Additions'!$E$5:$AD$5,0))</f>
        <v>25738</v>
      </c>
      <c r="BN1221" s="301">
        <f t="shared" si="2167"/>
        <v>0.95659720940800286</v>
      </c>
      <c r="BO1221" s="231">
        <f t="shared" si="2203"/>
        <v>24620.898975743177</v>
      </c>
      <c r="BP1221" s="231">
        <f t="shared" si="2204"/>
        <v>-1117.1010242568227</v>
      </c>
      <c r="BQ1221" s="129">
        <f>INDEX('Dist Plant Depreciation'!$D$7:$AC$94,MATCH($C1221,'Dist Plant Depreciation'!$C$7:$C$94,0),MATCH(Calculation!$G1221,'Dist Plant Depreciation'!$D$5:$AC$5,0))</f>
        <v>927820</v>
      </c>
      <c r="BR1221" s="129">
        <f>INDEX('Gen. Plant Depreciation'!$D$7:$AC$94,MATCH($C1221,'Gen. Plant Depreciation'!$C$7:$C$94,0),MATCH(Calculation!$G1221,'Gen. Plant Depreciation'!$D$5:$AC$5,0))</f>
        <v>-100896</v>
      </c>
      <c r="BS1221" s="129"/>
      <c r="BT1221" s="129"/>
      <c r="BU1221" s="129"/>
      <c r="BV1221" s="129"/>
      <c r="BW1221" s="129"/>
      <c r="BX1221" s="137"/>
      <c r="BY1221" s="129">
        <f>INDEX('Gross Dx Plant'!$D$7:$AC$91,MATCH($C1221,'Gross Dx Plant'!$C$7:$C$91,0),MATCH(Calculation!$G1221,'Gross Dx Plant'!$D$5:$AC$5,0))</f>
        <v>2980865</v>
      </c>
      <c r="BZ1221" s="129">
        <f>INDEX('Gross Gen Plant'!$D$7:$AC$91,MATCH($C1221,'Gross Gen Plant'!$C$7:$C$91,0),MATCH(Calculation!$G1221,'Gross Gen Plant'!$D$5:$AC$5,0))</f>
        <v>135248</v>
      </c>
      <c r="CA1221" s="129">
        <f t="shared" si="2162"/>
        <v>2289189</v>
      </c>
      <c r="CB1221" s="129"/>
      <c r="CC1221" s="133">
        <v>2016</v>
      </c>
      <c r="CD1221" s="129"/>
      <c r="CE1221" s="129"/>
      <c r="CF1221" s="129"/>
      <c r="CG1221" s="137"/>
      <c r="CH1221" s="129">
        <f t="shared" si="2168"/>
        <v>282547</v>
      </c>
      <c r="CI1221" s="46">
        <f t="shared" si="2176"/>
        <v>281429.89897574316</v>
      </c>
      <c r="CJ1221" s="231">
        <f t="shared" si="2177"/>
        <v>419.13354545335147</v>
      </c>
      <c r="CK1221" s="443">
        <v>0.7857142857142857</v>
      </c>
      <c r="CL1221" s="231">
        <f>+CL1203*CK1221+CJ1204*CK1220+CJ1205*CK1219+CJ1206*CK1218+CJ1207*CK1217+CJ1208*CK1216+CJ1209*CK1215+CJ1210*CK1214+CJ1211*CK1213+CJ1212*CK1212+CJ1213*CK1211+CJ1214*CK1210+CJ1215*CK1209+CJ1216*CK1208+CJ1217*CK1207+CJ1218*CK1206+CJ1219*CK1205+CJ1220*CK1204+CJ1221</f>
        <v>6161.7340815593279</v>
      </c>
      <c r="CM1221" s="134">
        <f t="shared" si="2169"/>
        <v>5.5812117703546868E-2</v>
      </c>
      <c r="CN1221" s="135">
        <f t="shared" si="2170"/>
        <v>1.4527408127888629E-2</v>
      </c>
      <c r="CO1221" s="135">
        <f t="shared" si="2180"/>
        <v>1.4314038254839401E-2</v>
      </c>
      <c r="CP1221" s="134">
        <f>VLOOKUP($H1221,RoR!$E:$F,2,FALSE)</f>
        <v>3.6658333333333334E-2</v>
      </c>
      <c r="CQ1221" s="135">
        <v>1.0483662879041455E-2</v>
      </c>
      <c r="CR1221" s="135">
        <f t="shared" si="2178"/>
        <v>2.6174670454291879E-2</v>
      </c>
      <c r="CS1221" s="135">
        <f t="shared" si="2181"/>
        <v>1.6587903353694224E-2</v>
      </c>
      <c r="CT1221" s="135">
        <f t="shared" si="2182"/>
        <v>4.301363574220729E-3</v>
      </c>
      <c r="CU1221" s="139">
        <f t="shared" si="2171"/>
        <v>0.87050000000000005</v>
      </c>
      <c r="CV1221" s="335">
        <f t="shared" si="2172"/>
        <v>1.3989193348138562</v>
      </c>
      <c r="CW1221" s="335">
        <f t="shared" si="2173"/>
        <v>0.29302682427824522</v>
      </c>
      <c r="CX1221" s="335">
        <f t="shared" si="2174"/>
        <v>0.76309497491941802</v>
      </c>
      <c r="CY1221" s="335">
        <f t="shared" si="2175"/>
        <v>0.31280857135128509</v>
      </c>
      <c r="CZ1221" s="336">
        <f>INDEX('State Tax Lookup'!$D$7:$Z$91,MATCH(Calculation!$C1221,'State Tax Lookup'!$B$7:$B$91,0),MATCH($H1221,'State Tax Lookup'!$D$6:$Z$6,0))</f>
        <v>0.35</v>
      </c>
      <c r="DA1221" s="302">
        <v>0.37</v>
      </c>
      <c r="DB1221" s="57">
        <f t="shared" si="2179"/>
        <v>14.91066379642143</v>
      </c>
      <c r="DC1221" s="56">
        <f t="shared" si="2183"/>
        <v>-1.9629840869240321E-2</v>
      </c>
      <c r="DD1221" s="303">
        <f>VLOOKUP($H1221,RoR!$E:$F,2,FALSE)</f>
        <v>3.6658333333333334E-2</v>
      </c>
      <c r="DE1221" s="304">
        <f>HLOOKUP($H1221,'GDP-PI'!$D$8:$CQ$11,3,FALSE)</f>
        <v>1.0483662879041455E-2</v>
      </c>
      <c r="DF1221" s="303">
        <f>VLOOKUP(H1221,'HW Dx Data'!$E:$F,2,FALSE)</f>
        <v>671.45639385971219</v>
      </c>
      <c r="DG1221" s="364">
        <f ca="1">VLOOKUP(CC1221,'ECI - Input Price'!M$13:N$33,2,FALSE)</f>
        <v>136.94999999999999</v>
      </c>
      <c r="DH1221" s="364"/>
      <c r="DI1221" s="364"/>
      <c r="DJ1221" s="56">
        <f t="shared" ca="1" si="2191"/>
        <v>2.5514417868782811E-2</v>
      </c>
      <c r="DK1221" s="53">
        <f>HLOOKUP(H1221,'GDP-PI'!$8:$9,2,FALSE)</f>
        <v>105.736</v>
      </c>
      <c r="DL1221" s="355">
        <f t="shared" si="2184"/>
        <v>1.0429090367205095E-2</v>
      </c>
    </row>
    <row r="1222" spans="1:116" s="126" customFormat="1" ht="21" customHeight="1" x14ac:dyDescent="0.4">
      <c r="A1222" s="233" t="s">
        <v>253</v>
      </c>
      <c r="B1222" s="126" t="s">
        <v>253</v>
      </c>
      <c r="C1222" s="126">
        <v>4059746</v>
      </c>
      <c r="D1222" s="127" t="s">
        <v>199</v>
      </c>
      <c r="E1222" s="127"/>
      <c r="F1222" s="144"/>
      <c r="G1222" s="126" t="s">
        <v>173</v>
      </c>
      <c r="H1222" s="128">
        <v>2017</v>
      </c>
      <c r="I1222" s="129"/>
      <c r="J1222" s="125">
        <f>IFERROR(INDEX('Labor Expenditures'!$E$7:$W$91,MATCH($C1222,'Labor Expenditures'!$C$7:$C$91,0),MATCH($G1222,'Labor Expenditures'!$E$5:$W$5,0)),"NA")</f>
        <v>52483.983598102386</v>
      </c>
      <c r="K1222" s="125">
        <f t="shared" ca="1" si="2185"/>
        <v>373.68446848061512</v>
      </c>
      <c r="L1222" s="47"/>
      <c r="M1222" s="131">
        <f t="shared" ca="1" si="2192"/>
        <v>-1.8643713887332401E-2</v>
      </c>
      <c r="N1222" s="131"/>
      <c r="O1222" s="131"/>
      <c r="P1222" s="59">
        <f t="shared" ca="1" si="2194"/>
        <v>-3.8505961169259218E-4</v>
      </c>
      <c r="Q1222" s="61"/>
      <c r="R1222" s="387"/>
      <c r="S1222" s="49">
        <f t="shared" ca="1" si="2199"/>
        <v>170.62006795434971</v>
      </c>
      <c r="T1222" s="61">
        <f ca="1">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</f>
        <v>-0.57778515393123175</v>
      </c>
      <c r="U1222" s="61"/>
      <c r="V1222" s="125">
        <f>IFERROR(INDEX('Non-Labor Expenditures'!$E$7:$AA$91,MATCH($C1222,'Non-Labor Expenditures'!$C$7:$C$91,0),MATCH($G1222,'Non-Labor Expenditures'!$E$5:$AA$5,0)),"NA")</f>
        <v>76006.610906014947</v>
      </c>
      <c r="W1222" s="125">
        <f t="shared" si="2186"/>
        <v>705.39123447592078</v>
      </c>
      <c r="X1222" s="131">
        <f t="shared" si="2195"/>
        <v>-1.2285644273912051E-2</v>
      </c>
      <c r="Y1222" s="131">
        <f t="shared" si="2196"/>
        <v>-2.5374265246154649E-4</v>
      </c>
      <c r="Z1222" s="131"/>
      <c r="AA1222" s="131"/>
      <c r="AB1222" s="131"/>
      <c r="AC1222" s="125">
        <f t="shared" si="2166"/>
        <v>83810.279004112803</v>
      </c>
      <c r="AD1222" s="129"/>
      <c r="AE1222" s="133">
        <v>7063.2788573758071</v>
      </c>
      <c r="AF1222" s="134">
        <v>5.1920370455997629E-2</v>
      </c>
      <c r="AG1222" s="59">
        <f t="shared" si="2187"/>
        <v>1.0723420133745981E-3</v>
      </c>
      <c r="AH1222" s="134"/>
      <c r="AI1222" s="134"/>
      <c r="AJ1222" s="129">
        <f t="shared" si="2138"/>
        <v>212300.87350823014</v>
      </c>
      <c r="AK1222" s="134">
        <f t="shared" si="2197"/>
        <v>-1.0466660396252285E-2</v>
      </c>
      <c r="AL1222" s="129"/>
      <c r="AM1222" s="129"/>
      <c r="AN1222" s="129"/>
      <c r="AO1222" s="129"/>
      <c r="AP1222" s="133">
        <f t="shared" si="2198"/>
        <v>176.47943146776595</v>
      </c>
      <c r="AQ1222" s="134">
        <f>+BB1222/Outputs!$B$25</f>
        <v>3.2488712194114394E-2</v>
      </c>
      <c r="AR1222" s="93">
        <f t="shared" si="2188"/>
        <v>0.24721510906109281</v>
      </c>
      <c r="AS1222" s="93">
        <f t="shared" si="2189"/>
        <v>0.35801365133369761</v>
      </c>
      <c r="AT1222" s="93">
        <f t="shared" si="2190"/>
        <v>0.39477123960520955</v>
      </c>
      <c r="AU1222" s="93">
        <f t="shared" ca="1" si="2193"/>
        <v>1.183115759713808E-2</v>
      </c>
      <c r="AV1222" s="132">
        <f t="shared" ca="1" si="2201"/>
        <v>98.141803865932118</v>
      </c>
      <c r="AW1222" s="134">
        <f t="shared" ca="1" si="2202"/>
        <v>1.1831157597138073E-2</v>
      </c>
      <c r="AX1222" s="135">
        <f>+AJ1222/$AL$22</f>
        <v>2.0653589409255178E-2</v>
      </c>
      <c r="AY1222" s="135">
        <f t="shared" ca="1" si="2200"/>
        <v>2.4435587124747984E-4</v>
      </c>
      <c r="AZ1222" s="93"/>
      <c r="BA1222" s="93"/>
      <c r="BB1222" s="234">
        <f>IFERROR(INDEX('Total Customers'!$E$7:$AA$91,MATCH($C1222,'Total Customers'!$C$7:$C$91,0),MATCH($G1222,'Total Customers'!$E$5:$AA$5,0)),"NA")</f>
        <v>1202978</v>
      </c>
      <c r="BC1222" s="269">
        <f t="shared" si="2209"/>
        <v>2.3127728325630344E-3</v>
      </c>
      <c r="BD1222" s="92"/>
      <c r="BE1222" s="299" t="str">
        <f t="shared" si="2205"/>
        <v>THE EAST OHIO GAS COMPANY</v>
      </c>
      <c r="BF1222" s="300">
        <f t="shared" si="2206"/>
        <v>4059746</v>
      </c>
      <c r="BG1222" s="231" t="str">
        <f t="shared" si="2207"/>
        <v>OH</v>
      </c>
      <c r="BH1222" s="231"/>
      <c r="BI1222" s="231" t="str">
        <f t="shared" si="2208"/>
        <v>2017 Y</v>
      </c>
      <c r="BJ1222" s="129"/>
      <c r="BK1222" s="129"/>
      <c r="BL1222" s="129">
        <f>INDEX('Dist. Plant Gas Additions'!$E$7:$AD$91,MATCH($C1222,'Dist. Plant Gas Additions'!$C$7:$C$91,0),MATCH(Calculation!$G1222,'Dist. Plant Gas Additions'!$E$5:$AD$5,0))</f>
        <v>258491</v>
      </c>
      <c r="BM1222" s="129">
        <f>INDEX('Gen. Plant Additions'!$E$7:$AD$91,MATCH($C1222,'Gen. Plant Additions'!$C$7:$C$91,0),MATCH(Calculation!$G1222,'Gen. Plant Additions'!$E$5:$AD$5,0))</f>
        <v>34978</v>
      </c>
      <c r="BN1222" s="301">
        <f t="shared" si="2167"/>
        <v>0.95225594817529524</v>
      </c>
      <c r="BO1222" s="231">
        <f t="shared" si="2203"/>
        <v>33308.008555275475</v>
      </c>
      <c r="BP1222" s="231">
        <f t="shared" si="2204"/>
        <v>-1669.9914447245246</v>
      </c>
      <c r="BQ1222" s="129">
        <f>INDEX('Dist Plant Depreciation'!$D$7:$AC$94,MATCH($C1222,'Dist Plant Depreciation'!$C$7:$C$94,0),MATCH(Calculation!$G1222,'Dist Plant Depreciation'!$D$5:$AC$5,0))</f>
        <v>992652</v>
      </c>
      <c r="BR1222" s="129">
        <f>INDEX('Gen. Plant Depreciation'!$D$7:$AC$94,MATCH($C1222,'Gen. Plant Depreciation'!$C$7:$C$94,0),MATCH(Calculation!$G1222,'Gen. Plant Depreciation'!$D$5:$AC$5,0))</f>
        <v>-124017</v>
      </c>
      <c r="BS1222" s="129"/>
      <c r="BT1222" s="129"/>
      <c r="BU1222" s="129"/>
      <c r="BV1222" s="129"/>
      <c r="BW1222" s="129"/>
      <c r="BX1222" s="137"/>
      <c r="BY1222" s="129">
        <f>INDEX('Gross Dx Plant'!$D$7:$AC$91,MATCH($C1222,'Gross Dx Plant'!$C$7:$C$91,0),MATCH(Calculation!$G1222,'Gross Dx Plant'!$D$5:$AC$5,0))</f>
        <v>3229218</v>
      </c>
      <c r="BZ1222" s="129">
        <f>INDEX('Gross Gen Plant'!$D$7:$AC$91,MATCH($C1222,'Gross Gen Plant'!$C$7:$C$91,0),MATCH(Calculation!$G1222,'Gross Gen Plant'!$D$5:$AC$5,0))</f>
        <v>161906</v>
      </c>
      <c r="CA1222" s="129">
        <f t="shared" si="2162"/>
        <v>2522489</v>
      </c>
      <c r="CB1222" s="129"/>
      <c r="CC1222" s="133">
        <v>2017</v>
      </c>
      <c r="CD1222" s="129"/>
      <c r="CE1222" s="129"/>
      <c r="CF1222" s="129"/>
      <c r="CG1222" s="137"/>
      <c r="CH1222" s="129">
        <f t="shared" si="2168"/>
        <v>293469</v>
      </c>
      <c r="CI1222" s="46">
        <f t="shared" si="2176"/>
        <v>291799.0085552755</v>
      </c>
      <c r="CJ1222" s="231">
        <f t="shared" si="2177"/>
        <v>409.58352209687541</v>
      </c>
      <c r="CK1222" s="443">
        <v>0.77108433734939763</v>
      </c>
      <c r="CL1222" s="231">
        <f>+CL1203*CK1222+CJ1204*CK1221+CJ1205*CK1220+CJ1206*CK1219+CJ1207*CK1218+CJ1208*CK1217+CJ1209*CK1216+CJ1210*CK1215+CJ1211*CK1214+CJ1212*CK1213+CJ1213*CK1212+CJ1214*CK1211+CJ1215*CK1210+CJ1216*CK1209+CJ1217*CK1208+CJ1218*CK1207+CJ1219*CK1206+CJ1220*CK1205+CJ1221*CK1204+CJ1222</f>
        <v>6480.5798624354857</v>
      </c>
      <c r="CM1222" s="134">
        <f t="shared" si="2169"/>
        <v>5.0451746627909487E-2</v>
      </c>
      <c r="CN1222" s="135">
        <f t="shared" si="2170"/>
        <v>1.4726007325157889E-2</v>
      </c>
      <c r="CO1222" s="135">
        <f t="shared" si="2180"/>
        <v>1.4528930525223896E-2</v>
      </c>
      <c r="CP1222" s="134">
        <f>VLOOKUP($H1222,RoR!$E:$F,2,FALSE)</f>
        <v>3.7433333333333339E-2</v>
      </c>
      <c r="CQ1222" s="135">
        <v>1.9056896421275615E-2</v>
      </c>
      <c r="CR1222" s="135">
        <f t="shared" si="2178"/>
        <v>1.8376436912057724E-2</v>
      </c>
      <c r="CS1222" s="135">
        <f t="shared" si="2181"/>
        <v>1.6373011083309727E-2</v>
      </c>
      <c r="CT1222" s="135">
        <f t="shared" si="2182"/>
        <v>1.3976271617800498E-2</v>
      </c>
      <c r="CU1222" s="139">
        <f t="shared" si="2171"/>
        <v>0.92230000000000001</v>
      </c>
      <c r="CV1222" s="335">
        <f t="shared" si="2172"/>
        <v>1.3699568463593395</v>
      </c>
      <c r="CW1222" s="335">
        <f t="shared" si="2173"/>
        <v>0.30714603739982199</v>
      </c>
      <c r="CX1222" s="335">
        <f t="shared" si="2174"/>
        <v>0.77007188472689425</v>
      </c>
      <c r="CY1222" s="335">
        <f t="shared" si="2175"/>
        <v>0.32402839633793828</v>
      </c>
      <c r="CZ1222" s="336">
        <f>INDEX('State Tax Lookup'!$D$7:$Z$91,MATCH(Calculation!$C1222,'State Tax Lookup'!$B$7:$B$91,0),MATCH($H1222,'State Tax Lookup'!$D$6:$Z$6,0))</f>
        <v>0.20999999999999996</v>
      </c>
      <c r="DA1222" s="302">
        <v>0.37</v>
      </c>
      <c r="DB1222" s="57">
        <f t="shared" si="2179"/>
        <v>13.601735793003133</v>
      </c>
      <c r="DC1222" s="56">
        <f t="shared" si="2183"/>
        <v>-9.1879231565488079E-2</v>
      </c>
      <c r="DD1222" s="303">
        <f>VLOOKUP($H1222,RoR!$E:$F,2,FALSE)</f>
        <v>3.7433333333333339E-2</v>
      </c>
      <c r="DE1222" s="304">
        <f>HLOOKUP($H1222,'GDP-PI'!$D$8:$CQ$11,3,FALSE)</f>
        <v>1.9056896421275615E-2</v>
      </c>
      <c r="DF1222" s="303">
        <f>VLOOKUP(H1222,'HW Dx Data'!$E:$F,2,FALSE)</f>
        <v>712.42858370229726</v>
      </c>
      <c r="DG1222" s="364">
        <f ca="1">VLOOKUP(CC1222,'ECI - Input Price'!M$13:N$33,2,FALSE)</f>
        <v>140.44999999999999</v>
      </c>
      <c r="DH1222" s="364"/>
      <c r="DI1222" s="364"/>
      <c r="DJ1222" s="56">
        <f t="shared" ca="1" si="2191"/>
        <v>2.5235657841165486E-2</v>
      </c>
      <c r="DK1222" s="53">
        <f>HLOOKUP(H1222,'GDP-PI'!$8:$9,2,FALSE)</f>
        <v>107.751</v>
      </c>
      <c r="DL1222" s="355">
        <f t="shared" si="2184"/>
        <v>1.8877588227745139E-2</v>
      </c>
    </row>
    <row r="1223" spans="1:116" s="126" customFormat="1" ht="21" customHeight="1" x14ac:dyDescent="0.4">
      <c r="A1223" s="233" t="s">
        <v>253</v>
      </c>
      <c r="B1223" s="126" t="s">
        <v>253</v>
      </c>
      <c r="C1223" s="126">
        <v>4059746</v>
      </c>
      <c r="D1223" s="127" t="s">
        <v>199</v>
      </c>
      <c r="E1223" s="127"/>
      <c r="F1223" s="144"/>
      <c r="G1223" s="126" t="s">
        <v>174</v>
      </c>
      <c r="H1223" s="128">
        <v>2018</v>
      </c>
      <c r="I1223" s="129"/>
      <c r="J1223" s="125">
        <f>IFERROR(INDEX('Labor Expenditures'!$E$7:$W$91,MATCH($C1223,'Labor Expenditures'!$C$7:$C$91,0),MATCH($G1223,'Labor Expenditures'!$E$5:$W$5,0)),"NA")</f>
        <v>49433.836429002302</v>
      </c>
      <c r="K1223" s="125">
        <f t="shared" ca="1" si="2185"/>
        <v>342.22108985117552</v>
      </c>
      <c r="L1223" s="47"/>
      <c r="M1223" s="131">
        <f t="shared" ca="1" si="2192"/>
        <v>-8.7954784413474527E-2</v>
      </c>
      <c r="N1223" s="131"/>
      <c r="O1223" s="131"/>
      <c r="P1223" s="59">
        <f t="shared" ca="1" si="2194"/>
        <v>-1.6843741587604516E-3</v>
      </c>
      <c r="Q1223" s="61"/>
      <c r="R1223" s="387"/>
      <c r="S1223" s="49">
        <f t="shared" ca="1" si="2199"/>
        <v>117.36474591009772</v>
      </c>
      <c r="T1223" s="61">
        <f ca="1">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</f>
        <v>-0.37415268783553279</v>
      </c>
      <c r="U1223" s="61"/>
      <c r="V1223" s="125">
        <f>IFERROR(INDEX('Non-Labor Expenditures'!$E$7:$AA$91,MATCH($C1223,'Non-Labor Expenditures'!$C$7:$C$91,0),MATCH($G1223,'Non-Labor Expenditures'!$E$5:$AA$5,0)),"NA")</f>
        <v>71589.428116249444</v>
      </c>
      <c r="W1223" s="125">
        <f t="shared" si="2186"/>
        <v>648.91343627063907</v>
      </c>
      <c r="X1223" s="131">
        <f t="shared" si="2195"/>
        <v>-8.3453263767991323E-2</v>
      </c>
      <c r="Y1223" s="131">
        <f t="shared" si="2196"/>
        <v>-1.5981679892957579E-3</v>
      </c>
      <c r="Z1223" s="131"/>
      <c r="AA1223" s="131"/>
      <c r="AB1223" s="131"/>
      <c r="AC1223" s="125">
        <f t="shared" si="2166"/>
        <v>92081.993475529307</v>
      </c>
      <c r="AD1223" s="129"/>
      <c r="AE1223" s="133">
        <v>7294.2693123792023</v>
      </c>
      <c r="AF1223" s="134">
        <v>3.2179643076363132E-2</v>
      </c>
      <c r="AG1223" s="59">
        <f t="shared" si="2187"/>
        <v>6.1625481316803724E-4</v>
      </c>
      <c r="AH1223" s="134"/>
      <c r="AI1223" s="134"/>
      <c r="AJ1223" s="129">
        <f t="shared" si="2138"/>
        <v>213105.25802078104</v>
      </c>
      <c r="AK1223" s="134">
        <f t="shared" si="2197"/>
        <v>3.7817295595472989E-3</v>
      </c>
      <c r="AL1223" s="129"/>
      <c r="AM1223" s="129"/>
      <c r="AN1223" s="129"/>
      <c r="AO1223" s="129"/>
      <c r="AP1223" s="133">
        <f t="shared" si="2198"/>
        <v>176.78041777613984</v>
      </c>
      <c r="AQ1223" s="134">
        <f>+BB1223/Outputs!$B$26</f>
        <v>3.2271159550510305E-2</v>
      </c>
      <c r="AR1223" s="93">
        <f t="shared" si="2188"/>
        <v>0.23196910713569416</v>
      </c>
      <c r="AS1223" s="93">
        <f t="shared" si="2189"/>
        <v>0.33593459298535172</v>
      </c>
      <c r="AT1223" s="93">
        <f t="shared" si="2190"/>
        <v>0.43209629987895415</v>
      </c>
      <c r="AU1223" s="93">
        <f t="shared" ca="1" si="2193"/>
        <v>-3.6725244006194646E-2</v>
      </c>
      <c r="AV1223" s="132">
        <f t="shared" ca="1" si="2201"/>
        <v>94.602903409949462</v>
      </c>
      <c r="AW1223" s="134">
        <f t="shared" ca="1" si="2202"/>
        <v>-3.6725244006194604E-2</v>
      </c>
      <c r="AX1223" s="135">
        <f>+AJ1223/$AL$23</f>
        <v>1.9150455202553009E-2</v>
      </c>
      <c r="AY1223" s="135">
        <f t="shared" ca="1" si="2200"/>
        <v>-7.0330514014345813E-4</v>
      </c>
      <c r="AZ1223" s="93"/>
      <c r="BA1223" s="93"/>
      <c r="BB1223" s="234">
        <f>IFERROR(INDEX('Total Customers'!$E$7:$AA$91,MATCH($C1223,'Total Customers'!$C$7:$C$91,0),MATCH($G1223,'Total Customers'!$E$5:$AA$5,0)),"NA")</f>
        <v>1205480</v>
      </c>
      <c r="BC1223" s="269">
        <f t="shared" si="2209"/>
        <v>2.0776786641427008E-3</v>
      </c>
      <c r="BD1223" s="92"/>
      <c r="BE1223" s="299" t="str">
        <f t="shared" si="2205"/>
        <v>THE EAST OHIO GAS COMPANY</v>
      </c>
      <c r="BF1223" s="300">
        <f t="shared" si="2206"/>
        <v>4059746</v>
      </c>
      <c r="BG1223" s="231" t="str">
        <f t="shared" si="2207"/>
        <v>OH</v>
      </c>
      <c r="BH1223" s="231"/>
      <c r="BI1223" s="231" t="str">
        <f t="shared" si="2208"/>
        <v>2018 Y</v>
      </c>
      <c r="BJ1223" s="129"/>
      <c r="BK1223" s="129"/>
      <c r="BL1223" s="129">
        <f>INDEX('Dist. Plant Gas Additions'!$E$7:$AD$91,MATCH($C1223,'Dist. Plant Gas Additions'!$C$7:$C$91,0),MATCH(Calculation!$G1223,'Dist. Plant Gas Additions'!$E$5:$AD$5,0))</f>
        <v>211387</v>
      </c>
      <c r="BM1223" s="129">
        <f>INDEX('Gen. Plant Additions'!$E$7:$AD$91,MATCH($C1223,'Gen. Plant Additions'!$C$7:$C$91,0),MATCH(Calculation!$G1223,'Gen. Plant Additions'!$E$5:$AD$5,0))</f>
        <v>7365</v>
      </c>
      <c r="BN1223" s="301">
        <f t="shared" si="2167"/>
        <v>0.95462880830788888</v>
      </c>
      <c r="BO1223" s="231">
        <f t="shared" si="2203"/>
        <v>7030.8411731876013</v>
      </c>
      <c r="BP1223" s="231">
        <f t="shared" si="2204"/>
        <v>-334.15882681239873</v>
      </c>
      <c r="BQ1223" s="129">
        <f>INDEX('Dist Plant Depreciation'!$D$7:$AC$94,MATCH($C1223,'Dist Plant Depreciation'!$C$7:$C$94,0),MATCH(Calculation!$G1223,'Dist Plant Depreciation'!$D$5:$AC$5,0))</f>
        <v>1052807</v>
      </c>
      <c r="BR1223" s="129">
        <f>INDEX('Gen. Plant Depreciation'!$D$7:$AC$94,MATCH($C1223,'Gen. Plant Depreciation'!$C$7:$C$94,0),MATCH(Calculation!$G1223,'Gen. Plant Depreciation'!$D$5:$AC$5,0))</f>
        <v>-147341</v>
      </c>
      <c r="BS1223" s="129"/>
      <c r="BT1223" s="129"/>
      <c r="BU1223" s="129"/>
      <c r="BV1223" s="129"/>
      <c r="BW1223" s="129"/>
      <c r="BX1223" s="137"/>
      <c r="BY1223" s="129">
        <f>INDEX('Gross Dx Plant'!$D$7:$AC$91,MATCH($C1223,'Gross Dx Plant'!$C$7:$C$91,0),MATCH(Calculation!$G1223,'Gross Dx Plant'!$D$5:$AC$5,0))</f>
        <v>3436342</v>
      </c>
      <c r="BZ1223" s="129">
        <f>INDEX('Gross Gen Plant'!$D$7:$AC$91,MATCH($C1223,'Gross Gen Plant'!$C$7:$C$91,0),MATCH(Calculation!$G1223,'Gross Gen Plant'!$D$5:$AC$5,0))</f>
        <v>163321</v>
      </c>
      <c r="CA1223" s="129">
        <f t="shared" si="2162"/>
        <v>2694197</v>
      </c>
      <c r="CB1223" s="129"/>
      <c r="CC1223" s="133">
        <v>2018</v>
      </c>
      <c r="CD1223" s="129"/>
      <c r="CE1223" s="129"/>
      <c r="CF1223" s="129"/>
      <c r="CG1223" s="137"/>
      <c r="CH1223" s="129">
        <f t="shared" si="2168"/>
        <v>218752</v>
      </c>
      <c r="CI1223" s="46">
        <f t="shared" si="2176"/>
        <v>218417.8411731876</v>
      </c>
      <c r="CJ1223" s="231">
        <f t="shared" si="2177"/>
        <v>289.2427781949155</v>
      </c>
      <c r="CK1223" s="443">
        <v>0.75609756097560976</v>
      </c>
      <c r="CL1223" s="231">
        <f>+CL1203*CK1223++CJ1204*CK1222+CJ1205*CK1221+CJ1206*CK1220+CJ1207*CK1219+CJ1208*CK1218+CJ1209*CK1217+CJ1210*CK1216+CJ1211*CK1215+CJ1212*CK1214+CJ1213*CK1213+CJ1214*CK1212+CJ1215*CK1211+CJ1216*CK1210+CJ1217*CK1209+CJ1218*CK1208+CJ1219*CK1207+CJ1220*CK1206+CJ1221*CK1205+CJ1222*CK1204+CJ1223</f>
        <v>6672.9463537060374</v>
      </c>
      <c r="CM1223" s="134">
        <f t="shared" si="2169"/>
        <v>2.9251503278008718E-2</v>
      </c>
      <c r="CN1223" s="135">
        <f t="shared" si="2170"/>
        <v>1.4948706594282511E-2</v>
      </c>
      <c r="CO1223" s="135">
        <f t="shared" si="2180"/>
        <v>1.4734040682443009E-2</v>
      </c>
      <c r="CP1223" s="134">
        <f>VLOOKUP($H1223,RoR!$E:$F,2,FALSE)</f>
        <v>3.9299999999999995E-2</v>
      </c>
      <c r="CQ1223" s="135">
        <v>2.386056741932796E-2</v>
      </c>
      <c r="CR1223" s="135">
        <f t="shared" si="2178"/>
        <v>1.5439432580672034E-2</v>
      </c>
      <c r="CS1223" s="135">
        <f t="shared" si="2181"/>
        <v>1.6167900926090616E-2</v>
      </c>
      <c r="CT1223" s="135">
        <f t="shared" si="2182"/>
        <v>3.8270792163076606E-2</v>
      </c>
      <c r="CU1223" s="139">
        <f t="shared" si="2171"/>
        <v>0.92230000000000001</v>
      </c>
      <c r="CV1223" s="335">
        <f t="shared" si="2172"/>
        <v>1.3048868010700074</v>
      </c>
      <c r="CW1223" s="335">
        <f t="shared" si="2173"/>
        <v>0.33886768447837151</v>
      </c>
      <c r="CX1223" s="335">
        <f t="shared" si="2174"/>
        <v>0.78602506232557801</v>
      </c>
      <c r="CY1223" s="335">
        <f t="shared" si="2175"/>
        <v>0.34756768162358759</v>
      </c>
      <c r="CZ1223" s="336">
        <f>INDEX('State Tax Lookup'!$D$7:$Z$91,MATCH(Calculation!$C1223,'State Tax Lookup'!$B$7:$B$91,0),MATCH($H1223,'State Tax Lookup'!$D$6:$Z$6,0))</f>
        <v>0.20999999999999996</v>
      </c>
      <c r="DA1223" s="302">
        <v>0.37</v>
      </c>
      <c r="DB1223" s="57">
        <f t="shared" si="2179"/>
        <v>14.208912694569234</v>
      </c>
      <c r="DC1223" s="56">
        <f t="shared" si="2183"/>
        <v>4.367200582538984E-2</v>
      </c>
      <c r="DD1223" s="303">
        <f>VLOOKUP($H1223,RoR!$E:$F,2,FALSE)</f>
        <v>3.9299999999999995E-2</v>
      </c>
      <c r="DE1223" s="304">
        <f>HLOOKUP($H1223,'GDP-PI'!$D$8:$CQ$11,3,FALSE)</f>
        <v>2.386056741932796E-2</v>
      </c>
      <c r="DF1223" s="303">
        <f>VLOOKUP(H1223,'HW Dx Data'!$E:$F,2,FALSE)</f>
        <v>755.13671434174842</v>
      </c>
      <c r="DG1223" s="364">
        <f ca="1">VLOOKUP(CC1223,'ECI - Input Price'!M$13:N$33,2,FALSE)</f>
        <v>144.44999999999999</v>
      </c>
      <c r="DH1223" s="364"/>
      <c r="DI1223" s="364"/>
      <c r="DJ1223" s="56">
        <f t="shared" ca="1" si="2191"/>
        <v>2.80818733619915E-2</v>
      </c>
      <c r="DK1223" s="53">
        <f>HLOOKUP(H1223,'GDP-PI'!$8:$9,2,FALSE)</f>
        <v>110.322</v>
      </c>
      <c r="DL1223" s="355">
        <f t="shared" si="2184"/>
        <v>2.3580352716508712E-2</v>
      </c>
    </row>
    <row r="1224" spans="1:116" s="126" customFormat="1" ht="21" customHeight="1" x14ac:dyDescent="0.4">
      <c r="A1224" s="233" t="s">
        <v>253</v>
      </c>
      <c r="B1224" s="126" t="s">
        <v>253</v>
      </c>
      <c r="C1224" s="126">
        <v>4059746</v>
      </c>
      <c r="D1224" s="127" t="s">
        <v>199</v>
      </c>
      <c r="E1224" s="127"/>
      <c r="F1224" s="144"/>
      <c r="G1224" s="126" t="s">
        <v>175</v>
      </c>
      <c r="H1224" s="128">
        <v>2019</v>
      </c>
      <c r="I1224" s="129"/>
      <c r="J1224" s="125">
        <f>IFERROR(INDEX('Labor Expenditures'!$E$7:$W$91,MATCH($C1224,'Labor Expenditures'!$C$7:$C$91,0),MATCH($G1224,'Labor Expenditures'!$E$5:$W$5,0)),"NA")</f>
        <v>61020.989286347278</v>
      </c>
      <c r="K1224" s="125">
        <f t="shared" ca="1" si="2185"/>
        <v>407.68992340970283</v>
      </c>
      <c r="L1224" s="47"/>
      <c r="M1224" s="131">
        <f t="shared" ca="1" si="2192"/>
        <v>0.17504990407173257</v>
      </c>
      <c r="N1224" s="131"/>
      <c r="O1224" s="131"/>
      <c r="P1224" s="59">
        <f t="shared" ca="1" si="2194"/>
        <v>3.7632132036210467E-3</v>
      </c>
      <c r="Q1224" s="61"/>
      <c r="R1224" s="387"/>
      <c r="S1224" s="49">
        <f t="shared" ca="1" si="2199"/>
        <v>117.10151003396149</v>
      </c>
      <c r="T1224" s="61">
        <f ca="1">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</f>
        <v>-2.245406151737725E-3</v>
      </c>
      <c r="U1224" s="61"/>
      <c r="V1224" s="125">
        <f>IFERROR(INDEX('Non-Labor Expenditures'!$E$7:$AA$91,MATCH($C1224,'Non-Labor Expenditures'!$C$7:$C$91,0),MATCH($G1224,'Non-Labor Expenditures'!$E$5:$AA$5,0)),"NA")</f>
        <v>88369.789635312613</v>
      </c>
      <c r="W1224" s="125">
        <f t="shared" si="2186"/>
        <v>786.7820797673802</v>
      </c>
      <c r="X1224" s="131">
        <f t="shared" si="2195"/>
        <v>0.19265198251950261</v>
      </c>
      <c r="Y1224" s="131">
        <f t="shared" si="2196"/>
        <v>4.1416217173365268E-3</v>
      </c>
      <c r="Z1224" s="131"/>
      <c r="AA1224" s="131"/>
      <c r="AB1224" s="131"/>
      <c r="AC1224" s="125">
        <f t="shared" si="2166"/>
        <v>95537.732476457488</v>
      </c>
      <c r="AD1224" s="129"/>
      <c r="AE1224" s="133">
        <v>7672.8878072253392</v>
      </c>
      <c r="AF1224" s="134">
        <v>5.060403716846848E-2</v>
      </c>
      <c r="AG1224" s="59">
        <f t="shared" si="2187"/>
        <v>1.0878828059847103E-3</v>
      </c>
      <c r="AH1224" s="134"/>
      <c r="AI1224" s="134"/>
      <c r="AJ1224" s="129">
        <f t="shared" si="2138"/>
        <v>244928.51139811738</v>
      </c>
      <c r="AK1224" s="134">
        <f t="shared" si="2197"/>
        <v>0.13918016499418565</v>
      </c>
      <c r="AL1224" s="129"/>
      <c r="AM1224" s="129"/>
      <c r="AN1224" s="129"/>
      <c r="AO1224" s="129"/>
      <c r="AP1224" s="133">
        <f t="shared" si="2198"/>
        <v>202.61919256105776</v>
      </c>
      <c r="AQ1224" s="134">
        <f>+BB1224/Outputs!$B$27</f>
        <v>3.2093476685958758E-2</v>
      </c>
      <c r="AR1224" s="93">
        <f t="shared" si="2188"/>
        <v>0.24913795841089781</v>
      </c>
      <c r="AS1224" s="93">
        <f t="shared" si="2189"/>
        <v>0.36079829633093446</v>
      </c>
      <c r="AT1224" s="93">
        <f t="shared" si="2190"/>
        <v>0.39006374525816773</v>
      </c>
      <c r="AU1224" s="93">
        <f t="shared" ca="1" si="2193"/>
        <v>0.130024667784018</v>
      </c>
      <c r="AV1224" s="132">
        <f t="shared" ca="1" si="2201"/>
        <v>107.73912920095817</v>
      </c>
      <c r="AW1224" s="134">
        <f t="shared" ca="1" si="2202"/>
        <v>0.13002466778401794</v>
      </c>
      <c r="AX1224" s="135">
        <f>+AJ1224/$AL$24</f>
        <v>2.1497944963619883E-2</v>
      </c>
      <c r="AY1224" s="135">
        <f t="shared" ca="1" si="2200"/>
        <v>2.7952631519337768E-3</v>
      </c>
      <c r="AZ1224" s="93"/>
      <c r="BA1224" s="93"/>
      <c r="BB1224" s="234">
        <v>1208812</v>
      </c>
      <c r="BC1224" s="269">
        <f t="shared" si="2209"/>
        <v>2.7602312524813576E-3</v>
      </c>
      <c r="BD1224" s="92"/>
      <c r="BE1224" s="299" t="str">
        <f t="shared" si="2205"/>
        <v>THE EAST OHIO GAS COMPANY</v>
      </c>
      <c r="BF1224" s="300">
        <f t="shared" si="2206"/>
        <v>4059746</v>
      </c>
      <c r="BG1224" s="231" t="str">
        <f t="shared" si="2207"/>
        <v>OH</v>
      </c>
      <c r="BH1224" s="231"/>
      <c r="BI1224" s="231" t="str">
        <f t="shared" si="2208"/>
        <v>2019 Y</v>
      </c>
      <c r="BJ1224" s="129"/>
      <c r="BK1224" s="129"/>
      <c r="BL1224" s="129">
        <f>INDEX('Dist. Plant Gas Additions'!$E$7:$AD$91,MATCH($C1224,'Dist. Plant Gas Additions'!$C$7:$C$91,0),MATCH(Calculation!$G1224,'Dist. Plant Gas Additions'!$E$5:$AD$5,0))</f>
        <v>328982</v>
      </c>
      <c r="BM1224" s="129">
        <f>INDEX('Gen. Plant Additions'!$E$7:$AD$91,MATCH($C1224,'Gen. Plant Additions'!$C$7:$C$91,0),MATCH(Calculation!$G1224,'Gen. Plant Additions'!$E$5:$AD$5,0))</f>
        <v>12171</v>
      </c>
      <c r="BN1224" s="301">
        <f t="shared" si="2167"/>
        <v>0.95828426547108092</v>
      </c>
      <c r="BO1224" s="231">
        <f t="shared" si="2203"/>
        <v>11663.277795048525</v>
      </c>
      <c r="BP1224" s="231">
        <f t="shared" si="2204"/>
        <v>-507.72220495147485</v>
      </c>
      <c r="BQ1224" s="129">
        <f>INDEX('Dist Plant Depreciation'!$D$7:$AC$94,MATCH($C1224,'Dist Plant Depreciation'!$C$7:$C$94,0),MATCH(Calculation!$G1224,'Dist Plant Depreciation'!$D$5:$AC$5,0))</f>
        <v>1085232</v>
      </c>
      <c r="BR1224" s="129">
        <f>INDEX('Gen. Plant Depreciation'!$D$7:$AC$94,MATCH($C1224,'Gen. Plant Depreciation'!$C$7:$C$94,0),MATCH(Calculation!$G1224,'Gen. Plant Depreciation'!$D$5:$AC$5,0))</f>
        <v>-111209</v>
      </c>
      <c r="BS1224" s="129"/>
      <c r="BT1224" s="129"/>
      <c r="BU1224" s="129"/>
      <c r="BV1224" s="129"/>
      <c r="BW1224" s="129"/>
      <c r="BX1224" s="137"/>
      <c r="BY1224" s="129">
        <f>INDEX('Gross Dx Plant'!$D$7:$AC$91,MATCH($C1224,'Gross Dx Plant'!$C$7:$C$91,0),MATCH(Calculation!$G1224,'Gross Dx Plant'!$D$5:$AC$5,0))</f>
        <v>3739138</v>
      </c>
      <c r="BZ1224" s="129">
        <f>INDEX('Gross Gen Plant'!$D$7:$AC$91,MATCH($C1224,'Gross Gen Plant'!$C$7:$C$91,0),MATCH(Calculation!$G1224,'Gross Gen Plant'!$D$5:$AC$5,0))</f>
        <v>162771</v>
      </c>
      <c r="CA1224" s="129">
        <f t="shared" si="2162"/>
        <v>2927886</v>
      </c>
      <c r="CB1224" s="129"/>
      <c r="CC1224" s="133">
        <v>2019</v>
      </c>
      <c r="CD1224" s="129"/>
      <c r="CE1224" s="129"/>
      <c r="CF1224" s="129"/>
      <c r="CG1224" s="137"/>
      <c r="CH1224" s="129">
        <f t="shared" si="2168"/>
        <v>341153</v>
      </c>
      <c r="CI1224" s="46">
        <f t="shared" si="2176"/>
        <v>340645.27779504855</v>
      </c>
      <c r="CJ1224" s="231">
        <f t="shared" si="2177"/>
        <v>440.37229744175289</v>
      </c>
      <c r="CK1224" s="443">
        <v>0.7407407407407407</v>
      </c>
      <c r="CL1224" s="231">
        <f>CL1203*CK1224+CJ1204*CK1223+CJ1205*CK1222+CJ1206*CK1221+CJ1207*CK1220+CJ1208*CK1219+CJ1209*CK1218+CJ1210*CK1217+CJ1211*CK1216+CJ1212*CK1215+CJ1213*CK1214+CJ1214*CK1213+CJ1215*CK1212+CJ1216*CK1211+CJ1217*CK1210+CJ1218*CK1209+CJ1219*CK1208+CJ1220*CK1207+CJ1221*CK1206+CJ1222*CK1205+CJ1223*CK1204+CJ1224</f>
        <v>7011.3412364889537</v>
      </c>
      <c r="CM1224" s="134">
        <f t="shared" si="2169"/>
        <v>4.9467520043935995E-2</v>
      </c>
      <c r="CN1224" s="135">
        <f t="shared" si="2170"/>
        <v>1.5282217067757503E-2</v>
      </c>
      <c r="CO1224" s="135">
        <f t="shared" si="2180"/>
        <v>1.49856436623993E-2</v>
      </c>
      <c r="CP1224" s="134">
        <f>VLOOKUP($H1224,RoR!$E:$F,2,FALSE)</f>
        <v>3.3875000000000009E-2</v>
      </c>
      <c r="CQ1224" s="135">
        <v>1.8092492884465461E-2</v>
      </c>
      <c r="CR1224" s="135">
        <f t="shared" si="2178"/>
        <v>1.5782507115534548E-2</v>
      </c>
      <c r="CS1224" s="135">
        <f t="shared" si="2181"/>
        <v>1.5916297946134327E-2</v>
      </c>
      <c r="CT1224" s="135">
        <f t="shared" si="2182"/>
        <v>4.8445665544254078E-2</v>
      </c>
      <c r="CU1224" s="139">
        <f t="shared" si="2171"/>
        <v>0.92230000000000001</v>
      </c>
      <c r="CV1224" s="335">
        <f t="shared" si="2172"/>
        <v>1.513861292459078</v>
      </c>
      <c r="CW1224" s="335">
        <f t="shared" si="2173"/>
        <v>0.23699261992619944</v>
      </c>
      <c r="CX1224" s="335">
        <f t="shared" si="2174"/>
        <v>0.73619765810468829</v>
      </c>
      <c r="CY1224" s="335">
        <f t="shared" si="2175"/>
        <v>0.26412854465362851</v>
      </c>
      <c r="CZ1224" s="336">
        <f>INDEX('State Tax Lookup'!$D$7:$Z$91,MATCH(Calculation!$C1224,'State Tax Lookup'!$B$7:$B$91,0),MATCH($H1224,'State Tax Lookup'!$D$6:$Z$6,0))</f>
        <v>0.20999999999999996</v>
      </c>
      <c r="DA1224" s="302">
        <v>0.37</v>
      </c>
      <c r="DB1224" s="57">
        <f t="shared" si="2179"/>
        <v>14.317173765887913</v>
      </c>
      <c r="DC1224" s="56">
        <f t="shared" si="2183"/>
        <v>7.5903570749793065E-3</v>
      </c>
      <c r="DD1224" s="303">
        <f>VLOOKUP($H1224,RoR!$E:$F,2,FALSE)</f>
        <v>3.3875000000000009E-2</v>
      </c>
      <c r="DE1224" s="304">
        <f>HLOOKUP($H1224,'GDP-PI'!$D$8:$CQ$11,3,FALSE)</f>
        <v>1.8092492884465461E-2</v>
      </c>
      <c r="DF1224" s="303">
        <f>VLOOKUP(H1224,'HW Dx Data'!$E:$F,2,FALSE)</f>
        <v>773.53929793938721</v>
      </c>
      <c r="DG1224" s="364">
        <f ca="1">VLOOKUP(CC1224,'ECI - Input Price'!M$13:N$33,2,FALSE)</f>
        <v>149.67500000000001</v>
      </c>
      <c r="DH1224" s="364"/>
      <c r="DI1224" s="364"/>
      <c r="DJ1224" s="56">
        <f t="shared" ca="1" si="2191"/>
        <v>3.5532849899171604E-2</v>
      </c>
      <c r="DK1224" s="53">
        <f>HLOOKUP(H1224,'GDP-PI'!$8:$9,2,FALSE)</f>
        <v>112.318</v>
      </c>
      <c r="DL1224" s="355">
        <f t="shared" si="2184"/>
        <v>1.7930771451401852E-2</v>
      </c>
    </row>
    <row r="1225" spans="1:116" s="126" customFormat="1" ht="21" customHeight="1" x14ac:dyDescent="0.4">
      <c r="A1225" s="233" t="s">
        <v>253</v>
      </c>
      <c r="B1225" s="126" t="s">
        <v>253</v>
      </c>
      <c r="C1225" s="126">
        <v>4059746</v>
      </c>
      <c r="D1225" s="126" t="s">
        <v>199</v>
      </c>
      <c r="G1225" s="127" t="s">
        <v>176</v>
      </c>
      <c r="H1225" s="128">
        <v>2020</v>
      </c>
      <c r="I1225" s="129"/>
      <c r="J1225" s="125">
        <f>IFERROR(INDEX('Labor Expenditures'!$E$7:$W$91,MATCH($C1225,'Labor Expenditures'!$C$7:$C$91,0),MATCH($G1225,'Labor Expenditures'!$E$5:$W$5,0)),"NA")</f>
        <v>44123.555517447683</v>
      </c>
      <c r="K1225" s="125">
        <f t="shared" ca="1" si="2185"/>
        <v>288.10679410674294</v>
      </c>
      <c r="L1225" s="47"/>
      <c r="M1225" s="131">
        <f t="shared" ca="1" si="2192"/>
        <v>-0.34717566954874407</v>
      </c>
      <c r="N1225" s="131"/>
      <c r="O1225" s="131"/>
      <c r="P1225" s="59">
        <f t="shared" ca="1" si="2194"/>
        <v>-6.3394667758516826E-3</v>
      </c>
      <c r="Q1225" s="61"/>
      <c r="R1225" s="387"/>
      <c r="S1225" s="49">
        <f t="shared" ca="1" si="2199"/>
        <v>115.95661840912804</v>
      </c>
      <c r="T1225" s="61">
        <f ca="1">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</f>
        <v>-9.8250238450841316E-3</v>
      </c>
      <c r="U1225" s="61"/>
      <c r="V1225" s="125">
        <f>IFERROR(INDEX('Non-Labor Expenditures'!$E$7:$AA$91,MATCH($C1225,'Non-Labor Expenditures'!$C$7:$C$91,0),MATCH($G1225,'Non-Labor Expenditures'!$E$5:$AA$5,0)),"NA")</f>
        <v>63899.149532655741</v>
      </c>
      <c r="W1225" s="125">
        <f t="shared" si="2186"/>
        <v>562.37865161680065</v>
      </c>
      <c r="X1225" s="131">
        <f t="shared" si="2195"/>
        <v>-0.33577592981276849</v>
      </c>
      <c r="Y1225" s="131">
        <f t="shared" si="2196"/>
        <v>-6.1313062460440866E-3</v>
      </c>
      <c r="Z1225" s="131"/>
      <c r="AA1225" s="131"/>
      <c r="AB1225" s="131"/>
      <c r="AC1225" s="125">
        <f t="shared" si="2166"/>
        <v>103832.86702780415</v>
      </c>
      <c r="AD1225" s="129"/>
      <c r="AE1225" s="133">
        <v>7847.674711310211</v>
      </c>
      <c r="AF1225" s="134">
        <v>2.2524221466932323E-2</v>
      </c>
      <c r="AG1225" s="59">
        <f t="shared" si="2187"/>
        <v>4.1129481748286659E-4</v>
      </c>
      <c r="AH1225" s="134"/>
      <c r="AI1225" s="134"/>
      <c r="AJ1225" s="129">
        <f t="shared" si="2138"/>
        <v>211855.57207790756</v>
      </c>
      <c r="AK1225" s="134">
        <f t="shared" si="2197"/>
        <v>-0.14506159903097809</v>
      </c>
      <c r="AL1225" s="129"/>
      <c r="AM1225" s="129"/>
      <c r="AN1225" s="129"/>
      <c r="AO1225" s="129"/>
      <c r="AP1225" s="133">
        <f t="shared" si="2198"/>
        <v>175.07524035781643</v>
      </c>
      <c r="AQ1225" s="134">
        <f>+BB1225/Outputs!$B$28</f>
        <v>3.1900352664526184E-2</v>
      </c>
      <c r="AR1225" s="93">
        <f t="shared" si="2188"/>
        <v>0.2082718669359413</v>
      </c>
      <c r="AS1225" s="93">
        <f t="shared" si="2189"/>
        <v>0.30161656314216523</v>
      </c>
      <c r="AT1225" s="93">
        <f t="shared" si="2190"/>
        <v>0.49011156992189359</v>
      </c>
      <c r="AU1225" s="93">
        <f t="shared" ca="1" si="2193"/>
        <v>-0.18069963200274736</v>
      </c>
      <c r="AV1225" s="132">
        <f t="shared" ca="1" si="2201"/>
        <v>89.928346461392834</v>
      </c>
      <c r="AW1225" s="134">
        <f t="shared" ca="1" si="2202"/>
        <v>-0.18069963200274741</v>
      </c>
      <c r="AX1225" s="135">
        <f>+AJ1225/$AL$25</f>
        <v>1.8260112478768072E-2</v>
      </c>
      <c r="AY1225" s="135">
        <f t="shared" ca="1" si="2200"/>
        <v>-3.2995956052421665E-3</v>
      </c>
      <c r="AZ1225" s="93"/>
      <c r="BA1225" s="93"/>
      <c r="BB1225" s="234">
        <v>1210083</v>
      </c>
      <c r="BC1225" s="269">
        <f t="shared" si="2209"/>
        <v>1.0508931697917863E-3</v>
      </c>
      <c r="BD1225" s="92"/>
      <c r="BE1225" s="299" t="str">
        <f t="shared" si="2205"/>
        <v>THE EAST OHIO GAS COMPANY</v>
      </c>
      <c r="BF1225" s="300">
        <f t="shared" si="2206"/>
        <v>4059746</v>
      </c>
      <c r="BG1225" s="231" t="str">
        <f t="shared" si="2207"/>
        <v>OH</v>
      </c>
      <c r="BH1225" s="231"/>
      <c r="BI1225" s="231" t="str">
        <f t="shared" si="2208"/>
        <v>2020 Y</v>
      </c>
      <c r="BJ1225" s="129"/>
      <c r="BK1225" s="129"/>
      <c r="BL1225" s="129">
        <f>INDEX('Dist. Plant Gas Additions'!$E$7:$AD$91,MATCH($C1225,'Dist. Plant Gas Additions'!$C$7:$C$91,0),MATCH(Calculation!$G1225,'Dist. Plant Gas Additions'!$E$5:$AD$5,0))</f>
        <v>191508</v>
      </c>
      <c r="BM1225" s="129">
        <f>INDEX('Gen. Plant Additions'!$E$7:$AD$91,MATCH($C1225,'Gen. Plant Additions'!$C$7:$C$91,0),MATCH(Calculation!$G1225,'Gen. Plant Additions'!$E$5:$AD$5,0))</f>
        <v>5132</v>
      </c>
      <c r="BN1225" s="301">
        <f t="shared" si="2167"/>
        <v>0.95791967021662172</v>
      </c>
      <c r="BO1225" s="231">
        <f t="shared" si="2203"/>
        <v>4916.0437475517028</v>
      </c>
      <c r="BP1225" s="231">
        <f t="shared" si="2204"/>
        <v>-215.95625244829716</v>
      </c>
      <c r="BQ1225" s="129">
        <f>INDEX('Dist Plant Depreciation'!$D$7:$AC$94,MATCH($C1225,'Dist Plant Depreciation'!$C$7:$C$94,0),MATCH(Calculation!$G1225,'Dist Plant Depreciation'!$D$5:$AC$5,0))</f>
        <v>1167722</v>
      </c>
      <c r="BR1225" s="129">
        <f>INDEX('Gen. Plant Depreciation'!$D$7:$AC$94,MATCH($C1225,'Gen. Plant Depreciation'!$C$7:$C$94,0),MATCH(Calculation!$G1225,'Gen. Plant Depreciation'!$D$5:$AC$5,0))</f>
        <v>-134693</v>
      </c>
      <c r="BS1225" s="129"/>
      <c r="BT1225" s="129"/>
      <c r="BU1225" s="129"/>
      <c r="BV1225" s="129"/>
      <c r="BW1225" s="129"/>
      <c r="BX1225" s="137"/>
      <c r="BY1225" s="129">
        <f>INDEX('Gross Dx Plant'!$D$7:$AC$91,MATCH($C1225,'Gross Dx Plant'!$C$7:$C$91,0),MATCH(Calculation!$G1225,'Gross Dx Plant'!$D$5:$AC$5,0))</f>
        <v>3924822</v>
      </c>
      <c r="BZ1225" s="129">
        <f>INDEX('Gross Gen Plant'!$D$7:$AC$91,MATCH($C1225,'Gross Gen Plant'!$C$7:$C$91,0),MATCH(Calculation!$G1225,'Gross Gen Plant'!$D$5:$AC$5,0))</f>
        <v>172413</v>
      </c>
      <c r="CA1225" s="129">
        <f t="shared" si="2162"/>
        <v>3064206</v>
      </c>
      <c r="CB1225" s="129"/>
      <c r="CC1225" s="133">
        <v>2020</v>
      </c>
      <c r="CD1225" s="129"/>
      <c r="CE1225" s="129"/>
      <c r="CF1225" s="129"/>
      <c r="CG1225" s="137"/>
      <c r="CH1225" s="129">
        <f t="shared" si="2168"/>
        <v>196640</v>
      </c>
      <c r="CI1225" s="46">
        <f t="shared" si="2176"/>
        <v>196424.04374755171</v>
      </c>
      <c r="CJ1225" s="231">
        <f t="shared" si="2177"/>
        <v>241.58016984887001</v>
      </c>
      <c r="CK1225" s="443">
        <v>0.72499999999999998</v>
      </c>
      <c r="CL1225" s="231">
        <f>CL1203*CK1225+CJ1204*CK1224+CJ1205*CK1223+CJ1206*CK1222+CJ1207*CK1221+CJ1208*CK1220+CJ1209*CK1219+CJ1210*CK1218+CJ1211*CK1217+CJ1212*CK1216+CJ1213*CK1215+CJ1214*CK1214+CJ1215*CK1213+CJ1216*CK1212+CJ1217*CK1211+CJ1218*CK1210+CJ1219*CK1209+CJ1220*CK1208+CJ1221*CK1207+CJ1222*CK1206+CJ1223*CK1205+CJ1224*CK1204+CJ1225</f>
        <v>7144.2103636990978</v>
      </c>
      <c r="CM1225" s="134">
        <f t="shared" si="2169"/>
        <v>1.8773274720810446E-2</v>
      </c>
      <c r="CN1225" s="135">
        <f t="shared" si="2170"/>
        <v>1.5505028064097582E-2</v>
      </c>
      <c r="CO1225" s="135">
        <f t="shared" si="2180"/>
        <v>1.5245317242045866E-2</v>
      </c>
      <c r="CP1225" s="134">
        <f>VLOOKUP($H1225,RoR!$E:$F,2,FALSE)</f>
        <v>2.4766666666666666E-2</v>
      </c>
      <c r="CQ1225" s="135">
        <v>1.1618796630994188E-2</v>
      </c>
      <c r="CR1225" s="135">
        <f t="shared" si="2178"/>
        <v>1.3147870035672478E-2</v>
      </c>
      <c r="CS1225" s="135">
        <f t="shared" si="2181"/>
        <v>1.5656624366487758E-2</v>
      </c>
      <c r="CT1225" s="135">
        <f t="shared" si="2182"/>
        <v>4.5144642961987357E-2</v>
      </c>
      <c r="CU1225" s="139">
        <f t="shared" si="2171"/>
        <v>0.92230000000000001</v>
      </c>
      <c r="CV1225" s="335">
        <f t="shared" si="2172"/>
        <v>2.0706077233668081</v>
      </c>
      <c r="CW1225" s="335">
        <f t="shared" si="2173"/>
        <v>-3.4421265141318998E-2</v>
      </c>
      <c r="CX1225" s="335">
        <f t="shared" si="2174"/>
        <v>0.62416226176410472</v>
      </c>
      <c r="CY1225" s="335">
        <f t="shared" si="2175"/>
        <v>-4.4485877841158712E-2</v>
      </c>
      <c r="CZ1225" s="336">
        <f>INDEX('State Tax Lookup'!$D$7:$Z$91,MATCH(Calculation!$C1225,'State Tax Lookup'!$B$7:$B$91,0),MATCH($H1225,'State Tax Lookup'!$D$6:$Z$6,0))</f>
        <v>0.20999999999999996</v>
      </c>
      <c r="DA1225" s="302">
        <v>0.37</v>
      </c>
      <c r="DB1225" s="57">
        <f t="shared" si="2179"/>
        <v>14.809273079939295</v>
      </c>
      <c r="DC1225" s="56">
        <f t="shared" si="2183"/>
        <v>3.379376468241304E-2</v>
      </c>
      <c r="DD1225" s="303">
        <f>VLOOKUP($H1225,RoR!$E:$F,2,FALSE)</f>
        <v>2.4766666666666666E-2</v>
      </c>
      <c r="DE1225" s="304">
        <f>HLOOKUP($H1225,'GDP-PI'!$D$8:$CQ$11,3,FALSE)</f>
        <v>1.1618796630994188E-2</v>
      </c>
      <c r="DF1225" s="303">
        <f>VLOOKUP(H1225,'HW Dx Data'!$E:$F,2,FALSE)</f>
        <v>813.080162458833</v>
      </c>
      <c r="DG1225" s="364">
        <f ca="1">VLOOKUP(CC1225,'ECI - Input Price'!M$13:N$33,2,FALSE)</f>
        <v>153.15</v>
      </c>
      <c r="DH1225" s="364"/>
      <c r="DI1225" s="364"/>
      <c r="DJ1225" s="56">
        <f t="shared" ca="1" si="2191"/>
        <v>2.2951556467368479E-2</v>
      </c>
      <c r="DK1225" s="53">
        <f>HLOOKUP(H1225,'GDP-PI'!$8:$9,2,FALSE)</f>
        <v>113.623</v>
      </c>
      <c r="DL1225" s="355">
        <f t="shared" si="2184"/>
        <v>1.1551816731392881E-2</v>
      </c>
    </row>
    <row r="1226" spans="1:116" s="126" customFormat="1" ht="21" customHeight="1" x14ac:dyDescent="0.4">
      <c r="A1226" s="233" t="s">
        <v>253</v>
      </c>
      <c r="B1226" s="126" t="s">
        <v>253</v>
      </c>
      <c r="C1226" s="126">
        <v>4059746</v>
      </c>
      <c r="D1226" s="126" t="s">
        <v>199</v>
      </c>
      <c r="G1226" s="127" t="s">
        <v>177</v>
      </c>
      <c r="H1226" s="128">
        <v>2021</v>
      </c>
      <c r="I1226" s="129"/>
      <c r="J1226" s="125">
        <v>46022.732971542006</v>
      </c>
      <c r="K1226" s="125">
        <f t="shared" ca="1" si="2185"/>
        <v>292.67238773635614</v>
      </c>
      <c r="L1226" s="47"/>
      <c r="M1226" s="130">
        <f t="shared" ca="1" si="2192"/>
        <v>1.5722628577575882E-2</v>
      </c>
      <c r="N1226" s="130"/>
      <c r="O1226" s="130"/>
      <c r="P1226" s="59">
        <f t="shared" ca="1" si="2194"/>
        <v>2.1596190654787629E-4</v>
      </c>
      <c r="Q1226" s="61"/>
      <c r="R1226" s="387"/>
      <c r="S1226" s="132">
        <f ca="1">+S1225*EXP(T1226)</f>
        <v>117.01695186024271</v>
      </c>
      <c r="T1226" s="134">
        <f ca="1">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</f>
        <v>9.1026700698929597E-3</v>
      </c>
      <c r="U1226" s="134"/>
      <c r="V1226" s="125">
        <v>64875.418767113428</v>
      </c>
      <c r="W1226" s="125">
        <f t="shared" si="2186"/>
        <v>547.51809238850058</v>
      </c>
      <c r="X1226" s="131">
        <f t="shared" si="2195"/>
        <v>-2.6779873743276155E-2</v>
      </c>
      <c r="Y1226" s="131">
        <f t="shared" si="2196"/>
        <v>-3.6784132895932228E-4</v>
      </c>
      <c r="Z1226" s="131"/>
      <c r="AA1226" s="131"/>
      <c r="AB1226" s="131"/>
      <c r="AC1226" s="125">
        <f t="shared" si="2166"/>
        <v>65539.807849454839</v>
      </c>
      <c r="AD1226" s="129"/>
      <c r="AE1226" s="133">
        <v>8003.2863662414338</v>
      </c>
      <c r="AF1226" s="134"/>
      <c r="AG1226" s="59">
        <f t="shared" si="2187"/>
        <v>0</v>
      </c>
      <c r="AH1226" s="134"/>
      <c r="AI1226" s="134"/>
      <c r="AJ1226" s="129">
        <f t="shared" si="2138"/>
        <v>176437.95958811027</v>
      </c>
      <c r="AK1226" s="134">
        <f t="shared" si="2197"/>
        <v>-0.18293546789159182</v>
      </c>
      <c r="AL1226" s="129"/>
      <c r="AM1226" s="134"/>
      <c r="AN1226" s="134"/>
      <c r="AO1226" s="134"/>
      <c r="AP1226" s="133">
        <f t="shared" si="2198"/>
        <v>144.70038913743028</v>
      </c>
      <c r="AQ1226" s="134">
        <f>+BB1226/Outputs!$B$29</f>
        <v>3.1583802927158205E-2</v>
      </c>
      <c r="AR1226" s="93">
        <f t="shared" si="2188"/>
        <v>0.26084371571163512</v>
      </c>
      <c r="AS1226" s="93">
        <f t="shared" si="2189"/>
        <v>0.36769535829230493</v>
      </c>
      <c r="AT1226" s="93">
        <f t="shared" si="2190"/>
        <v>0.3714609259960599</v>
      </c>
      <c r="AU1226" s="93">
        <f t="shared" ca="1" si="2193"/>
        <v>-5.2741793424818662E-3</v>
      </c>
      <c r="AV1226" s="132">
        <f t="shared" ca="1" si="2201"/>
        <v>89.455296805111914</v>
      </c>
      <c r="AW1226" s="134">
        <f t="shared" ca="1" si="2202"/>
        <v>-5.2741793424818271E-3</v>
      </c>
      <c r="AX1226" s="135">
        <f>+AJ1226/$AL$26</f>
        <v>1.3735737983144123E-2</v>
      </c>
      <c r="AY1226" s="135">
        <f t="shared" ca="1" si="2200"/>
        <v>-7.2444745524441728E-5</v>
      </c>
      <c r="AZ1226" s="93"/>
      <c r="BA1226" s="93"/>
      <c r="BB1226" s="234">
        <v>1219333</v>
      </c>
      <c r="BC1226" s="269">
        <f t="shared" si="2209"/>
        <v>7.6150356296590636E-3</v>
      </c>
      <c r="BD1226" s="91"/>
      <c r="BE1226" s="299" t="str">
        <f t="shared" si="2205"/>
        <v>THE EAST OHIO GAS COMPANY</v>
      </c>
      <c r="BF1226" s="300">
        <f t="shared" si="2206"/>
        <v>4059746</v>
      </c>
      <c r="BG1226" s="231" t="str">
        <f t="shared" si="2207"/>
        <v>OH</v>
      </c>
      <c r="BH1226" s="231"/>
      <c r="BI1226" s="231" t="str">
        <f t="shared" si="2208"/>
        <v>2021 Y</v>
      </c>
      <c r="BJ1226" s="129"/>
      <c r="BK1226" s="129"/>
      <c r="BL1226" s="129">
        <f>INDEX('Dist. Plant Gas Additions'!$D$7:$AD$91,MATCH($C1226,'Dist. Plant Gas Additions'!$C$7:$C$91,0),MATCH(Calculation!$G1226,'Dist. Plant Gas Additions'!$D$5:$AD$5,0))</f>
        <v>321479</v>
      </c>
      <c r="BM1226" s="129">
        <f>INDEX('Gen. Plant Additions'!$D$7:$AD$91,MATCH($C1226,'Gen. Plant Additions'!$C$7:$C$91,0),MATCH(Calculation!$G1226,'Gen. Plant Additions'!$D$5:$AD$5,0))</f>
        <v>32263</v>
      </c>
      <c r="BN1226" s="301">
        <v>1</v>
      </c>
      <c r="BO1226" s="231">
        <f t="shared" si="2203"/>
        <v>32263</v>
      </c>
      <c r="BP1226" s="231">
        <f t="shared" si="2204"/>
        <v>0</v>
      </c>
      <c r="BQ1226" s="129"/>
      <c r="BR1226" s="129"/>
      <c r="BS1226" s="137"/>
      <c r="BT1226" s="137"/>
      <c r="BU1226" s="333"/>
      <c r="BV1226" s="93"/>
      <c r="BW1226" s="334"/>
      <c r="BX1226" s="334"/>
      <c r="BY1226" s="129"/>
      <c r="BZ1226" s="129"/>
      <c r="CA1226" s="129"/>
      <c r="CB1226" s="129"/>
      <c r="CC1226" s="133">
        <v>2021</v>
      </c>
      <c r="CD1226" s="129"/>
      <c r="CE1226" s="129"/>
      <c r="CF1226" s="129"/>
      <c r="CG1226" s="137"/>
      <c r="CH1226" s="129">
        <f t="shared" si="2168"/>
        <v>353742</v>
      </c>
      <c r="CI1226" s="46">
        <f t="shared" si="2176"/>
        <v>353742</v>
      </c>
      <c r="CJ1226" s="231">
        <f t="shared" si="2177"/>
        <v>379.13555171178081</v>
      </c>
      <c r="CK1226" s="443">
        <v>0.70886075949367089</v>
      </c>
      <c r="CL1226" s="129">
        <f>CL1203*CK1226+CJ1204*CK1225+CJ1205*CK1224+CJ1206*CK1223+CJ1207*CK1222+CJ1208*CK1221+CJ1209*CK1220+CJ1210*CK1219+CJ1211*CK1218+CJ1212*CK1217+CJ1213*CK1216+CJ1214*CK1215+CJ1215*CK1214+CJ1216*CK1213+CJ1217*CK1212+CJ1208*CK1211+CJ1219*CK1210+CJ1220*CK1209+CJ1221*CK1208+CJ1222*CK1207+CJ1223*CK1206+CJ1224*CK1205+CJ1226+CJ1225*CK1204</f>
        <v>7263.199080342104</v>
      </c>
      <c r="CM1226" s="134"/>
      <c r="CN1226" s="135">
        <f t="shared" si="2170"/>
        <v>3.6413658308638727E-2</v>
      </c>
      <c r="CO1226" s="135">
        <f t="shared" si="2180"/>
        <v>2.240030114683127E-2</v>
      </c>
      <c r="CP1226" s="134">
        <f>VLOOKUP($H1226,RoR!$E:$F,2,FALSE)</f>
        <v>2.7033333333333336E-2</v>
      </c>
      <c r="CQ1226" s="135"/>
      <c r="CR1226" s="135"/>
      <c r="CS1226" s="135">
        <f t="shared" si="2181"/>
        <v>8.5016404617023547E-3</v>
      </c>
      <c r="CT1226" s="135">
        <f t="shared" si="2182"/>
        <v>7.433422950153494E-2</v>
      </c>
      <c r="CU1226" s="139">
        <f t="shared" si="2171"/>
        <v>0.92230000000000001</v>
      </c>
      <c r="CV1226" s="335">
        <f t="shared" si="2172"/>
        <v>1.8969932656739068</v>
      </c>
      <c r="CW1226" s="335">
        <f t="shared" si="2173"/>
        <v>5.0215782983970621E-2</v>
      </c>
      <c r="CX1226" s="335">
        <f t="shared" si="2174"/>
        <v>0.655952481704143</v>
      </c>
      <c r="CY1226" s="335">
        <f t="shared" si="2175"/>
        <v>6.2485378865697057E-2</v>
      </c>
      <c r="CZ1226" s="336">
        <f>CZ1225</f>
        <v>0.20999999999999996</v>
      </c>
      <c r="DA1226" s="302">
        <v>0.37</v>
      </c>
      <c r="DB1226" s="141">
        <f t="shared" si="2179"/>
        <v>9.1738351074421498</v>
      </c>
      <c r="DC1226" s="135">
        <f>LN(DB1227/DB1225)</f>
        <v>0.17844067513939821</v>
      </c>
      <c r="DD1226" s="303">
        <f>VLOOKUP($H1226,RoR!$E:$F,2,FALSE)</f>
        <v>2.7033333333333336E-2</v>
      </c>
      <c r="DE1226" s="304" t="e">
        <f>HLOOKUP($H1226,'GDP-PI'!$D$8:$CQ$11,3,FALSE)</f>
        <v>#N/A</v>
      </c>
      <c r="DF1226" s="336">
        <f>VLOOKUP(H1226,'HW Dx Data'!$E:$F,2,FALSE)</f>
        <v>933.02249921662576</v>
      </c>
      <c r="DG1226" s="364">
        <f ca="1">VLOOKUP(CC1226,'ECI - Input Price'!M$13:N$33,2,FALSE)</f>
        <v>157.25</v>
      </c>
      <c r="DH1226" s="364"/>
      <c r="DI1226" s="364"/>
      <c r="DJ1226" s="135">
        <f t="shared" ca="1" si="2191"/>
        <v>2.6419062301765574E-2</v>
      </c>
      <c r="DK1226" s="137">
        <f>HLOOKUP(H1226,'GDP-PI'!$8:$9,2,FALSE)</f>
        <v>118.49</v>
      </c>
      <c r="DL1226" s="356">
        <f t="shared" si="2184"/>
        <v>4.194261824609434E-2</v>
      </c>
    </row>
    <row r="1227" spans="1:116" s="126" customFormat="1" ht="21" customHeight="1" thickBot="1" x14ac:dyDescent="0.45">
      <c r="A1227" s="235"/>
      <c r="B1227" s="236"/>
      <c r="C1227" s="236"/>
      <c r="D1227" s="236"/>
      <c r="E1227" s="236"/>
      <c r="F1227" s="236"/>
      <c r="G1227" s="237" t="s">
        <v>178</v>
      </c>
      <c r="H1227" s="238"/>
      <c r="I1227" s="239"/>
      <c r="J1227" s="240">
        <v>42941.761796719664</v>
      </c>
      <c r="K1227" s="240">
        <f t="shared" ca="1" si="2185"/>
        <v>264.17571083801698</v>
      </c>
      <c r="L1227" s="47"/>
      <c r="M1227" s="241">
        <f t="shared" ref="M1227" ca="1" si="2210">LN(K1227/K1226)</f>
        <v>-0.10243939974199924</v>
      </c>
      <c r="N1227" s="241"/>
      <c r="O1227" s="241"/>
      <c r="P1227" s="242">
        <f t="shared" ca="1" si="2194"/>
        <v>-1.8505782825763912E-3</v>
      </c>
      <c r="Q1227" s="61"/>
      <c r="R1227" s="387"/>
      <c r="S1227" s="206">
        <f ca="1">+S1226*EXP(T1227)</f>
        <v>116.99371683680322</v>
      </c>
      <c r="T1227" s="243">
        <f ca="1">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</f>
        <v>-1.9858089073645867E-4</v>
      </c>
      <c r="U1227" s="243"/>
      <c r="V1227" s="239">
        <v>60532.363014653027</v>
      </c>
      <c r="W1227" s="240">
        <f t="shared" si="2186"/>
        <v>475.69636946682141</v>
      </c>
      <c r="X1227" s="244">
        <f t="shared" ref="X1227" si="2211">LN(W1227/W1226)</f>
        <v>-0.14061573517461826</v>
      </c>
      <c r="Y1227" s="244">
        <f t="shared" si="2196"/>
        <v>-2.5402377050045681E-3</v>
      </c>
      <c r="Z1227" s="206"/>
      <c r="AA1227" s="243"/>
      <c r="AB1227" s="243"/>
      <c r="AC1227" s="240">
        <f t="shared" si="2166"/>
        <v>128575.28337369696</v>
      </c>
      <c r="AD1227" s="243"/>
      <c r="AE1227" s="245">
        <v>8423.3531265534803</v>
      </c>
      <c r="AF1227" s="243">
        <v>5.1155729431189151E-2</v>
      </c>
      <c r="AG1227" s="242">
        <f t="shared" si="2187"/>
        <v>9.2413350871968904E-4</v>
      </c>
      <c r="AH1227" s="206"/>
      <c r="AI1227" s="243"/>
      <c r="AJ1227" s="239">
        <f t="shared" si="2138"/>
        <v>232049.40818506965</v>
      </c>
      <c r="AK1227" s="243">
        <f t="shared" si="2197"/>
        <v>0.27398100447581453</v>
      </c>
      <c r="AL1227" s="239"/>
      <c r="AM1227" s="243"/>
      <c r="AN1227" s="243"/>
      <c r="AO1227" s="243"/>
      <c r="AP1227" s="245">
        <f t="shared" si="2198"/>
        <v>190.91975605738358</v>
      </c>
      <c r="AQ1227" s="243"/>
      <c r="AR1227" s="207">
        <f t="shared" si="2188"/>
        <v>0.18505439049631928</v>
      </c>
      <c r="AS1227" s="207">
        <f t="shared" si="2189"/>
        <v>0.26085980347071513</v>
      </c>
      <c r="AT1227" s="207">
        <f t="shared" si="2190"/>
        <v>0.55408580603296564</v>
      </c>
      <c r="AU1227" s="207"/>
      <c r="AV1227" s="206"/>
      <c r="AW1227" s="243"/>
      <c r="AX1227" s="249">
        <f>+AJ1227/$AL$26</f>
        <v>1.806510275574829E-2</v>
      </c>
      <c r="AY1227" s="249"/>
      <c r="AZ1227" s="206"/>
      <c r="BA1227" s="243"/>
      <c r="BB1227" s="250">
        <v>1215429</v>
      </c>
      <c r="BC1227" s="270">
        <f t="shared" si="2209"/>
        <v>-3.2068870351745788E-3</v>
      </c>
      <c r="BD1227" s="91"/>
      <c r="BE1227" s="306">
        <f t="shared" si="2205"/>
        <v>0</v>
      </c>
      <c r="BF1227" s="307">
        <f t="shared" si="2206"/>
        <v>0</v>
      </c>
      <c r="BG1227" s="308">
        <f t="shared" si="2207"/>
        <v>0</v>
      </c>
      <c r="BH1227" s="308"/>
      <c r="BI1227" s="308" t="str">
        <f t="shared" si="2208"/>
        <v>2022Y</v>
      </c>
      <c r="BJ1227" s="239"/>
      <c r="BK1227" s="239"/>
      <c r="BL1227" s="239"/>
      <c r="BM1227" s="239"/>
      <c r="BN1227" s="309">
        <v>1</v>
      </c>
      <c r="BO1227" s="308">
        <f t="shared" si="2203"/>
        <v>0</v>
      </c>
      <c r="BP1227" s="308">
        <f t="shared" si="2204"/>
        <v>0</v>
      </c>
      <c r="BQ1227" s="239"/>
      <c r="BR1227" s="239"/>
      <c r="BS1227" s="310"/>
      <c r="BT1227" s="310"/>
      <c r="BU1227" s="311"/>
      <c r="BV1227" s="207"/>
      <c r="BW1227" s="312"/>
      <c r="BX1227" s="312"/>
      <c r="BY1227" s="239"/>
      <c r="BZ1227" s="239"/>
      <c r="CA1227" s="239"/>
      <c r="CB1227" s="239"/>
      <c r="CC1227" s="245">
        <v>2022</v>
      </c>
      <c r="CD1227" s="239"/>
      <c r="CE1227" s="239"/>
      <c r="CF1227" s="239"/>
      <c r="CG1227" s="310"/>
      <c r="CH1227" s="239">
        <v>96710</v>
      </c>
      <c r="CI1227" s="313">
        <f t="shared" si="2176"/>
        <v>96710</v>
      </c>
      <c r="CJ1227" s="308">
        <f t="shared" si="2177"/>
        <v>93.819423560112924</v>
      </c>
      <c r="CK1227" s="443">
        <v>0.69230769230769229</v>
      </c>
      <c r="CL1227" s="239">
        <f>+CL1203*CK1227+CJ1204*CK1226+CJ1205*CK1225+CJ1206*CK1224+CJ1207*CK1223+CJ1208*CK1222+CJ1209*CK1221+CJ1210*CK1220+CJ1211*CK1219+CJ1212*CK1218+CJ1213*CK1217+CJ1214*CK1216+CJ1215*CK1215+CJ1216*CK1214+CJ1217*CK1213+CJ1218*CK1212+CJ1219*CK1211+CJ1220*CK1210+CJ1221*CK1209+CJ1222*CK1208+CJ1223*CK1207+CJ1224*CK1206+CJ1225*CK1205+CJ1226*CK1204+CJ1227*CK1203</f>
        <v>7383.4313732476821</v>
      </c>
      <c r="CM1227" s="243">
        <f t="shared" ref="CM1227" si="2212">LN(CL1227/CL1226)</f>
        <v>1.6418109822008919E-2</v>
      </c>
      <c r="CN1227" s="249">
        <f t="shared" si="2170"/>
        <v>-3.6365338542009382E-3</v>
      </c>
      <c r="CO1227" s="249">
        <f t="shared" si="2180"/>
        <v>1.6094050839511792E-2</v>
      </c>
      <c r="CP1227" s="243"/>
      <c r="CQ1227" s="249"/>
      <c r="CR1227" s="249"/>
      <c r="CS1227" s="248">
        <f t="shared" si="2181"/>
        <v>1.4807890769021833E-2</v>
      </c>
      <c r="CT1227" s="249">
        <v>0.10114668178709289</v>
      </c>
      <c r="CU1227" s="314">
        <f t="shared" si="2171"/>
        <v>0.92230000000000001</v>
      </c>
      <c r="CV1227" s="315" t="e">
        <f t="shared" si="2172"/>
        <v>#N/A</v>
      </c>
      <c r="CW1227" s="315" t="e">
        <f t="shared" si="2173"/>
        <v>#N/A</v>
      </c>
      <c r="CX1227" s="315" t="e">
        <f t="shared" si="2174"/>
        <v>#N/A</v>
      </c>
      <c r="CY1227" s="315" t="e">
        <f t="shared" si="2175"/>
        <v>#N/A</v>
      </c>
      <c r="CZ1227" s="316">
        <f>CZ1226</f>
        <v>0.20999999999999996</v>
      </c>
      <c r="DA1227" s="317">
        <v>0.37</v>
      </c>
      <c r="DB1227" s="318">
        <f t="shared" si="2179"/>
        <v>17.702293707147145</v>
      </c>
      <c r="DC1227" s="249">
        <f>LN(DB1227/DB1226)</f>
        <v>0.65733879704487275</v>
      </c>
      <c r="DD1227" s="360" t="e">
        <f>VLOOKUP($H1227,RoR!$E:$F,2,FALSE)</f>
        <v>#N/A</v>
      </c>
      <c r="DE1227" s="361" t="e">
        <f>HLOOKUP($H1227,'GDP-PI'!$D$8:$CQ$11,3,FALSE)</f>
        <v>#N/A</v>
      </c>
      <c r="DF1227" s="316">
        <v>1030.81</v>
      </c>
      <c r="DG1227" s="364">
        <f ca="1">VLOOKUP(CC1227,'ECI - Input Price'!M$13:N$33,2,FALSE)</f>
        <v>162.55000000000001</v>
      </c>
      <c r="DH1227" s="364"/>
      <c r="DI1227" s="364"/>
      <c r="DJ1227" s="249">
        <f t="shared" ca="1" si="2191"/>
        <v>3.3148751169364422E-2</v>
      </c>
      <c r="DK1227" s="310">
        <v>127.25</v>
      </c>
      <c r="DL1227" s="357">
        <f t="shared" si="2184"/>
        <v>7.1325086601983473E-2</v>
      </c>
    </row>
    <row r="1228" spans="1:116" s="126" customFormat="1" ht="21" customHeight="1" x14ac:dyDescent="0.4">
      <c r="A1228" s="251" t="s">
        <v>254</v>
      </c>
      <c r="B1228" s="265" t="s">
        <v>254</v>
      </c>
      <c r="C1228" s="265">
        <v>4063762</v>
      </c>
      <c r="D1228" s="252" t="s">
        <v>255</v>
      </c>
      <c r="E1228" s="252"/>
      <c r="F1228" s="266"/>
      <c r="G1228" s="265" t="s">
        <v>150</v>
      </c>
      <c r="H1228" s="253">
        <v>1998</v>
      </c>
      <c r="I1228" s="254"/>
      <c r="J1228" s="255"/>
      <c r="K1228" s="255"/>
      <c r="L1228" s="47"/>
      <c r="M1228" s="255"/>
      <c r="N1228" s="255"/>
      <c r="O1228" s="255"/>
      <c r="P1228" s="219"/>
      <c r="Q1228" s="218"/>
      <c r="R1228" s="385"/>
      <c r="S1228" s="257"/>
      <c r="T1228" s="258"/>
      <c r="U1228" s="258"/>
      <c r="V1228" s="259"/>
      <c r="W1228" s="259"/>
      <c r="X1228" s="259"/>
      <c r="Y1228" s="255"/>
      <c r="Z1228" s="259"/>
      <c r="AA1228" s="259"/>
      <c r="AB1228" s="259"/>
      <c r="AC1228" s="255"/>
      <c r="AD1228" s="254"/>
      <c r="AE1228" s="260">
        <v>1369.5308781186086</v>
      </c>
      <c r="AF1228" s="256"/>
      <c r="AG1228" s="225"/>
      <c r="AH1228" s="256"/>
      <c r="AI1228" s="256"/>
      <c r="AJ1228" s="254">
        <f t="shared" si="2138"/>
        <v>0</v>
      </c>
      <c r="AK1228" s="254"/>
      <c r="AL1228" s="254"/>
      <c r="AM1228" s="256"/>
      <c r="AN1228" s="256"/>
      <c r="AO1228" s="256"/>
      <c r="AP1228" s="226">
        <f>+(AP1225+AP1226+AP1227)/3</f>
        <v>170.23179518421009</v>
      </c>
      <c r="AQ1228" s="256"/>
      <c r="AR1228" s="261"/>
      <c r="AS1228" s="261"/>
      <c r="AT1228" s="261"/>
      <c r="AU1228" s="261"/>
      <c r="AV1228" s="261"/>
      <c r="AW1228" s="256">
        <f ca="1">AVERAGE(AW1237:AW1251)</f>
        <v>1.172859211755168E-2</v>
      </c>
      <c r="AX1228" s="261"/>
      <c r="AY1228" s="261"/>
      <c r="AZ1228" s="261"/>
      <c r="BA1228" s="261"/>
      <c r="BB1228" s="262">
        <f>IFERROR(INDEX('Total Customers'!$E$7:$AA$91,MATCH($C1228,'Total Customers'!$C$7:$C$91,0),MATCH($G1228,'Total Customers'!$E$5:$AA$5,0)),"NA")</f>
        <v>216124</v>
      </c>
      <c r="BC1228" s="268"/>
      <c r="BD1228" s="92"/>
      <c r="BE1228" s="320" t="str">
        <f t="shared" si="2205"/>
        <v>VIRGINIA NATURAL GAS, INC.</v>
      </c>
      <c r="BF1228" s="321">
        <f t="shared" si="2206"/>
        <v>4063762</v>
      </c>
      <c r="BG1228" s="322" t="str">
        <f t="shared" si="2207"/>
        <v>VA</v>
      </c>
      <c r="BH1228" s="322"/>
      <c r="BI1228" s="322" t="str">
        <f t="shared" si="2208"/>
        <v>1998 Y</v>
      </c>
      <c r="BJ1228" s="254">
        <f>INDEX('Gross Dx Plant'!$D$7:$AC$91,MATCH($C1228,'Gross Dx Plant'!$C$7:$C$91,0),MATCH(Calculation!$G1228,'Gross Dx Plant'!$D$5:$AC$5,0))</f>
        <v>363876</v>
      </c>
      <c r="BK1228" s="254">
        <f>INDEX('Gross Gen Plant'!$D$7:$AC$91,MATCH($C1228,'Gross Gen Plant'!$C$7:$C$91,0),MATCH(Calculation!$G1228,'Gross Gen Plant'!$D$5:$AC$5,0))</f>
        <v>20715</v>
      </c>
      <c r="BL1228" s="254">
        <f>INDEX('Dist. Plant Gas Additions'!$E$7:$AD$91,MATCH($C1228,'Dist. Plant Gas Additions'!$C$7:$C$91,0),MATCH(Calculation!$G1228,'Dist. Plant Gas Additions'!$E$5:$AD$5,0))</f>
        <v>20888</v>
      </c>
      <c r="BM1228" s="254">
        <f>INDEX('Gen. Plant Additions'!$E$7:$AD$91,MATCH($C1228,'Gen. Plant Additions'!$C$7:$C$91,0),MATCH(Calculation!$G1228,'Gen. Plant Additions'!$E$5:$AD$5,0))</f>
        <v>579</v>
      </c>
      <c r="BN1228" s="338">
        <f>+(BY1228/(BY1228+BZ1228))</f>
        <v>0.94613758512289681</v>
      </c>
      <c r="BO1228" s="322">
        <f t="shared" si="2203"/>
        <v>547.81366178615724</v>
      </c>
      <c r="BP1228" s="322">
        <f t="shared" si="2204"/>
        <v>-31.18633821384276</v>
      </c>
      <c r="BQ1228" s="254">
        <f>INDEX('Dist Plant Depreciation'!$D$7:$AC$94,MATCH($C1228,'Dist Plant Depreciation'!$C$7:$C$94,0),MATCH(Calculation!$G1228,'Dist Plant Depreciation'!$D$5:$AC$5,0))</f>
        <v>102126</v>
      </c>
      <c r="BR1228" s="254">
        <f>INDEX('Gen. Plant Depreciation'!$D$7:$AC$94,MATCH($C1228,'Gen. Plant Depreciation'!$C$7:$C$94,0),MATCH(Calculation!$G1228,'Gen. Plant Depreciation'!$D$5:$AC$5,0))</f>
        <v>6204</v>
      </c>
      <c r="BS1228" s="254"/>
      <c r="BT1228" s="254"/>
      <c r="BU1228" s="254"/>
      <c r="BV1228" s="254"/>
      <c r="BW1228" s="254"/>
      <c r="BX1228" s="323"/>
      <c r="BY1228" s="254">
        <f>INDEX('Gross Dx Plant'!$D$7:$AC$91,MATCH($C1228,'Gross Dx Plant'!$C$7:$C$91,0),MATCH(Calculation!$G1228,'Gross Dx Plant'!$D$5:$AC$5,0))</f>
        <v>363876</v>
      </c>
      <c r="BZ1228" s="254">
        <f>INDEX('Gross Gen Plant'!$D$7:$AC$91,MATCH($C1228,'Gross Gen Plant'!$C$7:$C$91,0),MATCH(Calculation!$G1228,'Gross Gen Plant'!$D$5:$AC$5,0))</f>
        <v>20715</v>
      </c>
      <c r="CA1228" s="254">
        <f t="shared" si="2162"/>
        <v>276261</v>
      </c>
      <c r="CB1228" s="254"/>
      <c r="CC1228" s="260">
        <v>1998</v>
      </c>
      <c r="CD1228" s="254">
        <f>BJ1228+BK1228</f>
        <v>384591</v>
      </c>
      <c r="CE1228" s="254">
        <f>102126+6204</f>
        <v>108330</v>
      </c>
      <c r="CF1228" s="254">
        <f>+CD1228-CE1228</f>
        <v>276261</v>
      </c>
      <c r="CG1228" s="254">
        <f>CF1228/$BX$3</f>
        <v>1369.5308781186086</v>
      </c>
      <c r="CH1228" s="323"/>
      <c r="CI1228" s="344"/>
      <c r="CJ1228" s="344"/>
      <c r="CK1228" s="443">
        <v>1</v>
      </c>
      <c r="CL1228" s="254">
        <f>+CG1228</f>
        <v>1369.5308781186086</v>
      </c>
      <c r="CM1228" s="256"/>
      <c r="CN1228" s="325"/>
      <c r="CO1228" s="325"/>
      <c r="CP1228" s="256" t="e">
        <f>VLOOKUP($H1228,RoR!$E:$F,2,FALSE)</f>
        <v>#N/A</v>
      </c>
      <c r="CQ1228" s="325">
        <v>1.1028127770464469E-2</v>
      </c>
      <c r="CR1228" s="325"/>
      <c r="CS1228" s="325"/>
      <c r="CT1228" s="325"/>
      <c r="CU1228" s="327"/>
      <c r="CV1228" s="331" t="e">
        <f>2/(DD1228*39)</f>
        <v>#N/A</v>
      </c>
      <c r="CW1228" s="328" t="e">
        <f>+(DD1228*40-(1+DD1228))/(DD1228*40)</f>
        <v>#N/A</v>
      </c>
      <c r="CX1228" s="328" t="e">
        <f>+(1-(1/(1+DD1228)^40))</f>
        <v>#N/A</v>
      </c>
      <c r="CY1228" s="328" t="e">
        <f>+CX1228*CW1228*CV1228</f>
        <v>#N/A</v>
      </c>
      <c r="CZ1228" s="329">
        <f>INDEX('State Tax Lookup'!$D$7:$Z$91,MATCH(Calculation!$C1228,'State Tax Lookup'!$B$7:$B$91,0),MATCH($H1228,'State Tax Lookup'!$D$6:$Z$6,0))</f>
        <v>0.38900000000000001</v>
      </c>
      <c r="DA1228" s="330">
        <v>0.37</v>
      </c>
      <c r="DB1228" s="344"/>
      <c r="DC1228" s="326"/>
      <c r="DD1228" s="351" t="e">
        <f>VLOOKUP($H1228,RoR!$E:$F,2,FALSE)</f>
        <v>#N/A</v>
      </c>
      <c r="DE1228" s="354">
        <f>HLOOKUP($H1228,'GDP-PI'!$D$8:$CQ$11,3,FALSE)</f>
        <v>1.1028127770464469E-2</v>
      </c>
      <c r="DF1228" s="351">
        <f>VLOOKUP(H1228,'HW Dx Data'!$E:$F,2,FALSE)</f>
        <v>329.24564746449528</v>
      </c>
      <c r="DG1228" s="330"/>
      <c r="DH1228" s="330"/>
      <c r="DI1228" s="330"/>
      <c r="DJ1228" s="326"/>
      <c r="DK1228" s="344">
        <f>HLOOKUP(H1228,'GDP-PI'!$8:$9,2,FALSE)</f>
        <v>75.266999999999996</v>
      </c>
      <c r="DL1228" s="292"/>
    </row>
    <row r="1229" spans="1:116" s="126" customFormat="1" ht="21" customHeight="1" x14ac:dyDescent="0.4">
      <c r="A1229" s="233" t="s">
        <v>254</v>
      </c>
      <c r="B1229" s="126" t="s">
        <v>254</v>
      </c>
      <c r="C1229" s="126">
        <v>4063762</v>
      </c>
      <c r="D1229" s="127" t="s">
        <v>255</v>
      </c>
      <c r="E1229" s="127"/>
      <c r="F1229" s="144"/>
      <c r="G1229" s="126" t="s">
        <v>155</v>
      </c>
      <c r="H1229" s="128">
        <v>1999</v>
      </c>
      <c r="I1229" s="129"/>
      <c r="J1229" s="125"/>
      <c r="K1229" s="129"/>
      <c r="L1229" s="47"/>
      <c r="M1229" s="129"/>
      <c r="N1229" s="129"/>
      <c r="O1229" s="129"/>
      <c r="P1229" s="47"/>
      <c r="Q1229" s="47"/>
      <c r="R1229" s="386"/>
      <c r="S1229" s="119"/>
      <c r="T1229" s="47"/>
      <c r="U1229" s="46"/>
      <c r="V1229" s="135"/>
      <c r="W1229" s="135"/>
      <c r="X1229" s="135"/>
      <c r="Y1229" s="143"/>
      <c r="Z1229" s="135"/>
      <c r="AA1229" s="135"/>
      <c r="AB1229" s="135"/>
      <c r="AC1229" s="125">
        <f t="shared" ref="AC1229:AC1252" si="2213">+CL1228*DB1229</f>
        <v>0</v>
      </c>
      <c r="AD1229" s="129"/>
      <c r="AE1229" s="133">
        <v>1417.8250243681086</v>
      </c>
      <c r="AF1229" s="134">
        <v>3.4655767954392062E-2</v>
      </c>
      <c r="AG1229" s="61"/>
      <c r="AH1229" s="134"/>
      <c r="AI1229" s="134"/>
      <c r="AJ1229" s="129">
        <f t="shared" si="2138"/>
        <v>0</v>
      </c>
      <c r="AK1229" s="134"/>
      <c r="AL1229" s="129"/>
      <c r="AM1229" s="134"/>
      <c r="AN1229" s="134"/>
      <c r="AO1229" s="134"/>
      <c r="AP1229" s="133"/>
      <c r="AQ1229" s="134"/>
      <c r="AR1229" s="93"/>
      <c r="AS1229" s="93"/>
      <c r="AT1229" s="93"/>
      <c r="AU1229" s="93"/>
      <c r="AV1229" s="93"/>
      <c r="AW1229" s="134"/>
      <c r="AX1229" s="93"/>
      <c r="AY1229" s="93"/>
      <c r="AZ1229" s="93"/>
      <c r="BA1229" s="93"/>
      <c r="BB1229" s="234">
        <f>IFERROR(INDEX('Total Customers'!$E$7:$AA$91,MATCH($C1229,'Total Customers'!$C$7:$C$91,0),MATCH($G1229,'Total Customers'!$E$5:$AA$5,0)),"NA")</f>
        <v>224968</v>
      </c>
      <c r="BC1229" s="269">
        <f t="shared" si="2209"/>
        <v>4.0105852826903862E-2</v>
      </c>
      <c r="BD1229" s="92"/>
      <c r="BE1229" s="299" t="str">
        <f t="shared" si="2205"/>
        <v>VIRGINIA NATURAL GAS, INC.</v>
      </c>
      <c r="BF1229" s="300">
        <f t="shared" si="2206"/>
        <v>4063762</v>
      </c>
      <c r="BG1229" s="231" t="str">
        <f t="shared" si="2207"/>
        <v>VA</v>
      </c>
      <c r="BH1229" s="231"/>
      <c r="BI1229" s="231" t="str">
        <f t="shared" si="2208"/>
        <v>1999 Y</v>
      </c>
      <c r="BJ1229" s="129"/>
      <c r="BK1229" s="129"/>
      <c r="BL1229" s="129">
        <f>INDEX('Dist. Plant Gas Additions'!$E$7:$AD$91,MATCH($C1229,'Dist. Plant Gas Additions'!$C$7:$C$91,0),MATCH(Calculation!$G1229,'Dist. Plant Gas Additions'!$E$5:$AD$5,0))</f>
        <v>17418</v>
      </c>
      <c r="BM1229" s="129">
        <f>INDEX('Gen. Plant Additions'!$E$7:$AD$91,MATCH($C1229,'Gen. Plant Additions'!$C$7:$C$91,0),MATCH(Calculation!$G1229,'Gen. Plant Additions'!$E$5:$AD$5,0))</f>
        <v>1061</v>
      </c>
      <c r="BN1229" s="301">
        <f t="shared" ref="BN1229:BN1250" si="2214">+(BY1229/(BY1229+BZ1229))</f>
        <v>0.95169238003761958</v>
      </c>
      <c r="BO1229" s="231">
        <f t="shared" si="2203"/>
        <v>1009.7456152199144</v>
      </c>
      <c r="BP1229" s="231">
        <f t="shared" si="2204"/>
        <v>-51.254384780085616</v>
      </c>
      <c r="BQ1229" s="129">
        <f>INDEX('Dist Plant Depreciation'!$D$7:$AC$94,MATCH($C1229,'Dist Plant Depreciation'!$C$7:$C$94,0),MATCH(Calculation!$G1229,'Dist Plant Depreciation'!$D$5:$AC$5,0))</f>
        <v>108979</v>
      </c>
      <c r="BR1229" s="129">
        <f>INDEX('Gen. Plant Depreciation'!$D$7:$AC$94,MATCH($C1229,'Gen. Plant Depreciation'!$C$7:$C$94,0),MATCH(Calculation!$G1229,'Gen. Plant Depreciation'!$D$5:$AC$5,0))</f>
        <v>6122</v>
      </c>
      <c r="BS1229" s="129"/>
      <c r="BT1229" s="129"/>
      <c r="BU1229" s="129"/>
      <c r="BV1229" s="129"/>
      <c r="BW1229" s="129"/>
      <c r="BX1229" s="137"/>
      <c r="BY1229" s="129">
        <f>INDEX('Gross Dx Plant'!$D$7:$AC$91,MATCH($C1229,'Gross Dx Plant'!$C$7:$C$91,0),MATCH(Calculation!$G1229,'Gross Dx Plant'!$D$5:$AC$5,0))</f>
        <v>380479</v>
      </c>
      <c r="BZ1229" s="129">
        <f>INDEX('Gross Gen Plant'!$D$7:$AC$91,MATCH($C1229,'Gross Gen Plant'!$C$7:$C$91,0),MATCH(Calculation!$G1229,'Gross Gen Plant'!$D$5:$AC$5,0))</f>
        <v>19313</v>
      </c>
      <c r="CA1229" s="129">
        <f t="shared" si="2162"/>
        <v>284691</v>
      </c>
      <c r="CB1229" s="129"/>
      <c r="CC1229" s="133">
        <v>1999</v>
      </c>
      <c r="CD1229" s="129"/>
      <c r="CE1229" s="129"/>
      <c r="CF1229" s="129"/>
      <c r="CG1229" s="137"/>
      <c r="CH1229" s="129">
        <f t="shared" ref="CH1229:CH1251" si="2215">+BM1229+BL1229</f>
        <v>18479</v>
      </c>
      <c r="CI1229" s="46">
        <f>+CH1229+BP1229</f>
        <v>18427.745615219916</v>
      </c>
      <c r="CJ1229" s="231">
        <f t="shared" ref="CJ1229:CJ1252" si="2216">+CI1229/$DF1229</f>
        <v>54.954882827582622</v>
      </c>
      <c r="CK1229" s="443">
        <v>0.99009900990099009</v>
      </c>
      <c r="CL1229" s="231">
        <f>+CL1228*CK1229+CJ1229</f>
        <v>1410.9260492816506</v>
      </c>
      <c r="CM1229" s="134">
        <f t="shared" ref="CM1229:CM1250" si="2217">LN(CL1229/CL1228)</f>
        <v>2.9778004881200817E-2</v>
      </c>
      <c r="CN1229" s="135">
        <f t="shared" ref="CN1229:CN1252" si="2218">+(CL1228-CL1229+CJ1229)/CL1228</f>
        <v>9.900990099009823E-3</v>
      </c>
      <c r="CO1229" s="135"/>
      <c r="CP1229" s="134">
        <f>VLOOKUP($H1229,RoR!$E:$F,2,FALSE)</f>
        <v>7.0416666666666669E-2</v>
      </c>
      <c r="CQ1229" s="135">
        <v>1.4335631817396832E-2</v>
      </c>
      <c r="CR1229" s="135">
        <f>+CP1229-CQ1229</f>
        <v>5.6081034849269837E-2</v>
      </c>
      <c r="CS1229" s="135"/>
      <c r="CT1229" s="135"/>
      <c r="CU1229" s="139">
        <f t="shared" ref="CU1229:CU1252" si="2219">1-CZ1229*DA1229</f>
        <v>0.85607</v>
      </c>
      <c r="CV1229" s="335">
        <f t="shared" ref="CV1229:CV1252" si="2220">2/(DD1229*39)</f>
        <v>0.72826581702321336</v>
      </c>
      <c r="CW1229" s="335">
        <f t="shared" ref="CW1229:CW1252" si="2221">+(DD1229*40-(1+DD1229))/(DD1229*40)</f>
        <v>0.61997041420118348</v>
      </c>
      <c r="CX1229" s="335">
        <f t="shared" ref="CX1229:CX1252" si="2222">+(1-(1/(1+DD1229)^40))</f>
        <v>0.93425155319585029</v>
      </c>
      <c r="CY1229" s="335">
        <f t="shared" ref="CY1229:CY1252" si="2223">+CX1229*CW1229*CV1229</f>
        <v>0.42181762214141483</v>
      </c>
      <c r="CZ1229" s="336">
        <f>INDEX('State Tax Lookup'!$D$7:$Z$91,MATCH(Calculation!$C1229,'State Tax Lookup'!$B$7:$B$91,0),MATCH($H1229,'State Tax Lookup'!$D$6:$Z$6,0))</f>
        <v>0.38900000000000001</v>
      </c>
      <c r="DA1229" s="302">
        <v>0.37</v>
      </c>
      <c r="DB1229" s="57"/>
      <c r="DC1229" s="56"/>
      <c r="DD1229" s="303">
        <f>VLOOKUP($H1229,RoR!$E:$F,2,FALSE)</f>
        <v>7.0416666666666669E-2</v>
      </c>
      <c r="DE1229" s="304">
        <f>HLOOKUP($H1229,'GDP-PI'!$D$8:$CQ$11,3,FALSE)</f>
        <v>1.4335631817396832E-2</v>
      </c>
      <c r="DF1229" s="303">
        <f>VLOOKUP(H1229,'HW Dx Data'!$E:$F,2,FALSE)</f>
        <v>335.32499146683239</v>
      </c>
      <c r="DG1229" s="364"/>
      <c r="DH1229" s="364"/>
      <c r="DI1229" s="364"/>
      <c r="DJ1229" s="56"/>
      <c r="DK1229" s="53">
        <f>HLOOKUP(H1229,'GDP-PI'!$8:$9,2,FALSE)</f>
        <v>76.346000000000004</v>
      </c>
      <c r="DL1229" s="298"/>
    </row>
    <row r="1230" spans="1:116" s="126" customFormat="1" ht="21" customHeight="1" x14ac:dyDescent="0.4">
      <c r="A1230" s="233" t="s">
        <v>254</v>
      </c>
      <c r="B1230" s="126" t="s">
        <v>254</v>
      </c>
      <c r="C1230" s="126">
        <v>4063762</v>
      </c>
      <c r="D1230" s="127" t="s">
        <v>255</v>
      </c>
      <c r="E1230" s="127"/>
      <c r="F1230" s="144"/>
      <c r="G1230" s="126" t="s">
        <v>156</v>
      </c>
      <c r="H1230" s="128">
        <v>2000</v>
      </c>
      <c r="I1230" s="129"/>
      <c r="J1230" s="125"/>
      <c r="K1230" s="125"/>
      <c r="L1230" s="47"/>
      <c r="M1230" s="125"/>
      <c r="N1230" s="125"/>
      <c r="O1230" s="125"/>
      <c r="P1230" s="47"/>
      <c r="Q1230" s="47"/>
      <c r="R1230" s="386"/>
      <c r="S1230" s="119"/>
      <c r="T1230" s="47"/>
      <c r="U1230" s="47"/>
      <c r="V1230" s="125"/>
      <c r="W1230" s="125"/>
      <c r="X1230" s="125"/>
      <c r="Y1230" s="125"/>
      <c r="Z1230" s="125"/>
      <c r="AA1230" s="125"/>
      <c r="AB1230" s="125"/>
      <c r="AC1230" s="125">
        <f t="shared" si="2213"/>
        <v>0</v>
      </c>
      <c r="AD1230" s="129"/>
      <c r="AE1230" s="133">
        <v>1488.0268641507705</v>
      </c>
      <c r="AF1230" s="134">
        <v>4.8326965689948369E-2</v>
      </c>
      <c r="AG1230" s="61"/>
      <c r="AH1230" s="134"/>
      <c r="AI1230" s="134"/>
      <c r="AJ1230" s="129">
        <f t="shared" si="2138"/>
        <v>0</v>
      </c>
      <c r="AK1230" s="134"/>
      <c r="AL1230" s="129"/>
      <c r="AM1230" s="129"/>
      <c r="AN1230" s="129"/>
      <c r="AO1230" s="129"/>
      <c r="AP1230" s="133"/>
      <c r="AQ1230" s="134"/>
      <c r="AR1230" s="93"/>
      <c r="AS1230" s="93"/>
      <c r="AT1230" s="93"/>
      <c r="AU1230" s="93"/>
      <c r="AV1230" s="93"/>
      <c r="AW1230" s="134"/>
      <c r="AX1230" s="93"/>
      <c r="AY1230" s="93"/>
      <c r="AZ1230" s="93"/>
      <c r="BA1230" s="93"/>
      <c r="BB1230" s="234">
        <f>IFERROR(INDEX('Total Customers'!$E$7:$AA$91,MATCH($C1230,'Total Customers'!$C$7:$C$91,0),MATCH($G1230,'Total Customers'!$E$5:$AA$5,0)),"NA")</f>
        <v>232710</v>
      </c>
      <c r="BC1230" s="269">
        <f t="shared" si="2209"/>
        <v>3.3834873303231268E-2</v>
      </c>
      <c r="BD1230" s="92"/>
      <c r="BE1230" s="299" t="str">
        <f t="shared" si="2205"/>
        <v>VIRGINIA NATURAL GAS, INC.</v>
      </c>
      <c r="BF1230" s="300">
        <f t="shared" si="2206"/>
        <v>4063762</v>
      </c>
      <c r="BG1230" s="231" t="str">
        <f t="shared" si="2207"/>
        <v>VA</v>
      </c>
      <c r="BH1230" s="231"/>
      <c r="BI1230" s="231" t="str">
        <f t="shared" si="2208"/>
        <v>2000 Y</v>
      </c>
      <c r="BJ1230" s="129"/>
      <c r="BK1230" s="129"/>
      <c r="BL1230" s="129">
        <f>INDEX('Dist. Plant Gas Additions'!$E$7:$AD$91,MATCH($C1230,'Dist. Plant Gas Additions'!$C$7:$C$91,0),MATCH(Calculation!$G1230,'Dist. Plant Gas Additions'!$E$5:$AD$5,0))</f>
        <v>24914</v>
      </c>
      <c r="BM1230" s="129">
        <f>INDEX('Gen. Plant Additions'!$E$7:$AD$91,MATCH($C1230,'Gen. Plant Additions'!$C$7:$C$91,0),MATCH(Calculation!$G1230,'Gen. Plant Additions'!$E$5:$AD$5,0))</f>
        <v>1941</v>
      </c>
      <c r="BN1230" s="301">
        <f t="shared" si="2214"/>
        <v>0.95171331501279932</v>
      </c>
      <c r="BO1230" s="231">
        <f t="shared" si="2203"/>
        <v>1847.2755444398435</v>
      </c>
      <c r="BP1230" s="231">
        <f t="shared" si="2204"/>
        <v>-93.724455560156457</v>
      </c>
      <c r="BQ1230" s="129">
        <f>INDEX('Dist Plant Depreciation'!$D$7:$AC$94,MATCH($C1230,'Dist Plant Depreciation'!$C$7:$C$94,0),MATCH(Calculation!$G1230,'Dist Plant Depreciation'!$D$5:$AC$5,0))</f>
        <v>116116</v>
      </c>
      <c r="BR1230" s="129">
        <f>INDEX('Gen. Plant Depreciation'!$D$7:$AC$94,MATCH($C1230,'Gen. Plant Depreciation'!$C$7:$C$94,0),MATCH(Calculation!$G1230,'Gen. Plant Depreciation'!$D$5:$AC$5,0))</f>
        <v>6247</v>
      </c>
      <c r="BS1230" s="129"/>
      <c r="BT1230" s="129"/>
      <c r="BU1230" s="129"/>
      <c r="BV1230" s="129"/>
      <c r="BW1230" s="129"/>
      <c r="BX1230" s="137"/>
      <c r="BY1230" s="129">
        <f>INDEX('Gross Dx Plant'!$D$7:$AC$91,MATCH($C1230,'Gross Dx Plant'!$C$7:$C$91,0),MATCH(Calculation!$G1230,'Gross Dx Plant'!$D$5:$AC$5,0))</f>
        <v>404501</v>
      </c>
      <c r="BZ1230" s="129">
        <f>INDEX('Gross Gen Plant'!$D$7:$AC$91,MATCH($C1230,'Gross Gen Plant'!$C$7:$C$91,0),MATCH(Calculation!$G1230,'Gross Gen Plant'!$D$5:$AC$5,0))</f>
        <v>20523</v>
      </c>
      <c r="CA1230" s="129">
        <f t="shared" si="2162"/>
        <v>302661</v>
      </c>
      <c r="CB1230" s="129"/>
      <c r="CC1230" s="133">
        <v>2000</v>
      </c>
      <c r="CD1230" s="129"/>
      <c r="CE1230" s="129"/>
      <c r="CF1230" s="129"/>
      <c r="CG1230" s="137"/>
      <c r="CH1230" s="129">
        <f t="shared" si="2215"/>
        <v>26855</v>
      </c>
      <c r="CI1230" s="46">
        <f t="shared" ref="CI1230:CI1252" si="2224">+CH1230+BP1230</f>
        <v>26761.275544439843</v>
      </c>
      <c r="CJ1230" s="231">
        <f t="shared" si="2216"/>
        <v>77.225603651718387</v>
      </c>
      <c r="CK1230" s="443">
        <v>0.98</v>
      </c>
      <c r="CL1230" s="231">
        <f>+CL1228*CK1230+CJ1229*CK1229+CJ1230</f>
        <v>1473.7766392847691</v>
      </c>
      <c r="CM1230" s="134">
        <f t="shared" si="2217"/>
        <v>4.3581987207085358E-2</v>
      </c>
      <c r="CN1230" s="135">
        <f t="shared" si="2218"/>
        <v>1.0188353709904742E-2</v>
      </c>
      <c r="CO1230" s="135"/>
      <c r="CP1230" s="134">
        <f>VLOOKUP($H1230,RoR!$E:$F,2,FALSE)</f>
        <v>7.6225000000000001E-2</v>
      </c>
      <c r="CQ1230" s="135">
        <v>2.2568307442433211E-2</v>
      </c>
      <c r="CR1230" s="135">
        <f t="shared" ref="CR1230:CR1250" si="2225">+CP1230-CQ1230</f>
        <v>5.365669255756679E-2</v>
      </c>
      <c r="CS1230" s="135"/>
      <c r="CT1230" s="135"/>
      <c r="CU1230" s="139">
        <f t="shared" si="2219"/>
        <v>0.85607</v>
      </c>
      <c r="CV1230" s="335">
        <f t="shared" si="2220"/>
        <v>0.67277207323124022</v>
      </c>
      <c r="CW1230" s="335">
        <f t="shared" si="2221"/>
        <v>0.6470236142997704</v>
      </c>
      <c r="CX1230" s="335">
        <f t="shared" si="2222"/>
        <v>0.94704866037543145</v>
      </c>
      <c r="CY1230" s="335">
        <f t="shared" si="2223"/>
        <v>0.41224973107878493</v>
      </c>
      <c r="CZ1230" s="336">
        <f>INDEX('State Tax Lookup'!$D$7:$Z$91,MATCH(Calculation!$C1230,'State Tax Lookup'!$B$7:$B$91,0),MATCH($H1230,'State Tax Lookup'!$D$6:$Z$6,0))</f>
        <v>0.38900000000000001</v>
      </c>
      <c r="DA1230" s="302">
        <v>0.37</v>
      </c>
      <c r="DB1230" s="57"/>
      <c r="DC1230" s="56"/>
      <c r="DD1230" s="303">
        <f>VLOOKUP($H1230,RoR!$E:$F,2,FALSE)</f>
        <v>7.6225000000000001E-2</v>
      </c>
      <c r="DE1230" s="304">
        <f>HLOOKUP($H1230,'GDP-PI'!$D$8:$CQ$11,3,FALSE)</f>
        <v>2.2568307442433211E-2</v>
      </c>
      <c r="DF1230" s="303">
        <f>VLOOKUP(H1230,'HW Dx Data'!$E:$F,2,FALSE)</f>
        <v>346.53371782150339</v>
      </c>
      <c r="DG1230" s="364"/>
      <c r="DH1230" s="364"/>
      <c r="DI1230" s="364"/>
      <c r="DJ1230" s="56"/>
      <c r="DK1230" s="53">
        <f>HLOOKUP(H1230,'GDP-PI'!$8:$9,2,FALSE)</f>
        <v>78.069000000000003</v>
      </c>
      <c r="DL1230" s="298"/>
    </row>
    <row r="1231" spans="1:116" s="126" customFormat="1" ht="21" customHeight="1" x14ac:dyDescent="0.4">
      <c r="A1231" s="233" t="s">
        <v>254</v>
      </c>
      <c r="B1231" s="126" t="s">
        <v>254</v>
      </c>
      <c r="C1231" s="126">
        <v>4063762</v>
      </c>
      <c r="D1231" s="127" t="s">
        <v>255</v>
      </c>
      <c r="E1231" s="127"/>
      <c r="F1231" s="144"/>
      <c r="G1231" s="126" t="s">
        <v>157</v>
      </c>
      <c r="H1231" s="128">
        <v>2001</v>
      </c>
      <c r="I1231" s="129"/>
      <c r="J1231" s="125"/>
      <c r="K1231" s="125"/>
      <c r="L1231" s="47"/>
      <c r="M1231" s="125"/>
      <c r="N1231" s="125"/>
      <c r="O1231" s="125"/>
      <c r="P1231" s="47"/>
      <c r="Q1231" s="47"/>
      <c r="R1231" s="386"/>
      <c r="S1231" s="119"/>
      <c r="T1231" s="47"/>
      <c r="U1231" s="47"/>
      <c r="V1231" s="125"/>
      <c r="W1231" s="125"/>
      <c r="X1231" s="125"/>
      <c r="Y1231" s="125"/>
      <c r="Z1231" s="125"/>
      <c r="AA1231" s="125"/>
      <c r="AB1231" s="125"/>
      <c r="AC1231" s="125">
        <f t="shared" si="2213"/>
        <v>15195.738682207835</v>
      </c>
      <c r="AD1231" s="129"/>
      <c r="AE1231" s="133">
        <v>1489.3724476506666</v>
      </c>
      <c r="AF1231" s="134">
        <v>9.0386505173911105E-4</v>
      </c>
      <c r="AG1231" s="61"/>
      <c r="AH1231" s="134"/>
      <c r="AI1231" s="134"/>
      <c r="AJ1231" s="129">
        <f t="shared" si="2138"/>
        <v>15195.738682207835</v>
      </c>
      <c r="AK1231" s="134"/>
      <c r="AL1231" s="129"/>
      <c r="AM1231" s="129"/>
      <c r="AN1231" s="129"/>
      <c r="AO1231" s="129"/>
      <c r="AP1231" s="133"/>
      <c r="AQ1231" s="134"/>
      <c r="AR1231" s="93"/>
      <c r="AS1231" s="93"/>
      <c r="AT1231" s="93"/>
      <c r="AU1231" s="93"/>
      <c r="AV1231" s="93"/>
      <c r="AW1231" s="134"/>
      <c r="AX1231" s="93"/>
      <c r="AY1231" s="93"/>
      <c r="AZ1231" s="93"/>
      <c r="BA1231" s="93"/>
      <c r="BB1231" s="234">
        <f>IFERROR(INDEX('Total Customers'!$E$7:$AA$91,MATCH($C1231,'Total Customers'!$C$7:$C$91,0),MATCH($G1231,'Total Customers'!$E$5:$AA$5,0)),"NA")</f>
        <v>236605</v>
      </c>
      <c r="BC1231" s="269">
        <f t="shared" si="2209"/>
        <v>1.6599040863544277E-2</v>
      </c>
      <c r="BD1231" s="92"/>
      <c r="BE1231" s="299" t="str">
        <f t="shared" si="2205"/>
        <v>VIRGINIA NATURAL GAS, INC.</v>
      </c>
      <c r="BF1231" s="300">
        <f t="shared" si="2206"/>
        <v>4063762</v>
      </c>
      <c r="BG1231" s="231" t="str">
        <f t="shared" si="2207"/>
        <v>VA</v>
      </c>
      <c r="BH1231" s="231"/>
      <c r="BI1231" s="231" t="str">
        <f t="shared" si="2208"/>
        <v>2001 Y</v>
      </c>
      <c r="BJ1231" s="129"/>
      <c r="BK1231" s="129"/>
      <c r="BL1231" s="129">
        <f>INDEX('Dist. Plant Gas Additions'!$E$7:$AD$91,MATCH($C1231,'Dist. Plant Gas Additions'!$C$7:$C$91,0),MATCH(Calculation!$G1231,'Dist. Plant Gas Additions'!$E$5:$AD$5,0))</f>
        <v>3127</v>
      </c>
      <c r="BM1231" s="129">
        <f>INDEX('Gen. Plant Additions'!$E$7:$AD$91,MATCH($C1231,'Gen. Plant Additions'!$C$7:$C$91,0),MATCH(Calculation!$G1231,'Gen. Plant Additions'!$E$5:$AD$5,0))</f>
        <v>6</v>
      </c>
      <c r="BN1231" s="301">
        <f t="shared" si="2214"/>
        <v>0.9544687829448284</v>
      </c>
      <c r="BO1231" s="231">
        <f t="shared" si="2203"/>
        <v>5.7268126976689704</v>
      </c>
      <c r="BP1231" s="231">
        <f t="shared" si="2204"/>
        <v>-0.27318730233102961</v>
      </c>
      <c r="BQ1231" s="129">
        <f>INDEX('Dist Plant Depreciation'!$D$7:$AC$94,MATCH($C1231,'Dist Plant Depreciation'!$C$7:$C$94,0),MATCH(Calculation!$G1231,'Dist Plant Depreciation'!$D$5:$AC$5,0))</f>
        <v>126609</v>
      </c>
      <c r="BR1231" s="129">
        <f>INDEX('Gen. Plant Depreciation'!$D$7:$AC$94,MATCH($C1231,'Gen. Plant Depreciation'!$C$7:$C$94,0),MATCH(Calculation!$G1231,'Gen. Plant Depreciation'!$D$5:$AC$5,0))</f>
        <v>6652</v>
      </c>
      <c r="BS1231" s="129"/>
      <c r="BT1231" s="129"/>
      <c r="BU1231" s="129"/>
      <c r="BV1231" s="129"/>
      <c r="BW1231" s="129"/>
      <c r="BX1231" s="137"/>
      <c r="BY1231" s="129">
        <f>INDEX('Gross Dx Plant'!$D$7:$AC$91,MATCH($C1231,'Gross Dx Plant'!$C$7:$C$91,0),MATCH(Calculation!$G1231,'Gross Dx Plant'!$D$5:$AC$5,0))</f>
        <v>407415</v>
      </c>
      <c r="BZ1231" s="129">
        <f>INDEX('Gross Gen Plant'!$D$7:$AC$91,MATCH($C1231,'Gross Gen Plant'!$C$7:$C$91,0),MATCH(Calculation!$G1231,'Gross Gen Plant'!$D$5:$AC$5,0))</f>
        <v>19435</v>
      </c>
      <c r="CA1231" s="129">
        <f t="shared" si="2162"/>
        <v>293589</v>
      </c>
      <c r="CB1231" s="129"/>
      <c r="CC1231" s="133">
        <v>2001</v>
      </c>
      <c r="CD1231" s="129"/>
      <c r="CE1231" s="129"/>
      <c r="CF1231" s="129"/>
      <c r="CG1231" s="137"/>
      <c r="CH1231" s="129">
        <f t="shared" si="2215"/>
        <v>3133</v>
      </c>
      <c r="CI1231" s="46">
        <f t="shared" si="2224"/>
        <v>3132.7268126976692</v>
      </c>
      <c r="CJ1231" s="231">
        <f t="shared" si="2216"/>
        <v>8.8633471017611676</v>
      </c>
      <c r="CK1231" s="443">
        <v>0.96969696969696972</v>
      </c>
      <c r="CL1231" s="231">
        <f>+CL1228*CK1231+CJ1229*CK1230+CJ1230*CK1228+CJ1231</f>
        <v>1467.9746783425551</v>
      </c>
      <c r="CM1231" s="134">
        <f t="shared" si="2217"/>
        <v>-3.9445675985379713E-3</v>
      </c>
      <c r="CN1231" s="135">
        <f t="shared" si="2218"/>
        <v>9.950834918303713E-3</v>
      </c>
      <c r="CO1231" s="135">
        <f>+(CN1231+CN1230+CN1229)/3</f>
        <v>1.0013392909072759E-2</v>
      </c>
      <c r="CP1231" s="134">
        <f>VLOOKUP($H1231,RoR!$E:$F,2,FALSE)</f>
        <v>7.0824999999999999E-2</v>
      </c>
      <c r="CQ1231" s="135">
        <v>2.2454495382290052E-2</v>
      </c>
      <c r="CR1231" s="135">
        <f t="shared" si="2225"/>
        <v>4.8370504617709947E-2</v>
      </c>
      <c r="CS1231" s="135">
        <f>+$CR$2-CO1231</f>
        <v>2.0888548699460864E-2</v>
      </c>
      <c r="CT1231" s="135">
        <f>+((DF1229/DF1228-1)+(DF1230/DF1229-1)+(DF1231/DF1230-1))/3</f>
        <v>2.3947275901631187E-2</v>
      </c>
      <c r="CU1231" s="139">
        <f t="shared" si="2219"/>
        <v>0.85607</v>
      </c>
      <c r="CV1231" s="335">
        <f t="shared" si="2220"/>
        <v>0.72406708481540816</v>
      </c>
      <c r="CW1231" s="335">
        <f t="shared" si="2221"/>
        <v>0.62201729615248857</v>
      </c>
      <c r="CX1231" s="335">
        <f t="shared" si="2222"/>
        <v>0.9352469954311422</v>
      </c>
      <c r="CY1231" s="335">
        <f t="shared" si="2223"/>
        <v>0.42121864641655071</v>
      </c>
      <c r="CZ1231" s="336">
        <f>INDEX('State Tax Lookup'!$D$7:$Z$91,MATCH(Calculation!$C1231,'State Tax Lookup'!$B$7:$B$91,0),MATCH($H1231,'State Tax Lookup'!$D$6:$Z$6,0))</f>
        <v>0.38900000000000001</v>
      </c>
      <c r="DA1231" s="302">
        <v>0.37</v>
      </c>
      <c r="DB1231" s="57">
        <f t="shared" ref="DB1231:DB1252" si="2226">+(DF1231*CS1231-CT1231)*CU1231/(1-CZ1231)</f>
        <v>10.310747420709831</v>
      </c>
      <c r="DC1231" s="56"/>
      <c r="DD1231" s="303">
        <f>VLOOKUP($H1231,RoR!$E:$F,2,FALSE)</f>
        <v>7.0824999999999999E-2</v>
      </c>
      <c r="DE1231" s="304">
        <f>HLOOKUP($H1231,'GDP-PI'!$D$8:$CQ$11,3,FALSE)</f>
        <v>2.2454495382290052E-2</v>
      </c>
      <c r="DF1231" s="303">
        <f>VLOOKUP(H1231,'HW Dx Data'!$E:$F,2,FALSE)</f>
        <v>353.44738017483138</v>
      </c>
      <c r="DG1231" s="364"/>
      <c r="DH1231" s="364"/>
      <c r="DI1231" s="364"/>
      <c r="DJ1231" s="56"/>
      <c r="DK1231" s="53">
        <f>HLOOKUP(H1231,'GDP-PI'!$8:$9,2,FALSE)</f>
        <v>79.822000000000003</v>
      </c>
      <c r="DL1231" s="298"/>
    </row>
    <row r="1232" spans="1:116" s="126" customFormat="1" ht="21" customHeight="1" x14ac:dyDescent="0.4">
      <c r="A1232" s="233" t="s">
        <v>254</v>
      </c>
      <c r="B1232" s="126" t="s">
        <v>254</v>
      </c>
      <c r="C1232" s="126">
        <v>4063762</v>
      </c>
      <c r="D1232" s="127" t="s">
        <v>255</v>
      </c>
      <c r="E1232" s="127"/>
      <c r="F1232" s="144"/>
      <c r="G1232" s="126" t="s">
        <v>158</v>
      </c>
      <c r="H1232" s="128">
        <v>2002</v>
      </c>
      <c r="I1232" s="129"/>
      <c r="J1232" s="125"/>
      <c r="K1232" s="125"/>
      <c r="L1232" s="47"/>
      <c r="M1232" s="125"/>
      <c r="N1232" s="125"/>
      <c r="O1232" s="125"/>
      <c r="P1232" s="47"/>
      <c r="Q1232" s="47"/>
      <c r="R1232" s="386"/>
      <c r="S1232" s="119"/>
      <c r="T1232" s="47"/>
      <c r="U1232" s="47"/>
      <c r="V1232" s="125"/>
      <c r="W1232" s="125"/>
      <c r="X1232" s="125"/>
      <c r="Y1232" s="125"/>
      <c r="Z1232" s="125"/>
      <c r="AA1232" s="125"/>
      <c r="AB1232" s="125"/>
      <c r="AC1232" s="125">
        <f t="shared" si="2213"/>
        <v>15124.646665534505</v>
      </c>
      <c r="AD1232" s="129"/>
      <c r="AE1232" s="133">
        <v>1496.5498597628573</v>
      </c>
      <c r="AF1232" s="134">
        <v>4.8075101740946086E-3</v>
      </c>
      <c r="AG1232" s="61"/>
      <c r="AH1232" s="134"/>
      <c r="AI1232" s="134"/>
      <c r="AJ1232" s="129">
        <f t="shared" si="2138"/>
        <v>15124.646665534505</v>
      </c>
      <c r="AK1232" s="134"/>
      <c r="AL1232" s="129"/>
      <c r="AM1232" s="129"/>
      <c r="AN1232" s="129"/>
      <c r="AO1232" s="129"/>
      <c r="AP1232" s="133"/>
      <c r="AQ1232" s="134"/>
      <c r="AR1232" s="93"/>
      <c r="AS1232" s="93"/>
      <c r="AT1232" s="93"/>
      <c r="AU1232" s="93"/>
      <c r="AV1232" s="93"/>
      <c r="AW1232" s="134"/>
      <c r="AX1232" s="93"/>
      <c r="AY1232" s="93"/>
      <c r="AZ1232" s="93"/>
      <c r="BA1232" s="93"/>
      <c r="BB1232" s="234">
        <f>IFERROR(INDEX('Total Customers'!$E$7:$AA$91,MATCH($C1232,'Total Customers'!$C$7:$C$91,0),MATCH($G1232,'Total Customers'!$E$5:$AA$5,0)),"NA")</f>
        <v>245488</v>
      </c>
      <c r="BC1232" s="269">
        <f t="shared" si="2209"/>
        <v>3.68559821684157E-2</v>
      </c>
      <c r="BD1232" s="92"/>
      <c r="BE1232" s="299" t="str">
        <f t="shared" si="2205"/>
        <v>VIRGINIA NATURAL GAS, INC.</v>
      </c>
      <c r="BF1232" s="300">
        <f t="shared" si="2206"/>
        <v>4063762</v>
      </c>
      <c r="BG1232" s="231" t="str">
        <f t="shared" si="2207"/>
        <v>VA</v>
      </c>
      <c r="BH1232" s="231"/>
      <c r="BI1232" s="231" t="str">
        <f t="shared" si="2208"/>
        <v>2002 Y</v>
      </c>
      <c r="BJ1232" s="129"/>
      <c r="BK1232" s="129"/>
      <c r="BL1232" s="129">
        <f>INDEX('Dist. Plant Gas Additions'!$E$7:$AD$91,MATCH($C1232,'Dist. Plant Gas Additions'!$C$7:$C$91,0),MATCH(Calculation!$G1232,'Dist. Plant Gas Additions'!$E$5:$AD$5,0))</f>
        <v>4520</v>
      </c>
      <c r="BM1232" s="129">
        <f>INDEX('Gen. Plant Additions'!$E$7:$AD$91,MATCH($C1232,'Gen. Plant Additions'!$C$7:$C$91,0),MATCH(Calculation!$G1232,'Gen. Plant Additions'!$E$5:$AD$5,0))</f>
        <v>1174</v>
      </c>
      <c r="BN1232" s="301">
        <f t="shared" si="2214"/>
        <v>0.95300028352707689</v>
      </c>
      <c r="BO1232" s="231">
        <f t="shared" si="2203"/>
        <v>1118.8223328607883</v>
      </c>
      <c r="BP1232" s="231">
        <f t="shared" si="2204"/>
        <v>-55.177667139211735</v>
      </c>
      <c r="BQ1232" s="129">
        <f>INDEX('Dist Plant Depreciation'!$D$7:$AC$94,MATCH($C1232,'Dist Plant Depreciation'!$C$7:$C$94,0),MATCH(Calculation!$G1232,'Dist Plant Depreciation'!$D$5:$AC$5,0))</f>
        <v>136878</v>
      </c>
      <c r="BR1232" s="129">
        <f>INDEX('Gen. Plant Depreciation'!$D$7:$AC$94,MATCH($C1232,'Gen. Plant Depreciation'!$C$7:$C$94,0),MATCH(Calculation!$G1232,'Gen. Plant Depreciation'!$D$5:$AC$5,0))</f>
        <v>7902</v>
      </c>
      <c r="BS1232" s="129"/>
      <c r="BT1232" s="129"/>
      <c r="BU1232" s="129"/>
      <c r="BV1232" s="129"/>
      <c r="BW1232" s="129"/>
      <c r="BX1232" s="137"/>
      <c r="BY1232" s="129">
        <f>INDEX('Gross Dx Plant'!$D$7:$AC$91,MATCH($C1232,'Gross Dx Plant'!$C$7:$C$91,0),MATCH(Calculation!$G1232,'Gross Dx Plant'!$D$5:$AC$5,0))</f>
        <v>420154</v>
      </c>
      <c r="BZ1232" s="129">
        <f>INDEX('Gross Gen Plant'!$D$7:$AC$91,MATCH($C1232,'Gross Gen Plant'!$C$7:$C$91,0),MATCH(Calculation!$G1232,'Gross Gen Plant'!$D$5:$AC$5,0))</f>
        <v>20721</v>
      </c>
      <c r="CA1232" s="129">
        <f t="shared" si="2162"/>
        <v>296095</v>
      </c>
      <c r="CB1232" s="129"/>
      <c r="CC1232" s="133">
        <v>2002</v>
      </c>
      <c r="CD1232" s="129"/>
      <c r="CE1232" s="129"/>
      <c r="CF1232" s="129"/>
      <c r="CG1232" s="137"/>
      <c r="CH1232" s="129">
        <f t="shared" si="2215"/>
        <v>5694</v>
      </c>
      <c r="CI1232" s="46">
        <f t="shared" si="2224"/>
        <v>5638.8223328607883</v>
      </c>
      <c r="CJ1232" s="231">
        <f t="shared" si="2216"/>
        <v>15.604956293066074</v>
      </c>
      <c r="CK1232" s="443">
        <v>0.95918367346938771</v>
      </c>
      <c r="CL1232" s="231">
        <f>+CL1228*CK1232+CJ1229*CK1231+CJ1230*CK1230+CJ1231*CK1229+CJ1232</f>
        <v>1466.9828810131348</v>
      </c>
      <c r="CM1232" s="134">
        <f t="shared" si="2217"/>
        <v>-6.7585124971295907E-4</v>
      </c>
      <c r="CN1232" s="135">
        <f t="shared" si="2218"/>
        <v>1.1305885494717938E-2</v>
      </c>
      <c r="CO1232" s="135">
        <f t="shared" ref="CO1232:CO1252" si="2227">+(CN1232+CN1231+CN1230)/3</f>
        <v>1.0481691374308799E-2</v>
      </c>
      <c r="CP1232" s="134">
        <f>VLOOKUP($H1232,RoR!$E:$F,2,FALSE)</f>
        <v>6.4916666666666664E-2</v>
      </c>
      <c r="CQ1232" s="135">
        <v>1.5246423291824351E-2</v>
      </c>
      <c r="CR1232" s="135">
        <f t="shared" si="2225"/>
        <v>4.9670243374842313E-2</v>
      </c>
      <c r="CS1232" s="135">
        <f t="shared" ref="CS1232:CS1252" si="2228">+$CR$2-CO1232</f>
        <v>2.0420250234224828E-2</v>
      </c>
      <c r="CT1232" s="135">
        <f t="shared" ref="CT1232:CT1252" si="2229">+((DF1230/DF1229-1)+(DF1231/DF1230-1)+(DF1232/DF1231-1))/3</f>
        <v>2.5243621214759093E-2</v>
      </c>
      <c r="CU1232" s="139">
        <f t="shared" si="2219"/>
        <v>0.85607</v>
      </c>
      <c r="CV1232" s="335">
        <f t="shared" si="2220"/>
        <v>0.78996741384417901</v>
      </c>
      <c r="CW1232" s="335">
        <f t="shared" si="2221"/>
        <v>0.58989088575096271</v>
      </c>
      <c r="CX1232" s="335">
        <f t="shared" si="2222"/>
        <v>0.91920675783645744</v>
      </c>
      <c r="CY1232" s="335">
        <f t="shared" si="2223"/>
        <v>0.42834536472275586</v>
      </c>
      <c r="CZ1232" s="336">
        <f>INDEX('State Tax Lookup'!$D$7:$Z$91,MATCH(Calculation!$C1232,'State Tax Lookup'!$B$7:$B$91,0),MATCH($H1232,'State Tax Lookup'!$D$6:$Z$6,0))</f>
        <v>0.38900000000000001</v>
      </c>
      <c r="DA1232" s="302">
        <v>0.37</v>
      </c>
      <c r="DB1232" s="57">
        <f t="shared" si="2226"/>
        <v>10.303070542477801</v>
      </c>
      <c r="DC1232" s="56">
        <f t="shared" ref="DC1232:DC1250" si="2230">LN(DB1232/DB1231)</f>
        <v>-7.448284059408133E-4</v>
      </c>
      <c r="DD1232" s="303">
        <f>VLOOKUP($H1232,RoR!$E:$F,2,FALSE)</f>
        <v>6.4916666666666664E-2</v>
      </c>
      <c r="DE1232" s="304">
        <f>HLOOKUP($H1232,'GDP-PI'!$D$8:$CQ$11,3,FALSE)</f>
        <v>1.5246423291824351E-2</v>
      </c>
      <c r="DF1232" s="303">
        <f>VLOOKUP(H1232,'HW Dx Data'!$E:$F,2,FALSE)</f>
        <v>361.34816573413599</v>
      </c>
      <c r="DG1232" s="364"/>
      <c r="DH1232" s="364"/>
      <c r="DI1232" s="364"/>
      <c r="DJ1232" s="56"/>
      <c r="DK1232" s="53">
        <f>HLOOKUP(H1232,'GDP-PI'!$8:$9,2,FALSE)</f>
        <v>81.039000000000001</v>
      </c>
      <c r="DL1232" s="355">
        <f>LN(DK1232/DK1231)</f>
        <v>1.513136459537477E-2</v>
      </c>
    </row>
    <row r="1233" spans="1:116" s="126" customFormat="1" ht="21" customHeight="1" x14ac:dyDescent="0.4">
      <c r="A1233" s="233" t="s">
        <v>254</v>
      </c>
      <c r="B1233" s="126" t="s">
        <v>254</v>
      </c>
      <c r="C1233" s="126">
        <v>4063762</v>
      </c>
      <c r="D1233" s="127" t="s">
        <v>255</v>
      </c>
      <c r="E1233" s="127"/>
      <c r="F1233" s="144"/>
      <c r="G1233" s="126" t="s">
        <v>159</v>
      </c>
      <c r="H1233" s="128">
        <v>2003</v>
      </c>
      <c r="I1233" s="129"/>
      <c r="J1233" s="125"/>
      <c r="K1233" s="125"/>
      <c r="L1233" s="47"/>
      <c r="M1233" s="125"/>
      <c r="N1233" s="125"/>
      <c r="O1233" s="125"/>
      <c r="P1233" s="59"/>
      <c r="Q1233" s="59"/>
      <c r="R1233" s="386"/>
      <c r="S1233" s="119"/>
      <c r="T1233" s="59"/>
      <c r="U1233" s="59"/>
      <c r="V1233" s="125"/>
      <c r="W1233" s="125"/>
      <c r="X1233" s="125"/>
      <c r="Y1233" s="125"/>
      <c r="Z1233" s="125"/>
      <c r="AA1233" s="125"/>
      <c r="AB1233" s="125"/>
      <c r="AC1233" s="125">
        <f t="shared" si="2213"/>
        <v>15217.683221624618</v>
      </c>
      <c r="AD1233" s="129"/>
      <c r="AE1233" s="133">
        <v>1566.3471606628696</v>
      </c>
      <c r="AF1233" s="134">
        <v>4.5583893908359388E-2</v>
      </c>
      <c r="AG1233" s="61"/>
      <c r="AH1233" s="134"/>
      <c r="AI1233" s="134"/>
      <c r="AJ1233" s="129">
        <f t="shared" si="2138"/>
        <v>15217.683221624618</v>
      </c>
      <c r="AK1233" s="134"/>
      <c r="AL1233" s="129"/>
      <c r="AM1233" s="129"/>
      <c r="AN1233" s="129"/>
      <c r="AO1233" s="129"/>
      <c r="AP1233" s="133"/>
      <c r="AQ1233" s="134"/>
      <c r="AR1233" s="93"/>
      <c r="AS1233" s="93"/>
      <c r="AT1233" s="93"/>
      <c r="AU1233" s="93"/>
      <c r="AV1233" s="93"/>
      <c r="AW1233" s="134"/>
      <c r="AX1233" s="93"/>
      <c r="AY1233" s="93"/>
      <c r="AZ1233" s="93"/>
      <c r="BA1233" s="93"/>
      <c r="BB1233" s="234">
        <f>IFERROR(INDEX('Total Customers'!$E$7:$AA$91,MATCH($C1233,'Total Customers'!$C$7:$C$91,0),MATCH($G1233,'Total Customers'!$E$5:$AA$5,0)),"NA")</f>
        <v>250971</v>
      </c>
      <c r="BC1233" s="269">
        <f t="shared" si="2209"/>
        <v>2.2089328405316931E-2</v>
      </c>
      <c r="BD1233" s="92"/>
      <c r="BE1233" s="299" t="str">
        <f t="shared" si="2205"/>
        <v>VIRGINIA NATURAL GAS, INC.</v>
      </c>
      <c r="BF1233" s="300">
        <f t="shared" si="2206"/>
        <v>4063762</v>
      </c>
      <c r="BG1233" s="231" t="str">
        <f t="shared" si="2207"/>
        <v>VA</v>
      </c>
      <c r="BH1233" s="231"/>
      <c r="BI1233" s="231" t="str">
        <f t="shared" si="2208"/>
        <v>2003 Y</v>
      </c>
      <c r="BJ1233" s="129"/>
      <c r="BK1233" s="129"/>
      <c r="BL1233" s="129">
        <f>INDEX('Dist. Plant Gas Additions'!$E$7:$AD$91,MATCH($C1233,'Dist. Plant Gas Additions'!$C$7:$C$91,0),MATCH(Calculation!$G1233,'Dist. Plant Gas Additions'!$E$5:$AD$5,0))</f>
        <v>28348</v>
      </c>
      <c r="BM1233" s="129">
        <f>INDEX('Gen. Plant Additions'!$E$7:$AD$91,MATCH($C1233,'Gen. Plant Additions'!$C$7:$C$91,0),MATCH(Calculation!$G1233,'Gen. Plant Additions'!$E$5:$AD$5,0))</f>
        <v>574</v>
      </c>
      <c r="BN1233" s="301">
        <f t="shared" si="2214"/>
        <v>0.95458072713473785</v>
      </c>
      <c r="BO1233" s="231">
        <f t="shared" si="2203"/>
        <v>547.92933737533951</v>
      </c>
      <c r="BP1233" s="231">
        <f t="shared" si="2204"/>
        <v>-26.070662624660486</v>
      </c>
      <c r="BQ1233" s="129">
        <f>INDEX('Dist Plant Depreciation'!$D$7:$AC$94,MATCH($C1233,'Dist Plant Depreciation'!$C$7:$C$94,0),MATCH(Calculation!$G1233,'Dist Plant Depreciation'!$D$5:$AC$5,0))</f>
        <v>147405</v>
      </c>
      <c r="BR1233" s="129">
        <f>INDEX('Gen. Plant Depreciation'!$D$7:$AC$94,MATCH($C1233,'Gen. Plant Depreciation'!$C$7:$C$94,0),MATCH(Calculation!$G1233,'Gen. Plant Depreciation'!$D$5:$AC$5,0))</f>
        <v>9785</v>
      </c>
      <c r="BS1233" s="129"/>
      <c r="BT1233" s="129"/>
      <c r="BU1233" s="129"/>
      <c r="BV1233" s="129"/>
      <c r="BW1233" s="129"/>
      <c r="BX1233" s="137"/>
      <c r="BY1233" s="129">
        <f>INDEX('Gross Dx Plant'!$D$7:$AC$91,MATCH($C1233,'Gross Dx Plant'!$C$7:$C$91,0),MATCH(Calculation!$G1233,'Gross Dx Plant'!$D$5:$AC$5,0))</f>
        <v>447769</v>
      </c>
      <c r="BZ1233" s="129">
        <f>INDEX('Gross Gen Plant'!$D$7:$AC$91,MATCH($C1233,'Gross Gen Plant'!$C$7:$C$91,0),MATCH(Calculation!$G1233,'Gross Gen Plant'!$D$5:$AC$5,0))</f>
        <v>21305</v>
      </c>
      <c r="CA1233" s="129">
        <f t="shared" si="2162"/>
        <v>311884</v>
      </c>
      <c r="CB1233" s="129"/>
      <c r="CC1233" s="133">
        <v>2003</v>
      </c>
      <c r="CD1233" s="129"/>
      <c r="CE1233" s="129"/>
      <c r="CF1233" s="129"/>
      <c r="CG1233" s="137"/>
      <c r="CH1233" s="129">
        <f t="shared" si="2215"/>
        <v>28922</v>
      </c>
      <c r="CI1233" s="46">
        <f t="shared" si="2224"/>
        <v>28895.929337375339</v>
      </c>
      <c r="CJ1233" s="231">
        <f t="shared" si="2216"/>
        <v>78.259333483186055</v>
      </c>
      <c r="CK1233" s="443">
        <v>0.94845360824742264</v>
      </c>
      <c r="CL1233" s="231">
        <f>+CL1228*CK1233+CJ1229*CK1232+CJ1230*CK1231+CJ1231*CK1230+CJ1232*CK1229+CJ1233</f>
        <v>1528.9296286058116</v>
      </c>
      <c r="CM1233" s="134">
        <f t="shared" si="2217"/>
        <v>4.1360071722745924E-2</v>
      </c>
      <c r="CN1233" s="135">
        <f t="shared" si="2218"/>
        <v>1.1119820211701072E-2</v>
      </c>
      <c r="CO1233" s="135">
        <f t="shared" si="2227"/>
        <v>1.0792180208240909E-2</v>
      </c>
      <c r="CP1233" s="134">
        <f>VLOOKUP($H1233,RoR!$E:$F,2,FALSE)</f>
        <v>5.6666666666666671E-2</v>
      </c>
      <c r="CQ1233" s="135">
        <v>1.8855119140166909E-2</v>
      </c>
      <c r="CR1233" s="135">
        <f t="shared" si="2225"/>
        <v>3.7811547526499761E-2</v>
      </c>
      <c r="CS1233" s="135">
        <f t="shared" si="2228"/>
        <v>2.0109761400292716E-2</v>
      </c>
      <c r="CT1233" s="135">
        <f t="shared" si="2229"/>
        <v>2.1375012817671957E-2</v>
      </c>
      <c r="CU1233" s="139">
        <f t="shared" si="2219"/>
        <v>0.85607</v>
      </c>
      <c r="CV1233" s="335">
        <f t="shared" si="2220"/>
        <v>0.90497737556561086</v>
      </c>
      <c r="CW1233" s="335">
        <f t="shared" si="2221"/>
        <v>0.5338235294117647</v>
      </c>
      <c r="CX1233" s="335">
        <f t="shared" si="2222"/>
        <v>0.88972433127405692</v>
      </c>
      <c r="CY1233" s="335">
        <f t="shared" si="2223"/>
        <v>0.42982423775949252</v>
      </c>
      <c r="CZ1233" s="336">
        <f>INDEX('State Tax Lookup'!$D$7:$Z$91,MATCH(Calculation!$C1233,'State Tax Lookup'!$B$7:$B$91,0),MATCH($H1233,'State Tax Lookup'!$D$6:$Z$6,0))</f>
        <v>0.38900000000000001</v>
      </c>
      <c r="DA1233" s="302">
        <v>0.37</v>
      </c>
      <c r="DB1233" s="57">
        <f t="shared" si="2226"/>
        <v>10.37345658124852</v>
      </c>
      <c r="DC1233" s="56">
        <f t="shared" si="2230"/>
        <v>6.8083300677234315E-3</v>
      </c>
      <c r="DD1233" s="303">
        <f>VLOOKUP($H1233,RoR!$E:$F,2,FALSE)</f>
        <v>5.6666666666666671E-2</v>
      </c>
      <c r="DE1233" s="304">
        <f>HLOOKUP($H1233,'GDP-PI'!$D$8:$CQ$11,3,FALSE)</f>
        <v>1.8855119140166909E-2</v>
      </c>
      <c r="DF1233" s="303">
        <f>VLOOKUP(H1233,'HW Dx Data'!$E:$F,2,FALSE)</f>
        <v>369.23301095560191</v>
      </c>
      <c r="DG1233" s="364">
        <f ca="1">VLOOKUP(CC1233,'ECI - Input Price'!M$13:N$33,2,FALSE)</f>
        <v>89.25</v>
      </c>
      <c r="DH1233" s="364"/>
      <c r="DI1233" s="364"/>
      <c r="DJ1233" s="56"/>
      <c r="DK1233" s="53">
        <f>HLOOKUP(H1233,'GDP-PI'!$8:$9,2,FALSE)</f>
        <v>82.566999999999993</v>
      </c>
      <c r="DL1233" s="355">
        <f t="shared" ref="DL1233:DL1252" si="2231">LN(DK1233/DK1232)</f>
        <v>1.8679564681853753E-2</v>
      </c>
    </row>
    <row r="1234" spans="1:116" s="126" customFormat="1" ht="21" customHeight="1" x14ac:dyDescent="0.4">
      <c r="A1234" s="233" t="s">
        <v>254</v>
      </c>
      <c r="B1234" s="126" t="s">
        <v>254</v>
      </c>
      <c r="C1234" s="126">
        <v>4063762</v>
      </c>
      <c r="D1234" s="127" t="s">
        <v>255</v>
      </c>
      <c r="E1234" s="127"/>
      <c r="F1234" s="144"/>
      <c r="G1234" s="126" t="s">
        <v>160</v>
      </c>
      <c r="H1234" s="128">
        <v>2004</v>
      </c>
      <c r="I1234" s="129"/>
      <c r="J1234" s="125">
        <f>IFERROR(INDEX('Labor Expenditures'!$E$7:$W$91,MATCH($C1234,'Labor Expenditures'!$C$7:$C$91,0),MATCH($G1234,'Labor Expenditures'!$E$5:$W$5,0)),"NA")</f>
        <v>16605.268560230274</v>
      </c>
      <c r="K1234" s="125">
        <f t="shared" ref="K1234:K1252" ca="1" si="2232">+J1234/DG1234</f>
        <v>175.99648712485717</v>
      </c>
      <c r="L1234" s="47"/>
      <c r="M1234" s="131"/>
      <c r="N1234" s="131"/>
      <c r="O1234" s="131"/>
      <c r="P1234" s="59"/>
      <c r="Q1234" s="59"/>
      <c r="R1234" s="386"/>
      <c r="S1234" s="119"/>
      <c r="T1234" s="59"/>
      <c r="U1234" s="59"/>
      <c r="V1234" s="125">
        <f>IFERROR(INDEX('Non-Labor Expenditures'!$E$7:$AA$91,MATCH($C1234,'Non-Labor Expenditures'!$C$7:$C$91,0),MATCH($G1234,'Non-Labor Expenditures'!$E$5:$AA$5,0)),"NA")</f>
        <v>24047.530311569921</v>
      </c>
      <c r="W1234" s="125">
        <f t="shared" ref="W1234:W1252" si="2233">+V1234/DK1234</f>
        <v>283.65295609202764</v>
      </c>
      <c r="X1234" s="125"/>
      <c r="Y1234" s="125"/>
      <c r="Z1234" s="125"/>
      <c r="AA1234" s="125"/>
      <c r="AB1234" s="125"/>
      <c r="AC1234" s="125">
        <f t="shared" si="2213"/>
        <v>17324.255931112664</v>
      </c>
      <c r="AD1234" s="129"/>
      <c r="AE1234" s="133">
        <v>1585.3387455138645</v>
      </c>
      <c r="AF1234" s="134">
        <v>1.205184481468833E-2</v>
      </c>
      <c r="AG1234" s="59">
        <f t="shared" ref="AG1234:AG1252" si="2234">+AF1234*$AX1234</f>
        <v>0</v>
      </c>
      <c r="AH1234" s="134"/>
      <c r="AI1234" s="134"/>
      <c r="AJ1234" s="129">
        <f t="shared" si="2138"/>
        <v>57977.054802912855</v>
      </c>
      <c r="AK1234" s="134"/>
      <c r="AL1234" s="129"/>
      <c r="AM1234" s="129"/>
      <c r="AN1234" s="129"/>
      <c r="AO1234" s="129"/>
      <c r="AP1234" s="133"/>
      <c r="AQ1234" s="134"/>
      <c r="AR1234" s="93">
        <f t="shared" ref="AR1234:AR1252" si="2235">+J1234/AJ1234</f>
        <v>0.2864110399653485</v>
      </c>
      <c r="AS1234" s="93">
        <f t="shared" ref="AS1234:AS1252" si="2236">+V1234/AJ1234</f>
        <v>0.41477668007312674</v>
      </c>
      <c r="AT1234" s="93">
        <f t="shared" ref="AT1234:AT1252" si="2237">+AC1234/AJ1234</f>
        <v>0.29881227996152482</v>
      </c>
      <c r="AU1234" s="93"/>
      <c r="AV1234" s="93"/>
      <c r="AW1234" s="134"/>
      <c r="AX1234" s="93"/>
      <c r="AY1234" s="93"/>
      <c r="AZ1234" s="93"/>
      <c r="BA1234" s="93"/>
      <c r="BB1234" s="234">
        <f>IFERROR(INDEX('Total Customers'!$E$7:$AA$91,MATCH($C1234,'Total Customers'!$C$7:$C$91,0),MATCH($G1234,'Total Customers'!$E$5:$AA$5,0)),"NA")</f>
        <v>256113</v>
      </c>
      <c r="BC1234" s="269">
        <f t="shared" si="2209"/>
        <v>2.0281358730315072E-2</v>
      </c>
      <c r="BD1234" s="92"/>
      <c r="BE1234" s="299" t="str">
        <f t="shared" si="2205"/>
        <v>VIRGINIA NATURAL GAS, INC.</v>
      </c>
      <c r="BF1234" s="300">
        <f t="shared" si="2206"/>
        <v>4063762</v>
      </c>
      <c r="BG1234" s="231" t="str">
        <f t="shared" si="2207"/>
        <v>VA</v>
      </c>
      <c r="BH1234" s="231"/>
      <c r="BI1234" s="231" t="str">
        <f t="shared" si="2208"/>
        <v>2004 Y</v>
      </c>
      <c r="BJ1234" s="129"/>
      <c r="BK1234" s="129"/>
      <c r="BL1234" s="129">
        <f>INDEX('Dist. Plant Gas Additions'!$E$7:$AD$91,MATCH($C1234,'Dist. Plant Gas Additions'!$C$7:$C$91,0),MATCH(Calculation!$G1234,'Dist. Plant Gas Additions'!$E$5:$AD$5,0))</f>
        <v>10745</v>
      </c>
      <c r="BM1234" s="129">
        <f>INDEX('Gen. Plant Additions'!$E$7:$AD$91,MATCH($C1234,'Gen. Plant Additions'!$C$7:$C$91,0),MATCH(Calculation!$G1234,'Gen. Plant Additions'!$E$5:$AD$5,0))</f>
        <v>950</v>
      </c>
      <c r="BN1234" s="301">
        <f t="shared" si="2214"/>
        <v>0.95444745123643537</v>
      </c>
      <c r="BO1234" s="231">
        <f t="shared" si="2203"/>
        <v>906.72507867461366</v>
      </c>
      <c r="BP1234" s="231">
        <f t="shared" si="2204"/>
        <v>-43.274921325386345</v>
      </c>
      <c r="BQ1234" s="129">
        <f>INDEX('Dist Plant Depreciation'!$D$7:$AC$94,MATCH($C1234,'Dist Plant Depreciation'!$C$7:$C$94,0),MATCH(Calculation!$G1234,'Dist Plant Depreciation'!$D$5:$AC$5,0))</f>
        <v>154445</v>
      </c>
      <c r="BR1234" s="129">
        <f>INDEX('Gen. Plant Depreciation'!$D$7:$AC$94,MATCH($C1234,'Gen. Plant Depreciation'!$C$7:$C$94,0),MATCH(Calculation!$G1234,'Gen. Plant Depreciation'!$D$5:$AC$5,0))</f>
        <v>11127</v>
      </c>
      <c r="BS1234" s="129"/>
      <c r="BT1234" s="129"/>
      <c r="BU1234" s="129"/>
      <c r="BV1234" s="129"/>
      <c r="BW1234" s="129"/>
      <c r="BX1234" s="137"/>
      <c r="BY1234" s="129">
        <f>INDEX('Gross Dx Plant'!$D$7:$AC$91,MATCH($C1234,'Gross Dx Plant'!$C$7:$C$91,0),MATCH(Calculation!$G1234,'Gross Dx Plant'!$D$5:$AC$5,0))</f>
        <v>454631</v>
      </c>
      <c r="BZ1234" s="129">
        <f>INDEX('Gross Gen Plant'!$D$7:$AC$91,MATCH($C1234,'Gross Gen Plant'!$C$7:$C$91,0),MATCH(Calculation!$G1234,'Gross Gen Plant'!$D$5:$AC$5,0))</f>
        <v>21698</v>
      </c>
      <c r="CA1234" s="129">
        <f t="shared" si="2162"/>
        <v>310757</v>
      </c>
      <c r="CB1234" s="129"/>
      <c r="CC1234" s="133">
        <v>2004</v>
      </c>
      <c r="CD1234" s="129"/>
      <c r="CE1234" s="129"/>
      <c r="CF1234" s="129"/>
      <c r="CG1234" s="137"/>
      <c r="CH1234" s="129">
        <f t="shared" si="2215"/>
        <v>11695</v>
      </c>
      <c r="CI1234" s="46">
        <f t="shared" si="2224"/>
        <v>11651.725078674614</v>
      </c>
      <c r="CJ1234" s="231">
        <f t="shared" si="2216"/>
        <v>28.084080013887561</v>
      </c>
      <c r="CK1234" s="443">
        <v>0.9375</v>
      </c>
      <c r="CL1234" s="231">
        <f>+CL1228*CK1234+CJ1229*CK1233+CJ1230*CK1232+CJ1231*CK1231+CJ1232*CK1230+CJ1233*CK1229+CJ1234</f>
        <v>1539.5870799456334</v>
      </c>
      <c r="CM1234" s="134">
        <f t="shared" si="2217"/>
        <v>6.9463491357182128E-3</v>
      </c>
      <c r="CN1234" s="135">
        <f t="shared" si="2218"/>
        <v>1.1397927247937893E-2</v>
      </c>
      <c r="CO1234" s="135">
        <f t="shared" si="2227"/>
        <v>1.1274544318118968E-2</v>
      </c>
      <c r="CP1234" s="134">
        <f>VLOOKUP($H1234,RoR!$E:$F,2,FALSE)</f>
        <v>5.6283333333333331E-2</v>
      </c>
      <c r="CQ1234" s="135">
        <v>2.6778252812867276E-2</v>
      </c>
      <c r="CR1234" s="135">
        <f t="shared" si="2225"/>
        <v>2.9505080520466055E-2</v>
      </c>
      <c r="CS1234" s="135">
        <f t="shared" si="2228"/>
        <v>1.9627397290414655E-2</v>
      </c>
      <c r="CT1234" s="135">
        <f t="shared" si="2229"/>
        <v>5.5940039414565046E-2</v>
      </c>
      <c r="CU1234" s="139">
        <f t="shared" si="2219"/>
        <v>0.85607</v>
      </c>
      <c r="CV1234" s="335">
        <f t="shared" si="2220"/>
        <v>0.91114097628755619</v>
      </c>
      <c r="CW1234" s="335">
        <f t="shared" si="2221"/>
        <v>0.53081877405981637</v>
      </c>
      <c r="CX1234" s="335">
        <f t="shared" si="2222"/>
        <v>0.88811215519385678</v>
      </c>
      <c r="CY1234" s="335">
        <f t="shared" si="2223"/>
        <v>0.42953609753547711</v>
      </c>
      <c r="CZ1234" s="336">
        <f>INDEX('State Tax Lookup'!$D$7:$Z$91,MATCH(Calculation!$C1234,'State Tax Lookup'!$B$7:$B$91,0),MATCH($H1234,'State Tax Lookup'!$D$6:$Z$6,0))</f>
        <v>0.38900000000000001</v>
      </c>
      <c r="DA1234" s="302">
        <v>0.37</v>
      </c>
      <c r="DB1234" s="57">
        <f t="shared" si="2226"/>
        <v>11.330970115943252</v>
      </c>
      <c r="DC1234" s="56">
        <f t="shared" si="2230"/>
        <v>8.8289403226169641E-2</v>
      </c>
      <c r="DD1234" s="303">
        <f>VLOOKUP($H1234,RoR!$E:$F,2,FALSE)</f>
        <v>5.6283333333333331E-2</v>
      </c>
      <c r="DE1234" s="304">
        <f>HLOOKUP($H1234,'GDP-PI'!$D$8:$CQ$11,3,FALSE)</f>
        <v>2.6778252812867276E-2</v>
      </c>
      <c r="DF1234" s="303">
        <f>VLOOKUP(H1234,'HW Dx Data'!$E:$F,2,FALSE)</f>
        <v>414.88719135228365</v>
      </c>
      <c r="DG1234" s="364">
        <f ca="1">VLOOKUP(CC1234,'ECI - Input Price'!M$13:N$33,2,FALSE)</f>
        <v>94.35</v>
      </c>
      <c r="DH1234" s="364"/>
      <c r="DI1234" s="364"/>
      <c r="DJ1234" s="56">
        <f t="shared" ref="DJ1234:DJ1252" ca="1" si="2238">LN(DG1234/DG1233)</f>
        <v>5.5569851154810786E-2</v>
      </c>
      <c r="DK1234" s="53">
        <f>HLOOKUP(H1234,'GDP-PI'!$8:$9,2,FALSE)</f>
        <v>84.778000000000006</v>
      </c>
      <c r="DL1234" s="355">
        <f t="shared" si="2231"/>
        <v>2.6425990216022755E-2</v>
      </c>
    </row>
    <row r="1235" spans="1:116" s="126" customFormat="1" ht="21" customHeight="1" x14ac:dyDescent="0.4">
      <c r="A1235" s="233" t="s">
        <v>254</v>
      </c>
      <c r="B1235" s="126" t="s">
        <v>254</v>
      </c>
      <c r="C1235" s="126">
        <v>4063762</v>
      </c>
      <c r="D1235" s="127" t="s">
        <v>255</v>
      </c>
      <c r="E1235" s="127"/>
      <c r="F1235" s="144"/>
      <c r="G1235" s="126" t="s">
        <v>161</v>
      </c>
      <c r="H1235" s="128">
        <v>2005</v>
      </c>
      <c r="I1235" s="129"/>
      <c r="J1235" s="125">
        <f>IFERROR(INDEX('Labor Expenditures'!$E$7:$W$91,MATCH($C1235,'Labor Expenditures'!$C$7:$C$91,0),MATCH($G1235,'Labor Expenditures'!$E$5:$W$5,0)),"NA")</f>
        <v>17465.8674014684</v>
      </c>
      <c r="K1235" s="125">
        <f t="shared" ca="1" si="2232"/>
        <v>176.02285111079266</v>
      </c>
      <c r="L1235" s="47"/>
      <c r="M1235" s="131">
        <f t="shared" ref="M1235:M1251" ca="1" si="2239">LN(K1235/K1234)</f>
        <v>1.4978714588199189E-4</v>
      </c>
      <c r="N1235" s="131"/>
      <c r="O1235" s="131"/>
      <c r="P1235" s="59"/>
      <c r="Q1235" s="61"/>
      <c r="R1235" s="387"/>
      <c r="S1235" s="49">
        <v>100</v>
      </c>
      <c r="T1235" s="46"/>
      <c r="U1235" s="46"/>
      <c r="V1235" s="125">
        <f>IFERROR(INDEX('Non-Labor Expenditures'!$E$7:$AA$91,MATCH($C1235,'Non-Labor Expenditures'!$C$7:$C$91,0),MATCH($G1235,'Non-Labor Expenditures'!$E$5:$AA$5,0)),"NA")</f>
        <v>25293.838171374198</v>
      </c>
      <c r="W1235" s="125">
        <f t="shared" si="2233"/>
        <v>289.3800058504948</v>
      </c>
      <c r="X1235" s="131">
        <f>LN(W1235/W1234)</f>
        <v>1.9989218189718126E-2</v>
      </c>
      <c r="Y1235" s="131"/>
      <c r="Z1235" s="131"/>
      <c r="AA1235" s="131"/>
      <c r="AB1235" s="131"/>
      <c r="AC1235" s="125">
        <f t="shared" si="2213"/>
        <v>19521.253779607156</v>
      </c>
      <c r="AD1235" s="129"/>
      <c r="AE1235" s="133">
        <v>1616.8843894325564</v>
      </c>
      <c r="AF1235" s="134">
        <v>1.9702977027800207E-2</v>
      </c>
      <c r="AG1235" s="59">
        <f t="shared" si="2234"/>
        <v>0</v>
      </c>
      <c r="AH1235" s="134"/>
      <c r="AI1235" s="134"/>
      <c r="AJ1235" s="129">
        <f t="shared" si="2138"/>
        <v>62280.959352449754</v>
      </c>
      <c r="AK1235" s="134">
        <f>LN(AJ1235/AJ1234)</f>
        <v>7.1608425280888705E-2</v>
      </c>
      <c r="AL1235" s="129"/>
      <c r="AM1235" s="129"/>
      <c r="AN1235" s="129"/>
      <c r="AO1235" s="129"/>
      <c r="AP1235" s="133"/>
      <c r="AQ1235" s="134"/>
      <c r="AR1235" s="93">
        <f t="shared" si="2235"/>
        <v>0.28043671104403756</v>
      </c>
      <c r="AS1235" s="93">
        <f t="shared" si="2236"/>
        <v>0.40612473594434595</v>
      </c>
      <c r="AT1235" s="93">
        <f t="shared" si="2237"/>
        <v>0.31343855301161649</v>
      </c>
      <c r="AU1235" s="93">
        <f t="shared" ref="AU1235:AU1251" ca="1" si="2240">+(((AR1235+AR1234)/2)*M1235+((AS1234+AS1235)/2)*X1235+((AT1234+AT1235)/2)*AF1235)</f>
        <v>1.427862406055825E-2</v>
      </c>
      <c r="AV1235" s="132">
        <v>100</v>
      </c>
      <c r="AW1235" s="134"/>
      <c r="AX1235" s="93"/>
      <c r="AY1235" s="93"/>
      <c r="AZ1235" s="93"/>
      <c r="BA1235" s="93"/>
      <c r="BB1235" s="234">
        <f>IFERROR(INDEX('Total Customers'!$E$7:$AA$91,MATCH($C1235,'Total Customers'!$C$7:$C$91,0),MATCH($G1235,'Total Customers'!$E$5:$AA$5,0)),"NA")</f>
        <v>266962</v>
      </c>
      <c r="BC1235" s="269">
        <f t="shared" si="2209"/>
        <v>4.1487572835638517E-2</v>
      </c>
      <c r="BD1235" s="92"/>
      <c r="BE1235" s="299" t="str">
        <f t="shared" si="2205"/>
        <v>VIRGINIA NATURAL GAS, INC.</v>
      </c>
      <c r="BF1235" s="300">
        <f t="shared" si="2206"/>
        <v>4063762</v>
      </c>
      <c r="BG1235" s="231" t="str">
        <f t="shared" si="2207"/>
        <v>VA</v>
      </c>
      <c r="BH1235" s="231"/>
      <c r="BI1235" s="231" t="str">
        <f t="shared" si="2208"/>
        <v>2005 Y</v>
      </c>
      <c r="BJ1235" s="129"/>
      <c r="BK1235" s="129"/>
      <c r="BL1235" s="129">
        <f>INDEX('Dist. Plant Gas Additions'!$E$7:$AD$91,MATCH($C1235,'Dist. Plant Gas Additions'!$C$7:$C$91,0),MATCH(Calculation!$G1235,'Dist. Plant Gas Additions'!$E$5:$AD$5,0))</f>
        <v>18001</v>
      </c>
      <c r="BM1235" s="129">
        <f>INDEX('Gen. Plant Additions'!$E$7:$AD$91,MATCH($C1235,'Gen. Plant Additions'!$C$7:$C$91,0),MATCH(Calculation!$G1235,'Gen. Plant Additions'!$E$5:$AD$5,0))</f>
        <v>1322</v>
      </c>
      <c r="BN1235" s="301">
        <f t="shared" si="2214"/>
        <v>0.97817526931191268</v>
      </c>
      <c r="BO1235" s="231">
        <f t="shared" si="2203"/>
        <v>1293.1477060303484</v>
      </c>
      <c r="BP1235" s="231">
        <f t="shared" si="2204"/>
        <v>-28.852293969651555</v>
      </c>
      <c r="BQ1235" s="129">
        <f>INDEX('Dist Plant Depreciation'!$D$7:$AC$94,MATCH($C1235,'Dist Plant Depreciation'!$C$7:$C$94,0),MATCH(Calculation!$G1235,'Dist Plant Depreciation'!$D$5:$AC$5,0))</f>
        <v>166341</v>
      </c>
      <c r="BR1235" s="129">
        <f>INDEX('Gen. Plant Depreciation'!$D$7:$AC$94,MATCH($C1235,'Gen. Plant Depreciation'!$C$7:$C$94,0),MATCH(Calculation!$G1235,'Gen. Plant Depreciation'!$D$5:$AC$5,0))</f>
        <v>1964</v>
      </c>
      <c r="BS1235" s="129"/>
      <c r="BT1235" s="129"/>
      <c r="BU1235" s="129"/>
      <c r="BV1235" s="129"/>
      <c r="BW1235" s="129"/>
      <c r="BX1235" s="137"/>
      <c r="BY1235" s="129">
        <f>INDEX('Gross Dx Plant'!$D$7:$AC$91,MATCH($C1235,'Gross Dx Plant'!$C$7:$C$91,0),MATCH(Calculation!$G1235,'Gross Dx Plant'!$D$5:$AC$5,0))</f>
        <v>471995</v>
      </c>
      <c r="BZ1235" s="129">
        <f>INDEX('Gross Gen Plant'!$D$7:$AC$91,MATCH($C1235,'Gross Gen Plant'!$C$7:$C$91,0),MATCH(Calculation!$G1235,'Gross Gen Plant'!$D$5:$AC$5,0))</f>
        <v>10531</v>
      </c>
      <c r="CA1235" s="129">
        <f t="shared" si="2162"/>
        <v>314221</v>
      </c>
      <c r="CB1235" s="129"/>
      <c r="CC1235" s="133">
        <v>2005</v>
      </c>
      <c r="CD1235" s="129"/>
      <c r="CE1235" s="129"/>
      <c r="CF1235" s="129"/>
      <c r="CG1235" s="137"/>
      <c r="CH1235" s="129">
        <f t="shared" si="2215"/>
        <v>19323</v>
      </c>
      <c r="CI1235" s="46">
        <f t="shared" si="2224"/>
        <v>19294.147706030348</v>
      </c>
      <c r="CJ1235" s="231">
        <f t="shared" si="2216"/>
        <v>41.120921419710442</v>
      </c>
      <c r="CK1235" s="443">
        <v>0.9263157894736842</v>
      </c>
      <c r="CL1235" s="231">
        <f>+CL1228*CK1235+CJ1229*CK1234+CJ1230*CK1233+CJ1231*CK1232+CJ1232*CK1231+CJ1233*CK1230+CJ1234*CK1229+CJ1235</f>
        <v>1562.6379263673475</v>
      </c>
      <c r="CM1235" s="134">
        <f t="shared" si="2217"/>
        <v>1.4861121040846071E-2</v>
      </c>
      <c r="CN1235" s="135">
        <f t="shared" si="2218"/>
        <v>1.173696196426538E-2</v>
      </c>
      <c r="CO1235" s="135">
        <f t="shared" si="2227"/>
        <v>1.1418236474634783E-2</v>
      </c>
      <c r="CP1235" s="134">
        <f>VLOOKUP($H1235,RoR!$E:$F,2,FALSE)</f>
        <v>5.2350000000000001E-2</v>
      </c>
      <c r="CQ1235" s="135">
        <v>3.1010403642454332E-2</v>
      </c>
      <c r="CR1235" s="135">
        <f t="shared" si="2225"/>
        <v>2.1339596357545669E-2</v>
      </c>
      <c r="CS1235" s="135">
        <f t="shared" si="2228"/>
        <v>1.948370513389884E-2</v>
      </c>
      <c r="CT1235" s="135">
        <f t="shared" si="2229"/>
        <v>9.2129610649277341E-2</v>
      </c>
      <c r="CU1235" s="139">
        <f t="shared" si="2219"/>
        <v>0.85607</v>
      </c>
      <c r="CV1235" s="335">
        <f t="shared" si="2220"/>
        <v>0.97959983346802826</v>
      </c>
      <c r="CW1235" s="335">
        <f t="shared" si="2221"/>
        <v>0.49744508118433622</v>
      </c>
      <c r="CX1235" s="335">
        <f t="shared" si="2222"/>
        <v>0.87010519444335932</v>
      </c>
      <c r="CY1235" s="335">
        <f t="shared" si="2223"/>
        <v>0.42399975420741998</v>
      </c>
      <c r="CZ1235" s="336">
        <f>INDEX('State Tax Lookup'!$D$7:$Z$91,MATCH(Calculation!$C1235,'State Tax Lookup'!$B$7:$B$91,0),MATCH($H1235,'State Tax Lookup'!$D$6:$Z$6,0))</f>
        <v>0.38900000000000001</v>
      </c>
      <c r="DA1235" s="302">
        <v>0.37</v>
      </c>
      <c r="DB1235" s="57">
        <f t="shared" si="2226"/>
        <v>12.67953858140749</v>
      </c>
      <c r="DC1235" s="56">
        <f t="shared" si="2230"/>
        <v>0.1124498638446353</v>
      </c>
      <c r="DD1235" s="303">
        <f>VLOOKUP($H1235,RoR!$E:$F,2,FALSE)</f>
        <v>5.2350000000000001E-2</v>
      </c>
      <c r="DE1235" s="304">
        <f>HLOOKUP($H1235,'GDP-PI'!$D$8:$CQ$11,3,FALSE)</f>
        <v>3.1010403642454332E-2</v>
      </c>
      <c r="DF1235" s="303">
        <f>VLOOKUP(H1235,'HW Dx Data'!$E:$F,2,FALSE)</f>
        <v>469.20514034936258</v>
      </c>
      <c r="DG1235" s="364">
        <f ca="1">VLOOKUP(CC1235,'ECI - Input Price'!M$13:N$33,2,FALSE)</f>
        <v>99.224999999999994</v>
      </c>
      <c r="DH1235" s="364"/>
      <c r="DI1235" s="364"/>
      <c r="DJ1235" s="56">
        <f t="shared" ca="1" si="2238"/>
        <v>5.0378726854569796E-2</v>
      </c>
      <c r="DK1235" s="53">
        <f>HLOOKUP(H1235,'GDP-PI'!$8:$9,2,FALSE)</f>
        <v>87.406999999999996</v>
      </c>
      <c r="DL1235" s="355">
        <f t="shared" si="2231"/>
        <v>3.0539295810733648E-2</v>
      </c>
    </row>
    <row r="1236" spans="1:116" s="126" customFormat="1" ht="21" customHeight="1" x14ac:dyDescent="0.4">
      <c r="A1236" s="233" t="s">
        <v>254</v>
      </c>
      <c r="B1236" s="126" t="s">
        <v>254</v>
      </c>
      <c r="C1236" s="126">
        <v>4063762</v>
      </c>
      <c r="D1236" s="127" t="s">
        <v>255</v>
      </c>
      <c r="E1236" s="127"/>
      <c r="F1236" s="144"/>
      <c r="G1236" s="126" t="s">
        <v>162</v>
      </c>
      <c r="H1236" s="128">
        <v>2006</v>
      </c>
      <c r="I1236" s="129"/>
      <c r="J1236" s="125">
        <f>IFERROR(INDEX('Labor Expenditures'!$E$7:$W$91,MATCH($C1236,'Labor Expenditures'!$C$7:$C$91,0),MATCH($G1236,'Labor Expenditures'!$E$5:$W$5,0)),"NA")</f>
        <v>16666.619401222215</v>
      </c>
      <c r="K1236" s="125">
        <f t="shared" ca="1" si="2232"/>
        <v>152.34569836583375</v>
      </c>
      <c r="L1236" s="47"/>
      <c r="M1236" s="131">
        <f t="shared" ca="1" si="2239"/>
        <v>-0.14446155264337876</v>
      </c>
      <c r="N1236" s="131"/>
      <c r="O1236" s="131"/>
      <c r="P1236" s="59">
        <f t="shared" ref="P1236:P1252" ca="1" si="2241">+M1236*$AX1236</f>
        <v>0</v>
      </c>
      <c r="Q1236" s="61"/>
      <c r="R1236" s="387"/>
      <c r="S1236" s="49">
        <f ca="1">+S1235*EXP(T1236)</f>
        <v>115.60049427875452</v>
      </c>
      <c r="T1236" s="61">
        <f ca="1">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</f>
        <v>0.14497004600881738</v>
      </c>
      <c r="U1236" s="61"/>
      <c r="V1236" s="125">
        <f>IFERROR(INDEX('Non-Labor Expenditures'!$E$7:$AA$91,MATCH($C1236,'Non-Labor Expenditures'!$C$7:$C$91,0),MATCH($G1236,'Non-Labor Expenditures'!$E$5:$AA$5,0)),"NA")</f>
        <v>24136.377788082737</v>
      </c>
      <c r="W1236" s="125">
        <f t="shared" si="2233"/>
        <v>267.9616513986582</v>
      </c>
      <c r="X1236" s="131">
        <f t="shared" ref="X1236:X1251" si="2242">LN(W1236/W1235)</f>
        <v>-7.6896845050081167E-2</v>
      </c>
      <c r="Y1236" s="131">
        <f t="shared" ref="Y1236:Y1252" si="2243">+X1236*AX1236</f>
        <v>0</v>
      </c>
      <c r="Z1236" s="131"/>
      <c r="AA1236" s="131"/>
      <c r="AB1236" s="131"/>
      <c r="AC1236" s="125">
        <f t="shared" si="2213"/>
        <v>19176.258945693746</v>
      </c>
      <c r="AD1236" s="129"/>
      <c r="AE1236" s="133">
        <v>1635.3367584121495</v>
      </c>
      <c r="AF1236" s="134">
        <v>1.1347670499047949E-2</v>
      </c>
      <c r="AG1236" s="59">
        <f t="shared" si="2234"/>
        <v>0</v>
      </c>
      <c r="AH1236" s="134"/>
      <c r="AI1236" s="134"/>
      <c r="AJ1236" s="129">
        <f t="shared" si="2138"/>
        <v>59979.256134998694</v>
      </c>
      <c r="AK1236" s="134">
        <f t="shared" ref="AK1236:AK1252" si="2244">LN(AJ1236/AJ1235)</f>
        <v>-3.7656979347969466E-2</v>
      </c>
      <c r="AL1236" s="129"/>
      <c r="AM1236" s="129"/>
      <c r="AN1236" s="129"/>
      <c r="AO1236" s="129"/>
      <c r="AP1236" s="133">
        <f t="shared" ref="AP1236:AP1252" si="2245">+(AJ1236*1000)/BB1236</f>
        <v>222.35457109650818</v>
      </c>
      <c r="AQ1236" s="134">
        <f>+BB1236/Outputs!$B$14</f>
        <v>7.7778180490670965E-3</v>
      </c>
      <c r="AR1236" s="93">
        <f t="shared" si="2235"/>
        <v>0.27787305937422291</v>
      </c>
      <c r="AS1236" s="93">
        <f t="shared" si="2236"/>
        <v>0.40241208950237112</v>
      </c>
      <c r="AT1236" s="93">
        <f t="shared" si="2237"/>
        <v>0.31971485112340603</v>
      </c>
      <c r="AU1236" s="93">
        <f t="shared" ca="1" si="2240"/>
        <v>-6.7821705534388099E-2</v>
      </c>
      <c r="AV1236" s="132">
        <f ca="1">+AV1235*EXP(AU1236)</f>
        <v>93.442706189953896</v>
      </c>
      <c r="AW1236" s="134">
        <f ca="1">LN(AV1236/AV1235)</f>
        <v>-6.7821705534388113E-2</v>
      </c>
      <c r="AX1236" s="93"/>
      <c r="AY1236" s="135">
        <f ca="1">+AX1236*AW1236</f>
        <v>0</v>
      </c>
      <c r="AZ1236" s="93"/>
      <c r="BA1236" s="93"/>
      <c r="BB1236" s="234">
        <f>IFERROR(INDEX('Total Customers'!$E$7:$AA$91,MATCH($C1236,'Total Customers'!$C$7:$C$91,0),MATCH($G1236,'Total Customers'!$E$5:$AA$5,0)),"NA")</f>
        <v>269746</v>
      </c>
      <c r="BC1236" s="269">
        <f t="shared" si="2209"/>
        <v>1.0374449309230625E-2</v>
      </c>
      <c r="BD1236" s="92"/>
      <c r="BE1236" s="299" t="str">
        <f t="shared" si="2205"/>
        <v>VIRGINIA NATURAL GAS, INC.</v>
      </c>
      <c r="BF1236" s="300">
        <f t="shared" si="2206"/>
        <v>4063762</v>
      </c>
      <c r="BG1236" s="231" t="str">
        <f t="shared" si="2207"/>
        <v>VA</v>
      </c>
      <c r="BH1236" s="231"/>
      <c r="BI1236" s="231" t="str">
        <f t="shared" si="2208"/>
        <v>2006 Y</v>
      </c>
      <c r="BJ1236" s="129"/>
      <c r="BK1236" s="129"/>
      <c r="BL1236" s="129">
        <f>INDEX('Dist. Plant Gas Additions'!$E$7:$AD$91,MATCH($C1236,'Dist. Plant Gas Additions'!$C$7:$C$91,0),MATCH(Calculation!$G1236,'Dist. Plant Gas Additions'!$E$5:$AD$5,0))</f>
        <v>8173</v>
      </c>
      <c r="BM1236" s="129">
        <f>INDEX('Gen. Plant Additions'!$E$7:$AD$91,MATCH($C1236,'Gen. Plant Additions'!$C$7:$C$91,0),MATCH(Calculation!$G1236,'Gen. Plant Additions'!$E$5:$AD$5,0))</f>
        <v>5020</v>
      </c>
      <c r="BN1236" s="301">
        <f t="shared" si="2214"/>
        <v>0.96848174583773583</v>
      </c>
      <c r="BO1236" s="231">
        <f t="shared" si="2203"/>
        <v>4861.7783641054339</v>
      </c>
      <c r="BP1236" s="231">
        <f t="shared" si="2204"/>
        <v>-158.22163589456613</v>
      </c>
      <c r="BQ1236" s="129">
        <f>INDEX('Dist Plant Depreciation'!$D$7:$AC$94,MATCH($C1236,'Dist Plant Depreciation'!$C$7:$C$94,0),MATCH(Calculation!$G1236,'Dist Plant Depreciation'!$D$5:$AC$5,0))</f>
        <v>176698</v>
      </c>
      <c r="BR1236" s="129">
        <f>INDEX('Gen. Plant Depreciation'!$D$7:$AC$94,MATCH($C1236,'Gen. Plant Depreciation'!$C$7:$C$94,0),MATCH(Calculation!$G1236,'Gen. Plant Depreciation'!$D$5:$AC$5,0))</f>
        <v>1886</v>
      </c>
      <c r="BS1236" s="129"/>
      <c r="BT1236" s="129"/>
      <c r="BU1236" s="129"/>
      <c r="BV1236" s="129"/>
      <c r="BW1236" s="129"/>
      <c r="BX1236" s="137"/>
      <c r="BY1236" s="129">
        <f>INDEX('Gross Dx Plant'!$D$7:$AC$91,MATCH($C1236,'Gross Dx Plant'!$C$7:$C$91,0),MATCH(Calculation!$G1236,'Gross Dx Plant'!$D$5:$AC$5,0))</f>
        <v>479382</v>
      </c>
      <c r="BZ1236" s="129">
        <f>INDEX('Gross Gen Plant'!$D$7:$AC$91,MATCH($C1236,'Gross Gen Plant'!$C$7:$C$91,0),MATCH(Calculation!$G1236,'Gross Gen Plant'!$D$5:$AC$5,0))</f>
        <v>15601</v>
      </c>
      <c r="CA1236" s="129">
        <f t="shared" si="2162"/>
        <v>316399</v>
      </c>
      <c r="CB1236" s="134"/>
      <c r="CC1236" s="133">
        <v>2006</v>
      </c>
      <c r="CD1236" s="129"/>
      <c r="CE1236" s="129"/>
      <c r="CF1236" s="129"/>
      <c r="CG1236" s="137"/>
      <c r="CH1236" s="129">
        <f t="shared" si="2215"/>
        <v>13193</v>
      </c>
      <c r="CI1236" s="46">
        <f t="shared" si="2224"/>
        <v>13034.778364105434</v>
      </c>
      <c r="CJ1236" s="231">
        <f t="shared" si="2216"/>
        <v>28.269753616365854</v>
      </c>
      <c r="CK1236" s="443">
        <v>0.91489361702127658</v>
      </c>
      <c r="CL1236" s="231">
        <f>+CL1228*CK1236+CJ1229*CK1235+CJ1230*CK1234+CJ1231*CK1233+CJ1232*CK1232+CJ1233*CK1231+CJ1234*CK1230+CJ1235*CK1229+CJ1236</f>
        <v>1572.0479047839356</v>
      </c>
      <c r="CM1236" s="134">
        <f t="shared" si="2217"/>
        <v>6.0037957161270944E-3</v>
      </c>
      <c r="CN1236" s="135">
        <f t="shared" si="2218"/>
        <v>1.2069190745690515E-2</v>
      </c>
      <c r="CO1236" s="135">
        <f t="shared" si="2227"/>
        <v>1.1734693319297931E-2</v>
      </c>
      <c r="CP1236" s="134">
        <f>VLOOKUP($H1236,RoR!$E:$F,2,FALSE)</f>
        <v>5.5874999999999994E-2</v>
      </c>
      <c r="CQ1236" s="135">
        <v>3.0512430354548314E-2</v>
      </c>
      <c r="CR1236" s="135">
        <f t="shared" si="2225"/>
        <v>2.536256964545168E-2</v>
      </c>
      <c r="CS1236" s="135">
        <f t="shared" si="2228"/>
        <v>1.9167248289235696E-2</v>
      </c>
      <c r="CT1236" s="135">
        <f t="shared" si="2229"/>
        <v>7.9087823893859641E-2</v>
      </c>
      <c r="CU1236" s="139">
        <f t="shared" si="2219"/>
        <v>0.85607</v>
      </c>
      <c r="CV1236" s="335">
        <f t="shared" si="2220"/>
        <v>0.91779957551769631</v>
      </c>
      <c r="CW1236" s="335">
        <f t="shared" si="2221"/>
        <v>0.52757270693512304</v>
      </c>
      <c r="CX1236" s="335">
        <f t="shared" si="2222"/>
        <v>0.88636824549024895</v>
      </c>
      <c r="CY1236" s="335">
        <f t="shared" si="2223"/>
        <v>0.42918482841932087</v>
      </c>
      <c r="CZ1236" s="336">
        <f>INDEX('State Tax Lookup'!$D$7:$Z$91,MATCH(Calculation!$C1236,'State Tax Lookup'!$B$7:$B$91,0),MATCH($H1236,'State Tax Lookup'!$D$6:$Z$6,0))</f>
        <v>0.38900000000000001</v>
      </c>
      <c r="DA1236" s="302">
        <v>0.37</v>
      </c>
      <c r="DB1236" s="57">
        <f t="shared" si="2226"/>
        <v>12.27172246501955</v>
      </c>
      <c r="DC1236" s="56">
        <f t="shared" si="2230"/>
        <v>-3.2691929800427559E-2</v>
      </c>
      <c r="DD1236" s="303">
        <f>VLOOKUP($H1236,RoR!$E:$F,2,FALSE)</f>
        <v>5.5874999999999994E-2</v>
      </c>
      <c r="DE1236" s="304">
        <f>HLOOKUP($H1236,'GDP-PI'!$D$8:$CQ$11,3,FALSE)</f>
        <v>3.0512430354548314E-2</v>
      </c>
      <c r="DF1236" s="303">
        <f>VLOOKUP(H1236,'HW Dx Data'!$E:$F,2,FALSE)</f>
        <v>461.08567272971823</v>
      </c>
      <c r="DG1236" s="364">
        <f ca="1">VLOOKUP(CC1236,'ECI - Input Price'!M$13:N$33,2,FALSE)</f>
        <v>109.4</v>
      </c>
      <c r="DH1236" s="364"/>
      <c r="DI1236" s="364"/>
      <c r="DJ1236" s="56">
        <f t="shared" ca="1" si="2238"/>
        <v>9.7620891318751846E-2</v>
      </c>
      <c r="DK1236" s="53">
        <f>HLOOKUP(H1236,'GDP-PI'!$8:$9,2,FALSE)</f>
        <v>90.073999999999998</v>
      </c>
      <c r="DL1236" s="355">
        <f t="shared" si="2231"/>
        <v>3.005618372545445E-2</v>
      </c>
    </row>
    <row r="1237" spans="1:116" s="126" customFormat="1" ht="21" customHeight="1" x14ac:dyDescent="0.4">
      <c r="A1237" s="233" t="s">
        <v>254</v>
      </c>
      <c r="B1237" s="126" t="s">
        <v>254</v>
      </c>
      <c r="C1237" s="126">
        <v>4063762</v>
      </c>
      <c r="D1237" s="127" t="s">
        <v>255</v>
      </c>
      <c r="E1237" s="127"/>
      <c r="F1237" s="144"/>
      <c r="G1237" s="126" t="s">
        <v>163</v>
      </c>
      <c r="H1237" s="128">
        <v>2007</v>
      </c>
      <c r="I1237" s="129"/>
      <c r="J1237" s="125">
        <f>IFERROR(INDEX('Labor Expenditures'!$E$7:$W$91,MATCH($C1237,'Labor Expenditures'!$C$7:$C$91,0),MATCH($G1237,'Labor Expenditures'!$E$5:$W$5,0)),"NA")</f>
        <v>14210.051658451292</v>
      </c>
      <c r="K1237" s="125">
        <f t="shared" ca="1" si="2232"/>
        <v>135.94883193926134</v>
      </c>
      <c r="L1237" s="47"/>
      <c r="M1237" s="131">
        <f t="shared" ca="1" si="2239"/>
        <v>-0.11387369062270128</v>
      </c>
      <c r="N1237" s="131"/>
      <c r="O1237" s="131"/>
      <c r="P1237" s="59">
        <f t="shared" ca="1" si="2241"/>
        <v>-8.6096597378581153E-4</v>
      </c>
      <c r="Q1237" s="61"/>
      <c r="R1237" s="387"/>
      <c r="S1237" s="49">
        <f t="shared" ref="S1237:S1250" ca="1" si="2246">+S1236*EXP(T1237)</f>
        <v>119.81988925842761</v>
      </c>
      <c r="T1237" s="61">
        <f ca="1">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</f>
        <v>3.5849460425657252E-2</v>
      </c>
      <c r="U1237" s="61"/>
      <c r="V1237" s="125">
        <f>IFERROR(INDEX('Non-Labor Expenditures'!$E$7:$AA$91,MATCH($C1237,'Non-Labor Expenditures'!$C$7:$C$91,0),MATCH($G1237,'Non-Labor Expenditures'!$E$5:$AA$5,0)),"NA")</f>
        <v>20578.808872985977</v>
      </c>
      <c r="W1237" s="125">
        <f t="shared" si="2233"/>
        <v>222.47841978189774</v>
      </c>
      <c r="X1237" s="131">
        <f t="shared" si="2242"/>
        <v>-0.18601377131799168</v>
      </c>
      <c r="Y1237" s="131">
        <f t="shared" si="2243"/>
        <v>-1.4063962174634126E-3</v>
      </c>
      <c r="Z1237" s="131"/>
      <c r="AA1237" s="131"/>
      <c r="AB1237" s="131"/>
      <c r="AC1237" s="125">
        <f t="shared" si="2213"/>
        <v>20505.214445668647</v>
      </c>
      <c r="AD1237" s="129"/>
      <c r="AE1237" s="133">
        <v>1717.3632298637883</v>
      </c>
      <c r="AF1237" s="134">
        <v>4.8941357087963315E-2</v>
      </c>
      <c r="AG1237" s="59">
        <f t="shared" si="2234"/>
        <v>3.7003141755763273E-4</v>
      </c>
      <c r="AH1237" s="134"/>
      <c r="AI1237" s="134"/>
      <c r="AJ1237" s="129">
        <f t="shared" si="2138"/>
        <v>55294.07497710592</v>
      </c>
      <c r="AK1237" s="134">
        <f t="shared" si="2244"/>
        <v>-8.133301184307784E-2</v>
      </c>
      <c r="AL1237" s="129"/>
      <c r="AM1237" s="129"/>
      <c r="AN1237" s="129"/>
      <c r="AO1237" s="129"/>
      <c r="AP1237" s="133">
        <f t="shared" si="2245"/>
        <v>205.32595730806992</v>
      </c>
      <c r="AQ1237" s="134">
        <f>+BB1237/Outputs!$B$15</f>
        <v>7.7064666079965718E-3</v>
      </c>
      <c r="AR1237" s="93">
        <f t="shared" si="2235"/>
        <v>0.25699049426787324</v>
      </c>
      <c r="AS1237" s="93">
        <f t="shared" si="2236"/>
        <v>0.37217023490322376</v>
      </c>
      <c r="AT1237" s="93">
        <f t="shared" si="2237"/>
        <v>0.37083927082890294</v>
      </c>
      <c r="AU1237" s="93">
        <f t="shared" ca="1" si="2240"/>
        <v>-8.5596605160353265E-2</v>
      </c>
      <c r="AV1237" s="132">
        <f ca="1">+AV1236*EXP(AU1237)</f>
        <v>85.777083204023285</v>
      </c>
      <c r="AW1237" s="134">
        <f ca="1">LN(AV1237/AV1236)</f>
        <v>-8.5596605160353084E-2</v>
      </c>
      <c r="AX1237" s="135">
        <f>+AJ1237/$AL$11</f>
        <v>7.5607101963390102E-3</v>
      </c>
      <c r="AY1237" s="135">
        <f t="shared" ref="AY1237:AY1251" ca="1" si="2247">+AX1237*AW1237</f>
        <v>-6.4717112540788589E-4</v>
      </c>
      <c r="AZ1237" s="93"/>
      <c r="BA1237" s="93"/>
      <c r="BB1237" s="234">
        <f>IFERROR(INDEX('Total Customers'!$E$7:$AA$91,MATCH($C1237,'Total Customers'!$C$7:$C$91,0),MATCH($G1237,'Total Customers'!$E$5:$AA$5,0)),"NA")</f>
        <v>269299</v>
      </c>
      <c r="BC1237" s="269">
        <f t="shared" si="2209"/>
        <v>-1.6584890035500725E-3</v>
      </c>
      <c r="BD1237" s="92"/>
      <c r="BE1237" s="299" t="str">
        <f t="shared" si="2205"/>
        <v>VIRGINIA NATURAL GAS, INC.</v>
      </c>
      <c r="BF1237" s="300">
        <f t="shared" si="2206"/>
        <v>4063762</v>
      </c>
      <c r="BG1237" s="231" t="str">
        <f t="shared" si="2207"/>
        <v>VA</v>
      </c>
      <c r="BH1237" s="231"/>
      <c r="BI1237" s="231" t="str">
        <f t="shared" si="2208"/>
        <v>2007 Y</v>
      </c>
      <c r="BJ1237" s="129"/>
      <c r="BK1237" s="129"/>
      <c r="BL1237" s="129">
        <f>INDEX('Dist. Plant Gas Additions'!$E$7:$AD$91,MATCH($C1237,'Dist. Plant Gas Additions'!$C$7:$C$91,0),MATCH(Calculation!$G1237,'Dist. Plant Gas Additions'!$E$5:$AD$5,0))</f>
        <v>39146</v>
      </c>
      <c r="BM1237" s="129">
        <f>INDEX('Gen. Plant Additions'!$E$7:$AD$91,MATCH($C1237,'Gen. Plant Additions'!$C$7:$C$91,0),MATCH(Calculation!$G1237,'Gen. Plant Additions'!$E$5:$AD$5,0))</f>
        <v>7006</v>
      </c>
      <c r="BN1237" s="301">
        <f t="shared" si="2214"/>
        <v>0.96644983822418629</v>
      </c>
      <c r="BO1237" s="231">
        <f t="shared" si="2203"/>
        <v>6770.9475665986492</v>
      </c>
      <c r="BP1237" s="231">
        <f t="shared" si="2204"/>
        <v>-235.05243340135075</v>
      </c>
      <c r="BQ1237" s="129">
        <f>INDEX('Dist Plant Depreciation'!$D$7:$AC$94,MATCH($C1237,'Dist Plant Depreciation'!$C$7:$C$94,0),MATCH(Calculation!$G1237,'Dist Plant Depreciation'!$D$5:$AC$5,0))</f>
        <v>184077</v>
      </c>
      <c r="BR1237" s="129">
        <f>INDEX('Gen. Plant Depreciation'!$D$7:$AC$94,MATCH($C1237,'Gen. Plant Depreciation'!$C$7:$C$94,0),MATCH(Calculation!$G1237,'Gen. Plant Depreciation'!$D$5:$AC$5,0))</f>
        <v>-620</v>
      </c>
      <c r="BS1237" s="129"/>
      <c r="BT1237" s="129"/>
      <c r="BU1237" s="129"/>
      <c r="BV1237" s="129"/>
      <c r="BW1237" s="129"/>
      <c r="BX1237" s="137"/>
      <c r="BY1237" s="129">
        <f>INDEX('Gross Dx Plant'!$D$7:$AC$91,MATCH($C1237,'Gross Dx Plant'!$C$7:$C$91,0),MATCH(Calculation!$G1237,'Gross Dx Plant'!$D$5:$AC$5,0))</f>
        <v>514362</v>
      </c>
      <c r="BZ1237" s="129">
        <f>INDEX('Gross Gen Plant'!$D$7:$AC$91,MATCH($C1237,'Gross Gen Plant'!$C$7:$C$91,0),MATCH(Calculation!$G1237,'Gross Gen Plant'!$D$5:$AC$5,0))</f>
        <v>17856</v>
      </c>
      <c r="CA1237" s="129">
        <f t="shared" si="2162"/>
        <v>348761</v>
      </c>
      <c r="CB1237" s="129"/>
      <c r="CC1237" s="133">
        <v>2007</v>
      </c>
      <c r="CD1237" s="129"/>
      <c r="CE1237" s="129"/>
      <c r="CF1237" s="129"/>
      <c r="CG1237" s="137"/>
      <c r="CH1237" s="129">
        <f t="shared" si="2215"/>
        <v>46152</v>
      </c>
      <c r="CI1237" s="46">
        <f t="shared" si="2224"/>
        <v>45916.947566598647</v>
      </c>
      <c r="CJ1237" s="231">
        <f t="shared" si="2216"/>
        <v>92.198574520893942</v>
      </c>
      <c r="CK1237" s="443">
        <v>0.90322580645161288</v>
      </c>
      <c r="CL1237" s="231">
        <f>+CL1228*CK1237+CJ1229*CK1236+CJ1230*CK1235+CJ1231*CK1234+CJ1232*CK1233+CJ1233*CK1232+CJ1234*CK1231+CJ1235*CK1230+CJ1236*CK1229+CJ1237</f>
        <v>1644.7038192347809</v>
      </c>
      <c r="CM1237" s="134">
        <f t="shared" si="2217"/>
        <v>4.5181151585324868E-2</v>
      </c>
      <c r="CN1237" s="135">
        <f t="shared" si="2218"/>
        <v>1.2431338771915212E-2</v>
      </c>
      <c r="CO1237" s="135">
        <f t="shared" si="2227"/>
        <v>1.207916382729037E-2</v>
      </c>
      <c r="CP1237" s="134">
        <f>VLOOKUP($H1237,RoR!$E:$F,2,FALSE)</f>
        <v>5.5558333333333321E-2</v>
      </c>
      <c r="CQ1237" s="135">
        <v>2.691120634145272E-2</v>
      </c>
      <c r="CR1237" s="135">
        <f t="shared" si="2225"/>
        <v>2.86471269918806E-2</v>
      </c>
      <c r="CS1237" s="135">
        <f t="shared" si="2228"/>
        <v>1.8822777781243256E-2</v>
      </c>
      <c r="CT1237" s="135">
        <f t="shared" si="2229"/>
        <v>6.4575155250632399E-2</v>
      </c>
      <c r="CU1237" s="139">
        <f t="shared" si="2219"/>
        <v>0.85607</v>
      </c>
      <c r="CV1237" s="335">
        <f t="shared" si="2220"/>
        <v>0.92303077153834634</v>
      </c>
      <c r="CW1237" s="335">
        <f t="shared" si="2221"/>
        <v>0.52502249887505614</v>
      </c>
      <c r="CX1237" s="335">
        <f t="shared" si="2222"/>
        <v>0.88499666072084604</v>
      </c>
      <c r="CY1237" s="335">
        <f t="shared" si="2223"/>
        <v>0.42887993290280618</v>
      </c>
      <c r="CZ1237" s="336">
        <f>INDEX('State Tax Lookup'!$D$7:$Z$91,MATCH(Calculation!$C1237,'State Tax Lookup'!$B$7:$B$91,0),MATCH($H1237,'State Tax Lookup'!$D$6:$Z$6,0))</f>
        <v>0.38900000000000001</v>
      </c>
      <c r="DA1237" s="302">
        <v>0.37</v>
      </c>
      <c r="DB1237" s="57">
        <f t="shared" si="2226"/>
        <v>13.043632056802311</v>
      </c>
      <c r="DC1237" s="56">
        <f t="shared" si="2230"/>
        <v>6.1002420611413623E-2</v>
      </c>
      <c r="DD1237" s="303">
        <f>VLOOKUP($H1237,RoR!$E:$F,2,FALSE)</f>
        <v>5.5558333333333321E-2</v>
      </c>
      <c r="DE1237" s="304">
        <f>HLOOKUP($H1237,'GDP-PI'!$D$8:$CQ$11,3,FALSE)</f>
        <v>2.691120634145272E-2</v>
      </c>
      <c r="DF1237" s="303">
        <f>VLOOKUP(H1237,'HW Dx Data'!$E:$F,2,FALSE)</f>
        <v>498.0223154772637</v>
      </c>
      <c r="DG1237" s="364">
        <f ca="1">VLOOKUP(CC1237,'ECI - Input Price'!M$13:N$33,2,FALSE)</f>
        <v>104.52499999999999</v>
      </c>
      <c r="DH1237" s="364"/>
      <c r="DI1237" s="364"/>
      <c r="DJ1237" s="56">
        <f t="shared" ca="1" si="2238"/>
        <v>-4.5584612745252218E-2</v>
      </c>
      <c r="DK1237" s="53">
        <f>HLOOKUP(H1237,'GDP-PI'!$8:$9,2,FALSE)</f>
        <v>92.498000000000005</v>
      </c>
      <c r="DL1237" s="355">
        <f t="shared" si="2231"/>
        <v>2.6555467950038037E-2</v>
      </c>
    </row>
    <row r="1238" spans="1:116" s="126" customFormat="1" ht="21" customHeight="1" x14ac:dyDescent="0.4">
      <c r="A1238" s="233" t="s">
        <v>254</v>
      </c>
      <c r="B1238" s="126" t="s">
        <v>254</v>
      </c>
      <c r="C1238" s="126">
        <v>4063762</v>
      </c>
      <c r="D1238" s="127" t="s">
        <v>255</v>
      </c>
      <c r="E1238" s="127"/>
      <c r="F1238" s="144"/>
      <c r="G1238" s="126" t="s">
        <v>164</v>
      </c>
      <c r="H1238" s="128">
        <v>2008</v>
      </c>
      <c r="I1238" s="129"/>
      <c r="J1238" s="125">
        <f>IFERROR(INDEX('Labor Expenditures'!$E$7:$W$91,MATCH($C1238,'Labor Expenditures'!$C$7:$C$91,0),MATCH($G1238,'Labor Expenditures'!$E$5:$W$5,0)),"NA")</f>
        <v>13292.39528010719</v>
      </c>
      <c r="K1238" s="125">
        <f t="shared" ca="1" si="2232"/>
        <v>123.19180055706384</v>
      </c>
      <c r="L1238" s="47"/>
      <c r="M1238" s="131">
        <f t="shared" ca="1" si="2239"/>
        <v>-9.8536084236230143E-2</v>
      </c>
      <c r="N1238" s="131"/>
      <c r="O1238" s="131"/>
      <c r="P1238" s="59">
        <f t="shared" ca="1" si="2241"/>
        <v>-7.2864432197338597E-4</v>
      </c>
      <c r="Q1238" s="61"/>
      <c r="R1238" s="387"/>
      <c r="S1238" s="49">
        <f t="shared" ca="1" si="2246"/>
        <v>113.56944789260226</v>
      </c>
      <c r="T1238" s="61">
        <f ca="1">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</f>
        <v>-5.3575166914976116E-2</v>
      </c>
      <c r="U1238" s="61"/>
      <c r="V1238" s="125">
        <f>IFERROR(INDEX('Non-Labor Expenditures'!$E$7:$AA$91,MATCH($C1238,'Non-Labor Expenditures'!$C$7:$C$91,0),MATCH($G1238,'Non-Labor Expenditures'!$E$5:$AA$5,0)),"NA")</f>
        <v>19249.871042574323</v>
      </c>
      <c r="W1238" s="125">
        <f t="shared" si="2233"/>
        <v>204.21232965473908</v>
      </c>
      <c r="X1238" s="131">
        <f t="shared" si="2242"/>
        <v>-8.5669822962802109E-2</v>
      </c>
      <c r="Y1238" s="131">
        <f t="shared" si="2243"/>
        <v>-6.3350223981560529E-4</v>
      </c>
      <c r="Z1238" s="131"/>
      <c r="AA1238" s="131"/>
      <c r="AB1238" s="131"/>
      <c r="AC1238" s="125">
        <f t="shared" si="2213"/>
        <v>24140.776100311185</v>
      </c>
      <c r="AD1238" s="129"/>
      <c r="AE1238" s="133">
        <v>1730.5932465178462</v>
      </c>
      <c r="AF1238" s="134">
        <v>7.6741581130192783E-3</v>
      </c>
      <c r="AG1238" s="59">
        <f t="shared" si="2234"/>
        <v>5.6748061162770472E-5</v>
      </c>
      <c r="AH1238" s="134"/>
      <c r="AI1238" s="134"/>
      <c r="AJ1238" s="129">
        <f t="shared" si="2138"/>
        <v>56683.042422992701</v>
      </c>
      <c r="AK1238" s="134">
        <f t="shared" si="2244"/>
        <v>2.4809331052604727E-2</v>
      </c>
      <c r="AL1238" s="129"/>
      <c r="AM1238" s="129"/>
      <c r="AN1238" s="129"/>
      <c r="AO1238" s="129"/>
      <c r="AP1238" s="133">
        <f t="shared" si="2245"/>
        <v>208.84885954670548</v>
      </c>
      <c r="AQ1238" s="134">
        <f>+BB1238/Outputs!$B$16</f>
        <v>7.7252650097472736E-3</v>
      </c>
      <c r="AR1238" s="93">
        <f t="shared" si="2235"/>
        <v>0.23450391354990699</v>
      </c>
      <c r="AS1238" s="93">
        <f t="shared" si="2236"/>
        <v>0.33960546610966452</v>
      </c>
      <c r="AT1238" s="93">
        <f t="shared" si="2237"/>
        <v>0.42589062034042846</v>
      </c>
      <c r="AU1238" s="93">
        <f t="shared" ca="1" si="2240"/>
        <v>-5.1646700753582631E-2</v>
      </c>
      <c r="AV1238" s="132">
        <f t="shared" ref="AV1238:AV1251" ca="1" si="2248">+AV1237*EXP(AU1238)</f>
        <v>81.459435673101297</v>
      </c>
      <c r="AW1238" s="134">
        <f t="shared" ref="AW1238:AW1251" ca="1" si="2249">LN(AV1238/AV1237)</f>
        <v>-5.1646700753582582E-2</v>
      </c>
      <c r="AX1238" s="135">
        <f>+AJ1238/$AL$12</f>
        <v>7.3946953303577201E-3</v>
      </c>
      <c r="AY1238" s="135">
        <f t="shared" ca="1" si="2247"/>
        <v>-3.8191161689089966E-4</v>
      </c>
      <c r="AZ1238" s="93"/>
      <c r="BA1238" s="93"/>
      <c r="BB1238" s="234">
        <f>IFERROR(INDEX('Total Customers'!$E$7:$AA$91,MATCH($C1238,'Total Customers'!$C$7:$C$91,0),MATCH($G1238,'Total Customers'!$E$5:$AA$5,0)),"NA")</f>
        <v>271407</v>
      </c>
      <c r="BC1238" s="269">
        <f t="shared" si="2209"/>
        <v>7.7972527770065045E-3</v>
      </c>
      <c r="BD1238" s="92"/>
      <c r="BE1238" s="299" t="str">
        <f t="shared" si="2205"/>
        <v>VIRGINIA NATURAL GAS, INC.</v>
      </c>
      <c r="BF1238" s="300">
        <f t="shared" si="2206"/>
        <v>4063762</v>
      </c>
      <c r="BG1238" s="231" t="str">
        <f t="shared" si="2207"/>
        <v>VA</v>
      </c>
      <c r="BH1238" s="231"/>
      <c r="BI1238" s="231" t="str">
        <f t="shared" si="2208"/>
        <v>2008 Y</v>
      </c>
      <c r="BJ1238" s="129"/>
      <c r="BK1238" s="129"/>
      <c r="BL1238" s="129">
        <f>INDEX('Dist. Plant Gas Additions'!$E$7:$AD$91,MATCH($C1238,'Dist. Plant Gas Additions'!$C$7:$C$91,0),MATCH(Calculation!$G1238,'Dist. Plant Gas Additions'!$E$5:$AD$5,0))</f>
        <v>11158</v>
      </c>
      <c r="BM1238" s="129">
        <f>INDEX('Gen. Plant Additions'!$E$7:$AD$91,MATCH($C1238,'Gen. Plant Additions'!$C$7:$C$91,0),MATCH(Calculation!$G1238,'Gen. Plant Additions'!$E$5:$AD$5,0))</f>
        <v>2917</v>
      </c>
      <c r="BN1238" s="301">
        <f t="shared" si="2214"/>
        <v>0.96071216747578148</v>
      </c>
      <c r="BO1238" s="231">
        <f t="shared" ref="BO1238:BO1260" si="2250">+BN1238*BM1238</f>
        <v>2802.3973925268547</v>
      </c>
      <c r="BP1238" s="231">
        <f t="shared" ref="BP1238:BP1260" si="2251">+BO1238-BM1238</f>
        <v>-114.60260747314533</v>
      </c>
      <c r="BQ1238" s="129">
        <f>INDEX('Dist Plant Depreciation'!$D$7:$AC$94,MATCH($C1238,'Dist Plant Depreciation'!$C$7:$C$94,0),MATCH(Calculation!$G1238,'Dist Plant Depreciation'!$D$5:$AC$5,0))</f>
        <v>195941</v>
      </c>
      <c r="BR1238" s="129">
        <f>INDEX('Gen. Plant Depreciation'!$D$7:$AC$94,MATCH($C1238,'Gen. Plant Depreciation'!$C$7:$C$94,0),MATCH(Calculation!$G1238,'Gen. Plant Depreciation'!$D$5:$AC$5,0))</f>
        <v>275</v>
      </c>
      <c r="BS1238" s="129"/>
      <c r="BT1238" s="129"/>
      <c r="BU1238" s="129"/>
      <c r="BV1238" s="129"/>
      <c r="BW1238" s="129"/>
      <c r="BX1238" s="137"/>
      <c r="BY1238" s="129">
        <f>INDEX('Gross Dx Plant'!$D$7:$AC$91,MATCH($C1238,'Gross Dx Plant'!$C$7:$C$91,0),MATCH(Calculation!$G1238,'Gross Dx Plant'!$D$5:$AC$5,0))</f>
        <v>524814</v>
      </c>
      <c r="BZ1238" s="129">
        <f>INDEX('Gross Gen Plant'!$D$7:$AC$91,MATCH($C1238,'Gross Gen Plant'!$C$7:$C$91,0),MATCH(Calculation!$G1238,'Gross Gen Plant'!$D$5:$AC$5,0))</f>
        <v>21462</v>
      </c>
      <c r="CA1238" s="129">
        <f t="shared" si="2162"/>
        <v>350060</v>
      </c>
      <c r="CB1238" s="129"/>
      <c r="CC1238" s="133">
        <v>2008</v>
      </c>
      <c r="CD1238" s="129"/>
      <c r="CE1238" s="129"/>
      <c r="CF1238" s="129"/>
      <c r="CG1238" s="137"/>
      <c r="CH1238" s="129">
        <f t="shared" si="2215"/>
        <v>14075</v>
      </c>
      <c r="CI1238" s="46">
        <f t="shared" si="2224"/>
        <v>13960.397392526855</v>
      </c>
      <c r="CJ1238" s="231">
        <f t="shared" si="2216"/>
        <v>24.497030803657964</v>
      </c>
      <c r="CK1238" s="443">
        <v>0.89130434782608692</v>
      </c>
      <c r="CL1238" s="231">
        <f>+CL1228*CK1238+CJ1229*CK1237+CJ1230*CK1236+CJ1231*CK1235+CJ1232*CK1234+CJ1233*CK1233+CJ1234*CK1232+CJ1235*CK1231+CJ1236*CK1230+CJ1237*CK1229+CJ1238</f>
        <v>1648.3236890957123</v>
      </c>
      <c r="CM1238" s="134">
        <f t="shared" si="2217"/>
        <v>2.1985065777959502E-3</v>
      </c>
      <c r="CN1238" s="135">
        <f t="shared" si="2218"/>
        <v>1.2693568713447685E-2</v>
      </c>
      <c r="CO1238" s="135">
        <f t="shared" si="2227"/>
        <v>1.2398032743684471E-2</v>
      </c>
      <c r="CP1238" s="134">
        <f>VLOOKUP($H1238,RoR!$E:$F,2,FALSE)</f>
        <v>5.6316666666666668E-2</v>
      </c>
      <c r="CQ1238" s="135">
        <v>1.9092304698479889E-2</v>
      </c>
      <c r="CR1238" s="135">
        <f t="shared" si="2225"/>
        <v>3.7224361968186778E-2</v>
      </c>
      <c r="CS1238" s="135">
        <f t="shared" si="2228"/>
        <v>1.8503908864849154E-2</v>
      </c>
      <c r="CT1238" s="135">
        <f t="shared" si="2229"/>
        <v>6.9030581091053131E-2</v>
      </c>
      <c r="CU1238" s="139">
        <f t="shared" si="2219"/>
        <v>0.85607</v>
      </c>
      <c r="CV1238" s="335">
        <f t="shared" si="2220"/>
        <v>0.91060168006009956</v>
      </c>
      <c r="CW1238" s="335">
        <f t="shared" si="2221"/>
        <v>0.53108168097070152</v>
      </c>
      <c r="CX1238" s="335">
        <f t="shared" si="2222"/>
        <v>0.88825329850328805</v>
      </c>
      <c r="CY1238" s="335">
        <f t="shared" si="2223"/>
        <v>0.4295627335323573</v>
      </c>
      <c r="CZ1238" s="336">
        <f>INDEX('State Tax Lookup'!$D$7:$Z$91,MATCH(Calculation!$C1238,'State Tax Lookup'!$B$7:$B$91,0),MATCH($H1238,'State Tax Lookup'!$D$6:$Z$6,0))</f>
        <v>0.38900000000000001</v>
      </c>
      <c r="DA1238" s="302">
        <v>0.37</v>
      </c>
      <c r="DB1238" s="57">
        <f t="shared" si="2226"/>
        <v>14.677886570205073</v>
      </c>
      <c r="DC1238" s="56">
        <f t="shared" si="2230"/>
        <v>0.11804199653585064</v>
      </c>
      <c r="DD1238" s="303">
        <f>VLOOKUP($H1238,RoR!$E:$F,2,FALSE)</f>
        <v>5.6316666666666668E-2</v>
      </c>
      <c r="DE1238" s="304">
        <f>HLOOKUP($H1238,'GDP-PI'!$D$8:$CQ$11,3,FALSE)</f>
        <v>1.9092304698479889E-2</v>
      </c>
      <c r="DF1238" s="303">
        <f>VLOOKUP(H1238,'HW Dx Data'!$E:$F,2,FALSE)</f>
        <v>569.88120333515076</v>
      </c>
      <c r="DG1238" s="364">
        <f ca="1">VLOOKUP(CC1238,'ECI - Input Price'!M$13:N$33,2,FALSE)</f>
        <v>107.9</v>
      </c>
      <c r="DH1238" s="364"/>
      <c r="DI1238" s="364"/>
      <c r="DJ1238" s="56">
        <f t="shared" ca="1" si="2238"/>
        <v>3.1778595021460486E-2</v>
      </c>
      <c r="DK1238" s="53">
        <f>HLOOKUP(H1238,'GDP-PI'!$8:$9,2,FALSE)</f>
        <v>94.263999999999996</v>
      </c>
      <c r="DL1238" s="355">
        <f t="shared" si="2231"/>
        <v>1.8912333748032254E-2</v>
      </c>
    </row>
    <row r="1239" spans="1:116" s="126" customFormat="1" ht="21" customHeight="1" x14ac:dyDescent="0.4">
      <c r="A1239" s="233" t="s">
        <v>254</v>
      </c>
      <c r="B1239" s="126" t="s">
        <v>254</v>
      </c>
      <c r="C1239" s="126">
        <v>4063762</v>
      </c>
      <c r="D1239" s="127" t="s">
        <v>255</v>
      </c>
      <c r="E1239" s="127"/>
      <c r="F1239" s="144"/>
      <c r="G1239" s="126" t="s">
        <v>165</v>
      </c>
      <c r="H1239" s="128">
        <v>2009</v>
      </c>
      <c r="I1239" s="129"/>
      <c r="J1239" s="125">
        <f>IFERROR(INDEX('Labor Expenditures'!$E$7:$W$91,MATCH($C1239,'Labor Expenditures'!$C$7:$C$91,0),MATCH($G1239,'Labor Expenditures'!$E$5:$W$5,0)),"NA")</f>
        <v>13868.824728763382</v>
      </c>
      <c r="K1239" s="125">
        <f t="shared" ca="1" si="2232"/>
        <v>125.02884587571226</v>
      </c>
      <c r="L1239" s="47"/>
      <c r="M1239" s="131">
        <f t="shared" ca="1" si="2239"/>
        <v>1.4801982720716837E-2</v>
      </c>
      <c r="N1239" s="131"/>
      <c r="O1239" s="131"/>
      <c r="P1239" s="59">
        <f t="shared" ca="1" si="2241"/>
        <v>1.0414492589478567E-4</v>
      </c>
      <c r="Q1239" s="61"/>
      <c r="R1239" s="387"/>
      <c r="S1239" s="49">
        <f t="shared" ca="1" si="2246"/>
        <v>116.45930741589787</v>
      </c>
      <c r="T1239" s="61">
        <f ca="1">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</f>
        <v>2.5127393913907333E-2</v>
      </c>
      <c r="U1239" s="61"/>
      <c r="V1239" s="125">
        <f>IFERROR(INDEX('Non-Labor Expenditures'!$E$7:$AA$91,MATCH($C1239,'Non-Labor Expenditures'!$C$7:$C$91,0),MATCH($G1239,'Non-Labor Expenditures'!$E$5:$AA$5,0)),"NA")</f>
        <v>20084.648546398636</v>
      </c>
      <c r="W1239" s="125">
        <f t="shared" si="2233"/>
        <v>211.41957858923396</v>
      </c>
      <c r="X1239" s="131">
        <f t="shared" si="2242"/>
        <v>3.4684398903291266E-2</v>
      </c>
      <c r="Y1239" s="131">
        <f t="shared" si="2243"/>
        <v>2.4403515540068953E-4</v>
      </c>
      <c r="Z1239" s="131"/>
      <c r="AA1239" s="131"/>
      <c r="AB1239" s="131"/>
      <c r="AC1239" s="125">
        <f t="shared" si="2213"/>
        <v>22964.624991088276</v>
      </c>
      <c r="AD1239" s="129"/>
      <c r="AE1239" s="133">
        <v>1774.1895094887004</v>
      </c>
      <c r="AF1239" s="134">
        <v>2.4879437485319646E-2</v>
      </c>
      <c r="AG1239" s="59">
        <f t="shared" si="2234"/>
        <v>1.7504865544709175E-4</v>
      </c>
      <c r="AH1239" s="134"/>
      <c r="AI1239" s="134"/>
      <c r="AJ1239" s="129">
        <f t="shared" si="2138"/>
        <v>56918.098266250294</v>
      </c>
      <c r="AK1239" s="134">
        <f t="shared" si="2244"/>
        <v>4.1382714518768803E-3</v>
      </c>
      <c r="AL1239" s="129"/>
      <c r="AM1239" s="129"/>
      <c r="AN1239" s="129"/>
      <c r="AO1239" s="129"/>
      <c r="AP1239" s="133">
        <f t="shared" si="2245"/>
        <v>208.68995477836143</v>
      </c>
      <c r="AQ1239" s="134">
        <f>+BB1239/Outputs!$B$17</f>
        <v>7.75331087751935E-3</v>
      </c>
      <c r="AR1239" s="93">
        <f t="shared" si="2235"/>
        <v>0.24366282696038233</v>
      </c>
      <c r="AS1239" s="93">
        <f t="shared" si="2236"/>
        <v>0.35286928337709184</v>
      </c>
      <c r="AT1239" s="93">
        <f t="shared" si="2237"/>
        <v>0.40346788966252584</v>
      </c>
      <c r="AU1239" s="93">
        <f t="shared" ca="1" si="2240"/>
        <v>2.5864929737423246E-2</v>
      </c>
      <c r="AV1239" s="132">
        <f t="shared" ca="1" si="2248"/>
        <v>83.593862663285847</v>
      </c>
      <c r="AW1239" s="134">
        <f t="shared" ca="1" si="2249"/>
        <v>2.5864929737423187E-2</v>
      </c>
      <c r="AX1239" s="135">
        <f>+AJ1239/$AL$13</f>
        <v>7.035876737582227E-3</v>
      </c>
      <c r="AY1239" s="135">
        <f t="shared" ca="1" si="2247"/>
        <v>1.8198245745873457E-4</v>
      </c>
      <c r="AZ1239" s="93"/>
      <c r="BA1239" s="93"/>
      <c r="BB1239" s="234">
        <f>IFERROR(INDEX('Total Customers'!$E$7:$AA$91,MATCH($C1239,'Total Customers'!$C$7:$C$91,0),MATCH($G1239,'Total Customers'!$E$5:$AA$5,0)),"NA")</f>
        <v>272740</v>
      </c>
      <c r="BC1239" s="269">
        <f t="shared" si="2209"/>
        <v>4.8994211728805373E-3</v>
      </c>
      <c r="BD1239" s="92"/>
      <c r="BE1239" s="299" t="str">
        <f t="shared" si="2205"/>
        <v>VIRGINIA NATURAL GAS, INC.</v>
      </c>
      <c r="BF1239" s="300">
        <f t="shared" si="2206"/>
        <v>4063762</v>
      </c>
      <c r="BG1239" s="231" t="str">
        <f t="shared" si="2207"/>
        <v>VA</v>
      </c>
      <c r="BH1239" s="231"/>
      <c r="BI1239" s="231" t="str">
        <f t="shared" si="2208"/>
        <v>2009 Y</v>
      </c>
      <c r="BJ1239" s="129"/>
      <c r="BK1239" s="129"/>
      <c r="BL1239" s="129">
        <f>INDEX('Dist. Plant Gas Additions'!$E$7:$AD$91,MATCH($C1239,'Dist. Plant Gas Additions'!$C$7:$C$91,0),MATCH(Calculation!$G1239,'Dist. Plant Gas Additions'!$E$5:$AD$5,0))</f>
        <v>23630</v>
      </c>
      <c r="BM1239" s="129">
        <f>INDEX('Gen. Plant Additions'!$E$7:$AD$91,MATCH($C1239,'Gen. Plant Additions'!$C$7:$C$91,0),MATCH(Calculation!$G1239,'Gen. Plant Additions'!$E$5:$AD$5,0))</f>
        <v>6993</v>
      </c>
      <c r="BN1239" s="301">
        <f t="shared" si="2214"/>
        <v>0.95314199401027755</v>
      </c>
      <c r="BO1239" s="231">
        <f t="shared" si="2250"/>
        <v>6665.3219641138712</v>
      </c>
      <c r="BP1239" s="231">
        <f t="shared" si="2251"/>
        <v>-327.67803588612878</v>
      </c>
      <c r="BQ1239" s="129">
        <f>INDEX('Dist Plant Depreciation'!$D$7:$AC$94,MATCH($C1239,'Dist Plant Depreciation'!$C$7:$C$94,0),MATCH(Calculation!$G1239,'Dist Plant Depreciation'!$D$5:$AC$5,0))</f>
        <v>211102</v>
      </c>
      <c r="BR1239" s="129">
        <f>INDEX('Gen. Plant Depreciation'!$D$7:$AC$94,MATCH($C1239,'Gen. Plant Depreciation'!$C$7:$C$94,0),MATCH(Calculation!$G1239,'Gen. Plant Depreciation'!$D$5:$AC$5,0))</f>
        <v>459</v>
      </c>
      <c r="BS1239" s="129"/>
      <c r="BT1239" s="129"/>
      <c r="BU1239" s="129"/>
      <c r="BV1239" s="129"/>
      <c r="BW1239" s="129"/>
      <c r="BX1239" s="137"/>
      <c r="BY1239" s="129">
        <f>INDEX('Gross Dx Plant'!$D$7:$AC$91,MATCH($C1239,'Gross Dx Plant'!$C$7:$C$91,0),MATCH(Calculation!$G1239,'Gross Dx Plant'!$D$5:$AC$5,0))</f>
        <v>547724</v>
      </c>
      <c r="BZ1239" s="129">
        <f>INDEX('Gross Gen Plant'!$D$7:$AC$91,MATCH($C1239,'Gross Gen Plant'!$C$7:$C$91,0),MATCH(Calculation!$G1239,'Gross Gen Plant'!$D$5:$AC$5,0))</f>
        <v>26927</v>
      </c>
      <c r="CA1239" s="129">
        <f t="shared" si="2162"/>
        <v>363090</v>
      </c>
      <c r="CB1239" s="129"/>
      <c r="CC1239" s="133">
        <v>2009</v>
      </c>
      <c r="CD1239" s="129"/>
      <c r="CE1239" s="129"/>
      <c r="CF1239" s="129"/>
      <c r="CG1239" s="137"/>
      <c r="CH1239" s="129">
        <f t="shared" si="2215"/>
        <v>30623</v>
      </c>
      <c r="CI1239" s="46">
        <f t="shared" si="2224"/>
        <v>30295.321964113871</v>
      </c>
      <c r="CJ1239" s="231">
        <f t="shared" si="2216"/>
        <v>54.988359799062096</v>
      </c>
      <c r="CK1239" s="443">
        <v>0.87912087912087911</v>
      </c>
      <c r="CL1239" s="231">
        <f>+CL1228*CK1239+CJ1229*CK1238+CJ1230*CK1237+CJ1231*CK1236+CJ1232*CK1235+CJ1233*CK1234+CJ1234*CK1233+CJ1235*CK1232+CJ1236*CK1231+CJ1237*CK1230+CJ1238*CK1229+CJ1239</f>
        <v>1681.7386426049088</v>
      </c>
      <c r="CM1239" s="134">
        <f t="shared" si="2217"/>
        <v>2.006933909431214E-2</v>
      </c>
      <c r="CN1239" s="135">
        <f t="shared" si="2218"/>
        <v>1.3088088482002585E-2</v>
      </c>
      <c r="CO1239" s="135">
        <f t="shared" si="2227"/>
        <v>1.273766532245516E-2</v>
      </c>
      <c r="CP1239" s="134">
        <f>VLOOKUP($H1239,RoR!$E:$F,2,FALSE)</f>
        <v>5.3133333333333324E-2</v>
      </c>
      <c r="CQ1239" s="135">
        <v>7.7972502758210105E-3</v>
      </c>
      <c r="CR1239" s="135">
        <f t="shared" si="2225"/>
        <v>4.5336083057512314E-2</v>
      </c>
      <c r="CS1239" s="135">
        <f t="shared" si="2228"/>
        <v>1.8164276286078467E-2</v>
      </c>
      <c r="CT1239" s="135">
        <f t="shared" si="2229"/>
        <v>6.3720160300892073E-2</v>
      </c>
      <c r="CU1239" s="139">
        <f t="shared" si="2219"/>
        <v>0.85607</v>
      </c>
      <c r="CV1239" s="335">
        <f t="shared" si="2220"/>
        <v>0.96515780330083989</v>
      </c>
      <c r="CW1239" s="335">
        <f t="shared" si="2221"/>
        <v>0.50448557089084056</v>
      </c>
      <c r="CX1239" s="335">
        <f t="shared" si="2222"/>
        <v>0.87391435735465484</v>
      </c>
      <c r="CY1239" s="335">
        <f t="shared" si="2223"/>
        <v>0.42551605393279146</v>
      </c>
      <c r="CZ1239" s="336">
        <f>INDEX('State Tax Lookup'!$D$7:$Z$91,MATCH(Calculation!$C1239,'State Tax Lookup'!$B$7:$B$91,0),MATCH($H1239,'State Tax Lookup'!$D$6:$Z$6,0))</f>
        <v>0.38900000000000001</v>
      </c>
      <c r="DA1239" s="302">
        <v>0.37</v>
      </c>
      <c r="DB1239" s="57">
        <f t="shared" si="2226"/>
        <v>13.932108810307101</v>
      </c>
      <c r="DC1239" s="56">
        <f t="shared" si="2230"/>
        <v>-5.214588364208067E-2</v>
      </c>
      <c r="DD1239" s="303">
        <f>VLOOKUP($H1239,RoR!$E:$F,2,FALSE)</f>
        <v>5.3133333333333324E-2</v>
      </c>
      <c r="DE1239" s="304">
        <f>HLOOKUP($H1239,'GDP-PI'!$D$8:$CQ$11,3,FALSE)</f>
        <v>7.7972502758210105E-3</v>
      </c>
      <c r="DF1239" s="303">
        <f>VLOOKUP(H1239,'HW Dx Data'!$E:$F,2,FALSE)</f>
        <v>550.94063679692806</v>
      </c>
      <c r="DG1239" s="364">
        <f ca="1">VLOOKUP(CC1239,'ECI - Input Price'!M$13:N$33,2,FALSE)</f>
        <v>110.925</v>
      </c>
      <c r="DH1239" s="364"/>
      <c r="DI1239" s="364"/>
      <c r="DJ1239" s="56">
        <f t="shared" ca="1" si="2238"/>
        <v>2.7649425000884052E-2</v>
      </c>
      <c r="DK1239" s="53">
        <f>HLOOKUP(H1239,'GDP-PI'!$8:$9,2,FALSE)</f>
        <v>94.998999999999995</v>
      </c>
      <c r="DL1239" s="355">
        <f t="shared" si="2231"/>
        <v>7.7670088183096342E-3</v>
      </c>
    </row>
    <row r="1240" spans="1:116" s="126" customFormat="1" ht="21" customHeight="1" x14ac:dyDescent="0.4">
      <c r="A1240" s="233" t="s">
        <v>254</v>
      </c>
      <c r="B1240" s="126" t="s">
        <v>254</v>
      </c>
      <c r="C1240" s="126">
        <v>4063762</v>
      </c>
      <c r="D1240" s="127" t="s">
        <v>255</v>
      </c>
      <c r="E1240" s="127"/>
      <c r="F1240" s="144"/>
      <c r="G1240" s="126" t="s">
        <v>166</v>
      </c>
      <c r="H1240" s="128">
        <v>2010</v>
      </c>
      <c r="I1240" s="129"/>
      <c r="J1240" s="125">
        <f>IFERROR(INDEX('Labor Expenditures'!$E$7:$W$91,MATCH($C1240,'Labor Expenditures'!$C$7:$C$91,0),MATCH($G1240,'Labor Expenditures'!$E$5:$W$5,0)),"NA")</f>
        <v>14781.329526203406</v>
      </c>
      <c r="K1240" s="125">
        <f t="shared" ca="1" si="2232"/>
        <v>126.41718645459403</v>
      </c>
      <c r="L1240" s="47"/>
      <c r="M1240" s="131">
        <f t="shared" ca="1" si="2239"/>
        <v>1.1042963570795187E-2</v>
      </c>
      <c r="N1240" s="131"/>
      <c r="O1240" s="131"/>
      <c r="P1240" s="59">
        <f t="shared" ca="1" si="2241"/>
        <v>7.8321548748736011E-5</v>
      </c>
      <c r="Q1240" s="61"/>
      <c r="R1240" s="387"/>
      <c r="S1240" s="49">
        <f t="shared" ca="1" si="2246"/>
        <v>97.850305425209484</v>
      </c>
      <c r="T1240" s="61">
        <f ca="1">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</f>
        <v>-0.17410310422291933</v>
      </c>
      <c r="U1240" s="61"/>
      <c r="V1240" s="125">
        <f>IFERROR(INDEX('Non-Labor Expenditures'!$E$7:$AA$91,MATCH($C1240,'Non-Labor Expenditures'!$C$7:$C$91,0),MATCH($G1240,'Non-Labor Expenditures'!$E$5:$AA$5,0)),"NA")</f>
        <v>21406.125925478591</v>
      </c>
      <c r="W1240" s="125">
        <f t="shared" si="2233"/>
        <v>222.72758977284741</v>
      </c>
      <c r="X1240" s="131">
        <f t="shared" si="2242"/>
        <v>5.2104771110621222E-2</v>
      </c>
      <c r="Y1240" s="131">
        <f t="shared" si="2243"/>
        <v>3.6954992601577426E-4</v>
      </c>
      <c r="Z1240" s="131"/>
      <c r="AA1240" s="131"/>
      <c r="AB1240" s="131"/>
      <c r="AC1240" s="125">
        <f t="shared" si="2213"/>
        <v>23792.055716522067</v>
      </c>
      <c r="AD1240" s="129"/>
      <c r="AE1240" s="133">
        <v>1814.1164509911339</v>
      </c>
      <c r="AF1240" s="134">
        <v>2.2254841052983792E-2</v>
      </c>
      <c r="AG1240" s="59">
        <f t="shared" si="2234"/>
        <v>1.578411091598963E-4</v>
      </c>
      <c r="AH1240" s="134"/>
      <c r="AI1240" s="134"/>
      <c r="AJ1240" s="129">
        <f t="shared" si="2138"/>
        <v>59979.511168204066</v>
      </c>
      <c r="AK1240" s="134">
        <f t="shared" si="2244"/>
        <v>5.2389661353036028E-2</v>
      </c>
      <c r="AL1240" s="129"/>
      <c r="AM1240" s="129"/>
      <c r="AN1240" s="129"/>
      <c r="AO1240" s="129"/>
      <c r="AP1240" s="133">
        <f t="shared" si="2245"/>
        <v>217.96147729593315</v>
      </c>
      <c r="AQ1240" s="134">
        <f>+BB1240/Outputs!$B$18</f>
        <v>7.7799859420598222E-3</v>
      </c>
      <c r="AR1240" s="93">
        <f t="shared" si="2235"/>
        <v>0.24643964644445426</v>
      </c>
      <c r="AS1240" s="93">
        <f t="shared" si="2236"/>
        <v>0.3568906366283669</v>
      </c>
      <c r="AT1240" s="93">
        <f t="shared" si="2237"/>
        <v>0.39666971692717884</v>
      </c>
      <c r="AU1240" s="93">
        <f t="shared" ca="1" si="2240"/>
        <v>3.0100498595156122E-2</v>
      </c>
      <c r="AV1240" s="132">
        <f t="shared" ca="1" si="2248"/>
        <v>86.14833214339285</v>
      </c>
      <c r="AW1240" s="134">
        <f t="shared" ca="1" si="2249"/>
        <v>3.0100498595156129E-2</v>
      </c>
      <c r="AX1240" s="135">
        <f>+AJ1240/$AL$14</f>
        <v>7.0924392937299343E-3</v>
      </c>
      <c r="AY1240" s="135">
        <f t="shared" ca="1" si="2247"/>
        <v>2.1348595899714802E-4</v>
      </c>
      <c r="AZ1240" s="93"/>
      <c r="BA1240" s="93"/>
      <c r="BB1240" s="234">
        <f>IFERROR(INDEX('Total Customers'!$E$7:$AA$91,MATCH($C1240,'Total Customers'!$C$7:$C$91,0),MATCH($G1240,'Total Customers'!$E$5:$AA$5,0)),"NA")</f>
        <v>275184</v>
      </c>
      <c r="BC1240" s="269">
        <f t="shared" si="2209"/>
        <v>8.9210044044487867E-3</v>
      </c>
      <c r="BD1240" s="92"/>
      <c r="BE1240" s="299" t="str">
        <f t="shared" si="2205"/>
        <v>VIRGINIA NATURAL GAS, INC.</v>
      </c>
      <c r="BF1240" s="300">
        <f t="shared" si="2206"/>
        <v>4063762</v>
      </c>
      <c r="BG1240" s="231" t="str">
        <f t="shared" si="2207"/>
        <v>VA</v>
      </c>
      <c r="BH1240" s="231"/>
      <c r="BI1240" s="231" t="str">
        <f t="shared" si="2208"/>
        <v>2010 Y</v>
      </c>
      <c r="BJ1240" s="129"/>
      <c r="BK1240" s="129"/>
      <c r="BL1240" s="129">
        <f>INDEX('Dist. Plant Gas Additions'!$E$7:$AD$91,MATCH($C1240,'Dist. Plant Gas Additions'!$C$7:$C$91,0),MATCH(Calculation!$G1240,'Dist. Plant Gas Additions'!$E$5:$AD$5,0))</f>
        <v>29298</v>
      </c>
      <c r="BM1240" s="129">
        <f>INDEX('Gen. Plant Additions'!$E$7:$AD$91,MATCH($C1240,'Gen. Plant Additions'!$C$7:$C$91,0),MATCH(Calculation!$G1240,'Gen. Plant Additions'!$E$5:$AD$5,0))</f>
        <v>637</v>
      </c>
      <c r="BN1240" s="301">
        <f t="shared" si="2214"/>
        <v>0.9646128568150566</v>
      </c>
      <c r="BO1240" s="231">
        <f t="shared" si="2250"/>
        <v>614.45838979119105</v>
      </c>
      <c r="BP1240" s="231">
        <f t="shared" si="2251"/>
        <v>-22.541610208808947</v>
      </c>
      <c r="BQ1240" s="129">
        <f>INDEX('Dist Plant Depreciation'!$D$7:$AC$94,MATCH($C1240,'Dist Plant Depreciation'!$C$7:$C$94,0),MATCH(Calculation!$G1240,'Dist Plant Depreciation'!$D$5:$AC$5,0))</f>
        <v>218254</v>
      </c>
      <c r="BR1240" s="129">
        <f>INDEX('Gen. Plant Depreciation'!$D$7:$AC$94,MATCH($C1240,'Gen. Plant Depreciation'!$C$7:$C$94,0),MATCH(Calculation!$G1240,'Gen. Plant Depreciation'!$D$5:$AC$5,0))</f>
        <v>2041</v>
      </c>
      <c r="BS1240" s="129"/>
      <c r="BT1240" s="129"/>
      <c r="BU1240" s="129"/>
      <c r="BV1240" s="129"/>
      <c r="BW1240" s="129"/>
      <c r="BX1240" s="137"/>
      <c r="BY1240" s="129">
        <f>INDEX('Gross Dx Plant'!$D$7:$AC$91,MATCH($C1240,'Gross Dx Plant'!$C$7:$C$91,0),MATCH(Calculation!$G1240,'Gross Dx Plant'!$D$5:$AC$5,0))</f>
        <v>575925</v>
      </c>
      <c r="BZ1240" s="129">
        <f>INDEX('Gross Gen Plant'!$D$7:$AC$91,MATCH($C1240,'Gross Gen Plant'!$C$7:$C$91,0),MATCH(Calculation!$G1240,'Gross Gen Plant'!$D$5:$AC$5,0))</f>
        <v>21128</v>
      </c>
      <c r="CA1240" s="129">
        <f t="shared" si="2162"/>
        <v>376758</v>
      </c>
      <c r="CB1240" s="129"/>
      <c r="CC1240" s="133">
        <v>2010</v>
      </c>
      <c r="CD1240" s="129"/>
      <c r="CE1240" s="129"/>
      <c r="CF1240" s="129"/>
      <c r="CG1240" s="137"/>
      <c r="CH1240" s="129">
        <f t="shared" si="2215"/>
        <v>29935</v>
      </c>
      <c r="CI1240" s="46">
        <f t="shared" si="2224"/>
        <v>29912.458389791191</v>
      </c>
      <c r="CJ1240" s="231">
        <f t="shared" si="2216"/>
        <v>52.571195516865956</v>
      </c>
      <c r="CK1240" s="443">
        <v>0.8666666666666667</v>
      </c>
      <c r="CL1240" s="231">
        <f>+CL1228*CK1240+CJ1229*CK1239+CJ1230*CK1238+CJ1231*CK1237+CJ1232*CK1236+CJ1233*CK1235+CJ1234*CK1234+CJ1235*CK1233+CJ1236*CK1232+CJ1237*CK1231+CJ1238*CK1230+CJ1239*CK1229+CJ1240</f>
        <v>1711.7184793078964</v>
      </c>
      <c r="CM1240" s="134">
        <f t="shared" si="2217"/>
        <v>1.7669659960003772E-2</v>
      </c>
      <c r="CN1240" s="135">
        <f t="shared" si="2218"/>
        <v>1.3433335145873679E-2</v>
      </c>
      <c r="CO1240" s="135">
        <f t="shared" si="2227"/>
        <v>1.3071664113774648E-2</v>
      </c>
      <c r="CP1240" s="134">
        <f>VLOOKUP($H1240,RoR!$E:$F,2,FALSE)</f>
        <v>4.9433333333333322E-2</v>
      </c>
      <c r="CQ1240" s="135">
        <v>1.1684333519300205E-2</v>
      </c>
      <c r="CR1240" s="135">
        <f t="shared" si="2225"/>
        <v>3.7748999814033117E-2</v>
      </c>
      <c r="CS1240" s="135">
        <f t="shared" si="2228"/>
        <v>1.7830277494758975E-2</v>
      </c>
      <c r="CT1240" s="135">
        <f t="shared" si="2229"/>
        <v>4.7937530248493419E-2</v>
      </c>
      <c r="CU1240" s="139">
        <f t="shared" si="2219"/>
        <v>0.85607</v>
      </c>
      <c r="CV1240" s="335">
        <f t="shared" si="2220"/>
        <v>1.037398205301105</v>
      </c>
      <c r="CW1240" s="335">
        <f t="shared" si="2221"/>
        <v>0.46926837491571133</v>
      </c>
      <c r="CX1240" s="335">
        <f t="shared" si="2222"/>
        <v>0.8548537519972772</v>
      </c>
      <c r="CY1240" s="335">
        <f t="shared" si="2223"/>
        <v>0.41615833911547367</v>
      </c>
      <c r="CZ1240" s="336">
        <f>INDEX('State Tax Lookup'!$D$7:$Z$91,MATCH(Calculation!$C1240,'State Tax Lookup'!$B$7:$B$91,0),MATCH($H1240,'State Tax Lookup'!$D$6:$Z$6,0))</f>
        <v>0.38900000000000001</v>
      </c>
      <c r="DA1240" s="302">
        <v>0.37</v>
      </c>
      <c r="DB1240" s="57">
        <f t="shared" si="2226"/>
        <v>14.147296799739138</v>
      </c>
      <c r="DC1240" s="56">
        <f t="shared" si="2230"/>
        <v>1.5327404378482115E-2</v>
      </c>
      <c r="DD1240" s="303">
        <f>VLOOKUP($H1240,RoR!$E:$F,2,FALSE)</f>
        <v>4.9433333333333322E-2</v>
      </c>
      <c r="DE1240" s="304">
        <f>HLOOKUP($H1240,'GDP-PI'!$D$8:$CQ$11,3,FALSE)</f>
        <v>1.1684333519300205E-2</v>
      </c>
      <c r="DF1240" s="303">
        <f>VLOOKUP(H1240,'HW Dx Data'!$E:$F,2,FALSE)</f>
        <v>568.98950262971744</v>
      </c>
      <c r="DG1240" s="364">
        <f ca="1">VLOOKUP(CC1240,'ECI - Input Price'!M$13:N$33,2,FALSE)</f>
        <v>116.925</v>
      </c>
      <c r="DH1240" s="364"/>
      <c r="DI1240" s="364"/>
      <c r="DJ1240" s="56">
        <f t="shared" ca="1" si="2238"/>
        <v>5.2678406346976722E-2</v>
      </c>
      <c r="DK1240" s="53">
        <f>HLOOKUP(H1240,'GDP-PI'!$8:$9,2,FALSE)</f>
        <v>96.108999999999995</v>
      </c>
      <c r="DL1240" s="355">
        <f t="shared" si="2231"/>
        <v>1.1616598807150427E-2</v>
      </c>
    </row>
    <row r="1241" spans="1:116" s="126" customFormat="1" ht="21" customHeight="1" x14ac:dyDescent="0.4">
      <c r="A1241" s="233" t="s">
        <v>254</v>
      </c>
      <c r="B1241" s="126" t="s">
        <v>254</v>
      </c>
      <c r="C1241" s="126">
        <v>4063762</v>
      </c>
      <c r="D1241" s="127" t="s">
        <v>255</v>
      </c>
      <c r="E1241" s="127"/>
      <c r="F1241" s="144"/>
      <c r="G1241" s="126" t="s">
        <v>167</v>
      </c>
      <c r="H1241" s="128">
        <v>2011</v>
      </c>
      <c r="I1241" s="129"/>
      <c r="J1241" s="125">
        <f>IFERROR(INDEX('Labor Expenditures'!$E$7:$W$91,MATCH($C1241,'Labor Expenditures'!$C$7:$C$91,0),MATCH($G1241,'Labor Expenditures'!$E$5:$W$5,0)),"NA")</f>
        <v>14197.167540529112</v>
      </c>
      <c r="K1241" s="125">
        <f t="shared" ca="1" si="2232"/>
        <v>117.45329919775894</v>
      </c>
      <c r="L1241" s="47"/>
      <c r="M1241" s="131">
        <f t="shared" ca="1" si="2239"/>
        <v>-7.3546640313696246E-2</v>
      </c>
      <c r="N1241" s="131"/>
      <c r="O1241" s="131"/>
      <c r="P1241" s="59">
        <f t="shared" ca="1" si="2241"/>
        <v>-5.0884077680577486E-4</v>
      </c>
      <c r="Q1241" s="61"/>
      <c r="R1241" s="387"/>
      <c r="S1241" s="49">
        <f t="shared" ca="1" si="2246"/>
        <v>118.5800948451336</v>
      </c>
      <c r="T1241" s="61">
        <f ca="1">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</f>
        <v>0.1921498229212211</v>
      </c>
      <c r="U1241" s="61"/>
      <c r="V1241" s="125">
        <f>IFERROR(INDEX('Non-Labor Expenditures'!$E$7:$AA$91,MATCH($C1241,'Non-Labor Expenditures'!$C$7:$C$91,0),MATCH($G1241,'Non-Labor Expenditures'!$E$5:$AA$5,0)),"NA")</f>
        <v>20560.150263813375</v>
      </c>
      <c r="W1241" s="125">
        <f t="shared" si="2233"/>
        <v>209.55795686372082</v>
      </c>
      <c r="X1241" s="131">
        <f t="shared" si="2242"/>
        <v>-6.0949109365036711E-2</v>
      </c>
      <c r="Y1241" s="131">
        <f t="shared" si="2243"/>
        <v>-4.2168332941715524E-4</v>
      </c>
      <c r="Z1241" s="131"/>
      <c r="AA1241" s="131"/>
      <c r="AB1241" s="131"/>
      <c r="AC1241" s="125">
        <f t="shared" si="2213"/>
        <v>25556.026835695175</v>
      </c>
      <c r="AD1241" s="129"/>
      <c r="AE1241" s="133">
        <v>1888.5873451798159</v>
      </c>
      <c r="AF1241" s="134">
        <v>4.023056786118151E-2</v>
      </c>
      <c r="AG1241" s="59">
        <f t="shared" si="2234"/>
        <v>2.7833974896075339E-4</v>
      </c>
      <c r="AH1241" s="134"/>
      <c r="AI1241" s="134"/>
      <c r="AJ1241" s="129">
        <f t="shared" si="2138"/>
        <v>60313.344640037656</v>
      </c>
      <c r="AK1241" s="134">
        <f t="shared" si="2244"/>
        <v>5.5503600211351768E-3</v>
      </c>
      <c r="AL1241" s="129"/>
      <c r="AM1241" s="129"/>
      <c r="AN1241" s="129"/>
      <c r="AO1241" s="129"/>
      <c r="AP1241" s="133">
        <f t="shared" si="2245"/>
        <v>216.81799097703839</v>
      </c>
      <c r="AQ1241" s="134">
        <f>+BB1241/Outputs!$B$19</f>
        <v>7.8266009559496367E-3</v>
      </c>
      <c r="AR1241" s="93">
        <f t="shared" si="2235"/>
        <v>0.23539015495261792</v>
      </c>
      <c r="AS1241" s="93">
        <f t="shared" si="2236"/>
        <v>0.34088890918785131</v>
      </c>
      <c r="AT1241" s="93">
        <f t="shared" si="2237"/>
        <v>0.42372093585953086</v>
      </c>
      <c r="AU1241" s="93">
        <f t="shared" ca="1" si="2240"/>
        <v>-2.2480611558396882E-2</v>
      </c>
      <c r="AV1241" s="132">
        <f t="shared" ca="1" si="2248"/>
        <v>84.233271471377762</v>
      </c>
      <c r="AW1241" s="134">
        <f t="shared" ca="1" si="2249"/>
        <v>-2.248061155839684E-2</v>
      </c>
      <c r="AX1241" s="135">
        <f>+AJ1241/$AL$15</f>
        <v>6.9186134762299371E-3</v>
      </c>
      <c r="AY1241" s="135">
        <f t="shared" ca="1" si="2247"/>
        <v>-1.5553466208181486E-4</v>
      </c>
      <c r="AZ1241" s="93"/>
      <c r="BA1241" s="93"/>
      <c r="BB1241" s="234">
        <f>IFERROR(INDEX('Total Customers'!$E$7:$AA$91,MATCH($C1241,'Total Customers'!$C$7:$C$91,0),MATCH($G1241,'Total Customers'!$E$5:$AA$5,0)),"NA")</f>
        <v>278175</v>
      </c>
      <c r="BC1241" s="269">
        <f t="shared" si="2209"/>
        <v>1.0810447209627641E-2</v>
      </c>
      <c r="BD1241" s="92"/>
      <c r="BE1241" s="299" t="str">
        <f t="shared" si="2205"/>
        <v>VIRGINIA NATURAL GAS, INC.</v>
      </c>
      <c r="BF1241" s="300">
        <f t="shared" si="2206"/>
        <v>4063762</v>
      </c>
      <c r="BG1241" s="231" t="str">
        <f t="shared" si="2207"/>
        <v>VA</v>
      </c>
      <c r="BH1241" s="231"/>
      <c r="BI1241" s="231" t="str">
        <f t="shared" si="2208"/>
        <v>2011 Y</v>
      </c>
      <c r="BJ1241" s="129"/>
      <c r="BK1241" s="129"/>
      <c r="BL1241" s="129">
        <f>INDEX('Dist. Plant Gas Additions'!$E$7:$AD$91,MATCH($C1241,'Dist. Plant Gas Additions'!$C$7:$C$91,0),MATCH(Calculation!$G1241,'Dist. Plant Gas Additions'!$E$5:$AD$5,0))</f>
        <v>52683</v>
      </c>
      <c r="BM1241" s="129">
        <f>INDEX('Gen. Plant Additions'!$E$7:$AD$91,MATCH($C1241,'Gen. Plant Additions'!$C$7:$C$91,0),MATCH(Calculation!$G1241,'Gen. Plant Additions'!$E$5:$AD$5,0))</f>
        <v>1058</v>
      </c>
      <c r="BN1241" s="301">
        <f t="shared" si="2214"/>
        <v>0.96668745140604917</v>
      </c>
      <c r="BO1241" s="231">
        <f t="shared" si="2250"/>
        <v>1022.7553235876001</v>
      </c>
      <c r="BP1241" s="231">
        <f t="shared" si="2251"/>
        <v>-35.24467641239994</v>
      </c>
      <c r="BQ1241" s="129">
        <f>INDEX('Dist Plant Depreciation'!$D$7:$AC$94,MATCH($C1241,'Dist Plant Depreciation'!$C$7:$C$94,0),MATCH(Calculation!$G1241,'Dist Plant Depreciation'!$D$5:$AC$5,0))</f>
        <v>216848</v>
      </c>
      <c r="BR1241" s="129">
        <f>INDEX('Gen. Plant Depreciation'!$D$7:$AC$94,MATCH($C1241,'Gen. Plant Depreciation'!$C$7:$C$94,0),MATCH(Calculation!$G1241,'Gen. Plant Depreciation'!$D$5:$AC$5,0))</f>
        <v>2874</v>
      </c>
      <c r="BS1241" s="129"/>
      <c r="BT1241" s="129"/>
      <c r="BU1241" s="129"/>
      <c r="BV1241" s="129"/>
      <c r="BW1241" s="129"/>
      <c r="BX1241" s="137"/>
      <c r="BY1241" s="129">
        <f>INDEX('Gross Dx Plant'!$D$7:$AC$91,MATCH($C1241,'Gross Dx Plant'!$C$7:$C$91,0),MATCH(Calculation!$G1241,'Gross Dx Plant'!$D$5:$AC$5,0))</f>
        <v>627878</v>
      </c>
      <c r="BZ1241" s="129">
        <f>INDEX('Gross Gen Plant'!$D$7:$AC$91,MATCH($C1241,'Gross Gen Plant'!$C$7:$C$91,0),MATCH(Calculation!$G1241,'Gross Gen Plant'!$D$5:$AC$5,0))</f>
        <v>21637</v>
      </c>
      <c r="CA1241" s="129">
        <f t="shared" si="2162"/>
        <v>429793</v>
      </c>
      <c r="CB1241" s="129"/>
      <c r="CC1241" s="133">
        <v>2011</v>
      </c>
      <c r="CD1241" s="129"/>
      <c r="CE1241" s="129"/>
      <c r="CF1241" s="129"/>
      <c r="CG1241" s="137"/>
      <c r="CH1241" s="129">
        <f t="shared" si="2215"/>
        <v>53741</v>
      </c>
      <c r="CI1241" s="46">
        <f t="shared" si="2224"/>
        <v>53705.755323587597</v>
      </c>
      <c r="CJ1241" s="231">
        <f t="shared" si="2216"/>
        <v>87.81030243571918</v>
      </c>
      <c r="CK1241" s="443">
        <v>0.8539325842696629</v>
      </c>
      <c r="CL1241" s="231">
        <f>+CL1228*CK1241+CJ1229*CK1240+CJ1230*CK1239+CJ1231*CK1238+CJ1232*CK1237+CJ1233*CK1236+CJ1234*CK1235+CJ1235*CK1234+CJ1236*CK1233+CJ1237*CK1232+CJ1238*CK1231+CJ1239*CK1230+CJ1240*CK1229+CJ1241</f>
        <v>1775.9167394019721</v>
      </c>
      <c r="CM1241" s="134">
        <f t="shared" si="2217"/>
        <v>3.6818937962408295E-2</v>
      </c>
      <c r="CN1241" s="135">
        <f t="shared" si="2218"/>
        <v>1.3794349145071185E-2</v>
      </c>
      <c r="CO1241" s="135">
        <f t="shared" si="2227"/>
        <v>1.3438590924315817E-2</v>
      </c>
      <c r="CP1241" s="134">
        <f>VLOOKUP($H1241,RoR!$E:$F,2,FALSE)</f>
        <v>4.6391666666666664E-2</v>
      </c>
      <c r="CQ1241" s="135">
        <v>2.0840920205183799E-2</v>
      </c>
      <c r="CR1241" s="135">
        <f t="shared" si="2225"/>
        <v>2.5550746461482865E-2</v>
      </c>
      <c r="CS1241" s="135">
        <f t="shared" si="2228"/>
        <v>1.746335068421781E-2</v>
      </c>
      <c r="CT1241" s="135">
        <f t="shared" si="2229"/>
        <v>2.4810540821321614E-2</v>
      </c>
      <c r="CU1241" s="139">
        <f t="shared" si="2219"/>
        <v>0.85607</v>
      </c>
      <c r="CV1241" s="335">
        <f t="shared" si="2220"/>
        <v>1.1054151524782025</v>
      </c>
      <c r="CW1241" s="335">
        <f t="shared" si="2221"/>
        <v>0.43611011316687626</v>
      </c>
      <c r="CX1241" s="335">
        <f t="shared" si="2222"/>
        <v>0.83698442246886229</v>
      </c>
      <c r="CY1241" s="335">
        <f t="shared" si="2223"/>
        <v>0.40349573304423936</v>
      </c>
      <c r="CZ1241" s="336">
        <f>INDEX('State Tax Lookup'!$D$7:$Z$91,MATCH(Calculation!$C1241,'State Tax Lookup'!$B$7:$B$91,0),MATCH($H1241,'State Tax Lookup'!$D$6:$Z$6,0))</f>
        <v>0.38900000000000001</v>
      </c>
      <c r="DA1241" s="302">
        <v>0.37</v>
      </c>
      <c r="DB1241" s="57">
        <f t="shared" si="2226"/>
        <v>14.930040859305503</v>
      </c>
      <c r="DC1241" s="56">
        <f t="shared" si="2230"/>
        <v>5.3851781321137632E-2</v>
      </c>
      <c r="DD1241" s="303">
        <f>VLOOKUP($H1241,RoR!$E:$F,2,FALSE)</f>
        <v>4.6391666666666664E-2</v>
      </c>
      <c r="DE1241" s="304">
        <f>HLOOKUP($H1241,'GDP-PI'!$D$8:$CQ$11,3,FALSE)</f>
        <v>2.0840920205183799E-2</v>
      </c>
      <c r="DF1241" s="303">
        <f>VLOOKUP(H1241,'HW Dx Data'!$E:$F,2,FALSE)</f>
        <v>611.61109612283201</v>
      </c>
      <c r="DG1241" s="364">
        <f ca="1">VLOOKUP(CC1241,'ECI - Input Price'!M$13:N$33,2,FALSE)</f>
        <v>120.875</v>
      </c>
      <c r="DH1241" s="364"/>
      <c r="DI1241" s="364"/>
      <c r="DJ1241" s="56">
        <f t="shared" ca="1" si="2238"/>
        <v>3.3224250161508609E-2</v>
      </c>
      <c r="DK1241" s="53">
        <f>HLOOKUP(H1241,'GDP-PI'!$8:$9,2,FALSE)</f>
        <v>98.111999999999995</v>
      </c>
      <c r="DL1241" s="355">
        <f t="shared" si="2231"/>
        <v>2.0626719212849295E-2</v>
      </c>
    </row>
    <row r="1242" spans="1:116" s="126" customFormat="1" ht="21" customHeight="1" x14ac:dyDescent="0.4">
      <c r="A1242" s="233" t="s">
        <v>254</v>
      </c>
      <c r="B1242" s="126" t="s">
        <v>254</v>
      </c>
      <c r="C1242" s="126">
        <v>4063762</v>
      </c>
      <c r="D1242" s="127" t="s">
        <v>255</v>
      </c>
      <c r="E1242" s="127"/>
      <c r="F1242" s="144"/>
      <c r="G1242" s="126" t="s">
        <v>168</v>
      </c>
      <c r="H1242" s="128">
        <v>2012</v>
      </c>
      <c r="I1242" s="129"/>
      <c r="J1242" s="125">
        <f>IFERROR(INDEX('Labor Expenditures'!$E$7:$W$91,MATCH($C1242,'Labor Expenditures'!$C$7:$C$91,0),MATCH($G1242,'Labor Expenditures'!$E$5:$W$5,0)),"NA")</f>
        <v>14306.280284408629</v>
      </c>
      <c r="K1242" s="125">
        <f t="shared" ca="1" si="2232"/>
        <v>114.63365612506914</v>
      </c>
      <c r="L1242" s="47"/>
      <c r="M1242" s="131">
        <f t="shared" ca="1" si="2239"/>
        <v>-2.4299356313569633E-2</v>
      </c>
      <c r="N1242" s="131"/>
      <c r="O1242" s="131"/>
      <c r="P1242" s="59">
        <f t="shared" ca="1" si="2241"/>
        <v>-1.6973004982633543E-4</v>
      </c>
      <c r="Q1242" s="61"/>
      <c r="R1242" s="387"/>
      <c r="S1242" s="49">
        <f t="shared" ca="1" si="2246"/>
        <v>118.32532359364303</v>
      </c>
      <c r="T1242" s="61">
        <f ca="1">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</f>
        <v>-2.1508275444698001E-3</v>
      </c>
      <c r="U1242" s="61"/>
      <c r="V1242" s="125">
        <f>IFERROR(INDEX('Non-Labor Expenditures'!$E$7:$AA$91,MATCH($C1242,'Non-Labor Expenditures'!$C$7:$C$91,0),MATCH($G1242,'Non-Labor Expenditures'!$E$5:$AA$5,0)),"NA")</f>
        <v>20718.16589640034</v>
      </c>
      <c r="W1242" s="125">
        <f t="shared" si="2233"/>
        <v>207.18165896400339</v>
      </c>
      <c r="X1242" s="131">
        <f t="shared" si="2242"/>
        <v>-1.1404356890443463E-2</v>
      </c>
      <c r="Y1242" s="131">
        <f t="shared" si="2243"/>
        <v>-7.9658985130043867E-5</v>
      </c>
      <c r="Z1242" s="131"/>
      <c r="AA1242" s="131"/>
      <c r="AB1242" s="131"/>
      <c r="AC1242" s="125">
        <f t="shared" si="2213"/>
        <v>28347.879609544645</v>
      </c>
      <c r="AD1242" s="129"/>
      <c r="AE1242" s="133">
        <v>1933.1821512572974</v>
      </c>
      <c r="AF1242" s="134">
        <v>2.3338315012240794E-2</v>
      </c>
      <c r="AG1242" s="59">
        <f t="shared" si="2234"/>
        <v>1.6301721406826973E-4</v>
      </c>
      <c r="AH1242" s="134"/>
      <c r="AI1242" s="134"/>
      <c r="AJ1242" s="129">
        <f t="shared" si="2138"/>
        <v>63372.325790353614</v>
      </c>
      <c r="AK1242" s="134">
        <f t="shared" si="2244"/>
        <v>4.9473881023579358E-2</v>
      </c>
      <c r="AL1242" s="129"/>
      <c r="AM1242" s="129"/>
      <c r="AN1242" s="129"/>
      <c r="AO1242" s="129"/>
      <c r="AP1242" s="133">
        <f t="shared" si="2245"/>
        <v>225.52027825253504</v>
      </c>
      <c r="AQ1242" s="134">
        <f>+BB1242/Outputs!$B$20</f>
        <v>7.8683353550301951E-3</v>
      </c>
      <c r="AR1242" s="93">
        <f t="shared" si="2235"/>
        <v>0.22574964869896408</v>
      </c>
      <c r="AS1242" s="93">
        <f t="shared" si="2236"/>
        <v>0.32692765553436592</v>
      </c>
      <c r="AT1242" s="93">
        <f t="shared" si="2237"/>
        <v>0.44732269576667</v>
      </c>
      <c r="AU1242" s="93">
        <f t="shared" ca="1" si="2240"/>
        <v>7.5363591177853712E-4</v>
      </c>
      <c r="AV1242" s="132">
        <f t="shared" ca="1" si="2248"/>
        <v>84.29677661659845</v>
      </c>
      <c r="AW1242" s="134">
        <f t="shared" ca="1" si="2249"/>
        <v>7.5363591177846144E-4</v>
      </c>
      <c r="AX1242" s="135">
        <f>+AJ1242/$AL$16</f>
        <v>6.9849607387152098E-3</v>
      </c>
      <c r="AY1242" s="135">
        <f t="shared" ca="1" si="2247"/>
        <v>5.2641172550583925E-6</v>
      </c>
      <c r="AZ1242" s="93"/>
      <c r="BA1242" s="93"/>
      <c r="BB1242" s="234">
        <f>IFERROR(INDEX('Total Customers'!$E$7:$AA$91,MATCH($C1242,'Total Customers'!$C$7:$C$91,0),MATCH($G1242,'Total Customers'!$E$5:$AA$5,0)),"NA")</f>
        <v>281005</v>
      </c>
      <c r="BC1242" s="269">
        <f t="shared" si="2209"/>
        <v>1.0122050725983595E-2</v>
      </c>
      <c r="BD1242" s="92"/>
      <c r="BE1242" s="299" t="str">
        <f t="shared" si="2205"/>
        <v>VIRGINIA NATURAL GAS, INC.</v>
      </c>
      <c r="BF1242" s="300">
        <f t="shared" si="2206"/>
        <v>4063762</v>
      </c>
      <c r="BG1242" s="231" t="str">
        <f t="shared" si="2207"/>
        <v>VA</v>
      </c>
      <c r="BH1242" s="231"/>
      <c r="BI1242" s="231" t="str">
        <f t="shared" si="2208"/>
        <v>2012 Y</v>
      </c>
      <c r="BJ1242" s="129"/>
      <c r="BK1242" s="129"/>
      <c r="BL1242" s="129">
        <f>INDEX('Dist. Plant Gas Additions'!$E$7:$AD$91,MATCH($C1242,'Dist. Plant Gas Additions'!$C$7:$C$91,0),MATCH(Calculation!$G1242,'Dist. Plant Gas Additions'!$E$5:$AD$5,0))</f>
        <v>36933</v>
      </c>
      <c r="BM1242" s="129">
        <f>INDEX('Gen. Plant Additions'!$E$7:$AD$91,MATCH($C1242,'Gen. Plant Additions'!$C$7:$C$91,0),MATCH(Calculation!$G1242,'Gen. Plant Additions'!$E$5:$AD$5,0))</f>
        <v>2475</v>
      </c>
      <c r="BN1242" s="301">
        <f t="shared" si="2214"/>
        <v>0.96510363831376644</v>
      </c>
      <c r="BO1242" s="231">
        <f t="shared" si="2250"/>
        <v>2388.6315048265719</v>
      </c>
      <c r="BP1242" s="231">
        <f t="shared" si="2251"/>
        <v>-86.368495173428073</v>
      </c>
      <c r="BQ1242" s="129">
        <f>INDEX('Dist Plant Depreciation'!$D$7:$AC$94,MATCH($C1242,'Dist Plant Depreciation'!$C$7:$C$94,0),MATCH(Calculation!$G1242,'Dist Plant Depreciation'!$D$5:$AC$5,0))</f>
        <v>217655</v>
      </c>
      <c r="BR1242" s="129">
        <f>INDEX('Gen. Plant Depreciation'!$D$7:$AC$94,MATCH($C1242,'Gen. Plant Depreciation'!$C$7:$C$94,0),MATCH(Calculation!$G1242,'Gen. Plant Depreciation'!$D$5:$AC$5,0))</f>
        <v>4637</v>
      </c>
      <c r="BS1242" s="129"/>
      <c r="BT1242" s="129"/>
      <c r="BU1242" s="129"/>
      <c r="BV1242" s="129"/>
      <c r="BW1242" s="129"/>
      <c r="BX1242" s="137"/>
      <c r="BY1242" s="129">
        <f>INDEX('Gross Dx Plant'!$D$7:$AC$91,MATCH($C1242,'Gross Dx Plant'!$C$7:$C$91,0),MATCH(Calculation!$G1242,'Gross Dx Plant'!$D$5:$AC$5,0))</f>
        <v>664055</v>
      </c>
      <c r="BZ1242" s="129">
        <f>INDEX('Gross Gen Plant'!$D$7:$AC$91,MATCH($C1242,'Gross Gen Plant'!$C$7:$C$91,0),MATCH(Calculation!$G1242,'Gross Gen Plant'!$D$5:$AC$5,0))</f>
        <v>24011</v>
      </c>
      <c r="CA1242" s="129">
        <f t="shared" si="2162"/>
        <v>465774</v>
      </c>
      <c r="CB1242" s="129"/>
      <c r="CC1242" s="133">
        <v>2012</v>
      </c>
      <c r="CD1242" s="129"/>
      <c r="CE1242" s="129"/>
      <c r="CF1242" s="129"/>
      <c r="CG1242" s="137"/>
      <c r="CH1242" s="129">
        <f t="shared" si="2215"/>
        <v>39408</v>
      </c>
      <c r="CI1242" s="46">
        <f t="shared" si="2224"/>
        <v>39321.631504826575</v>
      </c>
      <c r="CJ1242" s="231">
        <f t="shared" si="2216"/>
        <v>58.783817726536299</v>
      </c>
      <c r="CK1242" s="443">
        <v>0.84090909090909094</v>
      </c>
      <c r="CL1242" s="231">
        <f>+CL1228*CK1242+CJ1229*CK1241+CJ1230*CK1240+CJ1231*CK1239+CJ1232*CK1238+CJ1233*CK1237+CJ1234*CK1236+CJ1235*CK1235+CJ1236*CK1234+CJ1237*CK1233+CJ1238*CK1232+CJ1239*CK1231+CJ1240*CK1230+CJ1241*CK1229+CJ1242</f>
        <v>1809.6917055086526</v>
      </c>
      <c r="CM1242" s="134">
        <f t="shared" si="2217"/>
        <v>1.8839739818265207E-2</v>
      </c>
      <c r="CN1242" s="135">
        <f t="shared" si="2218"/>
        <v>1.40822207848986E-2</v>
      </c>
      <c r="CO1242" s="135">
        <f t="shared" si="2227"/>
        <v>1.3769968358614488E-2</v>
      </c>
      <c r="CP1242" s="134">
        <f>VLOOKUP($H1242,RoR!$E:$F,2,FALSE)</f>
        <v>3.6733333333333333E-2</v>
      </c>
      <c r="CQ1242" s="135">
        <v>1.924331376386168E-2</v>
      </c>
      <c r="CR1242" s="135">
        <f t="shared" si="2225"/>
        <v>1.7490019569471653E-2</v>
      </c>
      <c r="CS1242" s="135">
        <f t="shared" si="2228"/>
        <v>1.7131973249919136E-2</v>
      </c>
      <c r="CT1242" s="135">
        <f t="shared" si="2229"/>
        <v>6.7122682943869583E-2</v>
      </c>
      <c r="CU1242" s="139">
        <f t="shared" si="2219"/>
        <v>0.85607</v>
      </c>
      <c r="CV1242" s="335">
        <f t="shared" si="2220"/>
        <v>1.3960631020522127</v>
      </c>
      <c r="CW1242" s="335">
        <f t="shared" si="2221"/>
        <v>0.29441923774954631</v>
      </c>
      <c r="CX1242" s="335">
        <f t="shared" si="2222"/>
        <v>0.76377954189366437</v>
      </c>
      <c r="CY1242" s="335">
        <f t="shared" si="2223"/>
        <v>0.31393465103033691</v>
      </c>
      <c r="CZ1242" s="336">
        <f>INDEX('State Tax Lookup'!$D$7:$Z$91,MATCH(Calculation!$C1242,'State Tax Lookup'!$B$7:$B$91,0),MATCH($H1242,'State Tax Lookup'!$D$6:$Z$6,0))</f>
        <v>0.38900000000000001</v>
      </c>
      <c r="DA1242" s="302">
        <v>0.37</v>
      </c>
      <c r="DB1242" s="57">
        <f t="shared" si="2226"/>
        <v>15.962392256683497</v>
      </c>
      <c r="DC1242" s="56">
        <f t="shared" si="2230"/>
        <v>6.6860123286368228E-2</v>
      </c>
      <c r="DD1242" s="303">
        <f>VLOOKUP($H1242,RoR!$E:$F,2,FALSE)</f>
        <v>3.6733333333333333E-2</v>
      </c>
      <c r="DE1242" s="304">
        <f>HLOOKUP($H1242,'GDP-PI'!$D$8:$CQ$11,3,FALSE)</f>
        <v>1.924331376386168E-2</v>
      </c>
      <c r="DF1242" s="303">
        <f>VLOOKUP(H1242,'HW Dx Data'!$E:$F,2,FALSE)</f>
        <v>668.91932211262167</v>
      </c>
      <c r="DG1242" s="364">
        <f ca="1">VLOOKUP(CC1242,'ECI - Input Price'!M$13:N$33,2,FALSE)</f>
        <v>124.80000000000001</v>
      </c>
      <c r="DH1242" s="364"/>
      <c r="DI1242" s="364"/>
      <c r="DJ1242" s="56">
        <f t="shared" ca="1" si="2238"/>
        <v>3.1955502161869064E-2</v>
      </c>
      <c r="DK1242" s="53">
        <f>HLOOKUP(H1242,'GDP-PI'!$8:$9,2,FALSE)</f>
        <v>100</v>
      </c>
      <c r="DL1242" s="355">
        <f t="shared" si="2231"/>
        <v>1.9060502738742411E-2</v>
      </c>
    </row>
    <row r="1243" spans="1:116" s="126" customFormat="1" ht="21" customHeight="1" x14ac:dyDescent="0.4">
      <c r="A1243" s="233" t="s">
        <v>254</v>
      </c>
      <c r="B1243" s="126" t="s">
        <v>254</v>
      </c>
      <c r="C1243" s="126">
        <v>4063762</v>
      </c>
      <c r="D1243" s="127" t="s">
        <v>255</v>
      </c>
      <c r="E1243" s="127"/>
      <c r="F1243" s="144"/>
      <c r="G1243" s="126" t="s">
        <v>169</v>
      </c>
      <c r="H1243" s="128">
        <v>2013</v>
      </c>
      <c r="I1243" s="129"/>
      <c r="J1243" s="125">
        <f>IFERROR(INDEX('Labor Expenditures'!$E$7:$W$91,MATCH($C1243,'Labor Expenditures'!$C$7:$C$91,0),MATCH($G1243,'Labor Expenditures'!$E$5:$W$5,0)),"NA")</f>
        <v>15794.811761924662</v>
      </c>
      <c r="K1243" s="125">
        <f t="shared" ca="1" si="2232"/>
        <v>124.56476152937431</v>
      </c>
      <c r="L1243" s="47"/>
      <c r="M1243" s="131">
        <f t="shared" ca="1" si="2239"/>
        <v>8.3084308959505929E-2</v>
      </c>
      <c r="N1243" s="131"/>
      <c r="O1243" s="131"/>
      <c r="P1243" s="59">
        <f t="shared" ca="1" si="2241"/>
        <v>5.9092356687915086E-4</v>
      </c>
      <c r="Q1243" s="61"/>
      <c r="R1243" s="387"/>
      <c r="S1243" s="49">
        <f t="shared" ca="1" si="2246"/>
        <v>108.21973192713541</v>
      </c>
      <c r="T1243" s="61">
        <f ca="1">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</f>
        <v>-8.927409547399652E-2</v>
      </c>
      <c r="U1243" s="61"/>
      <c r="V1243" s="125">
        <f>IFERROR(INDEX('Non-Labor Expenditures'!$E$7:$AA$91,MATCH($C1243,'Non-Labor Expenditures'!$C$7:$C$91,0),MATCH($G1243,'Non-Labor Expenditures'!$E$5:$AA$5,0)),"NA")</f>
        <v>22873.837495173713</v>
      </c>
      <c r="W1243" s="125">
        <f t="shared" si="2233"/>
        <v>224.75349547693116</v>
      </c>
      <c r="X1243" s="131">
        <f t="shared" si="2242"/>
        <v>8.1408238010793998E-2</v>
      </c>
      <c r="Y1243" s="131">
        <f t="shared" si="2243"/>
        <v>5.7900278621961503E-4</v>
      </c>
      <c r="Z1243" s="131"/>
      <c r="AA1243" s="131"/>
      <c r="AB1243" s="131"/>
      <c r="AC1243" s="125">
        <f t="shared" si="2213"/>
        <v>28104.528790630178</v>
      </c>
      <c r="AD1243" s="129"/>
      <c r="AE1243" s="133">
        <v>1974.6064602384665</v>
      </c>
      <c r="AF1243" s="134">
        <v>2.1201689658160931E-2</v>
      </c>
      <c r="AG1243" s="59">
        <f t="shared" si="2234"/>
        <v>1.5079355215882588E-4</v>
      </c>
      <c r="AH1243" s="134"/>
      <c r="AI1243" s="134"/>
      <c r="AJ1243" s="129">
        <f t="shared" si="2138"/>
        <v>66773.17804772855</v>
      </c>
      <c r="AK1243" s="134">
        <f t="shared" si="2244"/>
        <v>5.2274209258619024E-2</v>
      </c>
      <c r="AL1243" s="129"/>
      <c r="AM1243" s="129"/>
      <c r="AN1243" s="129"/>
      <c r="AO1243" s="129"/>
      <c r="AP1243" s="133">
        <f t="shared" si="2245"/>
        <v>235.18307286463988</v>
      </c>
      <c r="AQ1243" s="134">
        <f>+BB1243/Outputs!$B$21</f>
        <v>7.8992897316578561E-3</v>
      </c>
      <c r="AR1243" s="93">
        <f t="shared" si="2235"/>
        <v>0.23654425659708375</v>
      </c>
      <c r="AS1243" s="93">
        <f t="shared" si="2236"/>
        <v>0.34256026392549127</v>
      </c>
      <c r="AT1243" s="93">
        <f t="shared" si="2237"/>
        <v>0.42089547947742501</v>
      </c>
      <c r="AU1243" s="93">
        <f t="shared" ca="1" si="2240"/>
        <v>5.5659446928776418E-2</v>
      </c>
      <c r="AV1243" s="132">
        <f t="shared" ca="1" si="2248"/>
        <v>89.121719852174095</v>
      </c>
      <c r="AW1243" s="134">
        <f t="shared" ca="1" si="2249"/>
        <v>5.565944692877646E-2</v>
      </c>
      <c r="AX1243" s="135">
        <f>+AJ1243/$AL$17</f>
        <v>7.1123365444028469E-3</v>
      </c>
      <c r="AY1243" s="135">
        <f t="shared" ca="1" si="2247"/>
        <v>3.9586871843278761E-4</v>
      </c>
      <c r="AZ1243" s="93"/>
      <c r="BA1243" s="93"/>
      <c r="BB1243" s="234">
        <f>IFERROR(INDEX('Total Customers'!$E$7:$AA$91,MATCH($C1243,'Total Customers'!$C$7:$C$91,0),MATCH($G1243,'Total Customers'!$E$5:$AA$5,0)),"NA")</f>
        <v>283920</v>
      </c>
      <c r="BC1243" s="269">
        <f t="shared" si="2209"/>
        <v>1.0320045568493377E-2</v>
      </c>
      <c r="BD1243" s="92"/>
      <c r="BE1243" s="299" t="str">
        <f t="shared" si="2205"/>
        <v>VIRGINIA NATURAL GAS, INC.</v>
      </c>
      <c r="BF1243" s="300">
        <f t="shared" si="2206"/>
        <v>4063762</v>
      </c>
      <c r="BG1243" s="231" t="str">
        <f t="shared" si="2207"/>
        <v>VA</v>
      </c>
      <c r="BH1243" s="231"/>
      <c r="BI1243" s="231" t="str">
        <f t="shared" si="2208"/>
        <v>2013 Y</v>
      </c>
      <c r="BJ1243" s="129"/>
      <c r="BK1243" s="129"/>
      <c r="BL1243" s="129">
        <f>INDEX('Dist. Plant Gas Additions'!$E$7:$AD$91,MATCH($C1243,'Dist. Plant Gas Additions'!$C$7:$C$91,0),MATCH(Calculation!$G1243,'Dist. Plant Gas Additions'!$E$5:$AD$5,0))</f>
        <v>35900</v>
      </c>
      <c r="BM1243" s="129">
        <f>INDEX('Gen. Plant Additions'!$E$7:$AD$91,MATCH($C1243,'Gen. Plant Additions'!$C$7:$C$91,0),MATCH(Calculation!$G1243,'Gen. Plant Additions'!$E$5:$AD$5,0))</f>
        <v>1613</v>
      </c>
      <c r="BN1243" s="301">
        <f t="shared" si="2214"/>
        <v>0.96839476699115712</v>
      </c>
      <c r="BO1243" s="231">
        <f t="shared" si="2250"/>
        <v>1562.0207591567364</v>
      </c>
      <c r="BP1243" s="231">
        <f t="shared" si="2251"/>
        <v>-50.979240843263597</v>
      </c>
      <c r="BQ1243" s="129">
        <f>INDEX('Dist Plant Depreciation'!$D$7:$AC$94,MATCH($C1243,'Dist Plant Depreciation'!$C$7:$C$94,0),MATCH(Calculation!$G1243,'Dist Plant Depreciation'!$D$5:$AC$5,0))</f>
        <v>259713</v>
      </c>
      <c r="BR1243" s="129">
        <f>INDEX('Gen. Plant Depreciation'!$D$7:$AC$94,MATCH($C1243,'Gen. Plant Depreciation'!$C$7:$C$94,0),MATCH(Calculation!$G1243,'Gen. Plant Depreciation'!$D$5:$AC$5,0))</f>
        <v>9012</v>
      </c>
      <c r="BS1243" s="129"/>
      <c r="BT1243" s="129"/>
      <c r="BU1243" s="129"/>
      <c r="BV1243" s="129"/>
      <c r="BW1243" s="129"/>
      <c r="BX1243" s="137"/>
      <c r="BY1243" s="129">
        <f>INDEX('Gross Dx Plant'!$D$7:$AC$91,MATCH($C1243,'Gross Dx Plant'!$C$7:$C$91,0),MATCH(Calculation!$G1243,'Gross Dx Plant'!$D$5:$AC$5,0))</f>
        <v>705800</v>
      </c>
      <c r="BZ1243" s="129">
        <f>INDEX('Gross Gen Plant'!$D$7:$AC$91,MATCH($C1243,'Gross Gen Plant'!$C$7:$C$91,0),MATCH(Calculation!$G1243,'Gross Gen Plant'!$D$5:$AC$5,0))</f>
        <v>23035</v>
      </c>
      <c r="CA1243" s="129">
        <f t="shared" si="2162"/>
        <v>460110</v>
      </c>
      <c r="CB1243" s="129"/>
      <c r="CC1243" s="133">
        <v>2013</v>
      </c>
      <c r="CD1243" s="129"/>
      <c r="CE1243" s="129"/>
      <c r="CF1243" s="129"/>
      <c r="CG1243" s="137"/>
      <c r="CH1243" s="129">
        <f t="shared" si="2215"/>
        <v>37513</v>
      </c>
      <c r="CI1243" s="46">
        <f t="shared" si="2224"/>
        <v>37462.020759156738</v>
      </c>
      <c r="CJ1243" s="231">
        <f t="shared" si="2216"/>
        <v>56.48263976086173</v>
      </c>
      <c r="CK1243" s="443">
        <v>0.82758620689655171</v>
      </c>
      <c r="CL1243" s="231">
        <f>+CL1228*CK1243+CJ1229*CK1242+CJ1230*CK1241+CJ1231*CK1240+CJ1232*CK1239+CJ1233*CK1238+CJ1234*CK1237+CJ1235*CK1236+CJ1236*CK1235+CJ1237*CK1234+CJ1238*CK1233+CJ1239*CK1232+CJ1240*CK1231+CJ1241*CK1230+CJ1242*CK1229+CJ1243</f>
        <v>1840.0207952572605</v>
      </c>
      <c r="CM1243" s="134">
        <f t="shared" si="2217"/>
        <v>1.6620371005341448E-2</v>
      </c>
      <c r="CN1243" s="135">
        <f t="shared" si="2218"/>
        <v>1.4451936720847615E-2</v>
      </c>
      <c r="CO1243" s="135">
        <f t="shared" si="2227"/>
        <v>1.4109502216939135E-2</v>
      </c>
      <c r="CP1243" s="134">
        <f>VLOOKUP($H1243,RoR!$E:$F,2,FALSE)</f>
        <v>4.2350000000000006E-2</v>
      </c>
      <c r="CQ1243" s="135">
        <v>1.7730000000000024E-2</v>
      </c>
      <c r="CR1243" s="135">
        <f t="shared" si="2225"/>
        <v>2.4619999999999982E-2</v>
      </c>
      <c r="CS1243" s="135">
        <f t="shared" si="2228"/>
        <v>1.6792439391594492E-2</v>
      </c>
      <c r="CT1243" s="135">
        <f t="shared" si="2229"/>
        <v>5.3376742735721204E-2</v>
      </c>
      <c r="CU1243" s="139">
        <f t="shared" si="2219"/>
        <v>0.85607</v>
      </c>
      <c r="CV1243" s="335">
        <f t="shared" si="2220"/>
        <v>1.2109103018193925</v>
      </c>
      <c r="CW1243" s="335">
        <f t="shared" si="2221"/>
        <v>0.38468122786304604</v>
      </c>
      <c r="CX1243" s="335">
        <f t="shared" si="2222"/>
        <v>0.80969194503422559</v>
      </c>
      <c r="CY1243" s="335">
        <f t="shared" si="2223"/>
        <v>0.37716621754800816</v>
      </c>
      <c r="CZ1243" s="336">
        <f>INDEX('State Tax Lookup'!$D$7:$Z$91,MATCH(Calculation!$C1243,'State Tax Lookup'!$B$7:$B$91,0),MATCH($H1243,'State Tax Lookup'!$D$6:$Z$6,0))</f>
        <v>0.38900000000000001</v>
      </c>
      <c r="DA1243" s="302">
        <v>0.37</v>
      </c>
      <c r="DB1243" s="57">
        <f t="shared" si="2226"/>
        <v>15.530009175088084</v>
      </c>
      <c r="DC1243" s="56">
        <f t="shared" si="2230"/>
        <v>-2.7461243600697925E-2</v>
      </c>
      <c r="DD1243" s="303">
        <f>VLOOKUP($H1243,RoR!$E:$F,2,FALSE)</f>
        <v>4.2350000000000006E-2</v>
      </c>
      <c r="DE1243" s="304">
        <f>HLOOKUP($H1243,'GDP-PI'!$D$8:$CQ$11,3,FALSE)</f>
        <v>1.7730000000000024E-2</v>
      </c>
      <c r="DF1243" s="303">
        <f>VLOOKUP(H1243,'HW Dx Data'!$E:$F,2,FALSE)</f>
        <v>663.24840548821396</v>
      </c>
      <c r="DG1243" s="364">
        <f ca="1">VLOOKUP(CC1243,'ECI - Input Price'!M$13:N$33,2,FALSE)</f>
        <v>126.8</v>
      </c>
      <c r="DH1243" s="364"/>
      <c r="DI1243" s="364"/>
      <c r="DJ1243" s="56">
        <f t="shared" ca="1" si="2238"/>
        <v>1.5898586067798204E-2</v>
      </c>
      <c r="DK1243" s="53">
        <f>HLOOKUP(H1243,'GDP-PI'!$8:$9,2,FALSE)</f>
        <v>101.773</v>
      </c>
      <c r="DL1243" s="355">
        <f t="shared" si="2231"/>
        <v>1.7574657016510519E-2</v>
      </c>
    </row>
    <row r="1244" spans="1:116" s="126" customFormat="1" ht="21" customHeight="1" x14ac:dyDescent="0.4">
      <c r="A1244" s="233" t="s">
        <v>254</v>
      </c>
      <c r="B1244" s="126" t="s">
        <v>254</v>
      </c>
      <c r="C1244" s="126">
        <v>4063762</v>
      </c>
      <c r="D1244" s="127" t="s">
        <v>255</v>
      </c>
      <c r="E1244" s="127"/>
      <c r="F1244" s="144"/>
      <c r="G1244" s="126" t="s">
        <v>170</v>
      </c>
      <c r="H1244" s="128">
        <v>2014</v>
      </c>
      <c r="I1244" s="129"/>
      <c r="J1244" s="125">
        <f>IFERROR(INDEX('Labor Expenditures'!$E$7:$W$91,MATCH($C1244,'Labor Expenditures'!$C$7:$C$91,0),MATCH($G1244,'Labor Expenditures'!$E$5:$W$5,0)),"NA")</f>
        <v>17309.633529067698</v>
      </c>
      <c r="K1244" s="125">
        <f t="shared" ca="1" si="2232"/>
        <v>133.76841985369163</v>
      </c>
      <c r="L1244" s="47"/>
      <c r="M1244" s="131">
        <f t="shared" ca="1" si="2239"/>
        <v>7.1284341237638632E-2</v>
      </c>
      <c r="N1244" s="131"/>
      <c r="O1244" s="131"/>
      <c r="P1244" s="59">
        <f t="shared" ca="1" si="2241"/>
        <v>5.2227968263710673E-4</v>
      </c>
      <c r="Q1244" s="61"/>
      <c r="R1244" s="387"/>
      <c r="S1244" s="49">
        <f t="shared" ca="1" si="2246"/>
        <v>123.21901559243109</v>
      </c>
      <c r="T1244" s="61">
        <f ca="1">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</f>
        <v>0.12979967142892268</v>
      </c>
      <c r="U1244" s="61"/>
      <c r="V1244" s="125">
        <f>IFERROR(INDEX('Non-Labor Expenditures'!$E$7:$AA$91,MATCH($C1244,'Non-Labor Expenditures'!$C$7:$C$91,0),MATCH($G1244,'Non-Labor Expenditures'!$E$5:$AA$5,0)),"NA")</f>
        <v>25067.582343675753</v>
      </c>
      <c r="W1244" s="125">
        <f t="shared" si="2233"/>
        <v>241.85535851183104</v>
      </c>
      <c r="X1244" s="131">
        <f t="shared" si="2242"/>
        <v>7.3335629403057268E-2</v>
      </c>
      <c r="Y1244" s="131">
        <f t="shared" si="2243"/>
        <v>5.3730887577309403E-4</v>
      </c>
      <c r="Z1244" s="131"/>
      <c r="AA1244" s="131"/>
      <c r="AB1244" s="131"/>
      <c r="AC1244" s="125">
        <f t="shared" si="2213"/>
        <v>28915.909740781684</v>
      </c>
      <c r="AD1244" s="129"/>
      <c r="AE1244" s="133">
        <v>2055.4457159576905</v>
      </c>
      <c r="AF1244" s="134">
        <v>4.0123599980995718E-2</v>
      </c>
      <c r="AG1244" s="59">
        <f t="shared" si="2234"/>
        <v>2.9397397381387155E-4</v>
      </c>
      <c r="AH1244" s="134"/>
      <c r="AI1244" s="134"/>
      <c r="AJ1244" s="129">
        <f t="shared" si="2138"/>
        <v>71293.125613525131</v>
      </c>
      <c r="AK1244" s="134">
        <f t="shared" si="2244"/>
        <v>6.5498434136708361E-2</v>
      </c>
      <c r="AL1244" s="129"/>
      <c r="AM1244" s="129"/>
      <c r="AN1244" s="129"/>
      <c r="AO1244" s="129"/>
      <c r="AP1244" s="133">
        <f t="shared" si="2245"/>
        <v>248.85552286872962</v>
      </c>
      <c r="AQ1244" s="134">
        <f>+BB1244/Outputs!$B$22</f>
        <v>7.9280332370570052E-3</v>
      </c>
      <c r="AR1244" s="93">
        <f t="shared" si="2235"/>
        <v>0.24279526784815084</v>
      </c>
      <c r="AS1244" s="93">
        <f t="shared" si="2236"/>
        <v>0.35161289574488991</v>
      </c>
      <c r="AT1244" s="93">
        <f t="shared" si="2237"/>
        <v>0.40559183640695928</v>
      </c>
      <c r="AU1244" s="93">
        <f t="shared" ca="1" si="2240"/>
        <v>5.9119337130144896E-2</v>
      </c>
      <c r="AV1244" s="132">
        <f t="shared" ca="1" si="2248"/>
        <v>94.549396411762928</v>
      </c>
      <c r="AW1244" s="134">
        <f t="shared" ca="1" si="2249"/>
        <v>5.9119337130144882E-2</v>
      </c>
      <c r="AX1244" s="135">
        <f>+AJ1244/$AL$18</f>
        <v>7.3267098154978722E-3</v>
      </c>
      <c r="AY1244" s="135">
        <f t="shared" ca="1" si="2247"/>
        <v>4.331502276371603E-4</v>
      </c>
      <c r="AZ1244" s="93"/>
      <c r="BA1244" s="93"/>
      <c r="BB1244" s="234">
        <f>IFERROR(INDEX('Total Customers'!$E$7:$AA$91,MATCH($C1244,'Total Customers'!$C$7:$C$91,0),MATCH($G1244,'Total Customers'!$E$5:$AA$5,0)),"NA")</f>
        <v>286484</v>
      </c>
      <c r="BC1244" s="269">
        <f t="shared" si="2209"/>
        <v>8.9901798347451715E-3</v>
      </c>
      <c r="BD1244" s="92"/>
      <c r="BE1244" s="299" t="str">
        <f t="shared" si="2205"/>
        <v>VIRGINIA NATURAL GAS, INC.</v>
      </c>
      <c r="BF1244" s="300">
        <f t="shared" si="2206"/>
        <v>4063762</v>
      </c>
      <c r="BG1244" s="231" t="str">
        <f t="shared" si="2207"/>
        <v>VA</v>
      </c>
      <c r="BH1244" s="231"/>
      <c r="BI1244" s="231" t="str">
        <f t="shared" si="2208"/>
        <v>2014 Y</v>
      </c>
      <c r="BJ1244" s="129"/>
      <c r="BK1244" s="129"/>
      <c r="BL1244" s="129">
        <f>INDEX('Dist. Plant Gas Additions'!$E$7:$AD$91,MATCH($C1244,'Dist. Plant Gas Additions'!$C$7:$C$91,0),MATCH(Calculation!$G1244,'Dist. Plant Gas Additions'!$E$5:$AD$5,0))</f>
        <v>64014</v>
      </c>
      <c r="BM1244" s="129">
        <f>INDEX('Gen. Plant Additions'!$E$7:$AD$91,MATCH($C1244,'Gen. Plant Additions'!$C$7:$C$91,0),MATCH(Calculation!$G1244,'Gen. Plant Additions'!$E$5:$AD$5,0))</f>
        <v>2255</v>
      </c>
      <c r="BN1244" s="301">
        <f t="shared" si="2214"/>
        <v>0.96694133935806548</v>
      </c>
      <c r="BO1244" s="231">
        <f t="shared" si="2250"/>
        <v>2180.4527202524378</v>
      </c>
      <c r="BP1244" s="231">
        <f t="shared" si="2251"/>
        <v>-74.547279747562243</v>
      </c>
      <c r="BQ1244" s="129">
        <f>INDEX('Dist Plant Depreciation'!$D$7:$AC$94,MATCH($C1244,'Dist Plant Depreciation'!$C$7:$C$94,0),MATCH(Calculation!$G1244,'Dist Plant Depreciation'!$D$5:$AC$5,0))</f>
        <v>245119</v>
      </c>
      <c r="BR1244" s="129">
        <f>INDEX('Gen. Plant Depreciation'!$D$7:$AC$94,MATCH($C1244,'Gen. Plant Depreciation'!$C$7:$C$94,0),MATCH(Calculation!$G1244,'Gen. Plant Depreciation'!$D$5:$AC$5,0))</f>
        <v>5165</v>
      </c>
      <c r="BS1244" s="129"/>
      <c r="BT1244" s="129"/>
      <c r="BU1244" s="129"/>
      <c r="BV1244" s="129"/>
      <c r="BW1244" s="129"/>
      <c r="BX1244" s="137"/>
      <c r="BY1244" s="129">
        <f>INDEX('Gross Dx Plant'!$D$7:$AC$91,MATCH($C1244,'Gross Dx Plant'!$C$7:$C$91,0),MATCH(Calculation!$G1244,'Gross Dx Plant'!$D$5:$AC$5,0))</f>
        <v>720731</v>
      </c>
      <c r="BZ1244" s="129">
        <f>INDEX('Gross Gen Plant'!$D$7:$AC$91,MATCH($C1244,'Gross Gen Plant'!$C$7:$C$91,0),MATCH(Calculation!$G1244,'Gross Gen Plant'!$D$5:$AC$5,0))</f>
        <v>24641</v>
      </c>
      <c r="CA1244" s="129">
        <f t="shared" si="2162"/>
        <v>495088</v>
      </c>
      <c r="CB1244" s="129"/>
      <c r="CC1244" s="133">
        <v>2014</v>
      </c>
      <c r="CD1244" s="129"/>
      <c r="CE1244" s="129"/>
      <c r="CF1244" s="129"/>
      <c r="CG1244" s="137"/>
      <c r="CH1244" s="129">
        <f t="shared" si="2215"/>
        <v>66269</v>
      </c>
      <c r="CI1244" s="46">
        <f t="shared" si="2224"/>
        <v>66194.452720252433</v>
      </c>
      <c r="CJ1244" s="231">
        <f t="shared" si="2216"/>
        <v>96.70918464576765</v>
      </c>
      <c r="CK1244" s="443">
        <v>0.81395348837209303</v>
      </c>
      <c r="CL1244" s="231">
        <f>+CL1228*CK1244+CJ1229*CK1243+CJ1230*CK1242+CJ1231*CK1241+CJ1232*CK1240+CJ1233*CK1239+CJ1234*CK1238+CJ1235*CK1237+CJ1236*CK1236+CJ1237*CK1235+CJ1238*CK1234+CJ1239*CK1233+CJ1240*CK1232+CJ1241*CK1231+CJ1242*CK1230+CJ1243*CK1229+CJ1244</f>
        <v>1909.4236367645249</v>
      </c>
      <c r="CM1244" s="134">
        <f t="shared" si="2217"/>
        <v>3.7024562336020125E-2</v>
      </c>
      <c r="CN1244" s="135">
        <f t="shared" si="2218"/>
        <v>1.4840236158681816E-2</v>
      </c>
      <c r="CO1244" s="135">
        <f t="shared" si="2227"/>
        <v>1.445813122147601E-2</v>
      </c>
      <c r="CP1244" s="134">
        <f>VLOOKUP($H1244,RoR!$E:$F,2,FALSE)</f>
        <v>4.1625000000000002E-2</v>
      </c>
      <c r="CQ1244" s="135">
        <v>1.841352814597208E-2</v>
      </c>
      <c r="CR1244" s="135">
        <f t="shared" si="2225"/>
        <v>2.3211471854027922E-2</v>
      </c>
      <c r="CS1244" s="135">
        <f t="shared" si="2228"/>
        <v>1.6443810387057615E-2</v>
      </c>
      <c r="CT1244" s="135">
        <f t="shared" si="2229"/>
        <v>3.9072621432650924E-2</v>
      </c>
      <c r="CU1244" s="139">
        <f t="shared" si="2219"/>
        <v>0.85607</v>
      </c>
      <c r="CV1244" s="335">
        <f t="shared" si="2220"/>
        <v>1.2320012320012319</v>
      </c>
      <c r="CW1244" s="335">
        <f t="shared" si="2221"/>
        <v>0.37439939939939942</v>
      </c>
      <c r="CX1244" s="335">
        <f t="shared" si="2222"/>
        <v>0.80432100613819935</v>
      </c>
      <c r="CY1244" s="335">
        <f t="shared" si="2223"/>
        <v>0.37100152660040037</v>
      </c>
      <c r="CZ1244" s="336">
        <f>INDEX('State Tax Lookup'!$D$7:$Z$91,MATCH(Calculation!$C1244,'State Tax Lookup'!$B$7:$B$91,0),MATCH($H1244,'State Tax Lookup'!$D$6:$Z$6,0))</f>
        <v>0.38900000000000001</v>
      </c>
      <c r="DA1244" s="302">
        <v>0.37</v>
      </c>
      <c r="DB1244" s="57">
        <f t="shared" si="2226"/>
        <v>15.714990730166633</v>
      </c>
      <c r="DC1244" s="56">
        <f t="shared" si="2230"/>
        <v>1.1840852419573854E-2</v>
      </c>
      <c r="DD1244" s="303">
        <f>VLOOKUP($H1244,RoR!$E:$F,2,FALSE)</f>
        <v>4.1625000000000002E-2</v>
      </c>
      <c r="DE1244" s="304">
        <f>HLOOKUP($H1244,'GDP-PI'!$D$8:$CQ$11,3,FALSE)</f>
        <v>1.841352814597208E-2</v>
      </c>
      <c r="DF1244" s="303">
        <f>VLOOKUP(H1244,'HW Dx Data'!$E:$F,2,FALSE)</f>
        <v>684.46914285042885</v>
      </c>
      <c r="DG1244" s="364">
        <f ca="1">VLOOKUP(CC1244,'ECI - Input Price'!M$13:N$33,2,FALSE)</f>
        <v>129.4</v>
      </c>
      <c r="DH1244" s="364"/>
      <c r="DI1244" s="364"/>
      <c r="DJ1244" s="56">
        <f t="shared" ca="1" si="2238"/>
        <v>2.0297340063674733E-2</v>
      </c>
      <c r="DK1244" s="53">
        <f>HLOOKUP(H1244,'GDP-PI'!$8:$9,2,FALSE)</f>
        <v>103.64700000000001</v>
      </c>
      <c r="DL1244" s="355">
        <f t="shared" si="2231"/>
        <v>1.8246051898256087E-2</v>
      </c>
    </row>
    <row r="1245" spans="1:116" s="126" customFormat="1" ht="21" customHeight="1" x14ac:dyDescent="0.4">
      <c r="A1245" s="233" t="s">
        <v>254</v>
      </c>
      <c r="B1245" s="126" t="s">
        <v>254</v>
      </c>
      <c r="C1245" s="126">
        <v>4063762</v>
      </c>
      <c r="D1245" s="127" t="s">
        <v>255</v>
      </c>
      <c r="E1245" s="127"/>
      <c r="F1245" s="144"/>
      <c r="G1245" s="126" t="s">
        <v>171</v>
      </c>
      <c r="H1245" s="128">
        <v>2015</v>
      </c>
      <c r="I1245" s="129"/>
      <c r="J1245" s="125">
        <f>IFERROR(INDEX('Labor Expenditures'!$E$7:$W$91,MATCH($C1245,'Labor Expenditures'!$C$7:$C$91,0),MATCH($G1245,'Labor Expenditures'!$E$5:$W$5,0)),"NA")</f>
        <v>18108.964301396169</v>
      </c>
      <c r="K1245" s="125">
        <f t="shared" ca="1" si="2232"/>
        <v>135.64767266963423</v>
      </c>
      <c r="L1245" s="47"/>
      <c r="M1245" s="131">
        <f t="shared" ca="1" si="2239"/>
        <v>1.3950787254691198E-2</v>
      </c>
      <c r="N1245" s="131"/>
      <c r="O1245" s="131"/>
      <c r="P1245" s="59">
        <f t="shared" ca="1" si="2241"/>
        <v>1.0335823372600653E-4</v>
      </c>
      <c r="Q1245" s="61"/>
      <c r="R1245" s="387"/>
      <c r="S1245" s="49">
        <f t="shared" ca="1" si="2246"/>
        <v>123.51573164528781</v>
      </c>
      <c r="T1245" s="61">
        <f ca="1">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</f>
        <v>2.4051431686321349E-3</v>
      </c>
      <c r="U1245" s="61"/>
      <c r="V1245" s="125">
        <f>IFERROR(INDEX('Non-Labor Expenditures'!$E$7:$AA$91,MATCH($C1245,'Non-Labor Expenditures'!$C$7:$C$91,0),MATCH($G1245,'Non-Labor Expenditures'!$E$5:$AA$5,0)),"NA")</f>
        <v>26225.162596402057</v>
      </c>
      <c r="W1245" s="125">
        <f t="shared" si="2233"/>
        <v>250.62512635252685</v>
      </c>
      <c r="X1245" s="131">
        <f t="shared" si="2242"/>
        <v>3.5618446842752394E-2</v>
      </c>
      <c r="Y1245" s="131">
        <f t="shared" si="2243"/>
        <v>2.6388903267753478E-4</v>
      </c>
      <c r="Z1245" s="131"/>
      <c r="AA1245" s="131"/>
      <c r="AB1245" s="131"/>
      <c r="AC1245" s="125">
        <f t="shared" si="2213"/>
        <v>29081.025188294989</v>
      </c>
      <c r="AD1245" s="129"/>
      <c r="AE1245" s="133">
        <v>2116.9507969186852</v>
      </c>
      <c r="AF1245" s="134">
        <v>2.948403215225268E-2</v>
      </c>
      <c r="AG1245" s="59">
        <f t="shared" si="2234"/>
        <v>2.184405389274986E-4</v>
      </c>
      <c r="AH1245" s="134"/>
      <c r="AI1245" s="134"/>
      <c r="AJ1245" s="129">
        <f t="shared" si="2138"/>
        <v>73415.152086093207</v>
      </c>
      <c r="AK1245" s="134">
        <f t="shared" si="2244"/>
        <v>2.9330438192565811E-2</v>
      </c>
      <c r="AL1245" s="129"/>
      <c r="AM1245" s="129"/>
      <c r="AN1245" s="129"/>
      <c r="AO1245" s="129"/>
      <c r="AP1245" s="133">
        <f t="shared" si="2245"/>
        <v>253.36188100003176</v>
      </c>
      <c r="AQ1245" s="134">
        <f>+BB1245/Outputs!$B$23</f>
        <v>7.9535992284544312E-3</v>
      </c>
      <c r="AR1245" s="93">
        <f t="shared" si="2235"/>
        <v>0.24666521537897204</v>
      </c>
      <c r="AS1245" s="93">
        <f t="shared" si="2236"/>
        <v>0.3572173025760142</v>
      </c>
      <c r="AT1245" s="93">
        <f t="shared" si="2237"/>
        <v>0.39611748204501385</v>
      </c>
      <c r="AU1245" s="93">
        <f t="shared" ca="1" si="2240"/>
        <v>2.7856706566254628E-2</v>
      </c>
      <c r="AV1245" s="132">
        <f t="shared" ca="1" si="2248"/>
        <v>97.220259211575652</v>
      </c>
      <c r="AW1245" s="134">
        <f t="shared" ca="1" si="2249"/>
        <v>2.7856706566254576E-2</v>
      </c>
      <c r="AX1245" s="135">
        <f>+AJ1245/$AL$19</f>
        <v>7.4087742748173953E-3</v>
      </c>
      <c r="AY1245" s="135">
        <f t="shared" ca="1" si="2247"/>
        <v>2.0638405098920371E-4</v>
      </c>
      <c r="AZ1245" s="93"/>
      <c r="BA1245" s="93"/>
      <c r="BB1245" s="234">
        <f>IFERROR(INDEX('Total Customers'!$E$7:$AA$91,MATCH($C1245,'Total Customers'!$C$7:$C$91,0),MATCH($G1245,'Total Customers'!$E$5:$AA$5,0)),"NA")</f>
        <v>289764</v>
      </c>
      <c r="BC1245" s="269">
        <f t="shared" si="2209"/>
        <v>1.1384110394720613E-2</v>
      </c>
      <c r="BD1245" s="92"/>
      <c r="BE1245" s="299" t="str">
        <f t="shared" si="2205"/>
        <v>VIRGINIA NATURAL GAS, INC.</v>
      </c>
      <c r="BF1245" s="300">
        <f t="shared" si="2206"/>
        <v>4063762</v>
      </c>
      <c r="BG1245" s="231" t="str">
        <f t="shared" si="2207"/>
        <v>VA</v>
      </c>
      <c r="BH1245" s="231"/>
      <c r="BI1245" s="231" t="str">
        <f t="shared" si="2208"/>
        <v>2015 Y</v>
      </c>
      <c r="BJ1245" s="129"/>
      <c r="BK1245" s="129"/>
      <c r="BL1245" s="129">
        <f>INDEX('Dist. Plant Gas Additions'!$E$7:$AD$91,MATCH($C1245,'Dist. Plant Gas Additions'!$C$7:$C$91,0),MATCH(Calculation!$G1245,'Dist. Plant Gas Additions'!$E$5:$AD$5,0))</f>
        <v>50758</v>
      </c>
      <c r="BM1245" s="129">
        <f>INDEX('Gen. Plant Additions'!$E$7:$AD$91,MATCH($C1245,'Gen. Plant Additions'!$C$7:$C$91,0),MATCH(Calculation!$G1245,'Gen. Plant Additions'!$E$5:$AD$5,0))</f>
        <v>2324</v>
      </c>
      <c r="BN1245" s="301">
        <f t="shared" si="2214"/>
        <v>0.96806143588402704</v>
      </c>
      <c r="BO1245" s="231">
        <f t="shared" si="2250"/>
        <v>2249.774776994479</v>
      </c>
      <c r="BP1245" s="231">
        <f t="shared" si="2251"/>
        <v>-74.225223005521002</v>
      </c>
      <c r="BQ1245" s="129">
        <f>INDEX('Dist Plant Depreciation'!$D$7:$AC$94,MATCH($C1245,'Dist Plant Depreciation'!$C$7:$C$94,0),MATCH(Calculation!$G1245,'Dist Plant Depreciation'!$D$5:$AC$5,0))</f>
        <v>261125</v>
      </c>
      <c r="BR1245" s="129">
        <f>INDEX('Gen. Plant Depreciation'!$D$7:$AC$94,MATCH($C1245,'Gen. Plant Depreciation'!$C$7:$C$94,0),MATCH(Calculation!$G1245,'Gen. Plant Depreciation'!$D$5:$AC$5,0))</f>
        <v>4987</v>
      </c>
      <c r="BS1245" s="129"/>
      <c r="BT1245" s="129"/>
      <c r="BU1245" s="129"/>
      <c r="BV1245" s="129"/>
      <c r="BW1245" s="129"/>
      <c r="BX1245" s="137"/>
      <c r="BY1245" s="129">
        <f>INDEX('Gross Dx Plant'!$D$7:$AC$91,MATCH($C1245,'Gross Dx Plant'!$C$7:$C$91,0),MATCH(Calculation!$G1245,'Gross Dx Plant'!$D$5:$AC$5,0))</f>
        <v>770089</v>
      </c>
      <c r="BZ1245" s="129">
        <f>INDEX('Gross Gen Plant'!$D$7:$AC$91,MATCH($C1245,'Gross Gen Plant'!$C$7:$C$91,0),MATCH(Calculation!$G1245,'Gross Gen Plant'!$D$5:$AC$5,0))</f>
        <v>25407</v>
      </c>
      <c r="CA1245" s="129">
        <f t="shared" si="2162"/>
        <v>529384</v>
      </c>
      <c r="CB1245" s="129"/>
      <c r="CC1245" s="133">
        <v>2015</v>
      </c>
      <c r="CD1245" s="129"/>
      <c r="CE1245" s="129"/>
      <c r="CF1245" s="129"/>
      <c r="CG1245" s="137"/>
      <c r="CH1245" s="129">
        <f t="shared" si="2215"/>
        <v>53082</v>
      </c>
      <c r="CI1245" s="46">
        <f t="shared" si="2224"/>
        <v>53007.774776994476</v>
      </c>
      <c r="CJ1245" s="231">
        <f t="shared" si="2216"/>
        <v>78.458594857277802</v>
      </c>
      <c r="CK1245" s="443">
        <v>0.8</v>
      </c>
      <c r="CL1245" s="231">
        <f>+CL1228*CK1245+CJ1229*CK1244+CJ1230*CK1243+CJ1231*CK1242+CJ1232*CK1241+CJ1233*CK1240+CJ1234*CK1239+CJ1235*CK1238+CJ1236*CK1237+CJ1237*CK1236+CJ1238*CK1235+CJ1239*CK1234+CJ1240*CK1233+CJ1241*CK1232+CJ1242*CK1231+CJ1243*CK1230+CJ1244*CK1229+CJ1245</f>
        <v>1958.9931484484493</v>
      </c>
      <c r="CM1245" s="134">
        <f t="shared" si="2217"/>
        <v>2.5629205818995259E-2</v>
      </c>
      <c r="CN1245" s="135">
        <f t="shared" si="2218"/>
        <v>1.5129739999608063E-2</v>
      </c>
      <c r="CO1245" s="135">
        <f t="shared" si="2227"/>
        <v>1.4807304293045831E-2</v>
      </c>
      <c r="CP1245" s="134">
        <f>VLOOKUP($H1245,RoR!$E:$F,2,FALSE)</f>
        <v>3.8866666666666674E-2</v>
      </c>
      <c r="CQ1245" s="135">
        <v>9.5709475431029478E-3</v>
      </c>
      <c r="CR1245" s="135">
        <f t="shared" si="2225"/>
        <v>2.9295719123563727E-2</v>
      </c>
      <c r="CS1245" s="135">
        <f t="shared" si="2228"/>
        <v>1.6094637315487794E-2</v>
      </c>
      <c r="CT1245" s="135">
        <f t="shared" si="2229"/>
        <v>3.5270373279175926E-3</v>
      </c>
      <c r="CU1245" s="139">
        <f t="shared" si="2219"/>
        <v>0.85607</v>
      </c>
      <c r="CV1245" s="335">
        <f t="shared" si="2220"/>
        <v>1.3194352816994324</v>
      </c>
      <c r="CW1245" s="335">
        <f t="shared" si="2221"/>
        <v>0.33177530017152673</v>
      </c>
      <c r="CX1245" s="335">
        <f t="shared" si="2222"/>
        <v>0.78242572977668579</v>
      </c>
      <c r="CY1245" s="335">
        <f t="shared" si="2223"/>
        <v>0.34251158643433932</v>
      </c>
      <c r="CZ1245" s="336">
        <f>INDEX('State Tax Lookup'!$D$7:$Z$91,MATCH(Calculation!$C1245,'State Tax Lookup'!$B$7:$B$91,0),MATCH($H1245,'State Tax Lookup'!$D$6:$Z$6,0))</f>
        <v>0.38900000000000001</v>
      </c>
      <c r="DA1245" s="302">
        <v>0.37</v>
      </c>
      <c r="DB1245" s="57">
        <f t="shared" si="2226"/>
        <v>15.230263535216379</v>
      </c>
      <c r="DC1245" s="56">
        <f t="shared" si="2230"/>
        <v>-3.1330609929158232E-2</v>
      </c>
      <c r="DD1245" s="303">
        <f>VLOOKUP($H1245,RoR!$E:$F,2,FALSE)</f>
        <v>3.8866666666666674E-2</v>
      </c>
      <c r="DE1245" s="304">
        <f>HLOOKUP($H1245,'GDP-PI'!$D$8:$CQ$11,3,FALSE)</f>
        <v>9.5709475431029478E-3</v>
      </c>
      <c r="DF1245" s="303">
        <f>VLOOKUP(H1245,'HW Dx Data'!$E:$F,2,FALSE)</f>
        <v>675.61463308665782</v>
      </c>
      <c r="DG1245" s="364">
        <f ca="1">VLOOKUP(CC1245,'ECI - Input Price'!M$13:N$33,2,FALSE)</f>
        <v>133.5</v>
      </c>
      <c r="DH1245" s="364"/>
      <c r="DI1245" s="364"/>
      <c r="DJ1245" s="56">
        <f t="shared" ca="1" si="2238"/>
        <v>3.1193095773504077E-2</v>
      </c>
      <c r="DK1245" s="53">
        <f>HLOOKUP(H1245,'GDP-PI'!$8:$9,2,FALSE)</f>
        <v>104.639</v>
      </c>
      <c r="DL1245" s="355">
        <f t="shared" si="2231"/>
        <v>9.5254361854427965E-3</v>
      </c>
    </row>
    <row r="1246" spans="1:116" s="126" customFormat="1" ht="21" customHeight="1" x14ac:dyDescent="0.4">
      <c r="A1246" s="233" t="s">
        <v>254</v>
      </c>
      <c r="B1246" s="126" t="s">
        <v>254</v>
      </c>
      <c r="C1246" s="126">
        <v>4063762</v>
      </c>
      <c r="D1246" s="127" t="s">
        <v>255</v>
      </c>
      <c r="E1246" s="127"/>
      <c r="F1246" s="144"/>
      <c r="G1246" s="126" t="s">
        <v>172</v>
      </c>
      <c r="H1246" s="128">
        <v>2016</v>
      </c>
      <c r="I1246" s="129"/>
      <c r="J1246" s="125">
        <f>IFERROR(INDEX('Labor Expenditures'!$E$7:$W$91,MATCH($C1246,'Labor Expenditures'!$C$7:$C$91,0),MATCH($G1246,'Labor Expenditures'!$E$5:$W$5,0)),"NA")</f>
        <v>19338.564840497755</v>
      </c>
      <c r="K1246" s="125">
        <f t="shared" ca="1" si="2232"/>
        <v>141.20894370571563</v>
      </c>
      <c r="L1246" s="47"/>
      <c r="M1246" s="131">
        <f t="shared" ca="1" si="2239"/>
        <v>4.0179781664487199E-2</v>
      </c>
      <c r="N1246" s="131"/>
      <c r="O1246" s="131"/>
      <c r="P1246" s="59">
        <f t="shared" ca="1" si="2241"/>
        <v>3.0803102065492022E-4</v>
      </c>
      <c r="Q1246" s="61"/>
      <c r="R1246" s="387"/>
      <c r="S1246" s="49">
        <f t="shared" ca="1" si="2246"/>
        <v>306.53594247009704</v>
      </c>
      <c r="T1246" s="61">
        <f ca="1">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</f>
        <v>0.90896648624123177</v>
      </c>
      <c r="U1246" s="61"/>
      <c r="V1246" s="125">
        <f>IFERROR(INDEX('Non-Labor Expenditures'!$E$7:$AA$91,MATCH($C1246,'Non-Labor Expenditures'!$C$7:$C$91,0),MATCH($G1246,'Non-Labor Expenditures'!$E$5:$AA$5,0)),"NA")</f>
        <v>28005.853834722984</v>
      </c>
      <c r="W1246" s="125">
        <f t="shared" si="2233"/>
        <v>264.8658341030773</v>
      </c>
      <c r="X1246" s="131">
        <f t="shared" si="2242"/>
        <v>5.5265109166065036E-2</v>
      </c>
      <c r="Y1246" s="131">
        <f t="shared" si="2243"/>
        <v>4.2367995239940939E-4</v>
      </c>
      <c r="Z1246" s="131"/>
      <c r="AA1246" s="131"/>
      <c r="AB1246" s="131"/>
      <c r="AC1246" s="125">
        <f t="shared" si="2213"/>
        <v>29016.456825878438</v>
      </c>
      <c r="AD1246" s="129"/>
      <c r="AE1246" s="133">
        <v>2236.185878171802</v>
      </c>
      <c r="AF1246" s="134">
        <v>5.4794931617940766E-2</v>
      </c>
      <c r="AG1246" s="59">
        <f t="shared" si="2234"/>
        <v>4.2007542136320036E-4</v>
      </c>
      <c r="AH1246" s="134"/>
      <c r="AI1246" s="134"/>
      <c r="AJ1246" s="129">
        <f t="shared" ref="AJ1246:AJ1309" si="2252">+J1246+V1246+AC1246</f>
        <v>76360.875501099174</v>
      </c>
      <c r="AK1246" s="134">
        <f t="shared" si="2244"/>
        <v>3.9340118226115391E-2</v>
      </c>
      <c r="AL1246" s="129"/>
      <c r="AM1246" s="129"/>
      <c r="AN1246" s="129"/>
      <c r="AO1246" s="129"/>
      <c r="AP1246" s="133">
        <f t="shared" si="2245"/>
        <v>260.42800114967332</v>
      </c>
      <c r="AQ1246" s="134">
        <f>+BB1246/Outputs!$B$24</f>
        <v>7.9787209436547133E-3</v>
      </c>
      <c r="AR1246" s="93">
        <f t="shared" si="2235"/>
        <v>0.25325226712754734</v>
      </c>
      <c r="AS1246" s="93">
        <f t="shared" si="2236"/>
        <v>0.36675658379951204</v>
      </c>
      <c r="AT1246" s="93">
        <f t="shared" si="2237"/>
        <v>0.37999114907294068</v>
      </c>
      <c r="AU1246" s="93">
        <f t="shared" ca="1" si="2240"/>
        <v>5.1311945265748907E-2</v>
      </c>
      <c r="AV1246" s="132">
        <f t="shared" ca="1" si="2248"/>
        <v>102.33902365441897</v>
      </c>
      <c r="AW1246" s="134">
        <f t="shared" ca="1" si="2249"/>
        <v>5.1311945265748948E-2</v>
      </c>
      <c r="AX1246" s="135">
        <f>+AJ1246/$AL$20</f>
        <v>7.666318926943614E-3</v>
      </c>
      <c r="AY1246" s="135">
        <f t="shared" ca="1" si="2247"/>
        <v>3.9337373716910595E-4</v>
      </c>
      <c r="AZ1246" s="93"/>
      <c r="BA1246" s="93"/>
      <c r="BB1246" s="234">
        <f>IFERROR(INDEX('Total Customers'!$E$7:$AA$91,MATCH($C1246,'Total Customers'!$C$7:$C$91,0),MATCH($G1246,'Total Customers'!$E$5:$AA$5,0)),"NA")</f>
        <v>293213</v>
      </c>
      <c r="BC1246" s="269">
        <f t="shared" si="2209"/>
        <v>1.1832508797481751E-2</v>
      </c>
      <c r="BD1246" s="92"/>
      <c r="BE1246" s="299" t="str">
        <f t="shared" si="2205"/>
        <v>VIRGINIA NATURAL GAS, INC.</v>
      </c>
      <c r="BF1246" s="300">
        <f t="shared" si="2206"/>
        <v>4063762</v>
      </c>
      <c r="BG1246" s="231" t="str">
        <f t="shared" si="2207"/>
        <v>VA</v>
      </c>
      <c r="BH1246" s="231"/>
      <c r="BI1246" s="231" t="str">
        <f t="shared" si="2208"/>
        <v>2016 Y</v>
      </c>
      <c r="BJ1246" s="129"/>
      <c r="BK1246" s="129"/>
      <c r="BL1246" s="129">
        <f>INDEX('Dist. Plant Gas Additions'!$E$7:$AD$91,MATCH($C1246,'Dist. Plant Gas Additions'!$C$7:$C$91,0),MATCH(Calculation!$G1246,'Dist. Plant Gas Additions'!$E$5:$AD$5,0))</f>
        <v>88302</v>
      </c>
      <c r="BM1246" s="129">
        <f>INDEX('Gen. Plant Additions'!$E$7:$AD$91,MATCH($C1246,'Gen. Plant Additions'!$C$7:$C$91,0),MATCH(Calculation!$G1246,'Gen. Plant Additions'!$E$5:$AD$5,0))</f>
        <v>3917</v>
      </c>
      <c r="BN1246" s="301">
        <f t="shared" si="2214"/>
        <v>0.96836898177901287</v>
      </c>
      <c r="BO1246" s="231">
        <f t="shared" si="2250"/>
        <v>3793.1013016283932</v>
      </c>
      <c r="BP1246" s="231">
        <f t="shared" si="2251"/>
        <v>-123.89869837160677</v>
      </c>
      <c r="BQ1246" s="129">
        <f>INDEX('Dist Plant Depreciation'!$D$7:$AC$94,MATCH($C1246,'Dist Plant Depreciation'!$C$7:$C$94,0),MATCH(Calculation!$G1246,'Dist Plant Depreciation'!$D$5:$AC$5,0))</f>
        <v>276400</v>
      </c>
      <c r="BR1246" s="129">
        <f>INDEX('Gen. Plant Depreciation'!$D$7:$AC$94,MATCH($C1246,'Gen. Plant Depreciation'!$C$7:$C$94,0),MATCH(Calculation!$G1246,'Gen. Plant Depreciation'!$D$5:$AC$5,0))</f>
        <v>5380</v>
      </c>
      <c r="BS1246" s="129"/>
      <c r="BT1246" s="129"/>
      <c r="BU1246" s="129"/>
      <c r="BV1246" s="129"/>
      <c r="BW1246" s="129"/>
      <c r="BX1246" s="137"/>
      <c r="BY1246" s="129">
        <f>INDEX('Gross Dx Plant'!$D$7:$AC$91,MATCH($C1246,'Gross Dx Plant'!$C$7:$C$91,0),MATCH(Calculation!$G1246,'Gross Dx Plant'!$D$5:$AC$5,0))</f>
        <v>855860</v>
      </c>
      <c r="BZ1246" s="129">
        <f>INDEX('Gross Gen Plant'!$D$7:$AC$91,MATCH($C1246,'Gross Gen Plant'!$C$7:$C$91,0),MATCH(Calculation!$G1246,'Gross Gen Plant'!$D$5:$AC$5,0))</f>
        <v>27956</v>
      </c>
      <c r="CA1246" s="129">
        <f t="shared" si="2162"/>
        <v>602036</v>
      </c>
      <c r="CB1246" s="129"/>
      <c r="CC1246" s="133">
        <v>2016</v>
      </c>
      <c r="CD1246" s="129"/>
      <c r="CE1246" s="129"/>
      <c r="CF1246" s="129"/>
      <c r="CG1246" s="137"/>
      <c r="CH1246" s="129">
        <f t="shared" si="2215"/>
        <v>92219</v>
      </c>
      <c r="CI1246" s="46">
        <f t="shared" si="2224"/>
        <v>92095.101301628398</v>
      </c>
      <c r="CJ1246" s="231">
        <f t="shared" si="2216"/>
        <v>137.15723335694364</v>
      </c>
      <c r="CK1246" s="443">
        <v>0.7857142857142857</v>
      </c>
      <c r="CL1246" s="231">
        <f>+CL1228*CK1246+CJ1229*CK1245+CJ1230*CK1244+CJ1231*CK1243+CJ1232*CK1242+CJ1233*CK1241+CJ1234*CK1240+CJ1235*CK1239+CJ1236*CK1238+CJ1237*CK1237+CJ1238*CK1236+CJ1239*CK1235+CJ1240*CK1234+CJ1241*CK1233+CJ1242*CK1232+CJ1243*CK1231+CJ1244*CK1230+CJ1245*CK1229+CJ1246</f>
        <v>2065.818333711135</v>
      </c>
      <c r="CM1246" s="134">
        <f t="shared" si="2217"/>
        <v>5.3095793940989108E-2</v>
      </c>
      <c r="CN1246" s="135">
        <f t="shared" si="2218"/>
        <v>1.5483488606522905E-2</v>
      </c>
      <c r="CO1246" s="135">
        <f t="shared" si="2227"/>
        <v>1.515115492160426E-2</v>
      </c>
      <c r="CP1246" s="134">
        <f>VLOOKUP($H1246,RoR!$E:$F,2,FALSE)</f>
        <v>3.6658333333333334E-2</v>
      </c>
      <c r="CQ1246" s="135">
        <v>1.0483662879041455E-2</v>
      </c>
      <c r="CR1246" s="135">
        <f t="shared" si="2225"/>
        <v>2.6174670454291879E-2</v>
      </c>
      <c r="CS1246" s="135">
        <f t="shared" si="2228"/>
        <v>1.5750786686929363E-2</v>
      </c>
      <c r="CT1246" s="135">
        <f t="shared" si="2229"/>
        <v>4.301363574220729E-3</v>
      </c>
      <c r="CU1246" s="139">
        <f t="shared" si="2219"/>
        <v>0.85607</v>
      </c>
      <c r="CV1246" s="335">
        <f t="shared" si="2220"/>
        <v>1.3989193348138562</v>
      </c>
      <c r="CW1246" s="335">
        <f t="shared" si="2221"/>
        <v>0.29302682427824522</v>
      </c>
      <c r="CX1246" s="335">
        <f t="shared" si="2222"/>
        <v>0.76309497491941802</v>
      </c>
      <c r="CY1246" s="335">
        <f t="shared" si="2223"/>
        <v>0.31280857135128509</v>
      </c>
      <c r="CZ1246" s="336">
        <f>INDEX('State Tax Lookup'!$D$7:$Z$91,MATCH(Calculation!$C1246,'State Tax Lookup'!$B$7:$B$91,0),MATCH($H1246,'State Tax Lookup'!$D$6:$Z$6,0))</f>
        <v>0.38900000000000001</v>
      </c>
      <c r="DA1246" s="302">
        <v>0.37</v>
      </c>
      <c r="DB1246" s="57">
        <f t="shared" si="2226"/>
        <v>14.811923588839445</v>
      </c>
      <c r="DC1246" s="56">
        <f t="shared" si="2230"/>
        <v>-2.7851966143960936E-2</v>
      </c>
      <c r="DD1246" s="303">
        <f>VLOOKUP($H1246,RoR!$E:$F,2,FALSE)</f>
        <v>3.6658333333333334E-2</v>
      </c>
      <c r="DE1246" s="304">
        <f>HLOOKUP($H1246,'GDP-PI'!$D$8:$CQ$11,3,FALSE)</f>
        <v>1.0483662879041455E-2</v>
      </c>
      <c r="DF1246" s="303">
        <f>VLOOKUP(H1246,'HW Dx Data'!$E:$F,2,FALSE)</f>
        <v>671.45639385971219</v>
      </c>
      <c r="DG1246" s="364">
        <f ca="1">VLOOKUP(CC1246,'ECI - Input Price'!M$13:N$33,2,FALSE)</f>
        <v>136.94999999999999</v>
      </c>
      <c r="DH1246" s="364"/>
      <c r="DI1246" s="364"/>
      <c r="DJ1246" s="56">
        <f t="shared" ca="1" si="2238"/>
        <v>2.5514417868782811E-2</v>
      </c>
      <c r="DK1246" s="53">
        <f>HLOOKUP(H1246,'GDP-PI'!$8:$9,2,FALSE)</f>
        <v>105.736</v>
      </c>
      <c r="DL1246" s="355">
        <f t="shared" si="2231"/>
        <v>1.0429090367205095E-2</v>
      </c>
    </row>
    <row r="1247" spans="1:116" s="126" customFormat="1" ht="21" customHeight="1" x14ac:dyDescent="0.4">
      <c r="A1247" s="233" t="s">
        <v>254</v>
      </c>
      <c r="B1247" s="126" t="s">
        <v>254</v>
      </c>
      <c r="C1247" s="126">
        <v>4063762</v>
      </c>
      <c r="D1247" s="127" t="s">
        <v>255</v>
      </c>
      <c r="E1247" s="127"/>
      <c r="F1247" s="144"/>
      <c r="G1247" s="126" t="s">
        <v>173</v>
      </c>
      <c r="H1247" s="128">
        <v>2017</v>
      </c>
      <c r="I1247" s="129"/>
      <c r="J1247" s="125">
        <f>IFERROR(INDEX('Labor Expenditures'!$E$7:$W$91,MATCH($C1247,'Labor Expenditures'!$C$7:$C$91,0),MATCH($G1247,'Labor Expenditures'!$E$5:$W$5,0)),"NA")</f>
        <v>19019.263701582451</v>
      </c>
      <c r="K1247" s="125">
        <f t="shared" ca="1" si="2232"/>
        <v>135.41661588880351</v>
      </c>
      <c r="L1247" s="47"/>
      <c r="M1247" s="131">
        <f t="shared" ca="1" si="2239"/>
        <v>-4.1884593744464051E-2</v>
      </c>
      <c r="N1247" s="131"/>
      <c r="O1247" s="131"/>
      <c r="P1247" s="59">
        <f t="shared" ca="1" si="2241"/>
        <v>-3.0164184452197374E-4</v>
      </c>
      <c r="Q1247" s="61"/>
      <c r="R1247" s="387"/>
      <c r="S1247" s="49">
        <f t="shared" ca="1" si="2246"/>
        <v>172.07577319255554</v>
      </c>
      <c r="T1247" s="61">
        <f ca="1">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</f>
        <v>-0.5774000943195392</v>
      </c>
      <c r="U1247" s="61"/>
      <c r="V1247" s="125">
        <f>IFERROR(INDEX('Non-Labor Expenditures'!$E$7:$AA$91,MATCH($C1247,'Non-Labor Expenditures'!$C$7:$C$91,0),MATCH($G1247,'Non-Labor Expenditures'!$E$5:$AA$5,0)),"NA")</f>
        <v>27543.446148347204</v>
      </c>
      <c r="W1247" s="125">
        <f t="shared" si="2233"/>
        <v>255.6212577920131</v>
      </c>
      <c r="X1247" s="131">
        <f t="shared" si="2242"/>
        <v>-3.5526524131043694E-2</v>
      </c>
      <c r="Y1247" s="131">
        <f t="shared" si="2243"/>
        <v>-2.5585269690621784E-4</v>
      </c>
      <c r="Z1247" s="131"/>
      <c r="AA1247" s="131"/>
      <c r="AB1247" s="131"/>
      <c r="AC1247" s="125">
        <f t="shared" si="2213"/>
        <v>27489.498286728045</v>
      </c>
      <c r="AD1247" s="129"/>
      <c r="AE1247" s="133">
        <v>2296.5945962740243</v>
      </c>
      <c r="AF1247" s="134">
        <v>2.6655733822386767E-2</v>
      </c>
      <c r="AG1247" s="59">
        <f t="shared" si="2234"/>
        <v>1.9196759472769694E-4</v>
      </c>
      <c r="AH1247" s="134"/>
      <c r="AI1247" s="134"/>
      <c r="AJ1247" s="129">
        <f t="shared" si="2252"/>
        <v>74052.208136657704</v>
      </c>
      <c r="AK1247" s="134">
        <f t="shared" si="2244"/>
        <v>-3.0700104427696388E-2</v>
      </c>
      <c r="AL1247" s="129"/>
      <c r="AM1247" s="129"/>
      <c r="AN1247" s="129"/>
      <c r="AO1247" s="129"/>
      <c r="AP1247" s="133">
        <f t="shared" si="2245"/>
        <v>250.12398800473449</v>
      </c>
      <c r="AQ1247" s="134">
        <f>+BB1247/Outputs!$B$25</f>
        <v>7.9957182173023087E-3</v>
      </c>
      <c r="AR1247" s="93">
        <f t="shared" si="2235"/>
        <v>0.25683587539326108</v>
      </c>
      <c r="AS1247" s="93">
        <f t="shared" si="2236"/>
        <v>0.37194631789396304</v>
      </c>
      <c r="AT1247" s="93">
        <f t="shared" si="2237"/>
        <v>0.37121780671277582</v>
      </c>
      <c r="AU1247" s="93">
        <f t="shared" ca="1" si="2240"/>
        <v>-1.3792177557810205E-2</v>
      </c>
      <c r="AV1247" s="132">
        <f t="shared" ca="1" si="2248"/>
        <v>100.93723475091825</v>
      </c>
      <c r="AW1247" s="134">
        <f t="shared" ca="1" si="2249"/>
        <v>-1.379217755781021E-2</v>
      </c>
      <c r="AX1247" s="135">
        <f>+AJ1247/$AL$21</f>
        <v>7.2017373825391867E-3</v>
      </c>
      <c r="AY1247" s="135">
        <f t="shared" ca="1" si="2247"/>
        <v>-9.9327640704699818E-5</v>
      </c>
      <c r="AZ1247" s="93"/>
      <c r="BA1247" s="93"/>
      <c r="BB1247" s="234">
        <f>IFERROR(INDEX('Total Customers'!$E$7:$AA$91,MATCH($C1247,'Total Customers'!$C$7:$C$91,0),MATCH($G1247,'Total Customers'!$E$5:$AA$5,0)),"NA")</f>
        <v>296062</v>
      </c>
      <c r="BC1247" s="269">
        <f t="shared" si="2209"/>
        <v>9.6695844847614013E-3</v>
      </c>
      <c r="BD1247" s="92"/>
      <c r="BE1247" s="299" t="str">
        <f t="shared" si="2205"/>
        <v>VIRGINIA NATURAL GAS, INC.</v>
      </c>
      <c r="BF1247" s="300">
        <f t="shared" si="2206"/>
        <v>4063762</v>
      </c>
      <c r="BG1247" s="231" t="str">
        <f t="shared" si="2207"/>
        <v>VA</v>
      </c>
      <c r="BH1247" s="231"/>
      <c r="BI1247" s="231" t="str">
        <f t="shared" si="2208"/>
        <v>2017 Y</v>
      </c>
      <c r="BJ1247" s="129"/>
      <c r="BK1247" s="129"/>
      <c r="BL1247" s="129">
        <f>INDEX('Dist. Plant Gas Additions'!$E$7:$AD$91,MATCH($C1247,'Dist. Plant Gas Additions'!$C$7:$C$91,0),MATCH(Calculation!$G1247,'Dist. Plant Gas Additions'!$E$5:$AD$5,0))</f>
        <v>53367</v>
      </c>
      <c r="BM1247" s="129">
        <f>INDEX('Gen. Plant Additions'!$E$7:$AD$91,MATCH($C1247,'Gen. Plant Additions'!$C$7:$C$91,0),MATCH(Calculation!$G1247,'Gen. Plant Additions'!$E$5:$AD$5,0))</f>
        <v>3557</v>
      </c>
      <c r="BN1247" s="301">
        <f t="shared" si="2214"/>
        <v>0.95890304412819194</v>
      </c>
      <c r="BO1247" s="231">
        <f t="shared" si="2250"/>
        <v>3410.8181279639789</v>
      </c>
      <c r="BP1247" s="231">
        <f t="shared" si="2251"/>
        <v>-146.1818720360211</v>
      </c>
      <c r="BQ1247" s="129">
        <f>INDEX('Dist Plant Depreciation'!$D$7:$AC$94,MATCH($C1247,'Dist Plant Depreciation'!$C$7:$C$94,0),MATCH(Calculation!$G1247,'Dist Plant Depreciation'!$D$5:$AC$5,0))</f>
        <v>293293</v>
      </c>
      <c r="BR1247" s="129">
        <f>INDEX('Gen. Plant Depreciation'!$D$7:$AC$94,MATCH($C1247,'Gen. Plant Depreciation'!$C$7:$C$94,0),MATCH(Calculation!$G1247,'Gen. Plant Depreciation'!$D$5:$AC$5,0))</f>
        <v>7617</v>
      </c>
      <c r="BS1247" s="129"/>
      <c r="BT1247" s="129"/>
      <c r="BU1247" s="129"/>
      <c r="BV1247" s="129"/>
      <c r="BW1247" s="129"/>
      <c r="BX1247" s="137"/>
      <c r="BY1247" s="129">
        <f>INDEX('Gross Dx Plant'!$D$7:$AC$91,MATCH($C1247,'Gross Dx Plant'!$C$7:$C$91,0),MATCH(Calculation!$G1247,'Gross Dx Plant'!$D$5:$AC$5,0))</f>
        <v>899989</v>
      </c>
      <c r="BZ1247" s="129">
        <f>INDEX('Gross Gen Plant'!$D$7:$AC$91,MATCH($C1247,'Gross Gen Plant'!$C$7:$C$91,0),MATCH(Calculation!$G1247,'Gross Gen Plant'!$D$5:$AC$5,0))</f>
        <v>38572</v>
      </c>
      <c r="CA1247" s="129">
        <f t="shared" si="2162"/>
        <v>637651</v>
      </c>
      <c r="CB1247" s="129"/>
      <c r="CC1247" s="133">
        <v>2017</v>
      </c>
      <c r="CD1247" s="129"/>
      <c r="CE1247" s="129"/>
      <c r="CF1247" s="129"/>
      <c r="CG1247" s="137"/>
      <c r="CH1247" s="129">
        <f t="shared" si="2215"/>
        <v>56924</v>
      </c>
      <c r="CI1247" s="46">
        <f t="shared" si="2224"/>
        <v>56777.818127963976</v>
      </c>
      <c r="CJ1247" s="231">
        <f t="shared" si="2216"/>
        <v>79.696154010139693</v>
      </c>
      <c r="CK1247" s="443">
        <v>0.77108433734939763</v>
      </c>
      <c r="CL1247" s="231">
        <f>+CL1228*CK1247+CJ1229*CK1246+CJ1230*CK1245+CJ1231*CK1244+CJ1232*CK1243+CJ1233*CK1242+CJ1234*CK1241+CJ1235*CK1240+CJ1236*CK1239+CJ1237*CK1238+CJ1238*CK1237+CJ1239*CK1236+CJ1240*CK1235+CJ1241*CK1234+CJ1242*CK1233+CJ1243*CK1232+CJ1244*CK1231+CJ1245*CK1230+CJ1246*CK1229+CJ1247</f>
        <v>2113.1193847613217</v>
      </c>
      <c r="CM1247" s="134">
        <f t="shared" si="2217"/>
        <v>2.2638801738236798E-2</v>
      </c>
      <c r="CN1247" s="135">
        <f t="shared" si="2218"/>
        <v>1.5681486813875274E-2</v>
      </c>
      <c r="CO1247" s="135">
        <f t="shared" si="2227"/>
        <v>1.5431571806668746E-2</v>
      </c>
      <c r="CP1247" s="134">
        <f>VLOOKUP($H1247,RoR!$E:$F,2,FALSE)</f>
        <v>3.7433333333333339E-2</v>
      </c>
      <c r="CQ1247" s="135">
        <v>1.9056896421275615E-2</v>
      </c>
      <c r="CR1247" s="135">
        <f t="shared" si="2225"/>
        <v>1.8376436912057724E-2</v>
      </c>
      <c r="CS1247" s="135">
        <f t="shared" si="2228"/>
        <v>1.5470369801864879E-2</v>
      </c>
      <c r="CT1247" s="135">
        <f t="shared" si="2229"/>
        <v>1.3976271617800498E-2</v>
      </c>
      <c r="CU1247" s="139">
        <f t="shared" si="2219"/>
        <v>0.90786999999999995</v>
      </c>
      <c r="CV1247" s="335">
        <f t="shared" si="2220"/>
        <v>1.3699568463593395</v>
      </c>
      <c r="CW1247" s="335">
        <f t="shared" si="2221"/>
        <v>0.30714603739982199</v>
      </c>
      <c r="CX1247" s="335">
        <f t="shared" si="2222"/>
        <v>0.77007188472689425</v>
      </c>
      <c r="CY1247" s="335">
        <f t="shared" si="2223"/>
        <v>0.32402839633793828</v>
      </c>
      <c r="CZ1247" s="336">
        <f>INDEX('State Tax Lookup'!$D$7:$Z$91,MATCH(Calculation!$C1247,'State Tax Lookup'!$B$7:$B$91,0),MATCH($H1247,'State Tax Lookup'!$D$6:$Z$6,0))</f>
        <v>0.249</v>
      </c>
      <c r="DA1247" s="302">
        <v>0.37</v>
      </c>
      <c r="DB1247" s="57">
        <f t="shared" si="2226"/>
        <v>13.306832376370963</v>
      </c>
      <c r="DC1247" s="56">
        <f t="shared" si="2230"/>
        <v>-0.10715488847285876</v>
      </c>
      <c r="DD1247" s="303">
        <f>VLOOKUP($H1247,RoR!$E:$F,2,FALSE)</f>
        <v>3.7433333333333339E-2</v>
      </c>
      <c r="DE1247" s="304">
        <f>HLOOKUP($H1247,'GDP-PI'!$D$8:$CQ$11,3,FALSE)</f>
        <v>1.9056896421275615E-2</v>
      </c>
      <c r="DF1247" s="303">
        <f>VLOOKUP(H1247,'HW Dx Data'!$E:$F,2,FALSE)</f>
        <v>712.42858370229726</v>
      </c>
      <c r="DG1247" s="364">
        <f ca="1">VLOOKUP(CC1247,'ECI - Input Price'!M$13:N$33,2,FALSE)</f>
        <v>140.44999999999999</v>
      </c>
      <c r="DH1247" s="364"/>
      <c r="DI1247" s="364"/>
      <c r="DJ1247" s="56">
        <f t="shared" ca="1" si="2238"/>
        <v>2.5235657841165486E-2</v>
      </c>
      <c r="DK1247" s="53">
        <f>HLOOKUP(H1247,'GDP-PI'!$8:$9,2,FALSE)</f>
        <v>107.751</v>
      </c>
      <c r="DL1247" s="355">
        <f t="shared" si="2231"/>
        <v>1.8877588227745139E-2</v>
      </c>
    </row>
    <row r="1248" spans="1:116" s="126" customFormat="1" ht="21" customHeight="1" x14ac:dyDescent="0.4">
      <c r="A1248" s="233" t="s">
        <v>254</v>
      </c>
      <c r="B1248" s="126" t="s">
        <v>254</v>
      </c>
      <c r="C1248" s="126">
        <v>4063762</v>
      </c>
      <c r="D1248" s="127" t="s">
        <v>255</v>
      </c>
      <c r="E1248" s="127"/>
      <c r="F1248" s="144"/>
      <c r="G1248" s="126" t="s">
        <v>174</v>
      </c>
      <c r="H1248" s="128">
        <v>2018</v>
      </c>
      <c r="I1248" s="129"/>
      <c r="J1248" s="125">
        <f>IFERROR(INDEX('Labor Expenditures'!$E$7:$W$91,MATCH($C1248,'Labor Expenditures'!$C$7:$C$91,0),MATCH($G1248,'Labor Expenditures'!$E$5:$W$5,0)),"NA")</f>
        <v>20728.936278382709</v>
      </c>
      <c r="K1248" s="125">
        <f t="shared" ca="1" si="2232"/>
        <v>143.50250106183947</v>
      </c>
      <c r="L1248" s="47"/>
      <c r="M1248" s="131">
        <f t="shared" ca="1" si="2239"/>
        <v>5.7996394049380416E-2</v>
      </c>
      <c r="N1248" s="131"/>
      <c r="O1248" s="131"/>
      <c r="P1248" s="59">
        <f t="shared" ca="1" si="2241"/>
        <v>4.507706088675978E-4</v>
      </c>
      <c r="Q1248" s="61"/>
      <c r="R1248" s="387"/>
      <c r="S1248" s="49">
        <f t="shared" ca="1" si="2246"/>
        <v>118.56562537816437</v>
      </c>
      <c r="T1248" s="61">
        <f ca="1">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</f>
        <v>-0.37246831367677236</v>
      </c>
      <c r="U1248" s="61"/>
      <c r="V1248" s="125">
        <f>IFERROR(INDEX('Non-Labor Expenditures'!$E$7:$AA$91,MATCH($C1248,'Non-Labor Expenditures'!$C$7:$C$91,0),MATCH($G1248,'Non-Labor Expenditures'!$E$5:$AA$5,0)),"NA")</f>
        <v>30019.3713623441</v>
      </c>
      <c r="W1248" s="125">
        <f t="shared" si="2233"/>
        <v>272.10684507481824</v>
      </c>
      <c r="X1248" s="131">
        <f t="shared" si="2242"/>
        <v>6.249791469486328E-2</v>
      </c>
      <c r="Y1248" s="131">
        <f t="shared" si="2243"/>
        <v>4.8575818413765118E-4</v>
      </c>
      <c r="Z1248" s="131"/>
      <c r="AA1248" s="131"/>
      <c r="AB1248" s="131"/>
      <c r="AC1248" s="125">
        <f t="shared" si="2213"/>
        <v>29145.080917653839</v>
      </c>
      <c r="AD1248" s="129"/>
      <c r="AE1248" s="133">
        <v>2342.9692941741205</v>
      </c>
      <c r="AF1248" s="134">
        <v>1.9991638660825425E-2</v>
      </c>
      <c r="AG1248" s="59">
        <f t="shared" si="2234"/>
        <v>1.5538281783050885E-4</v>
      </c>
      <c r="AH1248" s="134"/>
      <c r="AI1248" s="134"/>
      <c r="AJ1248" s="129">
        <f t="shared" si="2252"/>
        <v>79893.388558380655</v>
      </c>
      <c r="AK1248" s="134">
        <f t="shared" si="2244"/>
        <v>7.5922743089801417E-2</v>
      </c>
      <c r="AL1248" s="129"/>
      <c r="AM1248" s="129"/>
      <c r="AN1248" s="129"/>
      <c r="AO1248" s="129"/>
      <c r="AP1248" s="133">
        <f t="shared" si="2245"/>
        <v>268.098619323425</v>
      </c>
      <c r="AQ1248" s="134">
        <f>+BB1248/Outputs!$B$26</f>
        <v>7.9775737018051487E-3</v>
      </c>
      <c r="AR1248" s="93">
        <f t="shared" si="2235"/>
        <v>0.25945746766311473</v>
      </c>
      <c r="AS1248" s="93">
        <f t="shared" si="2236"/>
        <v>0.3757428731466057</v>
      </c>
      <c r="AT1248" s="93">
        <f t="shared" si="2237"/>
        <v>0.36479965919027951</v>
      </c>
      <c r="AU1248" s="93">
        <f t="shared" ca="1" si="2240"/>
        <v>4.5693181337642302E-2</v>
      </c>
      <c r="AV1248" s="132">
        <f t="shared" ca="1" si="2248"/>
        <v>105.65637329968224</v>
      </c>
      <c r="AW1248" s="134">
        <f t="shared" ca="1" si="2249"/>
        <v>4.5693181337642309E-2</v>
      </c>
      <c r="AX1248" s="135">
        <f>+AJ1248/$AL$22</f>
        <v>7.7723902710881291E-3</v>
      </c>
      <c r="AY1248" s="135">
        <f t="shared" ca="1" si="2247"/>
        <v>3.5514523808375677E-4</v>
      </c>
      <c r="AZ1248" s="93"/>
      <c r="BA1248" s="93"/>
      <c r="BB1248" s="234">
        <f>IFERROR(INDEX('Total Customers'!$E$7:$AA$91,MATCH($C1248,'Total Customers'!$C$7:$C$91,0),MATCH($G1248,'Total Customers'!$E$5:$AA$5,0)),"NA")</f>
        <v>298000</v>
      </c>
      <c r="BC1248" s="269">
        <f t="shared" si="2209"/>
        <v>6.5245946554544016E-3</v>
      </c>
      <c r="BD1248" s="92"/>
      <c r="BE1248" s="299" t="str">
        <f t="shared" si="2205"/>
        <v>VIRGINIA NATURAL GAS, INC.</v>
      </c>
      <c r="BF1248" s="300">
        <f t="shared" si="2206"/>
        <v>4063762</v>
      </c>
      <c r="BG1248" s="231" t="str">
        <f t="shared" si="2207"/>
        <v>VA</v>
      </c>
      <c r="BH1248" s="231"/>
      <c r="BI1248" s="231" t="str">
        <f t="shared" si="2208"/>
        <v>2018 Y</v>
      </c>
      <c r="BJ1248" s="129"/>
      <c r="BK1248" s="129"/>
      <c r="BL1248" s="129">
        <f>INDEX('Dist. Plant Gas Additions'!$E$7:$AD$91,MATCH($C1248,'Dist. Plant Gas Additions'!$C$7:$C$91,0),MATCH(Calculation!$G1248,'Dist. Plant Gas Additions'!$E$5:$AD$5,0))</f>
        <v>46120</v>
      </c>
      <c r="BM1248" s="129">
        <f>INDEX('Gen. Plant Additions'!$E$7:$AD$91,MATCH($C1248,'Gen. Plant Additions'!$C$7:$C$91,0),MATCH(Calculation!$G1248,'Gen. Plant Additions'!$E$5:$AD$5,0))</f>
        <v>4497</v>
      </c>
      <c r="BN1248" s="301">
        <f t="shared" si="2214"/>
        <v>0.95678001591569772</v>
      </c>
      <c r="BO1248" s="231">
        <f t="shared" si="2250"/>
        <v>4302.6397315728927</v>
      </c>
      <c r="BP1248" s="231">
        <f t="shared" si="2251"/>
        <v>-194.36026842710726</v>
      </c>
      <c r="BQ1248" s="129">
        <f>INDEX('Dist Plant Depreciation'!$D$7:$AC$94,MATCH($C1248,'Dist Plant Depreciation'!$C$7:$C$94,0),MATCH(Calculation!$G1248,'Dist Plant Depreciation'!$D$5:$AC$5,0))</f>
        <v>305830</v>
      </c>
      <c r="BR1248" s="129">
        <f>INDEX('Gen. Plant Depreciation'!$D$7:$AC$94,MATCH($C1248,'Gen. Plant Depreciation'!$C$7:$C$94,0),MATCH(Calculation!$G1248,'Gen. Plant Depreciation'!$D$5:$AC$5,0))</f>
        <v>9476</v>
      </c>
      <c r="BS1248" s="129"/>
      <c r="BT1248" s="129"/>
      <c r="BU1248" s="129"/>
      <c r="BV1248" s="129"/>
      <c r="BW1248" s="129"/>
      <c r="BX1248" s="137"/>
      <c r="BY1248" s="129">
        <f>INDEX('Gross Dx Plant'!$D$7:$AC$91,MATCH($C1248,'Gross Dx Plant'!$C$7:$C$91,0),MATCH(Calculation!$G1248,'Gross Dx Plant'!$D$5:$AC$5,0))</f>
        <v>939004</v>
      </c>
      <c r="BZ1248" s="129">
        <f>INDEX('Gross Gen Plant'!$D$7:$AC$91,MATCH($C1248,'Gross Gen Plant'!$C$7:$C$91,0),MATCH(Calculation!$G1248,'Gross Gen Plant'!$D$5:$AC$5,0))</f>
        <v>42417</v>
      </c>
      <c r="CA1248" s="129">
        <f t="shared" si="2162"/>
        <v>666115</v>
      </c>
      <c r="CB1248" s="129"/>
      <c r="CC1248" s="133">
        <v>2018</v>
      </c>
      <c r="CD1248" s="129"/>
      <c r="CE1248" s="129"/>
      <c r="CF1248" s="129"/>
      <c r="CG1248" s="137"/>
      <c r="CH1248" s="129">
        <f t="shared" si="2215"/>
        <v>50617</v>
      </c>
      <c r="CI1248" s="46">
        <f t="shared" si="2224"/>
        <v>50422.63973157289</v>
      </c>
      <c r="CJ1248" s="231">
        <f t="shared" si="2216"/>
        <v>66.772862150565985</v>
      </c>
      <c r="CK1248" s="443">
        <v>0.75609756097560976</v>
      </c>
      <c r="CL1248" s="231">
        <f>+CL1228*CK1248++CJ1229*CK1247+CJ1230*CK1246+CJ1231*CK1245+CJ1232*CK1244+CJ1233*CK1243+CJ1234*CK1242+CJ1235*CK1241+CJ1236*CK1240+CJ1237*CK1239+CJ1238*CK1238+CJ1239*CK1237+CJ1240*CK1236+CJ1241*CK1235+CJ1242*CK1234+CJ1243*CK1233+CJ1244*CK1232+CJ1245*CK1231+CJ1246*CK1230+CJ1247*CK1229+CJ1248</f>
        <v>2145.9508910205982</v>
      </c>
      <c r="CM1248" s="134">
        <f t="shared" si="2217"/>
        <v>1.5417522824565235E-2</v>
      </c>
      <c r="CN1248" s="135">
        <f t="shared" si="2218"/>
        <v>1.6062204594807224E-2</v>
      </c>
      <c r="CO1248" s="135">
        <f t="shared" si="2227"/>
        <v>1.57423933384018E-2</v>
      </c>
      <c r="CP1248" s="134">
        <f>VLOOKUP($H1248,RoR!$E:$F,2,FALSE)</f>
        <v>3.9299999999999995E-2</v>
      </c>
      <c r="CQ1248" s="135">
        <v>2.386056741932796E-2</v>
      </c>
      <c r="CR1248" s="135">
        <f t="shared" si="2225"/>
        <v>1.5439432580672034E-2</v>
      </c>
      <c r="CS1248" s="135">
        <f t="shared" si="2228"/>
        <v>1.5159548270131825E-2</v>
      </c>
      <c r="CT1248" s="135">
        <f t="shared" si="2229"/>
        <v>3.8270792163076606E-2</v>
      </c>
      <c r="CU1248" s="139">
        <f t="shared" si="2219"/>
        <v>0.90786999999999995</v>
      </c>
      <c r="CV1248" s="335">
        <f t="shared" si="2220"/>
        <v>1.3048868010700074</v>
      </c>
      <c r="CW1248" s="335">
        <f t="shared" si="2221"/>
        <v>0.33886768447837151</v>
      </c>
      <c r="CX1248" s="335">
        <f t="shared" si="2222"/>
        <v>0.78602506232557801</v>
      </c>
      <c r="CY1248" s="335">
        <f t="shared" si="2223"/>
        <v>0.34756768162358759</v>
      </c>
      <c r="CZ1248" s="336">
        <f>INDEX('State Tax Lookup'!$D$7:$Z$91,MATCH(Calculation!$C1248,'State Tax Lookup'!$B$7:$B$91,0),MATCH($H1248,'State Tax Lookup'!$D$6:$Z$6,0))</f>
        <v>0.249</v>
      </c>
      <c r="DA1248" s="302">
        <v>0.37</v>
      </c>
      <c r="DB1248" s="57">
        <f t="shared" si="2226"/>
        <v>13.79244406531522</v>
      </c>
      <c r="DC1248" s="56">
        <f t="shared" si="2230"/>
        <v>3.5843294882449042E-2</v>
      </c>
      <c r="DD1248" s="303">
        <f>VLOOKUP($H1248,RoR!$E:$F,2,FALSE)</f>
        <v>3.9299999999999995E-2</v>
      </c>
      <c r="DE1248" s="304">
        <f>HLOOKUP($H1248,'GDP-PI'!$D$8:$CQ$11,3,FALSE)</f>
        <v>2.386056741932796E-2</v>
      </c>
      <c r="DF1248" s="303">
        <f>VLOOKUP(H1248,'HW Dx Data'!$E:$F,2,FALSE)</f>
        <v>755.13671434174842</v>
      </c>
      <c r="DG1248" s="364">
        <f ca="1">VLOOKUP(CC1248,'ECI - Input Price'!M$13:N$33,2,FALSE)</f>
        <v>144.44999999999999</v>
      </c>
      <c r="DH1248" s="364"/>
      <c r="DI1248" s="364"/>
      <c r="DJ1248" s="56">
        <f t="shared" ca="1" si="2238"/>
        <v>2.80818733619915E-2</v>
      </c>
      <c r="DK1248" s="53">
        <f>HLOOKUP(H1248,'GDP-PI'!$8:$9,2,FALSE)</f>
        <v>110.322</v>
      </c>
      <c r="DL1248" s="355">
        <f t="shared" si="2231"/>
        <v>2.3580352716508712E-2</v>
      </c>
    </row>
    <row r="1249" spans="1:116" s="126" customFormat="1" ht="21" customHeight="1" x14ac:dyDescent="0.4">
      <c r="A1249" s="233" t="s">
        <v>254</v>
      </c>
      <c r="B1249" s="126" t="s">
        <v>254</v>
      </c>
      <c r="C1249" s="126">
        <v>4063762</v>
      </c>
      <c r="D1249" s="127" t="s">
        <v>255</v>
      </c>
      <c r="E1249" s="127"/>
      <c r="F1249" s="144"/>
      <c r="G1249" s="126" t="s">
        <v>175</v>
      </c>
      <c r="H1249" s="128">
        <v>2019</v>
      </c>
      <c r="I1249" s="129"/>
      <c r="J1249" s="125">
        <f>IFERROR(INDEX('Labor Expenditures'!$E$7:$W$91,MATCH($C1249,'Labor Expenditures'!$C$7:$C$91,0),MATCH($G1249,'Labor Expenditures'!$E$5:$W$5,0)),"NA")</f>
        <v>20255.566574890752</v>
      </c>
      <c r="K1249" s="125">
        <f t="shared" ca="1" si="2232"/>
        <v>135.33032620605144</v>
      </c>
      <c r="L1249" s="47"/>
      <c r="M1249" s="131">
        <f t="shared" ca="1" si="2239"/>
        <v>-5.8633813515735662E-2</v>
      </c>
      <c r="N1249" s="131"/>
      <c r="O1249" s="131"/>
      <c r="P1249" s="59">
        <f t="shared" ca="1" si="2241"/>
        <v>-4.1734367766493218E-4</v>
      </c>
      <c r="Q1249" s="61"/>
      <c r="R1249" s="387"/>
      <c r="S1249" s="49">
        <f t="shared" ca="1" si="2246"/>
        <v>117.85534570370105</v>
      </c>
      <c r="T1249" s="61">
        <f ca="1">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</f>
        <v>-6.0086193553587717E-3</v>
      </c>
      <c r="U1249" s="61"/>
      <c r="V1249" s="125">
        <f>IFERROR(INDEX('Non-Labor Expenditures'!$E$7:$AA$91,MATCH($C1249,'Non-Labor Expenditures'!$C$7:$C$91,0),MATCH($G1249,'Non-Labor Expenditures'!$E$5:$AA$5,0)),"NA")</f>
        <v>29333.843618422823</v>
      </c>
      <c r="W1249" s="125">
        <f t="shared" si="2233"/>
        <v>261.16778805198476</v>
      </c>
      <c r="X1249" s="131">
        <f t="shared" si="2242"/>
        <v>-4.1031735067965404E-2</v>
      </c>
      <c r="Y1249" s="131">
        <f t="shared" si="2243"/>
        <v>-2.9205562775892378E-4</v>
      </c>
      <c r="Z1249" s="131"/>
      <c r="AA1249" s="131"/>
      <c r="AB1249" s="131"/>
      <c r="AC1249" s="125">
        <f t="shared" si="2213"/>
        <v>29617.078534564742</v>
      </c>
      <c r="AD1249" s="129"/>
      <c r="AE1249" s="133">
        <v>2438.9861910906848</v>
      </c>
      <c r="AF1249" s="134">
        <v>4.0163403414622559E-2</v>
      </c>
      <c r="AG1249" s="59">
        <f t="shared" si="2234"/>
        <v>2.8587501790413889E-4</v>
      </c>
      <c r="AH1249" s="134"/>
      <c r="AI1249" s="134"/>
      <c r="AJ1249" s="129">
        <f t="shared" si="2252"/>
        <v>79206.488727878314</v>
      </c>
      <c r="AK1249" s="134">
        <f t="shared" si="2244"/>
        <v>-8.6348790485083812E-3</v>
      </c>
      <c r="AL1249" s="129"/>
      <c r="AM1249" s="129"/>
      <c r="AN1249" s="129"/>
      <c r="AO1249" s="129"/>
      <c r="AP1249" s="133">
        <f t="shared" si="2245"/>
        <v>263.4744804219182</v>
      </c>
      <c r="AQ1249" s="134">
        <f>+BB1249/Outputs!$B$27</f>
        <v>7.9814208013843178E-3</v>
      </c>
      <c r="AR1249" s="93">
        <f t="shared" si="2235"/>
        <v>0.25573115157876453</v>
      </c>
      <c r="AS1249" s="93">
        <f t="shared" si="2236"/>
        <v>0.37034647147662525</v>
      </c>
      <c r="AT1249" s="93">
        <f t="shared" si="2237"/>
        <v>0.37392237694461028</v>
      </c>
      <c r="AU1249" s="93">
        <f t="shared" ca="1" si="2240"/>
        <v>-1.5575611301556542E-2</v>
      </c>
      <c r="AV1249" s="132">
        <f t="shared" ca="1" si="2248"/>
        <v>104.02346051690586</v>
      </c>
      <c r="AW1249" s="134">
        <f t="shared" ca="1" si="2249"/>
        <v>-1.5575611301556543E-2</v>
      </c>
      <c r="AX1249" s="135">
        <f>+AJ1249/$AL$23</f>
        <v>7.1177986325745108E-3</v>
      </c>
      <c r="AY1249" s="135">
        <f t="shared" ca="1" si="2247"/>
        <v>-1.1086406482373126E-4</v>
      </c>
      <c r="AZ1249" s="93"/>
      <c r="BA1249" s="93"/>
      <c r="BB1249" s="234">
        <f>IFERROR(INDEX('Total Customers'!$E$7:$AA$91,MATCH($C1249,'Total Customers'!$C$7:$C$91,0),MATCH($G1249,'Total Customers'!$E$5:$AA$5,0)),"NA")</f>
        <v>300623</v>
      </c>
      <c r="BC1249" s="269">
        <f t="shared" si="2209"/>
        <v>8.7635015258383936E-3</v>
      </c>
      <c r="BD1249" s="92"/>
      <c r="BE1249" s="299" t="str">
        <f t="shared" si="2205"/>
        <v>VIRGINIA NATURAL GAS, INC.</v>
      </c>
      <c r="BF1249" s="300">
        <f t="shared" si="2206"/>
        <v>4063762</v>
      </c>
      <c r="BG1249" s="231" t="str">
        <f t="shared" si="2207"/>
        <v>VA</v>
      </c>
      <c r="BH1249" s="231"/>
      <c r="BI1249" s="231" t="str">
        <f t="shared" si="2208"/>
        <v>2019 Y</v>
      </c>
      <c r="BJ1249" s="129"/>
      <c r="BK1249" s="129"/>
      <c r="BL1249" s="129">
        <f>INDEX('Dist. Plant Gas Additions'!$E$7:$AD$91,MATCH($C1249,'Dist. Plant Gas Additions'!$C$7:$C$91,0),MATCH(Calculation!$G1249,'Dist. Plant Gas Additions'!$E$5:$AD$5,0))</f>
        <v>83667</v>
      </c>
      <c r="BM1249" s="129">
        <f>INDEX('Gen. Plant Additions'!$E$7:$AD$91,MATCH($C1249,'Gen. Plant Additions'!$C$7:$C$91,0),MATCH(Calculation!$G1249,'Gen. Plant Additions'!$E$5:$AD$5,0))</f>
        <v>7479</v>
      </c>
      <c r="BN1249" s="301">
        <f t="shared" si="2214"/>
        <v>0.95530137294033313</v>
      </c>
      <c r="BO1249" s="231">
        <f t="shared" si="2250"/>
        <v>7144.6989682207513</v>
      </c>
      <c r="BP1249" s="231">
        <f t="shared" si="2251"/>
        <v>-334.30103177924866</v>
      </c>
      <c r="BQ1249" s="129">
        <f>INDEX('Dist Plant Depreciation'!$D$7:$AC$94,MATCH($C1249,'Dist Plant Depreciation'!$C$7:$C$94,0),MATCH(Calculation!$G1249,'Dist Plant Depreciation'!$D$5:$AC$5,0))</f>
        <v>326945</v>
      </c>
      <c r="BR1249" s="129">
        <f>INDEX('Gen. Plant Depreciation'!$D$7:$AC$94,MATCH($C1249,'Gen. Plant Depreciation'!$C$7:$C$94,0),MATCH(Calculation!$G1249,'Gen. Plant Depreciation'!$D$5:$AC$5,0))</f>
        <v>10445</v>
      </c>
      <c r="BS1249" s="129"/>
      <c r="BT1249" s="129"/>
      <c r="BU1249" s="129"/>
      <c r="BV1249" s="129"/>
      <c r="BW1249" s="129"/>
      <c r="BX1249" s="137"/>
      <c r="BY1249" s="129">
        <f>INDEX('Gross Dx Plant'!$D$7:$AC$91,MATCH($C1249,'Gross Dx Plant'!$C$7:$C$91,0),MATCH(Calculation!$G1249,'Gross Dx Plant'!$D$5:$AC$5,0))</f>
        <v>1024854</v>
      </c>
      <c r="BZ1249" s="129">
        <f>INDEX('Gross Gen Plant'!$D$7:$AC$91,MATCH($C1249,'Gross Gen Plant'!$C$7:$C$91,0),MATCH(Calculation!$G1249,'Gross Gen Plant'!$D$5:$AC$5,0))</f>
        <v>47953</v>
      </c>
      <c r="CA1249" s="129">
        <f t="shared" si="2162"/>
        <v>735417</v>
      </c>
      <c r="CB1249" s="129"/>
      <c r="CC1249" s="133">
        <v>2019</v>
      </c>
      <c r="CD1249" s="129"/>
      <c r="CE1249" s="129"/>
      <c r="CF1249" s="129"/>
      <c r="CG1249" s="137"/>
      <c r="CH1249" s="129">
        <f t="shared" si="2215"/>
        <v>91146</v>
      </c>
      <c r="CI1249" s="46">
        <f t="shared" si="2224"/>
        <v>90811.69896822075</v>
      </c>
      <c r="CJ1249" s="231">
        <f t="shared" si="2216"/>
        <v>117.39765414650795</v>
      </c>
      <c r="CK1249" s="443">
        <v>0.7407407407407407</v>
      </c>
      <c r="CL1249" s="231">
        <f>CL1228*CK1249+CJ1229*CK1248+CJ1230*CK1247+CJ1231*CK1246+CJ1232*CK1245+CJ1233*CK1244+CJ1234*CK1243+CJ1235*CK1242+CJ1236*CK1241+CJ1237*CK1240+CJ1238*CK1239+CJ1239*CK1238+CJ1240*CK1237+CJ1241*CK1236+CJ1242*CK1235+CJ1243*CK1234+CJ1244*CK1233+CJ1245*CK1232+CJ1246*CK1231+CJ1247*CK1230+CJ1248*CK1229+CJ1249</f>
        <v>2227.9461293823315</v>
      </c>
      <c r="CM1249" s="134">
        <f t="shared" si="2217"/>
        <v>3.7497382873859189E-2</v>
      </c>
      <c r="CN1249" s="135">
        <f t="shared" si="2218"/>
        <v>1.6497309389935537E-2</v>
      </c>
      <c r="CO1249" s="135">
        <f t="shared" si="2227"/>
        <v>1.6080333599539344E-2</v>
      </c>
      <c r="CP1249" s="134">
        <f>VLOOKUP($H1249,RoR!$E:$F,2,FALSE)</f>
        <v>3.3875000000000009E-2</v>
      </c>
      <c r="CQ1249" s="135">
        <v>1.8092492884465461E-2</v>
      </c>
      <c r="CR1249" s="135">
        <f t="shared" si="2225"/>
        <v>1.5782507115534548E-2</v>
      </c>
      <c r="CS1249" s="135">
        <f t="shared" si="2228"/>
        <v>1.4821608008994281E-2</v>
      </c>
      <c r="CT1249" s="135">
        <f t="shared" si="2229"/>
        <v>4.8445665544254078E-2</v>
      </c>
      <c r="CU1249" s="139">
        <f t="shared" si="2219"/>
        <v>0.90786999999999995</v>
      </c>
      <c r="CV1249" s="335">
        <f t="shared" si="2220"/>
        <v>1.513861292459078</v>
      </c>
      <c r="CW1249" s="335">
        <f t="shared" si="2221"/>
        <v>0.23699261992619944</v>
      </c>
      <c r="CX1249" s="335">
        <f t="shared" si="2222"/>
        <v>0.73619765810468829</v>
      </c>
      <c r="CY1249" s="335">
        <f t="shared" si="2223"/>
        <v>0.26412854465362851</v>
      </c>
      <c r="CZ1249" s="336">
        <f>INDEX('State Tax Lookup'!$D$7:$Z$91,MATCH(Calculation!$C1249,'State Tax Lookup'!$B$7:$B$91,0),MATCH($H1249,'State Tax Lookup'!$D$6:$Z$6,0))</f>
        <v>0.249</v>
      </c>
      <c r="DA1249" s="302">
        <v>0.37</v>
      </c>
      <c r="DB1249" s="57">
        <f t="shared" si="2226"/>
        <v>13.801377589064529</v>
      </c>
      <c r="DC1249" s="56">
        <f t="shared" si="2230"/>
        <v>6.4750176132374589E-4</v>
      </c>
      <c r="DD1249" s="303">
        <f>VLOOKUP($H1249,RoR!$E:$F,2,FALSE)</f>
        <v>3.3875000000000009E-2</v>
      </c>
      <c r="DE1249" s="304">
        <f>HLOOKUP($H1249,'GDP-PI'!$D$8:$CQ$11,3,FALSE)</f>
        <v>1.8092492884465461E-2</v>
      </c>
      <c r="DF1249" s="303">
        <f>VLOOKUP(H1249,'HW Dx Data'!$E:$F,2,FALSE)</f>
        <v>773.53929793938721</v>
      </c>
      <c r="DG1249" s="364">
        <f ca="1">VLOOKUP(CC1249,'ECI - Input Price'!M$13:N$33,2,FALSE)</f>
        <v>149.67500000000001</v>
      </c>
      <c r="DH1249" s="364"/>
      <c r="DI1249" s="364"/>
      <c r="DJ1249" s="56">
        <f t="shared" ca="1" si="2238"/>
        <v>3.5532849899171604E-2</v>
      </c>
      <c r="DK1249" s="53">
        <f>HLOOKUP(H1249,'GDP-PI'!$8:$9,2,FALSE)</f>
        <v>112.318</v>
      </c>
      <c r="DL1249" s="355">
        <f t="shared" si="2231"/>
        <v>1.7930771451401852E-2</v>
      </c>
    </row>
    <row r="1250" spans="1:116" s="126" customFormat="1" ht="21" customHeight="1" x14ac:dyDescent="0.4">
      <c r="A1250" s="233" t="s">
        <v>254</v>
      </c>
      <c r="B1250" s="126" t="s">
        <v>254</v>
      </c>
      <c r="C1250" s="126">
        <v>4063762</v>
      </c>
      <c r="D1250" s="126" t="s">
        <v>255</v>
      </c>
      <c r="G1250" s="127" t="s">
        <v>176</v>
      </c>
      <c r="H1250" s="128">
        <v>2020</v>
      </c>
      <c r="I1250" s="129"/>
      <c r="J1250" s="125">
        <f>IFERROR(INDEX('Labor Expenditures'!$E$7:$W$91,MATCH($C1250,'Labor Expenditures'!$C$7:$C$91,0),MATCH($G1250,'Labor Expenditures'!$E$5:$W$5,0)),"NA")</f>
        <v>21673.535024730652</v>
      </c>
      <c r="K1250" s="125">
        <f t="shared" ca="1" si="2232"/>
        <v>141.5183481862922</v>
      </c>
      <c r="L1250" s="47"/>
      <c r="M1250" s="131">
        <f t="shared" ca="1" si="2239"/>
        <v>4.4710727303626539E-2</v>
      </c>
      <c r="N1250" s="131"/>
      <c r="O1250" s="131"/>
      <c r="P1250" s="59">
        <f t="shared" ca="1" si="2241"/>
        <v>3.3195384218128073E-4</v>
      </c>
      <c r="Q1250" s="61"/>
      <c r="R1250" s="387"/>
      <c r="S1250" s="49">
        <f t="shared" ca="1" si="2246"/>
        <v>117.44526925793573</v>
      </c>
      <c r="T1250" s="61">
        <f ca="1">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</f>
        <v>-3.4855570692324499E-3</v>
      </c>
      <c r="U1250" s="61"/>
      <c r="V1250" s="125">
        <f>IFERROR(INDEX('Non-Labor Expenditures'!$E$7:$AA$91,MATCH($C1250,'Non-Labor Expenditures'!$C$7:$C$91,0),MATCH($G1250,'Non-Labor Expenditures'!$E$5:$AA$5,0)),"NA")</f>
        <v>31387.32677376553</v>
      </c>
      <c r="W1250" s="125">
        <f t="shared" si="2233"/>
        <v>276.24096154621446</v>
      </c>
      <c r="X1250" s="131">
        <f t="shared" si="2242"/>
        <v>5.6110467039601659E-2</v>
      </c>
      <c r="Y1250" s="131">
        <f t="shared" si="2243"/>
        <v>4.1659096694835244E-4</v>
      </c>
      <c r="Z1250" s="131"/>
      <c r="AA1250" s="131"/>
      <c r="AB1250" s="131"/>
      <c r="AC1250" s="125">
        <f t="shared" si="2213"/>
        <v>31527.061236934387</v>
      </c>
      <c r="AD1250" s="129"/>
      <c r="AE1250" s="133">
        <v>2703.6959185023006</v>
      </c>
      <c r="AF1250" s="134">
        <v>0.10303723817354386</v>
      </c>
      <c r="AG1250" s="59">
        <f t="shared" si="2234"/>
        <v>7.6499777932892887E-4</v>
      </c>
      <c r="AH1250" s="134"/>
      <c r="AI1250" s="134"/>
      <c r="AJ1250" s="129">
        <f t="shared" si="2252"/>
        <v>84587.923035430576</v>
      </c>
      <c r="AK1250" s="134">
        <f t="shared" si="2244"/>
        <v>6.573327885684549E-2</v>
      </c>
      <c r="AL1250" s="129"/>
      <c r="AM1250" s="129"/>
      <c r="AN1250" s="129"/>
      <c r="AO1250" s="129"/>
      <c r="AP1250" s="133">
        <f t="shared" si="2245"/>
        <v>281.37542049487422</v>
      </c>
      <c r="AQ1250" s="134">
        <f>+BB1250/Outputs!$B$28</f>
        <v>7.9250594538290801E-3</v>
      </c>
      <c r="AR1250" s="93">
        <f t="shared" si="2235"/>
        <v>0.25622493432842008</v>
      </c>
      <c r="AS1250" s="93">
        <f t="shared" si="2236"/>
        <v>0.37106156112402244</v>
      </c>
      <c r="AT1250" s="93">
        <f t="shared" si="2237"/>
        <v>0.37271350454755736</v>
      </c>
      <c r="AU1250" s="93">
        <f t="shared" ca="1" si="2240"/>
        <v>7.0710989537392521E-2</v>
      </c>
      <c r="AV1250" s="132">
        <f t="shared" ca="1" si="2248"/>
        <v>111.64536291967008</v>
      </c>
      <c r="AW1250" s="134">
        <f t="shared" ca="1" si="2249"/>
        <v>7.0710989537392466E-2</v>
      </c>
      <c r="AX1250" s="135">
        <f>+AJ1250/$AL$24</f>
        <v>7.4244786922612986E-3</v>
      </c>
      <c r="AY1250" s="135">
        <f t="shared" ca="1" si="2247"/>
        <v>5.2499223512908195E-4</v>
      </c>
      <c r="AZ1250" s="93"/>
      <c r="BA1250" s="93"/>
      <c r="BB1250" s="234">
        <v>300623</v>
      </c>
      <c r="BC1250" s="269">
        <f t="shared" si="2209"/>
        <v>0</v>
      </c>
      <c r="BD1250" s="92"/>
      <c r="BE1250" s="299" t="str">
        <f t="shared" si="2205"/>
        <v>VIRGINIA NATURAL GAS, INC.</v>
      </c>
      <c r="BF1250" s="300">
        <f t="shared" si="2206"/>
        <v>4063762</v>
      </c>
      <c r="BG1250" s="231" t="str">
        <f t="shared" si="2207"/>
        <v>VA</v>
      </c>
      <c r="BH1250" s="231"/>
      <c r="BI1250" s="231" t="str">
        <f t="shared" si="2208"/>
        <v>2020 Y</v>
      </c>
      <c r="BJ1250" s="129"/>
      <c r="BK1250" s="129"/>
      <c r="BL1250" s="129">
        <f>INDEX('Dist. Plant Gas Additions'!$E$7:$AD$91,MATCH($C1250,'Dist. Plant Gas Additions'!$C$7:$C$91,0),MATCH(Calculation!$G1250,'Dist. Plant Gas Additions'!$E$5:$AD$5,0))</f>
        <v>230244</v>
      </c>
      <c r="BM1250" s="129">
        <f>INDEX('Gen. Plant Additions'!$E$7:$AD$91,MATCH($C1250,'Gen. Plant Additions'!$C$7:$C$91,0),MATCH(Calculation!$G1250,'Gen. Plant Additions'!$E$5:$AD$5,0))</f>
        <v>3918</v>
      </c>
      <c r="BN1250" s="301">
        <f t="shared" si="2214"/>
        <v>0.96471580695727477</v>
      </c>
      <c r="BO1250" s="231">
        <f t="shared" si="2250"/>
        <v>3779.7565316586024</v>
      </c>
      <c r="BP1250" s="231">
        <f t="shared" si="2251"/>
        <v>-138.2434683413976</v>
      </c>
      <c r="BQ1250" s="129">
        <f>INDEX('Dist Plant Depreciation'!$D$7:$AC$94,MATCH($C1250,'Dist Plant Depreciation'!$C$7:$C$94,0),MATCH(Calculation!$G1250,'Dist Plant Depreciation'!$D$5:$AC$5,0))</f>
        <v>343137</v>
      </c>
      <c r="BR1250" s="129">
        <f>INDEX('Gen. Plant Depreciation'!$D$7:$AC$94,MATCH($C1250,'Gen. Plant Depreciation'!$C$7:$C$94,0),MATCH(Calculation!$G1250,'Gen. Plant Depreciation'!$D$5:$AC$5,0))</f>
        <v>7317</v>
      </c>
      <c r="BS1250" s="129"/>
      <c r="BT1250" s="129"/>
      <c r="BU1250" s="129"/>
      <c r="BV1250" s="129"/>
      <c r="BW1250" s="129"/>
      <c r="BX1250" s="137"/>
      <c r="BY1250" s="129">
        <f>INDEX('Gross Dx Plant'!$D$7:$AC$91,MATCH($C1250,'Gross Dx Plant'!$C$7:$C$91,0),MATCH(Calculation!$G1250,'Gross Dx Plant'!$D$5:$AC$5,0))</f>
        <v>1249935</v>
      </c>
      <c r="BZ1250" s="129">
        <f>INDEX('Gross Gen Plant'!$D$7:$AC$91,MATCH($C1250,'Gross Gen Plant'!$C$7:$C$91,0),MATCH(Calculation!$G1250,'Gross Gen Plant'!$D$5:$AC$5,0))</f>
        <v>45716</v>
      </c>
      <c r="CA1250" s="129">
        <f t="shared" si="2162"/>
        <v>945197</v>
      </c>
      <c r="CB1250" s="129"/>
      <c r="CC1250" s="133">
        <v>2020</v>
      </c>
      <c r="CD1250" s="129"/>
      <c r="CE1250" s="129"/>
      <c r="CF1250" s="129"/>
      <c r="CG1250" s="137"/>
      <c r="CH1250" s="129">
        <f t="shared" si="2215"/>
        <v>234162</v>
      </c>
      <c r="CI1250" s="46">
        <f t="shared" si="2224"/>
        <v>234023.75653165861</v>
      </c>
      <c r="CJ1250" s="231">
        <f t="shared" si="2216"/>
        <v>287.82371940295303</v>
      </c>
      <c r="CK1250" s="443">
        <v>0.72499999999999998</v>
      </c>
      <c r="CL1250" s="231">
        <f>CL1228*CK1250+CJ1229*CK1249+CJ1230*CK1248+CJ1231*CK1247+CJ1232*CK1246+CJ1233*CK1245+CJ1234*CK1244+CJ1235*CK1243+CJ1236*CK1242+CJ1237*CK1241+CJ1238*CK1240+CJ1239*CK1239+CJ1240*CK1238+CJ1241*CK1237+CJ1242*CK1236+CJ1243*CK1235+CJ1244*CK1234+CJ1245*CK1233+CJ1246*CK1232+CJ1247*CK1231+CJ1248*CK1230+CJ1249*CK1229+CJ1250</f>
        <v>2478.3631555970683</v>
      </c>
      <c r="CM1250" s="134">
        <f t="shared" si="2217"/>
        <v>0.10651818150483316</v>
      </c>
      <c r="CN1250" s="135">
        <f t="shared" si="2218"/>
        <v>1.678976555801498E-2</v>
      </c>
      <c r="CO1250" s="135">
        <f t="shared" si="2227"/>
        <v>1.6449759847585912E-2</v>
      </c>
      <c r="CP1250" s="134">
        <f>VLOOKUP($H1250,RoR!$E:$F,2,FALSE)</f>
        <v>2.4766666666666666E-2</v>
      </c>
      <c r="CQ1250" s="135">
        <v>1.1618796630994188E-2</v>
      </c>
      <c r="CR1250" s="135">
        <f t="shared" si="2225"/>
        <v>1.3147870035672478E-2</v>
      </c>
      <c r="CS1250" s="135">
        <f t="shared" si="2228"/>
        <v>1.4452181760947713E-2</v>
      </c>
      <c r="CT1250" s="135">
        <f t="shared" si="2229"/>
        <v>4.5144642961987357E-2</v>
      </c>
      <c r="CU1250" s="139">
        <f t="shared" si="2219"/>
        <v>0.90786999999999995</v>
      </c>
      <c r="CV1250" s="335">
        <f t="shared" si="2220"/>
        <v>2.0706077233668081</v>
      </c>
      <c r="CW1250" s="335">
        <f t="shared" si="2221"/>
        <v>-3.4421265141318998E-2</v>
      </c>
      <c r="CX1250" s="335">
        <f t="shared" si="2222"/>
        <v>0.62416226176410472</v>
      </c>
      <c r="CY1250" s="335">
        <f t="shared" si="2223"/>
        <v>-4.4485877841158712E-2</v>
      </c>
      <c r="CZ1250" s="336">
        <f>INDEX('State Tax Lookup'!$D$7:$Z$91,MATCH(Calculation!$C1250,'State Tax Lookup'!$B$7:$B$91,0),MATCH($H1250,'State Tax Lookup'!$D$6:$Z$6,0))</f>
        <v>0.249</v>
      </c>
      <c r="DA1250" s="302">
        <v>0.37</v>
      </c>
      <c r="DB1250" s="57">
        <f t="shared" si="2226"/>
        <v>14.150728700821347</v>
      </c>
      <c r="DC1250" s="56">
        <f t="shared" si="2230"/>
        <v>2.4997708579039518E-2</v>
      </c>
      <c r="DD1250" s="303">
        <f>VLOOKUP($H1250,RoR!$E:$F,2,FALSE)</f>
        <v>2.4766666666666666E-2</v>
      </c>
      <c r="DE1250" s="304">
        <f>HLOOKUP($H1250,'GDP-PI'!$D$8:$CQ$11,3,FALSE)</f>
        <v>1.1618796630994188E-2</v>
      </c>
      <c r="DF1250" s="303">
        <f>VLOOKUP(H1250,'HW Dx Data'!$E:$F,2,FALSE)</f>
        <v>813.080162458833</v>
      </c>
      <c r="DG1250" s="364">
        <f ca="1">VLOOKUP(CC1250,'ECI - Input Price'!M$13:N$33,2,FALSE)</f>
        <v>153.15</v>
      </c>
      <c r="DH1250" s="364"/>
      <c r="DI1250" s="364"/>
      <c r="DJ1250" s="56">
        <f t="shared" ca="1" si="2238"/>
        <v>2.2951556467368479E-2</v>
      </c>
      <c r="DK1250" s="53">
        <f>HLOOKUP(H1250,'GDP-PI'!$8:$9,2,FALSE)</f>
        <v>113.623</v>
      </c>
      <c r="DL1250" s="355">
        <f t="shared" si="2231"/>
        <v>1.1551816731392881E-2</v>
      </c>
    </row>
    <row r="1251" spans="1:116" s="126" customFormat="1" ht="21" customHeight="1" x14ac:dyDescent="0.4">
      <c r="A1251" s="233" t="s">
        <v>254</v>
      </c>
      <c r="B1251" s="126" t="s">
        <v>254</v>
      </c>
      <c r="C1251" s="126">
        <v>4063762</v>
      </c>
      <c r="D1251" s="126" t="s">
        <v>255</v>
      </c>
      <c r="G1251" s="127" t="s">
        <v>177</v>
      </c>
      <c r="H1251" s="128">
        <v>2021</v>
      </c>
      <c r="I1251" s="129"/>
      <c r="J1251" s="125">
        <v>22737.240898306332</v>
      </c>
      <c r="K1251" s="125">
        <f t="shared" ca="1" si="2232"/>
        <v>144.59294688907048</v>
      </c>
      <c r="L1251" s="47"/>
      <c r="M1251" s="130">
        <f t="shared" ca="1" si="2239"/>
        <v>2.1493153996236049E-2</v>
      </c>
      <c r="N1251" s="130"/>
      <c r="O1251" s="130"/>
      <c r="P1251" s="59">
        <f t="shared" ca="1" si="2241"/>
        <v>1.8886548428765425E-4</v>
      </c>
      <c r="Q1251" s="61"/>
      <c r="R1251" s="387"/>
      <c r="S1251" s="132">
        <f ca="1">+S1250*EXP(T1251)</f>
        <v>118.49362239584975</v>
      </c>
      <c r="T1251" s="134">
        <f ca="1">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</f>
        <v>8.8867081633450841E-3</v>
      </c>
      <c r="U1251" s="134"/>
      <c r="V1251" s="125">
        <v>32051.291386769171</v>
      </c>
      <c r="W1251" s="125">
        <f t="shared" si="2233"/>
        <v>270.49785962333675</v>
      </c>
      <c r="X1251" s="131">
        <f t="shared" si="2242"/>
        <v>-2.1009348324615897E-2</v>
      </c>
      <c r="Y1251" s="131">
        <f t="shared" si="2243"/>
        <v>-1.8461416814821491E-4</v>
      </c>
      <c r="Z1251" s="131"/>
      <c r="AA1251" s="131"/>
      <c r="AB1251" s="131"/>
      <c r="AC1251" s="125">
        <f t="shared" si="2213"/>
        <v>47161.857101503389</v>
      </c>
      <c r="AD1251" s="129"/>
      <c r="AE1251" s="133">
        <v>2832.4904093321502</v>
      </c>
      <c r="AF1251" s="134"/>
      <c r="AG1251" s="59">
        <f t="shared" si="2234"/>
        <v>0</v>
      </c>
      <c r="AH1251" s="134"/>
      <c r="AI1251" s="134"/>
      <c r="AJ1251" s="129">
        <f t="shared" si="2252"/>
        <v>101950.3893865789</v>
      </c>
      <c r="AK1251" s="134">
        <f t="shared" si="2244"/>
        <v>0.18669481369731755</v>
      </c>
      <c r="AL1251" s="129"/>
      <c r="AM1251" s="134"/>
      <c r="AN1251" s="134"/>
      <c r="AO1251" s="134"/>
      <c r="AP1251" s="133">
        <f t="shared" si="2245"/>
        <v>326.76406854672723</v>
      </c>
      <c r="AQ1251" s="134">
        <f>+BB1251/Outputs!$B$29</f>
        <v>8.0815876493733532E-3</v>
      </c>
      <c r="AR1251" s="93">
        <f t="shared" si="2235"/>
        <v>0.2230225998656121</v>
      </c>
      <c r="AS1251" s="93">
        <f t="shared" si="2236"/>
        <v>0.31438125523224841</v>
      </c>
      <c r="AT1251" s="93">
        <f t="shared" si="2237"/>
        <v>0.46259614490213941</v>
      </c>
      <c r="AU1251" s="93">
        <f t="shared" ca="1" si="2240"/>
        <v>-2.0500829153429429E-3</v>
      </c>
      <c r="AV1251" s="132">
        <f t="shared" ca="1" si="2248"/>
        <v>111.41671512212372</v>
      </c>
      <c r="AW1251" s="134">
        <f t="shared" ca="1" si="2249"/>
        <v>-2.050082915342962E-3</v>
      </c>
      <c r="AX1251" s="135">
        <f>+AJ1251/$AL$25</f>
        <v>8.7872391516260941E-3</v>
      </c>
      <c r="AY1251" s="135">
        <f t="shared" ca="1" si="2247"/>
        <v>-1.8014568857781437E-5</v>
      </c>
      <c r="AZ1251" s="93"/>
      <c r="BA1251" s="93"/>
      <c r="BB1251" s="234">
        <f>INDEX('Total Customers'!$D$7:$D$91,MATCH(Calculation!$C1251,'Total Customers'!$C$7:$C$91,0))</f>
        <v>312000</v>
      </c>
      <c r="BC1251" s="269">
        <f t="shared" si="2209"/>
        <v>3.7146199778239637E-2</v>
      </c>
      <c r="BD1251" s="91"/>
      <c r="BE1251" s="299" t="str">
        <f t="shared" si="2205"/>
        <v>VIRGINIA NATURAL GAS, INC.</v>
      </c>
      <c r="BF1251" s="300">
        <f t="shared" si="2206"/>
        <v>4063762</v>
      </c>
      <c r="BG1251" s="231" t="str">
        <f t="shared" si="2207"/>
        <v>VA</v>
      </c>
      <c r="BH1251" s="231"/>
      <c r="BI1251" s="231" t="str">
        <f t="shared" si="2208"/>
        <v>2021 Y</v>
      </c>
      <c r="BJ1251" s="129"/>
      <c r="BK1251" s="129"/>
      <c r="BL1251" s="129">
        <f>INDEX('Dist. Plant Gas Additions'!$D$7:$AD$91,MATCH($C1251,'Dist. Plant Gas Additions'!$C$7:$C$91,0),MATCH(Calculation!$G1251,'Dist. Plant Gas Additions'!$D$5:$AD$5,0))</f>
        <v>119710.47</v>
      </c>
      <c r="BM1251" s="129">
        <f>INDEX('Gen. Plant Additions'!$D$7:$AD$91,MATCH($C1251,'Gen. Plant Additions'!$C$7:$C$91,0),MATCH(Calculation!$G1251,'Gen. Plant Additions'!$D$5:$AD$5,0))</f>
        <v>5003.6030000000001</v>
      </c>
      <c r="BN1251" s="343">
        <v>1</v>
      </c>
      <c r="BO1251" s="231">
        <f t="shared" si="2250"/>
        <v>5003.6030000000001</v>
      </c>
      <c r="BP1251" s="231">
        <f t="shared" si="2251"/>
        <v>0</v>
      </c>
      <c r="BQ1251" s="129"/>
      <c r="BR1251" s="129"/>
      <c r="BS1251" s="137"/>
      <c r="BT1251" s="137"/>
      <c r="BU1251" s="333"/>
      <c r="BV1251" s="93"/>
      <c r="BW1251" s="334"/>
      <c r="BX1251" s="334"/>
      <c r="BY1251" s="129"/>
      <c r="BZ1251" s="129"/>
      <c r="CA1251" s="129"/>
      <c r="CB1251" s="129"/>
      <c r="CC1251" s="133">
        <v>2021</v>
      </c>
      <c r="CD1251" s="129"/>
      <c r="CE1251" s="129"/>
      <c r="CF1251" s="129"/>
      <c r="CG1251" s="137"/>
      <c r="CH1251" s="129">
        <f t="shared" si="2215"/>
        <v>124714.073</v>
      </c>
      <c r="CI1251" s="46">
        <f t="shared" si="2224"/>
        <v>124714.073</v>
      </c>
      <c r="CJ1251" s="231">
        <f t="shared" si="2216"/>
        <v>133.66673698084568</v>
      </c>
      <c r="CK1251" s="443">
        <v>0.70886075949367089</v>
      </c>
      <c r="CL1251" s="129">
        <f>CL1228*CK1251+CJ1229*CK1250+CJ1230*CK1249+CJ1231*CK1248+CJ1232*CK1247+CJ1233*CK1246+CJ1234*CK1245+CJ1235*CK1244+CJ1236*CK1243+CJ1237*CK1242+CJ1238*CK1241+CJ1239*CK1240+CJ1240*CK1239+CJ1241*CK1238+CJ1242*CK1237+CJ1233*CK1236+CJ1244*CK1235+CJ1245*CK1234+CJ1246*CK1233+CJ1247*CK1232+CJ1248*CK1231+CJ1249*CK1230+CJ1251+CJ1250*CK1229</f>
        <v>2590.8010841329078</v>
      </c>
      <c r="CM1251" s="134"/>
      <c r="CN1251" s="135">
        <f t="shared" si="2218"/>
        <v>8.5656568921562495E-3</v>
      </c>
      <c r="CO1251" s="135">
        <f t="shared" si="2227"/>
        <v>1.3950910613368922E-2</v>
      </c>
      <c r="CP1251" s="134">
        <f>VLOOKUP($H1251,RoR!$E:$F,2,FALSE)</f>
        <v>2.7033333333333336E-2</v>
      </c>
      <c r="CQ1251" s="135"/>
      <c r="CR1251" s="135"/>
      <c r="CS1251" s="135">
        <f t="shared" si="2228"/>
        <v>1.6951030995164703E-2</v>
      </c>
      <c r="CT1251" s="135">
        <f t="shared" si="2229"/>
        <v>7.433422950153494E-2</v>
      </c>
      <c r="CU1251" s="139">
        <f t="shared" si="2219"/>
        <v>0.90786999999999995</v>
      </c>
      <c r="CV1251" s="335">
        <f t="shared" si="2220"/>
        <v>1.8969932656739068</v>
      </c>
      <c r="CW1251" s="335">
        <f t="shared" si="2221"/>
        <v>5.0215782983970621E-2</v>
      </c>
      <c r="CX1251" s="335">
        <f t="shared" si="2222"/>
        <v>0.655952481704143</v>
      </c>
      <c r="CY1251" s="335">
        <f t="shared" si="2223"/>
        <v>6.2485378865697057E-2</v>
      </c>
      <c r="CZ1251" s="336">
        <f>CZ1250</f>
        <v>0.249</v>
      </c>
      <c r="DA1251" s="302">
        <v>0.37</v>
      </c>
      <c r="DB1251" s="141">
        <f t="shared" si="2226"/>
        <v>19.029437633058063</v>
      </c>
      <c r="DC1251" s="135">
        <f>LN(DB1252/DB1250)</f>
        <v>0.223301134816839</v>
      </c>
      <c r="DD1251" s="336">
        <f>VLOOKUP($H1251,RoR!$E:$F,2,FALSE)</f>
        <v>2.7033333333333336E-2</v>
      </c>
      <c r="DE1251" s="342">
        <f>HLOOKUP($H1251,'GDP-PI'!$D$8:$CR$11,3,FALSE)</f>
        <v>4.2834637353352578E-2</v>
      </c>
      <c r="DF1251" s="336">
        <f>VLOOKUP(H1251,'HW Dx Data'!$E:$F,2,FALSE)</f>
        <v>933.02249921662576</v>
      </c>
      <c r="DG1251" s="364">
        <f ca="1">VLOOKUP(CC1251,'ECI - Input Price'!M$13:N$33,2,FALSE)</f>
        <v>157.25</v>
      </c>
      <c r="DH1251" s="364"/>
      <c r="DI1251" s="364"/>
      <c r="DJ1251" s="135">
        <f t="shared" ca="1" si="2238"/>
        <v>2.6419062301765574E-2</v>
      </c>
      <c r="DK1251" s="137">
        <f>HLOOKUP(H1251,'GDP-PI'!$8:$9,2,FALSE)</f>
        <v>118.49</v>
      </c>
      <c r="DL1251" s="356">
        <f t="shared" si="2231"/>
        <v>4.194261824609434E-2</v>
      </c>
    </row>
    <row r="1252" spans="1:116" s="126" customFormat="1" ht="21" customHeight="1" thickBot="1" x14ac:dyDescent="0.45">
      <c r="A1252" s="235"/>
      <c r="B1252" s="236"/>
      <c r="C1252" s="236"/>
      <c r="D1252" s="236"/>
      <c r="E1252" s="236"/>
      <c r="F1252" s="236"/>
      <c r="G1252" s="237" t="s">
        <v>178</v>
      </c>
      <c r="H1252" s="238"/>
      <c r="I1252" s="239"/>
      <c r="J1252" s="240">
        <v>24400.155694540907</v>
      </c>
      <c r="K1252" s="240">
        <f t="shared" ca="1" si="2232"/>
        <v>150.10861700732639</v>
      </c>
      <c r="L1252" s="47"/>
      <c r="M1252" s="241">
        <f t="shared" ref="M1252" ca="1" si="2253">LN(K1252/K1251)</f>
        <v>3.7436613600543601E-2</v>
      </c>
      <c r="N1252" s="241"/>
      <c r="O1252" s="241"/>
      <c r="P1252" s="242">
        <f t="shared" ca="1" si="2241"/>
        <v>3.049386488304188E-4</v>
      </c>
      <c r="Q1252" s="61"/>
      <c r="R1252" s="387"/>
      <c r="S1252" s="206">
        <f ca="1">+S1251*EXP(T1252)</f>
        <v>118.68953533027029</v>
      </c>
      <c r="T1252" s="243">
        <f ca="1">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</f>
        <v>1.6519973918399328E-3</v>
      </c>
      <c r="U1252" s="243"/>
      <c r="V1252" s="239">
        <v>34395.400195919108</v>
      </c>
      <c r="W1252" s="240">
        <f t="shared" si="2233"/>
        <v>270.29784043944289</v>
      </c>
      <c r="X1252" s="244">
        <f t="shared" ref="X1252" si="2254">LN(W1252/W1251)</f>
        <v>-7.3972183207571382E-4</v>
      </c>
      <c r="Y1252" s="244">
        <f t="shared" si="2243"/>
        <v>-6.0253787479392816E-6</v>
      </c>
      <c r="Z1252" s="206"/>
      <c r="AA1252" s="243"/>
      <c r="AB1252" s="243"/>
      <c r="AC1252" s="240">
        <f t="shared" si="2213"/>
        <v>45834.376246685468</v>
      </c>
      <c r="AD1252" s="243"/>
      <c r="AE1252" s="245">
        <v>2937.669058110127</v>
      </c>
      <c r="AF1252" s="243">
        <v>3.6460101534472551E-2</v>
      </c>
      <c r="AG1252" s="242">
        <f t="shared" si="2234"/>
        <v>2.9698450337347011E-4</v>
      </c>
      <c r="AH1252" s="206"/>
      <c r="AI1252" s="243"/>
      <c r="AJ1252" s="239">
        <f t="shared" si="2252"/>
        <v>104629.93213714549</v>
      </c>
      <c r="AK1252" s="243">
        <f t="shared" si="2244"/>
        <v>2.5943352393409544E-2</v>
      </c>
      <c r="AL1252" s="239"/>
      <c r="AM1252" s="243"/>
      <c r="AN1252" s="243"/>
      <c r="AO1252" s="243"/>
      <c r="AP1252" s="245">
        <f t="shared" si="2245"/>
        <v>337.51591011982418</v>
      </c>
      <c r="AQ1252" s="243"/>
      <c r="AR1252" s="207">
        <f t="shared" si="2235"/>
        <v>0.23320435363140618</v>
      </c>
      <c r="AS1252" s="207">
        <f t="shared" si="2236"/>
        <v>0.3287338478900545</v>
      </c>
      <c r="AT1252" s="207">
        <f t="shared" si="2237"/>
        <v>0.43806179847853927</v>
      </c>
      <c r="AU1252" s="207"/>
      <c r="AV1252" s="206"/>
      <c r="AW1252" s="243"/>
      <c r="AX1252" s="249">
        <f>+AJ1252/$AL$26</f>
        <v>8.145465615137553E-3</v>
      </c>
      <c r="AY1252" s="249"/>
      <c r="AZ1252" s="206"/>
      <c r="BA1252" s="243"/>
      <c r="BB1252" s="250">
        <v>310000</v>
      </c>
      <c r="BC1252" s="270">
        <f t="shared" si="2209"/>
        <v>-6.4308903302904025E-3</v>
      </c>
      <c r="BD1252" s="91"/>
      <c r="BE1252" s="306">
        <f t="shared" si="2205"/>
        <v>0</v>
      </c>
      <c r="BF1252" s="307">
        <f t="shared" si="2206"/>
        <v>0</v>
      </c>
      <c r="BG1252" s="308">
        <f t="shared" si="2207"/>
        <v>0</v>
      </c>
      <c r="BH1252" s="308"/>
      <c r="BI1252" s="308" t="str">
        <f t="shared" si="2208"/>
        <v>2022Y</v>
      </c>
      <c r="BJ1252" s="239"/>
      <c r="BK1252" s="239"/>
      <c r="BL1252" s="239"/>
      <c r="BM1252" s="239"/>
      <c r="BN1252" s="337"/>
      <c r="BO1252" s="308">
        <f t="shared" si="2250"/>
        <v>0</v>
      </c>
      <c r="BP1252" s="308">
        <f t="shared" si="2251"/>
        <v>0</v>
      </c>
      <c r="BQ1252" s="239"/>
      <c r="BR1252" s="239"/>
      <c r="BS1252" s="310"/>
      <c r="BT1252" s="310"/>
      <c r="BU1252" s="311"/>
      <c r="BV1252" s="207"/>
      <c r="BW1252" s="312"/>
      <c r="BX1252" s="312"/>
      <c r="BY1252" s="239"/>
      <c r="BZ1252" s="239"/>
      <c r="CA1252" s="239"/>
      <c r="CB1252" s="239"/>
      <c r="CC1252" s="245">
        <v>2022</v>
      </c>
      <c r="CD1252" s="239"/>
      <c r="CE1252" s="239"/>
      <c r="CF1252" s="239"/>
      <c r="CG1252" s="310"/>
      <c r="CH1252" s="239">
        <v>128423</v>
      </c>
      <c r="CI1252" s="313">
        <f t="shared" si="2224"/>
        <v>128423</v>
      </c>
      <c r="CJ1252" s="308">
        <f t="shared" si="2216"/>
        <v>124.58455001406661</v>
      </c>
      <c r="CK1252" s="443">
        <v>0.69230769230769229</v>
      </c>
      <c r="CL1252" s="239">
        <f>+CL1228*CK1252+CJ1229*CK1251+CJ1230*CK1250+CJ1231*CK1249+CJ1232*CK1248+CJ1233*CK1247+CJ1234*CK1246+CJ1235*CK1245+CJ1236*CK1244+CJ1237*CK1243+CJ1238*CK1242+CJ1239*CK1241+CJ1240*CK1240+CJ1241*CK1239+CJ1242*CK1238+CJ1243*CK1237+CJ1244*CK1236+CJ1245*CK1235+CJ1246*CK1234+CJ1247*CK1233+CJ1248*CK1232+CJ1249*CK1231+CJ1250*CK1230+CJ1251*CK1229+CJ1252*CK1228</f>
        <v>2652.0011765848431</v>
      </c>
      <c r="CM1252" s="243">
        <f t="shared" ref="CM1252" si="2255">LN(CL1252/CL1251)</f>
        <v>2.3347389201541446E-2</v>
      </c>
      <c r="CN1252" s="249">
        <f t="shared" si="2218"/>
        <v>2.4465196479314024E-2</v>
      </c>
      <c r="CO1252" s="249">
        <f t="shared" si="2227"/>
        <v>1.6606872976495084E-2</v>
      </c>
      <c r="CP1252" s="243"/>
      <c r="CQ1252" s="249"/>
      <c r="CR1252" s="249"/>
      <c r="CS1252" s="248">
        <f t="shared" si="2228"/>
        <v>1.4295068632038541E-2</v>
      </c>
      <c r="CT1252" s="249">
        <f t="shared" si="2229"/>
        <v>0.10114668178709289</v>
      </c>
      <c r="CU1252" s="314">
        <f t="shared" si="2219"/>
        <v>0.90786999999999995</v>
      </c>
      <c r="CV1252" s="315">
        <f t="shared" si="2220"/>
        <v>1.2820512820512819</v>
      </c>
      <c r="CW1252" s="315">
        <f t="shared" si="2221"/>
        <v>0.35000000000000003</v>
      </c>
      <c r="CX1252" s="315">
        <f t="shared" si="2222"/>
        <v>0.79171095533705893</v>
      </c>
      <c r="CY1252" s="315">
        <f t="shared" si="2223"/>
        <v>0.35525491585637264</v>
      </c>
      <c r="CZ1252" s="316">
        <f>CZ1251</f>
        <v>0.249</v>
      </c>
      <c r="DA1252" s="317">
        <v>0.37</v>
      </c>
      <c r="DB1252" s="318">
        <f t="shared" si="2226"/>
        <v>17.691198497404276</v>
      </c>
      <c r="DC1252" s="249">
        <f>LN(DB1252/DB1251)</f>
        <v>-7.2919873400364127E-2</v>
      </c>
      <c r="DD1252" s="316">
        <v>0.04</v>
      </c>
      <c r="DE1252" s="319">
        <v>7.0000000000000001E-3</v>
      </c>
      <c r="DF1252" s="316">
        <v>1030.81</v>
      </c>
      <c r="DG1252" s="364">
        <f ca="1">VLOOKUP(CC1252,'ECI - Input Price'!M$13:N$33,2,FALSE)</f>
        <v>162.55000000000001</v>
      </c>
      <c r="DH1252" s="364"/>
      <c r="DI1252" s="364"/>
      <c r="DJ1252" s="249">
        <f t="shared" ca="1" si="2238"/>
        <v>3.3148751169364422E-2</v>
      </c>
      <c r="DK1252" s="310">
        <v>127.25</v>
      </c>
      <c r="DL1252" s="357">
        <f t="shared" si="2231"/>
        <v>7.1325086601983473E-2</v>
      </c>
    </row>
    <row r="1253" spans="1:116" s="126" customFormat="1" ht="21" customHeight="1" x14ac:dyDescent="0.4">
      <c r="A1253" s="251" t="s">
        <v>256</v>
      </c>
      <c r="B1253" s="265" t="s">
        <v>256</v>
      </c>
      <c r="C1253" s="265">
        <v>4058284</v>
      </c>
      <c r="D1253" s="252" t="s">
        <v>257</v>
      </c>
      <c r="E1253" s="252"/>
      <c r="F1253" s="266"/>
      <c r="G1253" s="265" t="s">
        <v>150</v>
      </c>
      <c r="H1253" s="253">
        <v>1998</v>
      </c>
      <c r="I1253" s="254"/>
      <c r="J1253" s="255"/>
      <c r="K1253" s="255"/>
      <c r="L1253" s="47"/>
      <c r="M1253" s="255"/>
      <c r="N1253" s="255"/>
      <c r="O1253" s="255"/>
      <c r="P1253" s="219"/>
      <c r="Q1253" s="218"/>
      <c r="R1253" s="385"/>
      <c r="S1253" s="257"/>
      <c r="T1253" s="258"/>
      <c r="U1253" s="258"/>
      <c r="V1253" s="259"/>
      <c r="W1253" s="259"/>
      <c r="X1253" s="259"/>
      <c r="Y1253" s="255"/>
      <c r="Z1253" s="259"/>
      <c r="AA1253" s="259"/>
      <c r="AB1253" s="259"/>
      <c r="AC1253" s="255"/>
      <c r="AD1253" s="254"/>
      <c r="AE1253" s="260">
        <v>5466.2753732195151</v>
      </c>
      <c r="AF1253" s="256"/>
      <c r="AG1253" s="225"/>
      <c r="AH1253" s="256"/>
      <c r="AI1253" s="256"/>
      <c r="AJ1253" s="254">
        <f t="shared" si="2252"/>
        <v>0</v>
      </c>
      <c r="AK1253" s="254"/>
      <c r="AL1253" s="254"/>
      <c r="AM1253" s="256"/>
      <c r="AN1253" s="256"/>
      <c r="AO1253" s="256"/>
      <c r="AP1253" s="226">
        <f>+(AP1250+AP1251+AP1252)/3</f>
        <v>315.21846638714186</v>
      </c>
      <c r="AQ1253" s="256"/>
      <c r="AR1253" s="261"/>
      <c r="AS1253" s="261"/>
      <c r="AT1253" s="261"/>
      <c r="AU1253" s="261"/>
      <c r="AV1253" s="261"/>
      <c r="AW1253" s="256">
        <f ca="1">AVERAGE(AW1262:AW1276)</f>
        <v>1.3969198217379708E-2</v>
      </c>
      <c r="AX1253" s="261"/>
      <c r="AY1253" s="261"/>
      <c r="AZ1253" s="261"/>
      <c r="BA1253" s="261"/>
      <c r="BB1253" s="262">
        <f>IFERROR(INDEX('Total Customers'!$E$7:$AA$91,MATCH($C1253,'Total Customers'!$C$7:$C$91,0),MATCH($G1253,'Total Customers'!$E$5:$AA$5,0)),"NA")</f>
        <v>822623</v>
      </c>
      <c r="BC1253" s="268"/>
      <c r="BD1253" s="92"/>
      <c r="BE1253" s="320" t="str">
        <f t="shared" si="2205"/>
        <v>WASHINGTON GAS LIGHT COMPANY</v>
      </c>
      <c r="BF1253" s="321">
        <f t="shared" si="2206"/>
        <v>4058284</v>
      </c>
      <c r="BG1253" s="322" t="str">
        <f t="shared" si="2207"/>
        <v>DC</v>
      </c>
      <c r="BH1253" s="322"/>
      <c r="BI1253" s="322" t="str">
        <f t="shared" si="2208"/>
        <v>1998 Y</v>
      </c>
      <c r="BJ1253" s="254">
        <f>INDEX('Gross Dx Plant'!$D$7:$AC$91,MATCH($C1253,'Gross Dx Plant'!$C$7:$C$91,0),MATCH(Calculation!$G1253,'Gross Dx Plant'!$D$5:$AC$5,0))</f>
        <v>1555162</v>
      </c>
      <c r="BK1253" s="254">
        <f>INDEX('Gross Gen Plant'!$D$7:$AC$91,MATCH($C1253,'Gross Gen Plant'!$C$7:$C$91,0),MATCH(Calculation!$G1253,'Gross Gen Plant'!$D$5:$AC$5,0))</f>
        <v>124834</v>
      </c>
      <c r="BL1253" s="254">
        <f>INDEX('Dist. Plant Gas Additions'!$E$7:$AD$91,MATCH($C1253,'Dist. Plant Gas Additions'!$C$7:$C$91,0),MATCH(Calculation!$G1253,'Dist. Plant Gas Additions'!$E$5:$AD$5,0))</f>
        <v>98483</v>
      </c>
      <c r="BM1253" s="254">
        <f>INDEX('Gen. Plant Additions'!$E$7:$AD$91,MATCH($C1253,'Gen. Plant Additions'!$C$7:$C$91,0),MATCH(Calculation!$G1253,'Gen. Plant Additions'!$E$5:$AD$5,0))</f>
        <v>7904</v>
      </c>
      <c r="BN1253" s="338">
        <f>+(BY1253/(BY1253+BZ1253))</f>
        <v>0.92569387069969211</v>
      </c>
      <c r="BO1253" s="322">
        <f t="shared" si="2250"/>
        <v>7316.6843540103664</v>
      </c>
      <c r="BP1253" s="322">
        <f t="shared" si="2251"/>
        <v>-587.31564598963359</v>
      </c>
      <c r="BQ1253" s="254">
        <f>INDEX('Dist Plant Depreciation'!$D$7:$AC$94,MATCH($C1253,'Dist Plant Depreciation'!$C$7:$C$94,0),MATCH(Calculation!$G1253,'Dist Plant Depreciation'!$D$5:$AC$5,0))</f>
        <v>532122</v>
      </c>
      <c r="BR1253" s="254">
        <f>INDEX('Gen. Plant Depreciation'!$D$7:$AC$94,MATCH($C1253,'Gen. Plant Depreciation'!$C$7:$C$94,0),MATCH(Calculation!$G1253,'Gen. Plant Depreciation'!$D$5:$AC$5,0))</f>
        <v>45220</v>
      </c>
      <c r="BS1253" s="254"/>
      <c r="BT1253" s="254"/>
      <c r="BU1253" s="254"/>
      <c r="BV1253" s="254"/>
      <c r="BW1253" s="254"/>
      <c r="BX1253" s="323"/>
      <c r="BY1253" s="254">
        <f>INDEX('Gross Dx Plant'!$D$7:$AC$91,MATCH($C1253,'Gross Dx Plant'!$C$7:$C$91,0),MATCH(Calculation!$G1253,'Gross Dx Plant'!$D$5:$AC$5,0))</f>
        <v>1555162</v>
      </c>
      <c r="BZ1253" s="254">
        <f>INDEX('Gross Gen Plant'!$D$7:$AC$91,MATCH($C1253,'Gross Gen Plant'!$C$7:$C$91,0),MATCH(Calculation!$G1253,'Gross Gen Plant'!$D$5:$AC$5,0))</f>
        <v>124834</v>
      </c>
      <c r="CA1253" s="254">
        <f t="shared" si="2162"/>
        <v>1102654</v>
      </c>
      <c r="CB1253" s="254"/>
      <c r="CC1253" s="260">
        <v>1998</v>
      </c>
      <c r="CD1253" s="254">
        <f>BJ1253+BK1253</f>
        <v>1679996</v>
      </c>
      <c r="CE1253" s="254">
        <f>532122+45220</f>
        <v>577342</v>
      </c>
      <c r="CF1253" s="254">
        <f>+CD1253-CE1253</f>
        <v>1102654</v>
      </c>
      <c r="CG1253" s="254">
        <f>CF1253/$BX$3</f>
        <v>5466.2753732195151</v>
      </c>
      <c r="CH1253" s="323"/>
      <c r="CI1253" s="344"/>
      <c r="CJ1253" s="323"/>
      <c r="CK1253" s="443">
        <v>1</v>
      </c>
      <c r="CL1253" s="254">
        <f>+CG1253</f>
        <v>5466.2753732195151</v>
      </c>
      <c r="CM1253" s="256"/>
      <c r="CN1253" s="325"/>
      <c r="CO1253" s="325"/>
      <c r="CP1253" s="256" t="e">
        <f>VLOOKUP($H1253,RoR!$E:$F,2,FALSE)</f>
        <v>#N/A</v>
      </c>
      <c r="CQ1253" s="325">
        <v>1.1028127770464469E-2</v>
      </c>
      <c r="CR1253" s="325"/>
      <c r="CS1253" s="325"/>
      <c r="CT1253" s="325"/>
      <c r="CU1253" s="327"/>
      <c r="CV1253" s="331" t="e">
        <f>2/(DD1253*39)</f>
        <v>#DIV/0!</v>
      </c>
      <c r="CW1253" s="328" t="e">
        <f>+(DD1253*40-(1+DD1253))/(DD1253*40)</f>
        <v>#DIV/0!</v>
      </c>
      <c r="CX1253" s="328">
        <f>+(1-(1/(1+DD1253)^40))</f>
        <v>0</v>
      </c>
      <c r="CY1253" s="328" t="e">
        <f>+CX1253*CW1253*CV1253</f>
        <v>#DIV/0!</v>
      </c>
      <c r="CZ1253" s="329">
        <f>INDEX('State Tax Lookup'!$D$7:$Z$91,MATCH(Calculation!$C1253,'State Tax Lookup'!$B$7:$B$91,0),MATCH($H1253,'State Tax Lookup'!$D$6:$Z$6,0))</f>
        <v>0.43</v>
      </c>
      <c r="DA1253" s="330">
        <v>0.37</v>
      </c>
      <c r="DB1253" s="344"/>
      <c r="DC1253" s="326"/>
      <c r="DD1253" s="329"/>
      <c r="DE1253" s="332"/>
      <c r="DF1253" s="351">
        <f>VLOOKUP(H1253,'HW Dx Data'!$E:$F,2,FALSE)</f>
        <v>329.24564746449528</v>
      </c>
      <c r="DG1253" s="330"/>
      <c r="DH1253" s="330"/>
      <c r="DI1253" s="330"/>
      <c r="DJ1253" s="326"/>
      <c r="DK1253" s="344">
        <f>HLOOKUP(H1253,'GDP-PI'!$8:$9,2,FALSE)</f>
        <v>75.266999999999996</v>
      </c>
      <c r="DL1253" s="292"/>
    </row>
    <row r="1254" spans="1:116" s="126" customFormat="1" ht="21" customHeight="1" x14ac:dyDescent="0.4">
      <c r="A1254" s="233" t="s">
        <v>256</v>
      </c>
      <c r="B1254" s="126" t="s">
        <v>256</v>
      </c>
      <c r="C1254" s="126">
        <v>4058284</v>
      </c>
      <c r="D1254" s="127" t="s">
        <v>257</v>
      </c>
      <c r="E1254" s="127"/>
      <c r="F1254" s="144"/>
      <c r="G1254" s="126" t="s">
        <v>155</v>
      </c>
      <c r="H1254" s="128">
        <v>1999</v>
      </c>
      <c r="I1254" s="129"/>
      <c r="J1254" s="125"/>
      <c r="K1254" s="129"/>
      <c r="L1254" s="47"/>
      <c r="M1254" s="129"/>
      <c r="N1254" s="129"/>
      <c r="O1254" s="129"/>
      <c r="P1254" s="47"/>
      <c r="Q1254" s="47"/>
      <c r="R1254" s="386"/>
      <c r="S1254" s="119"/>
      <c r="T1254" s="47"/>
      <c r="U1254" s="46"/>
      <c r="V1254" s="135"/>
      <c r="W1254" s="135"/>
      <c r="X1254" s="135"/>
      <c r="Y1254" s="143"/>
      <c r="Z1254" s="135"/>
      <c r="AA1254" s="135"/>
      <c r="AB1254" s="135"/>
      <c r="AC1254" s="125">
        <f t="shared" ref="AC1254:AC1277" si="2256">+CL1253*DB1254</f>
        <v>0</v>
      </c>
      <c r="AD1254" s="129"/>
      <c r="AE1254" s="133">
        <v>5709.3252646553638</v>
      </c>
      <c r="AF1254" s="134">
        <v>4.350338384420787E-2</v>
      </c>
      <c r="AG1254" s="61"/>
      <c r="AH1254" s="134"/>
      <c r="AI1254" s="134"/>
      <c r="AJ1254" s="129">
        <f t="shared" si="2252"/>
        <v>0</v>
      </c>
      <c r="AK1254" s="134"/>
      <c r="AL1254" s="129"/>
      <c r="AM1254" s="134"/>
      <c r="AN1254" s="134"/>
      <c r="AO1254" s="134"/>
      <c r="AP1254" s="133"/>
      <c r="AQ1254" s="134"/>
      <c r="AR1254" s="93"/>
      <c r="AS1254" s="93"/>
      <c r="AT1254" s="93"/>
      <c r="AU1254" s="93"/>
      <c r="AV1254" s="93"/>
      <c r="AW1254" s="134"/>
      <c r="AX1254" s="93"/>
      <c r="AY1254" s="93"/>
      <c r="AZ1254" s="93"/>
      <c r="BA1254" s="93"/>
      <c r="BB1254" s="234">
        <f>IFERROR(INDEX('Total Customers'!$E$7:$AA$91,MATCH($C1254,'Total Customers'!$C$7:$C$91,0),MATCH($G1254,'Total Customers'!$E$5:$AA$5,0)),"NA")</f>
        <v>880014</v>
      </c>
      <c r="BC1254" s="269">
        <f t="shared" si="2209"/>
        <v>6.7439800904737848E-2</v>
      </c>
      <c r="BD1254" s="92"/>
      <c r="BE1254" s="299" t="str">
        <f t="shared" si="2205"/>
        <v>WASHINGTON GAS LIGHT COMPANY</v>
      </c>
      <c r="BF1254" s="300">
        <f t="shared" si="2206"/>
        <v>4058284</v>
      </c>
      <c r="BG1254" s="231" t="str">
        <f t="shared" si="2207"/>
        <v>DC</v>
      </c>
      <c r="BH1254" s="231"/>
      <c r="BI1254" s="231" t="str">
        <f t="shared" si="2208"/>
        <v>1999 Y</v>
      </c>
      <c r="BJ1254" s="129"/>
      <c r="BK1254" s="129"/>
      <c r="BL1254" s="129">
        <f>INDEX('Dist. Plant Gas Additions'!$E$7:$AD$91,MATCH($C1254,'Dist. Plant Gas Additions'!$C$7:$C$91,0),MATCH(Calculation!$G1254,'Dist. Plant Gas Additions'!$E$5:$AD$5,0))</f>
        <v>86039</v>
      </c>
      <c r="BM1254" s="129">
        <f>INDEX('Gen. Plant Additions'!$E$7:$AD$91,MATCH($C1254,'Gen. Plant Additions'!$C$7:$C$91,0),MATCH(Calculation!$G1254,'Gen. Plant Additions'!$E$5:$AD$5,0))</f>
        <v>4581</v>
      </c>
      <c r="BN1254" s="301">
        <f t="shared" ref="BN1254:BN1275" si="2257">+(BY1254/(BY1254+BZ1254))</f>
        <v>0.92697178123193591</v>
      </c>
      <c r="BO1254" s="231">
        <f t="shared" si="2250"/>
        <v>4246.4577298234981</v>
      </c>
      <c r="BP1254" s="231">
        <f t="shared" si="2251"/>
        <v>-334.54227017650192</v>
      </c>
      <c r="BQ1254" s="129">
        <f>INDEX('Dist Plant Depreciation'!$D$7:$AC$94,MATCH($C1254,'Dist Plant Depreciation'!$C$7:$C$94,0),MATCH(Calculation!$G1254,'Dist Plant Depreciation'!$D$5:$AC$5,0))</f>
        <v>567146</v>
      </c>
      <c r="BR1254" s="129">
        <f>INDEX('Gen. Plant Depreciation'!$D$7:$AC$94,MATCH($C1254,'Gen. Plant Depreciation'!$C$7:$C$94,0),MATCH(Calculation!$G1254,'Gen. Plant Depreciation'!$D$5:$AC$5,0))</f>
        <v>49243</v>
      </c>
      <c r="BS1254" s="129"/>
      <c r="BT1254" s="129"/>
      <c r="BU1254" s="129"/>
      <c r="BV1254" s="129"/>
      <c r="BW1254" s="129"/>
      <c r="BX1254" s="137"/>
      <c r="BY1254" s="129">
        <f>INDEX('Gross Dx Plant'!$D$7:$AC$91,MATCH($C1254,'Gross Dx Plant'!$C$7:$C$91,0),MATCH(Calculation!$G1254,'Gross Dx Plant'!$D$5:$AC$5,0))</f>
        <v>1630878</v>
      </c>
      <c r="BZ1254" s="129">
        <f>INDEX('Gross Gen Plant'!$D$7:$AC$91,MATCH($C1254,'Gross Gen Plant'!$C$7:$C$91,0),MATCH(Calculation!$G1254,'Gross Gen Plant'!$D$5:$AC$5,0))</f>
        <v>128483</v>
      </c>
      <c r="CA1254" s="129">
        <f t="shared" si="2162"/>
        <v>1142972</v>
      </c>
      <c r="CB1254" s="129"/>
      <c r="CC1254" s="133">
        <v>1999</v>
      </c>
      <c r="CD1254" s="129"/>
      <c r="CE1254" s="129"/>
      <c r="CF1254" s="129"/>
      <c r="CG1254" s="137"/>
      <c r="CH1254" s="129">
        <f t="shared" ref="CH1254:CH1276" si="2258">+BM1254+BL1254</f>
        <v>90620</v>
      </c>
      <c r="CI1254" s="46">
        <f>+CH1254+BP1254</f>
        <v>90285.457729823494</v>
      </c>
      <c r="CJ1254" s="53"/>
      <c r="CK1254" s="443">
        <v>0.99009900990099009</v>
      </c>
      <c r="CL1254" s="231">
        <f>+CL1253*CK1254+CJ1254</f>
        <v>5412.1538348708073</v>
      </c>
      <c r="CM1254" s="134">
        <f t="shared" ref="CM1254:CM1275" si="2259">LN(CL1254/CL1253)</f>
        <v>-9.950330853168092E-3</v>
      </c>
      <c r="CN1254" s="135">
        <f t="shared" ref="CN1254:CN1277" si="2260">+(CL1253-CL1254+CJ1254)/CL1253</f>
        <v>9.9009900990098647E-3</v>
      </c>
      <c r="CO1254" s="135"/>
      <c r="CP1254" s="134">
        <f>VLOOKUP($H1254,RoR!$E:$F,2,FALSE)</f>
        <v>7.0416666666666669E-2</v>
      </c>
      <c r="CQ1254" s="135">
        <v>1.4335631817396832E-2</v>
      </c>
      <c r="CR1254" s="135">
        <f>+CP1254-CQ1254</f>
        <v>5.6081034849269837E-2</v>
      </c>
      <c r="CS1254" s="135"/>
      <c r="CT1254" s="135"/>
      <c r="CU1254" s="139">
        <f t="shared" ref="CU1254:CU1277" si="2261">1-CZ1254*DA1254</f>
        <v>0.84089999999999998</v>
      </c>
      <c r="CV1254" s="335">
        <f t="shared" ref="CV1254:CV1277" si="2262">2/(DD1254*39)</f>
        <v>0.72826581702321336</v>
      </c>
      <c r="CW1254" s="335">
        <f t="shared" ref="CW1254:CW1277" si="2263">+(DD1254*40-(1+DD1254))/(DD1254*40)</f>
        <v>0.61997041420118348</v>
      </c>
      <c r="CX1254" s="335">
        <f t="shared" ref="CX1254:CX1277" si="2264">+(1-(1/(1+DD1254)^40))</f>
        <v>0.93425155319585029</v>
      </c>
      <c r="CY1254" s="335">
        <f t="shared" ref="CY1254:CY1277" si="2265">+CX1254*CW1254*CV1254</f>
        <v>0.42181762214141483</v>
      </c>
      <c r="CZ1254" s="336">
        <f>INDEX('State Tax Lookup'!$D$7:$Z$91,MATCH(Calculation!$C1254,'State Tax Lookup'!$B$7:$B$91,0),MATCH($H1254,'State Tax Lookup'!$D$6:$Z$6,0))</f>
        <v>0.43</v>
      </c>
      <c r="DA1254" s="302">
        <v>0.37</v>
      </c>
      <c r="DB1254" s="57"/>
      <c r="DC1254" s="56"/>
      <c r="DD1254" s="303">
        <f>VLOOKUP($H1254,RoR!$E:$F,2,FALSE)</f>
        <v>7.0416666666666669E-2</v>
      </c>
      <c r="DE1254" s="304">
        <f>HLOOKUP($H1254,'GDP-PI'!$D$8:$CQ$11,3,FALSE)</f>
        <v>1.4335631817396832E-2</v>
      </c>
      <c r="DF1254" s="303">
        <f>VLOOKUP(H1254,'HW Dx Data'!$E:$F,2,FALSE)</f>
        <v>335.32499146683239</v>
      </c>
      <c r="DG1254" s="364"/>
      <c r="DH1254" s="364"/>
      <c r="DI1254" s="364"/>
      <c r="DJ1254" s="56"/>
      <c r="DK1254" s="53">
        <f>HLOOKUP(H1254,'GDP-PI'!$8:$9,2,FALSE)</f>
        <v>76.346000000000004</v>
      </c>
      <c r="DL1254" s="298"/>
    </row>
    <row r="1255" spans="1:116" s="126" customFormat="1" ht="21" customHeight="1" x14ac:dyDescent="0.4">
      <c r="A1255" s="233" t="s">
        <v>256</v>
      </c>
      <c r="B1255" s="126" t="s">
        <v>256</v>
      </c>
      <c r="C1255" s="126">
        <v>4058284</v>
      </c>
      <c r="D1255" s="127" t="s">
        <v>257</v>
      </c>
      <c r="E1255" s="127"/>
      <c r="F1255" s="144"/>
      <c r="G1255" s="126" t="s">
        <v>156</v>
      </c>
      <c r="H1255" s="128">
        <v>2000</v>
      </c>
      <c r="I1255" s="129"/>
      <c r="J1255" s="125"/>
      <c r="K1255" s="125"/>
      <c r="L1255" s="47"/>
      <c r="M1255" s="125"/>
      <c r="N1255" s="125"/>
      <c r="O1255" s="125"/>
      <c r="P1255" s="47"/>
      <c r="Q1255" s="47"/>
      <c r="R1255" s="386"/>
      <c r="S1255" s="119"/>
      <c r="T1255" s="47"/>
      <c r="U1255" s="47"/>
      <c r="V1255" s="125"/>
      <c r="W1255" s="125"/>
      <c r="X1255" s="125"/>
      <c r="Y1255" s="125"/>
      <c r="Z1255" s="125"/>
      <c r="AA1255" s="125"/>
      <c r="AB1255" s="125"/>
      <c r="AC1255" s="125">
        <f t="shared" si="2256"/>
        <v>0</v>
      </c>
      <c r="AD1255" s="129"/>
      <c r="AE1255" s="133">
        <v>6011.7442679256137</v>
      </c>
      <c r="AF1255" s="134">
        <v>5.1614084672668391E-2</v>
      </c>
      <c r="AG1255" s="61"/>
      <c r="AH1255" s="134"/>
      <c r="AI1255" s="134"/>
      <c r="AJ1255" s="129">
        <f t="shared" si="2252"/>
        <v>0</v>
      </c>
      <c r="AK1255" s="134"/>
      <c r="AL1255" s="129"/>
      <c r="AM1255" s="129"/>
      <c r="AN1255" s="129"/>
      <c r="AO1255" s="129"/>
      <c r="AP1255" s="133"/>
      <c r="AQ1255" s="134"/>
      <c r="AR1255" s="93"/>
      <c r="AS1255" s="93"/>
      <c r="AT1255" s="93"/>
      <c r="AU1255" s="93"/>
      <c r="AV1255" s="93"/>
      <c r="AW1255" s="134"/>
      <c r="AX1255" s="93"/>
      <c r="AY1255" s="93"/>
      <c r="AZ1255" s="93"/>
      <c r="BA1255" s="93"/>
      <c r="BB1255" s="234">
        <f>IFERROR(INDEX('Total Customers'!$E$7:$AA$91,MATCH($C1255,'Total Customers'!$C$7:$C$91,0),MATCH($G1255,'Total Customers'!$E$5:$AA$5,0)),"NA")</f>
        <v>868474</v>
      </c>
      <c r="BC1255" s="269">
        <f t="shared" si="2209"/>
        <v>-1.3200167875988192E-2</v>
      </c>
      <c r="BD1255" s="92"/>
      <c r="BE1255" s="299" t="str">
        <f t="shared" si="2205"/>
        <v>WASHINGTON GAS LIGHT COMPANY</v>
      </c>
      <c r="BF1255" s="300">
        <f t="shared" si="2206"/>
        <v>4058284</v>
      </c>
      <c r="BG1255" s="231" t="str">
        <f t="shared" si="2207"/>
        <v>DC</v>
      </c>
      <c r="BH1255" s="231"/>
      <c r="BI1255" s="231" t="str">
        <f t="shared" si="2208"/>
        <v>2000 Y</v>
      </c>
      <c r="BJ1255" s="129"/>
      <c r="BK1255" s="129"/>
      <c r="BL1255" s="129">
        <f>INDEX('Dist. Plant Gas Additions'!$E$7:$AD$91,MATCH($C1255,'Dist. Plant Gas Additions'!$C$7:$C$91,0),MATCH(Calculation!$G1255,'Dist. Plant Gas Additions'!$E$5:$AD$5,0))</f>
        <v>100033</v>
      </c>
      <c r="BM1255" s="129">
        <f>INDEX('Gen. Plant Additions'!$E$7:$AD$91,MATCH($C1255,'Gen. Plant Additions'!$C$7:$C$91,0),MATCH(Calculation!$G1255,'Gen. Plant Additions'!$E$5:$AD$5,0))</f>
        <v>14941</v>
      </c>
      <c r="BN1255" s="301">
        <f t="shared" si="2257"/>
        <v>0.92599486128364838</v>
      </c>
      <c r="BO1255" s="231">
        <f t="shared" si="2250"/>
        <v>13835.289222438991</v>
      </c>
      <c r="BP1255" s="231">
        <f t="shared" si="2251"/>
        <v>-1105.7107775610093</v>
      </c>
      <c r="BQ1255" s="129">
        <f>INDEX('Dist Plant Depreciation'!$D$7:$AC$94,MATCH($C1255,'Dist Plant Depreciation'!$C$7:$C$94,0),MATCH(Calculation!$G1255,'Dist Plant Depreciation'!$D$5:$AC$5,0))</f>
        <v>608657</v>
      </c>
      <c r="BR1255" s="129">
        <f>INDEX('Gen. Plant Depreciation'!$D$7:$AC$94,MATCH($C1255,'Gen. Plant Depreciation'!$C$7:$C$94,0),MATCH(Calculation!$G1255,'Gen. Plant Depreciation'!$D$5:$AC$5,0))</f>
        <v>49539</v>
      </c>
      <c r="BS1255" s="129"/>
      <c r="BT1255" s="129"/>
      <c r="BU1255" s="129"/>
      <c r="BV1255" s="129"/>
      <c r="BW1255" s="129"/>
      <c r="BX1255" s="137"/>
      <c r="BY1255" s="129">
        <f>INDEX('Gross Dx Plant'!$D$7:$AC$91,MATCH($C1255,'Gross Dx Plant'!$C$7:$C$91,0),MATCH(Calculation!$G1255,'Gross Dx Plant'!$D$5:$AC$5,0))</f>
        <v>1724871</v>
      </c>
      <c r="BZ1255" s="129">
        <f>INDEX('Gross Gen Plant'!$D$7:$AC$91,MATCH($C1255,'Gross Gen Plant'!$C$7:$C$91,0),MATCH(Calculation!$G1255,'Gross Gen Plant'!$D$5:$AC$5,0))</f>
        <v>137851</v>
      </c>
      <c r="CA1255" s="129">
        <f t="shared" si="2162"/>
        <v>1204526</v>
      </c>
      <c r="CB1255" s="129"/>
      <c r="CC1255" s="133">
        <v>2000</v>
      </c>
      <c r="CD1255" s="129"/>
      <c r="CE1255" s="129"/>
      <c r="CF1255" s="129"/>
      <c r="CG1255" s="137"/>
      <c r="CH1255" s="129">
        <f t="shared" si="2258"/>
        <v>114974</v>
      </c>
      <c r="CI1255" s="46">
        <f t="shared" ref="CI1255:CI1277" si="2266">+CH1255+BP1255</f>
        <v>113868.28922243899</v>
      </c>
      <c r="CJ1255" s="231">
        <f t="shared" ref="CJ1255:CJ1277" si="2267">+CI1255/$DF1255</f>
        <v>328.59223609834004</v>
      </c>
      <c r="CK1255" s="443">
        <v>0.98</v>
      </c>
      <c r="CL1255" s="231">
        <f>+CL1253*CK1255+CJ1254*CK1254+CJ1255</f>
        <v>5685.5421018534653</v>
      </c>
      <c r="CM1255" s="134">
        <f t="shared" si="2259"/>
        <v>4.9279344505468024E-2</v>
      </c>
      <c r="CN1255" s="135">
        <f t="shared" si="2260"/>
        <v>1.0199999999999959E-2</v>
      </c>
      <c r="CO1255" s="135"/>
      <c r="CP1255" s="134">
        <f>VLOOKUP($H1255,RoR!$E:$F,2,FALSE)</f>
        <v>7.6225000000000001E-2</v>
      </c>
      <c r="CQ1255" s="135">
        <v>2.2568307442433211E-2</v>
      </c>
      <c r="CR1255" s="135">
        <f t="shared" ref="CR1255:CR1275" si="2268">+CP1255-CQ1255</f>
        <v>5.365669255756679E-2</v>
      </c>
      <c r="CS1255" s="135"/>
      <c r="CT1255" s="135"/>
      <c r="CU1255" s="139">
        <f t="shared" si="2261"/>
        <v>0.84089999999999998</v>
      </c>
      <c r="CV1255" s="335">
        <f t="shared" si="2262"/>
        <v>0.67277207323124022</v>
      </c>
      <c r="CW1255" s="335">
        <f t="shared" si="2263"/>
        <v>0.6470236142997704</v>
      </c>
      <c r="CX1255" s="335">
        <f t="shared" si="2264"/>
        <v>0.94704866037543145</v>
      </c>
      <c r="CY1255" s="335">
        <f t="shared" si="2265"/>
        <v>0.41224973107878493</v>
      </c>
      <c r="CZ1255" s="336">
        <f>INDEX('State Tax Lookup'!$D$7:$Z$91,MATCH(Calculation!$C1255,'State Tax Lookup'!$B$7:$B$91,0),MATCH($H1255,'State Tax Lookup'!$D$6:$Z$6,0))</f>
        <v>0.43</v>
      </c>
      <c r="DA1255" s="302">
        <v>0.37</v>
      </c>
      <c r="DB1255" s="57"/>
      <c r="DC1255" s="56"/>
      <c r="DD1255" s="303">
        <f>VLOOKUP($H1255,RoR!$E:$F,2,FALSE)</f>
        <v>7.6225000000000001E-2</v>
      </c>
      <c r="DE1255" s="304">
        <f>HLOOKUP($H1255,'GDP-PI'!$D$8:$CQ$11,3,FALSE)</f>
        <v>2.2568307442433211E-2</v>
      </c>
      <c r="DF1255" s="303">
        <f>VLOOKUP(H1255,'HW Dx Data'!$E:$F,2,FALSE)</f>
        <v>346.53371782150339</v>
      </c>
      <c r="DG1255" s="364"/>
      <c r="DH1255" s="364"/>
      <c r="DI1255" s="364"/>
      <c r="DJ1255" s="56"/>
      <c r="DK1255" s="53">
        <f>HLOOKUP(H1255,'GDP-PI'!$8:$9,2,FALSE)</f>
        <v>78.069000000000003</v>
      </c>
      <c r="DL1255" s="298"/>
    </row>
    <row r="1256" spans="1:116" s="126" customFormat="1" ht="21" customHeight="1" x14ac:dyDescent="0.4">
      <c r="A1256" s="233" t="s">
        <v>256</v>
      </c>
      <c r="B1256" s="126" t="s">
        <v>256</v>
      </c>
      <c r="C1256" s="126">
        <v>4058284</v>
      </c>
      <c r="D1256" s="127" t="s">
        <v>257</v>
      </c>
      <c r="E1256" s="127"/>
      <c r="F1256" s="144"/>
      <c r="G1256" s="126" t="s">
        <v>157</v>
      </c>
      <c r="H1256" s="128">
        <v>2001</v>
      </c>
      <c r="I1256" s="129"/>
      <c r="J1256" s="125"/>
      <c r="K1256" s="125"/>
      <c r="L1256" s="47"/>
      <c r="M1256" s="125"/>
      <c r="N1256" s="125"/>
      <c r="O1256" s="125"/>
      <c r="P1256" s="47"/>
      <c r="Q1256" s="47"/>
      <c r="R1256" s="386"/>
      <c r="S1256" s="119"/>
      <c r="T1256" s="47"/>
      <c r="U1256" s="47"/>
      <c r="V1256" s="125"/>
      <c r="W1256" s="125"/>
      <c r="X1256" s="125"/>
      <c r="Y1256" s="125"/>
      <c r="Z1256" s="125"/>
      <c r="AA1256" s="125"/>
      <c r="AB1256" s="125"/>
      <c r="AC1256" s="125">
        <f t="shared" si="2256"/>
        <v>61758.441470035286</v>
      </c>
      <c r="AD1256" s="129"/>
      <c r="AE1256" s="133">
        <v>6331.676608918774</v>
      </c>
      <c r="AF1256" s="134">
        <v>5.1850134165261963E-2</v>
      </c>
      <c r="AG1256" s="61"/>
      <c r="AH1256" s="134"/>
      <c r="AI1256" s="134"/>
      <c r="AJ1256" s="129">
        <f t="shared" si="2252"/>
        <v>61758.441470035286</v>
      </c>
      <c r="AK1256" s="134"/>
      <c r="AL1256" s="129"/>
      <c r="AM1256" s="129"/>
      <c r="AN1256" s="129"/>
      <c r="AO1256" s="129"/>
      <c r="AP1256" s="133"/>
      <c r="AQ1256" s="134"/>
      <c r="AR1256" s="93"/>
      <c r="AS1256" s="93"/>
      <c r="AT1256" s="93"/>
      <c r="AU1256" s="93"/>
      <c r="AV1256" s="93"/>
      <c r="AW1256" s="134"/>
      <c r="AX1256" s="93"/>
      <c r="AY1256" s="93"/>
      <c r="AZ1256" s="93"/>
      <c r="BA1256" s="93"/>
      <c r="BB1256" s="234">
        <f>IFERROR(INDEX('Total Customers'!$E$7:$AA$91,MATCH($C1256,'Total Customers'!$C$7:$C$91,0),MATCH($G1256,'Total Customers'!$E$5:$AA$5,0)),"NA")</f>
        <v>907465</v>
      </c>
      <c r="BC1256" s="269">
        <f t="shared" si="2209"/>
        <v>4.3917349341523235E-2</v>
      </c>
      <c r="BD1256" s="92"/>
      <c r="BE1256" s="299" t="str">
        <f t="shared" si="2205"/>
        <v>WASHINGTON GAS LIGHT COMPANY</v>
      </c>
      <c r="BF1256" s="300">
        <f t="shared" si="2206"/>
        <v>4058284</v>
      </c>
      <c r="BG1256" s="231" t="str">
        <f t="shared" si="2207"/>
        <v>DC</v>
      </c>
      <c r="BH1256" s="231"/>
      <c r="BI1256" s="231" t="str">
        <f t="shared" si="2208"/>
        <v>2001 Y</v>
      </c>
      <c r="BJ1256" s="129"/>
      <c r="BK1256" s="129"/>
      <c r="BL1256" s="129">
        <f>INDEX('Dist. Plant Gas Additions'!$E$7:$AD$91,MATCH($C1256,'Dist. Plant Gas Additions'!$C$7:$C$91,0),MATCH(Calculation!$G1256,'Dist. Plant Gas Additions'!$E$5:$AD$5,0))</f>
        <v>112248</v>
      </c>
      <c r="BM1256" s="129">
        <f>INDEX('Gen. Plant Additions'!$E$7:$AD$91,MATCH($C1256,'Gen. Plant Additions'!$C$7:$C$91,0),MATCH(Calculation!$G1256,'Gen. Plant Additions'!$E$5:$AD$5,0))</f>
        <v>11529</v>
      </c>
      <c r="BN1256" s="301">
        <f t="shared" si="2257"/>
        <v>0.92744446903540034</v>
      </c>
      <c r="BO1256" s="231">
        <f t="shared" si="2250"/>
        <v>10692.507283509131</v>
      </c>
      <c r="BP1256" s="231">
        <f t="shared" si="2251"/>
        <v>-836.4927164908695</v>
      </c>
      <c r="BQ1256" s="129">
        <f>INDEX('Dist Plant Depreciation'!$D$7:$AC$94,MATCH($C1256,'Dist Plant Depreciation'!$C$7:$C$94,0),MATCH(Calculation!$G1256,'Dist Plant Depreciation'!$D$5:$AC$5,0))</f>
        <v>653273</v>
      </c>
      <c r="BR1256" s="129">
        <f>INDEX('Gen. Plant Depreciation'!$D$7:$AC$94,MATCH($C1256,'Gen. Plant Depreciation'!$C$7:$C$94,0),MATCH(Calculation!$G1256,'Gen. Plant Depreciation'!$D$5:$AC$5,0))</f>
        <v>49299</v>
      </c>
      <c r="BS1256" s="129"/>
      <c r="BT1256" s="129"/>
      <c r="BU1256" s="129"/>
      <c r="BV1256" s="129"/>
      <c r="BW1256" s="129"/>
      <c r="BX1256" s="137"/>
      <c r="BY1256" s="129">
        <f>INDEX('Gross Dx Plant'!$D$7:$AC$91,MATCH($C1256,'Gross Dx Plant'!$C$7:$C$91,0),MATCH(Calculation!$G1256,'Gross Dx Plant'!$D$5:$AC$5,0))</f>
        <v>1831266</v>
      </c>
      <c r="BZ1256" s="129">
        <f>INDEX('Gross Gen Plant'!$D$7:$AC$91,MATCH($C1256,'Gross Gen Plant'!$C$7:$C$91,0),MATCH(Calculation!$G1256,'Gross Gen Plant'!$D$5:$AC$5,0))</f>
        <v>143263</v>
      </c>
      <c r="CA1256" s="129">
        <f t="shared" si="2162"/>
        <v>1271957</v>
      </c>
      <c r="CB1256" s="129"/>
      <c r="CC1256" s="133">
        <v>2001</v>
      </c>
      <c r="CD1256" s="129"/>
      <c r="CE1256" s="129"/>
      <c r="CF1256" s="129"/>
      <c r="CG1256" s="137"/>
      <c r="CH1256" s="129">
        <f t="shared" si="2258"/>
        <v>123777</v>
      </c>
      <c r="CI1256" s="46">
        <f t="shared" si="2266"/>
        <v>122940.50728350913</v>
      </c>
      <c r="CJ1256" s="231">
        <f t="shared" si="2267"/>
        <v>347.83256059981852</v>
      </c>
      <c r="CK1256" s="443">
        <v>0.96969696969696972</v>
      </c>
      <c r="CL1256" s="231">
        <f>+CL1253*CK1256+CJ1254*CK1255+CJ1255*CK1253+CJ1256</f>
        <v>5977.0554616382951</v>
      </c>
      <c r="CM1256" s="134">
        <f t="shared" si="2259"/>
        <v>5.0001569792715299E-2</v>
      </c>
      <c r="CN1256" s="135">
        <f t="shared" si="2260"/>
        <v>9.9056870578143868E-3</v>
      </c>
      <c r="CO1256" s="135">
        <f>+(CN1256+CN1255+CN1254)/3</f>
        <v>1.0002225718941405E-2</v>
      </c>
      <c r="CP1256" s="134">
        <f>VLOOKUP($H1256,RoR!$E:$F,2,FALSE)</f>
        <v>7.0824999999999999E-2</v>
      </c>
      <c r="CQ1256" s="135">
        <v>2.2454495382290052E-2</v>
      </c>
      <c r="CR1256" s="135">
        <f t="shared" si="2268"/>
        <v>4.8370504617709947E-2</v>
      </c>
      <c r="CS1256" s="135">
        <f>+$CR$2-CO1256</f>
        <v>2.0899715889592219E-2</v>
      </c>
      <c r="CT1256" s="135">
        <v>2.3947275901631187E-2</v>
      </c>
      <c r="CU1256" s="139">
        <f t="shared" si="2261"/>
        <v>0.84089999999999998</v>
      </c>
      <c r="CV1256" s="335">
        <f t="shared" si="2262"/>
        <v>0.72406708481540816</v>
      </c>
      <c r="CW1256" s="335">
        <f t="shared" si="2263"/>
        <v>0.62201729615248857</v>
      </c>
      <c r="CX1256" s="335">
        <f t="shared" si="2264"/>
        <v>0.9352469954311422</v>
      </c>
      <c r="CY1256" s="335">
        <f t="shared" si="2265"/>
        <v>0.42121864641655071</v>
      </c>
      <c r="CZ1256" s="336">
        <f>INDEX('State Tax Lookup'!$D$7:$Z$91,MATCH(Calculation!$C1256,'State Tax Lookup'!$B$7:$B$91,0),MATCH($H1256,'State Tax Lookup'!$D$6:$Z$6,0))</f>
        <v>0.43</v>
      </c>
      <c r="DA1256" s="302">
        <v>0.37</v>
      </c>
      <c r="DB1256" s="57">
        <f t="shared" ref="DB1256:DB1277" si="2269">+(DF1256*CS1256-CT1256)*CU1256/(1-CZ1256)</f>
        <v>10.862366395968165</v>
      </c>
      <c r="DC1256" s="56"/>
      <c r="DD1256" s="303">
        <f>VLOOKUP($H1256,RoR!$E:$F,2,FALSE)</f>
        <v>7.0824999999999999E-2</v>
      </c>
      <c r="DE1256" s="304">
        <f>HLOOKUP($H1256,'GDP-PI'!$D$8:$CQ$11,3,FALSE)</f>
        <v>2.2454495382290052E-2</v>
      </c>
      <c r="DF1256" s="303">
        <f>VLOOKUP(H1256,'HW Dx Data'!$E:$F,2,FALSE)</f>
        <v>353.44738017483138</v>
      </c>
      <c r="DG1256" s="364"/>
      <c r="DH1256" s="364"/>
      <c r="DI1256" s="364"/>
      <c r="DJ1256" s="56"/>
      <c r="DK1256" s="53">
        <f>HLOOKUP(H1256,'GDP-PI'!$8:$9,2,FALSE)</f>
        <v>79.822000000000003</v>
      </c>
      <c r="DL1256" s="298"/>
    </row>
    <row r="1257" spans="1:116" s="126" customFormat="1" ht="21" customHeight="1" x14ac:dyDescent="0.4">
      <c r="A1257" s="233" t="s">
        <v>256</v>
      </c>
      <c r="B1257" s="126" t="s">
        <v>256</v>
      </c>
      <c r="C1257" s="126">
        <v>4058284</v>
      </c>
      <c r="D1257" s="127" t="s">
        <v>257</v>
      </c>
      <c r="E1257" s="127"/>
      <c r="F1257" s="144"/>
      <c r="G1257" s="126" t="s">
        <v>158</v>
      </c>
      <c r="H1257" s="128">
        <v>2002</v>
      </c>
      <c r="I1257" s="129"/>
      <c r="J1257" s="125"/>
      <c r="K1257" s="125"/>
      <c r="L1257" s="47"/>
      <c r="M1257" s="125"/>
      <c r="N1257" s="125"/>
      <c r="O1257" s="125"/>
      <c r="P1257" s="47"/>
      <c r="Q1257" s="47"/>
      <c r="R1257" s="386"/>
      <c r="S1257" s="119"/>
      <c r="T1257" s="47"/>
      <c r="U1257" s="47"/>
      <c r="V1257" s="125"/>
      <c r="W1257" s="125"/>
      <c r="X1257" s="125"/>
      <c r="Y1257" s="125"/>
      <c r="Z1257" s="125"/>
      <c r="AA1257" s="125"/>
      <c r="AB1257" s="125"/>
      <c r="AC1257" s="125">
        <f t="shared" si="2256"/>
        <v>64893.707321070768</v>
      </c>
      <c r="AD1257" s="129"/>
      <c r="AE1257" s="133">
        <v>6629.5389355015104</v>
      </c>
      <c r="AF1257" s="134">
        <v>4.5970191410220115E-2</v>
      </c>
      <c r="AG1257" s="61"/>
      <c r="AH1257" s="134"/>
      <c r="AI1257" s="134"/>
      <c r="AJ1257" s="129">
        <f t="shared" si="2252"/>
        <v>64893.707321070768</v>
      </c>
      <c r="AK1257" s="134"/>
      <c r="AL1257" s="129"/>
      <c r="AM1257" s="129"/>
      <c r="AN1257" s="129"/>
      <c r="AO1257" s="129"/>
      <c r="AP1257" s="133"/>
      <c r="AQ1257" s="134"/>
      <c r="AR1257" s="93"/>
      <c r="AS1257" s="93"/>
      <c r="AT1257" s="93"/>
      <c r="AU1257" s="93"/>
      <c r="AV1257" s="93"/>
      <c r="AW1257" s="134"/>
      <c r="AX1257" s="93"/>
      <c r="AY1257" s="93"/>
      <c r="AZ1257" s="93"/>
      <c r="BA1257" s="93"/>
      <c r="BB1257" s="234">
        <f>IFERROR(INDEX('Total Customers'!$E$7:$AA$91,MATCH($C1257,'Total Customers'!$C$7:$C$91,0),MATCH($G1257,'Total Customers'!$E$5:$AA$5,0)),"NA")</f>
        <v>941456</v>
      </c>
      <c r="BC1257" s="269">
        <f t="shared" si="2209"/>
        <v>3.6772615167784968E-2</v>
      </c>
      <c r="BD1257" s="92"/>
      <c r="BE1257" s="299" t="str">
        <f t="shared" si="2205"/>
        <v>WASHINGTON GAS LIGHT COMPANY</v>
      </c>
      <c r="BF1257" s="300">
        <f t="shared" si="2206"/>
        <v>4058284</v>
      </c>
      <c r="BG1257" s="231" t="str">
        <f t="shared" si="2207"/>
        <v>DC</v>
      </c>
      <c r="BH1257" s="231"/>
      <c r="BI1257" s="231" t="str">
        <f t="shared" si="2208"/>
        <v>2002 Y</v>
      </c>
      <c r="BJ1257" s="129"/>
      <c r="BK1257" s="129"/>
      <c r="BL1257" s="129">
        <f>INDEX('Dist. Plant Gas Additions'!$E$7:$AD$91,MATCH($C1257,'Dist. Plant Gas Additions'!$C$7:$C$91,0),MATCH(Calculation!$G1257,'Dist. Plant Gas Additions'!$E$5:$AD$5,0))</f>
        <v>113527</v>
      </c>
      <c r="BM1257" s="129">
        <f>INDEX('Gen. Plant Additions'!$E$7:$AD$91,MATCH($C1257,'Gen. Plant Additions'!$C$7:$C$91,0),MATCH(Calculation!$G1257,'Gen. Plant Additions'!$E$5:$AD$5,0))</f>
        <v>7224</v>
      </c>
      <c r="BN1257" s="301">
        <f t="shared" si="2257"/>
        <v>0.92032600247455831</v>
      </c>
      <c r="BO1257" s="231">
        <f t="shared" si="2250"/>
        <v>6648.4350418762097</v>
      </c>
      <c r="BP1257" s="231">
        <f t="shared" si="2251"/>
        <v>-575.56495812379035</v>
      </c>
      <c r="BQ1257" s="129">
        <f>INDEX('Dist Plant Depreciation'!$D$7:$AC$94,MATCH($C1257,'Dist Plant Depreciation'!$C$7:$C$94,0),MATCH(Calculation!$G1257,'Dist Plant Depreciation'!$D$5:$AC$5,0))</f>
        <v>699841</v>
      </c>
      <c r="BR1257" s="129">
        <f>INDEX('Gen. Plant Depreciation'!$D$7:$AC$94,MATCH($C1257,'Gen. Plant Depreciation'!$C$7:$C$94,0),MATCH(Calculation!$G1257,'Gen. Plant Depreciation'!$D$5:$AC$5,0))</f>
        <v>31765</v>
      </c>
      <c r="BS1257" s="129"/>
      <c r="BT1257" s="129"/>
      <c r="BU1257" s="129"/>
      <c r="BV1257" s="129"/>
      <c r="BW1257" s="129"/>
      <c r="BX1257" s="137"/>
      <c r="BY1257" s="129">
        <f>INDEX('Gross Dx Plant'!$D$7:$AC$91,MATCH($C1257,'Gross Dx Plant'!$C$7:$C$91,0),MATCH(Calculation!$G1257,'Gross Dx Plant'!$D$5:$AC$5,0))</f>
        <v>1900487</v>
      </c>
      <c r="BZ1257" s="129">
        <f>INDEX('Gross Gen Plant'!$D$7:$AC$91,MATCH($C1257,'Gross Gen Plant'!$C$7:$C$91,0),MATCH(Calculation!$G1257,'Gross Gen Plant'!$D$5:$AC$5,0))</f>
        <v>164528</v>
      </c>
      <c r="CA1257" s="129">
        <f t="shared" si="2162"/>
        <v>1333409</v>
      </c>
      <c r="CB1257" s="129"/>
      <c r="CC1257" s="133">
        <v>2002</v>
      </c>
      <c r="CD1257" s="129"/>
      <c r="CE1257" s="129"/>
      <c r="CF1257" s="129"/>
      <c r="CG1257" s="137"/>
      <c r="CH1257" s="129">
        <f t="shared" si="2258"/>
        <v>120751</v>
      </c>
      <c r="CI1257" s="46">
        <f t="shared" si="2266"/>
        <v>120175.4350418762</v>
      </c>
      <c r="CJ1257" s="231">
        <f t="shared" si="2267"/>
        <v>332.57519046131256</v>
      </c>
      <c r="CK1257" s="443">
        <v>0.95918367346938771</v>
      </c>
      <c r="CL1257" s="231">
        <f>+CL1253*CK1257+CJ1254*CK1256+CJ1255*CK1255+CJ1256*CK1254+CJ1257</f>
        <v>6242.1463483788357</v>
      </c>
      <c r="CM1257" s="134">
        <f t="shared" si="2259"/>
        <v>4.3396040349290378E-2</v>
      </c>
      <c r="CN1257" s="135">
        <f t="shared" si="2260"/>
        <v>1.1290560068230442E-2</v>
      </c>
      <c r="CO1257" s="135">
        <f t="shared" ref="CO1257:CO1277" si="2270">+(CN1257+CN1256+CN1255)/3</f>
        <v>1.0465415708681597E-2</v>
      </c>
      <c r="CP1257" s="134">
        <f>VLOOKUP($H1257,RoR!$E:$F,2,FALSE)</f>
        <v>6.4916666666666664E-2</v>
      </c>
      <c r="CQ1257" s="135">
        <v>1.5246423291824351E-2</v>
      </c>
      <c r="CR1257" s="135">
        <f t="shared" si="2268"/>
        <v>4.9670243374842313E-2</v>
      </c>
      <c r="CS1257" s="135">
        <f t="shared" ref="CS1257:CS1277" si="2271">+$CR$2-CO1257</f>
        <v>2.043652589985203E-2</v>
      </c>
      <c r="CT1257" s="135">
        <v>2.5243621214759093E-2</v>
      </c>
      <c r="CU1257" s="139">
        <f t="shared" si="2261"/>
        <v>0.84089999999999998</v>
      </c>
      <c r="CV1257" s="335">
        <f t="shared" si="2262"/>
        <v>0.78996741384417901</v>
      </c>
      <c r="CW1257" s="335">
        <f t="shared" si="2263"/>
        <v>0.58989088575096271</v>
      </c>
      <c r="CX1257" s="335">
        <f t="shared" si="2264"/>
        <v>0.91920675783645744</v>
      </c>
      <c r="CY1257" s="335">
        <f t="shared" si="2265"/>
        <v>0.42834536472275586</v>
      </c>
      <c r="CZ1257" s="336">
        <f>INDEX('State Tax Lookup'!$D$7:$Z$91,MATCH(Calculation!$C1257,'State Tax Lookup'!$B$7:$B$91,0),MATCH($H1257,'State Tax Lookup'!$D$6:$Z$6,0))</f>
        <v>0.43</v>
      </c>
      <c r="DA1257" s="302">
        <v>0.37</v>
      </c>
      <c r="DB1257" s="57">
        <f t="shared" si="2269"/>
        <v>10.857136551194653</v>
      </c>
      <c r="DC1257" s="56">
        <f t="shared" ref="DC1257:DC1275" si="2272">LN(DB1257/DB1256)</f>
        <v>-4.8158053039333354E-4</v>
      </c>
      <c r="DD1257" s="303">
        <f>VLOOKUP($H1257,RoR!$E:$F,2,FALSE)</f>
        <v>6.4916666666666664E-2</v>
      </c>
      <c r="DE1257" s="304">
        <f>HLOOKUP($H1257,'GDP-PI'!$D$8:$CQ$11,3,FALSE)</f>
        <v>1.5246423291824351E-2</v>
      </c>
      <c r="DF1257" s="303">
        <f>VLOOKUP(H1257,'HW Dx Data'!$E:$F,2,FALSE)</f>
        <v>361.34816573413599</v>
      </c>
      <c r="DG1257" s="364"/>
      <c r="DH1257" s="364"/>
      <c r="DI1257" s="364"/>
      <c r="DJ1257" s="56"/>
      <c r="DK1257" s="53">
        <f>HLOOKUP(H1257,'GDP-PI'!$8:$9,2,FALSE)</f>
        <v>81.039000000000001</v>
      </c>
      <c r="DL1257" s="355">
        <f>LN(DK1257/DK1256)</f>
        <v>1.513136459537477E-2</v>
      </c>
    </row>
    <row r="1258" spans="1:116" s="126" customFormat="1" ht="21" customHeight="1" x14ac:dyDescent="0.4">
      <c r="A1258" s="233" t="s">
        <v>256</v>
      </c>
      <c r="B1258" s="126" t="s">
        <v>256</v>
      </c>
      <c r="C1258" s="126">
        <v>4058284</v>
      </c>
      <c r="D1258" s="127" t="s">
        <v>257</v>
      </c>
      <c r="E1258" s="127"/>
      <c r="F1258" s="144"/>
      <c r="G1258" s="126" t="s">
        <v>159</v>
      </c>
      <c r="H1258" s="128">
        <v>2003</v>
      </c>
      <c r="I1258" s="129"/>
      <c r="J1258" s="125"/>
      <c r="K1258" s="125"/>
      <c r="L1258" s="47"/>
      <c r="M1258" s="125"/>
      <c r="N1258" s="125"/>
      <c r="O1258" s="125"/>
      <c r="P1258" s="59"/>
      <c r="Q1258" s="59"/>
      <c r="R1258" s="386"/>
      <c r="S1258" s="119"/>
      <c r="T1258" s="59"/>
      <c r="U1258" s="59"/>
      <c r="V1258" s="125"/>
      <c r="W1258" s="125"/>
      <c r="X1258" s="125"/>
      <c r="Y1258" s="125"/>
      <c r="Z1258" s="125"/>
      <c r="AA1258" s="125"/>
      <c r="AB1258" s="125"/>
      <c r="AC1258" s="125">
        <f t="shared" si="2256"/>
        <v>68351.780116143287</v>
      </c>
      <c r="AD1258" s="129"/>
      <c r="AE1258" s="133">
        <v>6865.5469432942145</v>
      </c>
      <c r="AF1258" s="134">
        <v>3.4980447697117063E-2</v>
      </c>
      <c r="AG1258" s="61"/>
      <c r="AH1258" s="134"/>
      <c r="AI1258" s="134"/>
      <c r="AJ1258" s="129">
        <f t="shared" si="2252"/>
        <v>68351.780116143287</v>
      </c>
      <c r="AK1258" s="134"/>
      <c r="AL1258" s="129"/>
      <c r="AM1258" s="129"/>
      <c r="AN1258" s="129"/>
      <c r="AO1258" s="129"/>
      <c r="AP1258" s="133"/>
      <c r="AQ1258" s="134"/>
      <c r="AR1258" s="93"/>
      <c r="AS1258" s="93"/>
      <c r="AT1258" s="93"/>
      <c r="AU1258" s="93"/>
      <c r="AV1258" s="93"/>
      <c r="AW1258" s="134"/>
      <c r="AX1258" s="93"/>
      <c r="AY1258" s="93"/>
      <c r="AZ1258" s="93"/>
      <c r="BA1258" s="93"/>
      <c r="BB1258" s="234">
        <f>IFERROR(INDEX('Total Customers'!$E$7:$AA$91,MATCH($C1258,'Total Customers'!$C$7:$C$91,0),MATCH($G1258,'Total Customers'!$E$5:$AA$5,0)),"NA")</f>
        <v>935761</v>
      </c>
      <c r="BC1258" s="269">
        <f t="shared" si="2209"/>
        <v>-6.0675110779711801E-3</v>
      </c>
      <c r="BD1258" s="92"/>
      <c r="BE1258" s="299" t="str">
        <f t="shared" si="2205"/>
        <v>WASHINGTON GAS LIGHT COMPANY</v>
      </c>
      <c r="BF1258" s="300">
        <f t="shared" si="2206"/>
        <v>4058284</v>
      </c>
      <c r="BG1258" s="231" t="str">
        <f t="shared" si="2207"/>
        <v>DC</v>
      </c>
      <c r="BH1258" s="231"/>
      <c r="BI1258" s="231" t="str">
        <f t="shared" si="2208"/>
        <v>2003 Y</v>
      </c>
      <c r="BJ1258" s="129"/>
      <c r="BK1258" s="129"/>
      <c r="BL1258" s="129">
        <f>INDEX('Dist. Plant Gas Additions'!$E$7:$AD$91,MATCH($C1258,'Dist. Plant Gas Additions'!$C$7:$C$91,0),MATCH(Calculation!$G1258,'Dist. Plant Gas Additions'!$E$5:$AD$5,0))</f>
        <v>82278</v>
      </c>
      <c r="BM1258" s="129">
        <f>INDEX('Gen. Plant Additions'!$E$7:$AD$91,MATCH($C1258,'Gen. Plant Additions'!$C$7:$C$91,0),MATCH(Calculation!$G1258,'Gen. Plant Additions'!$E$5:$AD$5,0))</f>
        <v>18678</v>
      </c>
      <c r="BN1258" s="301">
        <f t="shared" si="2257"/>
        <v>0.92243363451338212</v>
      </c>
      <c r="BO1258" s="231">
        <f t="shared" si="2250"/>
        <v>17229.215425440951</v>
      </c>
      <c r="BP1258" s="231">
        <f t="shared" si="2251"/>
        <v>-1448.7845745590494</v>
      </c>
      <c r="BQ1258" s="129">
        <f>INDEX('Dist Plant Depreciation'!$D$7:$AC$94,MATCH($C1258,'Dist Plant Depreciation'!$C$7:$C$94,0),MATCH(Calculation!$G1258,'Dist Plant Depreciation'!$D$5:$AC$5,0))</f>
        <v>796906</v>
      </c>
      <c r="BR1258" s="129">
        <f>INDEX('Gen. Plant Depreciation'!$D$7:$AC$94,MATCH($C1258,'Gen. Plant Depreciation'!$C$7:$C$94,0),MATCH(Calculation!$G1258,'Gen. Plant Depreciation'!$D$5:$AC$5,0))</f>
        <v>22159</v>
      </c>
      <c r="BS1258" s="129"/>
      <c r="BT1258" s="129"/>
      <c r="BU1258" s="129"/>
      <c r="BV1258" s="129"/>
      <c r="BW1258" s="129"/>
      <c r="BX1258" s="137"/>
      <c r="BY1258" s="129">
        <f>INDEX('Gross Dx Plant'!$D$7:$AC$91,MATCH($C1258,'Gross Dx Plant'!$C$7:$C$91,0),MATCH(Calculation!$G1258,'Gross Dx Plant'!$D$5:$AC$5,0))</f>
        <v>2022730</v>
      </c>
      <c r="BZ1258" s="129">
        <f>INDEX('Gross Gen Plant'!$D$7:$AC$91,MATCH($C1258,'Gross Gen Plant'!$C$7:$C$91,0),MATCH(Calculation!$G1258,'Gross Gen Plant'!$D$5:$AC$5,0))</f>
        <v>170089</v>
      </c>
      <c r="CA1258" s="129">
        <f t="shared" si="2162"/>
        <v>1373754</v>
      </c>
      <c r="CB1258" s="129"/>
      <c r="CC1258" s="133">
        <v>2003</v>
      </c>
      <c r="CD1258" s="129"/>
      <c r="CE1258" s="129"/>
      <c r="CF1258" s="129"/>
      <c r="CG1258" s="137"/>
      <c r="CH1258" s="129">
        <f t="shared" si="2258"/>
        <v>100956</v>
      </c>
      <c r="CI1258" s="46">
        <f t="shared" si="2266"/>
        <v>99507.215425440954</v>
      </c>
      <c r="CJ1258" s="231">
        <f t="shared" si="2267"/>
        <v>269.49707223606316</v>
      </c>
      <c r="CK1258" s="443">
        <v>0.94845360824742264</v>
      </c>
      <c r="CL1258" s="231">
        <f>+CL1253*CK1258+CJ1254*CK1257+CJ1255*CK1256+CJ1256*CK1255+CJ1257*CK1254+CJ1258</f>
        <v>6442.798845431852</v>
      </c>
      <c r="CM1258" s="134">
        <f t="shared" si="2259"/>
        <v>3.1638959706601452E-2</v>
      </c>
      <c r="CN1258" s="135">
        <f t="shared" si="2260"/>
        <v>1.1028990885631296E-2</v>
      </c>
      <c r="CO1258" s="135">
        <f t="shared" si="2270"/>
        <v>1.0741746003892043E-2</v>
      </c>
      <c r="CP1258" s="134">
        <f>VLOOKUP($H1258,RoR!$E:$F,2,FALSE)</f>
        <v>5.6666666666666671E-2</v>
      </c>
      <c r="CQ1258" s="135">
        <v>1.8855119140166909E-2</v>
      </c>
      <c r="CR1258" s="135">
        <f t="shared" si="2268"/>
        <v>3.7811547526499761E-2</v>
      </c>
      <c r="CS1258" s="135">
        <f t="shared" si="2271"/>
        <v>2.0160195604641582E-2</v>
      </c>
      <c r="CT1258" s="135">
        <v>2.1375012817671957E-2</v>
      </c>
      <c r="CU1258" s="139">
        <f t="shared" si="2261"/>
        <v>0.84089999999999998</v>
      </c>
      <c r="CV1258" s="335">
        <f t="shared" si="2262"/>
        <v>0.90497737556561086</v>
      </c>
      <c r="CW1258" s="335">
        <f t="shared" si="2263"/>
        <v>0.5338235294117647</v>
      </c>
      <c r="CX1258" s="335">
        <f t="shared" si="2264"/>
        <v>0.88972433127405692</v>
      </c>
      <c r="CY1258" s="335">
        <f t="shared" si="2265"/>
        <v>0.42982423775949252</v>
      </c>
      <c r="CZ1258" s="336">
        <f>INDEX('State Tax Lookup'!$D$7:$Z$91,MATCH(Calculation!$C1258,'State Tax Lookup'!$B$7:$B$91,0),MATCH($H1258,'State Tax Lookup'!$D$6:$Z$6,0))</f>
        <v>0.43</v>
      </c>
      <c r="DA1258" s="302">
        <v>0.37</v>
      </c>
      <c r="DB1258" s="57">
        <f t="shared" si="2269"/>
        <v>10.950044472106155</v>
      </c>
      <c r="DC1258" s="56">
        <f t="shared" si="2272"/>
        <v>8.5209072139895824E-3</v>
      </c>
      <c r="DD1258" s="303">
        <f>VLOOKUP($H1258,RoR!$E:$F,2,FALSE)</f>
        <v>5.6666666666666671E-2</v>
      </c>
      <c r="DE1258" s="304">
        <f>HLOOKUP($H1258,'GDP-PI'!$D$8:$CQ$11,3,FALSE)</f>
        <v>1.8855119140166909E-2</v>
      </c>
      <c r="DF1258" s="303">
        <f>VLOOKUP(H1258,'HW Dx Data'!$E:$F,2,FALSE)</f>
        <v>369.23301095560191</v>
      </c>
      <c r="DG1258" s="364">
        <f ca="1">VLOOKUP(CC1258,'ECI - Input Price'!M$13:N$33,2,FALSE)</f>
        <v>89.25</v>
      </c>
      <c r="DH1258" s="364"/>
      <c r="DI1258" s="364"/>
      <c r="DJ1258" s="56"/>
      <c r="DK1258" s="53">
        <f>HLOOKUP(H1258,'GDP-PI'!$8:$9,2,FALSE)</f>
        <v>82.566999999999993</v>
      </c>
      <c r="DL1258" s="355">
        <f t="shared" ref="DL1258:DL1277" si="2273">LN(DK1258/DK1257)</f>
        <v>1.8679564681853753E-2</v>
      </c>
    </row>
    <row r="1259" spans="1:116" s="126" customFormat="1" ht="21" customHeight="1" x14ac:dyDescent="0.4">
      <c r="A1259" s="233" t="s">
        <v>256</v>
      </c>
      <c r="B1259" s="126" t="s">
        <v>256</v>
      </c>
      <c r="C1259" s="126">
        <v>4058284</v>
      </c>
      <c r="D1259" s="127" t="s">
        <v>257</v>
      </c>
      <c r="E1259" s="127"/>
      <c r="F1259" s="144"/>
      <c r="G1259" s="126" t="s">
        <v>160</v>
      </c>
      <c r="H1259" s="128">
        <v>2004</v>
      </c>
      <c r="I1259" s="129"/>
      <c r="J1259" s="125">
        <f>IFERROR(INDEX('Labor Expenditures'!$E$7:$W$91,MATCH($C1259,'Labor Expenditures'!$C$7:$C$91,0),MATCH($G1259,'Labor Expenditures'!$E$5:$W$5,0)),"NA")</f>
        <v>75015.407903935513</v>
      </c>
      <c r="K1259" s="125">
        <f t="shared" ref="K1259:K1277" ca="1" si="2274">+J1259/DG1259</f>
        <v>795.07586543651848</v>
      </c>
      <c r="L1259" s="47"/>
      <c r="M1259" s="131"/>
      <c r="N1259" s="131"/>
      <c r="O1259" s="131"/>
      <c r="P1259" s="59"/>
      <c r="Q1259" s="59"/>
      <c r="R1259" s="386"/>
      <c r="S1259" s="119"/>
      <c r="T1259" s="59"/>
      <c r="U1259" s="59"/>
      <c r="V1259" s="125">
        <f>IFERROR(INDEX('Non-Labor Expenditures'!$E$7:$AA$91,MATCH($C1259,'Non-Labor Expenditures'!$C$7:$C$91,0),MATCH($G1259,'Non-Labor Expenditures'!$E$5:$AA$5,0)),"NA")</f>
        <v>108636.32159043233</v>
      </c>
      <c r="W1259" s="125">
        <f t="shared" ref="W1259:W1277" si="2275">+V1259/DK1259</f>
        <v>1281.4211421646219</v>
      </c>
      <c r="X1259" s="125"/>
      <c r="Y1259" s="125"/>
      <c r="Z1259" s="125"/>
      <c r="AA1259" s="125"/>
      <c r="AB1259" s="125"/>
      <c r="AC1259" s="125">
        <f t="shared" si="2256"/>
        <v>77107.850106459504</v>
      </c>
      <c r="AD1259" s="129"/>
      <c r="AE1259" s="133">
        <v>7036.7508625737592</v>
      </c>
      <c r="AF1259" s="134">
        <v>2.4630831111737791E-2</v>
      </c>
      <c r="AG1259" s="59">
        <f t="shared" ref="AG1259:AG1277" si="2276">+AF1259*$AX1259</f>
        <v>0</v>
      </c>
      <c r="AH1259" s="134"/>
      <c r="AI1259" s="134"/>
      <c r="AJ1259" s="129">
        <f t="shared" si="2252"/>
        <v>260759.57960082736</v>
      </c>
      <c r="AK1259" s="134"/>
      <c r="AL1259" s="129"/>
      <c r="AM1259" s="129"/>
      <c r="AN1259" s="129"/>
      <c r="AO1259" s="129"/>
      <c r="AP1259" s="133"/>
      <c r="AQ1259" s="134"/>
      <c r="AR1259" s="93">
        <f t="shared" ref="AR1259:AR1277" si="2277">+J1259/AJ1259</f>
        <v>0.28768035298557254</v>
      </c>
      <c r="AS1259" s="93">
        <f t="shared" ref="AS1259:AS1277" si="2278">+V1259/AJ1259</f>
        <v>0.41661488240138134</v>
      </c>
      <c r="AT1259" s="93">
        <f t="shared" ref="AT1259:AT1277" si="2279">+AC1259/AJ1259</f>
        <v>0.29570476461304607</v>
      </c>
      <c r="AU1259" s="93"/>
      <c r="AV1259" s="93"/>
      <c r="AW1259" s="134"/>
      <c r="AX1259" s="93"/>
      <c r="AY1259" s="93"/>
      <c r="AZ1259" s="93"/>
      <c r="BA1259" s="93"/>
      <c r="BB1259" s="234">
        <f>IFERROR(INDEX('Total Customers'!$E$7:$AA$91,MATCH($C1259,'Total Customers'!$C$7:$C$91,0),MATCH($G1259,'Total Customers'!$E$5:$AA$5,0)),"NA")</f>
        <v>980868</v>
      </c>
      <c r="BC1259" s="269">
        <f t="shared" si="2209"/>
        <v>4.7077791944929601E-2</v>
      </c>
      <c r="BD1259" s="92"/>
      <c r="BE1259" s="299" t="str">
        <f t="shared" si="2205"/>
        <v>WASHINGTON GAS LIGHT COMPANY</v>
      </c>
      <c r="BF1259" s="300">
        <f t="shared" si="2206"/>
        <v>4058284</v>
      </c>
      <c r="BG1259" s="231" t="str">
        <f t="shared" si="2207"/>
        <v>DC</v>
      </c>
      <c r="BH1259" s="231"/>
      <c r="BI1259" s="231" t="str">
        <f t="shared" si="2208"/>
        <v>2004 Y</v>
      </c>
      <c r="BJ1259" s="129"/>
      <c r="BK1259" s="129"/>
      <c r="BL1259" s="129">
        <f>INDEX('Dist. Plant Gas Additions'!$E$7:$AD$91,MATCH($C1259,'Dist. Plant Gas Additions'!$C$7:$C$91,0),MATCH(Calculation!$G1259,'Dist. Plant Gas Additions'!$E$5:$AD$5,0))</f>
        <v>75644</v>
      </c>
      <c r="BM1259" s="129">
        <f>INDEX('Gen. Plant Additions'!$E$7:$AD$91,MATCH($C1259,'Gen. Plant Additions'!$C$7:$C$91,0),MATCH(Calculation!$G1259,'Gen. Plant Additions'!$E$5:$AD$5,0))</f>
        <v>11970</v>
      </c>
      <c r="BN1259" s="301">
        <f t="shared" si="2257"/>
        <v>0.92097043233237375</v>
      </c>
      <c r="BO1259" s="231">
        <f t="shared" si="2250"/>
        <v>11024.016075018513</v>
      </c>
      <c r="BP1259" s="231">
        <f t="shared" si="2251"/>
        <v>-945.98392498148678</v>
      </c>
      <c r="BQ1259" s="129">
        <f>INDEX('Dist Plant Depreciation'!$D$7:$AC$94,MATCH($C1259,'Dist Plant Depreciation'!$C$7:$C$94,0),MATCH(Calculation!$G1259,'Dist Plant Depreciation'!$D$5:$AC$5,0))</f>
        <v>850473</v>
      </c>
      <c r="BR1259" s="129">
        <f>INDEX('Gen. Plant Depreciation'!$D$7:$AC$94,MATCH($C1259,'Gen. Plant Depreciation'!$C$7:$C$94,0),MATCH(Calculation!$G1259,'Gen. Plant Depreciation'!$D$5:$AC$5,0))</f>
        <v>23484</v>
      </c>
      <c r="BS1259" s="129"/>
      <c r="BT1259" s="129"/>
      <c r="BU1259" s="129"/>
      <c r="BV1259" s="129"/>
      <c r="BW1259" s="129"/>
      <c r="BX1259" s="137"/>
      <c r="BY1259" s="129">
        <f>INDEX('Gross Dx Plant'!$D$7:$AC$91,MATCH($C1259,'Gross Dx Plant'!$C$7:$C$91,0),MATCH(Calculation!$G1259,'Gross Dx Plant'!$D$5:$AC$5,0))</f>
        <v>2093107</v>
      </c>
      <c r="BZ1259" s="129">
        <f>INDEX('Gross Gen Plant'!$D$7:$AC$91,MATCH($C1259,'Gross Gen Plant'!$C$7:$C$91,0),MATCH(Calculation!$G1259,'Gross Gen Plant'!$D$5:$AC$5,0))</f>
        <v>179612</v>
      </c>
      <c r="CA1259" s="129">
        <f t="shared" si="2162"/>
        <v>1398762</v>
      </c>
      <c r="CB1259" s="129"/>
      <c r="CC1259" s="133">
        <v>2004</v>
      </c>
      <c r="CD1259" s="129"/>
      <c r="CE1259" s="129"/>
      <c r="CF1259" s="129"/>
      <c r="CG1259" s="137"/>
      <c r="CH1259" s="129">
        <f t="shared" si="2258"/>
        <v>87614</v>
      </c>
      <c r="CI1259" s="46">
        <f t="shared" si="2266"/>
        <v>86668.016075018517</v>
      </c>
      <c r="CJ1259" s="231">
        <f t="shared" si="2267"/>
        <v>208.89537657822771</v>
      </c>
      <c r="CK1259" s="443">
        <v>0.9375</v>
      </c>
      <c r="CL1259" s="231">
        <f>+CL1253*CK1259+CJ1254*CK1258+CJ1255*CK1257+CJ1256*CK1256+CJ1257*CK1255+CJ1258*CK1254+CJ1259</f>
        <v>6578.753498085659</v>
      </c>
      <c r="CM1259" s="134">
        <f t="shared" si="2259"/>
        <v>2.0882240379165164E-2</v>
      </c>
      <c r="CN1259" s="135">
        <f t="shared" si="2260"/>
        <v>1.1321279101572138E-2</v>
      </c>
      <c r="CO1259" s="135">
        <f t="shared" si="2270"/>
        <v>1.1213610018477959E-2</v>
      </c>
      <c r="CP1259" s="134">
        <f>VLOOKUP($H1259,RoR!$E:$F,2,FALSE)</f>
        <v>5.6283333333333331E-2</v>
      </c>
      <c r="CQ1259" s="135">
        <v>2.6778252812867276E-2</v>
      </c>
      <c r="CR1259" s="135">
        <f t="shared" si="2268"/>
        <v>2.9505080520466055E-2</v>
      </c>
      <c r="CS1259" s="135">
        <f t="shared" si="2271"/>
        <v>1.9688331590055667E-2</v>
      </c>
      <c r="CT1259" s="135">
        <v>5.5940039414565046E-2</v>
      </c>
      <c r="CU1259" s="139">
        <f t="shared" si="2261"/>
        <v>0.84089999999999998</v>
      </c>
      <c r="CV1259" s="335">
        <f t="shared" si="2262"/>
        <v>0.91114097628755619</v>
      </c>
      <c r="CW1259" s="335">
        <f t="shared" si="2263"/>
        <v>0.53081877405981637</v>
      </c>
      <c r="CX1259" s="335">
        <f t="shared" si="2264"/>
        <v>0.88811215519385678</v>
      </c>
      <c r="CY1259" s="335">
        <f t="shared" si="2265"/>
        <v>0.42953609753547711</v>
      </c>
      <c r="CZ1259" s="336">
        <f>INDEX('State Tax Lookup'!$D$7:$Z$91,MATCH(Calculation!$C1259,'State Tax Lookup'!$B$7:$B$91,0),MATCH($H1259,'State Tax Lookup'!$D$6:$Z$6,0))</f>
        <v>0.43</v>
      </c>
      <c r="DA1259" s="302">
        <v>0.37</v>
      </c>
      <c r="DB1259" s="57">
        <f t="shared" si="2269"/>
        <v>11.968067288199043</v>
      </c>
      <c r="DC1259" s="56">
        <f t="shared" si="2272"/>
        <v>8.8898525925330596E-2</v>
      </c>
      <c r="DD1259" s="303">
        <f>VLOOKUP($H1259,RoR!$E:$F,2,FALSE)</f>
        <v>5.6283333333333331E-2</v>
      </c>
      <c r="DE1259" s="304">
        <f>HLOOKUP($H1259,'GDP-PI'!$D$8:$CQ$11,3,FALSE)</f>
        <v>2.6778252812867276E-2</v>
      </c>
      <c r="DF1259" s="303">
        <f>VLOOKUP(H1259,'HW Dx Data'!$E:$F,2,FALSE)</f>
        <v>414.88719135228365</v>
      </c>
      <c r="DG1259" s="364">
        <f ca="1">VLOOKUP(CC1259,'ECI - Input Price'!M$13:N$33,2,FALSE)</f>
        <v>94.35</v>
      </c>
      <c r="DH1259" s="364"/>
      <c r="DI1259" s="364"/>
      <c r="DJ1259" s="56">
        <f t="shared" ref="DJ1259:DJ1277" ca="1" si="2280">LN(DG1259/DG1258)</f>
        <v>5.5569851154810786E-2</v>
      </c>
      <c r="DK1259" s="53">
        <f>HLOOKUP(H1259,'GDP-PI'!$8:$9,2,FALSE)</f>
        <v>84.778000000000006</v>
      </c>
      <c r="DL1259" s="355">
        <f t="shared" si="2273"/>
        <v>2.6425990216022755E-2</v>
      </c>
    </row>
    <row r="1260" spans="1:116" s="126" customFormat="1" ht="21" customHeight="1" x14ac:dyDescent="0.4">
      <c r="A1260" s="233" t="s">
        <v>256</v>
      </c>
      <c r="B1260" s="126" t="s">
        <v>256</v>
      </c>
      <c r="C1260" s="126">
        <v>4058284</v>
      </c>
      <c r="D1260" s="127" t="s">
        <v>257</v>
      </c>
      <c r="E1260" s="127"/>
      <c r="F1260" s="144"/>
      <c r="G1260" s="126" t="s">
        <v>161</v>
      </c>
      <c r="H1260" s="128">
        <v>2005</v>
      </c>
      <c r="I1260" s="129"/>
      <c r="J1260" s="125">
        <f>IFERROR(INDEX('Labor Expenditures'!$E$7:$W$91,MATCH($C1260,'Labor Expenditures'!$C$7:$C$91,0),MATCH($G1260,'Labor Expenditures'!$E$5:$W$5,0)),"NA")</f>
        <v>77726.347590161648</v>
      </c>
      <c r="K1260" s="125">
        <f t="shared" ca="1" si="2274"/>
        <v>783.33431685726032</v>
      </c>
      <c r="L1260" s="47"/>
      <c r="M1260" s="131">
        <f t="shared" ref="M1260:M1276" ca="1" si="2281">LN(K1260/K1259)</f>
        <v>-1.4877964291617852E-2</v>
      </c>
      <c r="N1260" s="131"/>
      <c r="O1260" s="131"/>
      <c r="P1260" s="59"/>
      <c r="Q1260" s="61"/>
      <c r="R1260" s="387"/>
      <c r="S1260" s="49">
        <v>100</v>
      </c>
      <c r="T1260" s="46"/>
      <c r="U1260" s="46"/>
      <c r="V1260" s="125">
        <f>IFERROR(INDEX('Non-Labor Expenditures'!$E$7:$AA$91,MATCH($C1260,'Non-Labor Expenditures'!$C$7:$C$91,0),MATCH($G1260,'Non-Labor Expenditures'!$E$5:$AA$5,0)),"NA")</f>
        <v>112562.26858977774</v>
      </c>
      <c r="W1260" s="125">
        <f t="shared" si="2275"/>
        <v>1287.794668502268</v>
      </c>
      <c r="X1260" s="131">
        <f>LN(W1260/W1259)</f>
        <v>4.9614667522184094E-3</v>
      </c>
      <c r="Y1260" s="131"/>
      <c r="Z1260" s="131"/>
      <c r="AA1260" s="131"/>
      <c r="AB1260" s="131"/>
      <c r="AC1260" s="125">
        <f t="shared" si="2256"/>
        <v>88242.130785618923</v>
      </c>
      <c r="AD1260" s="129"/>
      <c r="AE1260" s="133">
        <v>7182.6381594217464</v>
      </c>
      <c r="AF1260" s="134">
        <v>2.0520208816160474E-2</v>
      </c>
      <c r="AG1260" s="59">
        <f t="shared" si="2276"/>
        <v>0</v>
      </c>
      <c r="AH1260" s="134"/>
      <c r="AI1260" s="134"/>
      <c r="AJ1260" s="129">
        <f t="shared" si="2252"/>
        <v>278530.74696555833</v>
      </c>
      <c r="AK1260" s="134">
        <f>LN(AJ1260/AJ1259)</f>
        <v>6.5929623456462888E-2</v>
      </c>
      <c r="AL1260" s="129"/>
      <c r="AM1260" s="129"/>
      <c r="AN1260" s="129"/>
      <c r="AO1260" s="129"/>
      <c r="AP1260" s="133"/>
      <c r="AQ1260" s="134"/>
      <c r="AR1260" s="93">
        <f t="shared" si="2277"/>
        <v>0.27905841073902293</v>
      </c>
      <c r="AS1260" s="93">
        <f t="shared" si="2278"/>
        <v>0.40412869967169768</v>
      </c>
      <c r="AT1260" s="93">
        <f t="shared" si="2279"/>
        <v>0.31681288958927933</v>
      </c>
      <c r="AU1260" s="93">
        <f t="shared" ref="AU1260:AU1276" ca="1" si="2282">+(((AR1260+AR1259)/2)*M1260+((AS1259+AS1260)/2)*X1260+((AT1259+AT1260)/2)*AF1260)</f>
        <v>4.1045815364992673E-3</v>
      </c>
      <c r="AV1260" s="132">
        <v>100</v>
      </c>
      <c r="AW1260" s="134"/>
      <c r="AX1260" s="93"/>
      <c r="AY1260" s="93"/>
      <c r="AZ1260" s="93"/>
      <c r="BA1260" s="93"/>
      <c r="BB1260" s="234">
        <f>IFERROR(INDEX('Total Customers'!$E$7:$AA$91,MATCH($C1260,'Total Customers'!$C$7:$C$91,0),MATCH($G1260,'Total Customers'!$E$5:$AA$5,0)),"NA")</f>
        <v>1004553</v>
      </c>
      <c r="BC1260" s="269">
        <f t="shared" si="2209"/>
        <v>2.3860051494644294E-2</v>
      </c>
      <c r="BD1260" s="92"/>
      <c r="BE1260" s="299" t="str">
        <f t="shared" si="2205"/>
        <v>WASHINGTON GAS LIGHT COMPANY</v>
      </c>
      <c r="BF1260" s="300">
        <f t="shared" si="2206"/>
        <v>4058284</v>
      </c>
      <c r="BG1260" s="231" t="str">
        <f t="shared" si="2207"/>
        <v>DC</v>
      </c>
      <c r="BH1260" s="231"/>
      <c r="BI1260" s="231" t="str">
        <f t="shared" si="2208"/>
        <v>2005 Y</v>
      </c>
      <c r="BJ1260" s="129"/>
      <c r="BK1260" s="129"/>
      <c r="BL1260" s="129">
        <f>INDEX('Dist. Plant Gas Additions'!$E$7:$AD$91,MATCH($C1260,'Dist. Plant Gas Additions'!$C$7:$C$91,0),MATCH(Calculation!$G1260,'Dist. Plant Gas Additions'!$E$5:$AD$5,0))</f>
        <v>70998</v>
      </c>
      <c r="BM1260" s="129">
        <f>INDEX('Gen. Plant Additions'!$E$7:$AD$91,MATCH($C1260,'Gen. Plant Additions'!$C$7:$C$91,0),MATCH(Calculation!$G1260,'Gen. Plant Additions'!$E$5:$AD$5,0))</f>
        <v>17310</v>
      </c>
      <c r="BN1260" s="301">
        <f t="shared" si="2257"/>
        <v>0.91767702872646173</v>
      </c>
      <c r="BO1260" s="231">
        <f t="shared" si="2250"/>
        <v>15884.989367255053</v>
      </c>
      <c r="BP1260" s="231">
        <f t="shared" si="2251"/>
        <v>-1425.0106327449466</v>
      </c>
      <c r="BQ1260" s="129">
        <f>INDEX('Dist Plant Depreciation'!$D$7:$AC$94,MATCH($C1260,'Dist Plant Depreciation'!$C$7:$C$94,0),MATCH(Calculation!$G1260,'Dist Plant Depreciation'!$D$5:$AC$5,0))</f>
        <v>907746</v>
      </c>
      <c r="BR1260" s="129">
        <f>INDEX('Gen. Plant Depreciation'!$D$7:$AC$94,MATCH($C1260,'Gen. Plant Depreciation'!$C$7:$C$94,0),MATCH(Calculation!$G1260,'Gen. Plant Depreciation'!$D$5:$AC$5,0))</f>
        <v>24842</v>
      </c>
      <c r="BS1260" s="129"/>
      <c r="BT1260" s="129"/>
      <c r="BU1260" s="129"/>
      <c r="BV1260" s="129"/>
      <c r="BW1260" s="129"/>
      <c r="BX1260" s="137"/>
      <c r="BY1260" s="129">
        <f>INDEX('Gross Dx Plant'!$D$7:$AC$91,MATCH($C1260,'Gross Dx Plant'!$C$7:$C$91,0),MATCH(Calculation!$G1260,'Gross Dx Plant'!$D$5:$AC$5,0))</f>
        <v>2160688</v>
      </c>
      <c r="BZ1260" s="129">
        <f>INDEX('Gross Gen Plant'!$D$7:$AC$91,MATCH($C1260,'Gross Gen Plant'!$C$7:$C$91,0),MATCH(Calculation!$G1260,'Gross Gen Plant'!$D$5:$AC$5,0))</f>
        <v>193831</v>
      </c>
      <c r="CA1260" s="129">
        <f t="shared" si="2162"/>
        <v>1421931</v>
      </c>
      <c r="CB1260" s="129"/>
      <c r="CC1260" s="133">
        <v>2005</v>
      </c>
      <c r="CD1260" s="129"/>
      <c r="CE1260" s="129"/>
      <c r="CF1260" s="129"/>
      <c r="CG1260" s="137"/>
      <c r="CH1260" s="129">
        <f t="shared" si="2258"/>
        <v>88308</v>
      </c>
      <c r="CI1260" s="46">
        <f t="shared" si="2266"/>
        <v>86882.989367255053</v>
      </c>
      <c r="CJ1260" s="231">
        <f t="shared" si="2267"/>
        <v>185.17058296199266</v>
      </c>
      <c r="CK1260" s="443">
        <v>0.9263157894736842</v>
      </c>
      <c r="CL1260" s="231">
        <f>+CL1253*CK1260+CJ1254*CK1259+CJ1255*CK1258+CJ1256*CK1257+CJ1257*CK1256+CJ1258*CK1255+CJ1259*CK1254+CJ1260</f>
        <v>6687.3889666854102</v>
      </c>
      <c r="CM1260" s="134">
        <f t="shared" si="2259"/>
        <v>1.6378219561147541E-2</v>
      </c>
      <c r="CN1260" s="135">
        <f t="shared" si="2260"/>
        <v>1.1633680207734228E-2</v>
      </c>
      <c r="CO1260" s="135">
        <f t="shared" si="2270"/>
        <v>1.1327983398312555E-2</v>
      </c>
      <c r="CP1260" s="134">
        <f>VLOOKUP($H1260,RoR!$E:$F,2,FALSE)</f>
        <v>5.2350000000000001E-2</v>
      </c>
      <c r="CQ1260" s="135">
        <v>3.1010403642454332E-2</v>
      </c>
      <c r="CR1260" s="135">
        <f t="shared" si="2268"/>
        <v>2.1339596357545669E-2</v>
      </c>
      <c r="CS1260" s="135">
        <f t="shared" si="2271"/>
        <v>1.9573958210221072E-2</v>
      </c>
      <c r="CT1260" s="135">
        <v>9.2129610649277341E-2</v>
      </c>
      <c r="CU1260" s="139">
        <f t="shared" si="2261"/>
        <v>0.84089999999999998</v>
      </c>
      <c r="CV1260" s="335">
        <f t="shared" si="2262"/>
        <v>0.97959983346802826</v>
      </c>
      <c r="CW1260" s="335">
        <f t="shared" si="2263"/>
        <v>0.49744508118433622</v>
      </c>
      <c r="CX1260" s="335">
        <f t="shared" si="2264"/>
        <v>0.87010519444335932</v>
      </c>
      <c r="CY1260" s="335">
        <f t="shared" si="2265"/>
        <v>0.42399975420741998</v>
      </c>
      <c r="CZ1260" s="336">
        <f>INDEX('State Tax Lookup'!$D$7:$Z$91,MATCH(Calculation!$C1260,'State Tax Lookup'!$B$7:$B$91,0),MATCH($H1260,'State Tax Lookup'!$D$6:$Z$6,0))</f>
        <v>0.43</v>
      </c>
      <c r="DA1260" s="302">
        <v>0.37</v>
      </c>
      <c r="DB1260" s="57">
        <f t="shared" si="2269"/>
        <v>13.413199143469408</v>
      </c>
      <c r="DC1260" s="56">
        <f t="shared" si="2272"/>
        <v>0.11399718929967365</v>
      </c>
      <c r="DD1260" s="303">
        <f>VLOOKUP($H1260,RoR!$E:$F,2,FALSE)</f>
        <v>5.2350000000000001E-2</v>
      </c>
      <c r="DE1260" s="304">
        <f>HLOOKUP($H1260,'GDP-PI'!$D$8:$CQ$11,3,FALSE)</f>
        <v>3.1010403642454332E-2</v>
      </c>
      <c r="DF1260" s="303">
        <f>VLOOKUP(H1260,'HW Dx Data'!$E:$F,2,FALSE)</f>
        <v>469.20514034936258</v>
      </c>
      <c r="DG1260" s="364">
        <f ca="1">VLOOKUP(CC1260,'ECI - Input Price'!M$13:N$33,2,FALSE)</f>
        <v>99.224999999999994</v>
      </c>
      <c r="DH1260" s="364"/>
      <c r="DI1260" s="364"/>
      <c r="DJ1260" s="56">
        <f t="shared" ca="1" si="2280"/>
        <v>5.0378726854569796E-2</v>
      </c>
      <c r="DK1260" s="53">
        <f>HLOOKUP(H1260,'GDP-PI'!$8:$9,2,FALSE)</f>
        <v>87.406999999999996</v>
      </c>
      <c r="DL1260" s="355">
        <f t="shared" si="2273"/>
        <v>3.0539295810733648E-2</v>
      </c>
    </row>
    <row r="1261" spans="1:116" s="126" customFormat="1" ht="21" customHeight="1" x14ac:dyDescent="0.4">
      <c r="A1261" s="233" t="s">
        <v>256</v>
      </c>
      <c r="B1261" s="126" t="s">
        <v>256</v>
      </c>
      <c r="C1261" s="126">
        <v>4058284</v>
      </c>
      <c r="D1261" s="127" t="s">
        <v>257</v>
      </c>
      <c r="E1261" s="127"/>
      <c r="F1261" s="144"/>
      <c r="G1261" s="126" t="s">
        <v>162</v>
      </c>
      <c r="H1261" s="128">
        <v>2006</v>
      </c>
      <c r="I1261" s="129"/>
      <c r="J1261" s="125">
        <f>IFERROR(INDEX('Labor Expenditures'!$E$7:$W$91,MATCH($C1261,'Labor Expenditures'!$C$7:$C$91,0),MATCH($G1261,'Labor Expenditures'!$E$5:$W$5,0)),"NA")</f>
        <v>78034.766388958175</v>
      </c>
      <c r="K1261" s="125">
        <f t="shared" ca="1" si="2274"/>
        <v>713.29768180034887</v>
      </c>
      <c r="L1261" s="47"/>
      <c r="M1261" s="131">
        <f t="shared" ca="1" si="2281"/>
        <v>-9.3660734717517957E-2</v>
      </c>
      <c r="N1261" s="131"/>
      <c r="O1261" s="131"/>
      <c r="P1261" s="59">
        <f t="shared" ref="P1261:P1277" ca="1" si="2283">+M1261*$AX1261</f>
        <v>-3.5589053512874768E-3</v>
      </c>
      <c r="Q1261" s="61"/>
      <c r="R1261" s="387"/>
      <c r="S1261" s="49">
        <f ca="1">+S1260*EXP(T1261)</f>
        <v>115.60049427875452</v>
      </c>
      <c r="T1261" s="61">
        <f ca="1">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</f>
        <v>0.14497004600881738</v>
      </c>
      <c r="U1261" s="61"/>
      <c r="V1261" s="125">
        <f>IFERROR(INDEX('Non-Labor Expenditures'!$E$7:$AA$91,MATCH($C1261,'Non-Labor Expenditures'!$C$7:$C$91,0),MATCH($G1261,'Non-Labor Expenditures'!$E$5:$AA$5,0)),"NA")</f>
        <v>113008.91661512075</v>
      </c>
      <c r="W1261" s="125">
        <f t="shared" si="2275"/>
        <v>1254.6230501045891</v>
      </c>
      <c r="X1261" s="131">
        <f t="shared" ref="X1261:X1276" si="2284">LN(W1261/W1260)</f>
        <v>-2.609602712422043E-2</v>
      </c>
      <c r="Y1261" s="131">
        <f t="shared" ref="Y1261:Y1277" si="2285">+X1261*AX1261</f>
        <v>-9.9159259063937868E-4</v>
      </c>
      <c r="Z1261" s="131"/>
      <c r="AA1261" s="131"/>
      <c r="AB1261" s="131"/>
      <c r="AC1261" s="125">
        <f t="shared" si="2256"/>
        <v>86847.573955256885</v>
      </c>
      <c r="AD1261" s="129"/>
      <c r="AE1261" s="133">
        <v>7422.4656969592106</v>
      </c>
      <c r="AF1261" s="134">
        <v>3.2844558902902853E-2</v>
      </c>
      <c r="AG1261" s="59">
        <f t="shared" si="2276"/>
        <v>1.2480222026098936E-3</v>
      </c>
      <c r="AH1261" s="134"/>
      <c r="AI1261" s="134"/>
      <c r="AJ1261" s="129">
        <f t="shared" si="2252"/>
        <v>277891.25695933582</v>
      </c>
      <c r="AK1261" s="134">
        <f t="shared" ref="AK1261:AK1277" si="2286">LN(AJ1261/AJ1260)</f>
        <v>-2.2985801541714392E-3</v>
      </c>
      <c r="AL1261" s="129"/>
      <c r="AM1261" s="129"/>
      <c r="AN1261" s="129"/>
      <c r="AO1261" s="129"/>
      <c r="AP1261" s="133">
        <f t="shared" ref="AP1261:AP1277" si="2287">+(AJ1261*1000)/BB1261</f>
        <v>269.52519490934958</v>
      </c>
      <c r="AQ1261" s="134">
        <f>+BB1261/Outputs!$B$14</f>
        <v>2.9728861674724143E-2</v>
      </c>
      <c r="AR1261" s="93">
        <f t="shared" si="2277"/>
        <v>0.28081044089982687</v>
      </c>
      <c r="AS1261" s="93">
        <f t="shared" si="2278"/>
        <v>0.40666596657863724</v>
      </c>
      <c r="AT1261" s="93">
        <f t="shared" si="2279"/>
        <v>0.31252359252153589</v>
      </c>
      <c r="AU1261" s="93">
        <f t="shared" ca="1" si="2282"/>
        <v>-2.646298421807769E-2</v>
      </c>
      <c r="AV1261" s="132">
        <f ca="1">+AV1260*EXP(AU1261)</f>
        <v>97.38840922495271</v>
      </c>
      <c r="AW1261" s="134">
        <f ca="1">LN(AV1261/AV1260)</f>
        <v>-2.6462984218077718E-2</v>
      </c>
      <c r="AX1261" s="135">
        <f>+AJ1261/$AL$11</f>
        <v>3.7997837215575807E-2</v>
      </c>
      <c r="AY1261" s="135">
        <f ca="1">+AX1261*AW1261</f>
        <v>-1.0055361665568688E-3</v>
      </c>
      <c r="AZ1261" s="93"/>
      <c r="BA1261" s="93"/>
      <c r="BB1261" s="234">
        <f>IFERROR(INDEX('Total Customers'!$E$7:$AA$91,MATCH($C1261,'Total Customers'!$C$7:$C$91,0),MATCH($G1261,'Total Customers'!$E$5:$AA$5,0)),"NA")</f>
        <v>1031040</v>
      </c>
      <c r="BC1261" s="269">
        <f t="shared" si="2209"/>
        <v>2.6025335117019096E-2</v>
      </c>
      <c r="BD1261" s="92"/>
      <c r="BE1261" s="299" t="str">
        <f t="shared" si="2205"/>
        <v>WASHINGTON GAS LIGHT COMPANY</v>
      </c>
      <c r="BF1261" s="300">
        <f t="shared" si="2206"/>
        <v>4058284</v>
      </c>
      <c r="BG1261" s="231" t="str">
        <f t="shared" si="2207"/>
        <v>DC</v>
      </c>
      <c r="BH1261" s="231"/>
      <c r="BI1261" s="231" t="str">
        <f t="shared" si="2208"/>
        <v>2006 Y</v>
      </c>
      <c r="BJ1261" s="129"/>
      <c r="BK1261" s="129"/>
      <c r="BL1261" s="129">
        <f>INDEX('Dist. Plant Gas Additions'!$E$7:$AD$91,MATCH($C1261,'Dist. Plant Gas Additions'!$C$7:$C$91,0),MATCH(Calculation!$G1261,'Dist. Plant Gas Additions'!$E$5:$AD$5,0))</f>
        <v>116598</v>
      </c>
      <c r="BM1261" s="129">
        <f>INDEX('Gen. Plant Additions'!$E$7:$AD$91,MATCH($C1261,'Gen. Plant Additions'!$C$7:$C$91,0),MATCH(Calculation!$G1261,'Gen. Plant Additions'!$E$5:$AD$5,0))</f>
        <v>14571</v>
      </c>
      <c r="BN1261" s="301">
        <f t="shared" si="2257"/>
        <v>0.91483227994307625</v>
      </c>
      <c r="BO1261" s="231">
        <f t="shared" ref="BO1261:BO1280" si="2288">+BN1261*BM1261</f>
        <v>13330.021151050563</v>
      </c>
      <c r="BP1261" s="231">
        <f t="shared" ref="BP1261:BP1280" si="2289">+BO1261-BM1261</f>
        <v>-1240.9788489494367</v>
      </c>
      <c r="BQ1261" s="129">
        <f>INDEX('Dist Plant Depreciation'!$D$7:$AC$94,MATCH($C1261,'Dist Plant Depreciation'!$C$7:$C$94,0),MATCH(Calculation!$G1261,'Dist Plant Depreciation'!$D$5:$AC$5,0))</f>
        <v>905173</v>
      </c>
      <c r="BR1261" s="129">
        <f>INDEX('Gen. Plant Depreciation'!$D$7:$AC$94,MATCH($C1261,'Gen. Plant Depreciation'!$C$7:$C$94,0),MATCH(Calculation!$G1261,'Gen. Plant Depreciation'!$D$5:$AC$5,0))</f>
        <v>28000</v>
      </c>
      <c r="BS1261" s="129"/>
      <c r="BT1261" s="129"/>
      <c r="BU1261" s="129"/>
      <c r="BV1261" s="129"/>
      <c r="BW1261" s="129"/>
      <c r="BX1261" s="137"/>
      <c r="BY1261" s="129">
        <f>INDEX('Gross Dx Plant'!$D$7:$AC$91,MATCH($C1261,'Gross Dx Plant'!$C$7:$C$91,0),MATCH(Calculation!$G1261,'Gross Dx Plant'!$D$5:$AC$5,0))</f>
        <v>2271180</v>
      </c>
      <c r="BZ1261" s="129">
        <f>INDEX('Gross Gen Plant'!$D$7:$AC$91,MATCH($C1261,'Gross Gen Plant'!$C$7:$C$91,0),MATCH(Calculation!$G1261,'Gross Gen Plant'!$D$5:$AC$5,0))</f>
        <v>211439</v>
      </c>
      <c r="CA1261" s="129">
        <f t="shared" si="2162"/>
        <v>1549446</v>
      </c>
      <c r="CB1261" s="134"/>
      <c r="CC1261" s="133">
        <v>2006</v>
      </c>
      <c r="CD1261" s="129"/>
      <c r="CE1261" s="129"/>
      <c r="CF1261" s="129"/>
      <c r="CG1261" s="137"/>
      <c r="CH1261" s="129">
        <f t="shared" si="2258"/>
        <v>131169</v>
      </c>
      <c r="CI1261" s="46">
        <f t="shared" si="2266"/>
        <v>129928.02115105056</v>
      </c>
      <c r="CJ1261" s="231">
        <f t="shared" si="2267"/>
        <v>281.78715764870987</v>
      </c>
      <c r="CK1261" s="443">
        <v>0.91489361702127658</v>
      </c>
      <c r="CL1261" s="231">
        <f>+CL1253*CK1261+CJ1254*CK1260+CJ1255*CK1259+CJ1256*CK1258+CJ1257*CK1257+CJ1258*CK1256+CJ1259*CK1255+CJ1260*CK1254+CJ1261</f>
        <v>6889.1917410779715</v>
      </c>
      <c r="CM1261" s="134">
        <f t="shared" si="2259"/>
        <v>2.9730260185268021E-2</v>
      </c>
      <c r="CN1261" s="135">
        <f t="shared" si="2260"/>
        <v>1.196048018959373E-2</v>
      </c>
      <c r="CO1261" s="135">
        <f t="shared" si="2270"/>
        <v>1.1638479832966698E-2</v>
      </c>
      <c r="CP1261" s="134">
        <f>VLOOKUP($H1261,RoR!$E:$F,2,FALSE)</f>
        <v>5.5874999999999994E-2</v>
      </c>
      <c r="CQ1261" s="135">
        <v>3.0512430354548314E-2</v>
      </c>
      <c r="CR1261" s="135">
        <f t="shared" si="2268"/>
        <v>2.536256964545168E-2</v>
      </c>
      <c r="CS1261" s="135">
        <f t="shared" si="2271"/>
        <v>1.9263461775566926E-2</v>
      </c>
      <c r="CT1261" s="135">
        <v>7.9087823893859641E-2</v>
      </c>
      <c r="CU1261" s="139">
        <f t="shared" si="2261"/>
        <v>0.84089999999999998</v>
      </c>
      <c r="CV1261" s="335">
        <f t="shared" si="2262"/>
        <v>0.91779957551769631</v>
      </c>
      <c r="CW1261" s="335">
        <f t="shared" si="2263"/>
        <v>0.52757270693512304</v>
      </c>
      <c r="CX1261" s="335">
        <f t="shared" si="2264"/>
        <v>0.88636824549024895</v>
      </c>
      <c r="CY1261" s="335">
        <f t="shared" si="2265"/>
        <v>0.42918482841932087</v>
      </c>
      <c r="CZ1261" s="336">
        <f>INDEX('State Tax Lookup'!$D$7:$Z$91,MATCH(Calculation!$C1261,'State Tax Lookup'!$B$7:$B$91,0),MATCH($H1261,'State Tax Lookup'!$D$6:$Z$6,0))</f>
        <v>0.43</v>
      </c>
      <c r="DA1261" s="302">
        <v>0.37</v>
      </c>
      <c r="DB1261" s="57">
        <f t="shared" si="2269"/>
        <v>12.986768735586603</v>
      </c>
      <c r="DC1261" s="56">
        <f t="shared" si="2272"/>
        <v>-3.2308183267063188E-2</v>
      </c>
      <c r="DD1261" s="303">
        <f>VLOOKUP($H1261,RoR!$E:$F,2,FALSE)</f>
        <v>5.5874999999999994E-2</v>
      </c>
      <c r="DE1261" s="304">
        <f>HLOOKUP($H1261,'GDP-PI'!$D$8:$CQ$11,3,FALSE)</f>
        <v>3.0512430354548314E-2</v>
      </c>
      <c r="DF1261" s="303">
        <f>VLOOKUP(H1261,'HW Dx Data'!$E:$F,2,FALSE)</f>
        <v>461.08567272971823</v>
      </c>
      <c r="DG1261" s="364">
        <f ca="1">VLOOKUP(CC1261,'ECI - Input Price'!M$13:N$33,2,FALSE)</f>
        <v>109.4</v>
      </c>
      <c r="DH1261" s="364"/>
      <c r="DI1261" s="364"/>
      <c r="DJ1261" s="56">
        <f t="shared" ca="1" si="2280"/>
        <v>9.7620891318751846E-2</v>
      </c>
      <c r="DK1261" s="53">
        <f>HLOOKUP(H1261,'GDP-PI'!$8:$9,2,FALSE)</f>
        <v>90.073999999999998</v>
      </c>
      <c r="DL1261" s="355">
        <f t="shared" si="2273"/>
        <v>3.005618372545445E-2</v>
      </c>
    </row>
    <row r="1262" spans="1:116" s="126" customFormat="1" ht="21" customHeight="1" x14ac:dyDescent="0.4">
      <c r="A1262" s="233" t="s">
        <v>256</v>
      </c>
      <c r="B1262" s="126" t="s">
        <v>256</v>
      </c>
      <c r="C1262" s="126">
        <v>4058284</v>
      </c>
      <c r="D1262" s="127" t="s">
        <v>257</v>
      </c>
      <c r="E1262" s="127"/>
      <c r="F1262" s="144"/>
      <c r="G1262" s="126" t="s">
        <v>163</v>
      </c>
      <c r="H1262" s="128">
        <v>2007</v>
      </c>
      <c r="I1262" s="129"/>
      <c r="J1262" s="125">
        <f>IFERROR(INDEX('Labor Expenditures'!$E$7:$W$91,MATCH($C1262,'Labor Expenditures'!$C$7:$C$91,0),MATCH($G1262,'Labor Expenditures'!$E$5:$W$5,0)),"NA")</f>
        <v>81767.656372917074</v>
      </c>
      <c r="K1262" s="125">
        <f t="shared" ca="1" si="2274"/>
        <v>782.27846326636768</v>
      </c>
      <c r="L1262" s="47"/>
      <c r="M1262" s="131">
        <f t="shared" ca="1" si="2281"/>
        <v>9.2311928979123992E-2</v>
      </c>
      <c r="N1262" s="131"/>
      <c r="O1262" s="131"/>
      <c r="P1262" s="59">
        <f t="shared" ca="1" si="2283"/>
        <v>3.5579264153939088E-3</v>
      </c>
      <c r="Q1262" s="61"/>
      <c r="R1262" s="387"/>
      <c r="S1262" s="49">
        <f t="shared" ref="S1262:S1275" ca="1" si="2290">+S1261*EXP(T1262)</f>
        <v>119.92309452779934</v>
      </c>
      <c r="T1262" s="61">
        <f ca="1">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</f>
        <v>3.6710426399443066E-2</v>
      </c>
      <c r="U1262" s="61"/>
      <c r="V1262" s="125">
        <f>IFERROR(INDEX('Non-Labor Expenditures'!$E$7:$AA$91,MATCH($C1262,'Non-Labor Expenditures'!$C$7:$C$91,0),MATCH($G1262,'Non-Labor Expenditures'!$E$5:$AA$5,0)),"NA")</f>
        <v>118414.83851956976</v>
      </c>
      <c r="W1262" s="125">
        <f t="shared" si="2275"/>
        <v>1280.188096170401</v>
      </c>
      <c r="X1262" s="131">
        <f t="shared" si="2284"/>
        <v>2.0171848283833688E-2</v>
      </c>
      <c r="Y1262" s="131">
        <f t="shared" si="2285"/>
        <v>7.7747212792618253E-4</v>
      </c>
      <c r="Z1262" s="131"/>
      <c r="AA1262" s="131"/>
      <c r="AB1262" s="131"/>
      <c r="AC1262" s="125">
        <f t="shared" si="2256"/>
        <v>95259.347520430863</v>
      </c>
      <c r="AD1262" s="129"/>
      <c r="AE1262" s="133">
        <v>7793.8275072053611</v>
      </c>
      <c r="AF1262" s="134">
        <v>4.882076903565561E-2</v>
      </c>
      <c r="AG1262" s="59">
        <f t="shared" si="2276"/>
        <v>1.8816712606134131E-3</v>
      </c>
      <c r="AH1262" s="134"/>
      <c r="AI1262" s="134"/>
      <c r="AJ1262" s="129">
        <f t="shared" si="2252"/>
        <v>295441.8424129177</v>
      </c>
      <c r="AK1262" s="134">
        <f t="shared" si="2286"/>
        <v>6.1242131540938563E-2</v>
      </c>
      <c r="AL1262" s="129"/>
      <c r="AM1262" s="129"/>
      <c r="AN1262" s="129"/>
      <c r="AO1262" s="129"/>
      <c r="AP1262" s="133">
        <f t="shared" si="2287"/>
        <v>281.92710288206035</v>
      </c>
      <c r="AQ1262" s="134">
        <f>+BB1262/Outputs!$B$15</f>
        <v>2.9988568460276879E-2</v>
      </c>
      <c r="AR1262" s="93">
        <f t="shared" si="2277"/>
        <v>0.27676396716561336</v>
      </c>
      <c r="AS1262" s="93">
        <f t="shared" si="2278"/>
        <v>0.40080591683445405</v>
      </c>
      <c r="AT1262" s="93">
        <f t="shared" si="2279"/>
        <v>0.3224301159999326</v>
      </c>
      <c r="AU1262" s="93">
        <f t="shared" ca="1" si="2282"/>
        <v>4.9378948917821977E-2</v>
      </c>
      <c r="AV1262" s="132">
        <f ca="1">+AV1261*EXP(AU1262)</f>
        <v>102.3180552649343</v>
      </c>
      <c r="AW1262" s="134">
        <f ca="1">LN(AV1262/AV1261)</f>
        <v>4.9378948917822026E-2</v>
      </c>
      <c r="AX1262" s="135">
        <f>+AJ1262/$AL$12</f>
        <v>3.8542433840793436E-2</v>
      </c>
      <c r="AY1262" s="135">
        <f t="shared" ref="AY1262:AY1276" ca="1" si="2291">+AX1262*AW1262</f>
        <v>1.903184871793074E-3</v>
      </c>
      <c r="AZ1262" s="93"/>
      <c r="BA1262" s="93"/>
      <c r="BB1262" s="234">
        <f>IFERROR(INDEX('Total Customers'!$E$7:$AA$91,MATCH($C1262,'Total Customers'!$C$7:$C$91,0),MATCH($G1262,'Total Customers'!$E$5:$AA$5,0)),"NA")</f>
        <v>1047937</v>
      </c>
      <c r="BC1262" s="269">
        <f t="shared" si="2209"/>
        <v>1.6255468021666514E-2</v>
      </c>
      <c r="BD1262" s="92"/>
      <c r="BE1262" s="299" t="str">
        <f t="shared" si="2205"/>
        <v>WASHINGTON GAS LIGHT COMPANY</v>
      </c>
      <c r="BF1262" s="300">
        <f t="shared" si="2206"/>
        <v>4058284</v>
      </c>
      <c r="BG1262" s="231" t="str">
        <f t="shared" si="2207"/>
        <v>DC</v>
      </c>
      <c r="BH1262" s="231"/>
      <c r="BI1262" s="231" t="str">
        <f t="shared" si="2208"/>
        <v>2007 Y</v>
      </c>
      <c r="BJ1262" s="129"/>
      <c r="BK1262" s="129"/>
      <c r="BL1262" s="129">
        <f>INDEX('Dist. Plant Gas Additions'!$E$7:$AD$91,MATCH($C1262,'Dist. Plant Gas Additions'!$C$7:$C$91,0),MATCH(Calculation!$G1262,'Dist. Plant Gas Additions'!$E$5:$AD$5,0))</f>
        <v>87593</v>
      </c>
      <c r="BM1262" s="129">
        <f>INDEX('Gen. Plant Additions'!$E$7:$AD$91,MATCH($C1262,'Gen. Plant Additions'!$C$7:$C$91,0),MATCH(Calculation!$G1262,'Gen. Plant Additions'!$E$5:$AD$5,0))</f>
        <v>121039</v>
      </c>
      <c r="BN1262" s="301">
        <f t="shared" si="2257"/>
        <v>0.92082409341154936</v>
      </c>
      <c r="BO1262" s="231">
        <f t="shared" si="2288"/>
        <v>111455.62744244053</v>
      </c>
      <c r="BP1262" s="231">
        <f t="shared" si="2289"/>
        <v>-9583.3725575594726</v>
      </c>
      <c r="BQ1262" s="129">
        <f>INDEX('Dist Plant Depreciation'!$D$7:$AC$94,MATCH($C1262,'Dist Plant Depreciation'!$C$7:$C$94,0),MATCH(Calculation!$G1262,'Dist Plant Depreciation'!$D$5:$AC$5,0))</f>
        <v>972645</v>
      </c>
      <c r="BR1262" s="129">
        <f>INDEX('Gen. Plant Depreciation'!$D$7:$AC$94,MATCH($C1262,'Gen. Plant Depreciation'!$C$7:$C$94,0),MATCH(Calculation!$G1262,'Gen. Plant Depreciation'!$D$5:$AC$5,0))</f>
        <v>11132</v>
      </c>
      <c r="BS1262" s="129"/>
      <c r="BT1262" s="129"/>
      <c r="BU1262" s="129"/>
      <c r="BV1262" s="129"/>
      <c r="BW1262" s="129"/>
      <c r="BX1262" s="137"/>
      <c r="BY1262" s="129">
        <f>INDEX('Gross Dx Plant'!$D$7:$AC$91,MATCH($C1262,'Gross Dx Plant'!$C$7:$C$91,0),MATCH(Calculation!$G1262,'Gross Dx Plant'!$D$5:$AC$5,0))</f>
        <v>2353154</v>
      </c>
      <c r="BZ1262" s="129">
        <f>INDEX('Gross Gen Plant'!$D$7:$AC$91,MATCH($C1262,'Gross Gen Plant'!$C$7:$C$91,0),MATCH(Calculation!$G1262,'Gross Gen Plant'!$D$5:$AC$5,0))</f>
        <v>202333</v>
      </c>
      <c r="CA1262" s="129">
        <f t="shared" si="2162"/>
        <v>1571710</v>
      </c>
      <c r="CB1262" s="129"/>
      <c r="CC1262" s="133">
        <v>2007</v>
      </c>
      <c r="CD1262" s="129"/>
      <c r="CE1262" s="129"/>
      <c r="CF1262" s="129"/>
      <c r="CG1262" s="137"/>
      <c r="CH1262" s="129">
        <f t="shared" si="2258"/>
        <v>208632</v>
      </c>
      <c r="CI1262" s="46">
        <f t="shared" si="2266"/>
        <v>199048.62744244054</v>
      </c>
      <c r="CJ1262" s="231">
        <f t="shared" si="2267"/>
        <v>399.6781293860069</v>
      </c>
      <c r="CK1262" s="443">
        <v>0.90322580645161288</v>
      </c>
      <c r="CL1262" s="231">
        <f>+CL1253*CK1262+CJ1254*CK1261+CJ1255*CK1260+CJ1256*CK1259+CJ1257*CK1258+CJ1258*CK1257+CJ1259*CK1256+CJ1260*CK1255+CJ1261*CK1254+CJ1262</f>
        <v>7204.3912156958886</v>
      </c>
      <c r="CM1262" s="134">
        <f t="shared" si="2259"/>
        <v>4.4736962025812455E-2</v>
      </c>
      <c r="CN1262" s="135">
        <f t="shared" si="2260"/>
        <v>1.2262491442119624E-2</v>
      </c>
      <c r="CO1262" s="135">
        <f t="shared" si="2270"/>
        <v>1.1952217279815861E-2</v>
      </c>
      <c r="CP1262" s="134">
        <f>VLOOKUP($H1262,RoR!$E:$F,2,FALSE)</f>
        <v>5.5558333333333321E-2</v>
      </c>
      <c r="CQ1262" s="135">
        <v>2.691120634145272E-2</v>
      </c>
      <c r="CR1262" s="135">
        <f t="shared" si="2268"/>
        <v>2.86471269918806E-2</v>
      </c>
      <c r="CS1262" s="135">
        <f t="shared" si="2271"/>
        <v>1.8949724328717762E-2</v>
      </c>
      <c r="CT1262" s="135">
        <v>6.4575155250632399E-2</v>
      </c>
      <c r="CU1262" s="139">
        <f t="shared" si="2261"/>
        <v>0.84089999999999998</v>
      </c>
      <c r="CV1262" s="335">
        <f t="shared" si="2262"/>
        <v>0.92303077153834634</v>
      </c>
      <c r="CW1262" s="335">
        <f t="shared" si="2263"/>
        <v>0.52502249887505614</v>
      </c>
      <c r="CX1262" s="335">
        <f t="shared" si="2264"/>
        <v>0.88499666072084604</v>
      </c>
      <c r="CY1262" s="335">
        <f t="shared" si="2265"/>
        <v>0.42887993290280618</v>
      </c>
      <c r="CZ1262" s="336">
        <f>INDEX('State Tax Lookup'!$D$7:$Z$91,MATCH(Calculation!$C1262,'State Tax Lookup'!$B$7:$B$91,0),MATCH($H1262,'State Tax Lookup'!$D$6:$Z$6,0))</f>
        <v>0.43</v>
      </c>
      <c r="DA1262" s="302">
        <v>0.37</v>
      </c>
      <c r="DB1262" s="57">
        <f t="shared" si="2269"/>
        <v>13.827361917136212</v>
      </c>
      <c r="DC1262" s="56">
        <f t="shared" si="2272"/>
        <v>6.2718327140297625E-2</v>
      </c>
      <c r="DD1262" s="303">
        <f>VLOOKUP($H1262,RoR!$E:$F,2,FALSE)</f>
        <v>5.5558333333333321E-2</v>
      </c>
      <c r="DE1262" s="304">
        <f>HLOOKUP($H1262,'GDP-PI'!$D$8:$CQ$11,3,FALSE)</f>
        <v>2.691120634145272E-2</v>
      </c>
      <c r="DF1262" s="303">
        <f>VLOOKUP(H1262,'HW Dx Data'!$E:$F,2,FALSE)</f>
        <v>498.0223154772637</v>
      </c>
      <c r="DG1262" s="364">
        <f ca="1">VLOOKUP(CC1262,'ECI - Input Price'!M$13:N$33,2,FALSE)</f>
        <v>104.52499999999999</v>
      </c>
      <c r="DH1262" s="364"/>
      <c r="DI1262" s="364"/>
      <c r="DJ1262" s="56">
        <f t="shared" ca="1" si="2280"/>
        <v>-4.5584612745252218E-2</v>
      </c>
      <c r="DK1262" s="53">
        <f>HLOOKUP(H1262,'GDP-PI'!$8:$9,2,FALSE)</f>
        <v>92.498000000000005</v>
      </c>
      <c r="DL1262" s="355">
        <f t="shared" si="2273"/>
        <v>2.6555467950038037E-2</v>
      </c>
    </row>
    <row r="1263" spans="1:116" s="126" customFormat="1" ht="21" customHeight="1" x14ac:dyDescent="0.4">
      <c r="A1263" s="233" t="s">
        <v>256</v>
      </c>
      <c r="B1263" s="126" t="s">
        <v>256</v>
      </c>
      <c r="C1263" s="126">
        <v>4058284</v>
      </c>
      <c r="D1263" s="127" t="s">
        <v>257</v>
      </c>
      <c r="E1263" s="127"/>
      <c r="F1263" s="144"/>
      <c r="G1263" s="126" t="s">
        <v>164</v>
      </c>
      <c r="H1263" s="128">
        <v>2008</v>
      </c>
      <c r="I1263" s="129"/>
      <c r="J1263" s="125">
        <f>IFERROR(INDEX('Labor Expenditures'!$E$7:$W$91,MATCH($C1263,'Labor Expenditures'!$C$7:$C$91,0),MATCH($G1263,'Labor Expenditures'!$E$5:$W$5,0)),"NA")</f>
        <v>80446.400946603288</v>
      </c>
      <c r="K1263" s="125">
        <f t="shared" ca="1" si="2274"/>
        <v>745.56442026509069</v>
      </c>
      <c r="L1263" s="47"/>
      <c r="M1263" s="131">
        <f t="shared" ca="1" si="2281"/>
        <v>-4.806922566214919E-2</v>
      </c>
      <c r="N1263" s="131"/>
      <c r="O1263" s="131"/>
      <c r="P1263" s="59">
        <f t="shared" ca="1" si="2283"/>
        <v>-1.8371981504834837E-3</v>
      </c>
      <c r="Q1263" s="61"/>
      <c r="R1263" s="387"/>
      <c r="S1263" s="49">
        <f t="shared" ca="1" si="2290"/>
        <v>113.75012261941399</v>
      </c>
      <c r="T1263" s="61">
        <f ca="1">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</f>
        <v>-5.284652259300273E-2</v>
      </c>
      <c r="U1263" s="61"/>
      <c r="V1263" s="125">
        <f>IFERROR(INDEX('Non-Labor Expenditures'!$E$7:$AA$91,MATCH($C1263,'Non-Labor Expenditures'!$C$7:$C$91,0),MATCH($G1263,'Non-Labor Expenditures'!$E$5:$AA$5,0)),"NA")</f>
        <v>116501.41388579398</v>
      </c>
      <c r="W1263" s="125">
        <f t="shared" si="2275"/>
        <v>1235.9056891898708</v>
      </c>
      <c r="X1263" s="131">
        <f t="shared" si="2284"/>
        <v>-3.5202964388721142E-2</v>
      </c>
      <c r="Y1263" s="131">
        <f t="shared" si="2285"/>
        <v>-1.3454516933777208E-3</v>
      </c>
      <c r="Z1263" s="131"/>
      <c r="AA1263" s="131"/>
      <c r="AB1263" s="131"/>
      <c r="AC1263" s="125">
        <f t="shared" si="2256"/>
        <v>112239.04751529788</v>
      </c>
      <c r="AD1263" s="129"/>
      <c r="AE1263" s="133">
        <v>7948.7643428975762</v>
      </c>
      <c r="AF1263" s="134">
        <v>1.9684412833084343E-2</v>
      </c>
      <c r="AG1263" s="59">
        <f t="shared" si="2276"/>
        <v>7.5233512402452538E-4</v>
      </c>
      <c r="AH1263" s="134"/>
      <c r="AI1263" s="134"/>
      <c r="AJ1263" s="129">
        <f t="shared" si="2252"/>
        <v>309186.86234769516</v>
      </c>
      <c r="AK1263" s="134">
        <f t="shared" si="2286"/>
        <v>4.5473819946553397E-2</v>
      </c>
      <c r="AL1263" s="129"/>
      <c r="AM1263" s="129"/>
      <c r="AN1263" s="129"/>
      <c r="AO1263" s="129"/>
      <c r="AP1263" s="133">
        <f t="shared" si="2287"/>
        <v>292.89321291332681</v>
      </c>
      <c r="AQ1263" s="134">
        <f>+BB1263/Outputs!$B$16</f>
        <v>3.0047204022886347E-2</v>
      </c>
      <c r="AR1263" s="93">
        <f t="shared" si="2277"/>
        <v>0.26018699609602924</v>
      </c>
      <c r="AS1263" s="93">
        <f t="shared" si="2278"/>
        <v>0.37679936657458191</v>
      </c>
      <c r="AT1263" s="93">
        <f t="shared" si="2279"/>
        <v>0.36301363732938885</v>
      </c>
      <c r="AU1263" s="93">
        <f t="shared" ca="1" si="2282"/>
        <v>-1.9846135154234393E-2</v>
      </c>
      <c r="AV1263" s="132">
        <f t="shared" ref="AV1263:AV1276" ca="1" si="2292">+AV1262*EXP(AU1263)</f>
        <v>100.30745462975358</v>
      </c>
      <c r="AW1263" s="134">
        <f t="shared" ref="AW1263:AW1276" ca="1" si="2293">LN(AV1263/AV1262)</f>
        <v>-1.9846135154234383E-2</v>
      </c>
      <c r="AX1263" s="135">
        <f>+AJ1263/$AL$13</f>
        <v>3.8219840764569163E-2</v>
      </c>
      <c r="AY1263" s="135">
        <f t="shared" ca="1" si="2291"/>
        <v>-7.5851612538695634E-4</v>
      </c>
      <c r="AZ1263" s="93"/>
      <c r="BA1263" s="93"/>
      <c r="BB1263" s="234">
        <f>IFERROR(INDEX('Total Customers'!$E$7:$AA$91,MATCH($C1263,'Total Customers'!$C$7:$C$91,0),MATCH($G1263,'Total Customers'!$E$5:$AA$5,0)),"NA")</f>
        <v>1055630</v>
      </c>
      <c r="BC1263" s="269">
        <f t="shared" si="2209"/>
        <v>7.3142755111171003E-3</v>
      </c>
      <c r="BD1263" s="92"/>
      <c r="BE1263" s="299" t="str">
        <f t="shared" si="2205"/>
        <v>WASHINGTON GAS LIGHT COMPANY</v>
      </c>
      <c r="BF1263" s="300">
        <f t="shared" si="2206"/>
        <v>4058284</v>
      </c>
      <c r="BG1263" s="231" t="str">
        <f t="shared" si="2207"/>
        <v>DC</v>
      </c>
      <c r="BH1263" s="231"/>
      <c r="BI1263" s="231" t="str">
        <f t="shared" si="2208"/>
        <v>2008 Y</v>
      </c>
      <c r="BJ1263" s="129"/>
      <c r="BK1263" s="129"/>
      <c r="BL1263" s="129">
        <f>INDEX('Dist. Plant Gas Additions'!$E$7:$AD$91,MATCH($C1263,'Dist. Plant Gas Additions'!$C$7:$C$91,0),MATCH(Calculation!$G1263,'Dist. Plant Gas Additions'!$E$5:$AD$5,0))</f>
        <v>103244</v>
      </c>
      <c r="BM1263" s="129">
        <f>INDEX('Gen. Plant Additions'!$E$7:$AD$91,MATCH($C1263,'Gen. Plant Additions'!$C$7:$C$91,0),MATCH(Calculation!$G1263,'Gen. Plant Additions'!$E$5:$AD$5,0))</f>
        <v>14261</v>
      </c>
      <c r="BN1263" s="301">
        <f t="shared" si="2257"/>
        <v>0.91934138176007019</v>
      </c>
      <c r="BO1263" s="231">
        <f t="shared" si="2288"/>
        <v>13110.727445280361</v>
      </c>
      <c r="BP1263" s="231">
        <f t="shared" si="2289"/>
        <v>-1150.2725547196387</v>
      </c>
      <c r="BQ1263" s="129">
        <f>INDEX('Dist Plant Depreciation'!$D$7:$AC$94,MATCH($C1263,'Dist Plant Depreciation'!$C$7:$C$94,0),MATCH(Calculation!$G1263,'Dist Plant Depreciation'!$D$5:$AC$5,0))</f>
        <v>1030643</v>
      </c>
      <c r="BR1263" s="129">
        <f>INDEX('Gen. Plant Depreciation'!$D$7:$AC$94,MATCH($C1263,'Gen. Plant Depreciation'!$C$7:$C$94,0),MATCH(Calculation!$G1263,'Gen. Plant Depreciation'!$D$5:$AC$5,0))</f>
        <v>5837</v>
      </c>
      <c r="BS1263" s="129"/>
      <c r="BT1263" s="129"/>
      <c r="BU1263" s="129"/>
      <c r="BV1263" s="129"/>
      <c r="BW1263" s="129"/>
      <c r="BX1263" s="137"/>
      <c r="BY1263" s="129">
        <f>INDEX('Gross Dx Plant'!$D$7:$AC$91,MATCH($C1263,'Gross Dx Plant'!$C$7:$C$91,0),MATCH(Calculation!$G1263,'Gross Dx Plant'!$D$5:$AC$5,0))</f>
        <v>2448401</v>
      </c>
      <c r="BZ1263" s="129">
        <f>INDEX('Gross Gen Plant'!$D$7:$AC$91,MATCH($C1263,'Gross Gen Plant'!$C$7:$C$91,0),MATCH(Calculation!$G1263,'Gross Gen Plant'!$D$5:$AC$5,0))</f>
        <v>214811</v>
      </c>
      <c r="CA1263" s="129">
        <f t="shared" si="2162"/>
        <v>1626732</v>
      </c>
      <c r="CB1263" s="129"/>
      <c r="CC1263" s="133">
        <v>2008</v>
      </c>
      <c r="CD1263" s="129"/>
      <c r="CE1263" s="129"/>
      <c r="CF1263" s="129"/>
      <c r="CG1263" s="137"/>
      <c r="CH1263" s="129">
        <f t="shared" si="2258"/>
        <v>117505</v>
      </c>
      <c r="CI1263" s="46">
        <f t="shared" si="2266"/>
        <v>116354.72744528035</v>
      </c>
      <c r="CJ1263" s="231">
        <f t="shared" si="2267"/>
        <v>204.17365367436307</v>
      </c>
      <c r="CK1263" s="443">
        <v>0.89130434782608692</v>
      </c>
      <c r="CL1263" s="231">
        <f>+CL1253*CK1263+CJ1254*CK1262+CJ1255*CK1261+CJ1256*CK1260+CJ1257*CK1259+CJ1258*CK1258+CJ1259*CK1257+CJ1260*CK1256+CJ1261*CK1255+CJ1262*CK1254+CJ1263</f>
        <v>7318.3138267895083</v>
      </c>
      <c r="CM1263" s="134">
        <f t="shared" si="2259"/>
        <v>1.5689218723832794E-2</v>
      </c>
      <c r="CN1263" s="135">
        <f t="shared" si="2260"/>
        <v>1.2527226781371534E-2</v>
      </c>
      <c r="CO1263" s="135">
        <f t="shared" si="2270"/>
        <v>1.2250066137694963E-2</v>
      </c>
      <c r="CP1263" s="134">
        <f>VLOOKUP($H1263,RoR!$E:$F,2,FALSE)</f>
        <v>5.6316666666666668E-2</v>
      </c>
      <c r="CQ1263" s="135">
        <v>1.9092304698479889E-2</v>
      </c>
      <c r="CR1263" s="135">
        <f t="shared" si="2268"/>
        <v>3.7224361968186778E-2</v>
      </c>
      <c r="CS1263" s="135">
        <f t="shared" si="2271"/>
        <v>1.8651875470838662E-2</v>
      </c>
      <c r="CT1263" s="135">
        <v>6.9030581091053131E-2</v>
      </c>
      <c r="CU1263" s="139">
        <f t="shared" si="2261"/>
        <v>0.84089999999999998</v>
      </c>
      <c r="CV1263" s="335">
        <f t="shared" si="2262"/>
        <v>0.91060168006009956</v>
      </c>
      <c r="CW1263" s="335">
        <f t="shared" si="2263"/>
        <v>0.53108168097070152</v>
      </c>
      <c r="CX1263" s="335">
        <f t="shared" si="2264"/>
        <v>0.88825329850328805</v>
      </c>
      <c r="CY1263" s="335">
        <f t="shared" si="2265"/>
        <v>0.4295627335323573</v>
      </c>
      <c r="CZ1263" s="336">
        <f>INDEX('State Tax Lookup'!$D$7:$Z$91,MATCH(Calculation!$C1263,'State Tax Lookup'!$B$7:$B$91,0),MATCH($H1263,'State Tax Lookup'!$D$6:$Z$6,0))</f>
        <v>0.43</v>
      </c>
      <c r="DA1263" s="302">
        <v>0.37</v>
      </c>
      <c r="DB1263" s="57">
        <f t="shared" si="2269"/>
        <v>15.579254950892675</v>
      </c>
      <c r="DC1263" s="56">
        <f t="shared" si="2272"/>
        <v>0.11929084170012376</v>
      </c>
      <c r="DD1263" s="303">
        <f>VLOOKUP($H1263,RoR!$E:$F,2,FALSE)</f>
        <v>5.6316666666666668E-2</v>
      </c>
      <c r="DE1263" s="304">
        <f>HLOOKUP($H1263,'GDP-PI'!$D$8:$CQ$11,3,FALSE)</f>
        <v>1.9092304698479889E-2</v>
      </c>
      <c r="DF1263" s="303">
        <f>VLOOKUP(H1263,'HW Dx Data'!$E:$F,2,FALSE)</f>
        <v>569.88120333515076</v>
      </c>
      <c r="DG1263" s="364">
        <f ca="1">VLOOKUP(CC1263,'ECI - Input Price'!M$13:N$33,2,FALSE)</f>
        <v>107.9</v>
      </c>
      <c r="DH1263" s="364"/>
      <c r="DI1263" s="364"/>
      <c r="DJ1263" s="56">
        <f t="shared" ca="1" si="2280"/>
        <v>3.1778595021460486E-2</v>
      </c>
      <c r="DK1263" s="53">
        <f>HLOOKUP(H1263,'GDP-PI'!$8:$9,2,FALSE)</f>
        <v>94.263999999999996</v>
      </c>
      <c r="DL1263" s="355">
        <f t="shared" si="2273"/>
        <v>1.8912333748032254E-2</v>
      </c>
    </row>
    <row r="1264" spans="1:116" s="126" customFormat="1" ht="21" customHeight="1" x14ac:dyDescent="0.4">
      <c r="A1264" s="233" t="s">
        <v>256</v>
      </c>
      <c r="B1264" s="126" t="s">
        <v>256</v>
      </c>
      <c r="C1264" s="126">
        <v>4058284</v>
      </c>
      <c r="D1264" s="127" t="s">
        <v>257</v>
      </c>
      <c r="E1264" s="127"/>
      <c r="F1264" s="144"/>
      <c r="G1264" s="126" t="s">
        <v>165</v>
      </c>
      <c r="H1264" s="128">
        <v>2009</v>
      </c>
      <c r="I1264" s="129"/>
      <c r="J1264" s="125">
        <f>IFERROR(INDEX('Labor Expenditures'!$E$7:$W$91,MATCH($C1264,'Labor Expenditures'!$C$7:$C$91,0),MATCH($G1264,'Labor Expenditures'!$E$5:$W$5,0)),"NA")</f>
        <v>82336.604763888026</v>
      </c>
      <c r="K1264" s="125">
        <f t="shared" ca="1" si="2274"/>
        <v>742.27274973079136</v>
      </c>
      <c r="L1264" s="47"/>
      <c r="M1264" s="131">
        <f t="shared" ca="1" si="2281"/>
        <v>-4.424779769217041E-3</v>
      </c>
      <c r="N1264" s="131"/>
      <c r="O1264" s="131"/>
      <c r="P1264" s="59">
        <f t="shared" ca="1" si="2283"/>
        <v>-1.6220787214686429E-4</v>
      </c>
      <c r="Q1264" s="61"/>
      <c r="R1264" s="387"/>
      <c r="S1264" s="49">
        <f t="shared" ca="1" si="2290"/>
        <v>116.6324322376914</v>
      </c>
      <c r="T1264" s="61">
        <f ca="1">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</f>
        <v>2.5023248988012548E-2</v>
      </c>
      <c r="U1264" s="61"/>
      <c r="V1264" s="125">
        <f>IFERROR(INDEX('Non-Labor Expenditures'!$E$7:$AA$91,MATCH($C1264,'Non-Labor Expenditures'!$C$7:$C$91,0),MATCH($G1264,'Non-Labor Expenditures'!$E$5:$AA$5,0)),"NA")</f>
        <v>119238.78205459702</v>
      </c>
      <c r="W1264" s="125">
        <f t="shared" si="2275"/>
        <v>1255.158286451405</v>
      </c>
      <c r="X1264" s="131">
        <f t="shared" si="2284"/>
        <v>1.5457636413357411E-2</v>
      </c>
      <c r="Y1264" s="131">
        <f t="shared" si="2285"/>
        <v>5.6666104118313328E-4</v>
      </c>
      <c r="Z1264" s="131"/>
      <c r="AA1264" s="131"/>
      <c r="AB1264" s="131"/>
      <c r="AC1264" s="125">
        <f t="shared" si="2256"/>
        <v>108443.07856623056</v>
      </c>
      <c r="AD1264" s="129"/>
      <c r="AE1264" s="133">
        <v>8101.3023455987459</v>
      </c>
      <c r="AF1264" s="134">
        <v>1.9008344141752363E-2</v>
      </c>
      <c r="AG1264" s="59">
        <f t="shared" si="2276"/>
        <v>6.9682633194974818E-4</v>
      </c>
      <c r="AH1264" s="134"/>
      <c r="AI1264" s="134"/>
      <c r="AJ1264" s="129">
        <f t="shared" si="2252"/>
        <v>310018.46538471559</v>
      </c>
      <c r="AK1264" s="134">
        <f t="shared" si="2286"/>
        <v>2.6860348248360687E-3</v>
      </c>
      <c r="AL1264" s="129"/>
      <c r="AM1264" s="129"/>
      <c r="AN1264" s="129"/>
      <c r="AO1264" s="129"/>
      <c r="AP1264" s="133">
        <f t="shared" si="2287"/>
        <v>288.60753796565734</v>
      </c>
      <c r="AQ1264" s="134">
        <f>+BB1264/Outputs!$B$17</f>
        <v>3.0536429389124726E-2</v>
      </c>
      <c r="AR1264" s="93">
        <f t="shared" si="2277"/>
        <v>0.26558613101227019</v>
      </c>
      <c r="AS1264" s="93">
        <f t="shared" si="2278"/>
        <v>0.38461832235260035</v>
      </c>
      <c r="AT1264" s="93">
        <f t="shared" si="2279"/>
        <v>0.34979554663512946</v>
      </c>
      <c r="AU1264" s="93">
        <f t="shared" ca="1" si="2282"/>
        <v>1.1496304887153854E-2</v>
      </c>
      <c r="AV1264" s="132">
        <f t="shared" ca="1" si="2292"/>
        <v>101.46727375383149</v>
      </c>
      <c r="AW1264" s="134">
        <f t="shared" ca="1" si="2293"/>
        <v>1.1496304887153858E-2</v>
      </c>
      <c r="AX1264" s="135">
        <f>+AJ1264/$AL$14</f>
        <v>3.6658970752699575E-2</v>
      </c>
      <c r="AY1264" s="135">
        <f t="shared" ca="1" si="2291"/>
        <v>4.2144270462229048E-4</v>
      </c>
      <c r="AZ1264" s="93"/>
      <c r="BA1264" s="93"/>
      <c r="BB1264" s="234">
        <f>IFERROR(INDEX('Total Customers'!$E$7:$AA$91,MATCH($C1264,'Total Customers'!$C$7:$C$91,0),MATCH($G1264,'Total Customers'!$E$5:$AA$5,0)),"NA")</f>
        <v>1074187</v>
      </c>
      <c r="BC1264" s="269">
        <f t="shared" si="2209"/>
        <v>1.7426351287372948E-2</v>
      </c>
      <c r="BD1264" s="92"/>
      <c r="BE1264" s="299" t="str">
        <f t="shared" si="2205"/>
        <v>WASHINGTON GAS LIGHT COMPANY</v>
      </c>
      <c r="BF1264" s="300">
        <f t="shared" si="2206"/>
        <v>4058284</v>
      </c>
      <c r="BG1264" s="231" t="str">
        <f t="shared" si="2207"/>
        <v>DC</v>
      </c>
      <c r="BH1264" s="231"/>
      <c r="BI1264" s="231" t="str">
        <f t="shared" si="2208"/>
        <v>2009 Y</v>
      </c>
      <c r="BJ1264" s="129"/>
      <c r="BK1264" s="129"/>
      <c r="BL1264" s="129">
        <f>INDEX('Dist. Plant Gas Additions'!$E$7:$AD$91,MATCH($C1264,'Dist. Plant Gas Additions'!$C$7:$C$91,0),MATCH(Calculation!$G1264,'Dist. Plant Gas Additions'!$E$5:$AD$5,0))</f>
        <v>92749</v>
      </c>
      <c r="BM1264" s="129">
        <f>INDEX('Gen. Plant Additions'!$E$7:$AD$91,MATCH($C1264,'Gen. Plant Additions'!$C$7:$C$91,0),MATCH(Calculation!$G1264,'Gen. Plant Additions'!$E$5:$AD$5,0))</f>
        <v>21063</v>
      </c>
      <c r="BN1264" s="301">
        <f t="shared" si="2257"/>
        <v>0.92439574706637451</v>
      </c>
      <c r="BO1264" s="231">
        <f t="shared" si="2288"/>
        <v>19470.547620459045</v>
      </c>
      <c r="BP1264" s="231">
        <f t="shared" si="2289"/>
        <v>-1592.452379540955</v>
      </c>
      <c r="BQ1264" s="129">
        <f>INDEX('Dist Plant Depreciation'!$D$7:$AC$94,MATCH($C1264,'Dist Plant Depreciation'!$C$7:$C$94,0),MATCH(Calculation!$G1264,'Dist Plant Depreciation'!$D$5:$AC$5,0))</f>
        <v>1054085</v>
      </c>
      <c r="BR1264" s="129">
        <f>INDEX('Gen. Plant Depreciation'!$D$7:$AC$94,MATCH($C1264,'Gen. Plant Depreciation'!$C$7:$C$94,0),MATCH(Calculation!$G1264,'Gen. Plant Depreciation'!$D$5:$AC$5,0))</f>
        <v>28050</v>
      </c>
      <c r="BS1264" s="129"/>
      <c r="BT1264" s="129"/>
      <c r="BU1264" s="129"/>
      <c r="BV1264" s="129"/>
      <c r="BW1264" s="129"/>
      <c r="BX1264" s="137"/>
      <c r="BY1264" s="129">
        <f>INDEX('Gross Dx Plant'!$D$7:$AC$91,MATCH($C1264,'Gross Dx Plant'!$C$7:$C$91,0),MATCH(Calculation!$G1264,'Gross Dx Plant'!$D$5:$AC$5,0))</f>
        <v>2526185</v>
      </c>
      <c r="BZ1264" s="129">
        <f>INDEX('Gross Gen Plant'!$D$7:$AC$91,MATCH($C1264,'Gross Gen Plant'!$C$7:$C$91,0),MATCH(Calculation!$G1264,'Gross Gen Plant'!$D$5:$AC$5,0))</f>
        <v>206611</v>
      </c>
      <c r="CA1264" s="129">
        <f t="shared" si="2162"/>
        <v>1650661</v>
      </c>
      <c r="CB1264" s="129"/>
      <c r="CC1264" s="133">
        <v>2009</v>
      </c>
      <c r="CD1264" s="129"/>
      <c r="CE1264" s="129"/>
      <c r="CF1264" s="129"/>
      <c r="CG1264" s="137"/>
      <c r="CH1264" s="129">
        <f t="shared" si="2258"/>
        <v>113812</v>
      </c>
      <c r="CI1264" s="46">
        <f t="shared" si="2266"/>
        <v>112219.54762045905</v>
      </c>
      <c r="CJ1264" s="231">
        <f t="shared" si="2267"/>
        <v>203.68718537968766</v>
      </c>
      <c r="CK1264" s="443">
        <v>0.87912087912087911</v>
      </c>
      <c r="CL1264" s="231">
        <f>+CL1253*CK1264+CJ1254*CK1263+CJ1255*CK1262+CJ1256*CK1261+CJ1257*CK1260+CJ1258*CK1259+CJ1259*CK1258+CJ1260*CK1257+CJ1261*CK1256+CJ1262*CK1255+CJ1263*CK1254+CJ1264</f>
        <v>7427.7749549290775</v>
      </c>
      <c r="CM1264" s="134">
        <f t="shared" si="2259"/>
        <v>1.4846396265451239E-2</v>
      </c>
      <c r="CN1264" s="135">
        <f t="shared" si="2260"/>
        <v>1.2875378054326321E-2</v>
      </c>
      <c r="CO1264" s="135">
        <f t="shared" si="2270"/>
        <v>1.2555032092605826E-2</v>
      </c>
      <c r="CP1264" s="134">
        <f>VLOOKUP($H1264,RoR!$E:$F,2,FALSE)</f>
        <v>5.3133333333333324E-2</v>
      </c>
      <c r="CQ1264" s="135">
        <v>7.7972502758210105E-3</v>
      </c>
      <c r="CR1264" s="135">
        <f t="shared" si="2268"/>
        <v>4.5336083057512314E-2</v>
      </c>
      <c r="CS1264" s="135">
        <f t="shared" si="2271"/>
        <v>1.8346909515927799E-2</v>
      </c>
      <c r="CT1264" s="135">
        <v>6.3720160300892073E-2</v>
      </c>
      <c r="CU1264" s="139">
        <f t="shared" si="2261"/>
        <v>0.84089999999999998</v>
      </c>
      <c r="CV1264" s="335">
        <f t="shared" si="2262"/>
        <v>0.96515780330083989</v>
      </c>
      <c r="CW1264" s="335">
        <f t="shared" si="2263"/>
        <v>0.50448557089084056</v>
      </c>
      <c r="CX1264" s="335">
        <f t="shared" si="2264"/>
        <v>0.87391435735465484</v>
      </c>
      <c r="CY1264" s="335">
        <f t="shared" si="2265"/>
        <v>0.42551605393279146</v>
      </c>
      <c r="CZ1264" s="336">
        <f>INDEX('State Tax Lookup'!$D$7:$Z$91,MATCH(Calculation!$C1264,'State Tax Lookup'!$B$7:$B$91,0),MATCH($H1264,'State Tax Lookup'!$D$6:$Z$6,0))</f>
        <v>0.43</v>
      </c>
      <c r="DA1264" s="302">
        <v>0.37</v>
      </c>
      <c r="DB1264" s="57">
        <f t="shared" si="2269"/>
        <v>14.818041578001548</v>
      </c>
      <c r="DC1264" s="56">
        <f t="shared" si="2272"/>
        <v>-5.0094754529820373E-2</v>
      </c>
      <c r="DD1264" s="303">
        <f>VLOOKUP($H1264,RoR!$E:$F,2,FALSE)</f>
        <v>5.3133333333333324E-2</v>
      </c>
      <c r="DE1264" s="304">
        <f>HLOOKUP($H1264,'GDP-PI'!$D$8:$CQ$11,3,FALSE)</f>
        <v>7.7972502758210105E-3</v>
      </c>
      <c r="DF1264" s="303">
        <f>VLOOKUP(H1264,'HW Dx Data'!$E:$F,2,FALSE)</f>
        <v>550.94063679692806</v>
      </c>
      <c r="DG1264" s="364">
        <f ca="1">VLOOKUP(CC1264,'ECI - Input Price'!M$13:N$33,2,FALSE)</f>
        <v>110.925</v>
      </c>
      <c r="DH1264" s="364"/>
      <c r="DI1264" s="364"/>
      <c r="DJ1264" s="56">
        <f t="shared" ca="1" si="2280"/>
        <v>2.7649425000884052E-2</v>
      </c>
      <c r="DK1264" s="53">
        <f>HLOOKUP(H1264,'GDP-PI'!$8:$9,2,FALSE)</f>
        <v>94.998999999999995</v>
      </c>
      <c r="DL1264" s="355">
        <f t="shared" si="2273"/>
        <v>7.7670088183096342E-3</v>
      </c>
    </row>
    <row r="1265" spans="1:116" s="126" customFormat="1" ht="21" customHeight="1" x14ac:dyDescent="0.4">
      <c r="A1265" s="233" t="s">
        <v>256</v>
      </c>
      <c r="B1265" s="126" t="s">
        <v>256</v>
      </c>
      <c r="C1265" s="126">
        <v>4058284</v>
      </c>
      <c r="D1265" s="127" t="s">
        <v>257</v>
      </c>
      <c r="E1265" s="127"/>
      <c r="F1265" s="144"/>
      <c r="G1265" s="126" t="s">
        <v>166</v>
      </c>
      <c r="H1265" s="128">
        <v>2010</v>
      </c>
      <c r="I1265" s="129"/>
      <c r="J1265" s="125">
        <f>IFERROR(INDEX('Labor Expenditures'!$E$7:$W$91,MATCH($C1265,'Labor Expenditures'!$C$7:$C$91,0),MATCH($G1265,'Labor Expenditures'!$E$5:$W$5,0)),"NA")</f>
        <v>86787.990106345998</v>
      </c>
      <c r="K1265" s="125">
        <f t="shared" ca="1" si="2274"/>
        <v>742.25349674018389</v>
      </c>
      <c r="L1265" s="47"/>
      <c r="M1265" s="131">
        <f t="shared" ca="1" si="2281"/>
        <v>-2.5938228649411058E-5</v>
      </c>
      <c r="N1265" s="131"/>
      <c r="O1265" s="131"/>
      <c r="P1265" s="59">
        <f t="shared" ca="1" si="2283"/>
        <v>-9.6498391402332746E-7</v>
      </c>
      <c r="Q1265" s="61"/>
      <c r="R1265" s="387"/>
      <c r="S1265" s="49">
        <f t="shared" ca="1" si="2290"/>
        <v>97.98809179776886</v>
      </c>
      <c r="T1265" s="61">
        <f ca="1">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</f>
        <v>-0.17418142577166806</v>
      </c>
      <c r="U1265" s="61"/>
      <c r="V1265" s="125">
        <f>IFERROR(INDEX('Non-Labor Expenditures'!$E$7:$AA$91,MATCH($C1265,'Non-Labor Expenditures'!$C$7:$C$91,0),MATCH($G1265,'Non-Labor Expenditures'!$E$5:$AA$5,0)),"NA")</f>
        <v>125685.21943457468</v>
      </c>
      <c r="W1265" s="125">
        <f t="shared" si="2275"/>
        <v>1307.7362102880552</v>
      </c>
      <c r="X1265" s="131">
        <f t="shared" si="2284"/>
        <v>4.1035869311176927E-2</v>
      </c>
      <c r="Y1265" s="131">
        <f t="shared" si="2285"/>
        <v>1.5266637640711975E-3</v>
      </c>
      <c r="Z1265" s="131"/>
      <c r="AA1265" s="131"/>
      <c r="AB1265" s="131"/>
      <c r="AC1265" s="125">
        <f t="shared" si="2256"/>
        <v>111847.06857496797</v>
      </c>
      <c r="AD1265" s="129"/>
      <c r="AE1265" s="133">
        <v>8230.6905019875467</v>
      </c>
      <c r="AF1265" s="134">
        <v>1.5845079614160845E-2</v>
      </c>
      <c r="AG1265" s="59">
        <f t="shared" si="2276"/>
        <v>5.8948693647325611E-4</v>
      </c>
      <c r="AH1265" s="134"/>
      <c r="AI1265" s="134"/>
      <c r="AJ1265" s="129">
        <f t="shared" si="2252"/>
        <v>324320.27811588865</v>
      </c>
      <c r="AK1265" s="134">
        <f t="shared" si="2286"/>
        <v>4.5099678776376419E-2</v>
      </c>
      <c r="AL1265" s="129"/>
      <c r="AM1265" s="129"/>
      <c r="AN1265" s="129"/>
      <c r="AO1265" s="129"/>
      <c r="AP1265" s="133">
        <f t="shared" si="2287"/>
        <v>300.34994935756049</v>
      </c>
      <c r="AQ1265" s="134">
        <f>+BB1265/Outputs!$B$18</f>
        <v>3.0528268577111072E-2</v>
      </c>
      <c r="AR1265" s="93">
        <f t="shared" si="2277"/>
        <v>0.26759964135000597</v>
      </c>
      <c r="AS1265" s="93">
        <f t="shared" si="2278"/>
        <v>0.38753426139349778</v>
      </c>
      <c r="AT1265" s="93">
        <f t="shared" si="2279"/>
        <v>0.34486609725649625</v>
      </c>
      <c r="AU1265" s="93">
        <f t="shared" ca="1" si="2282"/>
        <v>2.1339545836391496E-2</v>
      </c>
      <c r="AV1265" s="132">
        <f t="shared" ca="1" si="2292"/>
        <v>103.65580740014103</v>
      </c>
      <c r="AW1265" s="134">
        <f t="shared" ca="1" si="2293"/>
        <v>2.1339545836391482E-2</v>
      </c>
      <c r="AX1265" s="135">
        <f>+AJ1265/$AL$15</f>
        <v>3.7203153964996682E-2</v>
      </c>
      <c r="AY1265" s="135">
        <f t="shared" ca="1" si="2291"/>
        <v>7.9389840929437619E-4</v>
      </c>
      <c r="AZ1265" s="93"/>
      <c r="BA1265" s="93"/>
      <c r="BB1265" s="234">
        <f>IFERROR(INDEX('Total Customers'!$E$7:$AA$91,MATCH($C1265,'Total Customers'!$C$7:$C$91,0),MATCH($G1265,'Total Customers'!$E$5:$AA$5,0)),"NA")</f>
        <v>1079808</v>
      </c>
      <c r="BC1265" s="269">
        <f t="shared" si="2209"/>
        <v>5.2191511674336702E-3</v>
      </c>
      <c r="BD1265" s="92"/>
      <c r="BE1265" s="299" t="str">
        <f t="shared" si="2205"/>
        <v>WASHINGTON GAS LIGHT COMPANY</v>
      </c>
      <c r="BF1265" s="300">
        <f t="shared" si="2206"/>
        <v>4058284</v>
      </c>
      <c r="BG1265" s="231" t="str">
        <f t="shared" si="2207"/>
        <v>DC</v>
      </c>
      <c r="BH1265" s="231"/>
      <c r="BI1265" s="231" t="str">
        <f t="shared" si="2208"/>
        <v>2010 Y</v>
      </c>
      <c r="BJ1265" s="129"/>
      <c r="BK1265" s="129"/>
      <c r="BL1265" s="129">
        <f>INDEX('Dist. Plant Gas Additions'!$E$7:$AD$91,MATCH($C1265,'Dist. Plant Gas Additions'!$C$7:$C$91,0),MATCH(Calculation!$G1265,'Dist. Plant Gas Additions'!$E$5:$AD$5,0))</f>
        <v>80080</v>
      </c>
      <c r="BM1265" s="129">
        <f>INDEX('Gen. Plant Additions'!$E$7:$AD$91,MATCH($C1265,'Gen. Plant Additions'!$C$7:$C$91,0),MATCH(Calculation!$G1265,'Gen. Plant Additions'!$E$5:$AD$5,0))</f>
        <v>25944</v>
      </c>
      <c r="BN1265" s="301">
        <f t="shared" si="2257"/>
        <v>0.92220951130011219</v>
      </c>
      <c r="BO1265" s="231">
        <f t="shared" si="2288"/>
        <v>23925.803561170113</v>
      </c>
      <c r="BP1265" s="231">
        <f t="shared" si="2289"/>
        <v>-2018.1964388298875</v>
      </c>
      <c r="BQ1265" s="129">
        <f>INDEX('Dist Plant Depreciation'!$D$7:$AC$94,MATCH($C1265,'Dist Plant Depreciation'!$C$7:$C$94,0),MATCH(Calculation!$G1265,'Dist Plant Depreciation'!$D$5:$AC$5,0))</f>
        <v>1101839</v>
      </c>
      <c r="BR1265" s="129">
        <f>INDEX('Gen. Plant Depreciation'!$D$7:$AC$94,MATCH($C1265,'Gen. Plant Depreciation'!$C$7:$C$94,0),MATCH(Calculation!$G1265,'Gen. Plant Depreciation'!$D$5:$AC$5,0))</f>
        <v>25805</v>
      </c>
      <c r="BS1265" s="129"/>
      <c r="BT1265" s="129"/>
      <c r="BU1265" s="129"/>
      <c r="BV1265" s="129"/>
      <c r="BW1265" s="129"/>
      <c r="BX1265" s="137"/>
      <c r="BY1265" s="129">
        <f>INDEX('Gross Dx Plant'!$D$7:$AC$91,MATCH($C1265,'Gross Dx Plant'!$C$7:$C$91,0),MATCH(Calculation!$G1265,'Gross Dx Plant'!$D$5:$AC$5,0))</f>
        <v>2600605</v>
      </c>
      <c r="BZ1265" s="129">
        <f>INDEX('Gross Gen Plant'!$D$7:$AC$91,MATCH($C1265,'Gross Gen Plant'!$C$7:$C$91,0),MATCH(Calculation!$G1265,'Gross Gen Plant'!$D$5:$AC$5,0))</f>
        <v>219367</v>
      </c>
      <c r="CA1265" s="129">
        <f t="shared" si="2162"/>
        <v>1692328</v>
      </c>
      <c r="CB1265" s="129"/>
      <c r="CC1265" s="133">
        <v>2010</v>
      </c>
      <c r="CD1265" s="129"/>
      <c r="CE1265" s="129"/>
      <c r="CF1265" s="129"/>
      <c r="CG1265" s="137"/>
      <c r="CH1265" s="129">
        <f t="shared" si="2258"/>
        <v>106024</v>
      </c>
      <c r="CI1265" s="46">
        <f t="shared" si="2266"/>
        <v>104005.80356117012</v>
      </c>
      <c r="CJ1265" s="231">
        <f t="shared" si="2267"/>
        <v>182.79037325026752</v>
      </c>
      <c r="CK1265" s="443">
        <v>0.8666666666666667</v>
      </c>
      <c r="CL1265" s="231">
        <f>+CL1253*CK1265+CJ1254*CK1264+CJ1255*CK1263+CJ1256*CK1262+CJ1257*CK1261+CJ1258*CK1260+CJ1259*CK1259+CJ1260*CK1258+CJ1261*CK1257+CJ1262*CK1256+CJ1263*CK1255+CJ1264*CK1254+CJ1265</f>
        <v>7512.2644721548913</v>
      </c>
      <c r="CM1265" s="134">
        <f t="shared" si="2259"/>
        <v>1.1310601737416732E-2</v>
      </c>
      <c r="CN1265" s="135">
        <f t="shared" si="2260"/>
        <v>1.3234226483830278E-2</v>
      </c>
      <c r="CO1265" s="135">
        <f t="shared" si="2270"/>
        <v>1.2878943773176043E-2</v>
      </c>
      <c r="CP1265" s="134">
        <f>VLOOKUP($H1265,RoR!$E:$F,2,FALSE)</f>
        <v>4.9433333333333322E-2</v>
      </c>
      <c r="CQ1265" s="135">
        <v>1.1684333519300205E-2</v>
      </c>
      <c r="CR1265" s="135">
        <f t="shared" si="2268"/>
        <v>3.7748999814033117E-2</v>
      </c>
      <c r="CS1265" s="135">
        <f t="shared" si="2271"/>
        <v>1.8022997835357581E-2</v>
      </c>
      <c r="CT1265" s="135">
        <v>4.7937530248493419E-2</v>
      </c>
      <c r="CU1265" s="139">
        <f t="shared" si="2261"/>
        <v>0.84089999999999998</v>
      </c>
      <c r="CV1265" s="335">
        <f t="shared" si="2262"/>
        <v>1.037398205301105</v>
      </c>
      <c r="CW1265" s="335">
        <f t="shared" si="2263"/>
        <v>0.46926837491571133</v>
      </c>
      <c r="CX1265" s="335">
        <f t="shared" si="2264"/>
        <v>0.8548537519972772</v>
      </c>
      <c r="CY1265" s="335">
        <f t="shared" si="2265"/>
        <v>0.41615833911547367</v>
      </c>
      <c r="CZ1265" s="336">
        <f>INDEX('State Tax Lookup'!$D$7:$Z$91,MATCH(Calculation!$C1265,'State Tax Lookup'!$B$7:$B$91,0),MATCH($H1265,'State Tax Lookup'!$D$6:$Z$6,0))</f>
        <v>0.43</v>
      </c>
      <c r="DA1265" s="302">
        <v>0.37</v>
      </c>
      <c r="DB1265" s="57">
        <f t="shared" si="2269"/>
        <v>15.057950631736112</v>
      </c>
      <c r="DC1265" s="56">
        <f t="shared" si="2272"/>
        <v>1.606066897962509E-2</v>
      </c>
      <c r="DD1265" s="303">
        <f>VLOOKUP($H1265,RoR!$E:$F,2,FALSE)</f>
        <v>4.9433333333333322E-2</v>
      </c>
      <c r="DE1265" s="304">
        <f>HLOOKUP($H1265,'GDP-PI'!$D$8:$CQ$11,3,FALSE)</f>
        <v>1.1684333519300205E-2</v>
      </c>
      <c r="DF1265" s="303">
        <f>VLOOKUP(H1265,'HW Dx Data'!$E:$F,2,FALSE)</f>
        <v>568.98950262971744</v>
      </c>
      <c r="DG1265" s="364">
        <f ca="1">VLOOKUP(CC1265,'ECI - Input Price'!M$13:N$33,2,FALSE)</f>
        <v>116.925</v>
      </c>
      <c r="DH1265" s="364"/>
      <c r="DI1265" s="364"/>
      <c r="DJ1265" s="56">
        <f t="shared" ca="1" si="2280"/>
        <v>5.2678406346976722E-2</v>
      </c>
      <c r="DK1265" s="53">
        <f>HLOOKUP(H1265,'GDP-PI'!$8:$9,2,FALSE)</f>
        <v>96.108999999999995</v>
      </c>
      <c r="DL1265" s="355">
        <f t="shared" si="2273"/>
        <v>1.1616598807150427E-2</v>
      </c>
    </row>
    <row r="1266" spans="1:116" s="126" customFormat="1" ht="21" customHeight="1" x14ac:dyDescent="0.4">
      <c r="A1266" s="233" t="s">
        <v>256</v>
      </c>
      <c r="B1266" s="126" t="s">
        <v>256</v>
      </c>
      <c r="C1266" s="126">
        <v>4058284</v>
      </c>
      <c r="D1266" s="127" t="s">
        <v>257</v>
      </c>
      <c r="E1266" s="127"/>
      <c r="F1266" s="144"/>
      <c r="G1266" s="126" t="s">
        <v>167</v>
      </c>
      <c r="H1266" s="128">
        <v>2011</v>
      </c>
      <c r="I1266" s="129"/>
      <c r="J1266" s="125">
        <f>IFERROR(INDEX('Labor Expenditures'!$E$7:$W$91,MATCH($C1266,'Labor Expenditures'!$C$7:$C$91,0),MATCH($G1266,'Labor Expenditures'!$E$5:$W$5,0)),"NA")</f>
        <v>93789.33635418347</v>
      </c>
      <c r="K1266" s="125">
        <f t="shared" ca="1" si="2274"/>
        <v>775.92005256821903</v>
      </c>
      <c r="L1266" s="47"/>
      <c r="M1266" s="131">
        <f t="shared" ca="1" si="2281"/>
        <v>4.4358665201462796E-2</v>
      </c>
      <c r="N1266" s="131"/>
      <c r="O1266" s="131"/>
      <c r="P1266" s="59">
        <f t="shared" ca="1" si="2283"/>
        <v>1.7065735230189318E-3</v>
      </c>
      <c r="Q1266" s="61"/>
      <c r="R1266" s="387"/>
      <c r="S1266" s="49">
        <f t="shared" ca="1" si="2290"/>
        <v>118.80751027313551</v>
      </c>
      <c r="T1266" s="61">
        <f ca="1">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</f>
        <v>0.19265866369802687</v>
      </c>
      <c r="U1266" s="61"/>
      <c r="V1266" s="125">
        <f>IFERROR(INDEX('Non-Labor Expenditures'!$E$7:$AA$91,MATCH($C1266,'Non-Labor Expenditures'!$C$7:$C$91,0),MATCH($G1266,'Non-Labor Expenditures'!$E$5:$AA$5,0)),"NA")</f>
        <v>135824.47647254294</v>
      </c>
      <c r="W1266" s="125">
        <f t="shared" si="2275"/>
        <v>1384.3818949011634</v>
      </c>
      <c r="X1266" s="131">
        <f t="shared" si="2284"/>
        <v>5.6956196150121978E-2</v>
      </c>
      <c r="Y1266" s="131">
        <f t="shared" si="2285"/>
        <v>2.1912277089542733E-3</v>
      </c>
      <c r="Z1266" s="131"/>
      <c r="AA1266" s="131"/>
      <c r="AB1266" s="131"/>
      <c r="AC1266" s="125">
        <f t="shared" si="2256"/>
        <v>119431.82188983263</v>
      </c>
      <c r="AD1266" s="129"/>
      <c r="AE1266" s="133">
        <v>8335.4383080550688</v>
      </c>
      <c r="AF1266" s="134">
        <v>1.2646189493917135E-2</v>
      </c>
      <c r="AG1266" s="59">
        <f t="shared" si="2276"/>
        <v>4.8652618511811033E-4</v>
      </c>
      <c r="AH1266" s="134"/>
      <c r="AI1266" s="134"/>
      <c r="AJ1266" s="129">
        <f t="shared" si="2252"/>
        <v>349045.63471655903</v>
      </c>
      <c r="AK1266" s="134">
        <f t="shared" si="2286"/>
        <v>7.3471131915702634E-2</v>
      </c>
      <c r="AL1266" s="129"/>
      <c r="AM1266" s="129"/>
      <c r="AN1266" s="129"/>
      <c r="AO1266" s="129"/>
      <c r="AP1266" s="133">
        <f t="shared" si="2287"/>
        <v>319.77297686809948</v>
      </c>
      <c r="AQ1266" s="134">
        <f>+BB1266/Outputs!$B$19</f>
        <v>3.0711112287801483E-2</v>
      </c>
      <c r="AR1266" s="93">
        <f t="shared" si="2277"/>
        <v>0.26870221835131869</v>
      </c>
      <c r="AS1266" s="93">
        <f t="shared" si="2278"/>
        <v>0.38913099882437613</v>
      </c>
      <c r="AT1266" s="93">
        <f t="shared" si="2279"/>
        <v>0.34216678282430524</v>
      </c>
      <c r="AU1266" s="93">
        <f t="shared" ca="1" si="2282"/>
        <v>3.8356940767710582E-2</v>
      </c>
      <c r="AV1266" s="132">
        <f t="shared" ca="1" si="2292"/>
        <v>107.70896347527065</v>
      </c>
      <c r="AW1266" s="134">
        <f t="shared" ca="1" si="2293"/>
        <v>3.8356940767710589E-2</v>
      </c>
      <c r="AX1266" s="135">
        <f>+AJ1266/$AL$16</f>
        <v>3.8472156798862713E-2</v>
      </c>
      <c r="AY1266" s="135">
        <f t="shared" ca="1" si="2291"/>
        <v>1.4756742395400514E-3</v>
      </c>
      <c r="AZ1266" s="93"/>
      <c r="BA1266" s="93"/>
      <c r="BB1266" s="234">
        <f>IFERROR(INDEX('Total Customers'!$E$7:$AA$91,MATCH($C1266,'Total Customers'!$C$7:$C$91,0),MATCH($G1266,'Total Customers'!$E$5:$AA$5,0)),"NA")</f>
        <v>1091542</v>
      </c>
      <c r="BC1266" s="269">
        <f t="shared" si="2209"/>
        <v>1.080812787067267E-2</v>
      </c>
      <c r="BD1266" s="92"/>
      <c r="BE1266" s="299" t="str">
        <f t="shared" si="2205"/>
        <v>WASHINGTON GAS LIGHT COMPANY</v>
      </c>
      <c r="BF1266" s="300">
        <f t="shared" si="2206"/>
        <v>4058284</v>
      </c>
      <c r="BG1266" s="231" t="str">
        <f t="shared" si="2207"/>
        <v>DC</v>
      </c>
      <c r="BH1266" s="231"/>
      <c r="BI1266" s="231" t="str">
        <f t="shared" si="2208"/>
        <v>2011 Y</v>
      </c>
      <c r="BJ1266" s="129"/>
      <c r="BK1266" s="129"/>
      <c r="BL1266" s="129">
        <f>INDEX('Dist. Plant Gas Additions'!$E$7:$AD$91,MATCH($C1266,'Dist. Plant Gas Additions'!$C$7:$C$91,0),MATCH(Calculation!$G1266,'Dist. Plant Gas Additions'!$E$5:$AD$5,0))</f>
        <v>87011</v>
      </c>
      <c r="BM1266" s="129">
        <f>INDEX('Gen. Plant Additions'!$E$7:$AD$91,MATCH($C1266,'Gen. Plant Additions'!$C$7:$C$91,0),MATCH(Calculation!$G1266,'Gen. Plant Additions'!$E$5:$AD$5,0))</f>
        <v>13683</v>
      </c>
      <c r="BN1266" s="301">
        <f t="shared" si="2257"/>
        <v>0.92438730199799857</v>
      </c>
      <c r="BO1266" s="231">
        <f t="shared" si="2288"/>
        <v>12648.391453238615</v>
      </c>
      <c r="BP1266" s="231">
        <f t="shared" si="2289"/>
        <v>-1034.6085467613848</v>
      </c>
      <c r="BQ1266" s="129">
        <f>INDEX('Dist Plant Depreciation'!$D$7:$AC$94,MATCH($C1266,'Dist Plant Depreciation'!$C$7:$C$94,0),MATCH(Calculation!$G1266,'Dist Plant Depreciation'!$D$5:$AC$5,0))</f>
        <v>1132245</v>
      </c>
      <c r="BR1266" s="129">
        <f>INDEX('Gen. Plant Depreciation'!$D$7:$AC$94,MATCH($C1266,'Gen. Plant Depreciation'!$C$7:$C$94,0),MATCH(Calculation!$G1266,'Gen. Plant Depreciation'!$D$5:$AC$5,0))</f>
        <v>28902</v>
      </c>
      <c r="BS1266" s="129"/>
      <c r="BT1266" s="129"/>
      <c r="BU1266" s="129"/>
      <c r="BV1266" s="129"/>
      <c r="BW1266" s="129"/>
      <c r="BX1266" s="137"/>
      <c r="BY1266" s="129">
        <f>INDEX('Gross Dx Plant'!$D$7:$AC$91,MATCH($C1266,'Gross Dx Plant'!$C$7:$C$91,0),MATCH(Calculation!$G1266,'Gross Dx Plant'!$D$5:$AC$5,0))</f>
        <v>2672351</v>
      </c>
      <c r="BZ1266" s="129">
        <f>INDEX('Gross Gen Plant'!$D$7:$AC$91,MATCH($C1266,'Gross Gen Plant'!$C$7:$C$91,0),MATCH(Calculation!$G1266,'Gross Gen Plant'!$D$5:$AC$5,0))</f>
        <v>218592</v>
      </c>
      <c r="CA1266" s="129">
        <f t="shared" si="2162"/>
        <v>1729796</v>
      </c>
      <c r="CB1266" s="129"/>
      <c r="CC1266" s="133">
        <v>2011</v>
      </c>
      <c r="CD1266" s="129"/>
      <c r="CE1266" s="129"/>
      <c r="CF1266" s="129"/>
      <c r="CG1266" s="137"/>
      <c r="CH1266" s="129">
        <f t="shared" si="2258"/>
        <v>100694</v>
      </c>
      <c r="CI1266" s="46">
        <f t="shared" si="2266"/>
        <v>99659.391453238612</v>
      </c>
      <c r="CJ1266" s="231">
        <f t="shared" si="2267"/>
        <v>162.94568899257456</v>
      </c>
      <c r="CK1266" s="443">
        <v>0.8539325842696629</v>
      </c>
      <c r="CL1266" s="231">
        <f>+CL1253*CK1266+CJ1254*CK1265+CJ1255*CK1264+CJ1256*CK1263+CJ1257*CK1262+CJ1258*CK1261+CJ1259*CK1260+CJ1260*CK1259+CJ1261*CK1258+CJ1262*CK1257+CJ1263*CK1256+CJ1264*CK1255+CJ1265*CK1254+CJ1266</f>
        <v>7572.9328321150952</v>
      </c>
      <c r="CM1266" s="134">
        <f t="shared" si="2259"/>
        <v>8.0434727934760031E-3</v>
      </c>
      <c r="CN1266" s="135">
        <f t="shared" si="2260"/>
        <v>1.3614713567589896E-2</v>
      </c>
      <c r="CO1266" s="135">
        <f t="shared" si="2270"/>
        <v>1.3241439368582165E-2</v>
      </c>
      <c r="CP1266" s="134">
        <f>VLOOKUP($H1266,RoR!$E:$F,2,FALSE)</f>
        <v>4.6391666666666664E-2</v>
      </c>
      <c r="CQ1266" s="135">
        <v>2.0840920205183799E-2</v>
      </c>
      <c r="CR1266" s="135">
        <f t="shared" si="2268"/>
        <v>2.5550746461482865E-2</v>
      </c>
      <c r="CS1266" s="135">
        <f t="shared" si="2271"/>
        <v>1.766050223995146E-2</v>
      </c>
      <c r="CT1266" s="135">
        <v>2.4810540821321614E-2</v>
      </c>
      <c r="CU1266" s="139">
        <f t="shared" si="2261"/>
        <v>0.84089999999999998</v>
      </c>
      <c r="CV1266" s="335">
        <f t="shared" si="2262"/>
        <v>1.1054151524782025</v>
      </c>
      <c r="CW1266" s="335">
        <f t="shared" si="2263"/>
        <v>0.43611011316687626</v>
      </c>
      <c r="CX1266" s="335">
        <f t="shared" si="2264"/>
        <v>0.83698442246886229</v>
      </c>
      <c r="CY1266" s="335">
        <f t="shared" si="2265"/>
        <v>0.40349573304423936</v>
      </c>
      <c r="CZ1266" s="336">
        <f>INDEX('State Tax Lookup'!$D$7:$Z$91,MATCH(Calculation!$C1266,'State Tax Lookup'!$B$7:$B$91,0),MATCH($H1266,'State Tax Lookup'!$D$6:$Z$6,0))</f>
        <v>0.43</v>
      </c>
      <c r="DA1266" s="302">
        <v>0.37</v>
      </c>
      <c r="DB1266" s="57">
        <f t="shared" si="2269"/>
        <v>15.89824510738686</v>
      </c>
      <c r="DC1266" s="56">
        <f t="shared" si="2272"/>
        <v>5.4302599648315387E-2</v>
      </c>
      <c r="DD1266" s="303">
        <f>VLOOKUP($H1266,RoR!$E:$F,2,FALSE)</f>
        <v>4.6391666666666664E-2</v>
      </c>
      <c r="DE1266" s="304">
        <f>HLOOKUP($H1266,'GDP-PI'!$D$8:$CQ$11,3,FALSE)</f>
        <v>2.0840920205183799E-2</v>
      </c>
      <c r="DF1266" s="303">
        <f>VLOOKUP(H1266,'HW Dx Data'!$E:$F,2,FALSE)</f>
        <v>611.61109612283201</v>
      </c>
      <c r="DG1266" s="364">
        <f ca="1">VLOOKUP(CC1266,'ECI - Input Price'!M$13:N$33,2,FALSE)</f>
        <v>120.875</v>
      </c>
      <c r="DH1266" s="364"/>
      <c r="DI1266" s="364"/>
      <c r="DJ1266" s="56">
        <f t="shared" ca="1" si="2280"/>
        <v>3.3224250161508609E-2</v>
      </c>
      <c r="DK1266" s="53">
        <f>HLOOKUP(H1266,'GDP-PI'!$8:$9,2,FALSE)</f>
        <v>98.111999999999995</v>
      </c>
      <c r="DL1266" s="355">
        <f t="shared" si="2273"/>
        <v>2.0626719212849295E-2</v>
      </c>
    </row>
    <row r="1267" spans="1:116" s="126" customFormat="1" ht="21" customHeight="1" x14ac:dyDescent="0.4">
      <c r="A1267" s="233" t="s">
        <v>256</v>
      </c>
      <c r="B1267" s="126" t="s">
        <v>256</v>
      </c>
      <c r="C1267" s="126">
        <v>4058284</v>
      </c>
      <c r="D1267" s="127" t="s">
        <v>257</v>
      </c>
      <c r="E1267" s="127"/>
      <c r="F1267" s="144"/>
      <c r="G1267" s="126" t="s">
        <v>168</v>
      </c>
      <c r="H1267" s="128">
        <v>2012</v>
      </c>
      <c r="I1267" s="129"/>
      <c r="J1267" s="125">
        <f>IFERROR(INDEX('Labor Expenditures'!$E$7:$W$91,MATCH($C1267,'Labor Expenditures'!$C$7:$C$91,0),MATCH($G1267,'Labor Expenditures'!$E$5:$W$5,0)),"NA")</f>
        <v>93039.094920760122</v>
      </c>
      <c r="K1267" s="125">
        <f t="shared" ca="1" si="2274"/>
        <v>745.50556827532148</v>
      </c>
      <c r="L1267" s="47"/>
      <c r="M1267" s="131">
        <f t="shared" ca="1" si="2281"/>
        <v>-3.9986886475732522E-2</v>
      </c>
      <c r="N1267" s="131"/>
      <c r="O1267" s="131"/>
      <c r="P1267" s="59">
        <f t="shared" ca="1" si="2283"/>
        <v>-1.5169503416790672E-3</v>
      </c>
      <c r="Q1267" s="61"/>
      <c r="R1267" s="387"/>
      <c r="S1267" s="49">
        <f t="shared" ca="1" si="2290"/>
        <v>118.57237400303056</v>
      </c>
      <c r="T1267" s="61">
        <f ca="1">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</f>
        <v>-1.9810974946434644E-3</v>
      </c>
      <c r="U1267" s="61"/>
      <c r="V1267" s="125">
        <f>IFERROR(INDEX('Non-Labor Expenditures'!$E$7:$AA$91,MATCH($C1267,'Non-Labor Expenditures'!$C$7:$C$91,0),MATCH($G1267,'Non-Labor Expenditures'!$E$5:$AA$5,0)),"NA")</f>
        <v>134737.98675117502</v>
      </c>
      <c r="W1267" s="125">
        <f t="shared" si="2275"/>
        <v>1347.3798675117503</v>
      </c>
      <c r="X1267" s="131">
        <f t="shared" si="2284"/>
        <v>-2.7091887052606088E-2</v>
      </c>
      <c r="Y1267" s="131">
        <f t="shared" si="2285"/>
        <v>-1.0277631229458867E-3</v>
      </c>
      <c r="Z1267" s="131"/>
      <c r="AA1267" s="131"/>
      <c r="AB1267" s="131"/>
      <c r="AC1267" s="125">
        <f t="shared" si="2256"/>
        <v>128381.58980298263</v>
      </c>
      <c r="AD1267" s="129"/>
      <c r="AE1267" s="133">
        <v>8626.2738024321916</v>
      </c>
      <c r="AF1267" s="134">
        <v>3.429653798179489E-2</v>
      </c>
      <c r="AG1267" s="59">
        <f t="shared" si="2276"/>
        <v>1.3010801689065437E-3</v>
      </c>
      <c r="AH1267" s="134"/>
      <c r="AI1267" s="134"/>
      <c r="AJ1267" s="129">
        <f t="shared" si="2252"/>
        <v>356158.67147491779</v>
      </c>
      <c r="AK1267" s="134">
        <f t="shared" si="2286"/>
        <v>2.0173665790211043E-2</v>
      </c>
      <c r="AL1267" s="129"/>
      <c r="AM1267" s="129"/>
      <c r="AN1267" s="129"/>
      <c r="AO1267" s="129"/>
      <c r="AP1267" s="133">
        <f t="shared" si="2287"/>
        <v>325.22490466747126</v>
      </c>
      <c r="AQ1267" s="134">
        <f>+BB1267/Outputs!$B$20</f>
        <v>3.0663981325328344E-2</v>
      </c>
      <c r="AR1267" s="93">
        <f t="shared" si="2277"/>
        <v>0.26122934066288017</v>
      </c>
      <c r="AS1267" s="93">
        <f t="shared" si="2278"/>
        <v>0.37830887619049264</v>
      </c>
      <c r="AT1267" s="93">
        <f t="shared" si="2279"/>
        <v>0.36046178314662713</v>
      </c>
      <c r="AU1267" s="93">
        <f t="shared" ca="1" si="2282"/>
        <v>-8.9419901019307611E-3</v>
      </c>
      <c r="AV1267" s="132">
        <f t="shared" ca="1" si="2292"/>
        <v>106.75012434398747</v>
      </c>
      <c r="AW1267" s="134">
        <f t="shared" ca="1" si="2293"/>
        <v>-8.9419901019307906E-3</v>
      </c>
      <c r="AX1267" s="135">
        <f>+AJ1267/$AL$17</f>
        <v>3.793619547247528E-2</v>
      </c>
      <c r="AY1267" s="135">
        <f t="shared" ca="1" si="2291"/>
        <v>-3.3922508441978563E-4</v>
      </c>
      <c r="AZ1267" s="93"/>
      <c r="BA1267" s="93"/>
      <c r="BB1267" s="234">
        <f>IFERROR(INDEX('Total Customers'!$E$7:$AA$91,MATCH($C1267,'Total Customers'!$C$7:$C$91,0),MATCH($G1267,'Total Customers'!$E$5:$AA$5,0)),"NA")</f>
        <v>1095115</v>
      </c>
      <c r="BC1267" s="269">
        <f t="shared" si="2209"/>
        <v>3.2680051603218548E-3</v>
      </c>
      <c r="BD1267" s="92"/>
      <c r="BE1267" s="299" t="str">
        <f t="shared" si="2205"/>
        <v>WASHINGTON GAS LIGHT COMPANY</v>
      </c>
      <c r="BF1267" s="300">
        <f t="shared" si="2206"/>
        <v>4058284</v>
      </c>
      <c r="BG1267" s="231" t="str">
        <f t="shared" si="2207"/>
        <v>DC</v>
      </c>
      <c r="BH1267" s="231"/>
      <c r="BI1267" s="231" t="str">
        <f t="shared" si="2208"/>
        <v>2012 Y</v>
      </c>
      <c r="BJ1267" s="129"/>
      <c r="BK1267" s="129"/>
      <c r="BL1267" s="129">
        <f>INDEX('Dist. Plant Gas Additions'!$E$7:$AD$91,MATCH($C1267,'Dist. Plant Gas Additions'!$C$7:$C$91,0),MATCH(Calculation!$G1267,'Dist. Plant Gas Additions'!$E$5:$AD$5,0))</f>
        <v>118123</v>
      </c>
      <c r="BM1267" s="129">
        <f>INDEX('Gen. Plant Additions'!$E$7:$AD$91,MATCH($C1267,'Gen. Plant Additions'!$C$7:$C$91,0),MATCH(Calculation!$G1267,'Gen. Plant Additions'!$E$5:$AD$5,0))</f>
        <v>118470</v>
      </c>
      <c r="BN1267" s="301">
        <f t="shared" si="2257"/>
        <v>0.90825687474968597</v>
      </c>
      <c r="BO1267" s="231">
        <f t="shared" si="2288"/>
        <v>107601.19195159529</v>
      </c>
      <c r="BP1267" s="231">
        <f t="shared" si="2289"/>
        <v>-10868.80804840471</v>
      </c>
      <c r="BQ1267" s="129">
        <f>INDEX('Dist Plant Depreciation'!$D$7:$AC$94,MATCH($C1267,'Dist Plant Depreciation'!$C$7:$C$94,0),MATCH(Calculation!$G1267,'Dist Plant Depreciation'!$D$5:$AC$5,0))</f>
        <v>1170261</v>
      </c>
      <c r="BR1267" s="129">
        <f>INDEX('Gen. Plant Depreciation'!$D$7:$AC$94,MATCH($C1267,'Gen. Plant Depreciation'!$C$7:$C$94,0),MATCH(Calculation!$G1267,'Gen. Plant Depreciation'!$D$5:$AC$5,0))</f>
        <v>18581</v>
      </c>
      <c r="BS1267" s="129"/>
      <c r="BT1267" s="129"/>
      <c r="BU1267" s="129"/>
      <c r="BV1267" s="129"/>
      <c r="BW1267" s="129"/>
      <c r="BX1267" s="137"/>
      <c r="BY1267" s="129">
        <f>INDEX('Gross Dx Plant'!$D$7:$AC$91,MATCH($C1267,'Gross Dx Plant'!$C$7:$C$91,0),MATCH(Calculation!$G1267,'Gross Dx Plant'!$D$5:$AC$5,0))</f>
        <v>2784850</v>
      </c>
      <c r="BZ1267" s="129">
        <f>INDEX('Gross Gen Plant'!$D$7:$AC$91,MATCH($C1267,'Gross Gen Plant'!$C$7:$C$91,0),MATCH(Calculation!$G1267,'Gross Gen Plant'!$D$5:$AC$5,0))</f>
        <v>281298</v>
      </c>
      <c r="CA1267" s="129">
        <f t="shared" si="2162"/>
        <v>1877306</v>
      </c>
      <c r="CB1267" s="129"/>
      <c r="CC1267" s="133">
        <v>2012</v>
      </c>
      <c r="CD1267" s="129"/>
      <c r="CE1267" s="129"/>
      <c r="CF1267" s="129"/>
      <c r="CG1267" s="137"/>
      <c r="CH1267" s="129">
        <f t="shared" si="2258"/>
        <v>236593</v>
      </c>
      <c r="CI1267" s="46">
        <f t="shared" si="2266"/>
        <v>225724.1919515953</v>
      </c>
      <c r="CJ1267" s="231">
        <f t="shared" si="2267"/>
        <v>337.44606335888079</v>
      </c>
      <c r="CK1267" s="443">
        <v>0.84090909090909094</v>
      </c>
      <c r="CL1267" s="231">
        <f>+CL1253*CK1267+CJ1254*CK1266+CJ1255*CK1265+CJ1256*CK1264+CJ1257*CK1263+CJ1258*CK1262+CJ1259*CK1261+CJ1260*CK1260+CJ1261*CK1259+CJ1262*CK1258+CJ1263*CK1257+CJ1264*CK1256+CJ1265*CK1255+CJ1266*CK1254+CJ1267</f>
        <v>7804.2128645290468</v>
      </c>
      <c r="CM1267" s="134">
        <f t="shared" si="2259"/>
        <v>3.0083278022157003E-2</v>
      </c>
      <c r="CN1267" s="135">
        <f t="shared" si="2260"/>
        <v>1.4019143348888959E-2</v>
      </c>
      <c r="CO1267" s="135">
        <f t="shared" si="2270"/>
        <v>1.3622694466769711E-2</v>
      </c>
      <c r="CP1267" s="134">
        <f>VLOOKUP($H1267,RoR!$E:$F,2,FALSE)</f>
        <v>3.6733333333333333E-2</v>
      </c>
      <c r="CQ1267" s="135">
        <v>1.924331376386168E-2</v>
      </c>
      <c r="CR1267" s="135">
        <f t="shared" si="2268"/>
        <v>1.7490019569471653E-2</v>
      </c>
      <c r="CS1267" s="135">
        <f t="shared" si="2271"/>
        <v>1.7279247141763914E-2</v>
      </c>
      <c r="CT1267" s="135">
        <v>6.7122682943869583E-2</v>
      </c>
      <c r="CU1267" s="139">
        <f t="shared" si="2261"/>
        <v>0.84089999999999998</v>
      </c>
      <c r="CV1267" s="335">
        <f t="shared" si="2262"/>
        <v>1.3960631020522127</v>
      </c>
      <c r="CW1267" s="335">
        <f t="shared" si="2263"/>
        <v>0.29441923774954631</v>
      </c>
      <c r="CX1267" s="335">
        <f t="shared" si="2264"/>
        <v>0.76377954189366437</v>
      </c>
      <c r="CY1267" s="335">
        <f t="shared" si="2265"/>
        <v>0.31393465103033691</v>
      </c>
      <c r="CZ1267" s="336">
        <f>INDEX('State Tax Lookup'!$D$7:$Z$91,MATCH(Calculation!$C1267,'State Tax Lookup'!$B$7:$B$91,0),MATCH($H1267,'State Tax Lookup'!$D$6:$Z$6,0))</f>
        <v>0.43</v>
      </c>
      <c r="DA1267" s="302">
        <v>0.37</v>
      </c>
      <c r="DB1267" s="57">
        <f t="shared" si="2269"/>
        <v>16.952690938779405</v>
      </c>
      <c r="DC1267" s="56">
        <f t="shared" si="2272"/>
        <v>6.4217846145638774E-2</v>
      </c>
      <c r="DD1267" s="303">
        <f>VLOOKUP($H1267,RoR!$E:$F,2,FALSE)</f>
        <v>3.6733333333333333E-2</v>
      </c>
      <c r="DE1267" s="304">
        <f>HLOOKUP($H1267,'GDP-PI'!$D$8:$CQ$11,3,FALSE)</f>
        <v>1.924331376386168E-2</v>
      </c>
      <c r="DF1267" s="303">
        <f>VLOOKUP(H1267,'HW Dx Data'!$E:$F,2,FALSE)</f>
        <v>668.91932211262167</v>
      </c>
      <c r="DG1267" s="364">
        <f ca="1">VLOOKUP(CC1267,'ECI - Input Price'!M$13:N$33,2,FALSE)</f>
        <v>124.80000000000001</v>
      </c>
      <c r="DH1267" s="364"/>
      <c r="DI1267" s="364"/>
      <c r="DJ1267" s="56">
        <f t="shared" ca="1" si="2280"/>
        <v>3.1955502161869064E-2</v>
      </c>
      <c r="DK1267" s="53">
        <f>HLOOKUP(H1267,'GDP-PI'!$8:$9,2,FALSE)</f>
        <v>100</v>
      </c>
      <c r="DL1267" s="355">
        <f t="shared" si="2273"/>
        <v>1.9060502738742411E-2</v>
      </c>
    </row>
    <row r="1268" spans="1:116" s="126" customFormat="1" ht="21" customHeight="1" x14ac:dyDescent="0.4">
      <c r="A1268" s="233" t="s">
        <v>256</v>
      </c>
      <c r="B1268" s="126" t="s">
        <v>256</v>
      </c>
      <c r="C1268" s="126">
        <v>4058284</v>
      </c>
      <c r="D1268" s="127" t="s">
        <v>257</v>
      </c>
      <c r="E1268" s="127"/>
      <c r="F1268" s="144"/>
      <c r="G1268" s="126" t="s">
        <v>169</v>
      </c>
      <c r="H1268" s="128">
        <v>2013</v>
      </c>
      <c r="I1268" s="129"/>
      <c r="J1268" s="125">
        <f>IFERROR(INDEX('Labor Expenditures'!$E$7:$W$91,MATCH($C1268,'Labor Expenditures'!$C$7:$C$91,0),MATCH($G1268,'Labor Expenditures'!$E$5:$W$5,0)),"NA")</f>
        <v>98651.856147134269</v>
      </c>
      <c r="K1268" s="125">
        <f t="shared" ca="1" si="2274"/>
        <v>778.01148381020721</v>
      </c>
      <c r="L1268" s="47"/>
      <c r="M1268" s="131">
        <f t="shared" ca="1" si="2281"/>
        <v>4.2678681391866806E-2</v>
      </c>
      <c r="N1268" s="131"/>
      <c r="O1268" s="131"/>
      <c r="P1268" s="59">
        <f t="shared" ca="1" si="2283"/>
        <v>1.6230216720583097E-3</v>
      </c>
      <c r="Q1268" s="61"/>
      <c r="R1268" s="387"/>
      <c r="S1268" s="49">
        <f t="shared" ca="1" si="2290"/>
        <v>108.38161878056303</v>
      </c>
      <c r="T1268" s="61">
        <f ca="1">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</f>
        <v>-8.9865019040875682E-2</v>
      </c>
      <c r="U1268" s="61"/>
      <c r="V1268" s="125">
        <f>IFERROR(INDEX('Non-Labor Expenditures'!$E$7:$AA$91,MATCH($C1268,'Non-Labor Expenditures'!$C$7:$C$91,0),MATCH($G1268,'Non-Labor Expenditures'!$E$5:$AA$5,0)),"NA")</f>
        <v>142866.31332615728</v>
      </c>
      <c r="W1268" s="125">
        <f t="shared" si="2275"/>
        <v>1403.7742164047172</v>
      </c>
      <c r="X1268" s="131">
        <f t="shared" si="2284"/>
        <v>4.1002610443154605E-2</v>
      </c>
      <c r="Y1268" s="131">
        <f t="shared" si="2285"/>
        <v>1.5592826017555043E-3</v>
      </c>
      <c r="Z1268" s="131"/>
      <c r="AA1268" s="131"/>
      <c r="AB1268" s="131"/>
      <c r="AC1268" s="125">
        <f t="shared" si="2256"/>
        <v>128524.65768538372</v>
      </c>
      <c r="AD1268" s="129"/>
      <c r="AE1268" s="133">
        <v>8825.3587271437791</v>
      </c>
      <c r="AF1268" s="134">
        <v>2.2816611710095344E-2</v>
      </c>
      <c r="AG1268" s="59">
        <f t="shared" si="2276"/>
        <v>8.6768977111559135E-4</v>
      </c>
      <c r="AH1268" s="134"/>
      <c r="AI1268" s="134"/>
      <c r="AJ1268" s="129">
        <f t="shared" si="2252"/>
        <v>370042.8271586753</v>
      </c>
      <c r="AK1268" s="134">
        <f t="shared" si="2286"/>
        <v>3.8242410072703591E-2</v>
      </c>
      <c r="AL1268" s="129"/>
      <c r="AM1268" s="129"/>
      <c r="AN1268" s="129"/>
      <c r="AO1268" s="129"/>
      <c r="AP1268" s="133">
        <f t="shared" si="2287"/>
        <v>333.16061449195763</v>
      </c>
      <c r="AQ1268" s="134">
        <f>+BB1268/Outputs!$B$21</f>
        <v>3.0902270717495448E-2</v>
      </c>
      <c r="AR1268" s="93">
        <f t="shared" si="2277"/>
        <v>0.26659578001989509</v>
      </c>
      <c r="AS1268" s="93">
        <f t="shared" si="2278"/>
        <v>0.38608048269206374</v>
      </c>
      <c r="AT1268" s="93">
        <f t="shared" si="2279"/>
        <v>0.34732373728804106</v>
      </c>
      <c r="AU1268" s="93">
        <f t="shared" ca="1" si="2282"/>
        <v>3.5009053329591776E-2</v>
      </c>
      <c r="AV1268" s="132">
        <f t="shared" ca="1" si="2292"/>
        <v>110.55353356049011</v>
      </c>
      <c r="AW1268" s="134">
        <f t="shared" ca="1" si="2293"/>
        <v>3.5009053329591776E-2</v>
      </c>
      <c r="AX1268" s="135">
        <f>+AJ1268/$AL$18</f>
        <v>3.8028861696922198E-2</v>
      </c>
      <c r="AY1268" s="135">
        <f t="shared" ca="1" si="2291"/>
        <v>1.3313544472112193E-3</v>
      </c>
      <c r="AZ1268" s="93"/>
      <c r="BA1268" s="93"/>
      <c r="BB1268" s="234">
        <f>IFERROR(INDEX('Total Customers'!$E$7:$AA$91,MATCH($C1268,'Total Customers'!$C$7:$C$91,0),MATCH($G1268,'Total Customers'!$E$5:$AA$5,0)),"NA")</f>
        <v>1110704</v>
      </c>
      <c r="BC1268" s="269">
        <f t="shared" si="2209"/>
        <v>1.4134667931942615E-2</v>
      </c>
      <c r="BD1268" s="92"/>
      <c r="BE1268" s="299" t="str">
        <f t="shared" si="2205"/>
        <v>WASHINGTON GAS LIGHT COMPANY</v>
      </c>
      <c r="BF1268" s="300">
        <f t="shared" si="2206"/>
        <v>4058284</v>
      </c>
      <c r="BG1268" s="231" t="str">
        <f t="shared" si="2207"/>
        <v>DC</v>
      </c>
      <c r="BH1268" s="231"/>
      <c r="BI1268" s="231" t="str">
        <f t="shared" si="2208"/>
        <v>2013 Y</v>
      </c>
      <c r="BJ1268" s="129"/>
      <c r="BK1268" s="129"/>
      <c r="BL1268" s="129">
        <f>INDEX('Dist. Plant Gas Additions'!$E$7:$AD$91,MATCH($C1268,'Dist. Plant Gas Additions'!$C$7:$C$91,0),MATCH(Calculation!$G1268,'Dist. Plant Gas Additions'!$E$5:$AD$5,0))</f>
        <v>164004</v>
      </c>
      <c r="BM1268" s="129">
        <f>INDEX('Gen. Plant Additions'!$E$7:$AD$91,MATCH($C1268,'Gen. Plant Additions'!$C$7:$C$91,0),MATCH(Calculation!$G1268,'Gen. Plant Additions'!$E$5:$AD$5,0))</f>
        <v>12418</v>
      </c>
      <c r="BN1268" s="301">
        <f t="shared" si="2257"/>
        <v>0.91293056586351462</v>
      </c>
      <c r="BO1268" s="231">
        <f t="shared" si="2288"/>
        <v>11336.771766893125</v>
      </c>
      <c r="BP1268" s="231">
        <f t="shared" si="2289"/>
        <v>-1081.2282331068745</v>
      </c>
      <c r="BQ1268" s="129">
        <f>INDEX('Dist Plant Depreciation'!$D$7:$AC$94,MATCH($C1268,'Dist Plant Depreciation'!$C$7:$C$94,0),MATCH(Calculation!$G1268,'Dist Plant Depreciation'!$D$5:$AC$5,0))</f>
        <v>1206131</v>
      </c>
      <c r="BR1268" s="129">
        <f>INDEX('Gen. Plant Depreciation'!$D$7:$AC$94,MATCH($C1268,'Gen. Plant Depreciation'!$C$7:$C$94,0),MATCH(Calculation!$G1268,'Gen. Plant Depreciation'!$D$5:$AC$5,0))</f>
        <v>21682</v>
      </c>
      <c r="BS1268" s="129"/>
      <c r="BT1268" s="129"/>
      <c r="BU1268" s="129"/>
      <c r="BV1268" s="129"/>
      <c r="BW1268" s="129"/>
      <c r="BX1268" s="137"/>
      <c r="BY1268" s="129">
        <f>INDEX('Gross Dx Plant'!$D$7:$AC$91,MATCH($C1268,'Gross Dx Plant'!$C$7:$C$91,0),MATCH(Calculation!$G1268,'Gross Dx Plant'!$D$5:$AC$5,0))</f>
        <v>2942346</v>
      </c>
      <c r="BZ1268" s="129">
        <f>INDEX('Gross Gen Plant'!$D$7:$AC$91,MATCH($C1268,'Gross Gen Plant'!$C$7:$C$91,0),MATCH(Calculation!$G1268,'Gross Gen Plant'!$D$5:$AC$5,0))</f>
        <v>280622</v>
      </c>
      <c r="CA1268" s="129">
        <f t="shared" si="2162"/>
        <v>1995155</v>
      </c>
      <c r="CB1268" s="129"/>
      <c r="CC1268" s="133">
        <v>2013</v>
      </c>
      <c r="CD1268" s="129"/>
      <c r="CE1268" s="129"/>
      <c r="CF1268" s="129"/>
      <c r="CG1268" s="137"/>
      <c r="CH1268" s="129">
        <f t="shared" si="2258"/>
        <v>176422</v>
      </c>
      <c r="CI1268" s="46">
        <f t="shared" si="2266"/>
        <v>175340.77176689313</v>
      </c>
      <c r="CJ1268" s="231">
        <f t="shared" si="2267"/>
        <v>264.36666913330254</v>
      </c>
      <c r="CK1268" s="443">
        <v>0.82758620689655171</v>
      </c>
      <c r="CL1268" s="231">
        <f>+CL1253*CK1268+CJ1254*CK1267+CJ1255*CK1266+CJ1256*CK1265+CJ1257*CK1264+CJ1258*CK1263+CJ1259*CK1262+CJ1260*CK1261+CJ1261*CK1260+CJ1262*CK1259+CJ1263*CK1258+CJ1264*CK1257+CJ1265*CK1256+CJ1266*CK1255+CJ1267*CK1254+CJ1268</f>
        <v>7956.6879201299489</v>
      </c>
      <c r="CM1268" s="134">
        <f t="shared" si="2259"/>
        <v>1.9349124105465715E-2</v>
      </c>
      <c r="CN1268" s="135">
        <f t="shared" si="2260"/>
        <v>1.4337334908041699E-2</v>
      </c>
      <c r="CO1268" s="135">
        <f t="shared" si="2270"/>
        <v>1.3990397274840185E-2</v>
      </c>
      <c r="CP1268" s="134">
        <f>VLOOKUP($H1268,RoR!$E:$F,2,FALSE)</f>
        <v>4.2350000000000006E-2</v>
      </c>
      <c r="CQ1268" s="135">
        <v>1.7730000000000024E-2</v>
      </c>
      <c r="CR1268" s="135">
        <f t="shared" si="2268"/>
        <v>2.4619999999999982E-2</v>
      </c>
      <c r="CS1268" s="135">
        <f t="shared" si="2271"/>
        <v>1.6911544333693442E-2</v>
      </c>
      <c r="CT1268" s="135">
        <v>5.3376742735721204E-2</v>
      </c>
      <c r="CU1268" s="139">
        <f t="shared" si="2261"/>
        <v>0.84089999999999998</v>
      </c>
      <c r="CV1268" s="335">
        <f t="shared" si="2262"/>
        <v>1.2109103018193925</v>
      </c>
      <c r="CW1268" s="335">
        <f t="shared" si="2263"/>
        <v>0.38468122786304604</v>
      </c>
      <c r="CX1268" s="335">
        <f t="shared" si="2264"/>
        <v>0.80969194503422559</v>
      </c>
      <c r="CY1268" s="335">
        <f t="shared" si="2265"/>
        <v>0.37716621754800816</v>
      </c>
      <c r="CZ1268" s="336">
        <f>INDEX('State Tax Lookup'!$D$7:$Z$91,MATCH(Calculation!$C1268,'State Tax Lookup'!$B$7:$B$91,0),MATCH($H1268,'State Tax Lookup'!$D$6:$Z$6,0))</f>
        <v>0.43</v>
      </c>
      <c r="DA1268" s="302">
        <v>0.37</v>
      </c>
      <c r="DB1268" s="57">
        <f t="shared" si="2269"/>
        <v>16.468625333061013</v>
      </c>
      <c r="DC1268" s="56">
        <f t="shared" si="2272"/>
        <v>-2.896950287196615E-2</v>
      </c>
      <c r="DD1268" s="303">
        <f>VLOOKUP($H1268,RoR!$E:$F,2,FALSE)</f>
        <v>4.2350000000000006E-2</v>
      </c>
      <c r="DE1268" s="304">
        <f>HLOOKUP($H1268,'GDP-PI'!$D$8:$CQ$11,3,FALSE)</f>
        <v>1.7730000000000024E-2</v>
      </c>
      <c r="DF1268" s="303">
        <f>VLOOKUP(H1268,'HW Dx Data'!$E:$F,2,FALSE)</f>
        <v>663.24840548821396</v>
      </c>
      <c r="DG1268" s="364">
        <f ca="1">VLOOKUP(CC1268,'ECI - Input Price'!M$13:N$33,2,FALSE)</f>
        <v>126.8</v>
      </c>
      <c r="DH1268" s="364"/>
      <c r="DI1268" s="364"/>
      <c r="DJ1268" s="56">
        <f t="shared" ca="1" si="2280"/>
        <v>1.5898586067798204E-2</v>
      </c>
      <c r="DK1268" s="53">
        <f>HLOOKUP(H1268,'GDP-PI'!$8:$9,2,FALSE)</f>
        <v>101.773</v>
      </c>
      <c r="DL1268" s="355">
        <f t="shared" si="2273"/>
        <v>1.7574657016510519E-2</v>
      </c>
    </row>
    <row r="1269" spans="1:116" s="126" customFormat="1" ht="21" customHeight="1" x14ac:dyDescent="0.4">
      <c r="A1269" s="233" t="s">
        <v>256</v>
      </c>
      <c r="B1269" s="126" t="s">
        <v>256</v>
      </c>
      <c r="C1269" s="126">
        <v>4058284</v>
      </c>
      <c r="D1269" s="127" t="s">
        <v>257</v>
      </c>
      <c r="E1269" s="127"/>
      <c r="F1269" s="144"/>
      <c r="G1269" s="126" t="s">
        <v>170</v>
      </c>
      <c r="H1269" s="128">
        <v>2014</v>
      </c>
      <c r="I1269" s="129"/>
      <c r="J1269" s="125">
        <f>IFERROR(INDEX('Labor Expenditures'!$E$7:$W$91,MATCH($C1269,'Labor Expenditures'!$C$7:$C$91,0),MATCH($G1269,'Labor Expenditures'!$E$5:$W$5,0)),"NA")</f>
        <v>96962.351257019211</v>
      </c>
      <c r="K1269" s="125">
        <f t="shared" ca="1" si="2274"/>
        <v>749.32265268175581</v>
      </c>
      <c r="L1269" s="47"/>
      <c r="M1269" s="131">
        <f t="shared" ca="1" si="2281"/>
        <v>-3.7571616045646843E-2</v>
      </c>
      <c r="N1269" s="131"/>
      <c r="O1269" s="131"/>
      <c r="P1269" s="59">
        <f t="shared" ca="1" si="2283"/>
        <v>-1.4023742445050387E-3</v>
      </c>
      <c r="Q1269" s="61"/>
      <c r="R1269" s="387"/>
      <c r="S1269" s="49">
        <f t="shared" ca="1" si="2290"/>
        <v>123.33890577741015</v>
      </c>
      <c r="T1269" s="61">
        <f ca="1">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</f>
        <v>0.12927739174628558</v>
      </c>
      <c r="U1269" s="61"/>
      <c r="V1269" s="125">
        <f>IFERROR(INDEX('Non-Labor Expenditures'!$E$7:$AA$91,MATCH($C1269,'Non-Labor Expenditures'!$C$7:$C$91,0),MATCH($G1269,'Non-Labor Expenditures'!$E$5:$AA$5,0)),"NA")</f>
        <v>140419.59468928483</v>
      </c>
      <c r="W1269" s="125">
        <f t="shared" si="2275"/>
        <v>1354.786869752958</v>
      </c>
      <c r="X1269" s="131">
        <f t="shared" si="2284"/>
        <v>-3.5520327880228006E-2</v>
      </c>
      <c r="Y1269" s="131">
        <f t="shared" si="2285"/>
        <v>-1.3258091670873835E-3</v>
      </c>
      <c r="Z1269" s="131"/>
      <c r="AA1269" s="131"/>
      <c r="AB1269" s="131"/>
      <c r="AC1269" s="125">
        <f t="shared" si="2256"/>
        <v>132483.18587860427</v>
      </c>
      <c r="AD1269" s="129"/>
      <c r="AE1269" s="133">
        <v>9160.8215770630977</v>
      </c>
      <c r="AF1269" s="134">
        <v>3.7306615521736558E-2</v>
      </c>
      <c r="AG1269" s="59">
        <f t="shared" si="2276"/>
        <v>1.3924830034931902E-3</v>
      </c>
      <c r="AH1269" s="134"/>
      <c r="AI1269" s="134"/>
      <c r="AJ1269" s="129">
        <f t="shared" si="2252"/>
        <v>369865.13182490831</v>
      </c>
      <c r="AK1269" s="134">
        <f t="shared" si="2286"/>
        <v>-4.8031740982311388E-4</v>
      </c>
      <c r="AL1269" s="129"/>
      <c r="AM1269" s="129"/>
      <c r="AN1269" s="129"/>
      <c r="AO1269" s="129"/>
      <c r="AP1269" s="133">
        <f t="shared" si="2287"/>
        <v>329.01876786903864</v>
      </c>
      <c r="AQ1269" s="134">
        <f>+BB1269/Outputs!$B$22</f>
        <v>3.1109125994138186E-2</v>
      </c>
      <c r="AR1269" s="93">
        <f t="shared" si="2277"/>
        <v>0.26215596690233711</v>
      </c>
      <c r="AS1269" s="93">
        <f t="shared" si="2278"/>
        <v>0.37965080405513468</v>
      </c>
      <c r="AT1269" s="93">
        <f t="shared" si="2279"/>
        <v>0.35819322904252821</v>
      </c>
      <c r="AU1269" s="93">
        <f t="shared" ca="1" si="2282"/>
        <v>-1.0372316892640007E-2</v>
      </c>
      <c r="AV1269" s="132">
        <f t="shared" ca="1" si="2292"/>
        <v>109.4127637174112</v>
      </c>
      <c r="AW1269" s="134">
        <f t="shared" ca="1" si="2293"/>
        <v>-1.0372316892639918E-2</v>
      </c>
      <c r="AX1269" s="135">
        <f>+AJ1269/$AL$19</f>
        <v>3.7325363987571192E-2</v>
      </c>
      <c r="AY1269" s="135">
        <f t="shared" ca="1" si="2291"/>
        <v>-3.8715050341221833E-4</v>
      </c>
      <c r="AZ1269" s="93"/>
      <c r="BA1269" s="93"/>
      <c r="BB1269" s="234">
        <f>IFERROR(INDEX('Total Customers'!$E$7:$AA$91,MATCH($C1269,'Total Customers'!$C$7:$C$91,0),MATCH($G1269,'Total Customers'!$E$5:$AA$5,0)),"NA")</f>
        <v>1124146</v>
      </c>
      <c r="BC1269" s="269">
        <f t="shared" si="2209"/>
        <v>1.2029587757591702E-2</v>
      </c>
      <c r="BD1269" s="92"/>
      <c r="BE1269" s="299" t="str">
        <f t="shared" si="2205"/>
        <v>WASHINGTON GAS LIGHT COMPANY</v>
      </c>
      <c r="BF1269" s="300">
        <f t="shared" si="2206"/>
        <v>4058284</v>
      </c>
      <c r="BG1269" s="231" t="str">
        <f t="shared" si="2207"/>
        <v>DC</v>
      </c>
      <c r="BH1269" s="231"/>
      <c r="BI1269" s="231" t="str">
        <f t="shared" si="2208"/>
        <v>2014 Y</v>
      </c>
      <c r="BJ1269" s="129"/>
      <c r="BK1269" s="129"/>
      <c r="BL1269" s="129">
        <f>INDEX('Dist. Plant Gas Additions'!$E$7:$AD$91,MATCH($C1269,'Dist. Plant Gas Additions'!$C$7:$C$91,0),MATCH(Calculation!$G1269,'Dist. Plant Gas Additions'!$E$5:$AD$5,0))</f>
        <v>254313</v>
      </c>
      <c r="BM1269" s="129">
        <f>INDEX('Gen. Plant Additions'!$E$7:$AD$91,MATCH($C1269,'Gen. Plant Additions'!$C$7:$C$91,0),MATCH(Calculation!$G1269,'Gen. Plant Additions'!$E$5:$AD$5,0))</f>
        <v>23700</v>
      </c>
      <c r="BN1269" s="301">
        <f t="shared" si="2257"/>
        <v>0.91588687086489373</v>
      </c>
      <c r="BO1269" s="231">
        <f t="shared" si="2288"/>
        <v>21706.518839497981</v>
      </c>
      <c r="BP1269" s="231">
        <f t="shared" si="2289"/>
        <v>-1993.4811605020186</v>
      </c>
      <c r="BQ1269" s="129">
        <f>INDEX('Dist Plant Depreciation'!$D$7:$AC$94,MATCH($C1269,'Dist Plant Depreciation'!$C$7:$C$94,0),MATCH(Calculation!$G1269,'Dist Plant Depreciation'!$D$5:$AC$5,0))</f>
        <v>1238412</v>
      </c>
      <c r="BR1269" s="129">
        <f>INDEX('Gen. Plant Depreciation'!$D$7:$AC$94,MATCH($C1269,'Gen. Plant Depreciation'!$C$7:$C$94,0),MATCH(Calculation!$G1269,'Gen. Plant Depreciation'!$D$5:$AC$5,0))</f>
        <v>25548</v>
      </c>
      <c r="BS1269" s="129"/>
      <c r="BT1269" s="129"/>
      <c r="BU1269" s="129"/>
      <c r="BV1269" s="129"/>
      <c r="BW1269" s="129"/>
      <c r="BX1269" s="137"/>
      <c r="BY1269" s="129">
        <f>INDEX('Gross Dx Plant'!$D$7:$AC$91,MATCH($C1269,'Gross Dx Plant'!$C$7:$C$91,0),MATCH(Calculation!$G1269,'Gross Dx Plant'!$D$5:$AC$5,0))</f>
        <v>3180604</v>
      </c>
      <c r="BZ1269" s="129">
        <f>INDEX('Gross Gen Plant'!$D$7:$AC$91,MATCH($C1269,'Gross Gen Plant'!$C$7:$C$91,0),MATCH(Calculation!$G1269,'Gross Gen Plant'!$D$5:$AC$5,0))</f>
        <v>292100</v>
      </c>
      <c r="CA1269" s="129">
        <f t="shared" ref="CA1269:CA1338" si="2294">IF(OR(BQ1269="NA",BR1269="NA"),"NA",(SUM(BY1269:BZ1269)-SUM(BQ1269:BR1269)))</f>
        <v>2208744</v>
      </c>
      <c r="CB1269" s="129"/>
      <c r="CC1269" s="133">
        <v>2014</v>
      </c>
      <c r="CD1269" s="129"/>
      <c r="CE1269" s="129"/>
      <c r="CF1269" s="129"/>
      <c r="CG1269" s="137"/>
      <c r="CH1269" s="129">
        <f t="shared" si="2258"/>
        <v>278013</v>
      </c>
      <c r="CI1269" s="46">
        <f t="shared" si="2266"/>
        <v>276019.51883949799</v>
      </c>
      <c r="CJ1269" s="231">
        <f t="shared" si="2267"/>
        <v>403.2607192342258</v>
      </c>
      <c r="CK1269" s="443">
        <v>0.81395348837209303</v>
      </c>
      <c r="CL1269" s="231">
        <f>+CL1253*CK1269+CJ1254*CK1268+CJ1255*CK1267+CJ1256*CK1266+CJ1257*CK1265+CJ1258*CK1264+CJ1259*CK1263+CJ1260*CK1262+CJ1261*CK1261+CJ1262*CK1260+CJ1263*CK1259+CJ1264*CK1258+CJ1265*CK1257+CJ1266*CK1256+CJ1267*CK1255+CJ1268*CK1254+CJ1269</f>
        <v>8242.9068069593104</v>
      </c>
      <c r="CM1269" s="134">
        <f t="shared" si="2259"/>
        <v>3.5340226717595097E-2</v>
      </c>
      <c r="CN1269" s="135">
        <f t="shared" si="2260"/>
        <v>1.4709868425121387E-2</v>
      </c>
      <c r="CO1269" s="135">
        <f t="shared" si="2270"/>
        <v>1.4355448894017348E-2</v>
      </c>
      <c r="CP1269" s="134">
        <f>VLOOKUP($H1269,RoR!$E:$F,2,FALSE)</f>
        <v>4.1625000000000002E-2</v>
      </c>
      <c r="CQ1269" s="135">
        <v>1.841352814597208E-2</v>
      </c>
      <c r="CR1269" s="135">
        <f t="shared" si="2268"/>
        <v>2.3211471854027922E-2</v>
      </c>
      <c r="CS1269" s="135">
        <f t="shared" si="2271"/>
        <v>1.6546492714516275E-2</v>
      </c>
      <c r="CT1269" s="135">
        <v>3.9072621432650924E-2</v>
      </c>
      <c r="CU1269" s="139">
        <f t="shared" si="2261"/>
        <v>0.84089999999999998</v>
      </c>
      <c r="CV1269" s="335">
        <f t="shared" si="2262"/>
        <v>1.2320012320012319</v>
      </c>
      <c r="CW1269" s="335">
        <f t="shared" si="2263"/>
        <v>0.37439939939939942</v>
      </c>
      <c r="CX1269" s="335">
        <f t="shared" si="2264"/>
        <v>0.80432100613819935</v>
      </c>
      <c r="CY1269" s="335">
        <f t="shared" si="2265"/>
        <v>0.37100152660040037</v>
      </c>
      <c r="CZ1269" s="336">
        <f>INDEX('State Tax Lookup'!$D$7:$Z$91,MATCH(Calculation!$C1269,'State Tax Lookup'!$B$7:$B$91,0),MATCH($H1269,'State Tax Lookup'!$D$6:$Z$6,0))</f>
        <v>0.43</v>
      </c>
      <c r="DA1269" s="302">
        <v>0.37</v>
      </c>
      <c r="DB1269" s="57">
        <f t="shared" si="2269"/>
        <v>16.650544448705805</v>
      </c>
      <c r="DC1269" s="56">
        <f t="shared" si="2272"/>
        <v>1.0985839709826953E-2</v>
      </c>
      <c r="DD1269" s="303">
        <f>VLOOKUP($H1269,RoR!$E:$F,2,FALSE)</f>
        <v>4.1625000000000002E-2</v>
      </c>
      <c r="DE1269" s="304">
        <f>HLOOKUP($H1269,'GDP-PI'!$D$8:$CQ$11,3,FALSE)</f>
        <v>1.841352814597208E-2</v>
      </c>
      <c r="DF1269" s="303">
        <f>VLOOKUP(H1269,'HW Dx Data'!$E:$F,2,FALSE)</f>
        <v>684.46914285042885</v>
      </c>
      <c r="DG1269" s="364">
        <f ca="1">VLOOKUP(CC1269,'ECI - Input Price'!M$13:N$33,2,FALSE)</f>
        <v>129.4</v>
      </c>
      <c r="DH1269" s="364"/>
      <c r="DI1269" s="364"/>
      <c r="DJ1269" s="56">
        <f t="shared" ca="1" si="2280"/>
        <v>2.0297340063674733E-2</v>
      </c>
      <c r="DK1269" s="53">
        <f>HLOOKUP(H1269,'GDP-PI'!$8:$9,2,FALSE)</f>
        <v>103.64700000000001</v>
      </c>
      <c r="DL1269" s="355">
        <f t="shared" si="2273"/>
        <v>1.8246051898256087E-2</v>
      </c>
    </row>
    <row r="1270" spans="1:116" s="126" customFormat="1" ht="21" customHeight="1" x14ac:dyDescent="0.4">
      <c r="A1270" s="233" t="s">
        <v>256</v>
      </c>
      <c r="B1270" s="126" t="s">
        <v>256</v>
      </c>
      <c r="C1270" s="126">
        <v>4058284</v>
      </c>
      <c r="D1270" s="127" t="s">
        <v>257</v>
      </c>
      <c r="E1270" s="127"/>
      <c r="F1270" s="144"/>
      <c r="G1270" s="126" t="s">
        <v>171</v>
      </c>
      <c r="H1270" s="128">
        <v>2015</v>
      </c>
      <c r="I1270" s="129"/>
      <c r="J1270" s="125">
        <f>IFERROR(INDEX('Labor Expenditures'!$E$7:$W$91,MATCH($C1270,'Labor Expenditures'!$C$7:$C$91,0),MATCH($G1270,'Labor Expenditures'!$E$5:$W$5,0)),"NA")</f>
        <v>107621.18954352815</v>
      </c>
      <c r="K1270" s="125">
        <f t="shared" ca="1" si="2274"/>
        <v>806.15123253579134</v>
      </c>
      <c r="L1270" s="47"/>
      <c r="M1270" s="131">
        <f t="shared" ca="1" si="2281"/>
        <v>7.3101689619468557E-2</v>
      </c>
      <c r="N1270" s="131"/>
      <c r="O1270" s="131"/>
      <c r="P1270" s="59">
        <f t="shared" ca="1" si="2283"/>
        <v>2.9111983380896191E-3</v>
      </c>
      <c r="Q1270" s="61"/>
      <c r="R1270" s="387"/>
      <c r="S1270" s="49">
        <f t="shared" ca="1" si="2290"/>
        <v>123.6231324014059</v>
      </c>
      <c r="T1270" s="61">
        <f ca="1">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</f>
        <v>2.3017849349061285E-3</v>
      </c>
      <c r="U1270" s="61"/>
      <c r="V1270" s="125">
        <f>IFERROR(INDEX('Non-Labor Expenditures'!$E$7:$AA$91,MATCH($C1270,'Non-Labor Expenditures'!$C$7:$C$91,0),MATCH($G1270,'Non-Labor Expenditures'!$E$5:$AA$5,0)),"NA")</f>
        <v>155855.58332453226</v>
      </c>
      <c r="W1270" s="125">
        <f t="shared" si="2275"/>
        <v>1489.459793428189</v>
      </c>
      <c r="X1270" s="131">
        <f t="shared" si="2284"/>
        <v>9.4769349207529899E-2</v>
      </c>
      <c r="Y1270" s="131">
        <f t="shared" si="2285"/>
        <v>3.774090220772677E-3</v>
      </c>
      <c r="Z1270" s="131"/>
      <c r="AA1270" s="131"/>
      <c r="AB1270" s="131"/>
      <c r="AC1270" s="125">
        <f t="shared" si="2256"/>
        <v>133192.35038288409</v>
      </c>
      <c r="AD1270" s="129"/>
      <c r="AE1270" s="133">
        <v>9456.1299094056558</v>
      </c>
      <c r="AF1270" s="134">
        <v>3.1727332390609729E-2</v>
      </c>
      <c r="AG1270" s="59">
        <f t="shared" si="2276"/>
        <v>1.2635078314655167E-3</v>
      </c>
      <c r="AH1270" s="134"/>
      <c r="AI1270" s="134"/>
      <c r="AJ1270" s="129">
        <f t="shared" si="2252"/>
        <v>396669.12325094448</v>
      </c>
      <c r="AK1270" s="134">
        <f t="shared" si="2286"/>
        <v>6.9964059880356075E-2</v>
      </c>
      <c r="AL1270" s="129"/>
      <c r="AM1270" s="129"/>
      <c r="AN1270" s="129"/>
      <c r="AO1270" s="129"/>
      <c r="AP1270" s="133">
        <f t="shared" si="2287"/>
        <v>350.07918499506172</v>
      </c>
      <c r="AQ1270" s="134">
        <f>+BB1270/Outputs!$B$23</f>
        <v>3.1101503389565514E-2</v>
      </c>
      <c r="AR1270" s="93">
        <f t="shared" si="2277"/>
        <v>0.27131224296337236</v>
      </c>
      <c r="AS1270" s="93">
        <f t="shared" si="2278"/>
        <v>0.39291080194798389</v>
      </c>
      <c r="AT1270" s="93">
        <f t="shared" si="2279"/>
        <v>0.3357769550886438</v>
      </c>
      <c r="AU1270" s="93">
        <f t="shared" ca="1" si="2282"/>
        <v>6.711520541209931E-2</v>
      </c>
      <c r="AV1270" s="132">
        <f t="shared" ca="1" si="2292"/>
        <v>117.00805268208951</v>
      </c>
      <c r="AW1270" s="134">
        <f t="shared" ca="1" si="2293"/>
        <v>6.7115205412099241E-2</v>
      </c>
      <c r="AX1270" s="135">
        <f>+AJ1270/$AL$20</f>
        <v>3.9823954182781354E-2</v>
      </c>
      <c r="AY1270" s="135">
        <f t="shared" ca="1" si="2291"/>
        <v>2.6727928652993992E-3</v>
      </c>
      <c r="AZ1270" s="93"/>
      <c r="BA1270" s="93"/>
      <c r="BB1270" s="234">
        <f>IFERROR(INDEX('Total Customers'!$E$7:$AA$91,MATCH($C1270,'Total Customers'!$C$7:$C$91,0),MATCH($G1270,'Total Customers'!$E$5:$AA$5,0)),"NA")</f>
        <v>1133084</v>
      </c>
      <c r="BC1270" s="269">
        <f t="shared" si="2209"/>
        <v>7.9194824759189243E-3</v>
      </c>
      <c r="BD1270" s="92"/>
      <c r="BE1270" s="299" t="str">
        <f t="shared" si="2205"/>
        <v>WASHINGTON GAS LIGHT COMPANY</v>
      </c>
      <c r="BF1270" s="300">
        <f t="shared" si="2206"/>
        <v>4058284</v>
      </c>
      <c r="BG1270" s="231" t="str">
        <f t="shared" si="2207"/>
        <v>DC</v>
      </c>
      <c r="BH1270" s="231"/>
      <c r="BI1270" s="231" t="str">
        <f t="shared" si="2208"/>
        <v>2015 Y</v>
      </c>
      <c r="BJ1270" s="129"/>
      <c r="BK1270" s="129"/>
      <c r="BL1270" s="129">
        <f>INDEX('Dist. Plant Gas Additions'!$E$7:$AD$91,MATCH($C1270,'Dist. Plant Gas Additions'!$C$7:$C$91,0),MATCH(Calculation!$G1270,'Dist. Plant Gas Additions'!$E$5:$AD$5,0))</f>
        <v>237154</v>
      </c>
      <c r="BM1270" s="129">
        <f>INDEX('Gen. Plant Additions'!$E$7:$AD$91,MATCH($C1270,'Gen. Plant Additions'!$C$7:$C$91,0),MATCH(Calculation!$G1270,'Gen. Plant Additions'!$E$5:$AD$5,0))</f>
        <v>13293</v>
      </c>
      <c r="BN1270" s="301">
        <f t="shared" si="2257"/>
        <v>0.92026485719421292</v>
      </c>
      <c r="BO1270" s="231">
        <f t="shared" si="2288"/>
        <v>12233.080746682672</v>
      </c>
      <c r="BP1270" s="231">
        <f t="shared" si="2289"/>
        <v>-1059.9192533173282</v>
      </c>
      <c r="BQ1270" s="129">
        <f>INDEX('Dist Plant Depreciation'!$D$7:$AC$94,MATCH($C1270,'Dist Plant Depreciation'!$C$7:$C$94,0),MATCH(Calculation!$G1270,'Dist Plant Depreciation'!$D$5:$AC$5,0))</f>
        <v>1270757</v>
      </c>
      <c r="BR1270" s="129">
        <f>INDEX('Gen. Plant Depreciation'!$D$7:$AC$94,MATCH($C1270,'Gen. Plant Depreciation'!$C$7:$C$94,0),MATCH(Calculation!$G1270,'Gen. Plant Depreciation'!$D$5:$AC$5,0))</f>
        <v>28850</v>
      </c>
      <c r="BS1270" s="129"/>
      <c r="BT1270" s="129"/>
      <c r="BU1270" s="129"/>
      <c r="BV1270" s="129"/>
      <c r="BW1270" s="129"/>
      <c r="BX1270" s="137"/>
      <c r="BY1270" s="129">
        <f>INDEX('Gross Dx Plant'!$D$7:$AC$91,MATCH($C1270,'Gross Dx Plant'!$C$7:$C$91,0),MATCH(Calculation!$G1270,'Gross Dx Plant'!$D$5:$AC$5,0))</f>
        <v>3409804</v>
      </c>
      <c r="BZ1270" s="129">
        <f>INDEX('Gross Gen Plant'!$D$7:$AC$91,MATCH($C1270,'Gross Gen Plant'!$C$7:$C$91,0),MATCH(Calculation!$G1270,'Gross Gen Plant'!$D$5:$AC$5,0))</f>
        <v>295438</v>
      </c>
      <c r="CA1270" s="129">
        <f t="shared" si="2294"/>
        <v>2405635</v>
      </c>
      <c r="CB1270" s="129"/>
      <c r="CC1270" s="133">
        <v>2015</v>
      </c>
      <c r="CD1270" s="129"/>
      <c r="CE1270" s="129"/>
      <c r="CF1270" s="129"/>
      <c r="CG1270" s="137"/>
      <c r="CH1270" s="129">
        <f t="shared" si="2258"/>
        <v>250447</v>
      </c>
      <c r="CI1270" s="46">
        <f t="shared" si="2266"/>
        <v>249387.08074668268</v>
      </c>
      <c r="CJ1270" s="231">
        <f t="shared" si="2267"/>
        <v>369.12622748757872</v>
      </c>
      <c r="CK1270" s="443">
        <v>0.8</v>
      </c>
      <c r="CL1270" s="231">
        <f>+CL1253*CK1270+CJ1254*CK1269+CJ1255*CK1268+CJ1256*CK1267+CJ1257*CK1266+CJ1258*CK1265+CJ1259*CK1264+CJ1260*CK1263+CJ1261*CK1262+CJ1262*CK1261+CJ1263*CK1260+CJ1264*CK1259+CJ1265*CK1258+CJ1266*CK1257+CJ1267*CK1256+CJ1268*CK1255+CJ1269*CK1254+CJ1270</f>
        <v>8488.3262955026275</v>
      </c>
      <c r="CM1270" s="134">
        <f t="shared" si="2259"/>
        <v>2.9338793001721285E-2</v>
      </c>
      <c r="CN1270" s="135">
        <f t="shared" si="2260"/>
        <v>1.5007659535810671E-2</v>
      </c>
      <c r="CO1270" s="135">
        <f t="shared" si="2270"/>
        <v>1.4684954289657918E-2</v>
      </c>
      <c r="CP1270" s="134">
        <f>VLOOKUP($H1270,RoR!$E:$F,2,FALSE)</f>
        <v>3.8866666666666674E-2</v>
      </c>
      <c r="CQ1270" s="135">
        <v>9.5709475431029478E-3</v>
      </c>
      <c r="CR1270" s="135">
        <f t="shared" si="2268"/>
        <v>2.9295719123563727E-2</v>
      </c>
      <c r="CS1270" s="135">
        <f t="shared" si="2271"/>
        <v>1.6216987318875706E-2</v>
      </c>
      <c r="CT1270" s="135">
        <v>3.5270373279175926E-3</v>
      </c>
      <c r="CU1270" s="139">
        <f t="shared" si="2261"/>
        <v>0.84089999999999998</v>
      </c>
      <c r="CV1270" s="335">
        <f t="shared" si="2262"/>
        <v>1.3194352816994324</v>
      </c>
      <c r="CW1270" s="335">
        <f t="shared" si="2263"/>
        <v>0.33177530017152673</v>
      </c>
      <c r="CX1270" s="335">
        <f t="shared" si="2264"/>
        <v>0.78242572977668579</v>
      </c>
      <c r="CY1270" s="335">
        <f t="shared" si="2265"/>
        <v>0.34251158643433932</v>
      </c>
      <c r="CZ1270" s="336">
        <f>INDEX('State Tax Lookup'!$D$7:$Z$91,MATCH(Calculation!$C1270,'State Tax Lookup'!$B$7:$B$91,0),MATCH($H1270,'State Tax Lookup'!$D$6:$Z$6,0))</f>
        <v>0.43</v>
      </c>
      <c r="DA1270" s="302">
        <v>0.37</v>
      </c>
      <c r="DB1270" s="57">
        <f t="shared" si="2269"/>
        <v>16.158420021251803</v>
      </c>
      <c r="DC1270" s="56">
        <f t="shared" si="2272"/>
        <v>-3.0001638162885712E-2</v>
      </c>
      <c r="DD1270" s="303">
        <f>VLOOKUP($H1270,RoR!$E:$F,2,FALSE)</f>
        <v>3.8866666666666674E-2</v>
      </c>
      <c r="DE1270" s="304">
        <f>HLOOKUP($H1270,'GDP-PI'!$D$8:$CQ$11,3,FALSE)</f>
        <v>9.5709475431029478E-3</v>
      </c>
      <c r="DF1270" s="303">
        <f>VLOOKUP(H1270,'HW Dx Data'!$E:$F,2,FALSE)</f>
        <v>675.61463308665782</v>
      </c>
      <c r="DG1270" s="364">
        <f ca="1">VLOOKUP(CC1270,'ECI - Input Price'!M$13:N$33,2,FALSE)</f>
        <v>133.5</v>
      </c>
      <c r="DH1270" s="364"/>
      <c r="DI1270" s="364"/>
      <c r="DJ1270" s="56">
        <f t="shared" ca="1" si="2280"/>
        <v>3.1193095773504077E-2</v>
      </c>
      <c r="DK1270" s="53">
        <f>HLOOKUP(H1270,'GDP-PI'!$8:$9,2,FALSE)</f>
        <v>104.639</v>
      </c>
      <c r="DL1270" s="355">
        <f t="shared" si="2273"/>
        <v>9.5254361854427965E-3</v>
      </c>
    </row>
    <row r="1271" spans="1:116" s="126" customFormat="1" ht="21" customHeight="1" x14ac:dyDescent="0.4">
      <c r="A1271" s="233" t="s">
        <v>256</v>
      </c>
      <c r="B1271" s="126" t="s">
        <v>256</v>
      </c>
      <c r="C1271" s="126">
        <v>4058284</v>
      </c>
      <c r="D1271" s="127" t="s">
        <v>257</v>
      </c>
      <c r="E1271" s="127"/>
      <c r="F1271" s="144"/>
      <c r="G1271" s="126" t="s">
        <v>172</v>
      </c>
      <c r="H1271" s="128">
        <v>2016</v>
      </c>
      <c r="I1271" s="129"/>
      <c r="J1271" s="125">
        <f>IFERROR(INDEX('Labor Expenditures'!$E$7:$W$91,MATCH($C1271,'Labor Expenditures'!$C$7:$C$91,0),MATCH($G1271,'Labor Expenditures'!$E$5:$W$5,0)),"NA")</f>
        <v>108580.68587000036</v>
      </c>
      <c r="K1271" s="125">
        <f t="shared" ca="1" si="2274"/>
        <v>792.84911186564716</v>
      </c>
      <c r="L1271" s="47"/>
      <c r="M1271" s="131">
        <f t="shared" ca="1" si="2281"/>
        <v>-1.6638429869372594E-2</v>
      </c>
      <c r="N1271" s="131"/>
      <c r="O1271" s="131"/>
      <c r="P1271" s="59">
        <f t="shared" ca="1" si="2283"/>
        <v>-6.4615040749529354E-4</v>
      </c>
      <c r="Q1271" s="61"/>
      <c r="R1271" s="387"/>
      <c r="S1271" s="49">
        <f t="shared" ca="1" si="2290"/>
        <v>306.70799484198659</v>
      </c>
      <c r="T1271" s="61">
        <f ca="1">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</f>
        <v>0.90865845522057676</v>
      </c>
      <c r="U1271" s="61"/>
      <c r="V1271" s="125">
        <f>IFERROR(INDEX('Non-Labor Expenditures'!$E$7:$AA$91,MATCH($C1271,'Non-Labor Expenditures'!$C$7:$C$91,0),MATCH($G1271,'Non-Labor Expenditures'!$E$5:$AA$5,0)),"NA")</f>
        <v>157245.11321445779</v>
      </c>
      <c r="W1271" s="125">
        <f t="shared" si="2275"/>
        <v>1487.1483053497179</v>
      </c>
      <c r="X1271" s="131">
        <f t="shared" si="2284"/>
        <v>-1.5531023677948005E-3</v>
      </c>
      <c r="Y1271" s="131">
        <f t="shared" si="2285"/>
        <v>-6.0314448881969971E-5</v>
      </c>
      <c r="Z1271" s="131"/>
      <c r="AA1271" s="131"/>
      <c r="AB1271" s="131"/>
      <c r="AC1271" s="125">
        <f t="shared" si="2256"/>
        <v>133495.07654007513</v>
      </c>
      <c r="AD1271" s="129"/>
      <c r="AE1271" s="133">
        <v>9819.1119242416844</v>
      </c>
      <c r="AF1271" s="134">
        <v>3.7667483989882219E-2</v>
      </c>
      <c r="AG1271" s="59">
        <f t="shared" si="2276"/>
        <v>1.4628099117806131E-3</v>
      </c>
      <c r="AH1271" s="134"/>
      <c r="AI1271" s="134"/>
      <c r="AJ1271" s="129">
        <f t="shared" si="2252"/>
        <v>399320.87562453328</v>
      </c>
      <c r="AK1271" s="134">
        <f t="shared" si="2286"/>
        <v>6.6628027669985825E-3</v>
      </c>
      <c r="AL1271" s="129"/>
      <c r="AM1271" s="129"/>
      <c r="AN1271" s="129"/>
      <c r="AO1271" s="129"/>
      <c r="AP1271" s="133">
        <f t="shared" si="2287"/>
        <v>348.90299695285756</v>
      </c>
      <c r="AQ1271" s="134">
        <f>+BB1271/Outputs!$B$24</f>
        <v>3.1143496485137406E-2</v>
      </c>
      <c r="AR1271" s="93">
        <f t="shared" si="2277"/>
        <v>0.27191337217264538</v>
      </c>
      <c r="AS1271" s="93">
        <f t="shared" si="2278"/>
        <v>0.39378134931846032</v>
      </c>
      <c r="AT1271" s="93">
        <f t="shared" si="2279"/>
        <v>0.33430527850889424</v>
      </c>
      <c r="AU1271" s="93">
        <f t="shared" ca="1" si="2282"/>
        <v>7.4900385311974316E-3</v>
      </c>
      <c r="AV1271" s="132">
        <f t="shared" ca="1" si="2292"/>
        <v>117.88773783039292</v>
      </c>
      <c r="AW1271" s="134">
        <f t="shared" ca="1" si="2293"/>
        <v>7.490038531197357E-3</v>
      </c>
      <c r="AX1271" s="135">
        <f>+AJ1271/$AL$21</f>
        <v>3.8834818703939324E-2</v>
      </c>
      <c r="AY1271" s="135">
        <f t="shared" ca="1" si="2291"/>
        <v>2.9087428844456933E-4</v>
      </c>
      <c r="AZ1271" s="93"/>
      <c r="BA1271" s="93"/>
      <c r="BB1271" s="234">
        <f>IFERROR(INDEX('Total Customers'!$E$7:$AA$91,MATCH($C1271,'Total Customers'!$C$7:$C$91,0),MATCH($G1271,'Total Customers'!$E$5:$AA$5,0)),"NA")</f>
        <v>1144504</v>
      </c>
      <c r="BC1271" s="269">
        <f t="shared" si="2209"/>
        <v>1.002823662989278E-2</v>
      </c>
      <c r="BD1271" s="92"/>
      <c r="BE1271" s="299" t="str">
        <f t="shared" si="2205"/>
        <v>WASHINGTON GAS LIGHT COMPANY</v>
      </c>
      <c r="BF1271" s="300">
        <f t="shared" si="2206"/>
        <v>4058284</v>
      </c>
      <c r="BG1271" s="231" t="str">
        <f t="shared" si="2207"/>
        <v>DC</v>
      </c>
      <c r="BH1271" s="231"/>
      <c r="BI1271" s="231" t="str">
        <f t="shared" si="2208"/>
        <v>2016 Y</v>
      </c>
      <c r="BJ1271" s="129"/>
      <c r="BK1271" s="129"/>
      <c r="BL1271" s="129">
        <f>INDEX('Dist. Plant Gas Additions'!$E$7:$AD$91,MATCH($C1271,'Dist. Plant Gas Additions'!$C$7:$C$91,0),MATCH(Calculation!$G1271,'Dist. Plant Gas Additions'!$E$5:$AD$5,0))</f>
        <v>277773</v>
      </c>
      <c r="BM1271" s="129">
        <f>INDEX('Gen. Plant Additions'!$E$7:$AD$91,MATCH($C1271,'Gen. Plant Additions'!$C$7:$C$91,0),MATCH(Calculation!$G1271,'Gen. Plant Additions'!$E$5:$AD$5,0))</f>
        <v>19738</v>
      </c>
      <c r="BN1271" s="301">
        <f t="shared" si="2257"/>
        <v>0.92347213618290536</v>
      </c>
      <c r="BO1271" s="231">
        <f t="shared" si="2288"/>
        <v>18227.493023978186</v>
      </c>
      <c r="BP1271" s="231">
        <f t="shared" si="2289"/>
        <v>-1510.5069760218139</v>
      </c>
      <c r="BQ1271" s="129">
        <f>INDEX('Dist Plant Depreciation'!$D$7:$AC$94,MATCH($C1271,'Dist Plant Depreciation'!$C$7:$C$94,0),MATCH(Calculation!$G1271,'Dist Plant Depreciation'!$D$5:$AC$5,0))</f>
        <v>1309409</v>
      </c>
      <c r="BR1271" s="129">
        <f>INDEX('Gen. Plant Depreciation'!$D$7:$AC$94,MATCH($C1271,'Gen. Plant Depreciation'!$C$7:$C$94,0),MATCH(Calculation!$G1271,'Gen. Plant Depreciation'!$D$5:$AC$5,0))</f>
        <v>25651</v>
      </c>
      <c r="BS1271" s="129"/>
      <c r="BT1271" s="129"/>
      <c r="BU1271" s="129"/>
      <c r="BV1271" s="129"/>
      <c r="BW1271" s="129"/>
      <c r="BX1271" s="137"/>
      <c r="BY1271" s="129">
        <f>INDEX('Gross Dx Plant'!$D$7:$AC$91,MATCH($C1271,'Gross Dx Plant'!$C$7:$C$91,0),MATCH(Calculation!$G1271,'Gross Dx Plant'!$D$5:$AC$5,0))</f>
        <v>3680573</v>
      </c>
      <c r="BZ1271" s="129">
        <f>INDEX('Gross Gen Plant'!$D$7:$AC$91,MATCH($C1271,'Gross Gen Plant'!$C$7:$C$91,0),MATCH(Calculation!$G1271,'Gross Gen Plant'!$D$5:$AC$5,0))</f>
        <v>305008</v>
      </c>
      <c r="CA1271" s="129">
        <f t="shared" si="2294"/>
        <v>2650521</v>
      </c>
      <c r="CB1271" s="129"/>
      <c r="CC1271" s="133">
        <v>2016</v>
      </c>
      <c r="CD1271" s="129"/>
      <c r="CE1271" s="129"/>
      <c r="CF1271" s="129"/>
      <c r="CG1271" s="137"/>
      <c r="CH1271" s="129">
        <f t="shared" si="2258"/>
        <v>297511</v>
      </c>
      <c r="CI1271" s="46">
        <f t="shared" si="2266"/>
        <v>296000.4930239782</v>
      </c>
      <c r="CJ1271" s="231">
        <f t="shared" si="2267"/>
        <v>440.83353100934471</v>
      </c>
      <c r="CK1271" s="443">
        <v>0.7857142857142857</v>
      </c>
      <c r="CL1271" s="231">
        <f>+CL1253*CK1271+CJ1254*CK1270+CJ1255*CK1269+CJ1256*CK1268+CJ1257*CK1267+CJ1258*CK1266+CJ1259*CK1265+CJ1260*CK1264+CJ1261*CK1263+CJ1262*CK1262+CJ1263*CK1261+CJ1264*CK1260+CJ1265*CK1259+CJ1266*CK1258+CJ1267*CK1257+CJ1268*CK1256+CJ1269*CK1255+CJ1270*CK1254+CJ1271</f>
        <v>8798.95350483927</v>
      </c>
      <c r="CM1271" s="134">
        <f t="shared" si="2259"/>
        <v>3.5940951957973651E-2</v>
      </c>
      <c r="CN1271" s="135">
        <f t="shared" si="2260"/>
        <v>1.5339457643338895E-2</v>
      </c>
      <c r="CO1271" s="135">
        <f t="shared" si="2270"/>
        <v>1.5018995201423651E-2</v>
      </c>
      <c r="CP1271" s="134">
        <f>VLOOKUP($H1271,RoR!$E:$F,2,FALSE)</f>
        <v>3.6658333333333334E-2</v>
      </c>
      <c r="CQ1271" s="135">
        <v>1.0483662879041455E-2</v>
      </c>
      <c r="CR1271" s="135">
        <f t="shared" si="2268"/>
        <v>2.6174670454291879E-2</v>
      </c>
      <c r="CS1271" s="135">
        <f t="shared" si="2271"/>
        <v>1.5882946407109973E-2</v>
      </c>
      <c r="CT1271" s="135">
        <v>4.301363574220729E-3</v>
      </c>
      <c r="CU1271" s="139">
        <f t="shared" si="2261"/>
        <v>0.84089999999999998</v>
      </c>
      <c r="CV1271" s="335">
        <f t="shared" si="2262"/>
        <v>1.3989193348138562</v>
      </c>
      <c r="CW1271" s="335">
        <f t="shared" si="2263"/>
        <v>0.29302682427824522</v>
      </c>
      <c r="CX1271" s="335">
        <f t="shared" si="2264"/>
        <v>0.76309497491941802</v>
      </c>
      <c r="CY1271" s="335">
        <f t="shared" si="2265"/>
        <v>0.31280857135128509</v>
      </c>
      <c r="CZ1271" s="336">
        <f>INDEX('State Tax Lookup'!$D$7:$Z$91,MATCH(Calculation!$C1271,'State Tax Lookup'!$B$7:$B$91,0),MATCH($H1271,'State Tax Lookup'!$D$6:$Z$6,0))</f>
        <v>0.43</v>
      </c>
      <c r="DA1271" s="302">
        <v>0.37</v>
      </c>
      <c r="DB1271" s="57">
        <f t="shared" si="2269"/>
        <v>15.726902087965781</v>
      </c>
      <c r="DC1271" s="56">
        <f t="shared" si="2272"/>
        <v>-2.7068522590341388E-2</v>
      </c>
      <c r="DD1271" s="303">
        <f>VLOOKUP($H1271,RoR!$E:$F,2,FALSE)</f>
        <v>3.6658333333333334E-2</v>
      </c>
      <c r="DE1271" s="304">
        <f>HLOOKUP($H1271,'GDP-PI'!$D$8:$CQ$11,3,FALSE)</f>
        <v>1.0483662879041455E-2</v>
      </c>
      <c r="DF1271" s="303">
        <f>VLOOKUP(H1271,'HW Dx Data'!$E:$F,2,FALSE)</f>
        <v>671.45639385971219</v>
      </c>
      <c r="DG1271" s="364">
        <f ca="1">VLOOKUP(CC1271,'ECI - Input Price'!M$13:N$33,2,FALSE)</f>
        <v>136.94999999999999</v>
      </c>
      <c r="DH1271" s="364"/>
      <c r="DI1271" s="364"/>
      <c r="DJ1271" s="56">
        <f t="shared" ca="1" si="2280"/>
        <v>2.5514417868782811E-2</v>
      </c>
      <c r="DK1271" s="53">
        <f>HLOOKUP(H1271,'GDP-PI'!$8:$9,2,FALSE)</f>
        <v>105.736</v>
      </c>
      <c r="DL1271" s="355">
        <f t="shared" si="2273"/>
        <v>1.0429090367205095E-2</v>
      </c>
    </row>
    <row r="1272" spans="1:116" s="126" customFormat="1" ht="21" customHeight="1" x14ac:dyDescent="0.4">
      <c r="A1272" s="233" t="s">
        <v>256</v>
      </c>
      <c r="B1272" s="126" t="s">
        <v>256</v>
      </c>
      <c r="C1272" s="126">
        <v>4058284</v>
      </c>
      <c r="D1272" s="127" t="s">
        <v>257</v>
      </c>
      <c r="E1272" s="127"/>
      <c r="F1272" s="144"/>
      <c r="G1272" s="126" t="s">
        <v>173</v>
      </c>
      <c r="H1272" s="128">
        <v>2017</v>
      </c>
      <c r="I1272" s="129"/>
      <c r="J1272" s="125">
        <f>IFERROR(INDEX('Labor Expenditures'!$E$7:$W$91,MATCH($C1272,'Labor Expenditures'!$C$7:$C$91,0),MATCH($G1272,'Labor Expenditures'!$E$5:$W$5,0)),"NA")</f>
        <v>108202.62001644187</v>
      </c>
      <c r="K1272" s="125">
        <f t="shared" ca="1" si="2274"/>
        <v>770.39957291877454</v>
      </c>
      <c r="L1272" s="47"/>
      <c r="M1272" s="131">
        <f t="shared" ca="1" si="2281"/>
        <v>-2.8723622334602589E-2</v>
      </c>
      <c r="N1272" s="131"/>
      <c r="O1272" s="131"/>
      <c r="P1272" s="59">
        <f t="shared" ca="1" si="2283"/>
        <v>-1.082800758482485E-3</v>
      </c>
      <c r="Q1272" s="61"/>
      <c r="R1272" s="387"/>
      <c r="S1272" s="49">
        <f t="shared" ca="1" si="2290"/>
        <v>172.22429803466696</v>
      </c>
      <c r="T1272" s="61">
        <f ca="1">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</f>
        <v>-0.57709845247501723</v>
      </c>
      <c r="U1272" s="61"/>
      <c r="V1272" s="125">
        <f>IFERROR(INDEX('Non-Labor Expenditures'!$E$7:$AA$91,MATCH($C1272,'Non-Labor Expenditures'!$C$7:$C$91,0),MATCH($G1272,'Non-Labor Expenditures'!$E$5:$AA$5,0)),"NA")</f>
        <v>156697.60324554396</v>
      </c>
      <c r="W1272" s="125">
        <f t="shared" si="2275"/>
        <v>1454.2566031456224</v>
      </c>
      <c r="X1272" s="131">
        <f t="shared" si="2284"/>
        <v>-2.2365552721182225E-2</v>
      </c>
      <c r="Y1272" s="131">
        <f t="shared" si="2285"/>
        <v>-8.4311919883454294E-4</v>
      </c>
      <c r="Z1272" s="131"/>
      <c r="AA1272" s="131"/>
      <c r="AB1272" s="131"/>
      <c r="AC1272" s="125">
        <f t="shared" si="2256"/>
        <v>122594.31495332574</v>
      </c>
      <c r="AD1272" s="129"/>
      <c r="AE1272" s="133">
        <v>10098.696158730963</v>
      </c>
      <c r="AF1272" s="134">
        <v>2.8075639455440428E-2</v>
      </c>
      <c r="AG1272" s="59">
        <f t="shared" si="2276"/>
        <v>1.058373604244518E-3</v>
      </c>
      <c r="AH1272" s="134"/>
      <c r="AI1272" s="134"/>
      <c r="AJ1272" s="129">
        <f t="shared" si="2252"/>
        <v>387494.53821531154</v>
      </c>
      <c r="AK1272" s="134">
        <f t="shared" si="2286"/>
        <v>-3.0063539489055945E-2</v>
      </c>
      <c r="AL1272" s="129"/>
      <c r="AM1272" s="129"/>
      <c r="AN1272" s="129"/>
      <c r="AO1272" s="129"/>
      <c r="AP1272" s="133">
        <f t="shared" si="2287"/>
        <v>333.99662828048486</v>
      </c>
      <c r="AQ1272" s="134">
        <f>+BB1272/Outputs!$B$25</f>
        <v>3.1332735652527866E-2</v>
      </c>
      <c r="AR1272" s="93">
        <f t="shared" si="2277"/>
        <v>0.27923650360284313</v>
      </c>
      <c r="AS1272" s="93">
        <f t="shared" si="2278"/>
        <v>0.40438661140166793</v>
      </c>
      <c r="AT1272" s="93">
        <f t="shared" si="2279"/>
        <v>0.31637688499548899</v>
      </c>
      <c r="AU1272" s="93">
        <f t="shared" ca="1" si="2282"/>
        <v>-7.7070853323738982E-3</v>
      </c>
      <c r="AV1272" s="132">
        <f t="shared" ca="1" si="2292"/>
        <v>116.98265921442812</v>
      </c>
      <c r="AW1272" s="134">
        <f t="shared" ca="1" si="2293"/>
        <v>-7.7070853323738513E-3</v>
      </c>
      <c r="AX1272" s="135">
        <f>+AJ1272/$AL$22</f>
        <v>3.7697221675904835E-2</v>
      </c>
      <c r="AY1272" s="135">
        <f t="shared" ca="1" si="2291"/>
        <v>-2.9053570424961177E-4</v>
      </c>
      <c r="AZ1272" s="93"/>
      <c r="BA1272" s="93"/>
      <c r="BB1272" s="234">
        <f>IFERROR(INDEX('Total Customers'!$E$7:$AA$91,MATCH($C1272,'Total Customers'!$C$7:$C$91,0),MATCH($G1272,'Total Customers'!$E$5:$AA$5,0)),"NA")</f>
        <v>1160175</v>
      </c>
      <c r="BC1272" s="269">
        <f t="shared" si="2209"/>
        <v>1.3599500428352217E-2</v>
      </c>
      <c r="BD1272" s="92"/>
      <c r="BE1272" s="299" t="str">
        <f t="shared" si="2205"/>
        <v>WASHINGTON GAS LIGHT COMPANY</v>
      </c>
      <c r="BF1272" s="300">
        <f t="shared" si="2206"/>
        <v>4058284</v>
      </c>
      <c r="BG1272" s="231" t="str">
        <f t="shared" si="2207"/>
        <v>DC</v>
      </c>
      <c r="BH1272" s="231"/>
      <c r="BI1272" s="231" t="str">
        <f t="shared" si="2208"/>
        <v>2017 Y</v>
      </c>
      <c r="BJ1272" s="129"/>
      <c r="BK1272" s="129"/>
      <c r="BL1272" s="129">
        <f>INDEX('Dist. Plant Gas Additions'!$E$7:$AD$91,MATCH($C1272,'Dist. Plant Gas Additions'!$C$7:$C$91,0),MATCH(Calculation!$G1272,'Dist. Plant Gas Additions'!$E$5:$AD$5,0))</f>
        <v>225817</v>
      </c>
      <c r="BM1272" s="129">
        <f>INDEX('Gen. Plant Additions'!$E$7:$AD$91,MATCH($C1272,'Gen. Plant Additions'!$C$7:$C$91,0),MATCH(Calculation!$G1272,'Gen. Plant Additions'!$E$5:$AD$5,0))</f>
        <v>34208</v>
      </c>
      <c r="BN1272" s="301">
        <f t="shared" si="2257"/>
        <v>0.92014191940968504</v>
      </c>
      <c r="BO1272" s="231">
        <f t="shared" si="2288"/>
        <v>31476.214779166505</v>
      </c>
      <c r="BP1272" s="231">
        <f t="shared" si="2289"/>
        <v>-2731.7852208334953</v>
      </c>
      <c r="BQ1272" s="129">
        <f>INDEX('Dist Plant Depreciation'!$D$7:$AC$94,MATCH($C1272,'Dist Plant Depreciation'!$C$7:$C$94,0),MATCH(Calculation!$G1272,'Dist Plant Depreciation'!$D$5:$AC$5,0))</f>
        <v>1344533</v>
      </c>
      <c r="BR1272" s="129">
        <f>INDEX('Gen. Plant Depreciation'!$D$7:$AC$94,MATCH($C1272,'Gen. Plant Depreciation'!$C$7:$C$94,0),MATCH(Calculation!$G1272,'Gen. Plant Depreciation'!$D$5:$AC$5,0))</f>
        <v>31725</v>
      </c>
      <c r="BS1272" s="129"/>
      <c r="BT1272" s="129"/>
      <c r="BU1272" s="129"/>
      <c r="BV1272" s="129"/>
      <c r="BW1272" s="129"/>
      <c r="BX1272" s="137"/>
      <c r="BY1272" s="129">
        <f>INDEX('Gross Dx Plant'!$D$7:$AC$91,MATCH($C1272,'Gross Dx Plant'!$C$7:$C$91,0),MATCH(Calculation!$G1272,'Gross Dx Plant'!$D$5:$AC$5,0))</f>
        <v>3967156</v>
      </c>
      <c r="BZ1272" s="129">
        <f>INDEX('Gross Gen Plant'!$D$7:$AC$91,MATCH($C1272,'Gross Gen Plant'!$C$7:$C$91,0),MATCH(Calculation!$G1272,'Gross Gen Plant'!$D$5:$AC$5,0))</f>
        <v>344305</v>
      </c>
      <c r="CA1272" s="129">
        <f t="shared" si="2294"/>
        <v>2935203</v>
      </c>
      <c r="CB1272" s="129"/>
      <c r="CC1272" s="133">
        <v>2017</v>
      </c>
      <c r="CD1272" s="129"/>
      <c r="CE1272" s="129"/>
      <c r="CF1272" s="129"/>
      <c r="CG1272" s="137"/>
      <c r="CH1272" s="129">
        <f t="shared" si="2258"/>
        <v>260025</v>
      </c>
      <c r="CI1272" s="46">
        <f t="shared" si="2266"/>
        <v>257293.2147791665</v>
      </c>
      <c r="CJ1272" s="231">
        <f t="shared" si="2267"/>
        <v>361.14948314129083</v>
      </c>
      <c r="CK1272" s="443">
        <v>0.77108433734939763</v>
      </c>
      <c r="CL1272" s="231">
        <f>+CL1253*CK1272+CJ1254*CK1271+CJ1255*CK1270+CJ1256*CK1269+CJ1257*CK1268+CJ1258*CK1267+CJ1259*CK1266+CJ1260*CK1265+CJ1261*CK1264+CJ1262*CK1263+CJ1263*CK1262+CJ1264*CK1261+CJ1265*CK1260+CJ1266*CK1259+CJ1267*CK1258+CJ1268*CK1257+CJ1269*CK1256+CJ1270*CK1255+CJ1271*CK1254+CJ1272</f>
        <v>9022.5144525795331</v>
      </c>
      <c r="CM1272" s="134">
        <f t="shared" si="2259"/>
        <v>2.5090264863100138E-2</v>
      </c>
      <c r="CN1272" s="135">
        <f t="shared" si="2260"/>
        <v>1.5636920382106394E-2</v>
      </c>
      <c r="CO1272" s="135">
        <f t="shared" si="2270"/>
        <v>1.5328012520418655E-2</v>
      </c>
      <c r="CP1272" s="134">
        <f>VLOOKUP($H1272,RoR!$E:$F,2,FALSE)</f>
        <v>3.7433333333333339E-2</v>
      </c>
      <c r="CQ1272" s="135">
        <v>1.9056896421275615E-2</v>
      </c>
      <c r="CR1272" s="135">
        <f t="shared" si="2268"/>
        <v>1.8376436912057724E-2</v>
      </c>
      <c r="CS1272" s="135">
        <f t="shared" si="2271"/>
        <v>1.557392908811497E-2</v>
      </c>
      <c r="CT1272" s="135">
        <v>1.3976271617800498E-2</v>
      </c>
      <c r="CU1272" s="139">
        <f t="shared" si="2261"/>
        <v>0.89270000000000005</v>
      </c>
      <c r="CV1272" s="335">
        <f t="shared" si="2262"/>
        <v>1.3699568463593395</v>
      </c>
      <c r="CW1272" s="335">
        <f t="shared" si="2263"/>
        <v>0.30714603739982199</v>
      </c>
      <c r="CX1272" s="335">
        <f t="shared" si="2264"/>
        <v>0.77007188472689425</v>
      </c>
      <c r="CY1272" s="335">
        <f t="shared" si="2265"/>
        <v>0.32402839633793828</v>
      </c>
      <c r="CZ1272" s="336">
        <f>INDEX('State Tax Lookup'!$D$7:$Z$91,MATCH(Calculation!$C1272,'State Tax Lookup'!$B$7:$B$91,0),MATCH($H1272,'State Tax Lookup'!$D$6:$Z$6,0))</f>
        <v>0.28999999999999998</v>
      </c>
      <c r="DA1272" s="302">
        <v>0.37</v>
      </c>
      <c r="DB1272" s="57">
        <f t="shared" si="2269"/>
        <v>13.932829044488191</v>
      </c>
      <c r="DC1272" s="56">
        <f t="shared" si="2272"/>
        <v>-0.12112489753227224</v>
      </c>
      <c r="DD1272" s="303">
        <f>VLOOKUP($H1272,RoR!$E:$F,2,FALSE)</f>
        <v>3.7433333333333339E-2</v>
      </c>
      <c r="DE1272" s="304">
        <f>HLOOKUP($H1272,'GDP-PI'!$D$8:$CQ$11,3,FALSE)</f>
        <v>1.9056896421275615E-2</v>
      </c>
      <c r="DF1272" s="303">
        <f>VLOOKUP(H1272,'HW Dx Data'!$E:$F,2,FALSE)</f>
        <v>712.42858370229726</v>
      </c>
      <c r="DG1272" s="364">
        <f ca="1">VLOOKUP(CC1272,'ECI - Input Price'!M$13:N$33,2,FALSE)</f>
        <v>140.44999999999999</v>
      </c>
      <c r="DH1272" s="364"/>
      <c r="DI1272" s="364"/>
      <c r="DJ1272" s="56">
        <f t="shared" ca="1" si="2280"/>
        <v>2.5235657841165486E-2</v>
      </c>
      <c r="DK1272" s="53">
        <f>HLOOKUP(H1272,'GDP-PI'!$8:$9,2,FALSE)</f>
        <v>107.751</v>
      </c>
      <c r="DL1272" s="355">
        <f t="shared" si="2273"/>
        <v>1.8877588227745139E-2</v>
      </c>
    </row>
    <row r="1273" spans="1:116" s="126" customFormat="1" ht="21" customHeight="1" x14ac:dyDescent="0.4">
      <c r="A1273" s="233" t="s">
        <v>256</v>
      </c>
      <c r="B1273" s="126" t="s">
        <v>256</v>
      </c>
      <c r="C1273" s="126">
        <v>4058284</v>
      </c>
      <c r="D1273" s="127" t="s">
        <v>257</v>
      </c>
      <c r="E1273" s="127"/>
      <c r="F1273" s="144"/>
      <c r="G1273" s="126" t="s">
        <v>174</v>
      </c>
      <c r="H1273" s="128">
        <v>2018</v>
      </c>
      <c r="I1273" s="129"/>
      <c r="J1273" s="125">
        <f>IFERROR(INDEX('Labor Expenditures'!$E$7:$W$91,MATCH($C1273,'Labor Expenditures'!$C$7:$C$91,0),MATCH($G1273,'Labor Expenditures'!$E$5:$W$5,0)),"NA")</f>
        <v>116068.48150952866</v>
      </c>
      <c r="K1273" s="125">
        <f t="shared" ca="1" si="2274"/>
        <v>803.52012121515179</v>
      </c>
      <c r="L1273" s="47"/>
      <c r="M1273" s="131">
        <f t="shared" ca="1" si="2281"/>
        <v>4.2092920703585036E-2</v>
      </c>
      <c r="N1273" s="131"/>
      <c r="O1273" s="131"/>
      <c r="P1273" s="59">
        <f t="shared" ca="1" si="2283"/>
        <v>1.5671358682969655E-3</v>
      </c>
      <c r="Q1273" s="61"/>
      <c r="R1273" s="387"/>
      <c r="S1273" s="49">
        <f t="shared" ca="1" si="2290"/>
        <v>118.61448369481741</v>
      </c>
      <c r="T1273" s="61">
        <f ca="1">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</f>
        <v>-0.37291908428563997</v>
      </c>
      <c r="U1273" s="61"/>
      <c r="V1273" s="125">
        <f>IFERROR(INDEX('Non-Labor Expenditures'!$E$7:$AA$91,MATCH($C1273,'Non-Labor Expenditures'!$C$7:$C$91,0),MATCH($G1273,'Non-Labor Expenditures'!$E$5:$AA$5,0)),"NA")</f>
        <v>168088.83982780809</v>
      </c>
      <c r="W1273" s="125">
        <f t="shared" si="2275"/>
        <v>1523.6203098911194</v>
      </c>
      <c r="X1273" s="131">
        <f t="shared" si="2284"/>
        <v>4.6594441349067886E-2</v>
      </c>
      <c r="Y1273" s="131">
        <f t="shared" si="2285"/>
        <v>1.7347292390467088E-3</v>
      </c>
      <c r="Z1273" s="131"/>
      <c r="AA1273" s="131"/>
      <c r="AB1273" s="131"/>
      <c r="AC1273" s="125">
        <f t="shared" si="2256"/>
        <v>130140.50372524979</v>
      </c>
      <c r="AD1273" s="129"/>
      <c r="AE1273" s="133">
        <v>10418.242546135509</v>
      </c>
      <c r="AF1273" s="134">
        <v>3.1152038181958528E-2</v>
      </c>
      <c r="AG1273" s="59">
        <f t="shared" si="2276"/>
        <v>1.1598025413652481E-3</v>
      </c>
      <c r="AH1273" s="134"/>
      <c r="AI1273" s="134"/>
      <c r="AJ1273" s="129">
        <f t="shared" si="2252"/>
        <v>414297.82506258652</v>
      </c>
      <c r="AK1273" s="134">
        <f t="shared" si="2286"/>
        <v>6.6883345635831648E-2</v>
      </c>
      <c r="AL1273" s="129"/>
      <c r="AM1273" s="129"/>
      <c r="AN1273" s="129"/>
      <c r="AO1273" s="129"/>
      <c r="AP1273" s="133">
        <f t="shared" si="2287"/>
        <v>351.89609120857068</v>
      </c>
      <c r="AQ1273" s="134">
        <f>+BB1273/Outputs!$B$26</f>
        <v>3.1517573309886762E-2</v>
      </c>
      <c r="AR1273" s="93">
        <f t="shared" si="2277"/>
        <v>0.28015711038790658</v>
      </c>
      <c r="AS1273" s="93">
        <f t="shared" si="2278"/>
        <v>0.40571982197206924</v>
      </c>
      <c r="AT1273" s="93">
        <f t="shared" si="2279"/>
        <v>0.31412306764002423</v>
      </c>
      <c r="AU1273" s="93">
        <f t="shared" ca="1" si="2282"/>
        <v>4.0467163165182105E-2</v>
      </c>
      <c r="AV1273" s="132">
        <f t="shared" ca="1" si="2292"/>
        <v>121.81370569003742</v>
      </c>
      <c r="AW1273" s="134">
        <f t="shared" ca="1" si="2293"/>
        <v>4.0467163165182195E-2</v>
      </c>
      <c r="AX1273" s="135">
        <f>+AJ1273/$AL$23</f>
        <v>3.7230390338855557E-2</v>
      </c>
      <c r="AY1273" s="135">
        <f t="shared" ca="1" si="2291"/>
        <v>1.5066082805458905E-3</v>
      </c>
      <c r="AZ1273" s="93"/>
      <c r="BA1273" s="93"/>
      <c r="BB1273" s="234">
        <f>IFERROR(INDEX('Total Customers'!$E$7:$AA$91,MATCH($C1273,'Total Customers'!$C$7:$C$91,0),MATCH($G1273,'Total Customers'!$E$5:$AA$5,0)),"NA")</f>
        <v>1177330</v>
      </c>
      <c r="BC1273" s="269">
        <f t="shared" si="2209"/>
        <v>1.4678307003816542E-2</v>
      </c>
      <c r="BD1273" s="92"/>
      <c r="BE1273" s="299" t="str">
        <f t="shared" si="2205"/>
        <v>WASHINGTON GAS LIGHT COMPANY</v>
      </c>
      <c r="BF1273" s="300">
        <f t="shared" si="2206"/>
        <v>4058284</v>
      </c>
      <c r="BG1273" s="231" t="str">
        <f t="shared" si="2207"/>
        <v>DC</v>
      </c>
      <c r="BH1273" s="231"/>
      <c r="BI1273" s="231" t="str">
        <f t="shared" si="2208"/>
        <v>2018 Y</v>
      </c>
      <c r="BJ1273" s="129"/>
      <c r="BK1273" s="129"/>
      <c r="BL1273" s="129">
        <f>INDEX('Dist. Plant Gas Additions'!$E$7:$AD$91,MATCH($C1273,'Dist. Plant Gas Additions'!$C$7:$C$91,0),MATCH(Calculation!$G1273,'Dist. Plant Gas Additions'!$E$5:$AD$5,0))</f>
        <v>279668</v>
      </c>
      <c r="BM1273" s="129">
        <f>INDEX('Gen. Plant Additions'!$E$7:$AD$91,MATCH($C1273,'Gen. Plant Additions'!$C$7:$C$91,0),MATCH(Calculation!$G1273,'Gen. Plant Additions'!$E$5:$AD$5,0))</f>
        <v>30019</v>
      </c>
      <c r="BN1273" s="301">
        <f t="shared" si="2257"/>
        <v>0.92099951887086828</v>
      </c>
      <c r="BO1273" s="231">
        <f t="shared" si="2288"/>
        <v>27647.484556984597</v>
      </c>
      <c r="BP1273" s="231">
        <f t="shared" si="2289"/>
        <v>-2371.5154430154034</v>
      </c>
      <c r="BQ1273" s="129">
        <f>INDEX('Dist Plant Depreciation'!$D$7:$AC$94,MATCH($C1273,'Dist Plant Depreciation'!$C$7:$C$94,0),MATCH(Calculation!$G1273,'Dist Plant Depreciation'!$D$5:$AC$5,0))</f>
        <v>1379730</v>
      </c>
      <c r="BR1273" s="129">
        <f>INDEX('Gen. Plant Depreciation'!$D$7:$AC$94,MATCH($C1273,'Gen. Plant Depreciation'!$C$7:$C$94,0),MATCH(Calculation!$G1273,'Gen. Plant Depreciation'!$D$5:$AC$5,0))</f>
        <v>35137</v>
      </c>
      <c r="BS1273" s="129"/>
      <c r="BT1273" s="129"/>
      <c r="BU1273" s="129"/>
      <c r="BV1273" s="129"/>
      <c r="BW1273" s="129"/>
      <c r="BX1273" s="137"/>
      <c r="BY1273" s="129">
        <f>INDEX('Gross Dx Plant'!$D$7:$AC$91,MATCH($C1273,'Gross Dx Plant'!$C$7:$C$91,0),MATCH(Calculation!$G1273,'Gross Dx Plant'!$D$5:$AC$5,0))</f>
        <v>4194113</v>
      </c>
      <c r="BZ1273" s="129">
        <f>INDEX('Gross Gen Plant'!$D$7:$AC$91,MATCH($C1273,'Gross Gen Plant'!$C$7:$C$91,0),MATCH(Calculation!$G1273,'Gross Gen Plant'!$D$5:$AC$5,0))</f>
        <v>359758</v>
      </c>
      <c r="CA1273" s="129">
        <f t="shared" si="2294"/>
        <v>3139004</v>
      </c>
      <c r="CB1273" s="129"/>
      <c r="CC1273" s="133">
        <v>2018</v>
      </c>
      <c r="CD1273" s="129"/>
      <c r="CE1273" s="129"/>
      <c r="CF1273" s="129"/>
      <c r="CG1273" s="137"/>
      <c r="CH1273" s="129">
        <f t="shared" si="2258"/>
        <v>309687</v>
      </c>
      <c r="CI1273" s="46">
        <f t="shared" si="2266"/>
        <v>307315.48455698462</v>
      </c>
      <c r="CJ1273" s="231">
        <f t="shared" si="2267"/>
        <v>406.9666839399685</v>
      </c>
      <c r="CK1273" s="443">
        <v>0.75609756097560976</v>
      </c>
      <c r="CL1273" s="231">
        <f>+CL1253*CK1273++CJ1254*CK1272+CJ1255*CK1271+CJ1256*CK1270+CJ1257*CK1269+CJ1258*CK1268+CJ1259*CK1267+CJ1260*CK1266+CJ1261*CK1265+CJ1262*CK1264+CJ1263*CK1263+CJ1264*CK1262+CJ1265*CK1261+CJ1266*CK1260+CJ1267*CK1259+CJ1268*CK1258+CJ1269*CK1257+CJ1270*CK1256+CJ1271*CK1255+CJ1272*CK1254+CJ1273</f>
        <v>9285.1055525398187</v>
      </c>
      <c r="CM1273" s="134">
        <f t="shared" si="2259"/>
        <v>2.8688503440015833E-2</v>
      </c>
      <c r="CN1273" s="135">
        <f t="shared" si="2260"/>
        <v>1.6001701603083156E-2</v>
      </c>
      <c r="CO1273" s="135">
        <f t="shared" si="2270"/>
        <v>1.5659359876176147E-2</v>
      </c>
      <c r="CP1273" s="134">
        <f>VLOOKUP($H1273,RoR!$E:$F,2,FALSE)</f>
        <v>3.9299999999999995E-2</v>
      </c>
      <c r="CQ1273" s="135">
        <v>2.386056741932796E-2</v>
      </c>
      <c r="CR1273" s="135">
        <f t="shared" si="2268"/>
        <v>1.5439432580672034E-2</v>
      </c>
      <c r="CS1273" s="135">
        <f t="shared" si="2271"/>
        <v>1.5242581732357478E-2</v>
      </c>
      <c r="CT1273" s="135">
        <v>3.8270792163076606E-2</v>
      </c>
      <c r="CU1273" s="139">
        <f t="shared" si="2261"/>
        <v>0.89270000000000005</v>
      </c>
      <c r="CV1273" s="335">
        <f t="shared" si="2262"/>
        <v>1.3048868010700074</v>
      </c>
      <c r="CW1273" s="335">
        <f t="shared" si="2263"/>
        <v>0.33886768447837151</v>
      </c>
      <c r="CX1273" s="335">
        <f t="shared" si="2264"/>
        <v>0.78602506232557801</v>
      </c>
      <c r="CY1273" s="335">
        <f t="shared" si="2265"/>
        <v>0.34756768162358759</v>
      </c>
      <c r="CZ1273" s="336">
        <f>INDEX('State Tax Lookup'!$D$7:$Z$91,MATCH(Calculation!$C1273,'State Tax Lookup'!$B$7:$B$91,0),MATCH($H1273,'State Tax Lookup'!$D$6:$Z$6,0))</f>
        <v>0.28999999999999998</v>
      </c>
      <c r="DA1273" s="302">
        <v>0.37</v>
      </c>
      <c r="DB1273" s="57">
        <f t="shared" si="2269"/>
        <v>14.423972874661638</v>
      </c>
      <c r="DC1273" s="56">
        <f t="shared" si="2272"/>
        <v>3.4643748101175154E-2</v>
      </c>
      <c r="DD1273" s="303">
        <f>VLOOKUP($H1273,RoR!$E:$F,2,FALSE)</f>
        <v>3.9299999999999995E-2</v>
      </c>
      <c r="DE1273" s="304">
        <f>HLOOKUP($H1273,'GDP-PI'!$D$8:$CQ$11,3,FALSE)</f>
        <v>2.386056741932796E-2</v>
      </c>
      <c r="DF1273" s="303">
        <f>VLOOKUP(H1273,'HW Dx Data'!$E:$F,2,FALSE)</f>
        <v>755.13671434174842</v>
      </c>
      <c r="DG1273" s="364">
        <f ca="1">VLOOKUP(CC1273,'ECI - Input Price'!M$13:N$33,2,FALSE)</f>
        <v>144.44999999999999</v>
      </c>
      <c r="DH1273" s="364"/>
      <c r="DI1273" s="364"/>
      <c r="DJ1273" s="56">
        <f t="shared" ca="1" si="2280"/>
        <v>2.80818733619915E-2</v>
      </c>
      <c r="DK1273" s="53">
        <f>HLOOKUP(H1273,'GDP-PI'!$8:$9,2,FALSE)</f>
        <v>110.322</v>
      </c>
      <c r="DL1273" s="355">
        <f t="shared" si="2273"/>
        <v>2.3580352716508712E-2</v>
      </c>
    </row>
    <row r="1274" spans="1:116" s="126" customFormat="1" ht="21" customHeight="1" x14ac:dyDescent="0.4">
      <c r="A1274" s="233" t="s">
        <v>256</v>
      </c>
      <c r="B1274" s="126" t="s">
        <v>256</v>
      </c>
      <c r="C1274" s="126">
        <v>4058284</v>
      </c>
      <c r="D1274" s="127" t="s">
        <v>257</v>
      </c>
      <c r="E1274" s="127"/>
      <c r="F1274" s="144"/>
      <c r="G1274" s="126" t="s">
        <v>175</v>
      </c>
      <c r="H1274" s="128">
        <v>2019</v>
      </c>
      <c r="I1274" s="129"/>
      <c r="J1274" s="125">
        <f>IFERROR(INDEX('Labor Expenditures'!$E$7:$W$91,MATCH($C1274,'Labor Expenditures'!$C$7:$C$91,0),MATCH($G1274,'Labor Expenditures'!$E$5:$W$5,0)),"NA")</f>
        <v>127636.60855201456</v>
      </c>
      <c r="K1274" s="125">
        <f t="shared" ca="1" si="2274"/>
        <v>852.75836680818134</v>
      </c>
      <c r="L1274" s="47"/>
      <c r="M1274" s="131">
        <f t="shared" ca="1" si="2281"/>
        <v>5.9474005986695125E-2</v>
      </c>
      <c r="N1274" s="131"/>
      <c r="O1274" s="131"/>
      <c r="P1274" s="59">
        <f t="shared" ca="1" si="2283"/>
        <v>2.3309289501274974E-3</v>
      </c>
      <c r="Q1274" s="61"/>
      <c r="R1274" s="387"/>
      <c r="S1274" s="49">
        <f t="shared" ca="1" si="2290"/>
        <v>117.95312805093616</v>
      </c>
      <c r="T1274" s="61">
        <f ca="1">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</f>
        <v>-5.59127567769384E-3</v>
      </c>
      <c r="U1274" s="61"/>
      <c r="V1274" s="125">
        <f>IFERROR(INDEX('Non-Labor Expenditures'!$E$7:$AA$91,MATCH($C1274,'Non-Labor Expenditures'!$C$7:$C$91,0),MATCH($G1274,'Non-Labor Expenditures'!$E$5:$AA$5,0)),"NA")</f>
        <v>184841.64841342322</v>
      </c>
      <c r="W1274" s="125">
        <f t="shared" si="2275"/>
        <v>1645.6992504622876</v>
      </c>
      <c r="X1274" s="131">
        <f t="shared" si="2284"/>
        <v>7.7076084434464939E-2</v>
      </c>
      <c r="Y1274" s="131">
        <f t="shared" si="2285"/>
        <v>3.0207966251837321E-3</v>
      </c>
      <c r="Z1274" s="131"/>
      <c r="AA1274" s="131"/>
      <c r="AB1274" s="131"/>
      <c r="AC1274" s="125">
        <f t="shared" si="2256"/>
        <v>134045.1604232383</v>
      </c>
      <c r="AD1274" s="129"/>
      <c r="AE1274" s="133">
        <v>10728.155184127578</v>
      </c>
      <c r="AF1274" s="134">
        <v>2.9313250710057834E-2</v>
      </c>
      <c r="AG1274" s="59">
        <f t="shared" si="2276"/>
        <v>1.1488566066611458E-3</v>
      </c>
      <c r="AH1274" s="134"/>
      <c r="AI1274" s="134"/>
      <c r="AJ1274" s="129">
        <f t="shared" si="2252"/>
        <v>446523.41738867608</v>
      </c>
      <c r="AK1274" s="134">
        <f t="shared" si="2286"/>
        <v>7.4906746098795454E-2</v>
      </c>
      <c r="AL1274" s="129"/>
      <c r="AM1274" s="129"/>
      <c r="AN1274" s="129"/>
      <c r="AO1274" s="129"/>
      <c r="AP1274" s="133">
        <f t="shared" si="2287"/>
        <v>374.45504962730564</v>
      </c>
      <c r="AQ1274" s="134">
        <f>+BB1274/Outputs!$B$27</f>
        <v>3.1659390704172154E-2</v>
      </c>
      <c r="AR1274" s="93">
        <f t="shared" si="2277"/>
        <v>0.28584527391295433</v>
      </c>
      <c r="AS1274" s="93">
        <f t="shared" si="2278"/>
        <v>0.41395734515873756</v>
      </c>
      <c r="AT1274" s="93">
        <f t="shared" si="2279"/>
        <v>0.30019738092830806</v>
      </c>
      <c r="AU1274" s="93">
        <f t="shared" ca="1" si="2282"/>
        <v>5.7423832530184467E-2</v>
      </c>
      <c r="AV1274" s="132">
        <f t="shared" ca="1" si="2292"/>
        <v>129.01345582801139</v>
      </c>
      <c r="AW1274" s="134">
        <f t="shared" ca="1" si="2293"/>
        <v>5.7423832530184397E-2</v>
      </c>
      <c r="AX1274" s="135">
        <f>+AJ1274/$AL$24</f>
        <v>3.9192398619473309E-2</v>
      </c>
      <c r="AY1274" s="135">
        <f t="shared" ca="1" si="2291"/>
        <v>2.2505777347808656E-3</v>
      </c>
      <c r="AZ1274" s="93"/>
      <c r="BA1274" s="93"/>
      <c r="BB1274" s="234">
        <v>1192462</v>
      </c>
      <c r="BC1274" s="269">
        <f t="shared" si="2209"/>
        <v>1.2770914632022885E-2</v>
      </c>
      <c r="BD1274" s="92"/>
      <c r="BE1274" s="299" t="str">
        <f t="shared" si="2205"/>
        <v>WASHINGTON GAS LIGHT COMPANY</v>
      </c>
      <c r="BF1274" s="300">
        <f t="shared" si="2206"/>
        <v>4058284</v>
      </c>
      <c r="BG1274" s="231" t="str">
        <f t="shared" si="2207"/>
        <v>DC</v>
      </c>
      <c r="BH1274" s="231"/>
      <c r="BI1274" s="231" t="str">
        <f t="shared" si="2208"/>
        <v>2019 Y</v>
      </c>
      <c r="BJ1274" s="129"/>
      <c r="BK1274" s="129"/>
      <c r="BL1274" s="129">
        <f>INDEX('Dist. Plant Gas Additions'!$E$7:$AD$91,MATCH($C1274,'Dist. Plant Gas Additions'!$C$7:$C$91,0),MATCH(Calculation!$G1274,'Dist. Plant Gas Additions'!$E$5:$AD$5,0))</f>
        <v>279450</v>
      </c>
      <c r="BM1274" s="129">
        <f>INDEX('Gen. Plant Additions'!$E$7:$AD$91,MATCH($C1274,'Gen. Plant Additions'!$C$7:$C$91,0),MATCH(Calculation!$G1274,'Gen. Plant Additions'!$E$5:$AD$5,0))</f>
        <v>34697</v>
      </c>
      <c r="BN1274" s="301">
        <f t="shared" si="2257"/>
        <v>0.91424104523308691</v>
      </c>
      <c r="BO1274" s="231">
        <f t="shared" si="2288"/>
        <v>31721.421546452417</v>
      </c>
      <c r="BP1274" s="231">
        <f t="shared" si="2289"/>
        <v>-2975.5784535475832</v>
      </c>
      <c r="BQ1274" s="129">
        <f>INDEX('Dist Plant Depreciation'!$D$7:$AC$94,MATCH($C1274,'Dist Plant Depreciation'!$C$7:$C$94,0),MATCH(Calculation!$G1274,'Dist Plant Depreciation'!$D$5:$AC$5,0))</f>
        <v>1423348</v>
      </c>
      <c r="BR1274" s="129">
        <f>INDEX('Gen. Plant Depreciation'!$D$7:$AC$94,MATCH($C1274,'Gen. Plant Depreciation'!$C$7:$C$94,0),MATCH(Calculation!$G1274,'Gen. Plant Depreciation'!$D$5:$AC$5,0))</f>
        <v>42961</v>
      </c>
      <c r="BS1274" s="129"/>
      <c r="BT1274" s="129"/>
      <c r="BU1274" s="129"/>
      <c r="BV1274" s="129"/>
      <c r="BW1274" s="129"/>
      <c r="BX1274" s="137"/>
      <c r="BY1274" s="129">
        <f>INDEX('Gross Dx Plant'!$D$7:$AC$91,MATCH($C1274,'Gross Dx Plant'!$C$7:$C$91,0),MATCH(Calculation!$G1274,'Gross Dx Plant'!$D$5:$AC$5,0))</f>
        <v>4364147</v>
      </c>
      <c r="BZ1274" s="129">
        <f>INDEX('Gross Gen Plant'!$D$7:$AC$91,MATCH($C1274,'Gross Gen Plant'!$C$7:$C$91,0),MATCH(Calculation!$G1274,'Gross Gen Plant'!$D$5:$AC$5,0))</f>
        <v>409372</v>
      </c>
      <c r="CA1274" s="129">
        <f t="shared" si="2294"/>
        <v>3307210</v>
      </c>
      <c r="CB1274" s="129"/>
      <c r="CC1274" s="133">
        <v>2019</v>
      </c>
      <c r="CD1274" s="129"/>
      <c r="CE1274" s="129"/>
      <c r="CF1274" s="129"/>
      <c r="CG1274" s="137"/>
      <c r="CH1274" s="129">
        <f t="shared" si="2258"/>
        <v>314147</v>
      </c>
      <c r="CI1274" s="46">
        <f t="shared" si="2266"/>
        <v>311171.42154645245</v>
      </c>
      <c r="CJ1274" s="231">
        <f t="shared" si="2267"/>
        <v>402.26970029237629</v>
      </c>
      <c r="CK1274" s="443">
        <v>0.7407407407407407</v>
      </c>
      <c r="CL1274" s="231">
        <f>CL1253*CK1274+CJ1254*CK1273+CJ1255*CK1272+CJ1256*CK1271+CJ1257*CK1270+CJ1258*CK1269+CJ1259*CK1268+CJ1260*CK1267+CJ1261*CK1266+CJ1262*CK1265+CJ1263*CK1264+CJ1264*CK1263+CJ1265*CK1262+CJ1266*CK1261+CJ1267*CK1260+CJ1268*CK1259+CJ1269*CK1258+CJ1270*CK1257+CJ1271*CK1256+CJ1272*CK1255+CJ1273*CK1254+CJ1274</f>
        <v>9535.5732454509398</v>
      </c>
      <c r="CM1274" s="134">
        <f t="shared" si="2259"/>
        <v>2.6617794565318344E-2</v>
      </c>
      <c r="CN1274" s="135">
        <f t="shared" si="2260"/>
        <v>1.6348980259005434E-2</v>
      </c>
      <c r="CO1274" s="135">
        <f t="shared" si="2270"/>
        <v>1.5995867414731659E-2</v>
      </c>
      <c r="CP1274" s="134">
        <f>VLOOKUP($H1274,RoR!$E:$F,2,FALSE)</f>
        <v>3.3875000000000009E-2</v>
      </c>
      <c r="CQ1274" s="135">
        <v>1.8092492884465461E-2</v>
      </c>
      <c r="CR1274" s="135">
        <f t="shared" si="2268"/>
        <v>1.5782507115534548E-2</v>
      </c>
      <c r="CS1274" s="135">
        <f t="shared" si="2271"/>
        <v>1.4906074193801966E-2</v>
      </c>
      <c r="CT1274" s="135">
        <v>4.8445665544254078E-2</v>
      </c>
      <c r="CU1274" s="139">
        <f t="shared" si="2261"/>
        <v>0.89270000000000005</v>
      </c>
      <c r="CV1274" s="335">
        <f t="shared" si="2262"/>
        <v>1.513861292459078</v>
      </c>
      <c r="CW1274" s="335">
        <f t="shared" si="2263"/>
        <v>0.23699261992619944</v>
      </c>
      <c r="CX1274" s="335">
        <f t="shared" si="2264"/>
        <v>0.73619765810468829</v>
      </c>
      <c r="CY1274" s="335">
        <f t="shared" si="2265"/>
        <v>0.26412854465362851</v>
      </c>
      <c r="CZ1274" s="336">
        <f>INDEX('State Tax Lookup'!$D$7:$Z$91,MATCH(Calculation!$C1274,'State Tax Lookup'!$B$7:$B$91,0),MATCH($H1274,'State Tax Lookup'!$D$6:$Z$6,0))</f>
        <v>0.28999999999999998</v>
      </c>
      <c r="DA1274" s="302">
        <v>0.37</v>
      </c>
      <c r="DB1274" s="57">
        <f t="shared" si="2269"/>
        <v>14.436579063613552</v>
      </c>
      <c r="DC1274" s="56">
        <f t="shared" si="2272"/>
        <v>8.7359311634731718E-4</v>
      </c>
      <c r="DD1274" s="303">
        <f>VLOOKUP($H1274,RoR!$E:$F,2,FALSE)</f>
        <v>3.3875000000000009E-2</v>
      </c>
      <c r="DE1274" s="304">
        <f>HLOOKUP($H1274,'GDP-PI'!$D$8:$CQ$11,3,FALSE)</f>
        <v>1.8092492884465461E-2</v>
      </c>
      <c r="DF1274" s="303">
        <f>VLOOKUP(H1274,'HW Dx Data'!$E:$F,2,FALSE)</f>
        <v>773.53929793938721</v>
      </c>
      <c r="DG1274" s="364">
        <f ca="1">VLOOKUP(CC1274,'ECI - Input Price'!M$13:N$33,2,FALSE)</f>
        <v>149.67500000000001</v>
      </c>
      <c r="DH1274" s="364"/>
      <c r="DI1274" s="364"/>
      <c r="DJ1274" s="56">
        <f t="shared" ca="1" si="2280"/>
        <v>3.5532849899171604E-2</v>
      </c>
      <c r="DK1274" s="53">
        <f>HLOOKUP(H1274,'GDP-PI'!$8:$9,2,FALSE)</f>
        <v>112.318</v>
      </c>
      <c r="DL1274" s="355">
        <f t="shared" si="2273"/>
        <v>1.7930771451401852E-2</v>
      </c>
    </row>
    <row r="1275" spans="1:116" s="126" customFormat="1" ht="21" customHeight="1" x14ac:dyDescent="0.4">
      <c r="A1275" s="233" t="s">
        <v>256</v>
      </c>
      <c r="B1275" s="126" t="s">
        <v>256</v>
      </c>
      <c r="C1275" s="126">
        <v>4058284</v>
      </c>
      <c r="D1275" s="126" t="s">
        <v>257</v>
      </c>
      <c r="G1275" s="127" t="s">
        <v>176</v>
      </c>
      <c r="H1275" s="128">
        <v>2020</v>
      </c>
      <c r="I1275" s="129"/>
      <c r="J1275" s="125">
        <f>IFERROR(INDEX('Labor Expenditures'!$E$7:$W$91,MATCH($C1275,'Labor Expenditures'!$C$7:$C$91,0),MATCH($G1275,'Labor Expenditures'!$E$5:$W$5,0)),"NA")</f>
        <v>122213.75106239493</v>
      </c>
      <c r="K1275" s="125">
        <f t="shared" ca="1" si="2274"/>
        <v>798.00033341426661</v>
      </c>
      <c r="L1275" s="47"/>
      <c r="M1275" s="131">
        <f t="shared" ca="1" si="2281"/>
        <v>-6.6367217548995383E-2</v>
      </c>
      <c r="N1275" s="131"/>
      <c r="O1275" s="131"/>
      <c r="P1275" s="59">
        <f t="shared" ca="1" si="2283"/>
        <v>-2.5195938287177286E-3</v>
      </c>
      <c r="Q1275" s="61"/>
      <c r="R1275" s="387"/>
      <c r="S1275" s="49">
        <f t="shared" ca="1" si="2290"/>
        <v>117.50369909334954</v>
      </c>
      <c r="T1275" s="61">
        <f ca="1">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</f>
        <v>-3.8175109114137306E-3</v>
      </c>
      <c r="U1275" s="61"/>
      <c r="V1275" s="125">
        <f>IFERROR(INDEX('Non-Labor Expenditures'!$E$7:$AA$91,MATCH($C1275,'Non-Labor Expenditures'!$C$7:$C$91,0),MATCH($G1275,'Non-Labor Expenditures'!$E$5:$AA$5,0)),"NA")</f>
        <v>176988.33791838697</v>
      </c>
      <c r="W1275" s="125">
        <f t="shared" si="2275"/>
        <v>1557.6805569152984</v>
      </c>
      <c r="X1275" s="131">
        <f t="shared" si="2284"/>
        <v>-5.4967477813019895E-2</v>
      </c>
      <c r="Y1275" s="131">
        <f t="shared" si="2285"/>
        <v>-2.0868091656188474E-3</v>
      </c>
      <c r="Z1275" s="131"/>
      <c r="AA1275" s="131"/>
      <c r="AB1275" s="131"/>
      <c r="AC1275" s="125">
        <f t="shared" si="2256"/>
        <v>141264.90287452462</v>
      </c>
      <c r="AD1275" s="129"/>
      <c r="AE1275" s="133">
        <v>11001.362033572135</v>
      </c>
      <c r="AF1275" s="134">
        <v>2.514747515595251E-2</v>
      </c>
      <c r="AG1275" s="59">
        <f t="shared" si="2276"/>
        <v>9.5470965260814156E-4</v>
      </c>
      <c r="AH1275" s="134"/>
      <c r="AI1275" s="134"/>
      <c r="AJ1275" s="129">
        <f t="shared" si="2252"/>
        <v>440466.99185530655</v>
      </c>
      <c r="AK1275" s="134">
        <f t="shared" si="2286"/>
        <v>-1.3656336290998666E-2</v>
      </c>
      <c r="AL1275" s="129"/>
      <c r="AM1275" s="129"/>
      <c r="AN1275" s="129"/>
      <c r="AO1275" s="129"/>
      <c r="AP1275" s="133">
        <f t="shared" si="2287"/>
        <v>365.37237333594345</v>
      </c>
      <c r="AQ1275" s="134">
        <f>+BB1275/Outputs!$B$28</f>
        <v>3.1780299572271978E-2</v>
      </c>
      <c r="AR1275" s="93">
        <f t="shared" si="2277"/>
        <v>0.27746404003535902</v>
      </c>
      <c r="AS1275" s="93">
        <f t="shared" si="2278"/>
        <v>0.40181975310542145</v>
      </c>
      <c r="AT1275" s="93">
        <f t="shared" si="2279"/>
        <v>0.32071620685921942</v>
      </c>
      <c r="AU1275" s="93">
        <f t="shared" ca="1" si="2282"/>
        <v>-3.3306036156253889E-2</v>
      </c>
      <c r="AV1275" s="132">
        <f t="shared" ca="1" si="2292"/>
        <v>124.78729795015478</v>
      </c>
      <c r="AW1275" s="134">
        <f t="shared" ca="1" si="2293"/>
        <v>-3.330603615625391E-2</v>
      </c>
      <c r="AX1275" s="135">
        <f>+AJ1275/$AL$25</f>
        <v>3.7964433673261147E-2</v>
      </c>
      <c r="AY1275" s="135">
        <f t="shared" ca="1" si="2291"/>
        <v>-1.2644448005733392E-3</v>
      </c>
      <c r="AZ1275" s="93"/>
      <c r="BA1275" s="93"/>
      <c r="BB1275" s="234">
        <v>1205529</v>
      </c>
      <c r="BC1275" s="269">
        <f t="shared" si="2209"/>
        <v>1.0898397313326622E-2</v>
      </c>
      <c r="BD1275" s="92"/>
      <c r="BE1275" s="299" t="str">
        <f t="shared" si="2205"/>
        <v>WASHINGTON GAS LIGHT COMPANY</v>
      </c>
      <c r="BF1275" s="300">
        <f t="shared" si="2206"/>
        <v>4058284</v>
      </c>
      <c r="BG1275" s="231" t="str">
        <f t="shared" si="2207"/>
        <v>DC</v>
      </c>
      <c r="BH1275" s="231"/>
      <c r="BI1275" s="231" t="str">
        <f t="shared" si="2208"/>
        <v>2020 Y</v>
      </c>
      <c r="BJ1275" s="129"/>
      <c r="BK1275" s="129"/>
      <c r="BL1275" s="129">
        <f>INDEX('Dist. Plant Gas Additions'!$E$7:$AD$91,MATCH($C1275,'Dist. Plant Gas Additions'!$C$7:$C$91,0),MATCH(Calculation!$G1275,'Dist. Plant Gas Additions'!$E$5:$AD$5,0))</f>
        <v>286246</v>
      </c>
      <c r="BM1275" s="129">
        <f>INDEX('Gen. Plant Additions'!$E$7:$AD$91,MATCH($C1275,'Gen. Plant Additions'!$C$7:$C$91,0),MATCH(Calculation!$G1275,'Gen. Plant Additions'!$E$5:$AD$5,0))</f>
        <v>18917</v>
      </c>
      <c r="BN1275" s="301">
        <f t="shared" si="2257"/>
        <v>0.91758267642037095</v>
      </c>
      <c r="BO1275" s="231">
        <f t="shared" si="2288"/>
        <v>17357.911489844158</v>
      </c>
      <c r="BP1275" s="231">
        <f t="shared" si="2289"/>
        <v>-1559.0885101558415</v>
      </c>
      <c r="BQ1275" s="129">
        <f>INDEX('Dist Plant Depreciation'!$D$7:$AC$94,MATCH($C1275,'Dist Plant Depreciation'!$C$7:$C$94,0),MATCH(Calculation!$G1275,'Dist Plant Depreciation'!$D$5:$AC$5,0))</f>
        <v>1468249</v>
      </c>
      <c r="BR1275" s="129">
        <f>INDEX('Gen. Plant Depreciation'!$D$7:$AC$94,MATCH($C1275,'Gen. Plant Depreciation'!$C$7:$C$94,0),MATCH(Calculation!$G1275,'Gen. Plant Depreciation'!$D$5:$AC$5,0))</f>
        <v>46616</v>
      </c>
      <c r="BS1275" s="129"/>
      <c r="BT1275" s="129"/>
      <c r="BU1275" s="129"/>
      <c r="BV1275" s="129"/>
      <c r="BW1275" s="129"/>
      <c r="BX1275" s="137"/>
      <c r="BY1275" s="129">
        <f>INDEX('Gross Dx Plant'!$D$7:$AC$91,MATCH($C1275,'Gross Dx Plant'!$C$7:$C$91,0),MATCH(Calculation!$G1275,'Gross Dx Plant'!$D$5:$AC$5,0))</f>
        <v>4635780</v>
      </c>
      <c r="BZ1275" s="129">
        <f>INDEX('Gross Gen Plant'!$D$7:$AC$91,MATCH($C1275,'Gross Gen Plant'!$C$7:$C$91,0),MATCH(Calculation!$G1275,'Gross Gen Plant'!$D$5:$AC$5,0))</f>
        <v>416386</v>
      </c>
      <c r="CA1275" s="129">
        <f t="shared" si="2294"/>
        <v>3537301</v>
      </c>
      <c r="CB1275" s="129"/>
      <c r="CC1275" s="133">
        <v>2020</v>
      </c>
      <c r="CD1275" s="129"/>
      <c r="CE1275" s="129"/>
      <c r="CF1275" s="129"/>
      <c r="CG1275" s="137"/>
      <c r="CH1275" s="129">
        <f t="shared" si="2258"/>
        <v>305163</v>
      </c>
      <c r="CI1275" s="46">
        <f t="shared" si="2266"/>
        <v>303603.91148984415</v>
      </c>
      <c r="CJ1275" s="231">
        <f t="shared" si="2267"/>
        <v>373.39972798219128</v>
      </c>
      <c r="CK1275" s="443">
        <v>0.72499999999999998</v>
      </c>
      <c r="CL1275" s="231">
        <f>CL1253*CK1275+CJ1254*CK1274+CJ1255*CK1273+CJ1256*CK1272+CJ1257*CK1271+CJ1258*CK1270+CJ1259*CK1269+CJ1260*CK1268+CJ1261*CK1267+CJ1262*CK1266+CJ1263*CK1265+CJ1264*CK1264+CJ1265*CK1263+CJ1266*CK1262+CJ1267*CK1261+CJ1268*CK1260+CJ1269*CK1259+CJ1270*CK1258+CJ1271*CK1257+CJ1272*CK1256+CJ1273*CK1255+CJ1274*CK1254+CJ1275</f>
        <v>9749.5885649931752</v>
      </c>
      <c r="CM1275" s="134">
        <f t="shared" si="2259"/>
        <v>2.2195728280702886E-2</v>
      </c>
      <c r="CN1275" s="135">
        <f t="shared" si="2260"/>
        <v>1.6714717021967418E-2</v>
      </c>
      <c r="CO1275" s="135">
        <f t="shared" si="2270"/>
        <v>1.6355132961352003E-2</v>
      </c>
      <c r="CP1275" s="134">
        <f>VLOOKUP($H1275,RoR!$E:$F,2,FALSE)</f>
        <v>2.4766666666666666E-2</v>
      </c>
      <c r="CQ1275" s="135">
        <v>1.1618796630994188E-2</v>
      </c>
      <c r="CR1275" s="135">
        <f t="shared" si="2268"/>
        <v>1.3147870035672478E-2</v>
      </c>
      <c r="CS1275" s="135">
        <f t="shared" si="2271"/>
        <v>1.4546808647181622E-2</v>
      </c>
      <c r="CT1275" s="135">
        <v>4.5144642961987357E-2</v>
      </c>
      <c r="CU1275" s="139">
        <f t="shared" si="2261"/>
        <v>0.89270000000000005</v>
      </c>
      <c r="CV1275" s="335">
        <f t="shared" si="2262"/>
        <v>2.0706077233668081</v>
      </c>
      <c r="CW1275" s="335">
        <f t="shared" si="2263"/>
        <v>-3.4421265141318998E-2</v>
      </c>
      <c r="CX1275" s="335">
        <f t="shared" si="2264"/>
        <v>0.62416226176410472</v>
      </c>
      <c r="CY1275" s="335">
        <f t="shared" si="2265"/>
        <v>-4.4485877841158712E-2</v>
      </c>
      <c r="CZ1275" s="336">
        <f>INDEX('State Tax Lookup'!$D$7:$Z$91,MATCH(Calculation!$C1275,'State Tax Lookup'!$B$7:$B$91,0),MATCH($H1275,'State Tax Lookup'!$D$6:$Z$6,0))</f>
        <v>0.28999999999999998</v>
      </c>
      <c r="DA1275" s="302">
        <v>0.37</v>
      </c>
      <c r="DB1275" s="57">
        <f t="shared" si="2269"/>
        <v>14.814516048305405</v>
      </c>
      <c r="DC1275" s="56">
        <f t="shared" si="2272"/>
        <v>2.5842315715091081E-2</v>
      </c>
      <c r="DD1275" s="336">
        <f>VLOOKUP($H1275,RoR!$E:$F,2,FALSE)</f>
        <v>2.4766666666666666E-2</v>
      </c>
      <c r="DE1275" s="342">
        <f>HLOOKUP($H1275,'GDP-PI'!$D$8:$CR$11,3,FALSE)</f>
        <v>1.1618796630994188E-2</v>
      </c>
      <c r="DF1275" s="303">
        <f>VLOOKUP(H1275,'HW Dx Data'!$E:$F,2,FALSE)</f>
        <v>813.080162458833</v>
      </c>
      <c r="DG1275" s="364">
        <f ca="1">VLOOKUP(CC1275,'ECI - Input Price'!M$13:N$33,2,FALSE)</f>
        <v>153.15</v>
      </c>
      <c r="DH1275" s="364"/>
      <c r="DI1275" s="364"/>
      <c r="DJ1275" s="56">
        <f t="shared" ca="1" si="2280"/>
        <v>2.2951556467368479E-2</v>
      </c>
      <c r="DK1275" s="53">
        <f>HLOOKUP(H1275,'GDP-PI'!$8:$9,2,FALSE)</f>
        <v>113.623</v>
      </c>
      <c r="DL1275" s="355">
        <f t="shared" si="2273"/>
        <v>1.1551816731392881E-2</v>
      </c>
    </row>
    <row r="1276" spans="1:116" s="126" customFormat="1" ht="21" customHeight="1" x14ac:dyDescent="0.4">
      <c r="A1276" s="233" t="s">
        <v>256</v>
      </c>
      <c r="B1276" s="126" t="s">
        <v>256</v>
      </c>
      <c r="C1276" s="126">
        <v>4058284</v>
      </c>
      <c r="D1276" s="126" t="s">
        <v>257</v>
      </c>
      <c r="G1276" s="127" t="s">
        <v>177</v>
      </c>
      <c r="H1276" s="128">
        <v>2021</v>
      </c>
      <c r="I1276" s="129"/>
      <c r="J1276" s="125">
        <v>121404.69105240492</v>
      </c>
      <c r="K1276" s="125">
        <f t="shared" ca="1" si="2274"/>
        <v>772.04890971322686</v>
      </c>
      <c r="L1276" s="47"/>
      <c r="M1276" s="130">
        <f t="shared" ca="1" si="2281"/>
        <v>-3.30611126933123E-2</v>
      </c>
      <c r="N1276" s="130"/>
      <c r="O1276" s="130"/>
      <c r="P1276" s="59">
        <f t="shared" ca="1" si="2283"/>
        <v>-1.1725990772167398E-3</v>
      </c>
      <c r="Q1276" s="61"/>
      <c r="R1276" s="387"/>
      <c r="S1276" s="132">
        <f ca="1">+S1275*EXP(T1276)</f>
        <v>118.53018541921431</v>
      </c>
      <c r="T1276" s="134">
        <f ca="1">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</f>
        <v>8.6978426790574308E-3</v>
      </c>
      <c r="U1276" s="134"/>
      <c r="V1276" s="125">
        <v>171136.73317025753</v>
      </c>
      <c r="W1276" s="125">
        <f t="shared" si="2275"/>
        <v>1444.3137241139129</v>
      </c>
      <c r="X1276" s="131">
        <f t="shared" si="2284"/>
        <v>-7.5563615014164365E-2</v>
      </c>
      <c r="Y1276" s="131">
        <f t="shared" si="2285"/>
        <v>-2.6800618012682185E-3</v>
      </c>
      <c r="Z1276" s="131"/>
      <c r="AA1276" s="131"/>
      <c r="AB1276" s="131"/>
      <c r="AC1276" s="125">
        <f t="shared" si="2256"/>
        <v>163046.40230882936</v>
      </c>
      <c r="AD1276" s="129"/>
      <c r="AE1276" s="133">
        <v>11191.233285934468</v>
      </c>
      <c r="AF1276" s="134"/>
      <c r="AG1276" s="59">
        <f t="shared" si="2276"/>
        <v>0</v>
      </c>
      <c r="AH1276" s="134"/>
      <c r="AI1276" s="134"/>
      <c r="AJ1276" s="129">
        <f t="shared" si="2252"/>
        <v>455587.82653149182</v>
      </c>
      <c r="AK1276" s="134">
        <f t="shared" si="2286"/>
        <v>3.3753002365433368E-2</v>
      </c>
      <c r="AL1276" s="129"/>
      <c r="AM1276" s="134"/>
      <c r="AN1276" s="134"/>
      <c r="AO1276" s="134"/>
      <c r="AP1276" s="133">
        <f t="shared" si="2287"/>
        <v>374.2981324287486</v>
      </c>
      <c r="AQ1276" s="134">
        <f>+BB1276/Outputs!$B$29</f>
        <v>3.1528008889348105E-2</v>
      </c>
      <c r="AR1276" s="93">
        <f t="shared" si="2277"/>
        <v>0.26647922526089052</v>
      </c>
      <c r="AS1276" s="93">
        <f t="shared" si="2278"/>
        <v>0.37563938982559264</v>
      </c>
      <c r="AT1276" s="93">
        <f t="shared" si="2279"/>
        <v>0.35788138491351684</v>
      </c>
      <c r="AU1276" s="93">
        <f t="shared" ca="1" si="2282"/>
        <v>-3.8365496479204453E-2</v>
      </c>
      <c r="AV1276" s="132">
        <f t="shared" ca="1" si="2292"/>
        <v>120.09044593800428</v>
      </c>
      <c r="AW1276" s="134">
        <f t="shared" ca="1" si="2293"/>
        <v>-3.8365496479204432E-2</v>
      </c>
      <c r="AX1276" s="135">
        <f>+AJ1276/$AL$26</f>
        <v>3.5467622886568385E-2</v>
      </c>
      <c r="AY1276" s="135">
        <f t="shared" ca="1" si="2291"/>
        <v>-1.36073296098039E-3</v>
      </c>
      <c r="AZ1276" s="93"/>
      <c r="BA1276" s="93"/>
      <c r="BB1276" s="234">
        <v>1217179</v>
      </c>
      <c r="BC1276" s="269">
        <f t="shared" si="2209"/>
        <v>9.6174114228415025E-3</v>
      </c>
      <c r="BD1276" s="91"/>
      <c r="BE1276" s="299" t="str">
        <f t="shared" si="2205"/>
        <v>WASHINGTON GAS LIGHT COMPANY</v>
      </c>
      <c r="BF1276" s="300">
        <f t="shared" si="2206"/>
        <v>4058284</v>
      </c>
      <c r="BG1276" s="231" t="str">
        <f t="shared" si="2207"/>
        <v>DC</v>
      </c>
      <c r="BH1276" s="231"/>
      <c r="BI1276" s="231" t="str">
        <f t="shared" si="2208"/>
        <v>2021 Y</v>
      </c>
      <c r="BJ1276" s="129"/>
      <c r="BK1276" s="129"/>
      <c r="BL1276" s="129">
        <f>INDEX('Dist. Plant Gas Additions'!$D$7:$AD$91,MATCH($C1276,'Dist. Plant Gas Additions'!$C$7:$C$91,0),MATCH(Calculation!$G1276,'Dist. Plant Gas Additions'!$D$5:$AD$5,0))</f>
        <v>292588.853</v>
      </c>
      <c r="BM1276" s="129">
        <f>INDEX('Gen. Plant Additions'!$D$7:$AD$91,MATCH($C1276,'Gen. Plant Additions'!$C$7:$C$91,0),MATCH(Calculation!$G1276,'Gen. Plant Additions'!$D$5:$AD$5,0))</f>
        <v>7320.7020000000002</v>
      </c>
      <c r="BN1276" s="343"/>
      <c r="BO1276" s="231">
        <f t="shared" si="2288"/>
        <v>0</v>
      </c>
      <c r="BP1276" s="231">
        <f t="shared" si="2289"/>
        <v>-7320.7020000000002</v>
      </c>
      <c r="BQ1276" s="129"/>
      <c r="BR1276" s="129"/>
      <c r="BS1276" s="137"/>
      <c r="BT1276" s="137"/>
      <c r="BU1276" s="333"/>
      <c r="BV1276" s="93"/>
      <c r="BW1276" s="334"/>
      <c r="BX1276" s="334"/>
      <c r="BY1276" s="129"/>
      <c r="BZ1276" s="129"/>
      <c r="CA1276" s="129"/>
      <c r="CB1276" s="129"/>
      <c r="CC1276" s="133">
        <v>2021</v>
      </c>
      <c r="CD1276" s="129"/>
      <c r="CE1276" s="129"/>
      <c r="CF1276" s="129"/>
      <c r="CG1276" s="137"/>
      <c r="CH1276" s="129">
        <f t="shared" si="2258"/>
        <v>299909.55499999999</v>
      </c>
      <c r="CI1276" s="46">
        <f t="shared" si="2266"/>
        <v>292588.853</v>
      </c>
      <c r="CJ1276" s="231">
        <f t="shared" si="2267"/>
        <v>313.5924945493386</v>
      </c>
      <c r="CK1276" s="443">
        <v>0.70886075949367089</v>
      </c>
      <c r="CL1276" s="129">
        <f>CL1253*CK1276+CJ1254*CK1275+CJ1255*CK1274+CJ1256*CK1273+CJ1257*CK1272+CJ1258*CK1271+CJ1259*CK1270+CJ1260*CK1269+CJ1261*CK1268+CJ1262*CK1267+CJ1263*CK1266+CJ1264*CK1265+CJ1265*CK1264+CJ1266*CK1263+CJ1267*CK1262+CJ1258*CK1261+CJ1269*CK1260+CJ1270*CK1259+CJ1271*CK1258+CJ1272*CK1257+CJ1273*CK1256+CJ1274*CK1255+CJ1276+CJ1275*CK1254</f>
        <v>9900.9839414009766</v>
      </c>
      <c r="CM1276" s="134"/>
      <c r="CN1276" s="135">
        <f t="shared" si="2260"/>
        <v>1.6636303887111844E-2</v>
      </c>
      <c r="CO1276" s="135">
        <f t="shared" si="2270"/>
        <v>1.6566667056028234E-2</v>
      </c>
      <c r="CP1276" s="134">
        <f>VLOOKUP($H1276,RoR!$E:$F,2,FALSE)</f>
        <v>2.7033333333333336E-2</v>
      </c>
      <c r="CQ1276" s="135"/>
      <c r="CR1276" s="135"/>
      <c r="CS1276" s="135">
        <f t="shared" si="2271"/>
        <v>1.4335274552505391E-2</v>
      </c>
      <c r="CT1276" s="135">
        <v>7.433422950153494E-2</v>
      </c>
      <c r="CU1276" s="139">
        <f t="shared" si="2261"/>
        <v>0.89270000000000005</v>
      </c>
      <c r="CV1276" s="335">
        <f t="shared" si="2262"/>
        <v>1.2820512820512819</v>
      </c>
      <c r="CW1276" s="335">
        <f t="shared" si="2263"/>
        <v>0.35000000000000003</v>
      </c>
      <c r="CX1276" s="335">
        <f t="shared" si="2264"/>
        <v>0.79171095533705893</v>
      </c>
      <c r="CY1276" s="335">
        <f t="shared" si="2265"/>
        <v>0.35525491585637264</v>
      </c>
      <c r="CZ1276" s="336">
        <f>CZ1275</f>
        <v>0.28999999999999998</v>
      </c>
      <c r="DA1276" s="302">
        <v>0.37</v>
      </c>
      <c r="DB1276" s="141">
        <f t="shared" si="2269"/>
        <v>16.723413631449329</v>
      </c>
      <c r="DC1276" s="135">
        <f>LN(DB1277/DB1275)</f>
        <v>0.17893905969732854</v>
      </c>
      <c r="DD1276" s="336">
        <v>0.04</v>
      </c>
      <c r="DE1276" s="342">
        <v>7.0000000000000001E-3</v>
      </c>
      <c r="DF1276" s="336">
        <f>VLOOKUP(H1276,'HW Dx Data'!$E:$F,2,FALSE)</f>
        <v>933.02249921662576</v>
      </c>
      <c r="DG1276" s="364">
        <f ca="1">VLOOKUP(CC1276,'ECI - Input Price'!M$13:N$33,2,FALSE)</f>
        <v>157.25</v>
      </c>
      <c r="DH1276" s="364"/>
      <c r="DI1276" s="364"/>
      <c r="DJ1276" s="135">
        <f t="shared" ca="1" si="2280"/>
        <v>2.6419062301765574E-2</v>
      </c>
      <c r="DK1276" s="137">
        <f>HLOOKUP(H1276,'GDP-PI'!$8:$9,2,FALSE)</f>
        <v>118.49</v>
      </c>
      <c r="DL1276" s="356">
        <f t="shared" si="2273"/>
        <v>4.194261824609434E-2</v>
      </c>
    </row>
    <row r="1277" spans="1:116" s="126" customFormat="1" ht="21" customHeight="1" thickBot="1" x14ac:dyDescent="0.45">
      <c r="A1277" s="235"/>
      <c r="B1277" s="236"/>
      <c r="C1277" s="236"/>
      <c r="D1277" s="236"/>
      <c r="E1277" s="236"/>
      <c r="F1277" s="236"/>
      <c r="G1277" s="237" t="s">
        <v>178</v>
      </c>
      <c r="H1277" s="238"/>
      <c r="I1277" s="239"/>
      <c r="J1277" s="240">
        <v>135833.70255841647</v>
      </c>
      <c r="K1277" s="240">
        <f t="shared" ca="1" si="2274"/>
        <v>835.64258725571494</v>
      </c>
      <c r="L1277" s="47"/>
      <c r="M1277" s="241">
        <f t="shared" ref="M1277" ca="1" si="2295">LN(K1277/K1276)</f>
        <v>7.9153091894033634E-2</v>
      </c>
      <c r="N1277" s="241"/>
      <c r="O1277" s="241"/>
      <c r="P1277" s="242">
        <f t="shared" ca="1" si="2283"/>
        <v>3.0978644105248607E-3</v>
      </c>
      <c r="Q1277" s="61"/>
      <c r="R1277" s="387"/>
      <c r="S1277" s="206">
        <f ca="1">+S1276*EXP(T1277)</f>
        <v>118.68996013059457</v>
      </c>
      <c r="T1277" s="243">
        <f ca="1">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</f>
        <v>1.3470587430095139E-3</v>
      </c>
      <c r="U1277" s="243"/>
      <c r="V1277" s="239">
        <v>191476.42408837023</v>
      </c>
      <c r="W1277" s="240">
        <f t="shared" si="2275"/>
        <v>1504.7263189655814</v>
      </c>
      <c r="X1277" s="244">
        <f t="shared" ref="X1277" si="2296">LN(W1277/W1276)</f>
        <v>4.0976756461414701E-2</v>
      </c>
      <c r="Y1277" s="244">
        <f t="shared" si="2285"/>
        <v>1.6037331260603566E-3</v>
      </c>
      <c r="Z1277" s="206"/>
      <c r="AA1277" s="243"/>
      <c r="AB1277" s="243"/>
      <c r="AC1277" s="240">
        <f t="shared" si="2256"/>
        <v>175419.58172154136</v>
      </c>
      <c r="AD1277" s="243"/>
      <c r="AE1277" s="245">
        <v>11360.955142982071</v>
      </c>
      <c r="AF1277" s="243">
        <v>1.5051759775340021E-2</v>
      </c>
      <c r="AG1277" s="242">
        <f t="shared" si="2276"/>
        <v>5.8909020239183161E-4</v>
      </c>
      <c r="AH1277" s="206"/>
      <c r="AI1277" s="243"/>
      <c r="AJ1277" s="239">
        <f t="shared" si="2252"/>
        <v>502729.70836832805</v>
      </c>
      <c r="AK1277" s="243">
        <f t="shared" si="2286"/>
        <v>9.8464154986998564E-2</v>
      </c>
      <c r="AL1277" s="239"/>
      <c r="AM1277" s="243"/>
      <c r="AN1277" s="243"/>
      <c r="AO1277" s="243"/>
      <c r="AP1277" s="245">
        <f t="shared" si="2287"/>
        <v>409.78578474461676</v>
      </c>
      <c r="AQ1277" s="243"/>
      <c r="AR1277" s="207">
        <f t="shared" si="2277"/>
        <v>0.27019231268285632</v>
      </c>
      <c r="AS1277" s="207">
        <f t="shared" si="2278"/>
        <v>0.38087350101077344</v>
      </c>
      <c r="AT1277" s="207">
        <f t="shared" si="2279"/>
        <v>0.34893418630637024</v>
      </c>
      <c r="AU1277" s="207"/>
      <c r="AV1277" s="206"/>
      <c r="AW1277" s="243"/>
      <c r="AX1277" s="249">
        <f>+AJ1277/$AL$26</f>
        <v>3.9137629830962674E-2</v>
      </c>
      <c r="AY1277" s="249"/>
      <c r="AZ1277" s="206"/>
      <c r="BA1277" s="243"/>
      <c r="BB1277" s="250">
        <v>1226811</v>
      </c>
      <c r="BC1277" s="270">
        <f t="shared" si="2209"/>
        <v>7.8822334537463831E-3</v>
      </c>
      <c r="BD1277" s="91"/>
      <c r="BE1277" s="306">
        <f t="shared" si="2205"/>
        <v>0</v>
      </c>
      <c r="BF1277" s="307">
        <f t="shared" si="2206"/>
        <v>0</v>
      </c>
      <c r="BG1277" s="308">
        <f t="shared" si="2207"/>
        <v>0</v>
      </c>
      <c r="BH1277" s="308"/>
      <c r="BI1277" s="308" t="str">
        <f t="shared" si="2208"/>
        <v>2022Y</v>
      </c>
      <c r="BJ1277" s="239"/>
      <c r="BK1277" s="239"/>
      <c r="BL1277" s="239"/>
      <c r="BM1277" s="239"/>
      <c r="BN1277" s="337"/>
      <c r="BO1277" s="308">
        <f t="shared" si="2288"/>
        <v>0</v>
      </c>
      <c r="BP1277" s="308">
        <f t="shared" si="2289"/>
        <v>0</v>
      </c>
      <c r="BQ1277" s="239"/>
      <c r="BR1277" s="239"/>
      <c r="BS1277" s="310"/>
      <c r="BT1277" s="310"/>
      <c r="BU1277" s="311"/>
      <c r="BV1277" s="207"/>
      <c r="BW1277" s="312"/>
      <c r="BX1277" s="312"/>
      <c r="BY1277" s="239"/>
      <c r="BZ1277" s="239"/>
      <c r="CA1277" s="239"/>
      <c r="CB1277" s="239"/>
      <c r="CC1277" s="245">
        <v>2022</v>
      </c>
      <c r="CD1277" s="239"/>
      <c r="CE1277" s="239"/>
      <c r="CF1277" s="239"/>
      <c r="CG1277" s="310"/>
      <c r="CH1277" s="239">
        <v>367975</v>
      </c>
      <c r="CI1277" s="313">
        <f t="shared" si="2266"/>
        <v>367975</v>
      </c>
      <c r="CJ1277" s="308">
        <f t="shared" si="2267"/>
        <v>356.97655241994164</v>
      </c>
      <c r="CK1277" s="443">
        <v>0.69230769230769229</v>
      </c>
      <c r="CL1277" s="239">
        <f>+CL1253*CK1277+CJ1254*CK1276+CJ1255*CK1275+CJ1256*CK1274+CJ1257*CK1273+CJ1258*CK1272+CJ1259*CK1271+CJ1260*CK1270+CJ1261*CK1269+CJ1262*CK1268+CJ1263*CK1267+CJ1264*CK1266+CJ1265*CK1265+CJ1266*CK1264+CJ1267*CK1263+CJ1268*CK1262+CJ1269*CK1261+CJ1270*CK1260+CJ1271*CK1259+CJ1272*CK1258+CJ1273*CK1257+CJ1274*CK1256+CJ1275*CK1255+CJ1276*CK1254+CJ1277*CK1253</f>
        <v>10079.248482947127</v>
      </c>
      <c r="CM1277" s="243">
        <f t="shared" ref="CM1277" si="2297">LN(CL1277/CL1276)</f>
        <v>1.7844564378476147E-2</v>
      </c>
      <c r="CN1277" s="249">
        <f t="shared" si="2260"/>
        <v>1.8049924323834819E-2</v>
      </c>
      <c r="CO1277" s="249">
        <f t="shared" si="2270"/>
        <v>1.7133648410971359E-2</v>
      </c>
      <c r="CP1277" s="243"/>
      <c r="CQ1277" s="249"/>
      <c r="CR1277" s="249"/>
      <c r="CS1277" s="248">
        <f t="shared" si="2271"/>
        <v>1.3768293197562266E-2</v>
      </c>
      <c r="CT1277" s="249">
        <v>0.10114668178709289</v>
      </c>
      <c r="CU1277" s="314">
        <f t="shared" si="2261"/>
        <v>0.89270000000000005</v>
      </c>
      <c r="CV1277" s="315" t="e">
        <f t="shared" si="2262"/>
        <v>#DIV/0!</v>
      </c>
      <c r="CW1277" s="315" t="e">
        <f t="shared" si="2263"/>
        <v>#DIV/0!</v>
      </c>
      <c r="CX1277" s="315">
        <f t="shared" si="2264"/>
        <v>0</v>
      </c>
      <c r="CY1277" s="315" t="e">
        <f t="shared" si="2265"/>
        <v>#DIV/0!</v>
      </c>
      <c r="CZ1277" s="316">
        <f>CZ1276</f>
        <v>0.28999999999999998</v>
      </c>
      <c r="DA1277" s="317">
        <v>0.37</v>
      </c>
      <c r="DB1277" s="318">
        <f t="shared" si="2269"/>
        <v>17.717388772647549</v>
      </c>
      <c r="DC1277" s="249">
        <f>LN(DB1277/DB1276)</f>
        <v>5.7736822480070435E-2</v>
      </c>
      <c r="DD1277" s="316"/>
      <c r="DE1277" s="319"/>
      <c r="DF1277" s="316">
        <v>1030.81</v>
      </c>
      <c r="DG1277" s="364">
        <f ca="1">VLOOKUP(CC1277,'ECI - Input Price'!M$13:N$33,2,FALSE)</f>
        <v>162.55000000000001</v>
      </c>
      <c r="DH1277" s="364"/>
      <c r="DI1277" s="364"/>
      <c r="DJ1277" s="249">
        <f t="shared" ca="1" si="2280"/>
        <v>3.3148751169364422E-2</v>
      </c>
      <c r="DK1277" s="310">
        <v>127.25</v>
      </c>
      <c r="DL1277" s="357">
        <f t="shared" si="2273"/>
        <v>7.1325086601983473E-2</v>
      </c>
    </row>
    <row r="1278" spans="1:116" s="126" customFormat="1" ht="21" customHeight="1" x14ac:dyDescent="0.4">
      <c r="A1278" s="251" t="s">
        <v>258</v>
      </c>
      <c r="B1278" s="265" t="s">
        <v>258</v>
      </c>
      <c r="C1278" s="265">
        <v>4008752</v>
      </c>
      <c r="D1278" s="252" t="s">
        <v>214</v>
      </c>
      <c r="E1278" s="252"/>
      <c r="F1278" s="266"/>
      <c r="G1278" s="265" t="s">
        <v>150</v>
      </c>
      <c r="H1278" s="253">
        <v>1998</v>
      </c>
      <c r="I1278" s="254"/>
      <c r="J1278" s="255"/>
      <c r="K1278" s="255"/>
      <c r="L1278" s="47"/>
      <c r="M1278" s="255"/>
      <c r="N1278" s="255"/>
      <c r="O1278" s="255"/>
      <c r="P1278" s="219"/>
      <c r="Q1278" s="218"/>
      <c r="R1278" s="385"/>
      <c r="S1278" s="257"/>
      <c r="T1278" s="258"/>
      <c r="U1278" s="258"/>
      <c r="V1278" s="259"/>
      <c r="W1278" s="259"/>
      <c r="X1278" s="259"/>
      <c r="Y1278" s="255"/>
      <c r="Z1278" s="259"/>
      <c r="AA1278" s="259"/>
      <c r="AB1278" s="259"/>
      <c r="AC1278" s="255"/>
      <c r="AD1278" s="254"/>
      <c r="AE1278" s="260">
        <v>1777.0176356399143</v>
      </c>
      <c r="AF1278" s="256"/>
      <c r="AG1278" s="225"/>
      <c r="AH1278" s="256"/>
      <c r="AI1278" s="256"/>
      <c r="AJ1278" s="254">
        <f t="shared" si="2252"/>
        <v>0</v>
      </c>
      <c r="AK1278" s="254"/>
      <c r="AL1278" s="254"/>
      <c r="AM1278" s="256"/>
      <c r="AN1278" s="256"/>
      <c r="AO1278" s="256"/>
      <c r="AP1278" s="226">
        <f>+(AP1275+AP1276+AP1277)/3</f>
        <v>383.15209683643633</v>
      </c>
      <c r="AQ1278" s="256"/>
      <c r="AR1278" s="261"/>
      <c r="AS1278" s="261"/>
      <c r="AT1278" s="261"/>
      <c r="AU1278" s="261"/>
      <c r="AV1278" s="261"/>
      <c r="AW1278" s="256">
        <f ca="1">AVERAGE(AW1287:AW1301)</f>
        <v>9.4092949019271878E-3</v>
      </c>
      <c r="AX1278" s="261"/>
      <c r="AY1278" s="261"/>
      <c r="AZ1278" s="261"/>
      <c r="BA1278" s="261"/>
      <c r="BB1278" s="262">
        <f>IFERROR(INDEX('Total Customers'!$E$7:$AA$91,MATCH($C1278,'Total Customers'!$C$7:$C$91,0),MATCH($G1278,'Total Customers'!$E$5:$AA$5,0)),"NA")</f>
        <v>521020</v>
      </c>
      <c r="BC1278" s="268"/>
      <c r="BD1278" s="92"/>
      <c r="BE1278" s="320" t="str">
        <f t="shared" si="2205"/>
        <v>WISCONSIN GAS LLC</v>
      </c>
      <c r="BF1278" s="321">
        <f t="shared" si="2206"/>
        <v>4008752</v>
      </c>
      <c r="BG1278" s="322" t="str">
        <f t="shared" si="2207"/>
        <v>WI</v>
      </c>
      <c r="BH1278" s="322"/>
      <c r="BI1278" s="322" t="str">
        <f t="shared" si="2208"/>
        <v>1998 Y</v>
      </c>
      <c r="BJ1278" s="254">
        <f>INDEX('Gross Dx Plant'!$D$7:$AC$91,MATCH($C1278,'Gross Dx Plant'!$C$7:$C$91,0),MATCH(Calculation!$G1278,'Gross Dx Plant'!$D$5:$AC$5,0))</f>
        <v>689374</v>
      </c>
      <c r="BK1278" s="254">
        <f>INDEX('Gross Gen Plant'!$D$7:$AC$91,MATCH($C1278,'Gross Gen Plant'!$C$7:$C$91,0),MATCH(Calculation!$G1278,'Gross Gen Plant'!$D$5:$AC$5,0))</f>
        <v>106209</v>
      </c>
      <c r="BL1278" s="254">
        <f>INDEX('Dist. Plant Gas Additions'!$E$7:$AD$91,MATCH($C1278,'Dist. Plant Gas Additions'!$C$7:$C$91,0),MATCH(Calculation!$G1278,'Dist. Plant Gas Additions'!$E$5:$AD$5,0))</f>
        <v>27463</v>
      </c>
      <c r="BM1278" s="254">
        <f>INDEX('Gen. Plant Additions'!$E$7:$AD$91,MATCH($C1278,'Gen. Plant Additions'!$C$7:$C$91,0),MATCH(Calculation!$G1278,'Gen. Plant Additions'!$E$5:$AD$5,0))</f>
        <v>4660</v>
      </c>
      <c r="BN1278" s="338">
        <f>+(BY1278/(BY1278+BZ1278))</f>
        <v>0.86650167235850939</v>
      </c>
      <c r="BO1278" s="322">
        <f t="shared" si="2288"/>
        <v>4037.8977931906538</v>
      </c>
      <c r="BP1278" s="322">
        <f t="shared" si="2289"/>
        <v>-622.10220680934617</v>
      </c>
      <c r="BQ1278" s="254">
        <f>INDEX('Dist Plant Depreciation'!$D$7:$AC$94,MATCH($C1278,'Dist Plant Depreciation'!$C$7:$C$94,0),MATCH(Calculation!$G1278,'Dist Plant Depreciation'!$D$5:$AC$5,0))</f>
        <v>380917</v>
      </c>
      <c r="BR1278" s="254">
        <f>INDEX('Gen. Plant Depreciation'!$D$7:$AC$94,MATCH($C1278,'Gen. Plant Depreciation'!$C$7:$C$94,0),MATCH(Calculation!$G1278,'Gen. Plant Depreciation'!$D$5:$AC$5,0))</f>
        <v>56207</v>
      </c>
      <c r="BS1278" s="254"/>
      <c r="BT1278" s="254"/>
      <c r="BU1278" s="254"/>
      <c r="BV1278" s="254"/>
      <c r="BW1278" s="254"/>
      <c r="BX1278" s="323"/>
      <c r="BY1278" s="254">
        <f>INDEX('Gross Dx Plant'!$D$7:$AC$91,MATCH($C1278,'Gross Dx Plant'!$C$7:$C$91,0),MATCH(Calculation!$G1278,'Gross Dx Plant'!$D$5:$AC$5,0))</f>
        <v>689374</v>
      </c>
      <c r="BZ1278" s="254">
        <f>INDEX('Gross Gen Plant'!$D$7:$AC$91,MATCH($C1278,'Gross Gen Plant'!$C$7:$C$91,0),MATCH(Calculation!$G1278,'Gross Gen Plant'!$D$5:$AC$5,0))</f>
        <v>106209</v>
      </c>
      <c r="CA1278" s="254">
        <f t="shared" si="2294"/>
        <v>358459</v>
      </c>
      <c r="CB1278" s="254"/>
      <c r="CC1278" s="260">
        <v>1998</v>
      </c>
      <c r="CD1278" s="254">
        <f>BJ1278+BK1278</f>
        <v>795583</v>
      </c>
      <c r="CE1278" s="254">
        <f>380917+56207</f>
        <v>437124</v>
      </c>
      <c r="CF1278" s="254">
        <f>+CD1278-CE1278</f>
        <v>358459</v>
      </c>
      <c r="CG1278" s="254">
        <f>CF1278/$BX$3</f>
        <v>1777.0176356399143</v>
      </c>
      <c r="CH1278" s="323"/>
      <c r="CI1278" s="344"/>
      <c r="CJ1278" s="344"/>
      <c r="CK1278" s="443">
        <v>1</v>
      </c>
      <c r="CL1278" s="254">
        <f>+CG1278</f>
        <v>1777.0176356399143</v>
      </c>
      <c r="CM1278" s="256"/>
      <c r="CN1278" s="325"/>
      <c r="CO1278" s="325"/>
      <c r="CP1278" s="256" t="e">
        <f>VLOOKUP($H1278,RoR!$E:$F,2,FALSE)</f>
        <v>#N/A</v>
      </c>
      <c r="CQ1278" s="325">
        <v>1.1028127770464469E-2</v>
      </c>
      <c r="CR1278" s="325"/>
      <c r="CS1278" s="325"/>
      <c r="CT1278" s="325"/>
      <c r="CU1278" s="327"/>
      <c r="CV1278" s="331" t="e">
        <f>2/(DD1278*39)</f>
        <v>#N/A</v>
      </c>
      <c r="CW1278" s="328" t="e">
        <f>+(DD1278*40-(1+DD1278))/(DD1278*40)</f>
        <v>#N/A</v>
      </c>
      <c r="CX1278" s="328" t="e">
        <f>+(1-(1/(1+DD1278)^40))</f>
        <v>#N/A</v>
      </c>
      <c r="CY1278" s="328" t="e">
        <f>+CX1278*CW1278*CV1278</f>
        <v>#N/A</v>
      </c>
      <c r="CZ1278" s="329">
        <f>INDEX('State Tax Lookup'!$D$7:$Z$91,MATCH(Calculation!$C1278,'State Tax Lookup'!$B$7:$B$91,0),MATCH($H1278,'State Tax Lookup'!$D$6:$Z$6,0))</f>
        <v>0.40134999999999998</v>
      </c>
      <c r="DA1278" s="330">
        <v>0.37</v>
      </c>
      <c r="DB1278" s="344"/>
      <c r="DC1278" s="326"/>
      <c r="DD1278" s="351" t="e">
        <f>VLOOKUP($H1278,RoR!$E:$F,2,FALSE)</f>
        <v>#N/A</v>
      </c>
      <c r="DE1278" s="354">
        <f>HLOOKUP($H1278,'GDP-PI'!$D$8:$CQ$11,3,FALSE)</f>
        <v>1.1028127770464469E-2</v>
      </c>
      <c r="DF1278" s="351">
        <f>VLOOKUP(H1278,'HW Dx Data'!$E:$F,2,FALSE)</f>
        <v>329.24564746449528</v>
      </c>
      <c r="DG1278" s="330"/>
      <c r="DH1278" s="330"/>
      <c r="DI1278" s="330"/>
      <c r="DJ1278" s="326"/>
      <c r="DK1278" s="344">
        <f>HLOOKUP(H1278,'GDP-PI'!$8:$9,2,FALSE)</f>
        <v>75.266999999999996</v>
      </c>
      <c r="DL1278" s="292"/>
    </row>
    <row r="1279" spans="1:116" s="126" customFormat="1" ht="21" customHeight="1" x14ac:dyDescent="0.4">
      <c r="A1279" s="233" t="s">
        <v>258</v>
      </c>
      <c r="B1279" s="126" t="s">
        <v>258</v>
      </c>
      <c r="C1279" s="126">
        <v>4008752</v>
      </c>
      <c r="D1279" s="127" t="s">
        <v>214</v>
      </c>
      <c r="E1279" s="127"/>
      <c r="F1279" s="144"/>
      <c r="G1279" s="126" t="s">
        <v>155</v>
      </c>
      <c r="H1279" s="128">
        <v>1999</v>
      </c>
      <c r="I1279" s="129"/>
      <c r="J1279" s="125"/>
      <c r="K1279" s="129"/>
      <c r="L1279" s="47"/>
      <c r="M1279" s="129"/>
      <c r="N1279" s="129"/>
      <c r="O1279" s="129"/>
      <c r="P1279" s="47"/>
      <c r="Q1279" s="47"/>
      <c r="R1279" s="386"/>
      <c r="S1279" s="119"/>
      <c r="T1279" s="47"/>
      <c r="U1279" s="46"/>
      <c r="V1279" s="135"/>
      <c r="W1279" s="135"/>
      <c r="X1279" s="135"/>
      <c r="Y1279" s="143"/>
      <c r="Z1279" s="135"/>
      <c r="AA1279" s="135"/>
      <c r="AB1279" s="135"/>
      <c r="AC1279" s="125">
        <f t="shared" ref="AC1279:AC1302" si="2298">+CL1278*DB1279</f>
        <v>0</v>
      </c>
      <c r="AD1279" s="129"/>
      <c r="AE1279" s="133">
        <v>1879.6417513620581</v>
      </c>
      <c r="AF1279" s="134">
        <v>5.6144727384636862E-2</v>
      </c>
      <c r="AG1279" s="61"/>
      <c r="AH1279" s="134"/>
      <c r="AI1279" s="134"/>
      <c r="AJ1279" s="129">
        <f t="shared" si="2252"/>
        <v>0</v>
      </c>
      <c r="AK1279" s="134"/>
      <c r="AL1279" s="129"/>
      <c r="AM1279" s="134"/>
      <c r="AN1279" s="134"/>
      <c r="AO1279" s="134"/>
      <c r="AP1279" s="133"/>
      <c r="AQ1279" s="134"/>
      <c r="AR1279" s="93"/>
      <c r="AS1279" s="93"/>
      <c r="AT1279" s="93"/>
      <c r="AU1279" s="93"/>
      <c r="AV1279" s="93"/>
      <c r="AW1279" s="134"/>
      <c r="AX1279" s="93"/>
      <c r="AY1279" s="93"/>
      <c r="AZ1279" s="93"/>
      <c r="BA1279" s="93"/>
      <c r="BB1279" s="234">
        <f>IFERROR(INDEX('Total Customers'!$E$7:$AA$91,MATCH($C1279,'Total Customers'!$C$7:$C$91,0),MATCH($G1279,'Total Customers'!$E$5:$AA$5,0)),"NA")</f>
        <v>529984</v>
      </c>
      <c r="BC1279" s="269">
        <f t="shared" si="2209"/>
        <v>1.7058388678726555E-2</v>
      </c>
      <c r="BD1279" s="92"/>
      <c r="BE1279" s="299" t="str">
        <f t="shared" si="2205"/>
        <v>WISCONSIN GAS LLC</v>
      </c>
      <c r="BF1279" s="300">
        <f t="shared" si="2206"/>
        <v>4008752</v>
      </c>
      <c r="BG1279" s="231" t="str">
        <f t="shared" si="2207"/>
        <v>WI</v>
      </c>
      <c r="BH1279" s="231"/>
      <c r="BI1279" s="231" t="str">
        <f t="shared" si="2208"/>
        <v>1999 Y</v>
      </c>
      <c r="BJ1279" s="129"/>
      <c r="BK1279" s="129"/>
      <c r="BL1279" s="129">
        <f>INDEX('Dist. Plant Gas Additions'!$E$7:$AD$91,MATCH($C1279,'Dist. Plant Gas Additions'!$C$7:$C$91,0),MATCH(Calculation!$G1279,'Dist. Plant Gas Additions'!$E$5:$AD$5,0))</f>
        <v>28638</v>
      </c>
      <c r="BM1279" s="129">
        <f>INDEX('Gen. Plant Additions'!$E$7:$AD$91,MATCH($C1279,'Gen. Plant Additions'!$C$7:$C$91,0),MATCH(Calculation!$G1279,'Gen. Plant Additions'!$E$5:$AD$5,0))</f>
        <v>8739</v>
      </c>
      <c r="BN1279" s="301">
        <f t="shared" ref="BN1279:BN1300" si="2299">+(BY1279/(BY1279+BZ1279))</f>
        <v>0.86616918014042832</v>
      </c>
      <c r="BO1279" s="231">
        <f t="shared" si="2288"/>
        <v>7569.4524652472028</v>
      </c>
      <c r="BP1279" s="231">
        <f t="shared" si="2289"/>
        <v>-1169.5475347527972</v>
      </c>
      <c r="BQ1279" s="129">
        <f>INDEX('Dist Plant Depreciation'!$D$7:$AC$94,MATCH($C1279,'Dist Plant Depreciation'!$C$7:$C$94,0),MATCH(Calculation!$G1279,'Dist Plant Depreciation'!$D$5:$AC$5,0))</f>
        <v>403354</v>
      </c>
      <c r="BR1279" s="129">
        <f>INDEX('Gen. Plant Depreciation'!$D$7:$AC$94,MATCH($C1279,'Gen. Plant Depreciation'!$C$7:$C$94,0),MATCH(Calculation!$G1279,'Gen. Plant Depreciation'!$D$5:$AC$5,0))</f>
        <v>61181</v>
      </c>
      <c r="BS1279" s="129"/>
      <c r="BT1279" s="129"/>
      <c r="BU1279" s="129"/>
      <c r="BV1279" s="129"/>
      <c r="BW1279" s="129"/>
      <c r="BX1279" s="137"/>
      <c r="BY1279" s="129">
        <f>INDEX('Gross Dx Plant'!$D$7:$AC$91,MATCH($C1279,'Gross Dx Plant'!$C$7:$C$91,0),MATCH(Calculation!$G1279,'Gross Dx Plant'!$D$5:$AC$5,0))</f>
        <v>715124</v>
      </c>
      <c r="BZ1279" s="129">
        <f>INDEX('Gross Gen Plant'!$D$7:$AC$91,MATCH($C1279,'Gross Gen Plant'!$C$7:$C$91,0),MATCH(Calculation!$G1279,'Gross Gen Plant'!$D$5:$AC$5,0))</f>
        <v>110493</v>
      </c>
      <c r="CA1279" s="129">
        <f t="shared" si="2294"/>
        <v>361082</v>
      </c>
      <c r="CB1279" s="129"/>
      <c r="CC1279" s="133">
        <v>1999</v>
      </c>
      <c r="CD1279" s="129"/>
      <c r="CE1279" s="129"/>
      <c r="CF1279" s="129"/>
      <c r="CG1279" s="137"/>
      <c r="CH1279" s="129">
        <f t="shared" ref="CH1279:CH1301" si="2300">+BM1279+BL1279</f>
        <v>37377</v>
      </c>
      <c r="CI1279" s="46">
        <f>+CH1279+BP1279</f>
        <v>36207.452465247203</v>
      </c>
      <c r="CJ1279" s="231">
        <f t="shared" ref="CJ1279:CJ1302" si="2301">+CI1279/$DF1279</f>
        <v>107.97719641134636</v>
      </c>
      <c r="CK1279" s="443">
        <v>0.99009900990099009</v>
      </c>
      <c r="CL1279" s="231">
        <f>+CL1278*CK1279+CJ1279</f>
        <v>1867.4005980350237</v>
      </c>
      <c r="CM1279" s="134">
        <f t="shared" ref="CM1279:CM1300" si="2302">LN(CL1279/CL1278)</f>
        <v>4.9610935805090246E-2</v>
      </c>
      <c r="CN1279" s="135">
        <f t="shared" ref="CN1279:CN1302" si="2303">+(CL1278-CL1279+CJ1279)/CL1278</f>
        <v>9.9009900990099931E-3</v>
      </c>
      <c r="CO1279" s="135"/>
      <c r="CP1279" s="134">
        <f>VLOOKUP($H1279,RoR!$E:$F,2,FALSE)</f>
        <v>7.0416666666666669E-2</v>
      </c>
      <c r="CQ1279" s="135">
        <v>1.4335631817396832E-2</v>
      </c>
      <c r="CR1279" s="135">
        <f>+CP1279-CQ1279</f>
        <v>5.6081034849269837E-2</v>
      </c>
      <c r="CS1279" s="135"/>
      <c r="CT1279" s="135"/>
      <c r="CU1279" s="139">
        <f t="shared" ref="CU1279:CU1302" si="2304">1-CZ1279*DA1279</f>
        <v>0.85150049999999999</v>
      </c>
      <c r="CV1279" s="335">
        <f t="shared" ref="CV1279:CV1302" si="2305">2/(DD1279*39)</f>
        <v>0.72826581702321336</v>
      </c>
      <c r="CW1279" s="335">
        <f t="shared" ref="CW1279:CW1302" si="2306">+(DD1279*40-(1+DD1279))/(DD1279*40)</f>
        <v>0.61997041420118348</v>
      </c>
      <c r="CX1279" s="335">
        <f t="shared" ref="CX1279:CX1302" si="2307">+(1-(1/(1+DD1279)^40))</f>
        <v>0.93425155319585029</v>
      </c>
      <c r="CY1279" s="335">
        <f t="shared" ref="CY1279:CY1302" si="2308">+CX1279*CW1279*CV1279</f>
        <v>0.42181762214141483</v>
      </c>
      <c r="CZ1279" s="336">
        <f>INDEX('State Tax Lookup'!$D$7:$Z$91,MATCH(Calculation!$C1279,'State Tax Lookup'!$B$7:$B$91,0),MATCH($H1279,'State Tax Lookup'!$D$6:$Z$6,0))</f>
        <v>0.40134999999999998</v>
      </c>
      <c r="DA1279" s="302">
        <v>0.37</v>
      </c>
      <c r="DB1279" s="57"/>
      <c r="DC1279" s="56"/>
      <c r="DD1279" s="303">
        <f>VLOOKUP($H1279,RoR!$E:$F,2,FALSE)</f>
        <v>7.0416666666666669E-2</v>
      </c>
      <c r="DE1279" s="304">
        <f>HLOOKUP($H1279,'GDP-PI'!$D$8:$CQ$11,3,FALSE)</f>
        <v>1.4335631817396832E-2</v>
      </c>
      <c r="DF1279" s="303">
        <f>VLOOKUP(H1279,'HW Dx Data'!$E:$F,2,FALSE)</f>
        <v>335.32499146683239</v>
      </c>
      <c r="DG1279" s="364"/>
      <c r="DH1279" s="364"/>
      <c r="DI1279" s="364"/>
      <c r="DJ1279" s="56"/>
      <c r="DK1279" s="53">
        <f>HLOOKUP(H1279,'GDP-PI'!$8:$9,2,FALSE)</f>
        <v>76.346000000000004</v>
      </c>
      <c r="DL1279" s="298"/>
    </row>
    <row r="1280" spans="1:116" s="126" customFormat="1" ht="21" customHeight="1" x14ac:dyDescent="0.4">
      <c r="A1280" s="233" t="s">
        <v>258</v>
      </c>
      <c r="B1280" s="126" t="s">
        <v>258</v>
      </c>
      <c r="C1280" s="126">
        <v>4008752</v>
      </c>
      <c r="D1280" s="127" t="s">
        <v>214</v>
      </c>
      <c r="E1280" s="127"/>
      <c r="F1280" s="144"/>
      <c r="G1280" s="126" t="s">
        <v>156</v>
      </c>
      <c r="H1280" s="128">
        <v>2000</v>
      </c>
      <c r="I1280" s="129"/>
      <c r="J1280" s="125"/>
      <c r="K1280" s="125"/>
      <c r="L1280" s="47"/>
      <c r="M1280" s="125"/>
      <c r="N1280" s="125"/>
      <c r="O1280" s="125"/>
      <c r="P1280" s="47"/>
      <c r="Q1280" s="47"/>
      <c r="R1280" s="386"/>
      <c r="S1280" s="119"/>
      <c r="T1280" s="47"/>
      <c r="U1280" s="47"/>
      <c r="V1280" s="125"/>
      <c r="W1280" s="125"/>
      <c r="X1280" s="125"/>
      <c r="Y1280" s="125"/>
      <c r="Z1280" s="125"/>
      <c r="AA1280" s="125"/>
      <c r="AB1280" s="125"/>
      <c r="AC1280" s="125">
        <f t="shared" si="2298"/>
        <v>0</v>
      </c>
      <c r="AD1280" s="129"/>
      <c r="AE1280" s="133">
        <v>1988.7143303850435</v>
      </c>
      <c r="AF1280" s="134">
        <v>5.6407163915969331E-2</v>
      </c>
      <c r="AG1280" s="61"/>
      <c r="AH1280" s="134"/>
      <c r="AI1280" s="134"/>
      <c r="AJ1280" s="129">
        <f t="shared" si="2252"/>
        <v>0</v>
      </c>
      <c r="AK1280" s="134"/>
      <c r="AL1280" s="129"/>
      <c r="AM1280" s="129"/>
      <c r="AN1280" s="129"/>
      <c r="AO1280" s="129"/>
      <c r="AP1280" s="133"/>
      <c r="AQ1280" s="134"/>
      <c r="AR1280" s="93"/>
      <c r="AS1280" s="93"/>
      <c r="AT1280" s="93"/>
      <c r="AU1280" s="93"/>
      <c r="AV1280" s="93"/>
      <c r="AW1280" s="134"/>
      <c r="AX1280" s="93"/>
      <c r="AY1280" s="93"/>
      <c r="AZ1280" s="93"/>
      <c r="BA1280" s="93"/>
      <c r="BB1280" s="234">
        <f>IFERROR(INDEX('Total Customers'!$E$7:$AA$91,MATCH($C1280,'Total Customers'!$C$7:$C$91,0),MATCH($G1280,'Total Customers'!$E$5:$AA$5,0)),"NA")</f>
        <v>540679</v>
      </c>
      <c r="BC1280" s="269">
        <f t="shared" si="2209"/>
        <v>1.9978939679858563E-2</v>
      </c>
      <c r="BD1280" s="92"/>
      <c r="BE1280" s="299" t="str">
        <f t="shared" si="2205"/>
        <v>WISCONSIN GAS LLC</v>
      </c>
      <c r="BF1280" s="300">
        <f t="shared" si="2206"/>
        <v>4008752</v>
      </c>
      <c r="BG1280" s="231" t="str">
        <f t="shared" si="2207"/>
        <v>WI</v>
      </c>
      <c r="BH1280" s="231"/>
      <c r="BI1280" s="231" t="str">
        <f t="shared" si="2208"/>
        <v>2000 Y</v>
      </c>
      <c r="BJ1280" s="129"/>
      <c r="BK1280" s="129"/>
      <c r="BL1280" s="129">
        <f>INDEX('Dist. Plant Gas Additions'!$E$7:$AD$91,MATCH($C1280,'Dist. Plant Gas Additions'!$C$7:$C$91,0),MATCH(Calculation!$G1280,'Dist. Plant Gas Additions'!$E$5:$AD$5,0))</f>
        <v>36781</v>
      </c>
      <c r="BM1280" s="129">
        <f>INDEX('Gen. Plant Additions'!$E$7:$AD$91,MATCH($C1280,'Gen. Plant Additions'!$C$7:$C$91,0),MATCH(Calculation!$G1280,'Gen. Plant Additions'!$E$5:$AD$5,0))</f>
        <v>4365</v>
      </c>
      <c r="BN1280" s="301">
        <f t="shared" si="2299"/>
        <v>0.87388325184445259</v>
      </c>
      <c r="BO1280" s="231">
        <f t="shared" si="2288"/>
        <v>3814.5003943010356</v>
      </c>
      <c r="BP1280" s="231">
        <f t="shared" si="2289"/>
        <v>-550.49960569896439</v>
      </c>
      <c r="BQ1280" s="129">
        <f>INDEX('Dist Plant Depreciation'!$D$7:$AC$94,MATCH($C1280,'Dist Plant Depreciation'!$C$7:$C$94,0),MATCH(Calculation!$G1280,'Dist Plant Depreciation'!$D$5:$AC$5,0))</f>
        <v>426166</v>
      </c>
      <c r="BR1280" s="129">
        <f>INDEX('Gen. Plant Depreciation'!$D$7:$AC$94,MATCH($C1280,'Gen. Plant Depreciation'!$C$7:$C$94,0),MATCH(Calculation!$G1280,'Gen. Plant Depreciation'!$D$5:$AC$5,0))</f>
        <v>63851</v>
      </c>
      <c r="BS1280" s="129"/>
      <c r="BT1280" s="129"/>
      <c r="BU1280" s="129"/>
      <c r="BV1280" s="129"/>
      <c r="BW1280" s="129"/>
      <c r="BX1280" s="137"/>
      <c r="BY1280" s="129">
        <f>INDEX('Gross Dx Plant'!$D$7:$AC$91,MATCH($C1280,'Gross Dx Plant'!$C$7:$C$91,0),MATCH(Calculation!$G1280,'Gross Dx Plant'!$D$5:$AC$5,0))</f>
        <v>747996</v>
      </c>
      <c r="BZ1280" s="129">
        <f>INDEX('Gross Gen Plant'!$D$7:$AC$91,MATCH($C1280,'Gross Gen Plant'!$C$7:$C$91,0),MATCH(Calculation!$G1280,'Gross Gen Plant'!$D$5:$AC$5,0))</f>
        <v>107949</v>
      </c>
      <c r="CA1280" s="129">
        <f t="shared" si="2294"/>
        <v>365928</v>
      </c>
      <c r="CB1280" s="129"/>
      <c r="CC1280" s="133">
        <v>2000</v>
      </c>
      <c r="CD1280" s="129"/>
      <c r="CE1280" s="129"/>
      <c r="CF1280" s="129"/>
      <c r="CG1280" s="137"/>
      <c r="CH1280" s="129">
        <f t="shared" si="2300"/>
        <v>41146</v>
      </c>
      <c r="CI1280" s="46">
        <f t="shared" ref="CI1280:CI1302" si="2309">+CH1280+BP1280</f>
        <v>40595.500394301038</v>
      </c>
      <c r="CJ1280" s="231">
        <f t="shared" si="2301"/>
        <v>117.14733172144432</v>
      </c>
      <c r="CK1280" s="443">
        <v>0.98</v>
      </c>
      <c r="CL1280" s="231">
        <f>+CL1278*CK1280+CJ1279*CK1279+CJ1280</f>
        <v>1965.532729907319</v>
      </c>
      <c r="CM1280" s="134">
        <f t="shared" si="2302"/>
        <v>5.1215908627582914E-2</v>
      </c>
      <c r="CN1280" s="135">
        <f t="shared" si="2303"/>
        <v>1.0182710592016409E-2</v>
      </c>
      <c r="CO1280" s="135"/>
      <c r="CP1280" s="134">
        <f>VLOOKUP($H1280,RoR!$E:$F,2,FALSE)</f>
        <v>7.6225000000000001E-2</v>
      </c>
      <c r="CQ1280" s="135">
        <v>2.2568307442433211E-2</v>
      </c>
      <c r="CR1280" s="135">
        <f t="shared" ref="CR1280:CR1300" si="2310">+CP1280-CQ1280</f>
        <v>5.365669255756679E-2</v>
      </c>
      <c r="CS1280" s="135"/>
      <c r="CT1280" s="135"/>
      <c r="CU1280" s="139">
        <f t="shared" si="2304"/>
        <v>0.85150049999999999</v>
      </c>
      <c r="CV1280" s="335">
        <f t="shared" si="2305"/>
        <v>0.67277207323124022</v>
      </c>
      <c r="CW1280" s="335">
        <f t="shared" si="2306"/>
        <v>0.6470236142997704</v>
      </c>
      <c r="CX1280" s="335">
        <f t="shared" si="2307"/>
        <v>0.94704866037543145</v>
      </c>
      <c r="CY1280" s="335">
        <f t="shared" si="2308"/>
        <v>0.41224973107878493</v>
      </c>
      <c r="CZ1280" s="336">
        <f>INDEX('State Tax Lookup'!$D$7:$Z$91,MATCH(Calculation!$C1280,'State Tax Lookup'!$B$7:$B$91,0),MATCH($H1280,'State Tax Lookup'!$D$6:$Z$6,0))</f>
        <v>0.40134999999999998</v>
      </c>
      <c r="DA1280" s="302">
        <v>0.37</v>
      </c>
      <c r="DB1280" s="57"/>
      <c r="DC1280" s="56"/>
      <c r="DD1280" s="303">
        <f>VLOOKUP($H1280,RoR!$E:$F,2,FALSE)</f>
        <v>7.6225000000000001E-2</v>
      </c>
      <c r="DE1280" s="304">
        <f>HLOOKUP($H1280,'GDP-PI'!$D$8:$CQ$11,3,FALSE)</f>
        <v>2.2568307442433211E-2</v>
      </c>
      <c r="DF1280" s="303">
        <f>VLOOKUP(H1280,'HW Dx Data'!$E:$F,2,FALSE)</f>
        <v>346.53371782150339</v>
      </c>
      <c r="DG1280" s="364"/>
      <c r="DH1280" s="364"/>
      <c r="DI1280" s="364"/>
      <c r="DJ1280" s="56"/>
      <c r="DK1280" s="53">
        <f>HLOOKUP(H1280,'GDP-PI'!$8:$9,2,FALSE)</f>
        <v>78.069000000000003</v>
      </c>
      <c r="DL1280" s="298"/>
    </row>
    <row r="1281" spans="1:116" s="126" customFormat="1" ht="21" customHeight="1" x14ac:dyDescent="0.4">
      <c r="A1281" s="233" t="s">
        <v>258</v>
      </c>
      <c r="B1281" s="126" t="s">
        <v>258</v>
      </c>
      <c r="C1281" s="126">
        <v>4008752</v>
      </c>
      <c r="D1281" s="127" t="s">
        <v>214</v>
      </c>
      <c r="E1281" s="127"/>
      <c r="F1281" s="144"/>
      <c r="G1281" s="126" t="s">
        <v>157</v>
      </c>
      <c r="H1281" s="128">
        <v>2001</v>
      </c>
      <c r="I1281" s="129"/>
      <c r="J1281" s="125"/>
      <c r="K1281" s="125"/>
      <c r="L1281" s="47"/>
      <c r="M1281" s="125"/>
      <c r="N1281" s="125"/>
      <c r="O1281" s="125"/>
      <c r="P1281" s="47"/>
      <c r="Q1281" s="47"/>
      <c r="R1281" s="386"/>
      <c r="S1281" s="119"/>
      <c r="T1281" s="47"/>
      <c r="U1281" s="47"/>
      <c r="V1281" s="125"/>
      <c r="W1281" s="125"/>
      <c r="X1281" s="125"/>
      <c r="Y1281" s="125"/>
      <c r="Z1281" s="125"/>
      <c r="AA1281" s="125"/>
      <c r="AB1281" s="125"/>
      <c r="AC1281" s="125">
        <f t="shared" si="2298"/>
        <v>20602.386751743627</v>
      </c>
      <c r="AD1281" s="129"/>
      <c r="AE1281" s="133">
        <v>2078.0360190201122</v>
      </c>
      <c r="AF1281" s="134">
        <v>4.393486121698871E-2</v>
      </c>
      <c r="AG1281" s="61"/>
      <c r="AH1281" s="134"/>
      <c r="AI1281" s="134"/>
      <c r="AJ1281" s="129">
        <f t="shared" si="2252"/>
        <v>20602.386751743627</v>
      </c>
      <c r="AK1281" s="134"/>
      <c r="AL1281" s="129"/>
      <c r="AM1281" s="129"/>
      <c r="AN1281" s="129"/>
      <c r="AO1281" s="129"/>
      <c r="AP1281" s="133"/>
      <c r="AQ1281" s="134"/>
      <c r="AR1281" s="93"/>
      <c r="AS1281" s="93"/>
      <c r="AT1281" s="93"/>
      <c r="AU1281" s="93"/>
      <c r="AV1281" s="93"/>
      <c r="AW1281" s="134"/>
      <c r="AX1281" s="93"/>
      <c r="AY1281" s="93"/>
      <c r="AZ1281" s="93"/>
      <c r="BA1281" s="93"/>
      <c r="BB1281" s="234">
        <f>IFERROR(INDEX('Total Customers'!$E$7:$AA$91,MATCH($C1281,'Total Customers'!$C$7:$C$91,0),MATCH($G1281,'Total Customers'!$E$5:$AA$5,0)),"NA")</f>
        <v>548586</v>
      </c>
      <c r="BC1281" s="269">
        <f t="shared" si="2209"/>
        <v>1.4518301582588712E-2</v>
      </c>
      <c r="BD1281" s="92"/>
      <c r="BE1281" s="299" t="str">
        <f t="shared" si="2205"/>
        <v>WISCONSIN GAS LLC</v>
      </c>
      <c r="BF1281" s="300">
        <f t="shared" si="2206"/>
        <v>4008752</v>
      </c>
      <c r="BG1281" s="231" t="str">
        <f t="shared" si="2207"/>
        <v>WI</v>
      </c>
      <c r="BH1281" s="231"/>
      <c r="BI1281" s="231" t="str">
        <f t="shared" si="2208"/>
        <v>2001 Y</v>
      </c>
      <c r="BJ1281" s="129"/>
      <c r="BK1281" s="129"/>
      <c r="BL1281" s="129">
        <f>INDEX('Dist. Plant Gas Additions'!$E$7:$AD$91,MATCH($C1281,'Dist. Plant Gas Additions'!$C$7:$C$91,0),MATCH(Calculation!$G1281,'Dist. Plant Gas Additions'!$E$5:$AD$5,0))</f>
        <v>28158</v>
      </c>
      <c r="BM1281" s="129">
        <f>INDEX('Gen. Plant Additions'!$E$7:$AD$91,MATCH($C1281,'Gen. Plant Additions'!$C$7:$C$91,0),MATCH(Calculation!$G1281,'Gen. Plant Additions'!$E$5:$AD$5,0))</f>
        <v>6933</v>
      </c>
      <c r="BN1281" s="301">
        <f t="shared" si="2299"/>
        <v>0.87013838293891721</v>
      </c>
      <c r="BO1281" s="231">
        <f t="shared" ref="BO1281:BO1286" si="2311">+BN1281*BM1281</f>
        <v>6032.6694089155126</v>
      </c>
      <c r="BP1281" s="231">
        <f t="shared" ref="BP1281:BP1286" si="2312">+BO1281-BM1281</f>
        <v>-900.33059108448742</v>
      </c>
      <c r="BQ1281" s="129">
        <f>INDEX('Dist Plant Depreciation'!$D$7:$AC$94,MATCH($C1281,'Dist Plant Depreciation'!$C$7:$C$94,0),MATCH(Calculation!$G1281,'Dist Plant Depreciation'!$D$5:$AC$5,0))</f>
        <v>451255</v>
      </c>
      <c r="BR1281" s="129">
        <f>INDEX('Gen. Plant Depreciation'!$D$7:$AC$94,MATCH($C1281,'Gen. Plant Depreciation'!$C$7:$C$94,0),MATCH(Calculation!$G1281,'Gen. Plant Depreciation'!$D$5:$AC$5,0))</f>
        <v>73390</v>
      </c>
      <c r="BS1281" s="129"/>
      <c r="BT1281" s="129"/>
      <c r="BU1281" s="129"/>
      <c r="BV1281" s="129"/>
      <c r="BW1281" s="129"/>
      <c r="BX1281" s="137"/>
      <c r="BY1281" s="129">
        <f>INDEX('Gross Dx Plant'!$D$7:$AC$91,MATCH($C1281,'Gross Dx Plant'!$C$7:$C$91,0),MATCH(Calculation!$G1281,'Gross Dx Plant'!$D$5:$AC$5,0))</f>
        <v>773915</v>
      </c>
      <c r="BZ1281" s="129">
        <f>INDEX('Gross Gen Plant'!$D$7:$AC$91,MATCH($C1281,'Gross Gen Plant'!$C$7:$C$91,0),MATCH(Calculation!$G1281,'Gross Gen Plant'!$D$5:$AC$5,0))</f>
        <v>115501</v>
      </c>
      <c r="CA1281" s="129">
        <f t="shared" si="2294"/>
        <v>364771</v>
      </c>
      <c r="CB1281" s="129"/>
      <c r="CC1281" s="133">
        <v>2001</v>
      </c>
      <c r="CD1281" s="129"/>
      <c r="CE1281" s="129"/>
      <c r="CF1281" s="129"/>
      <c r="CG1281" s="137"/>
      <c r="CH1281" s="129">
        <f t="shared" si="2300"/>
        <v>35091</v>
      </c>
      <c r="CI1281" s="46">
        <f t="shared" si="2309"/>
        <v>34190.669408915513</v>
      </c>
      <c r="CJ1281" s="231">
        <f t="shared" si="2301"/>
        <v>96.734822003782369</v>
      </c>
      <c r="CK1281" s="443">
        <v>0.96969696969696972</v>
      </c>
      <c r="CL1281" s="231">
        <f>+CL1278*CK1281+CJ1279*CK1280+CJ1280*CK1278+CJ1281</f>
        <v>2042.8684225864449</v>
      </c>
      <c r="CM1281" s="134">
        <f t="shared" si="2302"/>
        <v>3.8591591795803688E-2</v>
      </c>
      <c r="CN1281" s="135">
        <f t="shared" si="2303"/>
        <v>9.86965468927661E-3</v>
      </c>
      <c r="CO1281" s="135">
        <f>+(CN1281+CN1280+CN1279)/3</f>
        <v>9.9844517934343374E-3</v>
      </c>
      <c r="CP1281" s="134">
        <f>VLOOKUP($H1281,RoR!$E:$F,2,FALSE)</f>
        <v>7.0824999999999999E-2</v>
      </c>
      <c r="CQ1281" s="135">
        <v>2.2454495382290052E-2</v>
      </c>
      <c r="CR1281" s="135">
        <f t="shared" si="2310"/>
        <v>4.8370504617709947E-2</v>
      </c>
      <c r="CS1281" s="135">
        <f>+$CR$2-CO1281</f>
        <v>2.0917489815099288E-2</v>
      </c>
      <c r="CT1281" s="135">
        <v>2.3947275901631187E-2</v>
      </c>
      <c r="CU1281" s="139">
        <f t="shared" si="2304"/>
        <v>0.85150049999999999</v>
      </c>
      <c r="CV1281" s="335">
        <f t="shared" si="2305"/>
        <v>0.72406708481540816</v>
      </c>
      <c r="CW1281" s="335">
        <f t="shared" si="2306"/>
        <v>0.62201729615248857</v>
      </c>
      <c r="CX1281" s="335">
        <f t="shared" si="2307"/>
        <v>0.9352469954311422</v>
      </c>
      <c r="CY1281" s="335">
        <f t="shared" si="2308"/>
        <v>0.42121864641655071</v>
      </c>
      <c r="CZ1281" s="336">
        <f>INDEX('State Tax Lookup'!$D$7:$Z$91,MATCH(Calculation!$C1281,'State Tax Lookup'!$B$7:$B$91,0),MATCH($H1281,'State Tax Lookup'!$D$6:$Z$6,0))</f>
        <v>0.40134999999999998</v>
      </c>
      <c r="DA1281" s="302">
        <v>0.37</v>
      </c>
      <c r="DB1281" s="57">
        <f t="shared" ref="DB1281:DB1302" si="2313">+(DF1281*CS1281-CT1281)*CU1281/(1-CZ1281)</f>
        <v>10.481833468484187</v>
      </c>
      <c r="DC1281" s="56"/>
      <c r="DD1281" s="303">
        <f>VLOOKUP($H1281,RoR!$E:$F,2,FALSE)</f>
        <v>7.0824999999999999E-2</v>
      </c>
      <c r="DE1281" s="304">
        <f>HLOOKUP($H1281,'GDP-PI'!$D$8:$CQ$11,3,FALSE)</f>
        <v>2.2454495382290052E-2</v>
      </c>
      <c r="DF1281" s="303">
        <f>VLOOKUP(H1281,'HW Dx Data'!$E:$F,2,FALSE)</f>
        <v>353.44738017483138</v>
      </c>
      <c r="DG1281" s="364"/>
      <c r="DH1281" s="364"/>
      <c r="DI1281" s="364"/>
      <c r="DJ1281" s="56"/>
      <c r="DK1281" s="53">
        <f>HLOOKUP(H1281,'GDP-PI'!$8:$9,2,FALSE)</f>
        <v>79.822000000000003</v>
      </c>
      <c r="DL1281" s="298"/>
    </row>
    <row r="1282" spans="1:116" s="126" customFormat="1" ht="21" customHeight="1" x14ac:dyDescent="0.4">
      <c r="A1282" s="233" t="s">
        <v>258</v>
      </c>
      <c r="B1282" s="126" t="s">
        <v>258</v>
      </c>
      <c r="C1282" s="126">
        <v>4008752</v>
      </c>
      <c r="D1282" s="127" t="s">
        <v>214</v>
      </c>
      <c r="E1282" s="127"/>
      <c r="F1282" s="144"/>
      <c r="G1282" s="126" t="s">
        <v>158</v>
      </c>
      <c r="H1282" s="128">
        <v>2002</v>
      </c>
      <c r="I1282" s="129"/>
      <c r="J1282" s="125"/>
      <c r="K1282" s="125"/>
      <c r="L1282" s="47"/>
      <c r="M1282" s="125"/>
      <c r="N1282" s="125"/>
      <c r="O1282" s="125"/>
      <c r="P1282" s="47"/>
      <c r="Q1282" s="47"/>
      <c r="R1282" s="386"/>
      <c r="S1282" s="119"/>
      <c r="T1282" s="47"/>
      <c r="U1282" s="47"/>
      <c r="V1282" s="125"/>
      <c r="W1282" s="125"/>
      <c r="X1282" s="125"/>
      <c r="Y1282" s="125"/>
      <c r="Z1282" s="125"/>
      <c r="AA1282" s="125"/>
      <c r="AB1282" s="125"/>
      <c r="AC1282" s="125">
        <f t="shared" si="2298"/>
        <v>21397.906690340569</v>
      </c>
      <c r="AD1282" s="129"/>
      <c r="AE1282" s="133">
        <v>2215.2432414284276</v>
      </c>
      <c r="AF1282" s="134">
        <v>6.3938986980887E-2</v>
      </c>
      <c r="AG1282" s="61"/>
      <c r="AH1282" s="134"/>
      <c r="AI1282" s="134"/>
      <c r="AJ1282" s="129">
        <f t="shared" si="2252"/>
        <v>21397.906690340569</v>
      </c>
      <c r="AK1282" s="134"/>
      <c r="AL1282" s="129"/>
      <c r="AM1282" s="129"/>
      <c r="AN1282" s="129"/>
      <c r="AO1282" s="129"/>
      <c r="AP1282" s="133"/>
      <c r="AQ1282" s="134"/>
      <c r="AR1282" s="93"/>
      <c r="AS1282" s="93"/>
      <c r="AT1282" s="93"/>
      <c r="AU1282" s="93"/>
      <c r="AV1282" s="93"/>
      <c r="AW1282" s="134"/>
      <c r="AX1282" s="93"/>
      <c r="AY1282" s="93"/>
      <c r="AZ1282" s="93"/>
      <c r="BA1282" s="93"/>
      <c r="BB1282" s="234">
        <f>IFERROR(INDEX('Total Customers'!$E$7:$AA$91,MATCH($C1282,'Total Customers'!$C$7:$C$91,0),MATCH($G1282,'Total Customers'!$E$5:$AA$5,0)),"NA")</f>
        <v>556768</v>
      </c>
      <c r="BC1282" s="269">
        <f t="shared" si="2209"/>
        <v>1.4804577430623444E-2</v>
      </c>
      <c r="BD1282" s="92"/>
      <c r="BE1282" s="299" t="str">
        <f t="shared" si="2205"/>
        <v>WISCONSIN GAS LLC</v>
      </c>
      <c r="BF1282" s="300">
        <f t="shared" si="2206"/>
        <v>4008752</v>
      </c>
      <c r="BG1282" s="231" t="str">
        <f t="shared" si="2207"/>
        <v>WI</v>
      </c>
      <c r="BH1282" s="231"/>
      <c r="BI1282" s="231" t="str">
        <f t="shared" si="2208"/>
        <v>2002 Y</v>
      </c>
      <c r="BJ1282" s="129"/>
      <c r="BK1282" s="129"/>
      <c r="BL1282" s="129">
        <f>INDEX('Dist. Plant Gas Additions'!$E$7:$AD$91,MATCH($C1282,'Dist. Plant Gas Additions'!$C$7:$C$91,0),MATCH(Calculation!$G1282,'Dist. Plant Gas Additions'!$E$5:$AD$5,0))</f>
        <v>46734</v>
      </c>
      <c r="BM1282" s="129">
        <f>INDEX('Gen. Plant Additions'!$E$7:$AD$91,MATCH($C1282,'Gen. Plant Additions'!$C$7:$C$91,0),MATCH(Calculation!$G1282,'Gen. Plant Additions'!$E$5:$AD$5,0))</f>
        <v>7169</v>
      </c>
      <c r="BN1282" s="301">
        <f t="shared" si="2299"/>
        <v>0.89117211686672804</v>
      </c>
      <c r="BO1282" s="231">
        <f t="shared" si="2311"/>
        <v>6388.8129058175737</v>
      </c>
      <c r="BP1282" s="231">
        <f t="shared" si="2312"/>
        <v>-780.18709418242634</v>
      </c>
      <c r="BQ1282" s="129">
        <f>INDEX('Dist Plant Depreciation'!$D$7:$AC$94,MATCH($C1282,'Dist Plant Depreciation'!$C$7:$C$94,0),MATCH(Calculation!$G1282,'Dist Plant Depreciation'!$D$5:$AC$5,0))</f>
        <v>475458</v>
      </c>
      <c r="BR1282" s="129">
        <f>INDEX('Gen. Plant Depreciation'!$D$7:$AC$94,MATCH($C1282,'Gen. Plant Depreciation'!$C$7:$C$94,0),MATCH(Calculation!$G1282,'Gen. Plant Depreciation'!$D$5:$AC$5,0))</f>
        <v>66580</v>
      </c>
      <c r="BS1282" s="129"/>
      <c r="BT1282" s="129"/>
      <c r="BU1282" s="129"/>
      <c r="BV1282" s="129"/>
      <c r="BW1282" s="129"/>
      <c r="BX1282" s="137"/>
      <c r="BY1282" s="129">
        <f>INDEX('Gross Dx Plant'!$D$7:$AC$91,MATCH($C1282,'Gross Dx Plant'!$C$7:$C$91,0),MATCH(Calculation!$G1282,'Gross Dx Plant'!$D$5:$AC$5,0))</f>
        <v>816360</v>
      </c>
      <c r="BZ1282" s="129">
        <f>INDEX('Gross Gen Plant'!$D$7:$AC$91,MATCH($C1282,'Gross Gen Plant'!$C$7:$C$91,0),MATCH(Calculation!$G1282,'Gross Gen Plant'!$D$5:$AC$5,0))</f>
        <v>99692</v>
      </c>
      <c r="CA1282" s="129">
        <f t="shared" si="2294"/>
        <v>374014</v>
      </c>
      <c r="CB1282" s="129"/>
      <c r="CC1282" s="133">
        <v>2002</v>
      </c>
      <c r="CD1282" s="129"/>
      <c r="CE1282" s="129"/>
      <c r="CF1282" s="129"/>
      <c r="CG1282" s="137"/>
      <c r="CH1282" s="129">
        <f t="shared" si="2300"/>
        <v>53903</v>
      </c>
      <c r="CI1282" s="46">
        <f t="shared" si="2309"/>
        <v>53122.812905817576</v>
      </c>
      <c r="CJ1282" s="231">
        <f t="shared" si="2301"/>
        <v>147.01282016442556</v>
      </c>
      <c r="CK1282" s="443">
        <v>0.95918367346938771</v>
      </c>
      <c r="CL1282" s="231">
        <f>+CL1278*CK1282+CJ1279*CK1281+CJ1280*CK1280+CJ1281*CK1279+CJ1282</f>
        <v>2166.7857204697702</v>
      </c>
      <c r="CM1282" s="134">
        <f t="shared" si="2302"/>
        <v>5.8889924891908571E-2</v>
      </c>
      <c r="CN1282" s="135">
        <f t="shared" si="2303"/>
        <v>1.1305437993827988E-2</v>
      </c>
      <c r="CO1282" s="135">
        <f t="shared" ref="CO1282:CO1302" si="2314">+(CN1282+CN1281+CN1280)/3</f>
        <v>1.0452601091707004E-2</v>
      </c>
      <c r="CP1282" s="134">
        <f>VLOOKUP($H1282,RoR!$E:$F,2,FALSE)</f>
        <v>6.4916666666666664E-2</v>
      </c>
      <c r="CQ1282" s="135">
        <v>1.5246423291824351E-2</v>
      </c>
      <c r="CR1282" s="135">
        <f t="shared" si="2310"/>
        <v>4.9670243374842313E-2</v>
      </c>
      <c r="CS1282" s="135">
        <f t="shared" ref="CS1282:CS1302" si="2315">+$CR$2-CO1282</f>
        <v>2.044934051682662E-2</v>
      </c>
      <c r="CT1282" s="135">
        <v>2.5243621214759093E-2</v>
      </c>
      <c r="CU1282" s="139">
        <f t="shared" si="2304"/>
        <v>0.85150049999999999</v>
      </c>
      <c r="CV1282" s="335">
        <f t="shared" si="2305"/>
        <v>0.78996741384417901</v>
      </c>
      <c r="CW1282" s="335">
        <f t="shared" si="2306"/>
        <v>0.58989088575096271</v>
      </c>
      <c r="CX1282" s="335">
        <f t="shared" si="2307"/>
        <v>0.91920675783645744</v>
      </c>
      <c r="CY1282" s="335">
        <f t="shared" si="2308"/>
        <v>0.42834536472275586</v>
      </c>
      <c r="CZ1282" s="336">
        <f>INDEX('State Tax Lookup'!$D$7:$Z$91,MATCH(Calculation!$C1282,'State Tax Lookup'!$B$7:$B$91,0),MATCH($H1282,'State Tax Lookup'!$D$6:$Z$6,0))</f>
        <v>0.40134999999999998</v>
      </c>
      <c r="DA1282" s="302">
        <v>0.37</v>
      </c>
      <c r="DB1282" s="57">
        <f t="shared" si="2313"/>
        <v>10.474441943377343</v>
      </c>
      <c r="DC1282" s="56">
        <f t="shared" ref="DC1282:DC1300" si="2316">LN(DB1282/DB1281)</f>
        <v>-7.0542358010575775E-4</v>
      </c>
      <c r="DD1282" s="303">
        <f>VLOOKUP($H1282,RoR!$E:$F,2,FALSE)</f>
        <v>6.4916666666666664E-2</v>
      </c>
      <c r="DE1282" s="304">
        <f>HLOOKUP($H1282,'GDP-PI'!$D$8:$CQ$11,3,FALSE)</f>
        <v>1.5246423291824351E-2</v>
      </c>
      <c r="DF1282" s="303">
        <f>VLOOKUP(H1282,'HW Dx Data'!$E:$F,2,FALSE)</f>
        <v>361.34816573413599</v>
      </c>
      <c r="DG1282" s="364"/>
      <c r="DH1282" s="364"/>
      <c r="DI1282" s="364"/>
      <c r="DJ1282" s="56"/>
      <c r="DK1282" s="53">
        <f>HLOOKUP(H1282,'GDP-PI'!$8:$9,2,FALSE)</f>
        <v>81.039000000000001</v>
      </c>
      <c r="DL1282" s="355">
        <f>LN(DK1282/DK1281)</f>
        <v>1.513136459537477E-2</v>
      </c>
    </row>
    <row r="1283" spans="1:116" s="126" customFormat="1" ht="21" customHeight="1" x14ac:dyDescent="0.4">
      <c r="A1283" s="233" t="s">
        <v>258</v>
      </c>
      <c r="B1283" s="126" t="s">
        <v>258</v>
      </c>
      <c r="C1283" s="126">
        <v>4008752</v>
      </c>
      <c r="D1283" s="127" t="s">
        <v>214</v>
      </c>
      <c r="E1283" s="127"/>
      <c r="F1283" s="144"/>
      <c r="G1283" s="126" t="s">
        <v>159</v>
      </c>
      <c r="H1283" s="128">
        <v>2003</v>
      </c>
      <c r="I1283" s="129"/>
      <c r="J1283" s="125"/>
      <c r="K1283" s="125"/>
      <c r="L1283" s="47"/>
      <c r="M1283" s="125"/>
      <c r="N1283" s="125"/>
      <c r="O1283" s="125"/>
      <c r="P1283" s="59"/>
      <c r="Q1283" s="59"/>
      <c r="R1283" s="386"/>
      <c r="S1283" s="119"/>
      <c r="T1283" s="59"/>
      <c r="U1283" s="59"/>
      <c r="V1283" s="125"/>
      <c r="W1283" s="125"/>
      <c r="X1283" s="125"/>
      <c r="Y1283" s="125"/>
      <c r="Z1283" s="125"/>
      <c r="AA1283" s="125"/>
      <c r="AB1283" s="125"/>
      <c r="AC1283" s="125">
        <f t="shared" si="2298"/>
        <v>22893.394964665422</v>
      </c>
      <c r="AD1283" s="129"/>
      <c r="AE1283" s="133">
        <v>2326.8031378807818</v>
      </c>
      <c r="AF1283" s="134">
        <v>4.9133068624517405E-2</v>
      </c>
      <c r="AG1283" s="61"/>
      <c r="AH1283" s="134"/>
      <c r="AI1283" s="134"/>
      <c r="AJ1283" s="129">
        <f t="shared" si="2252"/>
        <v>22893.394964665422</v>
      </c>
      <c r="AK1283" s="134"/>
      <c r="AL1283" s="129"/>
      <c r="AM1283" s="129"/>
      <c r="AN1283" s="129"/>
      <c r="AO1283" s="129"/>
      <c r="AP1283" s="133"/>
      <c r="AQ1283" s="134"/>
      <c r="AR1283" s="93"/>
      <c r="AS1283" s="93"/>
      <c r="AT1283" s="93"/>
      <c r="AU1283" s="93"/>
      <c r="AV1283" s="93"/>
      <c r="AW1283" s="134"/>
      <c r="AX1283" s="93"/>
      <c r="AY1283" s="93"/>
      <c r="AZ1283" s="93"/>
      <c r="BA1283" s="93"/>
      <c r="BB1283" s="234">
        <f>IFERROR(INDEX('Total Customers'!$E$7:$AA$91,MATCH($C1283,'Total Customers'!$C$7:$C$91,0),MATCH($G1283,'Total Customers'!$E$5:$AA$5,0)),"NA")</f>
        <v>562817</v>
      </c>
      <c r="BC1283" s="269">
        <f t="shared" si="2209"/>
        <v>1.0805894792028552E-2</v>
      </c>
      <c r="BD1283" s="92"/>
      <c r="BE1283" s="299" t="str">
        <f t="shared" ref="BE1283:BE1351" si="2317">A1283</f>
        <v>WISCONSIN GAS LLC</v>
      </c>
      <c r="BF1283" s="300">
        <f t="shared" ref="BF1283:BF1351" si="2318">C1283</f>
        <v>4008752</v>
      </c>
      <c r="BG1283" s="231" t="str">
        <f t="shared" ref="BG1283:BG1351" si="2319">D1283</f>
        <v>WI</v>
      </c>
      <c r="BH1283" s="231"/>
      <c r="BI1283" s="231" t="str">
        <f t="shared" ref="BI1283:BI1351" si="2320">G1283</f>
        <v>2003 Y</v>
      </c>
      <c r="BJ1283" s="129"/>
      <c r="BK1283" s="129"/>
      <c r="BL1283" s="129">
        <f>INDEX('Dist. Plant Gas Additions'!$E$7:$AD$91,MATCH($C1283,'Dist. Plant Gas Additions'!$C$7:$C$91,0),MATCH(Calculation!$G1283,'Dist. Plant Gas Additions'!$E$5:$AD$5,0))</f>
        <v>39213</v>
      </c>
      <c r="BM1283" s="129">
        <f>INDEX('Gen. Plant Additions'!$E$7:$AD$91,MATCH($C1283,'Gen. Plant Additions'!$C$7:$C$91,0),MATCH(Calculation!$G1283,'Gen. Plant Additions'!$E$5:$AD$5,0))</f>
        <v>6585</v>
      </c>
      <c r="BN1283" s="301">
        <f t="shared" si="2299"/>
        <v>0.93962574624108453</v>
      </c>
      <c r="BO1283" s="231">
        <f t="shared" si="2311"/>
        <v>6187.4355389975417</v>
      </c>
      <c r="BP1283" s="231">
        <f t="shared" si="2312"/>
        <v>-397.5644610024583</v>
      </c>
      <c r="BQ1283" s="129">
        <f>INDEX('Dist Plant Depreciation'!$D$7:$AC$94,MATCH($C1283,'Dist Plant Depreciation'!$C$7:$C$94,0),MATCH(Calculation!$G1283,'Dist Plant Depreciation'!$D$5:$AC$5,0))</f>
        <v>500793</v>
      </c>
      <c r="BR1283" s="129">
        <f>INDEX('Gen. Plant Depreciation'!$D$7:$AC$94,MATCH($C1283,'Gen. Plant Depreciation'!$C$7:$C$94,0),MATCH(Calculation!$G1283,'Gen. Plant Depreciation'!$D$5:$AC$5,0))</f>
        <v>22643</v>
      </c>
      <c r="BS1283" s="129"/>
      <c r="BT1283" s="129"/>
      <c r="BU1283" s="129"/>
      <c r="BV1283" s="129"/>
      <c r="BW1283" s="129"/>
      <c r="BX1283" s="137"/>
      <c r="BY1283" s="129">
        <f>INDEX('Gross Dx Plant'!$D$7:$AC$91,MATCH($C1283,'Gross Dx Plant'!$C$7:$C$91,0),MATCH(Calculation!$G1283,'Gross Dx Plant'!$D$5:$AC$5,0))</f>
        <v>851969</v>
      </c>
      <c r="BZ1283" s="129">
        <f>INDEX('Gross Gen Plant'!$D$7:$AC$91,MATCH($C1283,'Gross Gen Plant'!$C$7:$C$91,0),MATCH(Calculation!$G1283,'Gross Gen Plant'!$D$5:$AC$5,0))</f>
        <v>54742</v>
      </c>
      <c r="CA1283" s="129">
        <f t="shared" si="2294"/>
        <v>383275</v>
      </c>
      <c r="CB1283" s="129"/>
      <c r="CC1283" s="133">
        <v>2003</v>
      </c>
      <c r="CD1283" s="129"/>
      <c r="CE1283" s="129"/>
      <c r="CF1283" s="129"/>
      <c r="CG1283" s="137"/>
      <c r="CH1283" s="129">
        <f t="shared" si="2300"/>
        <v>45798</v>
      </c>
      <c r="CI1283" s="46">
        <f t="shared" si="2309"/>
        <v>45400.435538997539</v>
      </c>
      <c r="CJ1283" s="231">
        <f t="shared" si="2301"/>
        <v>122.95876639387662</v>
      </c>
      <c r="CK1283" s="443">
        <v>0.94845360824742264</v>
      </c>
      <c r="CL1283" s="231">
        <f>+CL1278*CK1283+CJ1279*CK1282+CJ1280*CK1281+CJ1281*CK1280+CJ1282*CK1279+CJ1283</f>
        <v>2265.9023045702447</v>
      </c>
      <c r="CM1283" s="134">
        <f t="shared" si="2302"/>
        <v>4.4728213438006835E-2</v>
      </c>
      <c r="CN1283" s="135">
        <f t="shared" si="2303"/>
        <v>1.10034795172238E-2</v>
      </c>
      <c r="CO1283" s="135">
        <f t="shared" si="2314"/>
        <v>1.0726190733442798E-2</v>
      </c>
      <c r="CP1283" s="134">
        <f>VLOOKUP($H1283,RoR!$E:$F,2,FALSE)</f>
        <v>5.6666666666666671E-2</v>
      </c>
      <c r="CQ1283" s="135">
        <v>1.8855119140166909E-2</v>
      </c>
      <c r="CR1283" s="135">
        <f t="shared" si="2310"/>
        <v>3.7811547526499761E-2</v>
      </c>
      <c r="CS1283" s="135">
        <f t="shared" si="2315"/>
        <v>2.0175750875090825E-2</v>
      </c>
      <c r="CT1283" s="135">
        <v>2.1375012817671957E-2</v>
      </c>
      <c r="CU1283" s="139">
        <f t="shared" si="2304"/>
        <v>0.85150049999999999</v>
      </c>
      <c r="CV1283" s="335">
        <f t="shared" si="2305"/>
        <v>0.90497737556561086</v>
      </c>
      <c r="CW1283" s="335">
        <f t="shared" si="2306"/>
        <v>0.5338235294117647</v>
      </c>
      <c r="CX1283" s="335">
        <f t="shared" si="2307"/>
        <v>0.88972433127405692</v>
      </c>
      <c r="CY1283" s="335">
        <f t="shared" si="2308"/>
        <v>0.42982423775949252</v>
      </c>
      <c r="CZ1283" s="336">
        <f>INDEX('State Tax Lookup'!$D$7:$Z$91,MATCH(Calculation!$C1283,'State Tax Lookup'!$B$7:$B$91,0),MATCH($H1283,'State Tax Lookup'!$D$6:$Z$6,0))</f>
        <v>0.40134999999999998</v>
      </c>
      <c r="DA1283" s="302">
        <v>0.37</v>
      </c>
      <c r="DB1283" s="57">
        <f t="shared" si="2313"/>
        <v>10.565601733660131</v>
      </c>
      <c r="DC1283" s="56">
        <f t="shared" si="2316"/>
        <v>8.6654155389985065E-3</v>
      </c>
      <c r="DD1283" s="303">
        <f>VLOOKUP($H1283,RoR!$E:$F,2,FALSE)</f>
        <v>5.6666666666666671E-2</v>
      </c>
      <c r="DE1283" s="304">
        <f>HLOOKUP($H1283,'GDP-PI'!$D$8:$CQ$11,3,FALSE)</f>
        <v>1.8855119140166909E-2</v>
      </c>
      <c r="DF1283" s="303">
        <f>VLOOKUP(H1283,'HW Dx Data'!$E:$F,2,FALSE)</f>
        <v>369.23301095560191</v>
      </c>
      <c r="DG1283" s="364">
        <f ca="1">VLOOKUP(CC1283,'ECI - Input Price'!M$13:N$33,2,FALSE)</f>
        <v>89.25</v>
      </c>
      <c r="DH1283" s="364"/>
      <c r="DI1283" s="364"/>
      <c r="DJ1283" s="56"/>
      <c r="DK1283" s="53">
        <f>HLOOKUP(H1283,'GDP-PI'!$8:$9,2,FALSE)</f>
        <v>82.566999999999993</v>
      </c>
      <c r="DL1283" s="355">
        <f t="shared" ref="DL1283:DL1302" si="2321">LN(DK1283/DK1282)</f>
        <v>1.8679564681853753E-2</v>
      </c>
    </row>
    <row r="1284" spans="1:116" s="126" customFormat="1" ht="21" customHeight="1" x14ac:dyDescent="0.4">
      <c r="A1284" s="233" t="s">
        <v>258</v>
      </c>
      <c r="B1284" s="126" t="s">
        <v>258</v>
      </c>
      <c r="C1284" s="126">
        <v>4008752</v>
      </c>
      <c r="D1284" s="127" t="s">
        <v>214</v>
      </c>
      <c r="E1284" s="127"/>
      <c r="F1284" s="144"/>
      <c r="G1284" s="126" t="s">
        <v>160</v>
      </c>
      <c r="H1284" s="128">
        <v>2004</v>
      </c>
      <c r="I1284" s="129"/>
      <c r="J1284" s="125">
        <f>IFERROR(INDEX('Labor Expenditures'!$E$7:$W$91,MATCH($C1284,'Labor Expenditures'!$C$7:$C$91,0),MATCH($G1284,'Labor Expenditures'!$E$5:$W$5,0)),"NA")</f>
        <v>30287.252180951356</v>
      </c>
      <c r="K1284" s="125">
        <f t="shared" ref="K1284:K1302" ca="1" si="2322">+J1284/DG1284</f>
        <v>321.0095620662571</v>
      </c>
      <c r="L1284" s="47"/>
      <c r="M1284" s="131"/>
      <c r="N1284" s="131"/>
      <c r="O1284" s="131"/>
      <c r="P1284" s="59"/>
      <c r="Q1284" s="59"/>
      <c r="R1284" s="386"/>
      <c r="S1284" s="119"/>
      <c r="T1284" s="59"/>
      <c r="U1284" s="59"/>
      <c r="V1284" s="125">
        <f>IFERROR(INDEX('Non-Labor Expenditures'!$E$7:$AA$91,MATCH($C1284,'Non-Labor Expenditures'!$C$7:$C$91,0),MATCH($G1284,'Non-Labor Expenditures'!$E$5:$AA$5,0)),"NA")</f>
        <v>43861.598036418014</v>
      </c>
      <c r="W1284" s="125">
        <f t="shared" ref="W1284:W1302" si="2323">+V1284/DK1284</f>
        <v>517.37004926299289</v>
      </c>
      <c r="X1284" s="125"/>
      <c r="Y1284" s="125"/>
      <c r="Z1284" s="125"/>
      <c r="AA1284" s="125"/>
      <c r="AB1284" s="125"/>
      <c r="AC1284" s="125">
        <f t="shared" si="2298"/>
        <v>26170.393865524249</v>
      </c>
      <c r="AD1284" s="129"/>
      <c r="AE1284" s="133">
        <v>2425.5971028011268</v>
      </c>
      <c r="AF1284" s="134">
        <v>4.1582440403906018E-2</v>
      </c>
      <c r="AG1284" s="59">
        <f t="shared" ref="AG1284:AG1302" si="2324">+AF1284*$AX1284</f>
        <v>0</v>
      </c>
      <c r="AH1284" s="134"/>
      <c r="AI1284" s="134"/>
      <c r="AJ1284" s="129">
        <f t="shared" si="2252"/>
        <v>100319.24408289362</v>
      </c>
      <c r="AK1284" s="134"/>
      <c r="AL1284" s="129"/>
      <c r="AM1284" s="129"/>
      <c r="AN1284" s="129"/>
      <c r="AO1284" s="129"/>
      <c r="AP1284" s="133"/>
      <c r="AQ1284" s="134"/>
      <c r="AR1284" s="93">
        <f t="shared" ref="AR1284:AR1302" si="2325">+J1284/AJ1284</f>
        <v>0.30190869616127741</v>
      </c>
      <c r="AS1284" s="93">
        <f t="shared" ref="AS1284:AS1302" si="2326">+V1284/AJ1284</f>
        <v>0.43722018080773467</v>
      </c>
      <c r="AT1284" s="93">
        <f t="shared" ref="AT1284:AT1302" si="2327">+AC1284/AJ1284</f>
        <v>0.26087112303098792</v>
      </c>
      <c r="AU1284" s="93"/>
      <c r="AV1284" s="93"/>
      <c r="AW1284" s="134"/>
      <c r="AX1284" s="93"/>
      <c r="AY1284" s="93"/>
      <c r="AZ1284" s="93"/>
      <c r="BA1284" s="93"/>
      <c r="BB1284" s="234">
        <f>IFERROR(INDEX('Total Customers'!$E$7:$AA$91,MATCH($C1284,'Total Customers'!$C$7:$C$91,0),MATCH($G1284,'Total Customers'!$E$5:$AA$5,0)),"NA")</f>
        <v>570927</v>
      </c>
      <c r="BC1284" s="269">
        <f t="shared" ref="BC1284:BC1347" si="2328">LN(BB1284/BB1283)</f>
        <v>1.4306824702281059E-2</v>
      </c>
      <c r="BD1284" s="92"/>
      <c r="BE1284" s="299" t="str">
        <f t="shared" si="2317"/>
        <v>WISCONSIN GAS LLC</v>
      </c>
      <c r="BF1284" s="300">
        <f t="shared" si="2318"/>
        <v>4008752</v>
      </c>
      <c r="BG1284" s="231" t="str">
        <f t="shared" si="2319"/>
        <v>WI</v>
      </c>
      <c r="BH1284" s="231"/>
      <c r="BI1284" s="231" t="str">
        <f t="shared" si="2320"/>
        <v>2004 Y</v>
      </c>
      <c r="BJ1284" s="129"/>
      <c r="BK1284" s="129"/>
      <c r="BL1284" s="129">
        <f>INDEX('Dist. Plant Gas Additions'!$E$7:$AD$91,MATCH($C1284,'Dist. Plant Gas Additions'!$C$7:$C$91,0),MATCH(Calculation!$G1284,'Dist. Plant Gas Additions'!$E$5:$AD$5,0))</f>
        <v>44561</v>
      </c>
      <c r="BM1284" s="129">
        <f>INDEX('Gen. Plant Additions'!$E$7:$AD$91,MATCH($C1284,'Gen. Plant Additions'!$C$7:$C$91,0),MATCH(Calculation!$G1284,'Gen. Plant Additions'!$E$5:$AD$5,0))</f>
        <v>2025</v>
      </c>
      <c r="BN1284" s="301">
        <f t="shared" si="2299"/>
        <v>0.94439921961588413</v>
      </c>
      <c r="BO1284" s="231">
        <f t="shared" si="2311"/>
        <v>1912.4084197221653</v>
      </c>
      <c r="BP1284" s="231">
        <f t="shared" si="2312"/>
        <v>-112.59158027783474</v>
      </c>
      <c r="BQ1284" s="129">
        <f>INDEX('Dist Plant Depreciation'!$D$7:$AC$94,MATCH($C1284,'Dist Plant Depreciation'!$C$7:$C$94,0),MATCH(Calculation!$G1284,'Dist Plant Depreciation'!$D$5:$AC$5,0))</f>
        <v>527267</v>
      </c>
      <c r="BR1284" s="129">
        <f>INDEX('Gen. Plant Depreciation'!$D$7:$AC$94,MATCH($C1284,'Gen. Plant Depreciation'!$C$7:$C$94,0),MATCH(Calculation!$G1284,'Gen. Plant Depreciation'!$D$5:$AC$5,0))</f>
        <v>23536</v>
      </c>
      <c r="BS1284" s="129"/>
      <c r="BT1284" s="129"/>
      <c r="BU1284" s="129"/>
      <c r="BV1284" s="129"/>
      <c r="BW1284" s="129"/>
      <c r="BX1284" s="137"/>
      <c r="BY1284" s="129">
        <f>INDEX('Gross Dx Plant'!$D$7:$AC$91,MATCH($C1284,'Gross Dx Plant'!$C$7:$C$91,0),MATCH(Calculation!$G1284,'Gross Dx Plant'!$D$5:$AC$5,0))</f>
        <v>892139</v>
      </c>
      <c r="BZ1284" s="129">
        <f>INDEX('Gross Gen Plant'!$D$7:$AC$91,MATCH($C1284,'Gross Gen Plant'!$C$7:$C$91,0),MATCH(Calculation!$G1284,'Gross Gen Plant'!$D$5:$AC$5,0))</f>
        <v>52524</v>
      </c>
      <c r="CA1284" s="129">
        <f t="shared" si="2294"/>
        <v>393860</v>
      </c>
      <c r="CB1284" s="129"/>
      <c r="CC1284" s="133">
        <v>2004</v>
      </c>
      <c r="CD1284" s="129"/>
      <c r="CE1284" s="129"/>
      <c r="CF1284" s="129"/>
      <c r="CG1284" s="137"/>
      <c r="CH1284" s="129">
        <f t="shared" si="2300"/>
        <v>46586</v>
      </c>
      <c r="CI1284" s="46">
        <f t="shared" si="2309"/>
        <v>46473.408419722167</v>
      </c>
      <c r="CJ1284" s="231">
        <f t="shared" si="2301"/>
        <v>112.0145653767876</v>
      </c>
      <c r="CK1284" s="443">
        <v>0.9375</v>
      </c>
      <c r="CL1284" s="231">
        <f>+CL1278*CK1284+CJ1279*CK1283+CJ1280*CK1282+CJ1281*CK1281+CJ1282*CK1280+CJ1283*CK1279+CJ1284</f>
        <v>2352.3631486993063</v>
      </c>
      <c r="CM1284" s="134">
        <f t="shared" si="2302"/>
        <v>3.7447370004089757E-2</v>
      </c>
      <c r="CN1284" s="135">
        <f t="shared" si="2303"/>
        <v>1.1277503534104309E-2</v>
      </c>
      <c r="CO1284" s="135">
        <f t="shared" si="2314"/>
        <v>1.11954736817187E-2</v>
      </c>
      <c r="CP1284" s="134">
        <f>VLOOKUP($H1284,RoR!$E:$F,2,FALSE)</f>
        <v>5.6283333333333331E-2</v>
      </c>
      <c r="CQ1284" s="135">
        <v>2.6778252812867276E-2</v>
      </c>
      <c r="CR1284" s="135">
        <f t="shared" si="2310"/>
        <v>2.9505080520466055E-2</v>
      </c>
      <c r="CS1284" s="135">
        <f t="shared" si="2315"/>
        <v>1.9706467926814925E-2</v>
      </c>
      <c r="CT1284" s="135">
        <v>5.5940039414565046E-2</v>
      </c>
      <c r="CU1284" s="139">
        <f t="shared" si="2304"/>
        <v>0.85150049999999999</v>
      </c>
      <c r="CV1284" s="335">
        <f t="shared" si="2305"/>
        <v>0.91114097628755619</v>
      </c>
      <c r="CW1284" s="335">
        <f t="shared" si="2306"/>
        <v>0.53081877405981637</v>
      </c>
      <c r="CX1284" s="335">
        <f t="shared" si="2307"/>
        <v>0.88811215519385678</v>
      </c>
      <c r="CY1284" s="335">
        <f t="shared" si="2308"/>
        <v>0.42953609753547711</v>
      </c>
      <c r="CZ1284" s="336">
        <f>INDEX('State Tax Lookup'!$D$7:$Z$91,MATCH(Calculation!$C1284,'State Tax Lookup'!$B$7:$B$91,0),MATCH($H1284,'State Tax Lookup'!$D$6:$Z$6,0))</f>
        <v>0.40134999999999998</v>
      </c>
      <c r="DA1284" s="302">
        <v>0.37</v>
      </c>
      <c r="DB1284" s="57">
        <f t="shared" si="2313"/>
        <v>11.549656758254534</v>
      </c>
      <c r="DC1284" s="56">
        <f t="shared" si="2316"/>
        <v>8.9052113793386553E-2</v>
      </c>
      <c r="DD1284" s="303">
        <f>VLOOKUP($H1284,RoR!$E:$F,2,FALSE)</f>
        <v>5.6283333333333331E-2</v>
      </c>
      <c r="DE1284" s="304">
        <f>HLOOKUP($H1284,'GDP-PI'!$D$8:$CQ$11,3,FALSE)</f>
        <v>2.6778252812867276E-2</v>
      </c>
      <c r="DF1284" s="303">
        <f>VLOOKUP(H1284,'HW Dx Data'!$E:$F,2,FALSE)</f>
        <v>414.88719135228365</v>
      </c>
      <c r="DG1284" s="364">
        <f ca="1">VLOOKUP(CC1284,'ECI - Input Price'!M$13:N$33,2,FALSE)</f>
        <v>94.35</v>
      </c>
      <c r="DH1284" s="364"/>
      <c r="DI1284" s="364"/>
      <c r="DJ1284" s="56">
        <f t="shared" ref="DJ1284:DJ1302" ca="1" si="2329">LN(DG1284/DG1283)</f>
        <v>5.5569851154810786E-2</v>
      </c>
      <c r="DK1284" s="53">
        <f>HLOOKUP(H1284,'GDP-PI'!$8:$9,2,FALSE)</f>
        <v>84.778000000000006</v>
      </c>
      <c r="DL1284" s="355">
        <f t="shared" si="2321"/>
        <v>2.6425990216022755E-2</v>
      </c>
    </row>
    <row r="1285" spans="1:116" s="126" customFormat="1" ht="21" customHeight="1" x14ac:dyDescent="0.4">
      <c r="A1285" s="233" t="s">
        <v>258</v>
      </c>
      <c r="B1285" s="126" t="s">
        <v>258</v>
      </c>
      <c r="C1285" s="126">
        <v>4008752</v>
      </c>
      <c r="D1285" s="127" t="s">
        <v>214</v>
      </c>
      <c r="E1285" s="127"/>
      <c r="F1285" s="144"/>
      <c r="G1285" s="126" t="s">
        <v>161</v>
      </c>
      <c r="H1285" s="128">
        <v>2005</v>
      </c>
      <c r="I1285" s="129"/>
      <c r="J1285" s="125">
        <f>IFERROR(INDEX('Labor Expenditures'!$E$7:$W$91,MATCH($C1285,'Labor Expenditures'!$C$7:$C$91,0),MATCH($G1285,'Labor Expenditures'!$E$5:$W$5,0)),"NA")</f>
        <v>33367.832109677693</v>
      </c>
      <c r="K1285" s="125">
        <f t="shared" ca="1" si="2322"/>
        <v>336.28452617463034</v>
      </c>
      <c r="L1285" s="47"/>
      <c r="M1285" s="131">
        <f t="shared" ref="M1285:M1301" ca="1" si="2330">LN(K1285/K1284)</f>
        <v>4.6486694663307723E-2</v>
      </c>
      <c r="N1285" s="131"/>
      <c r="O1285" s="131"/>
      <c r="P1285" s="59"/>
      <c r="Q1285" s="61"/>
      <c r="R1285" s="387"/>
      <c r="S1285" s="49">
        <v>100</v>
      </c>
      <c r="T1285" s="46"/>
      <c r="U1285" s="46"/>
      <c r="V1285" s="125">
        <f>IFERROR(INDEX('Non-Labor Expenditures'!$E$7:$AA$91,MATCH($C1285,'Non-Labor Expenditures'!$C$7:$C$91,0),MATCH($G1285,'Non-Labor Expenditures'!$E$5:$AA$5,0)),"NA")</f>
        <v>48322.853146177775</v>
      </c>
      <c r="W1285" s="125">
        <f t="shared" si="2323"/>
        <v>552.84877808616898</v>
      </c>
      <c r="X1285" s="131">
        <f>LN(W1285/W1284)</f>
        <v>6.6326125707143704E-2</v>
      </c>
      <c r="Y1285" s="131"/>
      <c r="Z1285" s="131"/>
      <c r="AA1285" s="131"/>
      <c r="AB1285" s="131"/>
      <c r="AC1285" s="125">
        <f t="shared" si="2298"/>
        <v>30495.444773278679</v>
      </c>
      <c r="AD1285" s="129"/>
      <c r="AE1285" s="133">
        <v>2513.6611722190369</v>
      </c>
      <c r="AF1285" s="134">
        <v>3.566260268061737E-2</v>
      </c>
      <c r="AG1285" s="59">
        <f t="shared" si="2324"/>
        <v>0</v>
      </c>
      <c r="AH1285" s="134"/>
      <c r="AI1285" s="134"/>
      <c r="AJ1285" s="129">
        <f t="shared" si="2252"/>
        <v>112186.13002913415</v>
      </c>
      <c r="AK1285" s="134">
        <f>LN(AJ1285/AJ1284)</f>
        <v>0.11180182537121852</v>
      </c>
      <c r="AL1285" s="129"/>
      <c r="AM1285" s="129"/>
      <c r="AN1285" s="129"/>
      <c r="AO1285" s="129"/>
      <c r="AP1285" s="133"/>
      <c r="AQ1285" s="134"/>
      <c r="AR1285" s="93">
        <f t="shared" si="2325"/>
        <v>0.29743277623546016</v>
      </c>
      <c r="AS1285" s="93">
        <f t="shared" si="2326"/>
        <v>0.43073821276862467</v>
      </c>
      <c r="AT1285" s="93">
        <f t="shared" si="2327"/>
        <v>0.27182901099591522</v>
      </c>
      <c r="AU1285" s="93">
        <f t="shared" ref="AU1285:AU1301" ca="1" si="2331">+(((AR1285+AR1284)/2)*M1285+((AS1284+AS1285)/2)*X1285+((AT1284+AT1285)/2)*AF1285)</f>
        <v>5.2213597387496799E-2</v>
      </c>
      <c r="AV1285" s="132">
        <v>100</v>
      </c>
      <c r="AW1285" s="134"/>
      <c r="AX1285" s="93"/>
      <c r="AY1285" s="93"/>
      <c r="AZ1285" s="93"/>
      <c r="BA1285" s="93"/>
      <c r="BB1285" s="234">
        <f>IFERROR(INDEX('Total Customers'!$E$7:$AA$91,MATCH($C1285,'Total Customers'!$C$7:$C$91,0),MATCH($G1285,'Total Customers'!$E$5:$AA$5,0)),"NA")</f>
        <v>578172</v>
      </c>
      <c r="BC1285" s="269">
        <f t="shared" si="2328"/>
        <v>1.2610046660925505E-2</v>
      </c>
      <c r="BD1285" s="92"/>
      <c r="BE1285" s="299" t="str">
        <f t="shared" si="2317"/>
        <v>WISCONSIN GAS LLC</v>
      </c>
      <c r="BF1285" s="300">
        <f t="shared" si="2318"/>
        <v>4008752</v>
      </c>
      <c r="BG1285" s="231" t="str">
        <f t="shared" si="2319"/>
        <v>WI</v>
      </c>
      <c r="BH1285" s="231"/>
      <c r="BI1285" s="231" t="str">
        <f t="shared" si="2320"/>
        <v>2005 Y</v>
      </c>
      <c r="BJ1285" s="129"/>
      <c r="BK1285" s="129"/>
      <c r="BL1285" s="129">
        <f>INDEX('Dist. Plant Gas Additions'!$E$7:$AD$91,MATCH($C1285,'Dist. Plant Gas Additions'!$C$7:$C$91,0),MATCH(Calculation!$G1285,'Dist. Plant Gas Additions'!$E$5:$AD$5,0))</f>
        <v>39644</v>
      </c>
      <c r="BM1285" s="129">
        <f>INDEX('Gen. Plant Additions'!$E$7:$AD$91,MATCH($C1285,'Gen. Plant Additions'!$C$7:$C$91,0),MATCH(Calculation!$G1285,'Gen. Plant Additions'!$E$5:$AD$5,0))</f>
        <v>8474</v>
      </c>
      <c r="BN1285" s="301">
        <f t="shared" si="2299"/>
        <v>0.938952631786796</v>
      </c>
      <c r="BO1285" s="231">
        <f t="shared" si="2311"/>
        <v>7956.6846017613098</v>
      </c>
      <c r="BP1285" s="231">
        <f t="shared" si="2312"/>
        <v>-517.31539823869025</v>
      </c>
      <c r="BQ1285" s="129">
        <f>INDEX('Dist Plant Depreciation'!$D$7:$AC$94,MATCH($C1285,'Dist Plant Depreciation'!$C$7:$C$94,0),MATCH(Calculation!$G1285,'Dist Plant Depreciation'!$D$5:$AC$5,0))</f>
        <v>554660</v>
      </c>
      <c r="BR1285" s="129">
        <f>INDEX('Gen. Plant Depreciation'!$D$7:$AC$94,MATCH($C1285,'Gen. Plant Depreciation'!$C$7:$C$94,0),MATCH(Calculation!$G1285,'Gen. Plant Depreciation'!$D$5:$AC$5,0))</f>
        <v>27525</v>
      </c>
      <c r="BS1285" s="129"/>
      <c r="BT1285" s="129"/>
      <c r="BU1285" s="129"/>
      <c r="BV1285" s="129"/>
      <c r="BW1285" s="129"/>
      <c r="BX1285" s="137"/>
      <c r="BY1285" s="129">
        <f>INDEX('Gross Dx Plant'!$D$7:$AC$91,MATCH($C1285,'Gross Dx Plant'!$C$7:$C$91,0),MATCH(Calculation!$G1285,'Gross Dx Plant'!$D$5:$AC$5,0))</f>
        <v>927273</v>
      </c>
      <c r="BZ1285" s="129">
        <f>INDEX('Gross Gen Plant'!$D$7:$AC$91,MATCH($C1285,'Gross Gen Plant'!$C$7:$C$91,0),MATCH(Calculation!$G1285,'Gross Gen Plant'!$D$5:$AC$5,0))</f>
        <v>60288</v>
      </c>
      <c r="CA1285" s="129">
        <f t="shared" si="2294"/>
        <v>405376</v>
      </c>
      <c r="CB1285" s="129"/>
      <c r="CC1285" s="133">
        <v>2005</v>
      </c>
      <c r="CD1285" s="129"/>
      <c r="CE1285" s="129"/>
      <c r="CF1285" s="129"/>
      <c r="CG1285" s="137"/>
      <c r="CH1285" s="129">
        <f t="shared" si="2300"/>
        <v>48118</v>
      </c>
      <c r="CI1285" s="46">
        <f t="shared" si="2309"/>
        <v>47600.684601761313</v>
      </c>
      <c r="CJ1285" s="231">
        <f t="shared" si="2301"/>
        <v>101.44962300779274</v>
      </c>
      <c r="CK1285" s="443">
        <v>0.9263157894736842</v>
      </c>
      <c r="CL1285" s="231">
        <f>+CL1278*CK1285+CJ1279*CK1284+CJ1280*CK1283+CJ1281*CK1282+CJ1282*CK1281+CJ1283*CK1280+CJ1284*CK1279+CJ1285</f>
        <v>2426.6159976597287</v>
      </c>
      <c r="CM1285" s="134">
        <f t="shared" si="2302"/>
        <v>3.1077275162094305E-2</v>
      </c>
      <c r="CN1285" s="135">
        <f t="shared" si="2303"/>
        <v>1.1561469181494477E-2</v>
      </c>
      <c r="CO1285" s="135">
        <f t="shared" si="2314"/>
        <v>1.1280817410940863E-2</v>
      </c>
      <c r="CP1285" s="134">
        <f>VLOOKUP($H1285,RoR!$E:$F,2,FALSE)</f>
        <v>5.2350000000000001E-2</v>
      </c>
      <c r="CQ1285" s="135">
        <v>3.1010403642454332E-2</v>
      </c>
      <c r="CR1285" s="135">
        <f t="shared" si="2310"/>
        <v>2.1339596357545669E-2</v>
      </c>
      <c r="CS1285" s="135">
        <f t="shared" si="2315"/>
        <v>1.9621124197592762E-2</v>
      </c>
      <c r="CT1285" s="135">
        <v>9.2129610649277341E-2</v>
      </c>
      <c r="CU1285" s="139">
        <f t="shared" si="2304"/>
        <v>0.85150049999999999</v>
      </c>
      <c r="CV1285" s="335">
        <f t="shared" si="2305"/>
        <v>0.97959983346802826</v>
      </c>
      <c r="CW1285" s="335">
        <f t="shared" si="2306"/>
        <v>0.49744508118433622</v>
      </c>
      <c r="CX1285" s="335">
        <f t="shared" si="2307"/>
        <v>0.87010519444335932</v>
      </c>
      <c r="CY1285" s="335">
        <f t="shared" si="2308"/>
        <v>0.42399975420741998</v>
      </c>
      <c r="CZ1285" s="336">
        <f>INDEX('State Tax Lookup'!$D$7:$Z$91,MATCH(Calculation!$C1285,'State Tax Lookup'!$B$7:$B$91,0),MATCH($H1285,'State Tax Lookup'!$D$6:$Z$6,0))</f>
        <v>0.40134999999999998</v>
      </c>
      <c r="DA1285" s="302">
        <v>0.37</v>
      </c>
      <c r="DB1285" s="57">
        <f t="shared" si="2313"/>
        <v>12.963748726526577</v>
      </c>
      <c r="DC1285" s="56">
        <f t="shared" si="2316"/>
        <v>0.11550118406221133</v>
      </c>
      <c r="DD1285" s="303">
        <f>VLOOKUP($H1285,RoR!$E:$F,2,FALSE)</f>
        <v>5.2350000000000001E-2</v>
      </c>
      <c r="DE1285" s="304">
        <f>HLOOKUP($H1285,'GDP-PI'!$D$8:$CQ$11,3,FALSE)</f>
        <v>3.1010403642454332E-2</v>
      </c>
      <c r="DF1285" s="303">
        <f>VLOOKUP(H1285,'HW Dx Data'!$E:$F,2,FALSE)</f>
        <v>469.20514034936258</v>
      </c>
      <c r="DG1285" s="364">
        <f ca="1">VLOOKUP(CC1285,'ECI - Input Price'!M$13:N$33,2,FALSE)</f>
        <v>99.224999999999994</v>
      </c>
      <c r="DH1285" s="364"/>
      <c r="DI1285" s="364"/>
      <c r="DJ1285" s="56">
        <f t="shared" ca="1" si="2329"/>
        <v>5.0378726854569796E-2</v>
      </c>
      <c r="DK1285" s="53">
        <f>HLOOKUP(H1285,'GDP-PI'!$8:$9,2,FALSE)</f>
        <v>87.406999999999996</v>
      </c>
      <c r="DL1285" s="355">
        <f t="shared" si="2321"/>
        <v>3.0539295810733648E-2</v>
      </c>
    </row>
    <row r="1286" spans="1:116" s="126" customFormat="1" ht="21" customHeight="1" x14ac:dyDescent="0.4">
      <c r="A1286" s="233" t="s">
        <v>258</v>
      </c>
      <c r="B1286" s="126" t="s">
        <v>258</v>
      </c>
      <c r="C1286" s="126">
        <v>4008752</v>
      </c>
      <c r="D1286" s="127" t="s">
        <v>214</v>
      </c>
      <c r="E1286" s="127"/>
      <c r="F1286" s="144"/>
      <c r="G1286" s="126" t="s">
        <v>162</v>
      </c>
      <c r="H1286" s="128">
        <v>2006</v>
      </c>
      <c r="I1286" s="129"/>
      <c r="J1286" s="125">
        <f>IFERROR(INDEX('Labor Expenditures'!$E$7:$W$91,MATCH($C1286,'Labor Expenditures'!$C$7:$C$91,0),MATCH($G1286,'Labor Expenditures'!$E$5:$W$5,0)),"NA")</f>
        <v>31364.869478587156</v>
      </c>
      <c r="K1286" s="125">
        <f t="shared" ca="1" si="2322"/>
        <v>286.69898974942555</v>
      </c>
      <c r="L1286" s="47"/>
      <c r="M1286" s="131">
        <f t="shared" ca="1" si="2330"/>
        <v>-0.15952475655512124</v>
      </c>
      <c r="N1286" s="131"/>
      <c r="O1286" s="131"/>
      <c r="P1286" s="59">
        <f t="shared" ref="P1286:P1302" ca="1" si="2332">+M1286*$AX1286</f>
        <v>-2.3402342074311977E-3</v>
      </c>
      <c r="Q1286" s="61"/>
      <c r="R1286" s="387"/>
      <c r="S1286" s="49">
        <f ca="1">+S1285*EXP(T1286)</f>
        <v>116.01263845249592</v>
      </c>
      <c r="T1286" s="61">
        <f ca="1">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+P2611</f>
        <v>0.14852895136010485</v>
      </c>
      <c r="U1286" s="61"/>
      <c r="V1286" s="125">
        <f>IFERROR(INDEX('Non-Labor Expenditures'!$E$7:$AA$91,MATCH($C1286,'Non-Labor Expenditures'!$C$7:$C$91,0),MATCH($G1286,'Non-Labor Expenditures'!$E$5:$AA$5,0)),"NA")</f>
        <v>45422.189154542612</v>
      </c>
      <c r="W1286" s="125">
        <f t="shared" si="2323"/>
        <v>504.27636337392158</v>
      </c>
      <c r="X1286" s="131">
        <f t="shared" ref="X1286:X1301" si="2333">LN(W1286/W1285)</f>
        <v>-9.1960048961823526E-2</v>
      </c>
      <c r="Y1286" s="131">
        <f t="shared" ref="Y1286:Y1302" si="2334">+X1286*AX1286</f>
        <v>-1.3490573936287156E-3</v>
      </c>
      <c r="Z1286" s="131"/>
      <c r="AA1286" s="131"/>
      <c r="AB1286" s="131"/>
      <c r="AC1286" s="125">
        <f t="shared" si="2298"/>
        <v>30499.97506158378</v>
      </c>
      <c r="AD1286" s="129"/>
      <c r="AE1286" s="133">
        <v>2624.6470613867946</v>
      </c>
      <c r="AF1286" s="134">
        <v>4.3206109478805141E-2</v>
      </c>
      <c r="AG1286" s="59">
        <f t="shared" si="2324"/>
        <v>6.3383525890151927E-4</v>
      </c>
      <c r="AH1286" s="134"/>
      <c r="AI1286" s="134"/>
      <c r="AJ1286" s="129">
        <f t="shared" si="2252"/>
        <v>107287.03369471355</v>
      </c>
      <c r="AK1286" s="134">
        <f t="shared" ref="AK1286:AK1302" si="2335">LN(AJ1286/AJ1285)</f>
        <v>-4.4651566448820013E-2</v>
      </c>
      <c r="AL1286" s="129"/>
      <c r="AM1286" s="129"/>
      <c r="AN1286" s="129"/>
      <c r="AO1286" s="129"/>
      <c r="AP1286" s="133">
        <f t="shared" ref="AP1286:AP1302" si="2336">+(AJ1286*1000)/BB1286</f>
        <v>183.64432318924764</v>
      </c>
      <c r="AQ1286" s="134">
        <f>+BB1286/Outputs!$B$14</f>
        <v>1.684505742536882E-2</v>
      </c>
      <c r="AR1286" s="93">
        <f t="shared" si="2325"/>
        <v>0.29234538786705799</v>
      </c>
      <c r="AS1286" s="93">
        <f t="shared" si="2326"/>
        <v>0.42337072421810035</v>
      </c>
      <c r="AT1286" s="93">
        <f t="shared" si="2327"/>
        <v>0.2842838879148416</v>
      </c>
      <c r="AU1286" s="93">
        <f t="shared" ca="1" si="2331"/>
        <v>-7.4300321460548477E-2</v>
      </c>
      <c r="AV1286" s="132">
        <f ca="1">+AV1285*EXP(AU1286)</f>
        <v>92.839283567746421</v>
      </c>
      <c r="AW1286" s="134">
        <f ca="1">LN(AV1286/AV1285)</f>
        <v>-7.4300321460548435E-2</v>
      </c>
      <c r="AX1286" s="135">
        <f>+AJ1286/$AL$11</f>
        <v>1.4670037792049957E-2</v>
      </c>
      <c r="AY1286" s="135">
        <f ca="1">+AX1286*AW1286</f>
        <v>-1.089988523787706E-3</v>
      </c>
      <c r="AZ1286" s="93"/>
      <c r="BA1286" s="93"/>
      <c r="BB1286" s="234">
        <f>IFERROR(INDEX('Total Customers'!$E$7:$AA$91,MATCH($C1286,'Total Customers'!$C$7:$C$91,0),MATCH($G1286,'Total Customers'!$E$5:$AA$5,0)),"NA")</f>
        <v>584211</v>
      </c>
      <c r="BC1286" s="269">
        <f t="shared" si="2328"/>
        <v>1.0390816684926427E-2</v>
      </c>
      <c r="BD1286" s="92"/>
      <c r="BE1286" s="299" t="str">
        <f t="shared" si="2317"/>
        <v>WISCONSIN GAS LLC</v>
      </c>
      <c r="BF1286" s="300">
        <f t="shared" si="2318"/>
        <v>4008752</v>
      </c>
      <c r="BG1286" s="231" t="str">
        <f t="shared" si="2319"/>
        <v>WI</v>
      </c>
      <c r="BH1286" s="231"/>
      <c r="BI1286" s="231" t="str">
        <f t="shared" si="2320"/>
        <v>2006 Y</v>
      </c>
      <c r="BJ1286" s="129"/>
      <c r="BK1286" s="129"/>
      <c r="BL1286" s="129">
        <f>INDEX('Dist. Plant Gas Additions'!$E$7:$AD$91,MATCH($C1286,'Dist. Plant Gas Additions'!$C$7:$C$91,0),MATCH(Calculation!$G1286,'Dist. Plant Gas Additions'!$E$5:$AD$5,0))</f>
        <v>37928</v>
      </c>
      <c r="BM1286" s="129">
        <f>INDEX('Gen. Plant Additions'!$E$7:$AD$91,MATCH($C1286,'Gen. Plant Additions'!$C$7:$C$91,0),MATCH(Calculation!$G1286,'Gen. Plant Additions'!$E$5:$AD$5,0))</f>
        <v>20381</v>
      </c>
      <c r="BN1286" s="301">
        <f t="shared" si="2299"/>
        <v>0.92477371197318525</v>
      </c>
      <c r="BO1286" s="231">
        <f t="shared" si="2311"/>
        <v>18847.813023725488</v>
      </c>
      <c r="BP1286" s="231">
        <f t="shared" si="2312"/>
        <v>-1533.1869762745118</v>
      </c>
      <c r="BQ1286" s="129">
        <f>INDEX('Dist Plant Depreciation'!$D$7:$AC$94,MATCH($C1286,'Dist Plant Depreciation'!$C$7:$C$94,0),MATCH(Calculation!$G1286,'Dist Plant Depreciation'!$D$5:$AC$5,0))</f>
        <v>580474</v>
      </c>
      <c r="BR1286" s="129">
        <f>INDEX('Gen. Plant Depreciation'!$D$7:$AC$94,MATCH($C1286,'Gen. Plant Depreciation'!$C$7:$C$94,0),MATCH(Calculation!$G1286,'Gen. Plant Depreciation'!$D$5:$AC$5,0))</f>
        <v>29057</v>
      </c>
      <c r="BS1286" s="129"/>
      <c r="BT1286" s="129"/>
      <c r="BU1286" s="129"/>
      <c r="BV1286" s="129"/>
      <c r="BW1286" s="129"/>
      <c r="BX1286" s="137"/>
      <c r="BY1286" s="129">
        <f>INDEX('Gross Dx Plant'!$D$7:$AC$91,MATCH($C1286,'Gross Dx Plant'!$C$7:$C$91,0),MATCH(Calculation!$G1286,'Gross Dx Plant'!$D$5:$AC$5,0))</f>
        <v>957925</v>
      </c>
      <c r="BZ1286" s="129">
        <f>INDEX('Gross Gen Plant'!$D$7:$AC$91,MATCH($C1286,'Gross Gen Plant'!$C$7:$C$91,0),MATCH(Calculation!$G1286,'Gross Gen Plant'!$D$5:$AC$5,0))</f>
        <v>77923</v>
      </c>
      <c r="CA1286" s="129">
        <f t="shared" si="2294"/>
        <v>426317</v>
      </c>
      <c r="CB1286" s="134"/>
      <c r="CC1286" s="133">
        <v>2006</v>
      </c>
      <c r="CD1286" s="129"/>
      <c r="CE1286" s="129"/>
      <c r="CF1286" s="129"/>
      <c r="CG1286" s="137"/>
      <c r="CH1286" s="129">
        <f t="shared" si="2300"/>
        <v>58309</v>
      </c>
      <c r="CI1286" s="46">
        <f t="shared" si="2309"/>
        <v>56775.813023725488</v>
      </c>
      <c r="CJ1286" s="231">
        <f t="shared" si="2301"/>
        <v>123.13506227075213</v>
      </c>
      <c r="CK1286" s="443">
        <v>0.91489361702127658</v>
      </c>
      <c r="CL1286" s="231">
        <f>+CL1278*CK1286+CJ1279*CK1285+CJ1280*CK1284+CJ1281*CK1283+CJ1282*CK1282+CJ1283*CK1281+CJ1284*CK1280+CJ1285*CK1279+CJ1286</f>
        <v>2520.9767362787197</v>
      </c>
      <c r="CM1286" s="134">
        <f t="shared" si="2302"/>
        <v>3.8148726952454123E-2</v>
      </c>
      <c r="CN1286" s="135">
        <f t="shared" si="2303"/>
        <v>1.1857798547240915E-2</v>
      </c>
      <c r="CO1286" s="135">
        <f t="shared" si="2314"/>
        <v>1.1565590420946568E-2</v>
      </c>
      <c r="CP1286" s="134">
        <f>VLOOKUP($H1286,RoR!$E:$F,2,FALSE)</f>
        <v>5.5874999999999994E-2</v>
      </c>
      <c r="CQ1286" s="135">
        <v>3.0512430354548314E-2</v>
      </c>
      <c r="CR1286" s="135">
        <f t="shared" si="2310"/>
        <v>2.536256964545168E-2</v>
      </c>
      <c r="CS1286" s="135">
        <f t="shared" si="2315"/>
        <v>1.9336351187587059E-2</v>
      </c>
      <c r="CT1286" s="135">
        <v>7.9087823893859641E-2</v>
      </c>
      <c r="CU1286" s="139">
        <f t="shared" si="2304"/>
        <v>0.85150049999999999</v>
      </c>
      <c r="CV1286" s="335">
        <f t="shared" si="2305"/>
        <v>0.91779957551769631</v>
      </c>
      <c r="CW1286" s="335">
        <f t="shared" si="2306"/>
        <v>0.52757270693512304</v>
      </c>
      <c r="CX1286" s="335">
        <f t="shared" si="2307"/>
        <v>0.88636824549024895</v>
      </c>
      <c r="CY1286" s="335">
        <f t="shared" si="2308"/>
        <v>0.42918482841932087</v>
      </c>
      <c r="CZ1286" s="336">
        <f>INDEX('State Tax Lookup'!$D$7:$Z$91,MATCH(Calculation!$C1286,'State Tax Lookup'!$B$7:$B$91,0),MATCH($H1286,'State Tax Lookup'!$D$6:$Z$6,0))</f>
        <v>0.40134999999999998</v>
      </c>
      <c r="DA1286" s="302">
        <v>0.37</v>
      </c>
      <c r="DB1286" s="57">
        <f t="shared" si="2313"/>
        <v>12.568933482264393</v>
      </c>
      <c r="DC1286" s="56">
        <f t="shared" si="2316"/>
        <v>-3.0928729965563305E-2</v>
      </c>
      <c r="DD1286" s="303">
        <f>VLOOKUP($H1286,RoR!$E:$F,2,FALSE)</f>
        <v>5.5874999999999994E-2</v>
      </c>
      <c r="DE1286" s="304">
        <f>HLOOKUP($H1286,'GDP-PI'!$D$8:$CQ$11,3,FALSE)</f>
        <v>3.0512430354548314E-2</v>
      </c>
      <c r="DF1286" s="303">
        <f>VLOOKUP(H1286,'HW Dx Data'!$E:$F,2,FALSE)</f>
        <v>461.08567272971823</v>
      </c>
      <c r="DG1286" s="364">
        <f ca="1">VLOOKUP(CC1286,'ECI - Input Price'!M$13:N$33,2,FALSE)</f>
        <v>109.4</v>
      </c>
      <c r="DH1286" s="364"/>
      <c r="DI1286" s="364"/>
      <c r="DJ1286" s="56">
        <f t="shared" ca="1" si="2329"/>
        <v>9.7620891318751846E-2</v>
      </c>
      <c r="DK1286" s="53">
        <f>HLOOKUP(H1286,'GDP-PI'!$8:$9,2,FALSE)</f>
        <v>90.073999999999998</v>
      </c>
      <c r="DL1286" s="355">
        <f t="shared" si="2321"/>
        <v>3.005618372545445E-2</v>
      </c>
    </row>
    <row r="1287" spans="1:116" s="126" customFormat="1" ht="21" customHeight="1" x14ac:dyDescent="0.4">
      <c r="A1287" s="233" t="s">
        <v>258</v>
      </c>
      <c r="B1287" s="126" t="s">
        <v>258</v>
      </c>
      <c r="C1287" s="126">
        <v>4008752</v>
      </c>
      <c r="D1287" s="127" t="s">
        <v>214</v>
      </c>
      <c r="E1287" s="127"/>
      <c r="F1287" s="144"/>
      <c r="G1287" s="126" t="s">
        <v>163</v>
      </c>
      <c r="H1287" s="128">
        <v>2007</v>
      </c>
      <c r="I1287" s="129"/>
      <c r="J1287" s="125">
        <f>IFERROR(INDEX('Labor Expenditures'!$E$7:$W$91,MATCH($C1287,'Labor Expenditures'!$C$7:$C$91,0),MATCH($G1287,'Labor Expenditures'!$E$5:$W$5,0)),"NA")</f>
        <v>29917.211014585188</v>
      </c>
      <c r="K1287" s="125">
        <f t="shared" ca="1" si="2322"/>
        <v>286.22062678388124</v>
      </c>
      <c r="L1287" s="47"/>
      <c r="M1287" s="131">
        <f t="shared" ca="1" si="2330"/>
        <v>-1.6699134150889754E-3</v>
      </c>
      <c r="N1287" s="131"/>
      <c r="O1287" s="131"/>
      <c r="P1287" s="59">
        <f t="shared" ca="1" si="2332"/>
        <v>-2.3316343032808371E-5</v>
      </c>
      <c r="Q1287" s="61"/>
      <c r="R1287" s="387"/>
      <c r="S1287" s="49">
        <f t="shared" ref="S1287:S1300" ca="1" si="2337">+S1286*EXP(T1287)</f>
        <v>119.9232119248785</v>
      </c>
      <c r="T1287" s="61">
        <f ca="1">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+P2612</f>
        <v>3.3152499984049157E-2</v>
      </c>
      <c r="U1287" s="61"/>
      <c r="V1287" s="125">
        <f>IFERROR(INDEX('Non-Labor Expenditures'!$E$7:$AA$91,MATCH($C1287,'Non-Labor Expenditures'!$C$7:$C$91,0),MATCH($G1287,'Non-Labor Expenditures'!$E$5:$AA$5,0)),"NA")</f>
        <v>43325.709313363492</v>
      </c>
      <c r="W1287" s="125">
        <f t="shared" si="2323"/>
        <v>468.39617411580241</v>
      </c>
      <c r="X1287" s="131">
        <f t="shared" si="2333"/>
        <v>-7.3809994110379237E-2</v>
      </c>
      <c r="Y1287" s="131">
        <f t="shared" si="2334"/>
        <v>-1.0305798650257993E-3</v>
      </c>
      <c r="Z1287" s="131"/>
      <c r="AA1287" s="131"/>
      <c r="AB1287" s="131"/>
      <c r="AC1287" s="125">
        <f t="shared" si="2298"/>
        <v>33785.557742791076</v>
      </c>
      <c r="AD1287" s="129"/>
      <c r="AE1287" s="133">
        <v>2712.7905645748269</v>
      </c>
      <c r="AF1287" s="134">
        <v>3.3031399511191759E-2</v>
      </c>
      <c r="AG1287" s="59">
        <f t="shared" si="2324"/>
        <v>4.6120441628744565E-4</v>
      </c>
      <c r="AH1287" s="134"/>
      <c r="AI1287" s="134"/>
      <c r="AJ1287" s="129">
        <f t="shared" si="2252"/>
        <v>107028.47807073976</v>
      </c>
      <c r="AK1287" s="134">
        <f t="shared" si="2335"/>
        <v>-2.4128514756891063E-3</v>
      </c>
      <c r="AL1287" s="129"/>
      <c r="AM1287" s="129"/>
      <c r="AN1287" s="129"/>
      <c r="AO1287" s="129"/>
      <c r="AP1287" s="133">
        <f t="shared" si="2336"/>
        <v>181.93891550886804</v>
      </c>
      <c r="AQ1287" s="134">
        <f>+BB1287/Outputs!$B$15</f>
        <v>1.6834270775679491E-2</v>
      </c>
      <c r="AR1287" s="93">
        <f t="shared" si="2325"/>
        <v>0.27952570711891844</v>
      </c>
      <c r="AS1287" s="93">
        <f t="shared" si="2326"/>
        <v>0.40480543210871084</v>
      </c>
      <c r="AT1287" s="93">
        <f t="shared" si="2327"/>
        <v>0.31566886077237066</v>
      </c>
      <c r="AU1287" s="93">
        <f t="shared" ca="1" si="2331"/>
        <v>-2.1132686752166108E-2</v>
      </c>
      <c r="AV1287" s="132">
        <f ca="1">+AV1286*EXP(AU1287)</f>
        <v>90.897925375882764</v>
      </c>
      <c r="AW1287" s="134">
        <f ca="1">LN(AV1287/AV1286)</f>
        <v>-2.113268675216607E-2</v>
      </c>
      <c r="AX1287" s="135">
        <f>+AJ1287/$AL$12</f>
        <v>1.3962605978326154E-2</v>
      </c>
      <c r="AY1287" s="135">
        <f t="shared" ref="AY1287:AY1301" ca="1" si="2338">+AX1287*AW1287</f>
        <v>-2.950673783838879E-4</v>
      </c>
      <c r="AZ1287" s="93"/>
      <c r="BA1287" s="93"/>
      <c r="BB1287" s="234">
        <f>IFERROR(INDEX('Total Customers'!$E$7:$AA$91,MATCH($C1287,'Total Customers'!$C$7:$C$91,0),MATCH($G1287,'Total Customers'!$E$5:$AA$5,0)),"NA")</f>
        <v>588266</v>
      </c>
      <c r="BC1287" s="269">
        <f t="shared" si="2328"/>
        <v>6.9170076131269062E-3</v>
      </c>
      <c r="BD1287" s="92"/>
      <c r="BE1287" s="299" t="str">
        <f t="shared" si="2317"/>
        <v>WISCONSIN GAS LLC</v>
      </c>
      <c r="BF1287" s="300">
        <f t="shared" si="2318"/>
        <v>4008752</v>
      </c>
      <c r="BG1287" s="231" t="str">
        <f t="shared" si="2319"/>
        <v>WI</v>
      </c>
      <c r="BH1287" s="231"/>
      <c r="BI1287" s="231" t="str">
        <f t="shared" si="2320"/>
        <v>2007 Y</v>
      </c>
      <c r="BJ1287" s="129"/>
      <c r="BK1287" s="129"/>
      <c r="BL1287" s="129">
        <f>INDEX('Dist. Plant Gas Additions'!$E$7:$AD$91,MATCH($C1287,'Dist. Plant Gas Additions'!$C$7:$C$91,0),MATCH(Calculation!$G1287,'Dist. Plant Gas Additions'!$E$5:$AD$5,0))</f>
        <v>44063</v>
      </c>
      <c r="BM1287" s="129">
        <f>INDEX('Gen. Plant Additions'!$E$7:$AD$91,MATCH($C1287,'Gen. Plant Additions'!$C$7:$C$91,0),MATCH(Calculation!$G1287,'Gen. Plant Additions'!$E$5:$AD$5,0))</f>
        <v>8111</v>
      </c>
      <c r="BN1287" s="301">
        <f t="shared" si="2299"/>
        <v>0.92157952560133538</v>
      </c>
      <c r="BO1287" s="231">
        <f t="shared" ref="BO1287:BO1309" si="2339">+BN1287*BM1287</f>
        <v>7474.9315321524309</v>
      </c>
      <c r="BP1287" s="231">
        <f t="shared" ref="BP1287:BP1309" si="2340">+BO1287-BM1287</f>
        <v>-636.06846784756908</v>
      </c>
      <c r="BQ1287" s="129">
        <f>INDEX('Dist Plant Depreciation'!$D$7:$AC$94,MATCH($C1287,'Dist Plant Depreciation'!$C$7:$C$94,0),MATCH(Calculation!$G1287,'Dist Plant Depreciation'!$D$5:$AC$5,0))</f>
        <v>607631</v>
      </c>
      <c r="BR1287" s="129">
        <f>INDEX('Gen. Plant Depreciation'!$D$7:$AC$94,MATCH($C1287,'Gen. Plant Depreciation'!$C$7:$C$94,0),MATCH(Calculation!$G1287,'Gen. Plant Depreciation'!$D$5:$AC$5,0))</f>
        <v>33383</v>
      </c>
      <c r="BS1287" s="129"/>
      <c r="BT1287" s="129"/>
      <c r="BU1287" s="129"/>
      <c r="BV1287" s="129"/>
      <c r="BW1287" s="129"/>
      <c r="BX1287" s="137"/>
      <c r="BY1287" s="129">
        <f>INDEX('Gross Dx Plant'!$D$7:$AC$91,MATCH($C1287,'Gross Dx Plant'!$C$7:$C$91,0),MATCH(Calculation!$G1287,'Gross Dx Plant'!$D$5:$AC$5,0))</f>
        <v>994858</v>
      </c>
      <c r="BZ1287" s="129">
        <f>INDEX('Gross Gen Plant'!$D$7:$AC$91,MATCH($C1287,'Gross Gen Plant'!$C$7:$C$91,0),MATCH(Calculation!$G1287,'Gross Gen Plant'!$D$5:$AC$5,0))</f>
        <v>84656</v>
      </c>
      <c r="CA1287" s="129">
        <f t="shared" si="2294"/>
        <v>438500</v>
      </c>
      <c r="CB1287" s="129"/>
      <c r="CC1287" s="133">
        <v>2007</v>
      </c>
      <c r="CD1287" s="129"/>
      <c r="CE1287" s="129"/>
      <c r="CF1287" s="129"/>
      <c r="CG1287" s="137"/>
      <c r="CH1287" s="129">
        <f t="shared" si="2300"/>
        <v>52174</v>
      </c>
      <c r="CI1287" s="46">
        <f t="shared" si="2309"/>
        <v>51537.931532152434</v>
      </c>
      <c r="CJ1287" s="231">
        <f t="shared" si="2301"/>
        <v>103.48518516236108</v>
      </c>
      <c r="CK1287" s="443">
        <v>0.90322580645161288</v>
      </c>
      <c r="CL1287" s="231">
        <f>+CL1278*CK1287+CJ1279*CK1286+CJ1280*CK1285+CJ1281*CK1284+CJ1282*CK1283+CJ1283*CK1282+CJ1284*CK1281+CJ1285*CK1280+CJ1286*CK1279+CJ1287</f>
        <v>2593.8569380417066</v>
      </c>
      <c r="CM1287" s="134">
        <f t="shared" si="2302"/>
        <v>2.8499513081817519E-2</v>
      </c>
      <c r="CN1287" s="135">
        <f t="shared" si="2303"/>
        <v>1.2140129243933854E-2</v>
      </c>
      <c r="CO1287" s="135">
        <f t="shared" si="2314"/>
        <v>1.1853132324223081E-2</v>
      </c>
      <c r="CP1287" s="134">
        <f>VLOOKUP($H1287,RoR!$E:$F,2,FALSE)</f>
        <v>5.5558333333333321E-2</v>
      </c>
      <c r="CQ1287" s="135">
        <v>2.691120634145272E-2</v>
      </c>
      <c r="CR1287" s="135">
        <f t="shared" si="2310"/>
        <v>2.86471269918806E-2</v>
      </c>
      <c r="CS1287" s="135">
        <f t="shared" si="2315"/>
        <v>1.9048809284310544E-2</v>
      </c>
      <c r="CT1287" s="135">
        <v>6.4575155250632399E-2</v>
      </c>
      <c r="CU1287" s="139">
        <f t="shared" si="2304"/>
        <v>0.85150049999999999</v>
      </c>
      <c r="CV1287" s="335">
        <f t="shared" si="2305"/>
        <v>0.92303077153834634</v>
      </c>
      <c r="CW1287" s="335">
        <f t="shared" si="2306"/>
        <v>0.52502249887505614</v>
      </c>
      <c r="CX1287" s="335">
        <f t="shared" si="2307"/>
        <v>0.88499666072084604</v>
      </c>
      <c r="CY1287" s="335">
        <f t="shared" si="2308"/>
        <v>0.42887993290280618</v>
      </c>
      <c r="CZ1287" s="336">
        <f>INDEX('State Tax Lookup'!$D$7:$Z$91,MATCH(Calculation!$C1287,'State Tax Lookup'!$B$7:$B$91,0),MATCH($H1287,'State Tax Lookup'!$D$6:$Z$6,0))</f>
        <v>0.40134999999999998</v>
      </c>
      <c r="DA1287" s="302">
        <v>0.37</v>
      </c>
      <c r="DB1287" s="57">
        <f t="shared" si="2313"/>
        <v>13.401772914677043</v>
      </c>
      <c r="DC1287" s="56">
        <f t="shared" si="2316"/>
        <v>6.4158832547684203E-2</v>
      </c>
      <c r="DD1287" s="303">
        <f>VLOOKUP($H1287,RoR!$E:$F,2,FALSE)</f>
        <v>5.5558333333333321E-2</v>
      </c>
      <c r="DE1287" s="304">
        <f>HLOOKUP($H1287,'GDP-PI'!$D$8:$CQ$11,3,FALSE)</f>
        <v>2.691120634145272E-2</v>
      </c>
      <c r="DF1287" s="303">
        <f>VLOOKUP(H1287,'HW Dx Data'!$E:$F,2,FALSE)</f>
        <v>498.0223154772637</v>
      </c>
      <c r="DG1287" s="364">
        <f ca="1">VLOOKUP(CC1287,'ECI - Input Price'!M$13:N$33,2,FALSE)</f>
        <v>104.52499999999999</v>
      </c>
      <c r="DH1287" s="364"/>
      <c r="DI1287" s="364"/>
      <c r="DJ1287" s="56">
        <f t="shared" ca="1" si="2329"/>
        <v>-4.5584612745252218E-2</v>
      </c>
      <c r="DK1287" s="53">
        <f>HLOOKUP(H1287,'GDP-PI'!$8:$9,2,FALSE)</f>
        <v>92.498000000000005</v>
      </c>
      <c r="DL1287" s="355">
        <f t="shared" si="2321"/>
        <v>2.6555467950038037E-2</v>
      </c>
    </row>
    <row r="1288" spans="1:116" s="126" customFormat="1" ht="21" customHeight="1" x14ac:dyDescent="0.4">
      <c r="A1288" s="233" t="s">
        <v>258</v>
      </c>
      <c r="B1288" s="126" t="s">
        <v>258</v>
      </c>
      <c r="C1288" s="126">
        <v>4008752</v>
      </c>
      <c r="D1288" s="127" t="s">
        <v>214</v>
      </c>
      <c r="E1288" s="127"/>
      <c r="F1288" s="144"/>
      <c r="G1288" s="126" t="s">
        <v>164</v>
      </c>
      <c r="H1288" s="128">
        <v>2008</v>
      </c>
      <c r="I1288" s="129"/>
      <c r="J1288" s="125">
        <f>IFERROR(INDEX('Labor Expenditures'!$E$7:$W$91,MATCH($C1288,'Labor Expenditures'!$C$7:$C$91,0),MATCH($G1288,'Labor Expenditures'!$E$5:$W$5,0)),"NA")</f>
        <v>31767.599234353911</v>
      </c>
      <c r="K1288" s="125">
        <f t="shared" ca="1" si="2322"/>
        <v>294.41704573080546</v>
      </c>
      <c r="L1288" s="47"/>
      <c r="M1288" s="131">
        <f t="shared" ca="1" si="2330"/>
        <v>2.8234349331569483E-2</v>
      </c>
      <c r="N1288" s="131"/>
      <c r="O1288" s="131"/>
      <c r="P1288" s="59">
        <f t="shared" ca="1" si="2332"/>
        <v>4.0816947094074647E-4</v>
      </c>
      <c r="Q1288" s="61"/>
      <c r="R1288" s="387"/>
      <c r="S1288" s="49">
        <f t="shared" ca="1" si="2337"/>
        <v>113.95940778105052</v>
      </c>
      <c r="T1288" s="61">
        <f ca="1">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+P2613</f>
        <v>-5.1009324442519245E-2</v>
      </c>
      <c r="U1288" s="61"/>
      <c r="V1288" s="125">
        <f>IFERROR(INDEX('Non-Labor Expenditures'!$E$7:$AA$91,MATCH($C1288,'Non-Labor Expenditures'!$C$7:$C$91,0),MATCH($G1288,'Non-Labor Expenditures'!$E$5:$AA$5,0)),"NA")</f>
        <v>46005.417060435502</v>
      </c>
      <c r="W1288" s="125">
        <f t="shared" si="2323"/>
        <v>488.04864063094612</v>
      </c>
      <c r="X1288" s="131">
        <f t="shared" si="2333"/>
        <v>4.1100610604997721E-2</v>
      </c>
      <c r="Y1288" s="131">
        <f t="shared" si="2334"/>
        <v>5.9417039468396399E-4</v>
      </c>
      <c r="Z1288" s="131"/>
      <c r="AA1288" s="131"/>
      <c r="AB1288" s="131"/>
      <c r="AC1288" s="125">
        <f t="shared" si="2298"/>
        <v>39175.547695715679</v>
      </c>
      <c r="AD1288" s="129"/>
      <c r="AE1288" s="133">
        <v>2845.2070885667945</v>
      </c>
      <c r="AF1288" s="134">
        <v>4.7658021576442194E-2</v>
      </c>
      <c r="AG1288" s="59">
        <f t="shared" si="2324"/>
        <v>6.8896751345315203E-4</v>
      </c>
      <c r="AH1288" s="134"/>
      <c r="AI1288" s="134"/>
      <c r="AJ1288" s="129">
        <f t="shared" si="2252"/>
        <v>116948.56399050509</v>
      </c>
      <c r="AK1288" s="134">
        <f t="shared" si="2335"/>
        <v>8.8639264877955523E-2</v>
      </c>
      <c r="AL1288" s="129"/>
      <c r="AM1288" s="129"/>
      <c r="AN1288" s="129"/>
      <c r="AO1288" s="129"/>
      <c r="AP1288" s="133">
        <f t="shared" si="2336"/>
        <v>197.58229287901818</v>
      </c>
      <c r="AQ1288" s="134">
        <f>+BB1288/Outputs!$B$16</f>
        <v>1.6847645450336183E-2</v>
      </c>
      <c r="AR1288" s="93">
        <f t="shared" si="2325"/>
        <v>0.2716373604803996</v>
      </c>
      <c r="AS1288" s="93">
        <f t="shared" si="2326"/>
        <v>0.3933816328362153</v>
      </c>
      <c r="AT1288" s="93">
        <f t="shared" si="2327"/>
        <v>0.3349810066833851</v>
      </c>
      <c r="AU1288" s="93">
        <f t="shared" ca="1" si="2331"/>
        <v>3.9688195878710843E-2</v>
      </c>
      <c r="AV1288" s="132">
        <f t="shared" ref="AV1288:AV1301" ca="1" si="2341">+AV1287*EXP(AU1288)</f>
        <v>94.578045660531785</v>
      </c>
      <c r="AW1288" s="134">
        <f t="shared" ref="AW1288:AW1301" ca="1" si="2342">LN(AV1288/AV1287)</f>
        <v>3.9688195878710947E-2</v>
      </c>
      <c r="AX1288" s="135">
        <f>+AJ1288/$AL$13</f>
        <v>1.4456485826799724E-2</v>
      </c>
      <c r="AY1288" s="135">
        <f t="shared" ca="1" si="2338"/>
        <v>5.7375184121183603E-4</v>
      </c>
      <c r="AZ1288" s="93"/>
      <c r="BA1288" s="93"/>
      <c r="BB1288" s="234">
        <f>IFERROR(INDEX('Total Customers'!$E$7:$AA$91,MATCH($C1288,'Total Customers'!$C$7:$C$91,0),MATCH($G1288,'Total Customers'!$E$5:$AA$5,0)),"NA")</f>
        <v>591898</v>
      </c>
      <c r="BC1288" s="269">
        <f t="shared" si="2328"/>
        <v>6.1550961842298142E-3</v>
      </c>
      <c r="BD1288" s="92"/>
      <c r="BE1288" s="299" t="str">
        <f t="shared" si="2317"/>
        <v>WISCONSIN GAS LLC</v>
      </c>
      <c r="BF1288" s="300">
        <f t="shared" si="2318"/>
        <v>4008752</v>
      </c>
      <c r="BG1288" s="231" t="str">
        <f t="shared" si="2319"/>
        <v>WI</v>
      </c>
      <c r="BH1288" s="231"/>
      <c r="BI1288" s="231" t="str">
        <f t="shared" si="2320"/>
        <v>2008 Y</v>
      </c>
      <c r="BJ1288" s="129"/>
      <c r="BK1288" s="129"/>
      <c r="BL1288" s="129">
        <f>INDEX('Dist. Plant Gas Additions'!$E$7:$AD$91,MATCH($C1288,'Dist. Plant Gas Additions'!$C$7:$C$91,0),MATCH(Calculation!$G1288,'Dist. Plant Gas Additions'!$E$5:$AD$5,0))</f>
        <v>67590</v>
      </c>
      <c r="BM1288" s="129">
        <f>INDEX('Gen. Plant Additions'!$E$7:$AD$91,MATCH($C1288,'Gen. Plant Additions'!$C$7:$C$91,0),MATCH(Calculation!$G1288,'Gen. Plant Additions'!$E$5:$AD$5,0))</f>
        <v>17959</v>
      </c>
      <c r="BN1288" s="301">
        <f t="shared" si="2299"/>
        <v>0.91395613412597942</v>
      </c>
      <c r="BO1288" s="231">
        <f t="shared" si="2339"/>
        <v>16413.738212768465</v>
      </c>
      <c r="BP1288" s="231">
        <f t="shared" si="2340"/>
        <v>-1545.261787231535</v>
      </c>
      <c r="BQ1288" s="129">
        <f>INDEX('Dist Plant Depreciation'!$D$7:$AC$94,MATCH($C1288,'Dist Plant Depreciation'!$C$7:$C$94,0),MATCH(Calculation!$G1288,'Dist Plant Depreciation'!$D$5:$AC$5,0))</f>
        <v>635599</v>
      </c>
      <c r="BR1288" s="129">
        <f>INDEX('Gen. Plant Depreciation'!$D$7:$AC$94,MATCH($C1288,'Gen. Plant Depreciation'!$C$7:$C$94,0),MATCH(Calculation!$G1288,'Gen. Plant Depreciation'!$D$5:$AC$5,0))</f>
        <v>37032</v>
      </c>
      <c r="BS1288" s="129"/>
      <c r="BT1288" s="129"/>
      <c r="BU1288" s="129"/>
      <c r="BV1288" s="129"/>
      <c r="BW1288" s="129"/>
      <c r="BX1288" s="137"/>
      <c r="BY1288" s="129">
        <f>INDEX('Gross Dx Plant'!$D$7:$AC$91,MATCH($C1288,'Gross Dx Plant'!$C$7:$C$91,0),MATCH(Calculation!$G1288,'Gross Dx Plant'!$D$5:$AC$5,0))</f>
        <v>1054805</v>
      </c>
      <c r="BZ1288" s="129">
        <f>INDEX('Gross Gen Plant'!$D$7:$AC$91,MATCH($C1288,'Gross Gen Plant'!$C$7:$C$91,0),MATCH(Calculation!$G1288,'Gross Gen Plant'!$D$5:$AC$5,0))</f>
        <v>99304</v>
      </c>
      <c r="CA1288" s="129">
        <f t="shared" si="2294"/>
        <v>481478</v>
      </c>
      <c r="CB1288" s="129"/>
      <c r="CC1288" s="133">
        <v>2008</v>
      </c>
      <c r="CD1288" s="129"/>
      <c r="CE1288" s="129"/>
      <c r="CF1288" s="129"/>
      <c r="CG1288" s="137"/>
      <c r="CH1288" s="129">
        <f t="shared" si="2300"/>
        <v>85549</v>
      </c>
      <c r="CI1288" s="46">
        <f t="shared" si="2309"/>
        <v>84003.738212768469</v>
      </c>
      <c r="CJ1288" s="231">
        <f t="shared" si="2301"/>
        <v>147.40570090950226</v>
      </c>
      <c r="CK1288" s="443">
        <v>0.89130434782608692</v>
      </c>
      <c r="CL1288" s="231">
        <f>+CL1278*CK1288+CJ1279*CK1287+CJ1280*CK1286+CJ1281*CK1285+CJ1282*CK1284+CJ1283*CK1283+CJ1284*CK1282+CJ1285*CK1281+CJ1286*CK1280+CJ1287*CK1279+CJ1288</f>
        <v>2708.9774543408921</v>
      </c>
      <c r="CM1288" s="134">
        <f t="shared" si="2302"/>
        <v>4.3425307294398842E-2</v>
      </c>
      <c r="CN1288" s="135">
        <f t="shared" si="2303"/>
        <v>1.2446786920596788E-2</v>
      </c>
      <c r="CO1288" s="135">
        <f t="shared" si="2314"/>
        <v>1.2148238237257185E-2</v>
      </c>
      <c r="CP1288" s="134">
        <f>VLOOKUP($H1288,RoR!$E:$F,2,FALSE)</f>
        <v>5.6316666666666668E-2</v>
      </c>
      <c r="CQ1288" s="135">
        <v>1.9092304698479889E-2</v>
      </c>
      <c r="CR1288" s="135">
        <f t="shared" si="2310"/>
        <v>3.7224361968186778E-2</v>
      </c>
      <c r="CS1288" s="135">
        <f t="shared" si="2315"/>
        <v>1.875370337127644E-2</v>
      </c>
      <c r="CT1288" s="135">
        <v>6.9030581091053131E-2</v>
      </c>
      <c r="CU1288" s="139">
        <f t="shared" si="2304"/>
        <v>0.85150049999999999</v>
      </c>
      <c r="CV1288" s="335">
        <f t="shared" si="2305"/>
        <v>0.91060168006009956</v>
      </c>
      <c r="CW1288" s="335">
        <f t="shared" si="2306"/>
        <v>0.53108168097070152</v>
      </c>
      <c r="CX1288" s="335">
        <f t="shared" si="2307"/>
        <v>0.88825329850328805</v>
      </c>
      <c r="CY1288" s="335">
        <f t="shared" si="2308"/>
        <v>0.4295627335323573</v>
      </c>
      <c r="CZ1288" s="336">
        <f>INDEX('State Tax Lookup'!$D$7:$Z$91,MATCH(Calculation!$C1288,'State Tax Lookup'!$B$7:$B$91,0),MATCH($H1288,'State Tax Lookup'!$D$6:$Z$6,0))</f>
        <v>0.40134999999999998</v>
      </c>
      <c r="DA1288" s="302">
        <v>0.37</v>
      </c>
      <c r="DB1288" s="57">
        <f t="shared" si="2313"/>
        <v>15.103202925791344</v>
      </c>
      <c r="DC1288" s="56">
        <f t="shared" si="2316"/>
        <v>0.11951983034813171</v>
      </c>
      <c r="DD1288" s="303">
        <f>VLOOKUP($H1288,RoR!$E:$F,2,FALSE)</f>
        <v>5.6316666666666668E-2</v>
      </c>
      <c r="DE1288" s="304">
        <f>HLOOKUP($H1288,'GDP-PI'!$D$8:$CQ$11,3,FALSE)</f>
        <v>1.9092304698479889E-2</v>
      </c>
      <c r="DF1288" s="303">
        <f>VLOOKUP(H1288,'HW Dx Data'!$E:$F,2,FALSE)</f>
        <v>569.88120333515076</v>
      </c>
      <c r="DG1288" s="364">
        <f ca="1">VLOOKUP(CC1288,'ECI - Input Price'!M$13:N$33,2,FALSE)</f>
        <v>107.9</v>
      </c>
      <c r="DH1288" s="364"/>
      <c r="DI1288" s="364"/>
      <c r="DJ1288" s="56">
        <f t="shared" ca="1" si="2329"/>
        <v>3.1778595021460486E-2</v>
      </c>
      <c r="DK1288" s="53">
        <f>HLOOKUP(H1288,'GDP-PI'!$8:$9,2,FALSE)</f>
        <v>94.263999999999996</v>
      </c>
      <c r="DL1288" s="355">
        <f t="shared" si="2321"/>
        <v>1.8912333748032254E-2</v>
      </c>
    </row>
    <row r="1289" spans="1:116" s="126" customFormat="1" ht="21" customHeight="1" x14ac:dyDescent="0.4">
      <c r="A1289" s="233" t="s">
        <v>258</v>
      </c>
      <c r="B1289" s="126" t="s">
        <v>258</v>
      </c>
      <c r="C1289" s="126">
        <v>4008752</v>
      </c>
      <c r="D1289" s="127" t="s">
        <v>214</v>
      </c>
      <c r="E1289" s="127"/>
      <c r="F1289" s="144"/>
      <c r="G1289" s="126" t="s">
        <v>165</v>
      </c>
      <c r="H1289" s="128">
        <v>2009</v>
      </c>
      <c r="I1289" s="129"/>
      <c r="J1289" s="125">
        <f>IFERROR(INDEX('Labor Expenditures'!$E$7:$W$91,MATCH($C1289,'Labor Expenditures'!$C$7:$C$91,0),MATCH($G1289,'Labor Expenditures'!$E$5:$W$5,0)),"NA")</f>
        <v>31038.397949798102</v>
      </c>
      <c r="K1289" s="125">
        <f t="shared" ca="1" si="2322"/>
        <v>279.81427045118869</v>
      </c>
      <c r="L1289" s="47"/>
      <c r="M1289" s="131">
        <f t="shared" ca="1" si="2330"/>
        <v>-5.0871221821277748E-2</v>
      </c>
      <c r="N1289" s="131"/>
      <c r="O1289" s="131"/>
      <c r="P1289" s="59">
        <f t="shared" ca="1" si="2332"/>
        <v>-6.914583846710636E-4</v>
      </c>
      <c r="Q1289" s="61"/>
      <c r="R1289" s="387"/>
      <c r="S1289" s="49">
        <f t="shared" ca="1" si="2337"/>
        <v>116.86597551116373</v>
      </c>
      <c r="T1289" s="61">
        <f ca="1">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+P2614</f>
        <v>2.5185456860159411E-2</v>
      </c>
      <c r="U1289" s="61"/>
      <c r="V1289" s="125">
        <f>IFERROR(INDEX('Non-Labor Expenditures'!$E$7:$AA$91,MATCH($C1289,'Non-Labor Expenditures'!$C$7:$C$91,0),MATCH($G1289,'Non-Labor Expenditures'!$E$5:$AA$5,0)),"NA")</f>
        <v>44949.397404385541</v>
      </c>
      <c r="W1289" s="125">
        <f t="shared" si="2323"/>
        <v>473.15653222018699</v>
      </c>
      <c r="X1289" s="131">
        <f t="shared" si="2333"/>
        <v>-3.0988805638703515E-2</v>
      </c>
      <c r="Y1289" s="131">
        <f t="shared" si="2334"/>
        <v>-4.2121004219444714E-4</v>
      </c>
      <c r="Z1289" s="131"/>
      <c r="AA1289" s="131"/>
      <c r="AB1289" s="131"/>
      <c r="AC1289" s="125">
        <f t="shared" si="2298"/>
        <v>38960.139555796624</v>
      </c>
      <c r="AD1289" s="129"/>
      <c r="AE1289" s="133">
        <v>2940.2807962120664</v>
      </c>
      <c r="AF1289" s="134">
        <v>3.2869230418971343E-2</v>
      </c>
      <c r="AG1289" s="59">
        <f t="shared" si="2324"/>
        <v>4.4676939450620127E-4</v>
      </c>
      <c r="AH1289" s="134"/>
      <c r="AI1289" s="134"/>
      <c r="AJ1289" s="129">
        <f t="shared" si="2252"/>
        <v>114947.93490998028</v>
      </c>
      <c r="AK1289" s="134">
        <f t="shared" si="2335"/>
        <v>-1.7254928189634634E-2</v>
      </c>
      <c r="AL1289" s="129"/>
      <c r="AM1289" s="129"/>
      <c r="AN1289" s="129"/>
      <c r="AO1289" s="129"/>
      <c r="AP1289" s="133">
        <f t="shared" si="2336"/>
        <v>193.28661230327168</v>
      </c>
      <c r="AQ1289" s="134">
        <f>+BB1289/Outputs!$B$17</f>
        <v>1.6905879172407833E-2</v>
      </c>
      <c r="AR1289" s="93">
        <f t="shared" si="2325"/>
        <v>0.27002136205496297</v>
      </c>
      <c r="AS1289" s="93">
        <f t="shared" si="2326"/>
        <v>0.39104136528931099</v>
      </c>
      <c r="AT1289" s="93">
        <f t="shared" si="2327"/>
        <v>0.33893727265572593</v>
      </c>
      <c r="AU1289" s="93">
        <f t="shared" ca="1" si="2331"/>
        <v>-1.4855998822906729E-2</v>
      </c>
      <c r="AV1289" s="132">
        <f t="shared" ca="1" si="2341"/>
        <v>93.183379554760208</v>
      </c>
      <c r="AW1289" s="134">
        <f t="shared" ca="1" si="2342"/>
        <v>-1.4855998822906715E-2</v>
      </c>
      <c r="AX1289" s="135">
        <f>+AJ1289/$AL$14</f>
        <v>1.3592329020527859E-2</v>
      </c>
      <c r="AY1289" s="135">
        <f t="shared" ca="1" si="2338"/>
        <v>-2.0192762392952265E-4</v>
      </c>
      <c r="AZ1289" s="93"/>
      <c r="BA1289" s="93"/>
      <c r="BB1289" s="234">
        <f>IFERROR(INDEX('Total Customers'!$E$7:$AA$91,MATCH($C1289,'Total Customers'!$C$7:$C$91,0),MATCH($G1289,'Total Customers'!$E$5:$AA$5,0)),"NA")</f>
        <v>594702</v>
      </c>
      <c r="BC1289" s="269">
        <f t="shared" si="2328"/>
        <v>4.7261170052574622E-3</v>
      </c>
      <c r="BD1289" s="92"/>
      <c r="BE1289" s="299" t="str">
        <f t="shared" si="2317"/>
        <v>WISCONSIN GAS LLC</v>
      </c>
      <c r="BF1289" s="300">
        <f t="shared" si="2318"/>
        <v>4008752</v>
      </c>
      <c r="BG1289" s="231" t="str">
        <f t="shared" si="2319"/>
        <v>WI</v>
      </c>
      <c r="BH1289" s="231"/>
      <c r="BI1289" s="231" t="str">
        <f t="shared" si="2320"/>
        <v>2009 Y</v>
      </c>
      <c r="BJ1289" s="129"/>
      <c r="BK1289" s="129"/>
      <c r="BL1289" s="129">
        <f>INDEX('Dist. Plant Gas Additions'!$E$7:$AD$91,MATCH($C1289,'Dist. Plant Gas Additions'!$C$7:$C$91,0),MATCH(Calculation!$G1289,'Dist. Plant Gas Additions'!$E$5:$AD$5,0))</f>
        <v>56538</v>
      </c>
      <c r="BM1289" s="129">
        <f>INDEX('Gen. Plant Additions'!$E$7:$AD$91,MATCH($C1289,'Gen. Plant Additions'!$C$7:$C$91,0),MATCH(Calculation!$G1289,'Gen. Plant Additions'!$E$5:$AD$5,0))</f>
        <v>6339</v>
      </c>
      <c r="BN1289" s="301">
        <f t="shared" si="2299"/>
        <v>0.91432399468383041</v>
      </c>
      <c r="BO1289" s="231">
        <f t="shared" si="2339"/>
        <v>5795.8998023008007</v>
      </c>
      <c r="BP1289" s="231">
        <f t="shared" si="2340"/>
        <v>-543.10019769919927</v>
      </c>
      <c r="BQ1289" s="129">
        <f>INDEX('Dist Plant Depreciation'!$D$7:$AC$94,MATCH($C1289,'Dist Plant Depreciation'!$C$7:$C$94,0),MATCH(Calculation!$G1289,'Dist Plant Depreciation'!$D$5:$AC$5,0))</f>
        <v>664392</v>
      </c>
      <c r="BR1289" s="129">
        <f>INDEX('Gen. Plant Depreciation'!$D$7:$AC$94,MATCH($C1289,'Gen. Plant Depreciation'!$C$7:$C$94,0),MATCH(Calculation!$G1289,'Gen. Plant Depreciation'!$D$5:$AC$5,0))</f>
        <v>42450</v>
      </c>
      <c r="BS1289" s="129"/>
      <c r="BT1289" s="129"/>
      <c r="BU1289" s="129"/>
      <c r="BV1289" s="129"/>
      <c r="BW1289" s="129"/>
      <c r="BX1289" s="137"/>
      <c r="BY1289" s="129">
        <f>INDEX('Gross Dx Plant'!$D$7:$AC$91,MATCH($C1289,'Gross Dx Plant'!$C$7:$C$91,0),MATCH(Calculation!$G1289,'Gross Dx Plant'!$D$5:$AC$5,0))</f>
        <v>1103483</v>
      </c>
      <c r="BZ1289" s="129">
        <f>INDEX('Gross Gen Plant'!$D$7:$AC$91,MATCH($C1289,'Gross Gen Plant'!$C$7:$C$91,0),MATCH(Calculation!$G1289,'Gross Gen Plant'!$D$5:$AC$5,0))</f>
        <v>103401</v>
      </c>
      <c r="CA1289" s="129">
        <f t="shared" si="2294"/>
        <v>500042</v>
      </c>
      <c r="CB1289" s="129"/>
      <c r="CC1289" s="133">
        <v>2009</v>
      </c>
      <c r="CD1289" s="129"/>
      <c r="CE1289" s="129"/>
      <c r="CF1289" s="129"/>
      <c r="CG1289" s="137"/>
      <c r="CH1289" s="129">
        <f t="shared" si="2300"/>
        <v>62877</v>
      </c>
      <c r="CI1289" s="46">
        <f t="shared" si="2309"/>
        <v>62333.899802300803</v>
      </c>
      <c r="CJ1289" s="231">
        <f t="shared" si="2301"/>
        <v>113.14086425844195</v>
      </c>
      <c r="CK1289" s="443">
        <v>0.87912087912087911</v>
      </c>
      <c r="CL1289" s="231">
        <f>+CL1278*CK1289+CJ1279*CK1288+CJ1280*CK1287+CJ1281*CK1286+CJ1282*CK1285+CJ1283*CK1284+CJ1284*CK1283+CJ1285*CK1282+CJ1286*CK1281+CJ1287*CK1280+CJ1288*CK1279+CJ1289</f>
        <v>2787.6762768806916</v>
      </c>
      <c r="CM1289" s="134">
        <f t="shared" si="2302"/>
        <v>2.8637132563739932E-2</v>
      </c>
      <c r="CN1289" s="135">
        <f t="shared" si="2303"/>
        <v>1.2714037787007857E-2</v>
      </c>
      <c r="CO1289" s="135">
        <f t="shared" si="2314"/>
        <v>1.24336513171795E-2</v>
      </c>
      <c r="CP1289" s="134">
        <f>VLOOKUP($H1289,RoR!$E:$F,2,FALSE)</f>
        <v>5.3133333333333324E-2</v>
      </c>
      <c r="CQ1289" s="135">
        <v>7.7972502758210105E-3</v>
      </c>
      <c r="CR1289" s="135">
        <f t="shared" si="2310"/>
        <v>4.5336083057512314E-2</v>
      </c>
      <c r="CS1289" s="135">
        <f t="shared" si="2315"/>
        <v>1.8468290291354127E-2</v>
      </c>
      <c r="CT1289" s="135">
        <v>6.3720160300892073E-2</v>
      </c>
      <c r="CU1289" s="139">
        <f t="shared" si="2304"/>
        <v>0.85150049999999999</v>
      </c>
      <c r="CV1289" s="335">
        <f t="shared" si="2305"/>
        <v>0.96515780330083989</v>
      </c>
      <c r="CW1289" s="335">
        <f t="shared" si="2306"/>
        <v>0.50448557089084056</v>
      </c>
      <c r="CX1289" s="335">
        <f t="shared" si="2307"/>
        <v>0.87391435735465484</v>
      </c>
      <c r="CY1289" s="335">
        <f t="shared" si="2308"/>
        <v>0.42551605393279146</v>
      </c>
      <c r="CZ1289" s="336">
        <f>INDEX('State Tax Lookup'!$D$7:$Z$91,MATCH(Calculation!$C1289,'State Tax Lookup'!$B$7:$B$91,0),MATCH($H1289,'State Tax Lookup'!$D$6:$Z$6,0))</f>
        <v>0.40134999999999998</v>
      </c>
      <c r="DA1289" s="302">
        <v>0.37</v>
      </c>
      <c r="DB1289" s="57">
        <f t="shared" si="2313"/>
        <v>14.381861869454289</v>
      </c>
      <c r="DC1289" s="56">
        <f t="shared" si="2316"/>
        <v>-4.8939015388974258E-2</v>
      </c>
      <c r="DD1289" s="303">
        <f>VLOOKUP($H1289,RoR!$E:$F,2,FALSE)</f>
        <v>5.3133333333333324E-2</v>
      </c>
      <c r="DE1289" s="304">
        <f>HLOOKUP($H1289,'GDP-PI'!$D$8:$CQ$11,3,FALSE)</f>
        <v>7.7972502758210105E-3</v>
      </c>
      <c r="DF1289" s="303">
        <f>VLOOKUP(H1289,'HW Dx Data'!$E:$F,2,FALSE)</f>
        <v>550.94063679692806</v>
      </c>
      <c r="DG1289" s="364">
        <f ca="1">VLOOKUP(CC1289,'ECI - Input Price'!M$13:N$33,2,FALSE)</f>
        <v>110.925</v>
      </c>
      <c r="DH1289" s="364"/>
      <c r="DI1289" s="364"/>
      <c r="DJ1289" s="56">
        <f t="shared" ca="1" si="2329"/>
        <v>2.7649425000884052E-2</v>
      </c>
      <c r="DK1289" s="53">
        <f>HLOOKUP(H1289,'GDP-PI'!$8:$9,2,FALSE)</f>
        <v>94.998999999999995</v>
      </c>
      <c r="DL1289" s="355">
        <f t="shared" si="2321"/>
        <v>7.7670088183096342E-3</v>
      </c>
    </row>
    <row r="1290" spans="1:116" s="126" customFormat="1" ht="21" customHeight="1" x14ac:dyDescent="0.4">
      <c r="A1290" s="233" t="s">
        <v>258</v>
      </c>
      <c r="B1290" s="126" t="s">
        <v>258</v>
      </c>
      <c r="C1290" s="126">
        <v>4008752</v>
      </c>
      <c r="D1290" s="127" t="s">
        <v>214</v>
      </c>
      <c r="E1290" s="127"/>
      <c r="F1290" s="144"/>
      <c r="G1290" s="126" t="s">
        <v>166</v>
      </c>
      <c r="H1290" s="128">
        <v>2010</v>
      </c>
      <c r="I1290" s="129"/>
      <c r="J1290" s="125">
        <f>IFERROR(INDEX('Labor Expenditures'!$E$7:$W$91,MATCH($C1290,'Labor Expenditures'!$C$7:$C$91,0),MATCH($G1290,'Labor Expenditures'!$E$5:$W$5,0)),"NA")</f>
        <v>30655.385987143243</v>
      </c>
      <c r="K1290" s="125">
        <f t="shared" ca="1" si="2322"/>
        <v>262.17991008888811</v>
      </c>
      <c r="L1290" s="47"/>
      <c r="M1290" s="131">
        <f t="shared" ca="1" si="2330"/>
        <v>-6.5095115425115771E-2</v>
      </c>
      <c r="N1290" s="131"/>
      <c r="O1290" s="131"/>
      <c r="P1290" s="59">
        <f t="shared" ca="1" si="2332"/>
        <v>-8.6514468547252638E-4</v>
      </c>
      <c r="Q1290" s="61"/>
      <c r="R1290" s="387"/>
      <c r="S1290" s="49">
        <f t="shared" ca="1" si="2337"/>
        <v>98.184396631458412</v>
      </c>
      <c r="T1290" s="61">
        <f ca="1">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+P2615</f>
        <v>-0.17418046078775404</v>
      </c>
      <c r="U1290" s="61"/>
      <c r="V1290" s="125">
        <f>IFERROR(INDEX('Non-Labor Expenditures'!$E$7:$AA$91,MATCH($C1290,'Non-Labor Expenditures'!$C$7:$C$91,0),MATCH($G1290,'Non-Labor Expenditures'!$E$5:$AA$5,0)),"NA")</f>
        <v>44394.724545694429</v>
      </c>
      <c r="W1290" s="125">
        <f t="shared" si="2323"/>
        <v>461.92057503141672</v>
      </c>
      <c r="X1290" s="131">
        <f t="shared" si="2333"/>
        <v>-2.4033307885289287E-2</v>
      </c>
      <c r="Y1290" s="131">
        <f t="shared" si="2334"/>
        <v>-3.1941395994914632E-4</v>
      </c>
      <c r="Z1290" s="131"/>
      <c r="AA1290" s="131"/>
      <c r="AB1290" s="131"/>
      <c r="AC1290" s="125">
        <f t="shared" si="2298"/>
        <v>40810.199710446621</v>
      </c>
      <c r="AD1290" s="129"/>
      <c r="AE1290" s="133">
        <v>3043.3840919552608</v>
      </c>
      <c r="AF1290" s="134">
        <v>3.4464998721247052E-2</v>
      </c>
      <c r="AG1290" s="59">
        <f t="shared" si="2324"/>
        <v>4.5805603513838876E-4</v>
      </c>
      <c r="AH1290" s="134"/>
      <c r="AI1290" s="134"/>
      <c r="AJ1290" s="129">
        <f t="shared" si="2252"/>
        <v>115860.3102432843</v>
      </c>
      <c r="AK1290" s="134">
        <f t="shared" si="2335"/>
        <v>7.905957475346238E-3</v>
      </c>
      <c r="AL1290" s="129"/>
      <c r="AM1290" s="129"/>
      <c r="AN1290" s="129"/>
      <c r="AO1290" s="129"/>
      <c r="AP1290" s="133">
        <f t="shared" si="2336"/>
        <v>193.96495421810585</v>
      </c>
      <c r="AQ1290" s="134">
        <f>+BB1290/Outputs!$B$18</f>
        <v>1.6887565711766764E-2</v>
      </c>
      <c r="AR1290" s="93">
        <f t="shared" si="2325"/>
        <v>0.26458919299260331</v>
      </c>
      <c r="AS1290" s="93">
        <f t="shared" si="2326"/>
        <v>0.38317456989778531</v>
      </c>
      <c r="AT1290" s="93">
        <f t="shared" si="2327"/>
        <v>0.35223623710961133</v>
      </c>
      <c r="AU1290" s="93">
        <f t="shared" ca="1" si="2331"/>
        <v>-1.4793105799066508E-2</v>
      </c>
      <c r="AV1290" s="132">
        <f t="shared" ca="1" si="2341"/>
        <v>91.815053809203889</v>
      </c>
      <c r="AW1290" s="134">
        <f t="shared" ca="1" si="2342"/>
        <v>-1.4793105799066513E-2</v>
      </c>
      <c r="AX1290" s="135">
        <f>+AJ1290/$AL$15</f>
        <v>1.329047010397843E-2</v>
      </c>
      <c r="AY1290" s="135">
        <f t="shared" ca="1" si="2338"/>
        <v>-1.9660733036748343E-4</v>
      </c>
      <c r="AZ1290" s="93"/>
      <c r="BA1290" s="93"/>
      <c r="BB1290" s="234">
        <f>IFERROR(INDEX('Total Customers'!$E$7:$AA$91,MATCH($C1290,'Total Customers'!$C$7:$C$91,0),MATCH($G1290,'Total Customers'!$E$5:$AA$5,0)),"NA")</f>
        <v>597326</v>
      </c>
      <c r="BC1290" s="269">
        <f t="shared" si="2328"/>
        <v>4.4025882586102415E-3</v>
      </c>
      <c r="BD1290" s="92"/>
      <c r="BE1290" s="299" t="str">
        <f t="shared" si="2317"/>
        <v>WISCONSIN GAS LLC</v>
      </c>
      <c r="BF1290" s="300">
        <f t="shared" si="2318"/>
        <v>4008752</v>
      </c>
      <c r="BG1290" s="231" t="str">
        <f t="shared" si="2319"/>
        <v>WI</v>
      </c>
      <c r="BH1290" s="231"/>
      <c r="BI1290" s="231" t="str">
        <f t="shared" si="2320"/>
        <v>2010 Y</v>
      </c>
      <c r="BJ1290" s="129"/>
      <c r="BK1290" s="129"/>
      <c r="BL1290" s="129">
        <f>INDEX('Dist. Plant Gas Additions'!$E$7:$AD$91,MATCH($C1290,'Dist. Plant Gas Additions'!$C$7:$C$91,0),MATCH(Calculation!$G1290,'Dist. Plant Gas Additions'!$E$5:$AD$5,0))</f>
        <v>65517</v>
      </c>
      <c r="BM1290" s="129">
        <f>INDEX('Gen. Plant Additions'!$E$7:$AD$91,MATCH($C1290,'Gen. Plant Additions'!$C$7:$C$91,0),MATCH(Calculation!$G1290,'Gen. Plant Additions'!$E$5:$AD$5,0))</f>
        <v>4687</v>
      </c>
      <c r="BN1290" s="301">
        <f t="shared" si="2299"/>
        <v>0.91680637597100278</v>
      </c>
      <c r="BO1290" s="231">
        <f t="shared" si="2339"/>
        <v>4297.0714841760901</v>
      </c>
      <c r="BP1290" s="231">
        <f t="shared" si="2340"/>
        <v>-389.92851582390995</v>
      </c>
      <c r="BQ1290" s="129">
        <f>INDEX('Dist Plant Depreciation'!$D$7:$AC$94,MATCH($C1290,'Dist Plant Depreciation'!$C$7:$C$94,0),MATCH(Calculation!$G1290,'Dist Plant Depreciation'!$D$5:$AC$5,0))</f>
        <v>681627</v>
      </c>
      <c r="BR1290" s="129">
        <f>INDEX('Gen. Plant Depreciation'!$D$7:$AC$94,MATCH($C1290,'Gen. Plant Depreciation'!$C$7:$C$94,0),MATCH(Calculation!$G1290,'Gen. Plant Depreciation'!$D$5:$AC$5,0))</f>
        <v>44692</v>
      </c>
      <c r="BS1290" s="129"/>
      <c r="BT1290" s="129"/>
      <c r="BU1290" s="129"/>
      <c r="BV1290" s="129"/>
      <c r="BW1290" s="129"/>
      <c r="BX1290" s="137"/>
      <c r="BY1290" s="129">
        <f>INDEX('Gross Dx Plant'!$D$7:$AC$91,MATCH($C1290,'Gross Dx Plant'!$C$7:$C$91,0),MATCH(Calculation!$G1290,'Gross Dx Plant'!$D$5:$AC$5,0))</f>
        <v>1157689</v>
      </c>
      <c r="BZ1290" s="129">
        <f>INDEX('Gross Gen Plant'!$D$7:$AC$91,MATCH($C1290,'Gross Gen Plant'!$C$7:$C$91,0),MATCH(Calculation!$G1290,'Gross Gen Plant'!$D$5:$AC$5,0))</f>
        <v>105052</v>
      </c>
      <c r="CA1290" s="129">
        <f t="shared" si="2294"/>
        <v>536422</v>
      </c>
      <c r="CB1290" s="129"/>
      <c r="CC1290" s="133">
        <v>2010</v>
      </c>
      <c r="CD1290" s="129"/>
      <c r="CE1290" s="129"/>
      <c r="CF1290" s="129"/>
      <c r="CG1290" s="137"/>
      <c r="CH1290" s="129">
        <f t="shared" si="2300"/>
        <v>70204</v>
      </c>
      <c r="CI1290" s="46">
        <f t="shared" si="2309"/>
        <v>69814.071484176093</v>
      </c>
      <c r="CJ1290" s="231">
        <f t="shared" si="2301"/>
        <v>122.69834708990959</v>
      </c>
      <c r="CK1290" s="443">
        <v>0.8666666666666667</v>
      </c>
      <c r="CL1290" s="231">
        <f>+CL1278*CK1290+CJ1279*CK1289+CJ1280*CK1288+CJ1281*CK1287+CJ1282*CK1286+CJ1283*CK1285+CJ1284*CK1284+CJ1285*CK1283+CJ1286*CK1282+CJ1287*CK1281+CJ1288*CK1280+CJ1289*CK1279+CJ1290</f>
        <v>2874.062929514409</v>
      </c>
      <c r="CM1290" s="134">
        <f t="shared" si="2302"/>
        <v>3.0518310430290348E-2</v>
      </c>
      <c r="CN1290" s="135">
        <f t="shared" si="2303"/>
        <v>1.3025793115699808E-2</v>
      </c>
      <c r="CO1290" s="135">
        <f t="shared" si="2314"/>
        <v>1.272887260776815E-2</v>
      </c>
      <c r="CP1290" s="134">
        <f>VLOOKUP($H1290,RoR!$E:$F,2,FALSE)</f>
        <v>4.9433333333333322E-2</v>
      </c>
      <c r="CQ1290" s="135">
        <v>1.1684333519300205E-2</v>
      </c>
      <c r="CR1290" s="135">
        <f t="shared" si="2310"/>
        <v>3.7748999814033117E-2</v>
      </c>
      <c r="CS1290" s="135">
        <f t="shared" si="2315"/>
        <v>1.8173069000765475E-2</v>
      </c>
      <c r="CT1290" s="135">
        <v>4.7937530248493419E-2</v>
      </c>
      <c r="CU1290" s="139">
        <f t="shared" si="2304"/>
        <v>0.85150049999999999</v>
      </c>
      <c r="CV1290" s="335">
        <f t="shared" si="2305"/>
        <v>1.037398205301105</v>
      </c>
      <c r="CW1290" s="335">
        <f t="shared" si="2306"/>
        <v>0.46926837491571133</v>
      </c>
      <c r="CX1290" s="335">
        <f t="shared" si="2307"/>
        <v>0.8548537519972772</v>
      </c>
      <c r="CY1290" s="335">
        <f t="shared" si="2308"/>
        <v>0.41615833911547367</v>
      </c>
      <c r="CZ1290" s="336">
        <f>INDEX('State Tax Lookup'!$D$7:$Z$91,MATCH(Calculation!$C1290,'State Tax Lookup'!$B$7:$B$91,0),MATCH($H1290,'State Tax Lookup'!$D$6:$Z$6,0))</f>
        <v>0.40134999999999998</v>
      </c>
      <c r="DA1290" s="302">
        <v>0.37</v>
      </c>
      <c r="DB1290" s="57">
        <f t="shared" si="2313"/>
        <v>14.639504611386137</v>
      </c>
      <c r="DC1290" s="56">
        <f t="shared" si="2316"/>
        <v>1.775584971090791E-2</v>
      </c>
      <c r="DD1290" s="303">
        <f>VLOOKUP($H1290,RoR!$E:$F,2,FALSE)</f>
        <v>4.9433333333333322E-2</v>
      </c>
      <c r="DE1290" s="304">
        <f>HLOOKUP($H1290,'GDP-PI'!$D$8:$CQ$11,3,FALSE)</f>
        <v>1.1684333519300205E-2</v>
      </c>
      <c r="DF1290" s="303">
        <f>VLOOKUP(H1290,'HW Dx Data'!$E:$F,2,FALSE)</f>
        <v>568.98950262971744</v>
      </c>
      <c r="DG1290" s="364">
        <f ca="1">VLOOKUP(CC1290,'ECI - Input Price'!M$13:N$33,2,FALSE)</f>
        <v>116.925</v>
      </c>
      <c r="DH1290" s="364"/>
      <c r="DI1290" s="364"/>
      <c r="DJ1290" s="56">
        <f t="shared" ca="1" si="2329"/>
        <v>5.2678406346976722E-2</v>
      </c>
      <c r="DK1290" s="53">
        <f>HLOOKUP(H1290,'GDP-PI'!$8:$9,2,FALSE)</f>
        <v>96.108999999999995</v>
      </c>
      <c r="DL1290" s="355">
        <f t="shared" si="2321"/>
        <v>1.1616598807150427E-2</v>
      </c>
    </row>
    <row r="1291" spans="1:116" s="126" customFormat="1" ht="21" customHeight="1" x14ac:dyDescent="0.4">
      <c r="A1291" s="233" t="s">
        <v>258</v>
      </c>
      <c r="B1291" s="126" t="s">
        <v>258</v>
      </c>
      <c r="C1291" s="126">
        <v>4008752</v>
      </c>
      <c r="D1291" s="127" t="s">
        <v>214</v>
      </c>
      <c r="E1291" s="127"/>
      <c r="F1291" s="144"/>
      <c r="G1291" s="126" t="s">
        <v>167</v>
      </c>
      <c r="H1291" s="128">
        <v>2011</v>
      </c>
      <c r="I1291" s="129"/>
      <c r="J1291" s="125">
        <f>IFERROR(INDEX('Labor Expenditures'!$E$7:$W$91,MATCH($C1291,'Labor Expenditures'!$C$7:$C$91,0),MATCH($G1291,'Labor Expenditures'!$E$5:$W$5,0)),"NA")</f>
        <v>32471.442668192594</v>
      </c>
      <c r="K1291" s="125">
        <f t="shared" ca="1" si="2322"/>
        <v>268.63654741007315</v>
      </c>
      <c r="L1291" s="47"/>
      <c r="M1291" s="131">
        <f t="shared" ca="1" si="2330"/>
        <v>2.4328393306978204E-2</v>
      </c>
      <c r="N1291" s="131"/>
      <c r="O1291" s="131"/>
      <c r="P1291" s="59">
        <f t="shared" ca="1" si="2332"/>
        <v>3.3275381269808643E-4</v>
      </c>
      <c r="Q1291" s="61"/>
      <c r="R1291" s="387"/>
      <c r="S1291" s="49">
        <f t="shared" ca="1" si="2337"/>
        <v>118.84253708789979</v>
      </c>
      <c r="T1291" s="61">
        <f ca="1">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+P2616</f>
        <v>0.19095209017500794</v>
      </c>
      <c r="U1291" s="61"/>
      <c r="V1291" s="125">
        <f>IFERROR(INDEX('Non-Labor Expenditures'!$E$7:$AA$91,MATCH($C1291,'Non-Labor Expenditures'!$C$7:$C$91,0),MATCH($G1291,'Non-Labor Expenditures'!$E$5:$AA$5,0)),"NA")</f>
        <v>47024.713812453847</v>
      </c>
      <c r="W1291" s="125">
        <f t="shared" si="2323"/>
        <v>479.29625135002698</v>
      </c>
      <c r="X1291" s="131">
        <f t="shared" si="2333"/>
        <v>3.6925924255637517E-2</v>
      </c>
      <c r="Y1291" s="131">
        <f t="shared" si="2334"/>
        <v>5.0505768829130768E-4</v>
      </c>
      <c r="Z1291" s="131"/>
      <c r="AA1291" s="131"/>
      <c r="AB1291" s="131"/>
      <c r="AC1291" s="125">
        <f t="shared" si="2298"/>
        <v>44596.273474310939</v>
      </c>
      <c r="AD1291" s="129"/>
      <c r="AE1291" s="133">
        <v>3155.3433737673963</v>
      </c>
      <c r="AF1291" s="134">
        <v>3.6127240435847932E-2</v>
      </c>
      <c r="AG1291" s="59">
        <f t="shared" si="2324"/>
        <v>4.9413361768698111E-4</v>
      </c>
      <c r="AH1291" s="134"/>
      <c r="AI1291" s="134"/>
      <c r="AJ1291" s="129">
        <f t="shared" si="2252"/>
        <v>124092.42995495739</v>
      </c>
      <c r="AK1291" s="134">
        <f t="shared" si="2335"/>
        <v>6.8641447385137361E-2</v>
      </c>
      <c r="AL1291" s="129"/>
      <c r="AM1291" s="129"/>
      <c r="AN1291" s="129"/>
      <c r="AO1291" s="129"/>
      <c r="AP1291" s="133">
        <f t="shared" si="2336"/>
        <v>207.00080729394139</v>
      </c>
      <c r="AQ1291" s="134">
        <f>+BB1291/Outputs!$B$19</f>
        <v>1.6866631033956237E-2</v>
      </c>
      <c r="AR1291" s="93">
        <f t="shared" si="2325"/>
        <v>0.26167142250320152</v>
      </c>
      <c r="AS1291" s="93">
        <f t="shared" si="2326"/>
        <v>0.3789490932647761</v>
      </c>
      <c r="AT1291" s="93">
        <f t="shared" si="2327"/>
        <v>0.35937948423202226</v>
      </c>
      <c r="AU1291" s="93">
        <f t="shared" ca="1" si="2331"/>
        <v>3.3326954078981334E-2</v>
      </c>
      <c r="AV1291" s="132">
        <f t="shared" ca="1" si="2341"/>
        <v>94.926529917911154</v>
      </c>
      <c r="AW1291" s="134">
        <f t="shared" ca="1" si="2342"/>
        <v>3.3326954078981362E-2</v>
      </c>
      <c r="AX1291" s="135">
        <f>+AJ1291/$AL$16</f>
        <v>1.3677590973615237E-2</v>
      </c>
      <c r="AY1291" s="135">
        <f t="shared" ca="1" si="2338"/>
        <v>4.5583244628876499E-4</v>
      </c>
      <c r="AZ1291" s="93"/>
      <c r="BA1291" s="93"/>
      <c r="BB1291" s="234">
        <f>IFERROR(INDEX('Total Customers'!$E$7:$AA$91,MATCH($C1291,'Total Customers'!$C$7:$C$91,0),MATCH($G1291,'Total Customers'!$E$5:$AA$5,0)),"NA")</f>
        <v>599478</v>
      </c>
      <c r="BC1291" s="269">
        <f t="shared" si="2328"/>
        <v>3.5962485408106868E-3</v>
      </c>
      <c r="BD1291" s="92"/>
      <c r="BE1291" s="299" t="str">
        <f t="shared" si="2317"/>
        <v>WISCONSIN GAS LLC</v>
      </c>
      <c r="BF1291" s="300">
        <f t="shared" si="2318"/>
        <v>4008752</v>
      </c>
      <c r="BG1291" s="231" t="str">
        <f t="shared" si="2319"/>
        <v>WI</v>
      </c>
      <c r="BH1291" s="231"/>
      <c r="BI1291" s="231" t="str">
        <f t="shared" si="2320"/>
        <v>2011 Y</v>
      </c>
      <c r="BJ1291" s="129"/>
      <c r="BK1291" s="129"/>
      <c r="BL1291" s="129">
        <f>INDEX('Dist. Plant Gas Additions'!$E$7:$AD$91,MATCH($C1291,'Dist. Plant Gas Additions'!$C$7:$C$91,0),MATCH(Calculation!$G1291,'Dist. Plant Gas Additions'!$E$5:$AD$5,0))</f>
        <v>77117</v>
      </c>
      <c r="BM1291" s="129">
        <f>INDEX('Gen. Plant Additions'!$E$7:$AD$91,MATCH($C1291,'Gen. Plant Additions'!$C$7:$C$91,0),MATCH(Calculation!$G1291,'Gen. Plant Additions'!$E$5:$AD$5,0))</f>
        <v>4573</v>
      </c>
      <c r="BN1291" s="301">
        <f t="shared" si="2299"/>
        <v>0.91982431040101387</v>
      </c>
      <c r="BO1291" s="231">
        <f t="shared" si="2339"/>
        <v>4206.3565714638362</v>
      </c>
      <c r="BP1291" s="231">
        <f t="shared" si="2340"/>
        <v>-366.64342853616381</v>
      </c>
      <c r="BQ1291" s="129">
        <f>INDEX('Dist Plant Depreciation'!$D$7:$AC$94,MATCH($C1291,'Dist Plant Depreciation'!$C$7:$C$94,0),MATCH(Calculation!$G1291,'Dist Plant Depreciation'!$D$5:$AC$5,0))</f>
        <v>692456</v>
      </c>
      <c r="BR1291" s="129">
        <f>INDEX('Gen. Plant Depreciation'!$D$7:$AC$94,MATCH($C1291,'Gen. Plant Depreciation'!$C$7:$C$94,0),MATCH(Calculation!$G1291,'Gen. Plant Depreciation'!$D$5:$AC$5,0))</f>
        <v>49597</v>
      </c>
      <c r="BS1291" s="129"/>
      <c r="BT1291" s="129"/>
      <c r="BU1291" s="129"/>
      <c r="BV1291" s="129"/>
      <c r="BW1291" s="129"/>
      <c r="BX1291" s="137"/>
      <c r="BY1291" s="129">
        <f>INDEX('Gross Dx Plant'!$D$7:$AC$91,MATCH($C1291,'Gross Dx Plant'!$C$7:$C$91,0),MATCH(Calculation!$G1291,'Gross Dx Plant'!$D$5:$AC$5,0))</f>
        <v>1222177</v>
      </c>
      <c r="BZ1291" s="129">
        <f>INDEX('Gross Gen Plant'!$D$7:$AC$91,MATCH($C1291,'Gross Gen Plant'!$C$7:$C$91,0),MATCH(Calculation!$G1291,'Gross Gen Plant'!$D$5:$AC$5,0))</f>
        <v>106530</v>
      </c>
      <c r="CA1291" s="129">
        <f t="shared" si="2294"/>
        <v>586654</v>
      </c>
      <c r="CB1291" s="129"/>
      <c r="CC1291" s="133">
        <v>2011</v>
      </c>
      <c r="CD1291" s="129"/>
      <c r="CE1291" s="129"/>
      <c r="CF1291" s="129"/>
      <c r="CG1291" s="137"/>
      <c r="CH1291" s="129">
        <f t="shared" si="2300"/>
        <v>81690</v>
      </c>
      <c r="CI1291" s="46">
        <f t="shared" si="2309"/>
        <v>81323.356571463839</v>
      </c>
      <c r="CJ1291" s="231">
        <f t="shared" si="2301"/>
        <v>132.96579654456005</v>
      </c>
      <c r="CK1291" s="443">
        <v>0.8539325842696629</v>
      </c>
      <c r="CL1291" s="231">
        <f>+CL1278*CK1291+CJ1279*CK1290+CJ1280*CK1289+CJ1281*CK1288+CJ1282*CK1287+CJ1283*CK1286+CJ1284*CK1285+CJ1285*CK1284+CJ1286*CK1283+CJ1287*CK1282+CJ1288*CK1281+CJ1289*CK1280+CJ1290*CK1279+CJ1291</f>
        <v>2968.7055883262324</v>
      </c>
      <c r="CM1291" s="134">
        <f t="shared" si="2302"/>
        <v>3.2399345407309578E-2</v>
      </c>
      <c r="CN1291" s="135">
        <f t="shared" si="2303"/>
        <v>1.3334133132294226E-2</v>
      </c>
      <c r="CO1291" s="135">
        <f t="shared" si="2314"/>
        <v>1.3024654678333964E-2</v>
      </c>
      <c r="CP1291" s="134">
        <f>VLOOKUP($H1291,RoR!$E:$F,2,FALSE)</f>
        <v>4.6391666666666664E-2</v>
      </c>
      <c r="CQ1291" s="135">
        <v>2.0840920205183799E-2</v>
      </c>
      <c r="CR1291" s="135">
        <f t="shared" si="2310"/>
        <v>2.5550746461482865E-2</v>
      </c>
      <c r="CS1291" s="135">
        <f t="shared" si="2315"/>
        <v>1.787728693019966E-2</v>
      </c>
      <c r="CT1291" s="135">
        <v>2.4810540821321614E-2</v>
      </c>
      <c r="CU1291" s="139">
        <f t="shared" si="2304"/>
        <v>0.85150049999999999</v>
      </c>
      <c r="CV1291" s="335">
        <f t="shared" si="2305"/>
        <v>1.1054151524782025</v>
      </c>
      <c r="CW1291" s="335">
        <f t="shared" si="2306"/>
        <v>0.43611011316687626</v>
      </c>
      <c r="CX1291" s="335">
        <f t="shared" si="2307"/>
        <v>0.83698442246886229</v>
      </c>
      <c r="CY1291" s="335">
        <f t="shared" si="2308"/>
        <v>0.40349573304423936</v>
      </c>
      <c r="CZ1291" s="336">
        <f>INDEX('State Tax Lookup'!$D$7:$Z$91,MATCH(Calculation!$C1291,'State Tax Lookup'!$B$7:$B$91,0),MATCH($H1291,'State Tax Lookup'!$D$6:$Z$6,0))</f>
        <v>0.40134999999999998</v>
      </c>
      <c r="DA1291" s="302">
        <v>0.37</v>
      </c>
      <c r="DB1291" s="57">
        <f t="shared" si="2313"/>
        <v>15.5168048049128</v>
      </c>
      <c r="DC1291" s="56">
        <f t="shared" si="2316"/>
        <v>5.8199947647018031E-2</v>
      </c>
      <c r="DD1291" s="303">
        <f>VLOOKUP($H1291,RoR!$E:$F,2,FALSE)</f>
        <v>4.6391666666666664E-2</v>
      </c>
      <c r="DE1291" s="304">
        <f>HLOOKUP($H1291,'GDP-PI'!$D$8:$CQ$11,3,FALSE)</f>
        <v>2.0840920205183799E-2</v>
      </c>
      <c r="DF1291" s="303">
        <f>VLOOKUP(H1291,'HW Dx Data'!$E:$F,2,FALSE)</f>
        <v>611.61109612283201</v>
      </c>
      <c r="DG1291" s="364">
        <f ca="1">VLOOKUP(CC1291,'ECI - Input Price'!M$13:N$33,2,FALSE)</f>
        <v>120.875</v>
      </c>
      <c r="DH1291" s="364"/>
      <c r="DI1291" s="364"/>
      <c r="DJ1291" s="56">
        <f t="shared" ca="1" si="2329"/>
        <v>3.3224250161508609E-2</v>
      </c>
      <c r="DK1291" s="53">
        <f>HLOOKUP(H1291,'GDP-PI'!$8:$9,2,FALSE)</f>
        <v>98.111999999999995</v>
      </c>
      <c r="DL1291" s="355">
        <f t="shared" si="2321"/>
        <v>2.0626719212849295E-2</v>
      </c>
    </row>
    <row r="1292" spans="1:116" s="126" customFormat="1" ht="21" customHeight="1" x14ac:dyDescent="0.4">
      <c r="A1292" s="233" t="s">
        <v>258</v>
      </c>
      <c r="B1292" s="126" t="s">
        <v>258</v>
      </c>
      <c r="C1292" s="126">
        <v>4008752</v>
      </c>
      <c r="D1292" s="127" t="s">
        <v>214</v>
      </c>
      <c r="E1292" s="127"/>
      <c r="F1292" s="144"/>
      <c r="G1292" s="126" t="s">
        <v>168</v>
      </c>
      <c r="H1292" s="128">
        <v>2012</v>
      </c>
      <c r="I1292" s="129"/>
      <c r="J1292" s="125">
        <f>IFERROR(INDEX('Labor Expenditures'!$E$7:$W$91,MATCH($C1292,'Labor Expenditures'!$C$7:$C$91,0),MATCH($G1292,'Labor Expenditures'!$E$5:$W$5,0)),"NA")</f>
        <v>28804.610188444065</v>
      </c>
      <c r="K1292" s="125">
        <f t="shared" ca="1" si="2322"/>
        <v>230.80617138176331</v>
      </c>
      <c r="L1292" s="47"/>
      <c r="M1292" s="131">
        <f t="shared" ca="1" si="2330"/>
        <v>-0.15178106777444791</v>
      </c>
      <c r="N1292" s="131"/>
      <c r="O1292" s="131"/>
      <c r="P1292" s="59">
        <f t="shared" ca="1" si="2332"/>
        <v>-1.9377928890996362E-3</v>
      </c>
      <c r="Q1292" s="61"/>
      <c r="R1292" s="387"/>
      <c r="S1292" s="49">
        <f t="shared" ca="1" si="2337"/>
        <v>118.78738946195621</v>
      </c>
      <c r="T1292" s="61">
        <f ca="1">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+P2617</f>
        <v>-4.6414715296439748E-4</v>
      </c>
      <c r="U1292" s="61"/>
      <c r="V1292" s="125">
        <f>IFERROR(INDEX('Non-Labor Expenditures'!$E$7:$AA$91,MATCH($C1292,'Non-Labor Expenditures'!$C$7:$C$91,0),MATCH($G1292,'Non-Labor Expenditures'!$E$5:$AA$5,0)),"NA")</f>
        <v>41714.455511941364</v>
      </c>
      <c r="W1292" s="125">
        <f t="shared" si="2323"/>
        <v>417.14455511941361</v>
      </c>
      <c r="X1292" s="131">
        <f t="shared" si="2333"/>
        <v>-0.13888606835132128</v>
      </c>
      <c r="Y1292" s="131">
        <f t="shared" si="2334"/>
        <v>-1.7731620919029033E-3</v>
      </c>
      <c r="Z1292" s="131"/>
      <c r="AA1292" s="131"/>
      <c r="AB1292" s="131"/>
      <c r="AC1292" s="125">
        <f t="shared" si="2298"/>
        <v>49342.377460960684</v>
      </c>
      <c r="AD1292" s="129"/>
      <c r="AE1292" s="133">
        <v>3312.5860650929908</v>
      </c>
      <c r="AF1292" s="134">
        <v>4.8631848027013702E-2</v>
      </c>
      <c r="AG1292" s="59">
        <f t="shared" si="2324"/>
        <v>6.2088408437449539E-4</v>
      </c>
      <c r="AH1292" s="134"/>
      <c r="AI1292" s="134"/>
      <c r="AJ1292" s="129">
        <f t="shared" si="2252"/>
        <v>119861.44316134611</v>
      </c>
      <c r="AK1292" s="134">
        <f t="shared" si="2335"/>
        <v>-3.4690255443631732E-2</v>
      </c>
      <c r="AL1292" s="129"/>
      <c r="AM1292" s="129"/>
      <c r="AN1292" s="129"/>
      <c r="AO1292" s="129"/>
      <c r="AP1292" s="133">
        <f t="shared" si="2336"/>
        <v>199.11531000107331</v>
      </c>
      <c r="AQ1292" s="134">
        <f>+BB1292/Outputs!$B$20</f>
        <v>1.6855578490302756E-2</v>
      </c>
      <c r="AR1292" s="93">
        <f t="shared" si="2325"/>
        <v>0.24031589666136449</v>
      </c>
      <c r="AS1292" s="93">
        <f t="shared" si="2326"/>
        <v>0.34802230318376293</v>
      </c>
      <c r="AT1292" s="93">
        <f t="shared" si="2327"/>
        <v>0.41166180015487264</v>
      </c>
      <c r="AU1292" s="93">
        <f t="shared" ca="1" si="2331"/>
        <v>-6.9830603901890387E-2</v>
      </c>
      <c r="AV1292" s="132">
        <f t="shared" ca="1" si="2341"/>
        <v>88.523904174507365</v>
      </c>
      <c r="AW1292" s="134">
        <f t="shared" ca="1" si="2342"/>
        <v>-6.9830603901890359E-2</v>
      </c>
      <c r="AX1292" s="135">
        <f>+AJ1292/$AL$17</f>
        <v>1.2767026332818171E-2</v>
      </c>
      <c r="AY1292" s="135">
        <f t="shared" ca="1" si="2338"/>
        <v>-8.9152915885202957E-4</v>
      </c>
      <c r="AZ1292" s="93"/>
      <c r="BA1292" s="93"/>
      <c r="BB1292" s="234">
        <f>IFERROR(INDEX('Total Customers'!$E$7:$AA$91,MATCH($C1292,'Total Customers'!$C$7:$C$91,0),MATCH($G1292,'Total Customers'!$E$5:$AA$5,0)),"NA")</f>
        <v>601970</v>
      </c>
      <c r="BC1292" s="269">
        <f t="shared" si="2328"/>
        <v>4.1483336335264029E-3</v>
      </c>
      <c r="BD1292" s="92"/>
      <c r="BE1292" s="299" t="str">
        <f t="shared" si="2317"/>
        <v>WISCONSIN GAS LLC</v>
      </c>
      <c r="BF1292" s="300">
        <f t="shared" si="2318"/>
        <v>4008752</v>
      </c>
      <c r="BG1292" s="231" t="str">
        <f t="shared" si="2319"/>
        <v>WI</v>
      </c>
      <c r="BH1292" s="231"/>
      <c r="BI1292" s="231" t="str">
        <f t="shared" si="2320"/>
        <v>2012 Y</v>
      </c>
      <c r="BJ1292" s="129"/>
      <c r="BK1292" s="129"/>
      <c r="BL1292" s="129">
        <f>INDEX('Dist. Plant Gas Additions'!$E$7:$AD$91,MATCH($C1292,'Dist. Plant Gas Additions'!$C$7:$C$91,0),MATCH(Calculation!$G1292,'Dist. Plant Gas Additions'!$E$5:$AD$5,0))</f>
        <v>112569</v>
      </c>
      <c r="BM1292" s="129">
        <f>INDEX('Gen. Plant Additions'!$E$7:$AD$91,MATCH($C1292,'Gen. Plant Additions'!$C$7:$C$91,0),MATCH(Calculation!$G1292,'Gen. Plant Additions'!$E$5:$AD$5,0))</f>
        <v>8025</v>
      </c>
      <c r="BN1292" s="301">
        <f t="shared" si="2299"/>
        <v>0.92254082205442567</v>
      </c>
      <c r="BO1292" s="231">
        <f t="shared" si="2339"/>
        <v>7403.3900969867664</v>
      </c>
      <c r="BP1292" s="231">
        <f t="shared" si="2340"/>
        <v>-621.60990301323363</v>
      </c>
      <c r="BQ1292" s="129">
        <f>INDEX('Dist Plant Depreciation'!$D$7:$AC$94,MATCH($C1292,'Dist Plant Depreciation'!$C$7:$C$94,0),MATCH(Calculation!$G1292,'Dist Plant Depreciation'!$D$5:$AC$5,0))</f>
        <v>706628</v>
      </c>
      <c r="BR1292" s="129">
        <f>INDEX('Gen. Plant Depreciation'!$D$7:$AC$94,MATCH($C1292,'Gen. Plant Depreciation'!$C$7:$C$94,0),MATCH(Calculation!$G1292,'Gen. Plant Depreciation'!$D$5:$AC$5,0))</f>
        <v>54584</v>
      </c>
      <c r="BS1292" s="129"/>
      <c r="BT1292" s="129"/>
      <c r="BU1292" s="129"/>
      <c r="BV1292" s="129"/>
      <c r="BW1292" s="129"/>
      <c r="BX1292" s="137"/>
      <c r="BY1292" s="129">
        <f>INDEX('Gross Dx Plant'!$D$7:$AC$91,MATCH($C1292,'Gross Dx Plant'!$C$7:$C$91,0),MATCH(Calculation!$G1292,'Gross Dx Plant'!$D$5:$AC$5,0))</f>
        <v>1324645</v>
      </c>
      <c r="BZ1292" s="129">
        <f>INDEX('Gross Gen Plant'!$D$7:$AC$91,MATCH($C1292,'Gross Gen Plant'!$C$7:$C$91,0),MATCH(Calculation!$G1292,'Gross Gen Plant'!$D$5:$AC$5,0))</f>
        <v>111221</v>
      </c>
      <c r="CA1292" s="129">
        <f t="shared" si="2294"/>
        <v>674654</v>
      </c>
      <c r="CB1292" s="129"/>
      <c r="CC1292" s="133">
        <v>2012</v>
      </c>
      <c r="CD1292" s="129"/>
      <c r="CE1292" s="129"/>
      <c r="CF1292" s="129"/>
      <c r="CG1292" s="137"/>
      <c r="CH1292" s="129">
        <f t="shared" si="2300"/>
        <v>120594</v>
      </c>
      <c r="CI1292" s="46">
        <f t="shared" si="2309"/>
        <v>119972.39009698677</v>
      </c>
      <c r="CJ1292" s="231">
        <f t="shared" si="2301"/>
        <v>179.35255587786384</v>
      </c>
      <c r="CK1292" s="443">
        <v>0.84090909090909094</v>
      </c>
      <c r="CL1292" s="231">
        <f>+CL1278*CK1292+CJ1279*CK1291+CJ1280*CK1290+CJ1281*CK1289+CJ1282*CK1288+CJ1283*CK1287+CJ1284*CK1286+CJ1285*CK1285+CJ1286*CK1284+CJ1287*CK1283+CJ1288*CK1282+CJ1289*CK1281+CJ1290*CK1280+CJ1291*CK1279+CJ1292</f>
        <v>3107.5710679733183</v>
      </c>
      <c r="CM1292" s="134">
        <f t="shared" si="2302"/>
        <v>4.5715384996460072E-2</v>
      </c>
      <c r="CN1292" s="135">
        <f t="shared" si="2303"/>
        <v>1.3637956013551559E-2</v>
      </c>
      <c r="CO1292" s="135">
        <f t="shared" si="2314"/>
        <v>1.3332627420515197E-2</v>
      </c>
      <c r="CP1292" s="134">
        <f>VLOOKUP($H1292,RoR!$E:$F,2,FALSE)</f>
        <v>3.6733333333333333E-2</v>
      </c>
      <c r="CQ1292" s="135">
        <v>1.924331376386168E-2</v>
      </c>
      <c r="CR1292" s="135">
        <f t="shared" si="2310"/>
        <v>1.7490019569471653E-2</v>
      </c>
      <c r="CS1292" s="135">
        <f t="shared" si="2315"/>
        <v>1.756931418801843E-2</v>
      </c>
      <c r="CT1292" s="135">
        <v>6.7122682943869583E-2</v>
      </c>
      <c r="CU1292" s="139">
        <f t="shared" si="2304"/>
        <v>0.85150049999999999</v>
      </c>
      <c r="CV1292" s="335">
        <f t="shared" si="2305"/>
        <v>1.3960631020522127</v>
      </c>
      <c r="CW1292" s="335">
        <f t="shared" si="2306"/>
        <v>0.29441923774954631</v>
      </c>
      <c r="CX1292" s="335">
        <f t="shared" si="2307"/>
        <v>0.76377954189366437</v>
      </c>
      <c r="CY1292" s="335">
        <f t="shared" si="2308"/>
        <v>0.31393465103033691</v>
      </c>
      <c r="CZ1292" s="336">
        <f>INDEX('State Tax Lookup'!$D$7:$Z$91,MATCH(Calculation!$C1292,'State Tax Lookup'!$B$7:$B$91,0),MATCH($H1292,'State Tax Lookup'!$D$6:$Z$6,0))</f>
        <v>0.40134999999999998</v>
      </c>
      <c r="DA1292" s="302">
        <v>0.37</v>
      </c>
      <c r="DB1292" s="57">
        <f t="shared" si="2313"/>
        <v>16.620838945764273</v>
      </c>
      <c r="DC1292" s="56">
        <f t="shared" si="2316"/>
        <v>6.8733648650227214E-2</v>
      </c>
      <c r="DD1292" s="303">
        <f>VLOOKUP($H1292,RoR!$E:$F,2,FALSE)</f>
        <v>3.6733333333333333E-2</v>
      </c>
      <c r="DE1292" s="304">
        <f>HLOOKUP($H1292,'GDP-PI'!$D$8:$CQ$11,3,FALSE)</f>
        <v>1.924331376386168E-2</v>
      </c>
      <c r="DF1292" s="303">
        <f>VLOOKUP(H1292,'HW Dx Data'!$E:$F,2,FALSE)</f>
        <v>668.91932211262167</v>
      </c>
      <c r="DG1292" s="364">
        <f ca="1">VLOOKUP(CC1292,'ECI - Input Price'!M$13:N$33,2,FALSE)</f>
        <v>124.80000000000001</v>
      </c>
      <c r="DH1292" s="364"/>
      <c r="DI1292" s="364"/>
      <c r="DJ1292" s="56">
        <f t="shared" ca="1" si="2329"/>
        <v>3.1955502161869064E-2</v>
      </c>
      <c r="DK1292" s="53">
        <f>HLOOKUP(H1292,'GDP-PI'!$8:$9,2,FALSE)</f>
        <v>100</v>
      </c>
      <c r="DL1292" s="355">
        <f t="shared" si="2321"/>
        <v>1.9060502738742411E-2</v>
      </c>
    </row>
    <row r="1293" spans="1:116" s="126" customFormat="1" ht="21" customHeight="1" x14ac:dyDescent="0.4">
      <c r="A1293" s="233" t="s">
        <v>258</v>
      </c>
      <c r="B1293" s="126" t="s">
        <v>258</v>
      </c>
      <c r="C1293" s="126">
        <v>4008752</v>
      </c>
      <c r="D1293" s="127" t="s">
        <v>214</v>
      </c>
      <c r="E1293" s="127"/>
      <c r="F1293" s="144"/>
      <c r="G1293" s="126" t="s">
        <v>169</v>
      </c>
      <c r="H1293" s="128">
        <v>2013</v>
      </c>
      <c r="I1293" s="129"/>
      <c r="J1293" s="125">
        <f>IFERROR(INDEX('Labor Expenditures'!$E$7:$W$91,MATCH($C1293,'Labor Expenditures'!$C$7:$C$91,0),MATCH($G1293,'Labor Expenditures'!$E$5:$W$5,0)),"NA")</f>
        <v>28282.8393480343</v>
      </c>
      <c r="K1293" s="125">
        <f t="shared" ca="1" si="2322"/>
        <v>223.0507835018478</v>
      </c>
      <c r="L1293" s="47"/>
      <c r="M1293" s="131">
        <f t="shared" ca="1" si="2330"/>
        <v>-3.4178799123846894E-2</v>
      </c>
      <c r="N1293" s="131"/>
      <c r="O1293" s="131"/>
      <c r="P1293" s="59">
        <f t="shared" ca="1" si="2332"/>
        <v>-4.2033444535665142E-4</v>
      </c>
      <c r="Q1293" s="61"/>
      <c r="R1293" s="387"/>
      <c r="S1293" s="49">
        <f t="shared" ca="1" si="2337"/>
        <v>108.40207287342029</v>
      </c>
      <c r="T1293" s="61">
        <f ca="1">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+P2618</f>
        <v>-9.1488040712933982E-2</v>
      </c>
      <c r="U1293" s="61"/>
      <c r="V1293" s="125">
        <f>IFERROR(INDEX('Non-Labor Expenditures'!$E$7:$AA$91,MATCH($C1293,'Non-Labor Expenditures'!$C$7:$C$91,0),MATCH($G1293,'Non-Labor Expenditures'!$E$5:$AA$5,0)),"NA")</f>
        <v>40958.833881677703</v>
      </c>
      <c r="W1293" s="125">
        <f t="shared" si="2323"/>
        <v>402.45284979000036</v>
      </c>
      <c r="X1293" s="131">
        <f t="shared" si="2333"/>
        <v>-3.5854870072559226E-2</v>
      </c>
      <c r="Y1293" s="131">
        <f t="shared" si="2334"/>
        <v>-4.4094694113371485E-4</v>
      </c>
      <c r="Z1293" s="131"/>
      <c r="AA1293" s="131"/>
      <c r="AB1293" s="131"/>
      <c r="AC1293" s="125">
        <f t="shared" si="2298"/>
        <v>50425.999610575731</v>
      </c>
      <c r="AD1293" s="129"/>
      <c r="AE1293" s="133">
        <v>3483.5724974461864</v>
      </c>
      <c r="AF1293" s="134">
        <v>5.0329174049998461E-2</v>
      </c>
      <c r="AG1293" s="59">
        <f t="shared" si="2324"/>
        <v>6.1895344487993898E-4</v>
      </c>
      <c r="AH1293" s="134"/>
      <c r="AI1293" s="134"/>
      <c r="AJ1293" s="129">
        <f t="shared" si="2252"/>
        <v>119667.67284028773</v>
      </c>
      <c r="AK1293" s="134">
        <f t="shared" si="2335"/>
        <v>-1.6179274282985359E-3</v>
      </c>
      <c r="AL1293" s="129"/>
      <c r="AM1293" s="129"/>
      <c r="AN1293" s="129"/>
      <c r="AO1293" s="129"/>
      <c r="AP1293" s="133">
        <f t="shared" si="2336"/>
        <v>197.75792788939705</v>
      </c>
      <c r="AQ1293" s="134">
        <f>+BB1293/Outputs!$B$21</f>
        <v>1.6835848129755793E-2</v>
      </c>
      <c r="AR1293" s="93">
        <f t="shared" si="2325"/>
        <v>0.23634485969975763</v>
      </c>
      <c r="AS1293" s="93">
        <f t="shared" si="2326"/>
        <v>0.34227149997595974</v>
      </c>
      <c r="AT1293" s="93">
        <f t="shared" si="2327"/>
        <v>0.4213836403242826</v>
      </c>
      <c r="AU1293" s="93">
        <f t="shared" ca="1" si="2331"/>
        <v>4.4220104968034635E-4</v>
      </c>
      <c r="AV1293" s="132">
        <f t="shared" ca="1" si="2341"/>
        <v>88.563058194191413</v>
      </c>
      <c r="AW1293" s="134">
        <f t="shared" ca="1" si="2342"/>
        <v>4.4220104968025864E-4</v>
      </c>
      <c r="AX1293" s="135">
        <f>+AJ1293/$AL$18</f>
        <v>1.2298104559893089E-2</v>
      </c>
      <c r="AY1293" s="135">
        <f t="shared" ca="1" si="2338"/>
        <v>5.4382347454622996E-6</v>
      </c>
      <c r="AZ1293" s="93"/>
      <c r="BA1293" s="93"/>
      <c r="BB1293" s="234">
        <f>IFERROR(INDEX('Total Customers'!$E$7:$AA$91,MATCH($C1293,'Total Customers'!$C$7:$C$91,0),MATCH($G1293,'Total Customers'!$E$5:$AA$5,0)),"NA")</f>
        <v>605122</v>
      </c>
      <c r="BC1293" s="269">
        <f t="shared" si="2328"/>
        <v>5.2224804141633692E-3</v>
      </c>
      <c r="BD1293" s="92"/>
      <c r="BE1293" s="299" t="str">
        <f t="shared" si="2317"/>
        <v>WISCONSIN GAS LLC</v>
      </c>
      <c r="BF1293" s="300">
        <f t="shared" si="2318"/>
        <v>4008752</v>
      </c>
      <c r="BG1293" s="231" t="str">
        <f t="shared" si="2319"/>
        <v>WI</v>
      </c>
      <c r="BH1293" s="231"/>
      <c r="BI1293" s="231" t="str">
        <f t="shared" si="2320"/>
        <v>2013 Y</v>
      </c>
      <c r="BJ1293" s="129"/>
      <c r="BK1293" s="129"/>
      <c r="BL1293" s="129">
        <f>INDEX('Dist. Plant Gas Additions'!$E$7:$AD$91,MATCH($C1293,'Dist. Plant Gas Additions'!$C$7:$C$91,0),MATCH(Calculation!$G1293,'Dist. Plant Gas Additions'!$E$5:$AD$5,0))</f>
        <v>119400</v>
      </c>
      <c r="BM1293" s="129">
        <f>INDEX('Gen. Plant Additions'!$E$7:$AD$91,MATCH($C1293,'Gen. Plant Additions'!$C$7:$C$91,0),MATCH(Calculation!$G1293,'Gen. Plant Additions'!$E$5:$AD$5,0))</f>
        <v>10433</v>
      </c>
      <c r="BN1293" s="301">
        <f t="shared" si="2299"/>
        <v>0.92378588670263651</v>
      </c>
      <c r="BO1293" s="231">
        <f t="shared" si="2339"/>
        <v>9637.8581559686063</v>
      </c>
      <c r="BP1293" s="231">
        <f t="shared" si="2340"/>
        <v>-795.1418440313937</v>
      </c>
      <c r="BQ1293" s="129">
        <f>INDEX('Dist Plant Depreciation'!$D$7:$AC$94,MATCH($C1293,'Dist Plant Depreciation'!$C$7:$C$94,0),MATCH(Calculation!$G1293,'Dist Plant Depreciation'!$D$5:$AC$5,0))</f>
        <v>713860</v>
      </c>
      <c r="BR1293" s="129">
        <f>INDEX('Gen. Plant Depreciation'!$D$7:$AC$94,MATCH($C1293,'Gen. Plant Depreciation'!$C$7:$C$94,0),MATCH(Calculation!$G1293,'Gen. Plant Depreciation'!$D$5:$AC$5,0))</f>
        <v>59324</v>
      </c>
      <c r="BS1293" s="129"/>
      <c r="BT1293" s="129"/>
      <c r="BU1293" s="129"/>
      <c r="BV1293" s="129"/>
      <c r="BW1293" s="129"/>
      <c r="BX1293" s="137"/>
      <c r="BY1293" s="129">
        <f>INDEX('Gross Dx Plant'!$D$7:$AC$91,MATCH($C1293,'Gross Dx Plant'!$C$7:$C$91,0),MATCH(Calculation!$G1293,'Gross Dx Plant'!$D$5:$AC$5,0))</f>
        <v>1425191</v>
      </c>
      <c r="BZ1293" s="129">
        <f>INDEX('Gross Gen Plant'!$D$7:$AC$91,MATCH($C1293,'Gross Gen Plant'!$C$7:$C$91,0),MATCH(Calculation!$G1293,'Gross Gen Plant'!$D$5:$AC$5,0))</f>
        <v>117581</v>
      </c>
      <c r="CA1293" s="129">
        <f t="shared" si="2294"/>
        <v>769588</v>
      </c>
      <c r="CB1293" s="129"/>
      <c r="CC1293" s="133">
        <v>2013</v>
      </c>
      <c r="CD1293" s="129"/>
      <c r="CE1293" s="129"/>
      <c r="CF1293" s="129"/>
      <c r="CG1293" s="137"/>
      <c r="CH1293" s="129">
        <f t="shared" si="2300"/>
        <v>129833</v>
      </c>
      <c r="CI1293" s="46">
        <f t="shared" si="2309"/>
        <v>129037.8581559686</v>
      </c>
      <c r="CJ1293" s="231">
        <f t="shared" si="2301"/>
        <v>194.55434357355816</v>
      </c>
      <c r="CK1293" s="443">
        <v>0.82758620689655171</v>
      </c>
      <c r="CL1293" s="231">
        <f>+CL1278*CK1293+CJ1279*CK1292+CJ1280*CK1291+CJ1281*CK1290+CJ1282*CK1289+CJ1283*CK1288+CJ1284*CK1287+CJ1285*CK1286+CJ1286*CK1285+CJ1287*CK1284+CJ1288*CK1283+CJ1289*CK1282+CJ1290*CK1281+CJ1291*CK1280+CJ1292*CK1279+CJ1293</f>
        <v>3258.9603214322287</v>
      </c>
      <c r="CM1293" s="134">
        <f t="shared" si="2302"/>
        <v>4.7566810743128796E-2</v>
      </c>
      <c r="CN1293" s="135">
        <f t="shared" si="2303"/>
        <v>1.3890298619236078E-2</v>
      </c>
      <c r="CO1293" s="135">
        <f t="shared" si="2314"/>
        <v>1.3620795921693954E-2</v>
      </c>
      <c r="CP1293" s="134">
        <f>VLOOKUP($H1293,RoR!$E:$F,2,FALSE)</f>
        <v>4.2350000000000006E-2</v>
      </c>
      <c r="CQ1293" s="135">
        <v>1.7730000000000024E-2</v>
      </c>
      <c r="CR1293" s="135">
        <f t="shared" si="2310"/>
        <v>2.4619999999999982E-2</v>
      </c>
      <c r="CS1293" s="135">
        <f t="shared" si="2315"/>
        <v>1.7281145686839673E-2</v>
      </c>
      <c r="CT1293" s="135">
        <v>5.3376742735721204E-2</v>
      </c>
      <c r="CU1293" s="139">
        <f t="shared" si="2304"/>
        <v>0.85150049999999999</v>
      </c>
      <c r="CV1293" s="335">
        <f t="shared" si="2305"/>
        <v>1.2109103018193925</v>
      </c>
      <c r="CW1293" s="335">
        <f t="shared" si="2306"/>
        <v>0.38468122786304604</v>
      </c>
      <c r="CX1293" s="335">
        <f t="shared" si="2307"/>
        <v>0.80969194503422559</v>
      </c>
      <c r="CY1293" s="335">
        <f t="shared" si="2308"/>
        <v>0.37716621754800816</v>
      </c>
      <c r="CZ1293" s="336">
        <f>INDEX('State Tax Lookup'!$D$7:$Z$91,MATCH(Calculation!$C1293,'State Tax Lookup'!$B$7:$B$91,0),MATCH($H1293,'State Tax Lookup'!$D$6:$Z$6,0))</f>
        <v>0.40134999999999998</v>
      </c>
      <c r="DA1293" s="302">
        <v>0.37</v>
      </c>
      <c r="DB1293" s="57">
        <f t="shared" si="2313"/>
        <v>16.226821046915695</v>
      </c>
      <c r="DC1293" s="56">
        <f t="shared" si="2316"/>
        <v>-2.3991772847737781E-2</v>
      </c>
      <c r="DD1293" s="303">
        <f>VLOOKUP($H1293,RoR!$E:$F,2,FALSE)</f>
        <v>4.2350000000000006E-2</v>
      </c>
      <c r="DE1293" s="304">
        <f>HLOOKUP($H1293,'GDP-PI'!$D$8:$CQ$11,3,FALSE)</f>
        <v>1.7730000000000024E-2</v>
      </c>
      <c r="DF1293" s="303">
        <f>VLOOKUP(H1293,'HW Dx Data'!$E:$F,2,FALSE)</f>
        <v>663.24840548821396</v>
      </c>
      <c r="DG1293" s="364">
        <f ca="1">VLOOKUP(CC1293,'ECI - Input Price'!M$13:N$33,2,FALSE)</f>
        <v>126.8</v>
      </c>
      <c r="DH1293" s="364"/>
      <c r="DI1293" s="364"/>
      <c r="DJ1293" s="56">
        <f t="shared" ca="1" si="2329"/>
        <v>1.5898586067798204E-2</v>
      </c>
      <c r="DK1293" s="53">
        <f>HLOOKUP(H1293,'GDP-PI'!$8:$9,2,FALSE)</f>
        <v>101.773</v>
      </c>
      <c r="DL1293" s="355">
        <f t="shared" si="2321"/>
        <v>1.7574657016510519E-2</v>
      </c>
    </row>
    <row r="1294" spans="1:116" s="126" customFormat="1" ht="21" customHeight="1" x14ac:dyDescent="0.4">
      <c r="A1294" s="233" t="s">
        <v>258</v>
      </c>
      <c r="B1294" s="126" t="s">
        <v>258</v>
      </c>
      <c r="C1294" s="126">
        <v>4008752</v>
      </c>
      <c r="D1294" s="127" t="s">
        <v>214</v>
      </c>
      <c r="E1294" s="127"/>
      <c r="F1294" s="144"/>
      <c r="G1294" s="126" t="s">
        <v>170</v>
      </c>
      <c r="H1294" s="128">
        <v>2014</v>
      </c>
      <c r="I1294" s="129"/>
      <c r="J1294" s="125">
        <f>IFERROR(INDEX('Labor Expenditures'!$E$7:$W$91,MATCH($C1294,'Labor Expenditures'!$C$7:$C$91,0),MATCH($G1294,'Labor Expenditures'!$E$5:$W$5,0)),"NA")</f>
        <v>29978.546517369425</v>
      </c>
      <c r="K1294" s="125">
        <f t="shared" ca="1" si="2322"/>
        <v>231.67346613113929</v>
      </c>
      <c r="L1294" s="47"/>
      <c r="M1294" s="131">
        <f t="shared" ca="1" si="2330"/>
        <v>3.7929432430619837E-2</v>
      </c>
      <c r="N1294" s="131"/>
      <c r="O1294" s="131"/>
      <c r="P1294" s="59">
        <f t="shared" ca="1" si="2332"/>
        <v>4.8686984360552844E-4</v>
      </c>
      <c r="Q1294" s="61"/>
      <c r="R1294" s="387"/>
      <c r="S1294" s="49">
        <f t="shared" ca="1" si="2337"/>
        <v>123.53530396252897</v>
      </c>
      <c r="T1294" s="61">
        <f ca="1">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+P2619</f>
        <v>0.13067976599079062</v>
      </c>
      <c r="U1294" s="61"/>
      <c r="V1294" s="125">
        <f>IFERROR(INDEX('Non-Labor Expenditures'!$E$7:$AA$91,MATCH($C1294,'Non-Labor Expenditures'!$C$7:$C$91,0),MATCH($G1294,'Non-Labor Expenditures'!$E$5:$AA$5,0)),"NA")</f>
        <v>43414.534577286773</v>
      </c>
      <c r="W1294" s="125">
        <f t="shared" si="2323"/>
        <v>418.86918653976255</v>
      </c>
      <c r="X1294" s="131">
        <f t="shared" si="2333"/>
        <v>3.9980720596038639E-2</v>
      </c>
      <c r="Y1294" s="131">
        <f t="shared" si="2334"/>
        <v>5.1320059216376627E-4</v>
      </c>
      <c r="Z1294" s="131"/>
      <c r="AA1294" s="131"/>
      <c r="AB1294" s="131"/>
      <c r="AC1294" s="125">
        <f t="shared" si="2298"/>
        <v>53803.626791067647</v>
      </c>
      <c r="AD1294" s="129"/>
      <c r="AE1294" s="133">
        <v>3679.3193020267395</v>
      </c>
      <c r="AF1294" s="134">
        <v>5.4669415856335585E-2</v>
      </c>
      <c r="AG1294" s="59">
        <f t="shared" si="2324"/>
        <v>7.0174764667694589E-4</v>
      </c>
      <c r="AH1294" s="134"/>
      <c r="AI1294" s="134"/>
      <c r="AJ1294" s="129">
        <f t="shared" si="2252"/>
        <v>127196.70788572385</v>
      </c>
      <c r="AK1294" s="134">
        <f t="shared" si="2335"/>
        <v>6.1016261248620286E-2</v>
      </c>
      <c r="AL1294" s="129"/>
      <c r="AM1294" s="129"/>
      <c r="AN1294" s="129"/>
      <c r="AO1294" s="129"/>
      <c r="AP1294" s="133">
        <f t="shared" si="2336"/>
        <v>208.89177399316134</v>
      </c>
      <c r="AQ1294" s="134">
        <f>+BB1294/Outputs!$B$22</f>
        <v>1.6850765049506621E-2</v>
      </c>
      <c r="AR1294" s="93">
        <f t="shared" si="2325"/>
        <v>0.23568649704599878</v>
      </c>
      <c r="AS1294" s="93">
        <f t="shared" si="2326"/>
        <v>0.34131806788813501</v>
      </c>
      <c r="AT1294" s="93">
        <f t="shared" si="2327"/>
        <v>0.42299543506586612</v>
      </c>
      <c r="AU1294" s="93">
        <f t="shared" ca="1" si="2331"/>
        <v>4.5697997889427661E-2</v>
      </c>
      <c r="AV1294" s="132">
        <f t="shared" ca="1" si="2341"/>
        <v>92.704110926091943</v>
      </c>
      <c r="AW1294" s="134">
        <f t="shared" ca="1" si="2342"/>
        <v>4.5697997889427681E-2</v>
      </c>
      <c r="AX1294" s="135">
        <f>+AJ1294/$AL$19</f>
        <v>1.2836201662023448E-2</v>
      </c>
      <c r="AY1294" s="135">
        <f t="shared" ca="1" si="2338"/>
        <v>5.8658871645941564E-4</v>
      </c>
      <c r="AZ1294" s="93"/>
      <c r="BA1294" s="93"/>
      <c r="BB1294" s="234">
        <f>IFERROR(INDEX('Total Customers'!$E$7:$AA$91,MATCH($C1294,'Total Customers'!$C$7:$C$91,0),MATCH($G1294,'Total Customers'!$E$5:$AA$5,0)),"NA")</f>
        <v>608912</v>
      </c>
      <c r="BC1294" s="269">
        <f t="shared" si="2328"/>
        <v>6.2436674957111419E-3</v>
      </c>
      <c r="BD1294" s="92"/>
      <c r="BE1294" s="299" t="str">
        <f t="shared" si="2317"/>
        <v>WISCONSIN GAS LLC</v>
      </c>
      <c r="BF1294" s="300">
        <f t="shared" si="2318"/>
        <v>4008752</v>
      </c>
      <c r="BG1294" s="231" t="str">
        <f t="shared" si="2319"/>
        <v>WI</v>
      </c>
      <c r="BH1294" s="231"/>
      <c r="BI1294" s="231" t="str">
        <f t="shared" si="2320"/>
        <v>2014 Y</v>
      </c>
      <c r="BJ1294" s="129"/>
      <c r="BK1294" s="129"/>
      <c r="BL1294" s="129">
        <f>INDEX('Dist. Plant Gas Additions'!$E$7:$AD$91,MATCH($C1294,'Dist. Plant Gas Additions'!$C$7:$C$91,0),MATCH(Calculation!$G1294,'Dist. Plant Gas Additions'!$E$5:$AD$5,0))</f>
        <v>139849</v>
      </c>
      <c r="BM1294" s="129">
        <f>INDEX('Gen. Plant Additions'!$E$7:$AD$91,MATCH($C1294,'Gen. Plant Additions'!$C$7:$C$91,0),MATCH(Calculation!$G1294,'Gen. Plant Additions'!$E$5:$AD$5,0))</f>
        <v>12371</v>
      </c>
      <c r="BN1294" s="301">
        <f t="shared" si="2299"/>
        <v>0.92364172712018477</v>
      </c>
      <c r="BO1294" s="231">
        <f t="shared" si="2339"/>
        <v>11426.371806203806</v>
      </c>
      <c r="BP1294" s="231">
        <f t="shared" si="2340"/>
        <v>-944.62819379619395</v>
      </c>
      <c r="BQ1294" s="129">
        <f>INDEX('Dist Plant Depreciation'!$D$7:$AC$94,MATCH($C1294,'Dist Plant Depreciation'!$C$7:$C$94,0),MATCH(Calculation!$G1294,'Dist Plant Depreciation'!$D$5:$AC$5,0))</f>
        <v>721830</v>
      </c>
      <c r="BR1294" s="129">
        <f>INDEX('Gen. Plant Depreciation'!$D$7:$AC$94,MATCH($C1294,'Gen. Plant Depreciation'!$C$7:$C$94,0),MATCH(Calculation!$G1294,'Gen. Plant Depreciation'!$D$5:$AC$5,0))</f>
        <v>66112</v>
      </c>
      <c r="BS1294" s="129"/>
      <c r="BT1294" s="129"/>
      <c r="BU1294" s="129"/>
      <c r="BV1294" s="129"/>
      <c r="BW1294" s="129"/>
      <c r="BX1294" s="137"/>
      <c r="BY1294" s="129">
        <f>INDEX('Gross Dx Plant'!$D$7:$AC$91,MATCH($C1294,'Gross Dx Plant'!$C$7:$C$91,0),MATCH(Calculation!$G1294,'Gross Dx Plant'!$D$5:$AC$5,0))</f>
        <v>1542369</v>
      </c>
      <c r="BZ1294" s="129">
        <f>INDEX('Gross Gen Plant'!$D$7:$AC$91,MATCH($C1294,'Gross Gen Plant'!$C$7:$C$91,0),MATCH(Calculation!$G1294,'Gross Gen Plant'!$D$5:$AC$5,0))</f>
        <v>127509</v>
      </c>
      <c r="CA1294" s="129">
        <f t="shared" si="2294"/>
        <v>881936</v>
      </c>
      <c r="CB1294" s="129"/>
      <c r="CC1294" s="133">
        <v>2014</v>
      </c>
      <c r="CD1294" s="129"/>
      <c r="CE1294" s="129"/>
      <c r="CF1294" s="129"/>
      <c r="CG1294" s="137"/>
      <c r="CH1294" s="129">
        <f t="shared" si="2300"/>
        <v>152220</v>
      </c>
      <c r="CI1294" s="46">
        <f t="shared" si="2309"/>
        <v>151275.3718062038</v>
      </c>
      <c r="CJ1294" s="231">
        <f t="shared" si="2301"/>
        <v>221.01123679034964</v>
      </c>
      <c r="CK1294" s="443">
        <v>0.81395348837209303</v>
      </c>
      <c r="CL1294" s="231">
        <f>+CL1278*CK1294+CJ1279*CK1293+CJ1280*CK1292+CJ1281*CK1291+CJ1282*CK1290+CJ1283*CK1289+CJ1284*CK1288+CJ1285*CK1287+CJ1286*CK1286+CJ1287*CK1285+CJ1288*CK1284+CJ1289*CK1283+CJ1290*CK1282+CJ1291*CK1281+CJ1292*CK1280+CJ1293*CK1279+CJ1294</f>
        <v>3433.9118657247059</v>
      </c>
      <c r="CM1294" s="134">
        <f t="shared" si="2302"/>
        <v>5.2291872245374571E-2</v>
      </c>
      <c r="CN1294" s="135">
        <f t="shared" si="2303"/>
        <v>1.4133247402542926E-2</v>
      </c>
      <c r="CO1294" s="135">
        <f t="shared" si="2314"/>
        <v>1.3887167345110188E-2</v>
      </c>
      <c r="CP1294" s="134">
        <f>VLOOKUP($H1294,RoR!$E:$F,2,FALSE)</f>
        <v>4.1625000000000002E-2</v>
      </c>
      <c r="CQ1294" s="135">
        <v>1.841352814597208E-2</v>
      </c>
      <c r="CR1294" s="135">
        <f t="shared" si="2310"/>
        <v>2.3211471854027922E-2</v>
      </c>
      <c r="CS1294" s="135">
        <f t="shared" si="2315"/>
        <v>1.7014774263423439E-2</v>
      </c>
      <c r="CT1294" s="135">
        <v>3.9072621432650924E-2</v>
      </c>
      <c r="CU1294" s="139">
        <f t="shared" si="2304"/>
        <v>0.85150049999999999</v>
      </c>
      <c r="CV1294" s="335">
        <f t="shared" si="2305"/>
        <v>1.2320012320012319</v>
      </c>
      <c r="CW1294" s="335">
        <f t="shared" si="2306"/>
        <v>0.37439939939939942</v>
      </c>
      <c r="CX1294" s="335">
        <f t="shared" si="2307"/>
        <v>0.80432100613819935</v>
      </c>
      <c r="CY1294" s="335">
        <f t="shared" si="2308"/>
        <v>0.37100152660040037</v>
      </c>
      <c r="CZ1294" s="336">
        <f>INDEX('State Tax Lookup'!$D$7:$Z$91,MATCH(Calculation!$C1294,'State Tax Lookup'!$B$7:$B$91,0),MATCH($H1294,'State Tax Lookup'!$D$6:$Z$6,0))</f>
        <v>0.40134999999999998</v>
      </c>
      <c r="DA1294" s="302">
        <v>0.37</v>
      </c>
      <c r="DB1294" s="57">
        <f t="shared" si="2313"/>
        <v>16.509445186317073</v>
      </c>
      <c r="DC1294" s="56">
        <f t="shared" si="2316"/>
        <v>1.7267159272099635E-2</v>
      </c>
      <c r="DD1294" s="303">
        <f>VLOOKUP($H1294,RoR!$E:$F,2,FALSE)</f>
        <v>4.1625000000000002E-2</v>
      </c>
      <c r="DE1294" s="304">
        <f>HLOOKUP($H1294,'GDP-PI'!$D$8:$CQ$11,3,FALSE)</f>
        <v>1.841352814597208E-2</v>
      </c>
      <c r="DF1294" s="303">
        <f>VLOOKUP(H1294,'HW Dx Data'!$E:$F,2,FALSE)</f>
        <v>684.46914285042885</v>
      </c>
      <c r="DG1294" s="364">
        <f ca="1">VLOOKUP(CC1294,'ECI - Input Price'!M$13:N$33,2,FALSE)</f>
        <v>129.4</v>
      </c>
      <c r="DH1294" s="364"/>
      <c r="DI1294" s="364"/>
      <c r="DJ1294" s="56">
        <f t="shared" ca="1" si="2329"/>
        <v>2.0297340063674733E-2</v>
      </c>
      <c r="DK1294" s="53">
        <f>HLOOKUP(H1294,'GDP-PI'!$8:$9,2,FALSE)</f>
        <v>103.64700000000001</v>
      </c>
      <c r="DL1294" s="355">
        <f t="shared" si="2321"/>
        <v>1.8246051898256087E-2</v>
      </c>
    </row>
    <row r="1295" spans="1:116" s="126" customFormat="1" ht="21" customHeight="1" x14ac:dyDescent="0.4">
      <c r="A1295" s="233" t="s">
        <v>258</v>
      </c>
      <c r="B1295" s="126" t="s">
        <v>258</v>
      </c>
      <c r="C1295" s="126">
        <v>4008752</v>
      </c>
      <c r="D1295" s="127" t="s">
        <v>214</v>
      </c>
      <c r="E1295" s="127"/>
      <c r="F1295" s="144"/>
      <c r="G1295" s="126" t="s">
        <v>171</v>
      </c>
      <c r="H1295" s="128">
        <v>2015</v>
      </c>
      <c r="I1295" s="129"/>
      <c r="J1295" s="125">
        <f>IFERROR(INDEX('Labor Expenditures'!$E$7:$W$91,MATCH($C1295,'Labor Expenditures'!$C$7:$C$91,0),MATCH($G1295,'Labor Expenditures'!$E$5:$W$5,0)),"NA")</f>
        <v>29547.537879615404</v>
      </c>
      <c r="K1295" s="125">
        <f t="shared" ca="1" si="2322"/>
        <v>221.32987175741874</v>
      </c>
      <c r="L1295" s="47"/>
      <c r="M1295" s="131">
        <f t="shared" ca="1" si="2330"/>
        <v>-4.5674685636523132E-2</v>
      </c>
      <c r="N1295" s="131"/>
      <c r="O1295" s="131"/>
      <c r="P1295" s="59">
        <f t="shared" ca="1" si="2332"/>
        <v>-5.854869891659028E-4</v>
      </c>
      <c r="Q1295" s="61"/>
      <c r="R1295" s="387"/>
      <c r="S1295" s="49">
        <f t="shared" ca="1" si="2337"/>
        <v>123.46004282742933</v>
      </c>
      <c r="T1295" s="61">
        <f ca="1">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+P2620</f>
        <v>-6.0941340318349034E-4</v>
      </c>
      <c r="U1295" s="61"/>
      <c r="V1295" s="125">
        <f>IFERROR(INDEX('Non-Labor Expenditures'!$E$7:$AA$91,MATCH($C1295,'Non-Labor Expenditures'!$C$7:$C$91,0),MATCH($G1295,'Non-Labor Expenditures'!$E$5:$AA$5,0)),"NA")</f>
        <v>42790.353568509723</v>
      </c>
      <c r="W1295" s="125">
        <f t="shared" si="2323"/>
        <v>408.93312788262239</v>
      </c>
      <c r="X1295" s="131">
        <f t="shared" si="2333"/>
        <v>-2.400702604846195E-2</v>
      </c>
      <c r="Y1295" s="131">
        <f t="shared" si="2334"/>
        <v>-3.077372335257379E-4</v>
      </c>
      <c r="Z1295" s="131"/>
      <c r="AA1295" s="131"/>
      <c r="AB1295" s="131"/>
      <c r="AC1295" s="125">
        <f t="shared" si="2298"/>
        <v>55342.938866762051</v>
      </c>
      <c r="AD1295" s="129"/>
      <c r="AE1295" s="133">
        <v>4011.6007547181603</v>
      </c>
      <c r="AF1295" s="134">
        <v>8.6462589569834367E-2</v>
      </c>
      <c r="AG1295" s="59">
        <f t="shared" si="2324"/>
        <v>1.1083321217705273E-3</v>
      </c>
      <c r="AH1295" s="134"/>
      <c r="AI1295" s="134"/>
      <c r="AJ1295" s="129">
        <f t="shared" si="2252"/>
        <v>127680.83031488718</v>
      </c>
      <c r="AK1295" s="134">
        <f t="shared" si="2335"/>
        <v>3.7988676035912898E-3</v>
      </c>
      <c r="AL1295" s="129"/>
      <c r="AM1295" s="129"/>
      <c r="AN1295" s="129"/>
      <c r="AO1295" s="129"/>
      <c r="AP1295" s="133">
        <f t="shared" si="2336"/>
        <v>207.78307626130763</v>
      </c>
      <c r="AQ1295" s="134">
        <f>+BB1295/Outputs!$B$23</f>
        <v>1.6866881819315692E-2</v>
      </c>
      <c r="AR1295" s="93">
        <f t="shared" si="2325"/>
        <v>0.2314171814730927</v>
      </c>
      <c r="AS1295" s="93">
        <f t="shared" si="2326"/>
        <v>0.33513530154041066</v>
      </c>
      <c r="AT1295" s="93">
        <f t="shared" si="2327"/>
        <v>0.43344751698649658</v>
      </c>
      <c r="AU1295" s="93">
        <f t="shared" ca="1" si="2331"/>
        <v>1.8237914058408369E-2</v>
      </c>
      <c r="AV1295" s="132">
        <f t="shared" ca="1" si="2341"/>
        <v>94.410352382423056</v>
      </c>
      <c r="AW1295" s="134">
        <f t="shared" ca="1" si="2342"/>
        <v>1.8237914058408366E-2</v>
      </c>
      <c r="AX1295" s="135">
        <f>+AJ1295/$AL$20</f>
        <v>1.2818632049822499E-2</v>
      </c>
      <c r="AY1295" s="135">
        <f t="shared" ca="1" si="2338"/>
        <v>2.337851096710218E-4</v>
      </c>
      <c r="AZ1295" s="93"/>
      <c r="BA1295" s="93"/>
      <c r="BB1295" s="234">
        <f>IFERROR(INDEX('Total Customers'!$E$7:$AA$91,MATCH($C1295,'Total Customers'!$C$7:$C$91,0),MATCH($G1295,'Total Customers'!$E$5:$AA$5,0)),"NA")</f>
        <v>614491</v>
      </c>
      <c r="BC1295" s="269">
        <f t="shared" si="2328"/>
        <v>9.1205247552298713E-3</v>
      </c>
      <c r="BD1295" s="92"/>
      <c r="BE1295" s="299" t="str">
        <f t="shared" si="2317"/>
        <v>WISCONSIN GAS LLC</v>
      </c>
      <c r="BF1295" s="300">
        <f t="shared" si="2318"/>
        <v>4008752</v>
      </c>
      <c r="BG1295" s="231" t="str">
        <f t="shared" si="2319"/>
        <v>WI</v>
      </c>
      <c r="BH1295" s="231"/>
      <c r="BI1295" s="231" t="str">
        <f t="shared" si="2320"/>
        <v>2015 Y</v>
      </c>
      <c r="BJ1295" s="129"/>
      <c r="BK1295" s="129"/>
      <c r="BL1295" s="129">
        <f>INDEX('Dist. Plant Gas Additions'!$E$7:$AD$91,MATCH($C1295,'Dist. Plant Gas Additions'!$C$7:$C$91,0),MATCH(Calculation!$G1295,'Dist. Plant Gas Additions'!$E$5:$AD$5,0))</f>
        <v>237906</v>
      </c>
      <c r="BM1295" s="129">
        <f>INDEX('Gen. Plant Additions'!$E$7:$AD$91,MATCH($C1295,'Gen. Plant Additions'!$C$7:$C$91,0),MATCH(Calculation!$G1295,'Gen. Plant Additions'!$E$5:$AD$5,0))</f>
        <v>6002</v>
      </c>
      <c r="BN1295" s="301">
        <f t="shared" si="2299"/>
        <v>0.93274222874254831</v>
      </c>
      <c r="BO1295" s="231">
        <f t="shared" si="2339"/>
        <v>5598.3188569127751</v>
      </c>
      <c r="BP1295" s="231">
        <f t="shared" si="2340"/>
        <v>-403.68114308722488</v>
      </c>
      <c r="BQ1295" s="129">
        <f>INDEX('Dist Plant Depreciation'!$D$7:$AC$94,MATCH($C1295,'Dist Plant Depreciation'!$C$7:$C$94,0),MATCH(Calculation!$G1295,'Dist Plant Depreciation'!$D$5:$AC$5,0))</f>
        <v>744491</v>
      </c>
      <c r="BR1295" s="129">
        <f>INDEX('Gen. Plant Depreciation'!$D$7:$AC$94,MATCH($C1295,'Gen. Plant Depreciation'!$C$7:$C$94,0),MATCH(Calculation!$G1295,'Gen. Plant Depreciation'!$D$5:$AC$5,0))</f>
        <v>69976</v>
      </c>
      <c r="BS1295" s="129"/>
      <c r="BT1295" s="129"/>
      <c r="BU1295" s="129"/>
      <c r="BV1295" s="129"/>
      <c r="BW1295" s="129"/>
      <c r="BX1295" s="137"/>
      <c r="BY1295" s="129">
        <f>INDEX('Gross Dx Plant'!$D$7:$AC$91,MATCH($C1295,'Gross Dx Plant'!$C$7:$C$91,0),MATCH(Calculation!$G1295,'Gross Dx Plant'!$D$5:$AC$5,0))</f>
        <v>1774474</v>
      </c>
      <c r="BZ1295" s="129">
        <f>INDEX('Gross Gen Plant'!$D$7:$AC$91,MATCH($C1295,'Gross Gen Plant'!$C$7:$C$91,0),MATCH(Calculation!$G1295,'Gross Gen Plant'!$D$5:$AC$5,0))</f>
        <v>127953</v>
      </c>
      <c r="CA1295" s="129">
        <f t="shared" si="2294"/>
        <v>1087960</v>
      </c>
      <c r="CB1295" s="129"/>
      <c r="CC1295" s="133">
        <v>2015</v>
      </c>
      <c r="CD1295" s="129"/>
      <c r="CE1295" s="129"/>
      <c r="CF1295" s="129"/>
      <c r="CG1295" s="137"/>
      <c r="CH1295" s="129">
        <f t="shared" si="2300"/>
        <v>243908</v>
      </c>
      <c r="CI1295" s="46">
        <f t="shared" si="2309"/>
        <v>243504.31885691278</v>
      </c>
      <c r="CJ1295" s="231">
        <f t="shared" si="2301"/>
        <v>360.41895324916629</v>
      </c>
      <c r="CK1295" s="443">
        <v>0.8</v>
      </c>
      <c r="CL1295" s="231">
        <f>+CL1278*CK1295+CJ1279*CK1294+CJ1280*CK1293+CJ1281*CK1292+CJ1282*CK1291+CJ1283*CK1290+CJ1284*CK1289+CJ1285*CK1288+CJ1286*CK1287+CJ1287*CK1286+CJ1288*CK1285+CJ1289*CK1284+CJ1290*CK1283+CJ1291*CK1282+CJ1292*CK1281+CJ1293*CK1280+CJ1294*CK1279+CJ1295</f>
        <v>3745.0430137976268</v>
      </c>
      <c r="CM1295" s="134">
        <f t="shared" si="2302"/>
        <v>8.6733005611280861E-2</v>
      </c>
      <c r="CN1295" s="135">
        <f t="shared" si="2303"/>
        <v>1.4353252821718374E-2</v>
      </c>
      <c r="CO1295" s="135">
        <f t="shared" si="2314"/>
        <v>1.4125599614499126E-2</v>
      </c>
      <c r="CP1295" s="134">
        <f>VLOOKUP($H1295,RoR!$E:$F,2,FALSE)</f>
        <v>3.8866666666666674E-2</v>
      </c>
      <c r="CQ1295" s="135">
        <v>9.5709475431029478E-3</v>
      </c>
      <c r="CR1295" s="135">
        <f t="shared" si="2310"/>
        <v>2.9295719123563727E-2</v>
      </c>
      <c r="CS1295" s="135">
        <f t="shared" si="2315"/>
        <v>1.6776341994034501E-2</v>
      </c>
      <c r="CT1295" s="135">
        <v>3.5270373279175926E-3</v>
      </c>
      <c r="CU1295" s="139">
        <f t="shared" si="2304"/>
        <v>0.85150049999999999</v>
      </c>
      <c r="CV1295" s="335">
        <f t="shared" si="2305"/>
        <v>1.3194352816994324</v>
      </c>
      <c r="CW1295" s="335">
        <f t="shared" si="2306"/>
        <v>0.33177530017152673</v>
      </c>
      <c r="CX1295" s="335">
        <f t="shared" si="2307"/>
        <v>0.78242572977668579</v>
      </c>
      <c r="CY1295" s="335">
        <f t="shared" si="2308"/>
        <v>0.34251158643433932</v>
      </c>
      <c r="CZ1295" s="336">
        <f>INDEX('State Tax Lookup'!$D$7:$Z$91,MATCH(Calculation!$C1295,'State Tax Lookup'!$B$7:$B$91,0),MATCH($H1295,'State Tax Lookup'!$D$6:$Z$6,0))</f>
        <v>0.40134999999999998</v>
      </c>
      <c r="DA1295" s="302">
        <v>0.37</v>
      </c>
      <c r="DB1295" s="57">
        <f t="shared" si="2313"/>
        <v>16.116586863851342</v>
      </c>
      <c r="DC1295" s="56">
        <f t="shared" si="2316"/>
        <v>-2.4083671014001124E-2</v>
      </c>
      <c r="DD1295" s="303">
        <f>VLOOKUP($H1295,RoR!$E:$F,2,FALSE)</f>
        <v>3.8866666666666674E-2</v>
      </c>
      <c r="DE1295" s="304">
        <f>HLOOKUP($H1295,'GDP-PI'!$D$8:$CQ$11,3,FALSE)</f>
        <v>9.5709475431029478E-3</v>
      </c>
      <c r="DF1295" s="303">
        <f>VLOOKUP(H1295,'HW Dx Data'!$E:$F,2,FALSE)</f>
        <v>675.61463308665782</v>
      </c>
      <c r="DG1295" s="364">
        <f ca="1">VLOOKUP(CC1295,'ECI - Input Price'!M$13:N$33,2,FALSE)</f>
        <v>133.5</v>
      </c>
      <c r="DH1295" s="364"/>
      <c r="DI1295" s="364"/>
      <c r="DJ1295" s="56">
        <f t="shared" ca="1" si="2329"/>
        <v>3.1193095773504077E-2</v>
      </c>
      <c r="DK1295" s="53">
        <f>HLOOKUP(H1295,'GDP-PI'!$8:$9,2,FALSE)</f>
        <v>104.639</v>
      </c>
      <c r="DL1295" s="355">
        <f t="shared" si="2321"/>
        <v>9.5254361854427965E-3</v>
      </c>
    </row>
    <row r="1296" spans="1:116" s="126" customFormat="1" ht="21" customHeight="1" x14ac:dyDescent="0.4">
      <c r="A1296" s="233" t="s">
        <v>258</v>
      </c>
      <c r="B1296" s="126" t="s">
        <v>258</v>
      </c>
      <c r="C1296" s="126">
        <v>4008752</v>
      </c>
      <c r="D1296" s="127" t="s">
        <v>214</v>
      </c>
      <c r="E1296" s="127"/>
      <c r="F1296" s="144"/>
      <c r="G1296" s="126" t="s">
        <v>172</v>
      </c>
      <c r="H1296" s="128">
        <v>2016</v>
      </c>
      <c r="I1296" s="129"/>
      <c r="J1296" s="125">
        <f>IFERROR(INDEX('Labor Expenditures'!$E$7:$W$91,MATCH($C1296,'Labor Expenditures'!$C$7:$C$91,0),MATCH($G1296,'Labor Expenditures'!$E$5:$W$5,0)),"NA")</f>
        <v>29453.666069882729</v>
      </c>
      <c r="K1296" s="125">
        <f t="shared" ca="1" si="2322"/>
        <v>215.06875553035948</v>
      </c>
      <c r="L1296" s="47"/>
      <c r="M1296" s="131">
        <f t="shared" ca="1" si="2330"/>
        <v>-2.8696450866616638E-2</v>
      </c>
      <c r="N1296" s="131"/>
      <c r="O1296" s="131"/>
      <c r="P1296" s="59">
        <f t="shared" ca="1" si="2332"/>
        <v>-3.6689701346931489E-4</v>
      </c>
      <c r="Q1296" s="61"/>
      <c r="R1296" s="387"/>
      <c r="S1296" s="49">
        <f t="shared" ca="1" si="2337"/>
        <v>306.50135292790145</v>
      </c>
      <c r="T1296" s="61">
        <f ca="1">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+P2621</f>
        <v>0.90930460562807214</v>
      </c>
      <c r="U1296" s="61"/>
      <c r="V1296" s="125">
        <f>IFERROR(INDEX('Non-Labor Expenditures'!$E$7:$AA$91,MATCH($C1296,'Non-Labor Expenditures'!$C$7:$C$91,0),MATCH($G1296,'Non-Labor Expenditures'!$E$5:$AA$5,0)),"NA")</f>
        <v>42654.409655181225</v>
      </c>
      <c r="W1296" s="125">
        <f t="shared" si="2323"/>
        <v>403.40479737441575</v>
      </c>
      <c r="X1296" s="131">
        <f t="shared" si="2333"/>
        <v>-1.3611123365038728E-2</v>
      </c>
      <c r="Y1296" s="131">
        <f t="shared" si="2334"/>
        <v>-1.7402432571913057E-4</v>
      </c>
      <c r="Z1296" s="131"/>
      <c r="AA1296" s="131"/>
      <c r="AB1296" s="131"/>
      <c r="AC1296" s="125">
        <f t="shared" si="2298"/>
        <v>59358.915032489349</v>
      </c>
      <c r="AD1296" s="129"/>
      <c r="AE1296" s="133">
        <v>4157.7172738015515</v>
      </c>
      <c r="AF1296" s="134">
        <v>3.5775839039434904E-2</v>
      </c>
      <c r="AG1296" s="59">
        <f t="shared" si="2324"/>
        <v>4.5741017099774797E-4</v>
      </c>
      <c r="AH1296" s="134"/>
      <c r="AI1296" s="134"/>
      <c r="AJ1296" s="129">
        <f t="shared" si="2252"/>
        <v>131466.99075755331</v>
      </c>
      <c r="AK1296" s="134">
        <f t="shared" si="2335"/>
        <v>2.9222162478561464E-2</v>
      </c>
      <c r="AL1296" s="129"/>
      <c r="AM1296" s="129"/>
      <c r="AN1296" s="129"/>
      <c r="AO1296" s="129"/>
      <c r="AP1296" s="133">
        <f t="shared" si="2336"/>
        <v>211.91296774818306</v>
      </c>
      <c r="AQ1296" s="134">
        <f>+BB1296/Outputs!$B$24</f>
        <v>1.6881430415658236E-2</v>
      </c>
      <c r="AR1296" s="93">
        <f t="shared" si="2325"/>
        <v>0.22403848981528846</v>
      </c>
      <c r="AS1296" s="93">
        <f t="shared" si="2326"/>
        <v>0.32444957787040968</v>
      </c>
      <c r="AT1296" s="93">
        <f t="shared" si="2327"/>
        <v>0.45151193231430176</v>
      </c>
      <c r="AU1296" s="93">
        <f t="shared" ca="1" si="2331"/>
        <v>4.8062571790942615E-3</v>
      </c>
      <c r="AV1296" s="132">
        <f t="shared" ca="1" si="2341"/>
        <v>94.865205010100439</v>
      </c>
      <c r="AW1296" s="134">
        <f t="shared" ca="1" si="2342"/>
        <v>4.8062571790942789E-3</v>
      </c>
      <c r="AX1296" s="135">
        <f>+AJ1296/$AL$21</f>
        <v>1.2785449154485378E-2</v>
      </c>
      <c r="AY1296" s="135">
        <f t="shared" ca="1" si="2338"/>
        <v>6.1450156786690228E-5</v>
      </c>
      <c r="AZ1296" s="93"/>
      <c r="BA1296" s="93"/>
      <c r="BB1296" s="234">
        <f>IFERROR(INDEX('Total Customers'!$E$7:$AA$91,MATCH($C1296,'Total Customers'!$C$7:$C$91,0),MATCH($G1296,'Total Customers'!$E$5:$AA$5,0)),"NA")</f>
        <v>620382</v>
      </c>
      <c r="BC1296" s="269">
        <f t="shared" si="2328"/>
        <v>9.5411344966982569E-3</v>
      </c>
      <c r="BD1296" s="92"/>
      <c r="BE1296" s="299" t="str">
        <f t="shared" si="2317"/>
        <v>WISCONSIN GAS LLC</v>
      </c>
      <c r="BF1296" s="300">
        <f t="shared" si="2318"/>
        <v>4008752</v>
      </c>
      <c r="BG1296" s="231" t="str">
        <f t="shared" si="2319"/>
        <v>WI</v>
      </c>
      <c r="BH1296" s="231"/>
      <c r="BI1296" s="231" t="str">
        <f t="shared" si="2320"/>
        <v>2016 Y</v>
      </c>
      <c r="BJ1296" s="129"/>
      <c r="BK1296" s="129"/>
      <c r="BL1296" s="129">
        <f>INDEX('Dist. Plant Gas Additions'!$E$7:$AD$91,MATCH($C1296,'Dist. Plant Gas Additions'!$C$7:$C$91,0),MATCH(Calculation!$G1296,'Dist. Plant Gas Additions'!$E$5:$AD$5,0))</f>
        <v>109519</v>
      </c>
      <c r="BM1296" s="129">
        <f>INDEX('Gen. Plant Additions'!$E$7:$AD$91,MATCH($C1296,'Gen. Plant Additions'!$C$7:$C$91,0),MATCH(Calculation!$G1296,'Gen. Plant Additions'!$E$5:$AD$5,0))</f>
        <v>9813</v>
      </c>
      <c r="BN1296" s="301">
        <f t="shared" si="2299"/>
        <v>0.94066733586345175</v>
      </c>
      <c r="BO1296" s="231">
        <f t="shared" si="2339"/>
        <v>9230.7685668280519</v>
      </c>
      <c r="BP1296" s="231">
        <f t="shared" si="2340"/>
        <v>-582.23143317194808</v>
      </c>
      <c r="BQ1296" s="129">
        <f>INDEX('Dist Plant Depreciation'!$D$7:$AC$94,MATCH($C1296,'Dist Plant Depreciation'!$C$7:$C$94,0),MATCH(Calculation!$G1296,'Dist Plant Depreciation'!$D$5:$AC$5,0))</f>
        <v>771390</v>
      </c>
      <c r="BR1296" s="129">
        <f>INDEX('Gen. Plant Depreciation'!$D$7:$AC$94,MATCH($C1296,'Gen. Plant Depreciation'!$C$7:$C$94,0),MATCH(Calculation!$G1296,'Gen. Plant Depreciation'!$D$5:$AC$5,0))</f>
        <v>59722</v>
      </c>
      <c r="BS1296" s="129"/>
      <c r="BT1296" s="129"/>
      <c r="BU1296" s="129"/>
      <c r="BV1296" s="129"/>
      <c r="BW1296" s="129"/>
      <c r="BX1296" s="137"/>
      <c r="BY1296" s="129">
        <f>INDEX('Gross Dx Plant'!$D$7:$AC$91,MATCH($C1296,'Gross Dx Plant'!$C$7:$C$91,0),MATCH(Calculation!$G1296,'Gross Dx Plant'!$D$5:$AC$5,0))</f>
        <v>1877033</v>
      </c>
      <c r="BZ1296" s="129">
        <f>INDEX('Gross Gen Plant'!$D$7:$AC$91,MATCH($C1296,'Gross Gen Plant'!$C$7:$C$91,0),MATCH(Calculation!$G1296,'Gross Gen Plant'!$D$5:$AC$5,0))</f>
        <v>118394</v>
      </c>
      <c r="CA1296" s="129">
        <f t="shared" si="2294"/>
        <v>1164315</v>
      </c>
      <c r="CB1296" s="129"/>
      <c r="CC1296" s="133">
        <v>2016</v>
      </c>
      <c r="CD1296" s="129"/>
      <c r="CE1296" s="129"/>
      <c r="CF1296" s="129"/>
      <c r="CG1296" s="137"/>
      <c r="CH1296" s="129">
        <f t="shared" si="2300"/>
        <v>119332</v>
      </c>
      <c r="CI1296" s="46">
        <f t="shared" si="2309"/>
        <v>118749.76856682805</v>
      </c>
      <c r="CJ1296" s="231">
        <f t="shared" si="2301"/>
        <v>176.85402902223092</v>
      </c>
      <c r="CK1296" s="443">
        <v>0.7857142857142857</v>
      </c>
      <c r="CL1296" s="231">
        <f>+CL1278*CK1296+CJ1279*CK1295+CJ1280*CK1294+CJ1281*CK1293+CJ1282*CK1292+CJ1283*CK1291+CJ1284*CK1290+CJ1285*CK1289+CJ1286*CK1288+CJ1287*CK1287+CJ1288*CK1286+CJ1289*CK1285+CJ1290*CK1284+CJ1291*CK1283+CJ1292*CK1282+CJ1293*CK1281+CJ1294*CK1280+CJ1295*CK1279+CJ1296</f>
        <v>3867.9213596095283</v>
      </c>
      <c r="CM1296" s="134">
        <f t="shared" si="2302"/>
        <v>3.2284143799577794E-2</v>
      </c>
      <c r="CN1296" s="135">
        <f t="shared" si="2303"/>
        <v>1.4412566961573003E-2</v>
      </c>
      <c r="CO1296" s="135">
        <f t="shared" si="2314"/>
        <v>1.4299689061944768E-2</v>
      </c>
      <c r="CP1296" s="134">
        <f>VLOOKUP($H1296,RoR!$E:$F,2,FALSE)</f>
        <v>3.6658333333333334E-2</v>
      </c>
      <c r="CQ1296" s="135">
        <v>1.0483662879041455E-2</v>
      </c>
      <c r="CR1296" s="135">
        <f t="shared" si="2310"/>
        <v>2.6174670454291879E-2</v>
      </c>
      <c r="CS1296" s="135">
        <f t="shared" si="2315"/>
        <v>1.6602252546588855E-2</v>
      </c>
      <c r="CT1296" s="135">
        <v>4.301363574220729E-3</v>
      </c>
      <c r="CU1296" s="139">
        <f t="shared" si="2304"/>
        <v>0.85150049999999999</v>
      </c>
      <c r="CV1296" s="335">
        <f t="shared" si="2305"/>
        <v>1.3989193348138562</v>
      </c>
      <c r="CW1296" s="335">
        <f t="shared" si="2306"/>
        <v>0.29302682427824522</v>
      </c>
      <c r="CX1296" s="335">
        <f t="shared" si="2307"/>
        <v>0.76309497491941802</v>
      </c>
      <c r="CY1296" s="335">
        <f t="shared" si="2308"/>
        <v>0.31280857135128509</v>
      </c>
      <c r="CZ1296" s="336">
        <f>INDEX('State Tax Lookup'!$D$7:$Z$91,MATCH(Calculation!$C1296,'State Tax Lookup'!$B$7:$B$91,0),MATCH($H1296,'State Tax Lookup'!$D$6:$Z$6,0))</f>
        <v>0.40134999999999998</v>
      </c>
      <c r="DA1296" s="302">
        <v>0.37</v>
      </c>
      <c r="DB1296" s="57">
        <f t="shared" si="2313"/>
        <v>15.849995531105257</v>
      </c>
      <c r="DC1296" s="56">
        <f t="shared" si="2316"/>
        <v>-1.6679763274125445E-2</v>
      </c>
      <c r="DD1296" s="303">
        <f>VLOOKUP($H1296,RoR!$E:$F,2,FALSE)</f>
        <v>3.6658333333333334E-2</v>
      </c>
      <c r="DE1296" s="304">
        <f>HLOOKUP($H1296,'GDP-PI'!$D$8:$CQ$11,3,FALSE)</f>
        <v>1.0483662879041455E-2</v>
      </c>
      <c r="DF1296" s="303">
        <f>VLOOKUP(H1296,'HW Dx Data'!$E:$F,2,FALSE)</f>
        <v>671.45639385971219</v>
      </c>
      <c r="DG1296" s="364">
        <f ca="1">VLOOKUP(CC1296,'ECI - Input Price'!M$13:N$33,2,FALSE)</f>
        <v>136.94999999999999</v>
      </c>
      <c r="DH1296" s="364"/>
      <c r="DI1296" s="364"/>
      <c r="DJ1296" s="56">
        <f t="shared" ca="1" si="2329"/>
        <v>2.5514417868782811E-2</v>
      </c>
      <c r="DK1296" s="53">
        <f>HLOOKUP(H1296,'GDP-PI'!$8:$9,2,FALSE)</f>
        <v>105.736</v>
      </c>
      <c r="DL1296" s="355">
        <f t="shared" si="2321"/>
        <v>1.0429090367205095E-2</v>
      </c>
    </row>
    <row r="1297" spans="1:116" s="126" customFormat="1" ht="21" customHeight="1" x14ac:dyDescent="0.4">
      <c r="A1297" s="233" t="s">
        <v>258</v>
      </c>
      <c r="B1297" s="126" t="s">
        <v>258</v>
      </c>
      <c r="C1297" s="126">
        <v>4008752</v>
      </c>
      <c r="D1297" s="127" t="s">
        <v>214</v>
      </c>
      <c r="E1297" s="127"/>
      <c r="F1297" s="144"/>
      <c r="G1297" s="126" t="s">
        <v>173</v>
      </c>
      <c r="H1297" s="128">
        <v>2017</v>
      </c>
      <c r="I1297" s="129"/>
      <c r="J1297" s="125">
        <f>IFERROR(INDEX('Labor Expenditures'!$E$7:$W$91,MATCH($C1297,'Labor Expenditures'!$C$7:$C$91,0),MATCH($G1297,'Labor Expenditures'!$E$5:$W$5,0)),"NA")</f>
        <v>28372.660488100752</v>
      </c>
      <c r="K1297" s="125">
        <f t="shared" ca="1" si="2322"/>
        <v>202.01253462513887</v>
      </c>
      <c r="L1297" s="47"/>
      <c r="M1297" s="131">
        <f t="shared" ca="1" si="2330"/>
        <v>-6.2628022093471208E-2</v>
      </c>
      <c r="N1297" s="131"/>
      <c r="O1297" s="131"/>
      <c r="P1297" s="59">
        <f t="shared" ca="1" si="2332"/>
        <v>-7.5962913020878522E-4</v>
      </c>
      <c r="Q1297" s="61"/>
      <c r="R1297" s="387"/>
      <c r="S1297" s="49">
        <f t="shared" ca="1" si="2337"/>
        <v>172.29472326175167</v>
      </c>
      <c r="T1297" s="61">
        <f ca="1">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+P2622</f>
        <v>-0.57601565171653468</v>
      </c>
      <c r="U1297" s="61"/>
      <c r="V1297" s="125">
        <f>IFERROR(INDEX('Non-Labor Expenditures'!$E$7:$AA$91,MATCH($C1297,'Non-Labor Expenditures'!$C$7:$C$91,0),MATCH($G1297,'Non-Labor Expenditures'!$E$5:$AA$5,0)),"NA")</f>
        <v>41088.911668768778</v>
      </c>
      <c r="W1297" s="125">
        <f t="shared" si="2323"/>
        <v>381.33206809002957</v>
      </c>
      <c r="X1297" s="131">
        <f t="shared" si="2333"/>
        <v>-5.6269952480050893E-2</v>
      </c>
      <c r="Y1297" s="131">
        <f t="shared" si="2334"/>
        <v>-6.825106977754404E-4</v>
      </c>
      <c r="Z1297" s="131"/>
      <c r="AA1297" s="131"/>
      <c r="AB1297" s="131"/>
      <c r="AC1297" s="125">
        <f t="shared" si="2298"/>
        <v>55216.235378852733</v>
      </c>
      <c r="AD1297" s="129"/>
      <c r="AE1297" s="133">
        <v>4351.5800800438765</v>
      </c>
      <c r="AF1297" s="134">
        <v>4.5572824532491146E-2</v>
      </c>
      <c r="AG1297" s="59">
        <f t="shared" si="2324"/>
        <v>5.5276286722110465E-4</v>
      </c>
      <c r="AH1297" s="134"/>
      <c r="AI1297" s="134"/>
      <c r="AJ1297" s="129">
        <f t="shared" si="2252"/>
        <v>124677.80753572227</v>
      </c>
      <c r="AK1297" s="134">
        <f t="shared" si="2335"/>
        <v>-5.302292923831349E-2</v>
      </c>
      <c r="AL1297" s="129"/>
      <c r="AM1297" s="129"/>
      <c r="AN1297" s="129"/>
      <c r="AO1297" s="129"/>
      <c r="AP1297" s="133">
        <f t="shared" si="2336"/>
        <v>198.98464263485687</v>
      </c>
      <c r="AQ1297" s="134">
        <f>+BB1297/Outputs!$B$25</f>
        <v>1.6921716273669393E-2</v>
      </c>
      <c r="AR1297" s="93">
        <f t="shared" si="2325"/>
        <v>0.22756784907347294</v>
      </c>
      <c r="AS1297" s="93">
        <f t="shared" si="2326"/>
        <v>0.32956074926964146</v>
      </c>
      <c r="AT1297" s="93">
        <f t="shared" si="2327"/>
        <v>0.4428714016568856</v>
      </c>
      <c r="AU1297" s="93">
        <f t="shared" ca="1" si="2331"/>
        <v>-1.2162383527628433E-2</v>
      </c>
      <c r="AV1297" s="132">
        <f t="shared" ca="1" si="2341"/>
        <v>93.718406044281394</v>
      </c>
      <c r="AW1297" s="134">
        <f t="shared" ca="1" si="2342"/>
        <v>-1.2162383527628391E-2</v>
      </c>
      <c r="AX1297" s="135">
        <f>+AJ1297/$AL$22</f>
        <v>1.2129221150798156E-2</v>
      </c>
      <c r="AY1297" s="135">
        <f t="shared" ca="1" si="2338"/>
        <v>-1.4752023952742938E-4</v>
      </c>
      <c r="AZ1297" s="93"/>
      <c r="BA1297" s="93"/>
      <c r="BB1297" s="234">
        <f>IFERROR(INDEX('Total Customers'!$E$7:$AA$91,MATCH($C1297,'Total Customers'!$C$7:$C$91,0),MATCH($G1297,'Total Customers'!$E$5:$AA$5,0)),"NA")</f>
        <v>626570</v>
      </c>
      <c r="BC1297" s="269">
        <f t="shared" si="2328"/>
        <v>9.9250825963298501E-3</v>
      </c>
      <c r="BD1297" s="92"/>
      <c r="BE1297" s="299" t="str">
        <f t="shared" si="2317"/>
        <v>WISCONSIN GAS LLC</v>
      </c>
      <c r="BF1297" s="300">
        <f t="shared" si="2318"/>
        <v>4008752</v>
      </c>
      <c r="BG1297" s="231" t="str">
        <f t="shared" si="2319"/>
        <v>WI</v>
      </c>
      <c r="BH1297" s="231"/>
      <c r="BI1297" s="231" t="str">
        <f t="shared" si="2320"/>
        <v>2017 Y</v>
      </c>
      <c r="BJ1297" s="129"/>
      <c r="BK1297" s="129"/>
      <c r="BL1297" s="129">
        <f>INDEX('Dist. Plant Gas Additions'!$E$7:$AD$91,MATCH($C1297,'Dist. Plant Gas Additions'!$C$7:$C$91,0),MATCH(Calculation!$G1297,'Dist. Plant Gas Additions'!$E$5:$AD$5,0))</f>
        <v>149642</v>
      </c>
      <c r="BM1297" s="129">
        <f>INDEX('Gen. Plant Additions'!$E$7:$AD$91,MATCH($C1297,'Gen. Plant Additions'!$C$7:$C$91,0),MATCH(Calculation!$G1297,'Gen. Plant Additions'!$E$5:$AD$5,0))</f>
        <v>12465</v>
      </c>
      <c r="BN1297" s="301">
        <f t="shared" si="2299"/>
        <v>0.94288352700878608</v>
      </c>
      <c r="BO1297" s="231">
        <f t="shared" si="2339"/>
        <v>11753.043164164519</v>
      </c>
      <c r="BP1297" s="231">
        <f t="shared" si="2340"/>
        <v>-711.95683583548089</v>
      </c>
      <c r="BQ1297" s="129">
        <f>INDEX('Dist Plant Depreciation'!$D$7:$AC$94,MATCH($C1297,'Dist Plant Depreciation'!$C$7:$C$94,0),MATCH(Calculation!$G1297,'Dist Plant Depreciation'!$D$5:$AC$5,0))</f>
        <v>796100</v>
      </c>
      <c r="BR1297" s="129">
        <f>INDEX('Gen. Plant Depreciation'!$D$7:$AC$94,MATCH($C1297,'Gen. Plant Depreciation'!$C$7:$C$94,0),MATCH(Calculation!$G1297,'Gen. Plant Depreciation'!$D$5:$AC$5,0))</f>
        <v>59381</v>
      </c>
      <c r="BS1297" s="129"/>
      <c r="BT1297" s="129"/>
      <c r="BU1297" s="129"/>
      <c r="BV1297" s="129"/>
      <c r="BW1297" s="129"/>
      <c r="BX1297" s="137"/>
      <c r="BY1297" s="129">
        <f>INDEX('Gross Dx Plant'!$D$7:$AC$91,MATCH($C1297,'Gross Dx Plant'!$C$7:$C$91,0),MATCH(Calculation!$G1297,'Gross Dx Plant'!$D$5:$AC$5,0))</f>
        <v>2014531</v>
      </c>
      <c r="BZ1297" s="129">
        <f>INDEX('Gross Gen Plant'!$D$7:$AC$91,MATCH($C1297,'Gross Gen Plant'!$C$7:$C$91,0),MATCH(Calculation!$G1297,'Gross Gen Plant'!$D$5:$AC$5,0))</f>
        <v>122033</v>
      </c>
      <c r="CA1297" s="129">
        <f t="shared" si="2294"/>
        <v>1281083</v>
      </c>
      <c r="CB1297" s="129"/>
      <c r="CC1297" s="133">
        <v>2017</v>
      </c>
      <c r="CD1297" s="129"/>
      <c r="CE1297" s="129"/>
      <c r="CF1297" s="129"/>
      <c r="CG1297" s="137"/>
      <c r="CH1297" s="129">
        <f t="shared" si="2300"/>
        <v>162107</v>
      </c>
      <c r="CI1297" s="46">
        <f t="shared" si="2309"/>
        <v>161395.04316416453</v>
      </c>
      <c r="CJ1297" s="231">
        <f t="shared" si="2301"/>
        <v>226.54206590847107</v>
      </c>
      <c r="CK1297" s="443">
        <v>0.77108433734939763</v>
      </c>
      <c r="CL1297" s="231">
        <f>+CL1278*CK1297+CJ1279*CK1296+CJ1280*CK1295+CJ1281*CK1294+CJ1282*CK1293+CJ1283*CK1292+CJ1284*CK1291+CJ1285*CK1290+CJ1286*CK1289+CJ1287*CK1288+CJ1288*CK1287+CJ1289*CK1286+CJ1290*CK1285+CJ1291*CK1284+CJ1292*CK1283+CJ1293*CK1282+CJ1294*CK1281+CJ1295*CK1280+CJ1296*CK1279+CJ1297</f>
        <v>4037.5072557781568</v>
      </c>
      <c r="CM1297" s="134">
        <f t="shared" si="2302"/>
        <v>4.2910239280868852E-2</v>
      </c>
      <c r="CN1297" s="135">
        <f t="shared" si="2303"/>
        <v>1.4725265703331755E-2</v>
      </c>
      <c r="CO1297" s="135">
        <f t="shared" si="2314"/>
        <v>1.4497028495541043E-2</v>
      </c>
      <c r="CP1297" s="134">
        <f>VLOOKUP($H1297,RoR!$E:$F,2,FALSE)</f>
        <v>3.7433333333333339E-2</v>
      </c>
      <c r="CQ1297" s="135">
        <v>1.9056896421275615E-2</v>
      </c>
      <c r="CR1297" s="135">
        <f t="shared" si="2310"/>
        <v>1.8376436912057724E-2</v>
      </c>
      <c r="CS1297" s="135">
        <f t="shared" si="2315"/>
        <v>1.6404913112992581E-2</v>
      </c>
      <c r="CT1297" s="135">
        <v>1.3976271617800498E-2</v>
      </c>
      <c r="CU1297" s="139">
        <f t="shared" si="2304"/>
        <v>0.90330050000000006</v>
      </c>
      <c r="CV1297" s="335">
        <f t="shared" si="2305"/>
        <v>1.3699568463593395</v>
      </c>
      <c r="CW1297" s="335">
        <f t="shared" si="2306"/>
        <v>0.30714603739982199</v>
      </c>
      <c r="CX1297" s="335">
        <f t="shared" si="2307"/>
        <v>0.77007188472689425</v>
      </c>
      <c r="CY1297" s="335">
        <f t="shared" si="2308"/>
        <v>0.32402839633793828</v>
      </c>
      <c r="CZ1297" s="336">
        <f>INDEX('State Tax Lookup'!$D$7:$Z$91,MATCH(Calculation!$C1297,'State Tax Lookup'!$B$7:$B$91,0),MATCH($H1297,'State Tax Lookup'!$D$6:$Z$6,0))</f>
        <v>0.26134999999999997</v>
      </c>
      <c r="DA1297" s="302">
        <v>0.37</v>
      </c>
      <c r="DB1297" s="57">
        <f t="shared" si="2313"/>
        <v>14.275428646363917</v>
      </c>
      <c r="DC1297" s="56">
        <f t="shared" si="2316"/>
        <v>-0.10462943551650628</v>
      </c>
      <c r="DD1297" s="303">
        <f>VLOOKUP($H1297,RoR!$E:$F,2,FALSE)</f>
        <v>3.7433333333333339E-2</v>
      </c>
      <c r="DE1297" s="304">
        <f>HLOOKUP($H1297,'GDP-PI'!$D$8:$CQ$11,3,FALSE)</f>
        <v>1.9056896421275615E-2</v>
      </c>
      <c r="DF1297" s="303">
        <f>VLOOKUP(H1297,'HW Dx Data'!$E:$F,2,FALSE)</f>
        <v>712.42858370229726</v>
      </c>
      <c r="DG1297" s="364">
        <f ca="1">VLOOKUP(CC1297,'ECI - Input Price'!M$13:N$33,2,FALSE)</f>
        <v>140.44999999999999</v>
      </c>
      <c r="DH1297" s="364"/>
      <c r="DI1297" s="364"/>
      <c r="DJ1297" s="56">
        <f t="shared" ca="1" si="2329"/>
        <v>2.5235657841165486E-2</v>
      </c>
      <c r="DK1297" s="53">
        <f>HLOOKUP(H1297,'GDP-PI'!$8:$9,2,FALSE)</f>
        <v>107.751</v>
      </c>
      <c r="DL1297" s="355">
        <f t="shared" si="2321"/>
        <v>1.8877588227745139E-2</v>
      </c>
    </row>
    <row r="1298" spans="1:116" s="126" customFormat="1" ht="21" customHeight="1" x14ac:dyDescent="0.4">
      <c r="A1298" s="233" t="s">
        <v>258</v>
      </c>
      <c r="B1298" s="126" t="s">
        <v>258</v>
      </c>
      <c r="C1298" s="126">
        <v>4008752</v>
      </c>
      <c r="D1298" s="127" t="s">
        <v>214</v>
      </c>
      <c r="E1298" s="127"/>
      <c r="F1298" s="144"/>
      <c r="G1298" s="126" t="s">
        <v>174</v>
      </c>
      <c r="H1298" s="128">
        <v>2018</v>
      </c>
      <c r="I1298" s="129"/>
      <c r="J1298" s="125">
        <f>IFERROR(INDEX('Labor Expenditures'!$E$7:$W$91,MATCH($C1298,'Labor Expenditures'!$C$7:$C$91,0),MATCH($G1298,'Labor Expenditures'!$E$5:$W$5,0)),"NA")</f>
        <v>28997.248915172193</v>
      </c>
      <c r="K1298" s="125">
        <f t="shared" ca="1" si="2322"/>
        <v>200.74246393334852</v>
      </c>
      <c r="L1298" s="47"/>
      <c r="M1298" s="131">
        <f t="shared" ca="1" si="2330"/>
        <v>-6.3069355133827769E-3</v>
      </c>
      <c r="N1298" s="131"/>
      <c r="O1298" s="131"/>
      <c r="P1298" s="59">
        <f t="shared" ca="1" si="2332"/>
        <v>-7.4348697399143318E-5</v>
      </c>
      <c r="Q1298" s="61"/>
      <c r="R1298" s="387"/>
      <c r="S1298" s="49">
        <f t="shared" ca="1" si="2337"/>
        <v>118.47717163855005</v>
      </c>
      <c r="T1298" s="61">
        <f ca="1">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+P2623</f>
        <v>-0.3744862201539369</v>
      </c>
      <c r="U1298" s="61"/>
      <c r="V1298" s="125">
        <f>IFERROR(INDEX('Non-Labor Expenditures'!$E$7:$AA$91,MATCH($C1298,'Non-Labor Expenditures'!$C$7:$C$91,0),MATCH($G1298,'Non-Labor Expenditures'!$E$5:$AA$5,0)),"NA")</f>
        <v>41993.432368194786</v>
      </c>
      <c r="W1298" s="125">
        <f t="shared" si="2323"/>
        <v>380.64422661114543</v>
      </c>
      <c r="X1298" s="131">
        <f t="shared" si="2333"/>
        <v>-1.8054148678998243E-3</v>
      </c>
      <c r="Y1298" s="131">
        <f t="shared" si="2334"/>
        <v>-2.1282958008461203E-5</v>
      </c>
      <c r="Z1298" s="131"/>
      <c r="AA1298" s="131"/>
      <c r="AB1298" s="131"/>
      <c r="AC1298" s="125">
        <f t="shared" si="2298"/>
        <v>60190.046907403477</v>
      </c>
      <c r="AD1298" s="129"/>
      <c r="AE1298" s="133">
        <v>4509.9040523114427</v>
      </c>
      <c r="AF1298" s="134">
        <v>3.5736862918454557E-2</v>
      </c>
      <c r="AG1298" s="59">
        <f t="shared" si="2324"/>
        <v>4.2128054131534092E-4</v>
      </c>
      <c r="AH1298" s="134"/>
      <c r="AI1298" s="134"/>
      <c r="AJ1298" s="129">
        <f t="shared" si="2252"/>
        <v>131180.72819077046</v>
      </c>
      <c r="AK1298" s="134">
        <f t="shared" si="2335"/>
        <v>5.0843106917524881E-2</v>
      </c>
      <c r="AL1298" s="129"/>
      <c r="AM1298" s="129"/>
      <c r="AN1298" s="129"/>
      <c r="AO1298" s="129"/>
      <c r="AP1298" s="133">
        <f t="shared" si="2336"/>
        <v>207.30400128757614</v>
      </c>
      <c r="AQ1298" s="134">
        <f>+BB1298/Outputs!$B$26</f>
        <v>1.6940136822349284E-2</v>
      </c>
      <c r="AR1298" s="93">
        <f t="shared" si="2325"/>
        <v>0.22104808621738056</v>
      </c>
      <c r="AS1298" s="93">
        <f t="shared" si="2326"/>
        <v>0.32011891493029032</v>
      </c>
      <c r="AT1298" s="93">
        <f t="shared" si="2327"/>
        <v>0.45883299885232909</v>
      </c>
      <c r="AU1298" s="93">
        <f t="shared" ca="1" si="2331"/>
        <v>1.4110876727345508E-2</v>
      </c>
      <c r="AV1298" s="132">
        <f t="shared" ca="1" si="2341"/>
        <v>95.050229417813469</v>
      </c>
      <c r="AW1298" s="134">
        <f t="shared" ca="1" si="2342"/>
        <v>1.4110876727345482E-2</v>
      </c>
      <c r="AX1298" s="135">
        <f>+AJ1298/$AL$23</f>
        <v>1.1788402979764381E-2</v>
      </c>
      <c r="AY1298" s="135">
        <f t="shared" ca="1" si="2338"/>
        <v>1.6634470125972733E-4</v>
      </c>
      <c r="AZ1298" s="93"/>
      <c r="BA1298" s="93"/>
      <c r="BB1298" s="234">
        <f>IFERROR(INDEX('Total Customers'!$E$7:$AA$91,MATCH($C1298,'Total Customers'!$C$7:$C$91,0),MATCH($G1298,'Total Customers'!$E$5:$AA$5,0)),"NA")</f>
        <v>632794</v>
      </c>
      <c r="BC1298" s="269">
        <f t="shared" si="2328"/>
        <v>9.8844348015583207E-3</v>
      </c>
      <c r="BD1298" s="92"/>
      <c r="BE1298" s="299" t="str">
        <f t="shared" si="2317"/>
        <v>WISCONSIN GAS LLC</v>
      </c>
      <c r="BF1298" s="300">
        <f t="shared" si="2318"/>
        <v>4008752</v>
      </c>
      <c r="BG1298" s="231" t="str">
        <f t="shared" si="2319"/>
        <v>WI</v>
      </c>
      <c r="BH1298" s="231"/>
      <c r="BI1298" s="231" t="str">
        <f t="shared" si="2320"/>
        <v>2018 Y</v>
      </c>
      <c r="BJ1298" s="129"/>
      <c r="BK1298" s="129"/>
      <c r="BL1298" s="129">
        <f>INDEX('Dist. Plant Gas Additions'!$E$7:$AD$91,MATCH($C1298,'Dist. Plant Gas Additions'!$C$7:$C$91,0),MATCH(Calculation!$G1298,'Dist. Plant Gas Additions'!$E$5:$AD$5,0))</f>
        <v>134043</v>
      </c>
      <c r="BM1298" s="129">
        <f>INDEX('Gen. Plant Additions'!$E$7:$AD$91,MATCH($C1298,'Gen. Plant Additions'!$C$7:$C$91,0),MATCH(Calculation!$G1298,'Gen. Plant Additions'!$E$5:$AD$5,0))</f>
        <v>12771</v>
      </c>
      <c r="BN1298" s="301">
        <f t="shared" si="2299"/>
        <v>0.94815996555956195</v>
      </c>
      <c r="BO1298" s="231">
        <f t="shared" si="2339"/>
        <v>12108.950920161165</v>
      </c>
      <c r="BP1298" s="231">
        <f t="shared" si="2340"/>
        <v>-662.04907983883459</v>
      </c>
      <c r="BQ1298" s="129">
        <f>INDEX('Dist Plant Depreciation'!$D$7:$AC$94,MATCH($C1298,'Dist Plant Depreciation'!$C$7:$C$94,0),MATCH(Calculation!$G1298,'Dist Plant Depreciation'!$D$5:$AC$5,0))</f>
        <v>827324</v>
      </c>
      <c r="BR1298" s="129">
        <f>INDEX('Gen. Plant Depreciation'!$D$7:$AC$94,MATCH($C1298,'Gen. Plant Depreciation'!$C$7:$C$94,0),MATCH(Calculation!$G1298,'Gen. Plant Depreciation'!$D$5:$AC$5,0))</f>
        <v>51133</v>
      </c>
      <c r="BS1298" s="129"/>
      <c r="BT1298" s="129"/>
      <c r="BU1298" s="129"/>
      <c r="BV1298" s="129"/>
      <c r="BW1298" s="129"/>
      <c r="BX1298" s="137"/>
      <c r="BY1298" s="129">
        <f>INDEX('Gross Dx Plant'!$D$7:$AC$91,MATCH($C1298,'Gross Dx Plant'!$C$7:$C$91,0),MATCH(Calculation!$G1298,'Gross Dx Plant'!$D$5:$AC$5,0))</f>
        <v>2140766</v>
      </c>
      <c r="BZ1298" s="129">
        <f>INDEX('Gross Gen Plant'!$D$7:$AC$91,MATCH($C1298,'Gross Gen Plant'!$C$7:$C$91,0),MATCH(Calculation!$G1298,'Gross Gen Plant'!$D$5:$AC$5,0))</f>
        <v>117045</v>
      </c>
      <c r="CA1298" s="129">
        <f t="shared" si="2294"/>
        <v>1379354</v>
      </c>
      <c r="CB1298" s="129"/>
      <c r="CC1298" s="133">
        <v>2018</v>
      </c>
      <c r="CD1298" s="129"/>
      <c r="CE1298" s="129"/>
      <c r="CF1298" s="129"/>
      <c r="CG1298" s="137"/>
      <c r="CH1298" s="129">
        <f t="shared" si="2300"/>
        <v>146814</v>
      </c>
      <c r="CI1298" s="46">
        <f t="shared" si="2309"/>
        <v>146151.95092016115</v>
      </c>
      <c r="CJ1298" s="231">
        <f t="shared" si="2301"/>
        <v>193.54369631936331</v>
      </c>
      <c r="CK1298" s="443">
        <v>0.75609756097560976</v>
      </c>
      <c r="CL1298" s="231">
        <f>+CL1278*CK1298++CJ1279*CK1297+CJ1280*CK1296+CJ1281*CK1295+CJ1282*CK1294+CJ1283*CK1293+CJ1284*CK1292+CJ1285*CK1291+CJ1286*CK1290+CJ1287*CK1289+CJ1288*CK1288+CJ1289*CK1287+CJ1290*CK1286+CJ1291*CK1285+CJ1292*CK1284+CJ1293*CK1283+CJ1294*CK1282+CJ1295*CK1281+CJ1296*CK1280+CJ1297*CK1279+CJ1298</f>
        <v>4170.5446264700904</v>
      </c>
      <c r="CM1298" s="134">
        <f t="shared" si="2302"/>
        <v>3.2419147506716192E-2</v>
      </c>
      <c r="CN1298" s="135">
        <f t="shared" si="2303"/>
        <v>1.4986059911307385E-2</v>
      </c>
      <c r="CO1298" s="135">
        <f t="shared" si="2314"/>
        <v>1.4707964192070716E-2</v>
      </c>
      <c r="CP1298" s="134">
        <f>VLOOKUP($H1298,RoR!$E:$F,2,FALSE)</f>
        <v>3.9299999999999995E-2</v>
      </c>
      <c r="CQ1298" s="135">
        <v>2.386056741932796E-2</v>
      </c>
      <c r="CR1298" s="135">
        <f t="shared" si="2310"/>
        <v>1.5439432580672034E-2</v>
      </c>
      <c r="CS1298" s="135">
        <f t="shared" si="2315"/>
        <v>1.6193977416462911E-2</v>
      </c>
      <c r="CT1298" s="135">
        <v>3.8270792163076606E-2</v>
      </c>
      <c r="CU1298" s="139">
        <f t="shared" si="2304"/>
        <v>0.90330050000000006</v>
      </c>
      <c r="CV1298" s="335">
        <f t="shared" si="2305"/>
        <v>1.3048868010700074</v>
      </c>
      <c r="CW1298" s="335">
        <f t="shared" si="2306"/>
        <v>0.33886768447837151</v>
      </c>
      <c r="CX1298" s="335">
        <f t="shared" si="2307"/>
        <v>0.78602506232557801</v>
      </c>
      <c r="CY1298" s="335">
        <f t="shared" si="2308"/>
        <v>0.34756768162358759</v>
      </c>
      <c r="CZ1298" s="336">
        <f>INDEX('State Tax Lookup'!$D$7:$Z$91,MATCH(Calculation!$C1298,'State Tax Lookup'!$B$7:$B$91,0),MATCH($H1298,'State Tax Lookup'!$D$6:$Z$6,0))</f>
        <v>0.26134999999999997</v>
      </c>
      <c r="DA1298" s="302">
        <v>0.37</v>
      </c>
      <c r="DB1298" s="57">
        <f t="shared" si="2313"/>
        <v>14.907724765389414</v>
      </c>
      <c r="DC1298" s="56">
        <f t="shared" si="2316"/>
        <v>4.3339736380114346E-2</v>
      </c>
      <c r="DD1298" s="303">
        <f>VLOOKUP($H1298,RoR!$E:$F,2,FALSE)</f>
        <v>3.9299999999999995E-2</v>
      </c>
      <c r="DE1298" s="304">
        <f>HLOOKUP($H1298,'GDP-PI'!$D$8:$CQ$11,3,FALSE)</f>
        <v>2.386056741932796E-2</v>
      </c>
      <c r="DF1298" s="303">
        <f>VLOOKUP(H1298,'HW Dx Data'!$E:$F,2,FALSE)</f>
        <v>755.13671434174842</v>
      </c>
      <c r="DG1298" s="364">
        <f ca="1">VLOOKUP(CC1298,'ECI - Input Price'!M$13:N$33,2,FALSE)</f>
        <v>144.44999999999999</v>
      </c>
      <c r="DH1298" s="364"/>
      <c r="DI1298" s="364"/>
      <c r="DJ1298" s="56">
        <f t="shared" ca="1" si="2329"/>
        <v>2.80818733619915E-2</v>
      </c>
      <c r="DK1298" s="53">
        <f>HLOOKUP(H1298,'GDP-PI'!$8:$9,2,FALSE)</f>
        <v>110.322</v>
      </c>
      <c r="DL1298" s="355">
        <f t="shared" si="2321"/>
        <v>2.3580352716508712E-2</v>
      </c>
    </row>
    <row r="1299" spans="1:116" s="126" customFormat="1" ht="21" customHeight="1" x14ac:dyDescent="0.4">
      <c r="A1299" s="233" t="s">
        <v>258</v>
      </c>
      <c r="B1299" s="126" t="s">
        <v>258</v>
      </c>
      <c r="C1299" s="126">
        <v>4008752</v>
      </c>
      <c r="D1299" s="127" t="s">
        <v>214</v>
      </c>
      <c r="E1299" s="127"/>
      <c r="F1299" s="144"/>
      <c r="G1299" s="126" t="s">
        <v>175</v>
      </c>
      <c r="H1299" s="128">
        <v>2019</v>
      </c>
      <c r="I1299" s="129"/>
      <c r="J1299" s="125">
        <f>IFERROR(INDEX('Labor Expenditures'!$E$7:$W$91,MATCH($C1299,'Labor Expenditures'!$C$7:$C$91,0),MATCH($G1299,'Labor Expenditures'!$E$5:$W$5,0)),"NA")</f>
        <v>32398.991040669644</v>
      </c>
      <c r="K1299" s="125">
        <f t="shared" ca="1" si="2322"/>
        <v>216.46227520073253</v>
      </c>
      <c r="L1299" s="47"/>
      <c r="M1299" s="131">
        <f t="shared" ca="1" si="2330"/>
        <v>7.5393471201713566E-2</v>
      </c>
      <c r="N1299" s="131"/>
      <c r="O1299" s="131"/>
      <c r="P1299" s="59">
        <f t="shared" ca="1" si="2332"/>
        <v>9.3828714340408483E-4</v>
      </c>
      <c r="Q1299" s="61"/>
      <c r="R1299" s="387"/>
      <c r="S1299" s="49">
        <f t="shared" ca="1" si="2337"/>
        <v>117.54227933475671</v>
      </c>
      <c r="T1299" s="61">
        <f ca="1">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+P2624</f>
        <v>-7.922204627821337E-3</v>
      </c>
      <c r="U1299" s="61"/>
      <c r="V1299" s="125">
        <f>IFERROR(INDEX('Non-Labor Expenditures'!$E$7:$AA$91,MATCH($C1299,'Non-Labor Expenditures'!$C$7:$C$91,0),MATCH($G1299,'Non-Labor Expenditures'!$E$5:$AA$5,0)),"NA")</f>
        <v>46919.790323703215</v>
      </c>
      <c r="W1299" s="125">
        <f t="shared" si="2323"/>
        <v>417.74061436014898</v>
      </c>
      <c r="X1299" s="131">
        <f t="shared" si="2333"/>
        <v>9.2995549649483464E-2</v>
      </c>
      <c r="Y1299" s="131">
        <f t="shared" si="2334"/>
        <v>1.1573486037863101E-3</v>
      </c>
      <c r="Z1299" s="131"/>
      <c r="AA1299" s="131"/>
      <c r="AB1299" s="131"/>
      <c r="AC1299" s="125">
        <f t="shared" si="2298"/>
        <v>62470.8334339309</v>
      </c>
      <c r="AD1299" s="129"/>
      <c r="AE1299" s="133">
        <v>4690.6845415827329</v>
      </c>
      <c r="AF1299" s="134">
        <v>3.9302650644716275E-2</v>
      </c>
      <c r="AG1299" s="59">
        <f t="shared" si="2324"/>
        <v>4.8912951232840164E-4</v>
      </c>
      <c r="AH1299" s="134"/>
      <c r="AI1299" s="134"/>
      <c r="AJ1299" s="129">
        <f t="shared" si="2252"/>
        <v>141789.61479830375</v>
      </c>
      <c r="AK1299" s="134">
        <f t="shared" si="2335"/>
        <v>7.7768396109196683E-2</v>
      </c>
      <c r="AL1299" s="129"/>
      <c r="AM1299" s="129"/>
      <c r="AN1299" s="129"/>
      <c r="AO1299" s="129"/>
      <c r="AP1299" s="133">
        <f t="shared" si="2336"/>
        <v>221.97704732982405</v>
      </c>
      <c r="AQ1299" s="134">
        <f>+BB1299/Outputs!$B$27</f>
        <v>1.6958770247953895E-2</v>
      </c>
      <c r="AR1299" s="93">
        <f t="shared" si="2325"/>
        <v>0.22850045179089687</v>
      </c>
      <c r="AS1299" s="93">
        <f t="shared" si="2326"/>
        <v>0.33091133219063179</v>
      </c>
      <c r="AT1299" s="93">
        <f t="shared" si="2327"/>
        <v>0.44058821601847137</v>
      </c>
      <c r="AU1299" s="93">
        <f t="shared" ca="1" si="2331"/>
        <v>6.4892789107031029E-2</v>
      </c>
      <c r="AV1299" s="132">
        <f t="shared" ca="1" si="2341"/>
        <v>101.42283587729889</v>
      </c>
      <c r="AW1299" s="134">
        <f t="shared" ca="1" si="2342"/>
        <v>6.4892789107031099E-2</v>
      </c>
      <c r="AX1299" s="135">
        <f>+AJ1299/$AL$24</f>
        <v>1.2445204186098797E-2</v>
      </c>
      <c r="AY1299" s="135">
        <f t="shared" ca="1" si="2338"/>
        <v>8.0760401064244988E-4</v>
      </c>
      <c r="AZ1299" s="93"/>
      <c r="BA1299" s="93"/>
      <c r="BB1299" s="234">
        <f>IFERROR(INDEX('Total Customers'!$E$7:$AA$91,MATCH($C1299,'Total Customers'!$C$7:$C$91,0),MATCH($G1299,'Total Customers'!$E$5:$AA$5,0)),"NA")</f>
        <v>638758</v>
      </c>
      <c r="BC1299" s="269">
        <f t="shared" si="2328"/>
        <v>9.3807311616041431E-3</v>
      </c>
      <c r="BD1299" s="92"/>
      <c r="BE1299" s="299" t="str">
        <f t="shared" si="2317"/>
        <v>WISCONSIN GAS LLC</v>
      </c>
      <c r="BF1299" s="300">
        <f t="shared" si="2318"/>
        <v>4008752</v>
      </c>
      <c r="BG1299" s="231" t="str">
        <f t="shared" si="2319"/>
        <v>WI</v>
      </c>
      <c r="BH1299" s="231"/>
      <c r="BI1299" s="231" t="str">
        <f t="shared" si="2320"/>
        <v>2019 Y</v>
      </c>
      <c r="BJ1299" s="129"/>
      <c r="BK1299" s="129"/>
      <c r="BL1299" s="129">
        <f>INDEX('Dist. Plant Gas Additions'!$E$7:$AD$91,MATCH($C1299,'Dist. Plant Gas Additions'!$C$7:$C$91,0),MATCH(Calculation!$G1299,'Dist. Plant Gas Additions'!$E$5:$AD$5,0))</f>
        <v>156761</v>
      </c>
      <c r="BM1299" s="129">
        <f>INDEX('Gen. Plant Additions'!$E$7:$AD$91,MATCH($C1299,'Gen. Plant Additions'!$C$7:$C$91,0),MATCH(Calculation!$G1299,'Gen. Plant Additions'!$E$5:$AD$5,0))</f>
        <v>12830</v>
      </c>
      <c r="BN1299" s="301">
        <f t="shared" si="2299"/>
        <v>0.95318790777637874</v>
      </c>
      <c r="BO1299" s="231">
        <f t="shared" si="2339"/>
        <v>12229.400856770939</v>
      </c>
      <c r="BP1299" s="231">
        <f t="shared" si="2340"/>
        <v>-600.59914322906116</v>
      </c>
      <c r="BQ1299" s="129">
        <f>INDEX('Dist Plant Depreciation'!$D$7:$AC$94,MATCH($C1299,'Dist Plant Depreciation'!$C$7:$C$94,0),MATCH(Calculation!$G1299,'Dist Plant Depreciation'!$D$5:$AC$5,0))</f>
        <v>855980</v>
      </c>
      <c r="BR1299" s="129">
        <f>INDEX('Gen. Plant Depreciation'!$D$7:$AC$94,MATCH($C1299,'Gen. Plant Depreciation'!$C$7:$C$94,0),MATCH(Calculation!$G1299,'Gen. Plant Depreciation'!$D$5:$AC$5,0))</f>
        <v>43290</v>
      </c>
      <c r="BS1299" s="129"/>
      <c r="BT1299" s="129"/>
      <c r="BU1299" s="129"/>
      <c r="BV1299" s="129"/>
      <c r="BW1299" s="129"/>
      <c r="BX1299" s="137"/>
      <c r="BY1299" s="129">
        <f>INDEX('Gross Dx Plant'!$D$7:$AC$91,MATCH($C1299,'Gross Dx Plant'!$C$7:$C$91,0),MATCH(Calculation!$G1299,'Gross Dx Plant'!$D$5:$AC$5,0))</f>
        <v>2285370</v>
      </c>
      <c r="BZ1299" s="129">
        <f>INDEX('Gross Gen Plant'!$D$7:$AC$91,MATCH($C1299,'Gross Gen Plant'!$C$7:$C$91,0),MATCH(Calculation!$G1299,'Gross Gen Plant'!$D$5:$AC$5,0))</f>
        <v>112237</v>
      </c>
      <c r="CA1299" s="129">
        <f t="shared" si="2294"/>
        <v>1498337</v>
      </c>
      <c r="CB1299" s="129"/>
      <c r="CC1299" s="133">
        <v>2019</v>
      </c>
      <c r="CD1299" s="129"/>
      <c r="CE1299" s="129"/>
      <c r="CF1299" s="129"/>
      <c r="CG1299" s="137"/>
      <c r="CH1299" s="129">
        <f t="shared" si="2300"/>
        <v>169591</v>
      </c>
      <c r="CI1299" s="46">
        <f t="shared" si="2309"/>
        <v>168990.40085677092</v>
      </c>
      <c r="CJ1299" s="231">
        <f t="shared" si="2301"/>
        <v>218.46388581283512</v>
      </c>
      <c r="CK1299" s="443">
        <v>0.7407407407407407</v>
      </c>
      <c r="CL1299" s="231">
        <f>CL1278*CK1299+CJ1279*CK1298+CJ1280*CK1297+CJ1281*CK1296+CJ1282*CK1295+CJ1283*CK1294+CJ1284*CK1293+CJ1285*CK1292+CJ1286*CK1291+CJ1287*CK1290+CJ1288*CK1289+CJ1289*CK1288+CJ1290*CK1287+CJ1291*CK1286+CJ1292*CK1285+CJ1293*CK1284+CJ1294*CK1283+CJ1295*CK1282+CJ1296*CK1281+CJ1297*CK1280+CJ1298*CK1279+CJ1299</f>
        <v>4325.1881299393717</v>
      </c>
      <c r="CM1299" s="134">
        <f t="shared" si="2302"/>
        <v>3.6409004539065551E-2</v>
      </c>
      <c r="CN1299" s="135">
        <f t="shared" si="2303"/>
        <v>1.5302649428204482E-2</v>
      </c>
      <c r="CO1299" s="135">
        <f t="shared" si="2314"/>
        <v>1.500465834761454E-2</v>
      </c>
      <c r="CP1299" s="134">
        <f>VLOOKUP($H1299,RoR!$E:$F,2,FALSE)</f>
        <v>3.3875000000000009E-2</v>
      </c>
      <c r="CQ1299" s="135">
        <v>1.8092492884465461E-2</v>
      </c>
      <c r="CR1299" s="135">
        <f t="shared" si="2310"/>
        <v>1.5782507115534548E-2</v>
      </c>
      <c r="CS1299" s="135">
        <f t="shared" si="2315"/>
        <v>1.5897283260919083E-2</v>
      </c>
      <c r="CT1299" s="135">
        <v>4.8445665544254078E-2</v>
      </c>
      <c r="CU1299" s="139">
        <f t="shared" si="2304"/>
        <v>0.90330050000000006</v>
      </c>
      <c r="CV1299" s="335">
        <f t="shared" si="2305"/>
        <v>1.513861292459078</v>
      </c>
      <c r="CW1299" s="335">
        <f t="shared" si="2306"/>
        <v>0.23699261992619944</v>
      </c>
      <c r="CX1299" s="335">
        <f t="shared" si="2307"/>
        <v>0.73619765810468829</v>
      </c>
      <c r="CY1299" s="335">
        <f t="shared" si="2308"/>
        <v>0.26412854465362851</v>
      </c>
      <c r="CZ1299" s="336">
        <f>INDEX('State Tax Lookup'!$D$7:$Z$91,MATCH(Calculation!$C1299,'State Tax Lookup'!$B$7:$B$91,0),MATCH($H1299,'State Tax Lookup'!$D$6:$Z$6,0))</f>
        <v>0.26134999999999997</v>
      </c>
      <c r="DA1299" s="302">
        <v>0.37</v>
      </c>
      <c r="DB1299" s="57">
        <f t="shared" si="2313"/>
        <v>14.97905885898783</v>
      </c>
      <c r="DC1299" s="56">
        <f t="shared" si="2316"/>
        <v>4.7736303749281788E-3</v>
      </c>
      <c r="DD1299" s="303">
        <f>VLOOKUP($H1299,RoR!$E:$F,2,FALSE)</f>
        <v>3.3875000000000009E-2</v>
      </c>
      <c r="DE1299" s="304">
        <f>HLOOKUP($H1299,'GDP-PI'!$D$8:$CQ$11,3,FALSE)</f>
        <v>1.8092492884465461E-2</v>
      </c>
      <c r="DF1299" s="303">
        <f>VLOOKUP(H1299,'HW Dx Data'!$E:$F,2,FALSE)</f>
        <v>773.53929793938721</v>
      </c>
      <c r="DG1299" s="364">
        <f ca="1">VLOOKUP(CC1299,'ECI - Input Price'!M$13:N$33,2,FALSE)</f>
        <v>149.67500000000001</v>
      </c>
      <c r="DH1299" s="364"/>
      <c r="DI1299" s="364"/>
      <c r="DJ1299" s="56">
        <f t="shared" ca="1" si="2329"/>
        <v>3.5532849899171604E-2</v>
      </c>
      <c r="DK1299" s="53">
        <f>HLOOKUP(H1299,'GDP-PI'!$8:$9,2,FALSE)</f>
        <v>112.318</v>
      </c>
      <c r="DL1299" s="355">
        <f t="shared" si="2321"/>
        <v>1.7930771451401852E-2</v>
      </c>
    </row>
    <row r="1300" spans="1:116" s="126" customFormat="1" ht="21" customHeight="1" x14ac:dyDescent="0.4">
      <c r="A1300" s="233" t="s">
        <v>258</v>
      </c>
      <c r="B1300" s="126" t="s">
        <v>258</v>
      </c>
      <c r="C1300" s="126">
        <v>4008752</v>
      </c>
      <c r="D1300" s="126" t="s">
        <v>214</v>
      </c>
      <c r="G1300" s="127" t="s">
        <v>176</v>
      </c>
      <c r="H1300" s="128">
        <v>2020</v>
      </c>
      <c r="I1300" s="129"/>
      <c r="J1300" s="125">
        <v>31117.178481389019</v>
      </c>
      <c r="K1300" s="125">
        <f t="shared" ca="1" si="2322"/>
        <v>203.18105440018948</v>
      </c>
      <c r="L1300" s="47"/>
      <c r="M1300" s="131">
        <f t="shared" ca="1" si="2330"/>
        <v>-6.331880862602958E-2</v>
      </c>
      <c r="N1300" s="131"/>
      <c r="O1300" s="131"/>
      <c r="P1300" s="59">
        <f t="shared" ca="1" si="2332"/>
        <v>-7.8074139974002791E-4</v>
      </c>
      <c r="Q1300" s="61"/>
      <c r="R1300" s="387"/>
      <c r="S1300" s="49">
        <f t="shared" ca="1" si="2337"/>
        <v>117.3898181648504</v>
      </c>
      <c r="T1300" s="61">
        <f ca="1">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+P2625</f>
        <v>-1.297917082696002E-3</v>
      </c>
      <c r="U1300" s="61"/>
      <c r="V1300" s="125">
        <f>IFERROR(INDEX('Non-Labor Expenditures'!$E$7:$AA$91,MATCH($C1300,'Non-Labor Expenditures'!$C$7:$C$91,0),MATCH($G1300,'Non-Labor Expenditures'!$E$5:$AA$5,0)),"NA")</f>
        <v>45063.486328302832</v>
      </c>
      <c r="W1300" s="125">
        <f t="shared" si="2323"/>
        <v>396.60532047475272</v>
      </c>
      <c r="X1300" s="131">
        <f t="shared" si="2333"/>
        <v>-5.1919068890053946E-2</v>
      </c>
      <c r="Y1300" s="131">
        <f t="shared" si="2334"/>
        <v>-6.4017891994506146E-4</v>
      </c>
      <c r="Z1300" s="131"/>
      <c r="AA1300" s="131"/>
      <c r="AB1300" s="131"/>
      <c r="AC1300" s="125">
        <f t="shared" si="2298"/>
        <v>66876.929236483324</v>
      </c>
      <c r="AD1300" s="129"/>
      <c r="AE1300" s="133">
        <v>4840.3439889135025</v>
      </c>
      <c r="AF1300" s="134">
        <v>3.1407260791658981E-2</v>
      </c>
      <c r="AG1300" s="59">
        <f t="shared" si="2324"/>
        <v>3.8726168866038443E-4</v>
      </c>
      <c r="AH1300" s="134"/>
      <c r="AI1300" s="134"/>
      <c r="AJ1300" s="129">
        <f t="shared" si="2252"/>
        <v>143057.59404617519</v>
      </c>
      <c r="AK1300" s="134">
        <f t="shared" si="2335"/>
        <v>8.9029317032016768E-3</v>
      </c>
      <c r="AL1300" s="129"/>
      <c r="AM1300" s="129"/>
      <c r="AN1300" s="129"/>
      <c r="AO1300" s="129"/>
      <c r="AP1300" s="133">
        <f t="shared" si="2336"/>
        <v>222.09153014753855</v>
      </c>
      <c r="AQ1300" s="134">
        <f>+BB1300/Outputs!$B$28</f>
        <v>1.6980842937734494E-2</v>
      </c>
      <c r="AR1300" s="93">
        <f t="shared" si="2325"/>
        <v>0.21751504132905536</v>
      </c>
      <c r="AS1300" s="93">
        <f t="shared" si="2326"/>
        <v>0.31500240605023411</v>
      </c>
      <c r="AT1300" s="93">
        <f t="shared" si="2327"/>
        <v>0.46748255262071042</v>
      </c>
      <c r="AU1300" s="93">
        <f t="shared" ca="1" si="2331"/>
        <v>-1.6628197038966626E-2</v>
      </c>
      <c r="AV1300" s="132">
        <f t="shared" ca="1" si="2341"/>
        <v>99.750301134096148</v>
      </c>
      <c r="AW1300" s="134">
        <f t="shared" ca="1" si="2342"/>
        <v>-1.6628197038966609E-2</v>
      </c>
      <c r="AX1300" s="135">
        <f>+AJ1300/$AL$25</f>
        <v>1.2330323590754909E-2</v>
      </c>
      <c r="AY1300" s="135">
        <f t="shared" ca="1" si="2338"/>
        <v>-2.0503105022129091E-4</v>
      </c>
      <c r="AZ1300" s="93"/>
      <c r="BA1300" s="93"/>
      <c r="BB1300" s="234">
        <f>IFERROR(INDEX('Total Customers'!$E$7:$AA$91,MATCH($C1300,'Total Customers'!$C$7:$C$91,0),MATCH($G1300,'Total Customers'!$E$5:$AA$5,0)),"NA")</f>
        <v>644138</v>
      </c>
      <c r="BC1300" s="269">
        <f t="shared" si="2328"/>
        <v>8.3873229614116682E-3</v>
      </c>
      <c r="BD1300" s="92"/>
      <c r="BE1300" s="299" t="str">
        <f t="shared" si="2317"/>
        <v>WISCONSIN GAS LLC</v>
      </c>
      <c r="BF1300" s="300">
        <f t="shared" si="2318"/>
        <v>4008752</v>
      </c>
      <c r="BG1300" s="231" t="str">
        <f t="shared" si="2319"/>
        <v>WI</v>
      </c>
      <c r="BH1300" s="231"/>
      <c r="BI1300" s="231" t="str">
        <f t="shared" si="2320"/>
        <v>2020 Y</v>
      </c>
      <c r="BJ1300" s="129"/>
      <c r="BK1300" s="129"/>
      <c r="BL1300" s="129">
        <f>INDEX('Dist. Plant Gas Additions'!$E$7:$AD$91,MATCH($C1300,'Dist. Plant Gas Additions'!$C$7:$C$91,0),MATCH(Calculation!$G1300,'Dist. Plant Gas Additions'!$E$5:$AD$5,0))</f>
        <v>136913</v>
      </c>
      <c r="BM1300" s="129">
        <f>INDEX('Gen. Plant Additions'!$E$7:$AD$91,MATCH($C1300,'Gen. Plant Additions'!$C$7:$C$91,0),MATCH(Calculation!$G1300,'Gen. Plant Additions'!$E$5:$AD$5,0))</f>
        <v>18157</v>
      </c>
      <c r="BN1300" s="301">
        <f t="shared" si="2299"/>
        <v>0.9505916743919407</v>
      </c>
      <c r="BO1300" s="231">
        <f t="shared" si="2339"/>
        <v>17259.893031934469</v>
      </c>
      <c r="BP1300" s="231">
        <f t="shared" si="2340"/>
        <v>-897.10696806553096</v>
      </c>
      <c r="BQ1300" s="129">
        <f>INDEX('Dist Plant Depreciation'!$D$7:$AC$94,MATCH($C1300,'Dist Plant Depreciation'!$C$7:$C$94,0),MATCH(Calculation!$G1300,'Dist Plant Depreciation'!$D$5:$AC$5,0))</f>
        <v>884905</v>
      </c>
      <c r="BR1300" s="129">
        <f>INDEX('Gen. Plant Depreciation'!$D$7:$AC$94,MATCH($C1300,'Gen. Plant Depreciation'!$C$7:$C$94,0),MATCH(Calculation!$G1300,'Gen. Plant Depreciation'!$D$5:$AC$5,0))</f>
        <v>48867</v>
      </c>
      <c r="BS1300" s="129"/>
      <c r="BT1300" s="129"/>
      <c r="BU1300" s="129"/>
      <c r="BV1300" s="129"/>
      <c r="BW1300" s="129"/>
      <c r="BX1300" s="137"/>
      <c r="BY1300" s="129">
        <f>INDEX('Gross Dx Plant'!$D$7:$AC$91,MATCH($C1300,'Gross Dx Plant'!$C$7:$C$91,0),MATCH(Calculation!$G1300,'Gross Dx Plant'!$D$5:$AC$5,0))</f>
        <v>2407670</v>
      </c>
      <c r="BZ1300" s="129">
        <f>INDEX('Gross Gen Plant'!$D$7:$AC$91,MATCH($C1300,'Gross Gen Plant'!$C$7:$C$91,0),MATCH(Calculation!$G1300,'Gross Gen Plant'!$D$5:$AC$5,0))</f>
        <v>125142</v>
      </c>
      <c r="CA1300" s="129">
        <f t="shared" si="2294"/>
        <v>1599040</v>
      </c>
      <c r="CB1300" s="129"/>
      <c r="CC1300" s="133">
        <v>2020</v>
      </c>
      <c r="CD1300" s="129"/>
      <c r="CE1300" s="129"/>
      <c r="CF1300" s="129"/>
      <c r="CG1300" s="137"/>
      <c r="CH1300" s="129">
        <f t="shared" si="2300"/>
        <v>155070</v>
      </c>
      <c r="CI1300" s="46">
        <f t="shared" si="2309"/>
        <v>154172.89303193448</v>
      </c>
      <c r="CJ1300" s="231">
        <f t="shared" si="2301"/>
        <v>189.61585849751978</v>
      </c>
      <c r="CK1300" s="443">
        <v>0.72499999999999998</v>
      </c>
      <c r="CL1300" s="231">
        <f>CL1278*CK1300+CJ1279*CK1299+CJ1280*CK1298+CJ1281*CK1297+CJ1282*CK1296+CJ1283*CK1295+CJ1284*CK1294+CJ1285*CK1293+CJ1286*CK1292+CJ1287*CK1291+CJ1288*CK1290+CJ1289*CK1289+CJ1290*CK1288+CJ1291*CK1287+CJ1292*CK1286+CJ1293*CK1285+CJ1294*CK1284+CJ1295*CK1283+CJ1296*CK1282+CJ1297*CK1281+CJ1298*CK1280+CJ1299*CK1279+CJ1300</f>
        <v>4447.3352007560297</v>
      </c>
      <c r="CM1300" s="134">
        <f t="shared" si="2302"/>
        <v>2.7849447826600312E-2</v>
      </c>
      <c r="CN1300" s="135">
        <f t="shared" si="2303"/>
        <v>1.5599041163975336E-2</v>
      </c>
      <c r="CO1300" s="135">
        <f t="shared" si="2314"/>
        <v>1.5295916834495734E-2</v>
      </c>
      <c r="CP1300" s="134">
        <f>VLOOKUP($H1300,RoR!$E:$F,2,FALSE)</f>
        <v>2.4766666666666666E-2</v>
      </c>
      <c r="CQ1300" s="135">
        <v>1.1618796630994188E-2</v>
      </c>
      <c r="CR1300" s="135">
        <f t="shared" si="2310"/>
        <v>1.3147870035672478E-2</v>
      </c>
      <c r="CS1300" s="135">
        <f t="shared" si="2315"/>
        <v>1.5606024774037891E-2</v>
      </c>
      <c r="CT1300" s="135">
        <v>4.5144642961987357E-2</v>
      </c>
      <c r="CU1300" s="139">
        <f t="shared" si="2304"/>
        <v>0.90330050000000006</v>
      </c>
      <c r="CV1300" s="335">
        <f t="shared" si="2305"/>
        <v>2.0706077233668081</v>
      </c>
      <c r="CW1300" s="335">
        <f t="shared" si="2306"/>
        <v>-3.4421265141318998E-2</v>
      </c>
      <c r="CX1300" s="335">
        <f t="shared" si="2307"/>
        <v>0.62416226176410472</v>
      </c>
      <c r="CY1300" s="335">
        <f t="shared" si="2308"/>
        <v>-4.4485877841158712E-2</v>
      </c>
      <c r="CZ1300" s="336">
        <v>0.26134999999999997</v>
      </c>
      <c r="DA1300" s="302">
        <v>0.37</v>
      </c>
      <c r="DB1300" s="57">
        <f t="shared" si="2313"/>
        <v>15.462201233179831</v>
      </c>
      <c r="DC1300" s="56">
        <f t="shared" si="2316"/>
        <v>3.1745265893785908E-2</v>
      </c>
      <c r="DD1300" s="303">
        <f>VLOOKUP($H1300,RoR!$E:$F,2,FALSE)</f>
        <v>2.4766666666666666E-2</v>
      </c>
      <c r="DE1300" s="304">
        <f>HLOOKUP($H1300,'GDP-PI'!$D$8:$CQ$11,3,FALSE)</f>
        <v>1.1618796630994188E-2</v>
      </c>
      <c r="DF1300" s="303">
        <f>VLOOKUP(H1300,'HW Dx Data'!$E:$F,2,FALSE)</f>
        <v>813.080162458833</v>
      </c>
      <c r="DG1300" s="364">
        <f ca="1">VLOOKUP(CC1300,'ECI - Input Price'!M$13:N$33,2,FALSE)</f>
        <v>153.15</v>
      </c>
      <c r="DH1300" s="364"/>
      <c r="DI1300" s="364"/>
      <c r="DJ1300" s="56">
        <f t="shared" ca="1" si="2329"/>
        <v>2.2951556467368479E-2</v>
      </c>
      <c r="DK1300" s="53">
        <f>HLOOKUP(H1300,'GDP-PI'!$8:$9,2,FALSE)</f>
        <v>113.623</v>
      </c>
      <c r="DL1300" s="355">
        <f t="shared" si="2321"/>
        <v>1.1551816731392881E-2</v>
      </c>
    </row>
    <row r="1301" spans="1:116" s="126" customFormat="1" ht="21" customHeight="1" x14ac:dyDescent="0.4">
      <c r="A1301" s="233" t="s">
        <v>258</v>
      </c>
      <c r="B1301" s="126" t="s">
        <v>258</v>
      </c>
      <c r="C1301" s="126">
        <v>4008752</v>
      </c>
      <c r="D1301" s="126" t="s">
        <v>214</v>
      </c>
      <c r="G1301" s="127" t="s">
        <v>177</v>
      </c>
      <c r="H1301" s="128">
        <v>2021</v>
      </c>
      <c r="I1301" s="129"/>
      <c r="J1301" s="125">
        <v>36909.453588245211</v>
      </c>
      <c r="K1301" s="125">
        <f t="shared" ca="1" si="2322"/>
        <v>234.7183058076007</v>
      </c>
      <c r="L1301" s="47"/>
      <c r="M1301" s="130">
        <f t="shared" ca="1" si="2330"/>
        <v>0.14428862130115702</v>
      </c>
      <c r="N1301" s="130"/>
      <c r="O1301" s="130"/>
      <c r="P1301" s="59">
        <f t="shared" ca="1" si="2332"/>
        <v>1.5859189945552103E-3</v>
      </c>
      <c r="Q1301" s="61"/>
      <c r="R1301" s="387"/>
      <c r="S1301" s="132">
        <f ca="1">+S1300*EXP(T1301)</f>
        <v>118.55424477661821</v>
      </c>
      <c r="T1301" s="134">
        <f ca="1">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+P2626</f>
        <v>9.8704417562741689E-3</v>
      </c>
      <c r="U1301" s="134"/>
      <c r="V1301" s="125">
        <v>52028.988793068558</v>
      </c>
      <c r="W1301" s="125">
        <f t="shared" si="2323"/>
        <v>439.10025143951862</v>
      </c>
      <c r="X1301" s="131">
        <f t="shared" si="2333"/>
        <v>0.1017861189803051</v>
      </c>
      <c r="Y1301" s="131">
        <f t="shared" si="2334"/>
        <v>1.1187613965483779E-3</v>
      </c>
      <c r="Z1301" s="131"/>
      <c r="AA1301" s="131"/>
      <c r="AB1301" s="131"/>
      <c r="AC1301" s="125">
        <f t="shared" si="2298"/>
        <v>52246.683677125184</v>
      </c>
      <c r="AD1301" s="129"/>
      <c r="AE1301" s="133">
        <v>4876.008663717761</v>
      </c>
      <c r="AF1301" s="134"/>
      <c r="AG1301" s="59">
        <f t="shared" si="2324"/>
        <v>0</v>
      </c>
      <c r="AH1301" s="134"/>
      <c r="AI1301" s="134"/>
      <c r="AJ1301" s="129">
        <f t="shared" si="2252"/>
        <v>141185.12605843897</v>
      </c>
      <c r="AK1301" s="134">
        <f t="shared" si="2335"/>
        <v>-1.3175324762238217E-2</v>
      </c>
      <c r="AL1301" s="129"/>
      <c r="AM1301" s="134"/>
      <c r="AN1301" s="134"/>
      <c r="AO1301" s="134"/>
      <c r="AP1301" s="133">
        <f t="shared" si="2336"/>
        <v>219.24177532872488</v>
      </c>
      <c r="AQ1301" s="134">
        <f>+BB1301/Outputs!$B$29</f>
        <v>1.6680448713355635E-2</v>
      </c>
      <c r="AR1301" s="93">
        <f t="shared" si="2325"/>
        <v>0.26142593500230149</v>
      </c>
      <c r="AS1301" s="93">
        <f t="shared" si="2326"/>
        <v>0.36851607705143713</v>
      </c>
      <c r="AT1301" s="93">
        <f t="shared" si="2327"/>
        <v>0.37005798794626127</v>
      </c>
      <c r="AU1301" s="93">
        <f t="shared" ca="1" si="2331"/>
        <v>6.9339213402852956E-2</v>
      </c>
      <c r="AV1301" s="132">
        <f t="shared" ca="1" si="2341"/>
        <v>106.91234445841449</v>
      </c>
      <c r="AW1301" s="134">
        <f t="shared" ca="1" si="2342"/>
        <v>6.9339213402852998E-2</v>
      </c>
      <c r="AX1301" s="135">
        <f>+AJ1301/$AL$26</f>
        <v>1.0991296335454646E-2</v>
      </c>
      <c r="AY1301" s="135">
        <f t="shared" ca="1" si="2338"/>
        <v>7.6212784217808587E-4</v>
      </c>
      <c r="AZ1301" s="93"/>
      <c r="BA1301" s="93"/>
      <c r="BB1301" s="234">
        <f>INDEX('Total Customers'!$D$7:$D$91,MATCH(Calculation!$C1301,'Total Customers'!$C$7:$C$91,0))</f>
        <v>643970</v>
      </c>
      <c r="BC1301" s="269">
        <f t="shared" si="2328"/>
        <v>-2.6084769437432424E-4</v>
      </c>
      <c r="BD1301" s="91"/>
      <c r="BE1301" s="299" t="str">
        <f t="shared" si="2317"/>
        <v>WISCONSIN GAS LLC</v>
      </c>
      <c r="BF1301" s="300">
        <f t="shared" si="2318"/>
        <v>4008752</v>
      </c>
      <c r="BG1301" s="231" t="str">
        <f t="shared" si="2319"/>
        <v>WI</v>
      </c>
      <c r="BH1301" s="231"/>
      <c r="BI1301" s="231" t="str">
        <f t="shared" si="2320"/>
        <v>2021 Y</v>
      </c>
      <c r="BJ1301" s="129"/>
      <c r="BK1301" s="129"/>
      <c r="BL1301" s="129">
        <f>INDEX('Dist. Plant Gas Additions'!$D$7:$AD$91,MATCH($C1301,'Dist. Plant Gas Additions'!$C$7:$C$91,0),MATCH(Calculation!$G1301,'Dist. Plant Gas Additions'!$D$5:$AD$5,0))</f>
        <v>125524</v>
      </c>
      <c r="BM1301" s="129">
        <f>INDEX('Gen. Plant Additions'!$D$7:$AD$91,MATCH($C1301,'Gen. Plant Additions'!$C$7:$C$91,0),MATCH(Calculation!$G1301,'Gen. Plant Additions'!$D$5:$AD$5,0))</f>
        <v>12412</v>
      </c>
      <c r="BN1301" s="301">
        <v>1</v>
      </c>
      <c r="BO1301" s="231">
        <f t="shared" si="2339"/>
        <v>12412</v>
      </c>
      <c r="BP1301" s="231">
        <f t="shared" si="2340"/>
        <v>0</v>
      </c>
      <c r="BQ1301" s="129"/>
      <c r="BR1301" s="129"/>
      <c r="BS1301" s="137"/>
      <c r="BT1301" s="137"/>
      <c r="BU1301" s="333"/>
      <c r="BV1301" s="93"/>
      <c r="BW1301" s="334"/>
      <c r="BX1301" s="334"/>
      <c r="BY1301" s="129"/>
      <c r="BZ1301" s="129"/>
      <c r="CA1301" s="129"/>
      <c r="CB1301" s="129"/>
      <c r="CC1301" s="133">
        <v>2021</v>
      </c>
      <c r="CD1301" s="129"/>
      <c r="CE1301" s="129"/>
      <c r="CF1301" s="129"/>
      <c r="CG1301" s="137"/>
      <c r="CH1301" s="129">
        <f t="shared" si="2300"/>
        <v>137936</v>
      </c>
      <c r="CI1301" s="46">
        <f t="shared" si="2309"/>
        <v>137936</v>
      </c>
      <c r="CJ1301" s="231">
        <f t="shared" si="2301"/>
        <v>147.83780682224955</v>
      </c>
      <c r="CK1301" s="443">
        <v>0.70886075949367089</v>
      </c>
      <c r="CL1301" s="129">
        <f>CL1278*CK1301+CJ1279*CK1300+CJ1280*CK1299+CJ1281*CK1298+CJ1282*CK1297+CJ1283*CK1296+CJ1284*CK1295+CJ1285*CK1294+CJ1286*CK1293+CJ1287*CK1292+CJ1288*CK1291+CJ1289*CK1290+CJ1290*CK1289+CJ1291*CK1288+CJ1292*CK1287+CJ1283*CK1286+CJ1294*CK1285+CJ1295*CK1284+CJ1296*CK1283+CJ1297*CK1282+CJ1298*CK1281+CJ1299*CK1280+CJ1301+CJ1300*CK1279</f>
        <v>4458.7430337406668</v>
      </c>
      <c r="CM1301" s="134"/>
      <c r="CN1301" s="135">
        <f t="shared" si="2303"/>
        <v>3.0676791309640874E-2</v>
      </c>
      <c r="CO1301" s="135">
        <f t="shared" si="2314"/>
        <v>2.0526160633940232E-2</v>
      </c>
      <c r="CP1301" s="134">
        <f>VLOOKUP($H1301,RoR!$E:$F,2,FALSE)</f>
        <v>2.7033333333333336E-2</v>
      </c>
      <c r="CQ1301" s="135"/>
      <c r="CR1301" s="135"/>
      <c r="CS1301" s="135">
        <f t="shared" si="2315"/>
        <v>1.0375780974593393E-2</v>
      </c>
      <c r="CT1301" s="135">
        <v>7.433422950153494E-2</v>
      </c>
      <c r="CU1301" s="139">
        <f t="shared" si="2304"/>
        <v>0.90330050000000006</v>
      </c>
      <c r="CV1301" s="335">
        <f t="shared" si="2305"/>
        <v>1.8969932656739068</v>
      </c>
      <c r="CW1301" s="335">
        <f t="shared" si="2306"/>
        <v>5.0215782983970621E-2</v>
      </c>
      <c r="CX1301" s="335">
        <f t="shared" si="2307"/>
        <v>0.655952481704143</v>
      </c>
      <c r="CY1301" s="335">
        <f t="shared" si="2308"/>
        <v>6.2485378865697057E-2</v>
      </c>
      <c r="CZ1301" s="336">
        <f>CZ1300</f>
        <v>0.26134999999999997</v>
      </c>
      <c r="DA1301" s="302">
        <v>0.37</v>
      </c>
      <c r="DB1301" s="141">
        <f t="shared" si="2313"/>
        <v>11.74786278044512</v>
      </c>
      <c r="DC1301" s="135">
        <f>LN(DB1302/DB1300)</f>
        <v>0.18362347929039624</v>
      </c>
      <c r="DD1301" s="336">
        <f>VLOOKUP($H1301,RoR!$E:$F,2,FALSE)</f>
        <v>2.7033333333333336E-2</v>
      </c>
      <c r="DE1301" s="342">
        <f>HLOOKUP($H1301,'GDP-PI'!$D$8:$CR$11,3,FALSE)</f>
        <v>4.2834637353352578E-2</v>
      </c>
      <c r="DF1301" s="336">
        <f>VLOOKUP(H1301,'HW Dx Data'!$E:$F,2,FALSE)</f>
        <v>933.02249921662576</v>
      </c>
      <c r="DG1301" s="364">
        <f ca="1">VLOOKUP(CC1301,'ECI - Input Price'!M$13:N$33,2,FALSE)</f>
        <v>157.25</v>
      </c>
      <c r="DH1301" s="364"/>
      <c r="DI1301" s="364"/>
      <c r="DJ1301" s="135">
        <f t="shared" ca="1" si="2329"/>
        <v>2.6419062301765574E-2</v>
      </c>
      <c r="DK1301" s="137">
        <f>HLOOKUP(H1301,'GDP-PI'!$8:$9,2,FALSE)</f>
        <v>118.49</v>
      </c>
      <c r="DL1301" s="356">
        <f t="shared" si="2321"/>
        <v>4.194261824609434E-2</v>
      </c>
    </row>
    <row r="1302" spans="1:116" s="126" customFormat="1" ht="21" customHeight="1" thickBot="1" x14ac:dyDescent="0.45">
      <c r="A1302" s="235"/>
      <c r="B1302" s="236"/>
      <c r="C1302" s="236"/>
      <c r="D1302" s="236"/>
      <c r="E1302" s="236"/>
      <c r="F1302" s="236"/>
      <c r="G1302" s="237" t="s">
        <v>178</v>
      </c>
      <c r="H1302" s="238"/>
      <c r="I1302" s="239"/>
      <c r="J1302" s="240">
        <v>32319.459412333228</v>
      </c>
      <c r="K1302" s="240">
        <f t="shared" ca="1" si="2322"/>
        <v>198.82780321336958</v>
      </c>
      <c r="L1302" s="47"/>
      <c r="M1302" s="241">
        <f t="shared" ref="M1302" ca="1" si="2343">LN(K1302/K1301)</f>
        <v>-0.16594695679749399</v>
      </c>
      <c r="N1302" s="241"/>
      <c r="O1302" s="241"/>
      <c r="P1302" s="242">
        <f t="shared" ca="1" si="2332"/>
        <v>-2.0762965642104952E-3</v>
      </c>
      <c r="Q1302" s="61"/>
      <c r="R1302" s="387"/>
      <c r="S1302" s="206">
        <f ca="1">+S1301*EXP(T1302)</f>
        <v>118.34686093033683</v>
      </c>
      <c r="T1302" s="243">
        <f ca="1">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+P2627</f>
        <v>-1.7508056675153466E-3</v>
      </c>
      <c r="U1302" s="243"/>
      <c r="V1302" s="239">
        <v>45558.756039072141</v>
      </c>
      <c r="W1302" s="240">
        <f t="shared" si="2323"/>
        <v>358.02558773337637</v>
      </c>
      <c r="X1302" s="244">
        <f t="shared" ref="X1302" si="2344">LN(W1302/W1301)</f>
        <v>-0.20412329223011319</v>
      </c>
      <c r="Y1302" s="244">
        <f t="shared" si="2334"/>
        <v>-2.5539515668847692E-3</v>
      </c>
      <c r="Z1302" s="206"/>
      <c r="AA1302" s="243"/>
      <c r="AB1302" s="243"/>
      <c r="AC1302" s="240">
        <f t="shared" si="2298"/>
        <v>82838.157127040453</v>
      </c>
      <c r="AD1302" s="243"/>
      <c r="AE1302" s="245">
        <v>5032.2094006211664</v>
      </c>
      <c r="AF1302" s="243">
        <v>3.153214390240152E-2</v>
      </c>
      <c r="AG1302" s="242">
        <f t="shared" si="2324"/>
        <v>3.9452414982602365E-4</v>
      </c>
      <c r="AH1302" s="206"/>
      <c r="AI1302" s="243"/>
      <c r="AJ1302" s="239">
        <f t="shared" si="2252"/>
        <v>160716.37257844582</v>
      </c>
      <c r="AK1302" s="243">
        <f t="shared" si="2335"/>
        <v>0.12956917045038072</v>
      </c>
      <c r="AL1302" s="239"/>
      <c r="AM1302" s="243"/>
      <c r="AN1302" s="243"/>
      <c r="AO1302" s="243"/>
      <c r="AP1302" s="245">
        <f t="shared" si="2336"/>
        <v>248.13741827267296</v>
      </c>
      <c r="AQ1302" s="243"/>
      <c r="AR1302" s="207">
        <f t="shared" si="2325"/>
        <v>0.2010962473444208</v>
      </c>
      <c r="AS1302" s="207">
        <f t="shared" si="2326"/>
        <v>0.28347302336502689</v>
      </c>
      <c r="AT1302" s="207">
        <f t="shared" si="2327"/>
        <v>0.51543072929055234</v>
      </c>
      <c r="AU1302" s="207"/>
      <c r="AV1302" s="206"/>
      <c r="AW1302" s="243"/>
      <c r="AX1302" s="249">
        <f>+AJ1302/$AL$26</f>
        <v>1.2511808618124957E-2</v>
      </c>
      <c r="AY1302" s="249"/>
      <c r="AZ1302" s="206"/>
      <c r="BA1302" s="243"/>
      <c r="BB1302" s="250">
        <v>647691</v>
      </c>
      <c r="BC1302" s="270">
        <f t="shared" si="2328"/>
        <v>5.7615896020614867E-3</v>
      </c>
      <c r="BD1302" s="91"/>
      <c r="BE1302" s="306">
        <f t="shared" si="2317"/>
        <v>0</v>
      </c>
      <c r="BF1302" s="307">
        <f t="shared" si="2318"/>
        <v>0</v>
      </c>
      <c r="BG1302" s="308">
        <f t="shared" si="2319"/>
        <v>0</v>
      </c>
      <c r="BH1302" s="308"/>
      <c r="BI1302" s="308" t="str">
        <f t="shared" si="2320"/>
        <v>2022Y</v>
      </c>
      <c r="BJ1302" s="239"/>
      <c r="BK1302" s="239"/>
      <c r="BL1302" s="239"/>
      <c r="BM1302" s="239"/>
      <c r="BN1302" s="309"/>
      <c r="BO1302" s="308">
        <f t="shared" si="2339"/>
        <v>0</v>
      </c>
      <c r="BP1302" s="308">
        <f t="shared" si="2340"/>
        <v>0</v>
      </c>
      <c r="BQ1302" s="239"/>
      <c r="BR1302" s="239"/>
      <c r="BS1302" s="310"/>
      <c r="BT1302" s="310"/>
      <c r="BU1302" s="311"/>
      <c r="BV1302" s="207"/>
      <c r="BW1302" s="312"/>
      <c r="BX1302" s="312"/>
      <c r="BY1302" s="239"/>
      <c r="BZ1302" s="239"/>
      <c r="CA1302" s="239"/>
      <c r="CB1302" s="239"/>
      <c r="CC1302" s="245">
        <v>2022</v>
      </c>
      <c r="CD1302" s="239"/>
      <c r="CE1302" s="239"/>
      <c r="CF1302" s="239"/>
      <c r="CG1302" s="310"/>
      <c r="CH1302" s="239">
        <v>138451</v>
      </c>
      <c r="CI1302" s="313">
        <f t="shared" si="2309"/>
        <v>138451</v>
      </c>
      <c r="CJ1302" s="308">
        <f t="shared" si="2301"/>
        <v>134.31282195554954</v>
      </c>
      <c r="CK1302" s="443">
        <v>0.69230769230769229</v>
      </c>
      <c r="CL1302" s="239">
        <f>+CL1278*CK1302+CJ1279*CK1301+CJ1280*CK1300+CJ1281*CK1299+CJ1282*CK1298+CJ1283*CK1297+CJ1284*CK1296+CJ1285*CK1295+CJ1286*CK1294+CJ1287*CK1293+CJ1288*CK1292+CJ1289*CK1291+CJ1290*CK1290+CJ1291*CK1289+CJ1292*CK1288+CJ1293*CK1287+CJ1294*CK1286+CJ1295*CK1285+CJ1296*CK1284+CJ1297*CK1283+CJ1298*CK1282+CJ1299*CK1281+CJ1300*CK1280+CJ1301*CK1279+CJ1302*CK1278</f>
        <v>4584.4911337158055</v>
      </c>
      <c r="CM1302" s="243">
        <f t="shared" ref="CM1302" si="2345">LN(CL1302/CL1301)</f>
        <v>2.7812219225922981E-2</v>
      </c>
      <c r="CN1302" s="249">
        <f t="shared" si="2303"/>
        <v>1.920882615481296E-3</v>
      </c>
      <c r="CO1302" s="249">
        <f t="shared" si="2314"/>
        <v>1.6065571696365834E-2</v>
      </c>
      <c r="CP1302" s="243"/>
      <c r="CQ1302" s="249"/>
      <c r="CR1302" s="249"/>
      <c r="CS1302" s="248">
        <f t="shared" si="2315"/>
        <v>1.4836369912167791E-2</v>
      </c>
      <c r="CT1302" s="249">
        <v>0.10114668178709289</v>
      </c>
      <c r="CU1302" s="314">
        <f t="shared" si="2304"/>
        <v>0.90330050000000006</v>
      </c>
      <c r="CV1302" s="315">
        <f t="shared" si="2305"/>
        <v>1.2820512820512819</v>
      </c>
      <c r="CW1302" s="315">
        <f t="shared" si="2306"/>
        <v>0.35000000000000003</v>
      </c>
      <c r="CX1302" s="315">
        <f t="shared" si="2307"/>
        <v>0.79171095533705893</v>
      </c>
      <c r="CY1302" s="315">
        <f t="shared" si="2308"/>
        <v>0.35525491585637264</v>
      </c>
      <c r="CZ1302" s="316">
        <f>CZ1301</f>
        <v>0.26134999999999997</v>
      </c>
      <c r="DA1302" s="317">
        <v>0.37</v>
      </c>
      <c r="DB1302" s="318">
        <f t="shared" si="2313"/>
        <v>18.57881391687722</v>
      </c>
      <c r="DC1302" s="249">
        <f>LN(DB1302/DB1301)</f>
        <v>0.45835056177673134</v>
      </c>
      <c r="DD1302" s="316">
        <v>0.04</v>
      </c>
      <c r="DE1302" s="319">
        <v>7.0000000000000001E-3</v>
      </c>
      <c r="DF1302" s="316">
        <v>1030.81</v>
      </c>
      <c r="DG1302" s="364">
        <f ca="1">VLOOKUP(CC1302,'ECI - Input Price'!M$13:N$33,2,FALSE)</f>
        <v>162.55000000000001</v>
      </c>
      <c r="DH1302" s="364"/>
      <c r="DI1302" s="364"/>
      <c r="DJ1302" s="249">
        <f t="shared" ca="1" si="2329"/>
        <v>3.3148751169364422E-2</v>
      </c>
      <c r="DK1302" s="310">
        <v>127.25</v>
      </c>
      <c r="DL1302" s="357">
        <f t="shared" si="2321"/>
        <v>7.1325086601983473E-2</v>
      </c>
    </row>
    <row r="1303" spans="1:116" s="126" customFormat="1" ht="21" customHeight="1" x14ac:dyDescent="0.4">
      <c r="A1303" s="251" t="s">
        <v>259</v>
      </c>
      <c r="B1303" s="265" t="s">
        <v>259</v>
      </c>
      <c r="C1303" s="265">
        <v>4008669</v>
      </c>
      <c r="D1303" s="252" t="s">
        <v>214</v>
      </c>
      <c r="E1303" s="252"/>
      <c r="F1303" s="266"/>
      <c r="G1303" s="265" t="s">
        <v>150</v>
      </c>
      <c r="H1303" s="253">
        <v>1998</v>
      </c>
      <c r="I1303" s="254"/>
      <c r="J1303" s="255"/>
      <c r="K1303" s="255"/>
      <c r="L1303" s="47"/>
      <c r="M1303" s="255"/>
      <c r="N1303" s="255"/>
      <c r="O1303" s="255"/>
      <c r="P1303" s="219"/>
      <c r="Q1303" s="218"/>
      <c r="R1303" s="385"/>
      <c r="S1303" s="257"/>
      <c r="T1303" s="258"/>
      <c r="U1303" s="258"/>
      <c r="V1303" s="259"/>
      <c r="W1303" s="259"/>
      <c r="X1303" s="259"/>
      <c r="Y1303" s="255"/>
      <c r="Z1303" s="259"/>
      <c r="AA1303" s="259"/>
      <c r="AB1303" s="259"/>
      <c r="AC1303" s="255"/>
      <c r="AD1303" s="254"/>
      <c r="AE1303" s="260">
        <v>632.36344910360026</v>
      </c>
      <c r="AF1303" s="256"/>
      <c r="AG1303" s="225"/>
      <c r="AH1303" s="256"/>
      <c r="AI1303" s="256"/>
      <c r="AJ1303" s="254">
        <f t="shared" si="2252"/>
        <v>0</v>
      </c>
      <c r="AK1303" s="254"/>
      <c r="AL1303" s="254"/>
      <c r="AM1303" s="256"/>
      <c r="AN1303" s="256"/>
      <c r="AO1303" s="256"/>
      <c r="AP1303" s="226">
        <f>+(AP1300+AP1301+AP1302)/3</f>
        <v>229.82357458297881</v>
      </c>
      <c r="AQ1303" s="256"/>
      <c r="AR1303" s="261"/>
      <c r="AS1303" s="261"/>
      <c r="AT1303" s="261"/>
      <c r="AU1303" s="261"/>
      <c r="AV1303" s="261"/>
      <c r="AW1303" s="256">
        <f ca="1">AVERAGE(AW1312:AW1326)</f>
        <v>3.5039387351331087E-2</v>
      </c>
      <c r="AX1303" s="261"/>
      <c r="AY1303" s="261"/>
      <c r="AZ1303" s="261"/>
      <c r="BA1303" s="261"/>
      <c r="BB1303" s="262">
        <f>IFERROR(INDEX('Total Customers'!$E$7:$AA$91,MATCH($C1303,'Total Customers'!$C$7:$C$91,0),MATCH($G1303,'Total Customers'!$E$5:$AA$5,0)),"NA")</f>
        <v>150657</v>
      </c>
      <c r="BC1303" s="268"/>
      <c r="BD1303" s="92"/>
      <c r="BE1303" s="320" t="str">
        <f t="shared" si="2317"/>
        <v>WISCONSIN POWER AND LIGHT COMPANY</v>
      </c>
      <c r="BF1303" s="321">
        <f t="shared" si="2318"/>
        <v>4008669</v>
      </c>
      <c r="BG1303" s="322" t="str">
        <f t="shared" si="2319"/>
        <v>WI</v>
      </c>
      <c r="BH1303" s="322"/>
      <c r="BI1303" s="322" t="str">
        <f t="shared" si="2320"/>
        <v>1998 Y</v>
      </c>
      <c r="BJ1303" s="254">
        <f>INDEX('Gross Dx Plant'!$D$7:$AC$91,MATCH($C1303,'Gross Dx Plant'!$C$7:$C$91,0),MATCH(Calculation!$G1303,'Gross Dx Plant'!$D$5:$AC$5,0))</f>
        <v>227831</v>
      </c>
      <c r="BK1303" s="254">
        <f>INDEX('Gross Gen Plant'!$D$7:$AC$91,MATCH($C1303,'Gross Gen Plant'!$C$7:$C$91,0),MATCH(Calculation!$G1303,'Gross Gen Plant'!$D$5:$AC$5,0))</f>
        <v>6882</v>
      </c>
      <c r="BL1303" s="254">
        <f>INDEX('Dist. Plant Gas Additions'!$E$7:$AD$91,MATCH($C1303,'Dist. Plant Gas Additions'!$C$7:$C$91,0),MATCH(Calculation!$G1303,'Dist. Plant Gas Additions'!$E$5:$AD$5,0))</f>
        <v>7050</v>
      </c>
      <c r="BM1303" s="254">
        <f>INDEX('Gen. Plant Additions'!$E$7:$AD$91,MATCH($C1303,'Gen. Plant Additions'!$C$7:$C$91,0),MATCH(Calculation!$G1303,'Gen. Plant Additions'!$E$5:$AD$5,0))</f>
        <v>199</v>
      </c>
      <c r="BN1303" s="338">
        <f t="shared" ref="BN1303:BN1340" si="2346">+(BY1303/(BY1303+BZ1303))</f>
        <v>0.97067908466936215</v>
      </c>
      <c r="BO1303" s="322">
        <f t="shared" si="2339"/>
        <v>193.16513784920306</v>
      </c>
      <c r="BP1303" s="322">
        <f t="shared" si="2340"/>
        <v>-5.8348621507969369</v>
      </c>
      <c r="BQ1303" s="254">
        <f>INDEX('Dist Plant Depreciation'!$D$7:$AC$94,MATCH($C1303,'Dist Plant Depreciation'!$C$7:$C$94,0),MATCH(Calculation!$G1303,'Dist Plant Depreciation'!$D$5:$AC$5,0))</f>
        <v>103974</v>
      </c>
      <c r="BR1303" s="254">
        <f>INDEX('Gen. Plant Depreciation'!$D$7:$AC$94,MATCH($C1303,'Gen. Plant Depreciation'!$C$7:$C$94,0),MATCH(Calculation!$G1303,'Gen. Plant Depreciation'!$D$5:$AC$5,0))</f>
        <v>3179</v>
      </c>
      <c r="BS1303" s="254"/>
      <c r="BT1303" s="254"/>
      <c r="BU1303" s="254"/>
      <c r="BV1303" s="254"/>
      <c r="BW1303" s="254"/>
      <c r="BX1303" s="323"/>
      <c r="BY1303" s="254">
        <f>INDEX('Gross Dx Plant'!$D$7:$AC$91,MATCH($C1303,'Gross Dx Plant'!$C$7:$C$91,0),MATCH(Calculation!$G1303,'Gross Dx Plant'!$D$5:$AC$5,0))</f>
        <v>227831</v>
      </c>
      <c r="BZ1303" s="254">
        <f>INDEX('Gross Gen Plant'!$D$7:$AC$91,MATCH($C1303,'Gross Gen Plant'!$C$7:$C$91,0),MATCH(Calculation!$G1303,'Gross Gen Plant'!$D$5:$AC$5,0))</f>
        <v>6882</v>
      </c>
      <c r="CA1303" s="254">
        <f t="shared" si="2294"/>
        <v>127560</v>
      </c>
      <c r="CB1303" s="254"/>
      <c r="CC1303" s="260">
        <v>1998</v>
      </c>
      <c r="CD1303" s="254">
        <f>BJ1303+BK1303</f>
        <v>234713</v>
      </c>
      <c r="CE1303" s="254">
        <f>103974+3179</f>
        <v>107153</v>
      </c>
      <c r="CF1303" s="254">
        <f>+CD1303-CE1303</f>
        <v>127560</v>
      </c>
      <c r="CG1303" s="254">
        <f>CF1303/$BX$3</f>
        <v>632.36344910360026</v>
      </c>
      <c r="CH1303" s="323"/>
      <c r="CI1303" s="344"/>
      <c r="CJ1303" s="344"/>
      <c r="CK1303" s="443">
        <v>1</v>
      </c>
      <c r="CL1303" s="254">
        <f>+CG1303</f>
        <v>632.36344910360026</v>
      </c>
      <c r="CM1303" s="256"/>
      <c r="CN1303" s="325"/>
      <c r="CO1303" s="325"/>
      <c r="CP1303" s="256" t="e">
        <f>VLOOKUP($H1303,RoR!$E:$F,2,FALSE)</f>
        <v>#N/A</v>
      </c>
      <c r="CQ1303" s="325">
        <v>1.1028127770464469E-2</v>
      </c>
      <c r="CR1303" s="325"/>
      <c r="CS1303" s="325"/>
      <c r="CT1303" s="325"/>
      <c r="CU1303" s="327"/>
      <c r="CV1303" s="331" t="e">
        <f>2/(DD1303*39)</f>
        <v>#N/A</v>
      </c>
      <c r="CW1303" s="328" t="e">
        <f>+(DD1303*40-(1+DD1303))/(DD1303*40)</f>
        <v>#N/A</v>
      </c>
      <c r="CX1303" s="328" t="e">
        <f>+(1-(1/(1+DD1303)^40))</f>
        <v>#N/A</v>
      </c>
      <c r="CY1303" s="328" t="e">
        <f>+CX1303*CW1303*CV1303</f>
        <v>#N/A</v>
      </c>
      <c r="CZ1303" s="329">
        <f>INDEX('State Tax Lookup'!$D$7:$Z$91,MATCH(Calculation!$C1303,'State Tax Lookup'!$B$7:$B$91,0),MATCH($H1303,'State Tax Lookup'!$D$6:$Z$6,0))</f>
        <v>0.40134999999999998</v>
      </c>
      <c r="DA1303" s="330">
        <v>0.37</v>
      </c>
      <c r="DB1303" s="344"/>
      <c r="DC1303" s="326"/>
      <c r="DD1303" s="351" t="e">
        <f>VLOOKUP($H1303,RoR!$E:$F,2,FALSE)</f>
        <v>#N/A</v>
      </c>
      <c r="DE1303" s="354">
        <f>HLOOKUP($H1303,'GDP-PI'!$D$8:$CQ$11,3,FALSE)</f>
        <v>1.1028127770464469E-2</v>
      </c>
      <c r="DF1303" s="351">
        <f>VLOOKUP(H1303,'HW Dx Data'!$E:$F,2,FALSE)</f>
        <v>329.24564746449528</v>
      </c>
      <c r="DG1303" s="330"/>
      <c r="DH1303" s="330"/>
      <c r="DI1303" s="330"/>
      <c r="DJ1303" s="326"/>
      <c r="DK1303" s="344">
        <f>HLOOKUP(H1303,'GDP-PI'!$8:$9,2,FALSE)</f>
        <v>75.266999999999996</v>
      </c>
      <c r="DL1303" s="292"/>
    </row>
    <row r="1304" spans="1:116" s="126" customFormat="1" ht="21" customHeight="1" x14ac:dyDescent="0.4">
      <c r="A1304" s="233" t="s">
        <v>259</v>
      </c>
      <c r="B1304" s="126" t="s">
        <v>259</v>
      </c>
      <c r="C1304" s="126">
        <v>4008669</v>
      </c>
      <c r="D1304" s="127" t="s">
        <v>214</v>
      </c>
      <c r="E1304" s="127"/>
      <c r="F1304" s="144"/>
      <c r="G1304" s="126" t="s">
        <v>155</v>
      </c>
      <c r="H1304" s="128">
        <v>1999</v>
      </c>
      <c r="I1304" s="129"/>
      <c r="J1304" s="125"/>
      <c r="K1304" s="129"/>
      <c r="L1304" s="47"/>
      <c r="M1304" s="129"/>
      <c r="N1304" s="129"/>
      <c r="O1304" s="129"/>
      <c r="P1304" s="47"/>
      <c r="Q1304" s="47"/>
      <c r="R1304" s="386"/>
      <c r="S1304" s="119"/>
      <c r="T1304" s="47"/>
      <c r="U1304" s="46"/>
      <c r="V1304" s="135"/>
      <c r="W1304" s="135"/>
      <c r="X1304" s="135"/>
      <c r="Y1304" s="143"/>
      <c r="Z1304" s="135"/>
      <c r="AA1304" s="135"/>
      <c r="AB1304" s="135"/>
      <c r="AC1304" s="125">
        <f t="shared" ref="AC1304:AC1327" si="2347">+CL1303*DB1304</f>
        <v>0</v>
      </c>
      <c r="AD1304" s="129"/>
      <c r="AE1304" s="133">
        <v>672.13393685775304</v>
      </c>
      <c r="AF1304" s="134">
        <v>6.0993324915000882E-2</v>
      </c>
      <c r="AG1304" s="61"/>
      <c r="AH1304" s="134"/>
      <c r="AI1304" s="134"/>
      <c r="AJ1304" s="129">
        <f t="shared" si="2252"/>
        <v>0</v>
      </c>
      <c r="AK1304" s="134"/>
      <c r="AL1304" s="129"/>
      <c r="AM1304" s="134"/>
      <c r="AN1304" s="134"/>
      <c r="AO1304" s="134"/>
      <c r="AP1304" s="133"/>
      <c r="AQ1304" s="134"/>
      <c r="AR1304" s="93"/>
      <c r="AS1304" s="93"/>
      <c r="AT1304" s="93"/>
      <c r="AU1304" s="93"/>
      <c r="AV1304" s="93"/>
      <c r="AW1304" s="134"/>
      <c r="AX1304" s="93"/>
      <c r="AY1304" s="93"/>
      <c r="AZ1304" s="93"/>
      <c r="BA1304" s="93"/>
      <c r="BB1304" s="234">
        <f>IFERROR(INDEX('Total Customers'!$E$7:$AA$91,MATCH($C1304,'Total Customers'!$C$7:$C$91,0),MATCH($G1304,'Total Customers'!$E$5:$AA$5,0)),"NA")</f>
        <v>153970</v>
      </c>
      <c r="BC1304" s="269">
        <f t="shared" si="2328"/>
        <v>2.1752048428036758E-2</v>
      </c>
      <c r="BD1304" s="92"/>
      <c r="BE1304" s="299" t="str">
        <f t="shared" si="2317"/>
        <v>WISCONSIN POWER AND LIGHT COMPANY</v>
      </c>
      <c r="BF1304" s="300">
        <f t="shared" si="2318"/>
        <v>4008669</v>
      </c>
      <c r="BG1304" s="231" t="str">
        <f t="shared" si="2319"/>
        <v>WI</v>
      </c>
      <c r="BH1304" s="231"/>
      <c r="BI1304" s="231" t="str">
        <f t="shared" si="2320"/>
        <v>1999 Y</v>
      </c>
      <c r="BJ1304" s="129"/>
      <c r="BK1304" s="129"/>
      <c r="BL1304" s="129">
        <f>INDEX('Dist. Plant Gas Additions'!$E$7:$AD$91,MATCH($C1304,'Dist. Plant Gas Additions'!$C$7:$C$91,0),MATCH(Calculation!$G1304,'Dist. Plant Gas Additions'!$E$5:$AD$5,0))</f>
        <v>10210</v>
      </c>
      <c r="BM1304" s="129">
        <f>INDEX('Gen. Plant Additions'!$E$7:$AD$91,MATCH($C1304,'Gen. Plant Additions'!$C$7:$C$91,0),MATCH(Calculation!$G1304,'Gen. Plant Additions'!$E$5:$AD$5,0))</f>
        <v>4181</v>
      </c>
      <c r="BN1304" s="301">
        <f t="shared" si="2346"/>
        <v>0.95534359156521453</v>
      </c>
      <c r="BO1304" s="231">
        <f t="shared" si="2339"/>
        <v>3994.2915563341621</v>
      </c>
      <c r="BP1304" s="231">
        <f t="shared" si="2340"/>
        <v>-186.70844366583788</v>
      </c>
      <c r="BQ1304" s="129">
        <f>INDEX('Dist Plant Depreciation'!$D$7:$AC$94,MATCH($C1304,'Dist Plant Depreciation'!$C$7:$C$94,0),MATCH(Calculation!$G1304,'Dist Plant Depreciation'!$D$5:$AC$5,0))</f>
        <v>112341</v>
      </c>
      <c r="BR1304" s="129">
        <f>INDEX('Gen. Plant Depreciation'!$D$7:$AC$94,MATCH($C1304,'Gen. Plant Depreciation'!$C$7:$C$94,0),MATCH(Calculation!$G1304,'Gen. Plant Depreciation'!$D$5:$AC$5,0))</f>
        <v>3042</v>
      </c>
      <c r="BS1304" s="129"/>
      <c r="BT1304" s="129"/>
      <c r="BU1304" s="129"/>
      <c r="BV1304" s="129"/>
      <c r="BW1304" s="129"/>
      <c r="BX1304" s="137"/>
      <c r="BY1304" s="129">
        <f>INDEX('Gross Dx Plant'!$D$7:$AC$91,MATCH($C1304,'Gross Dx Plant'!$C$7:$C$91,0),MATCH(Calculation!$G1304,'Gross Dx Plant'!$D$5:$AC$5,0))</f>
        <v>236673</v>
      </c>
      <c r="BZ1304" s="129">
        <f>INDEX('Gross Gen Plant'!$D$7:$AC$91,MATCH($C1304,'Gross Gen Plant'!$C$7:$C$91,0),MATCH(Calculation!$G1304,'Gross Gen Plant'!$D$5:$AC$5,0))</f>
        <v>11063</v>
      </c>
      <c r="CA1304" s="129">
        <f t="shared" si="2294"/>
        <v>132353</v>
      </c>
      <c r="CB1304" s="129"/>
      <c r="CC1304" s="133">
        <v>1999</v>
      </c>
      <c r="CD1304" s="129"/>
      <c r="CE1304" s="129"/>
      <c r="CF1304" s="129"/>
      <c r="CG1304" s="137"/>
      <c r="CH1304" s="129">
        <f t="shared" ref="CH1304:CH1326" si="2348">+BM1304+BL1304</f>
        <v>14391</v>
      </c>
      <c r="CI1304" s="46">
        <f>+CH1304+BP1304</f>
        <v>14204.291556334163</v>
      </c>
      <c r="CJ1304" s="231">
        <f t="shared" ref="CJ1304:CJ1327" si="2349">+CI1304/$DF1304</f>
        <v>42.359776091246502</v>
      </c>
      <c r="CK1304" s="443">
        <v>0.99009900990099009</v>
      </c>
      <c r="CL1304" s="231">
        <f>+CL1303*CK1304+CJ1304</f>
        <v>668.46220094629632</v>
      </c>
      <c r="CM1304" s="134">
        <f t="shared" ref="CM1304:CM1325" si="2350">LN(CL1304/CL1303)</f>
        <v>5.5515545307693565E-2</v>
      </c>
      <c r="CN1304" s="135">
        <f t="shared" ref="CN1304:CN1327" si="2351">+(CL1303-CL1304+CJ1304)/CL1303</f>
        <v>9.9009900990098126E-3</v>
      </c>
      <c r="CO1304" s="135"/>
      <c r="CP1304" s="134">
        <f>VLOOKUP($H1304,RoR!$E:$F,2,FALSE)</f>
        <v>7.0416666666666669E-2</v>
      </c>
      <c r="CQ1304" s="135">
        <v>1.4335631817396832E-2</v>
      </c>
      <c r="CR1304" s="135">
        <f>+CP1304-CQ1304</f>
        <v>5.6081034849269837E-2</v>
      </c>
      <c r="CS1304" s="135"/>
      <c r="CT1304" s="135"/>
      <c r="CU1304" s="139">
        <f t="shared" ref="CU1304:CU1327" si="2352">1-CZ1304*DA1304</f>
        <v>0.85150049999999999</v>
      </c>
      <c r="CV1304" s="335">
        <f t="shared" ref="CV1304:CV1327" si="2353">2/(DD1304*39)</f>
        <v>0.72826581702321336</v>
      </c>
      <c r="CW1304" s="335">
        <f t="shared" ref="CW1304:CW1327" si="2354">+(DD1304*40-(1+DD1304))/(DD1304*40)</f>
        <v>0.61997041420118348</v>
      </c>
      <c r="CX1304" s="335">
        <f t="shared" ref="CX1304:CX1327" si="2355">+(1-(1/(1+DD1304)^40))</f>
        <v>0.93425155319585029</v>
      </c>
      <c r="CY1304" s="335">
        <f t="shared" ref="CY1304:CY1327" si="2356">+CX1304*CW1304*CV1304</f>
        <v>0.42181762214141483</v>
      </c>
      <c r="CZ1304" s="336">
        <f>INDEX('State Tax Lookup'!$D$7:$Z$91,MATCH(Calculation!$C1304,'State Tax Lookup'!$B$7:$B$91,0),MATCH($H1304,'State Tax Lookup'!$D$6:$Z$6,0))</f>
        <v>0.40134999999999998</v>
      </c>
      <c r="DA1304" s="302">
        <v>0.37</v>
      </c>
      <c r="DB1304" s="57"/>
      <c r="DC1304" s="56"/>
      <c r="DD1304" s="303">
        <f>VLOOKUP($H1304,RoR!$E:$F,2,FALSE)</f>
        <v>7.0416666666666669E-2</v>
      </c>
      <c r="DE1304" s="304">
        <f>HLOOKUP($H1304,'GDP-PI'!$D$8:$CQ$11,3,FALSE)</f>
        <v>1.4335631817396832E-2</v>
      </c>
      <c r="DF1304" s="303">
        <f>VLOOKUP(H1304,'HW Dx Data'!$E:$F,2,FALSE)</f>
        <v>335.32499146683239</v>
      </c>
      <c r="DG1304" s="364"/>
      <c r="DH1304" s="364"/>
      <c r="DI1304" s="364"/>
      <c r="DJ1304" s="56"/>
      <c r="DK1304" s="53">
        <f>HLOOKUP(H1304,'GDP-PI'!$8:$9,2,FALSE)</f>
        <v>76.346000000000004</v>
      </c>
      <c r="DL1304" s="298"/>
    </row>
    <row r="1305" spans="1:116" s="126" customFormat="1" ht="21" customHeight="1" x14ac:dyDescent="0.4">
      <c r="A1305" s="233" t="s">
        <v>259</v>
      </c>
      <c r="B1305" s="126" t="s">
        <v>259</v>
      </c>
      <c r="C1305" s="126">
        <v>4008669</v>
      </c>
      <c r="D1305" s="127" t="s">
        <v>214</v>
      </c>
      <c r="E1305" s="127"/>
      <c r="F1305" s="144"/>
      <c r="G1305" s="126" t="s">
        <v>156</v>
      </c>
      <c r="H1305" s="128">
        <v>2000</v>
      </c>
      <c r="I1305" s="129"/>
      <c r="J1305" s="125"/>
      <c r="K1305" s="125"/>
      <c r="L1305" s="47"/>
      <c r="M1305" s="125"/>
      <c r="N1305" s="125"/>
      <c r="O1305" s="125"/>
      <c r="P1305" s="47"/>
      <c r="Q1305" s="47"/>
      <c r="R1305" s="386"/>
      <c r="S1305" s="119"/>
      <c r="T1305" s="47"/>
      <c r="U1305" s="47"/>
      <c r="V1305" s="125"/>
      <c r="W1305" s="125"/>
      <c r="X1305" s="125"/>
      <c r="Y1305" s="125"/>
      <c r="Z1305" s="125"/>
      <c r="AA1305" s="125"/>
      <c r="AB1305" s="125"/>
      <c r="AC1305" s="125">
        <f t="shared" si="2347"/>
        <v>0</v>
      </c>
      <c r="AD1305" s="129"/>
      <c r="AE1305" s="133">
        <v>717.24281562259262</v>
      </c>
      <c r="AF1305" s="134">
        <v>6.495680678804186E-2</v>
      </c>
      <c r="AG1305" s="61"/>
      <c r="AH1305" s="134"/>
      <c r="AI1305" s="134"/>
      <c r="AJ1305" s="129">
        <f t="shared" si="2252"/>
        <v>0</v>
      </c>
      <c r="AK1305" s="134"/>
      <c r="AL1305" s="129"/>
      <c r="AM1305" s="129"/>
      <c r="AN1305" s="129"/>
      <c r="AO1305" s="129"/>
      <c r="AP1305" s="133"/>
      <c r="AQ1305" s="134"/>
      <c r="AR1305" s="93"/>
      <c r="AS1305" s="93"/>
      <c r="AT1305" s="93"/>
      <c r="AU1305" s="93"/>
      <c r="AV1305" s="93"/>
      <c r="AW1305" s="134"/>
      <c r="AX1305" s="93"/>
      <c r="AY1305" s="93"/>
      <c r="AZ1305" s="93"/>
      <c r="BA1305" s="93"/>
      <c r="BB1305" s="234">
        <f>IFERROR(INDEX('Total Customers'!$E$7:$AA$91,MATCH($C1305,'Total Customers'!$C$7:$C$91,0),MATCH($G1305,'Total Customers'!$E$5:$AA$5,0)),"NA")</f>
        <v>157077</v>
      </c>
      <c r="BC1305" s="269">
        <f t="shared" si="2328"/>
        <v>1.9978352737091601E-2</v>
      </c>
      <c r="BD1305" s="92"/>
      <c r="BE1305" s="299" t="str">
        <f t="shared" si="2317"/>
        <v>WISCONSIN POWER AND LIGHT COMPANY</v>
      </c>
      <c r="BF1305" s="300">
        <f t="shared" si="2318"/>
        <v>4008669</v>
      </c>
      <c r="BG1305" s="231" t="str">
        <f t="shared" si="2319"/>
        <v>WI</v>
      </c>
      <c r="BH1305" s="231"/>
      <c r="BI1305" s="231" t="str">
        <f t="shared" si="2320"/>
        <v>2000 Y</v>
      </c>
      <c r="BJ1305" s="129"/>
      <c r="BK1305" s="129"/>
      <c r="BL1305" s="129">
        <f>INDEX('Dist. Plant Gas Additions'!$E$7:$AD$91,MATCH($C1305,'Dist. Plant Gas Additions'!$C$7:$C$91,0),MATCH(Calculation!$G1305,'Dist. Plant Gas Additions'!$E$5:$AD$5,0))</f>
        <v>15138</v>
      </c>
      <c r="BM1305" s="129">
        <f>INDEX('Gen. Plant Additions'!$E$7:$AD$91,MATCH($C1305,'Gen. Plant Additions'!$C$7:$C$91,0),MATCH(Calculation!$G1305,'Gen. Plant Additions'!$E$5:$AD$5,0))</f>
        <v>1691</v>
      </c>
      <c r="BN1305" s="301">
        <f t="shared" si="2346"/>
        <v>0.9545957875910881</v>
      </c>
      <c r="BO1305" s="231">
        <f t="shared" si="2339"/>
        <v>1614.22147681653</v>
      </c>
      <c r="BP1305" s="231">
        <f t="shared" si="2340"/>
        <v>-76.778523183470043</v>
      </c>
      <c r="BQ1305" s="129">
        <f>INDEX('Dist Plant Depreciation'!$D$7:$AC$94,MATCH($C1305,'Dist Plant Depreciation'!$C$7:$C$94,0),MATCH(Calculation!$G1305,'Dist Plant Depreciation'!$D$5:$AC$5,0))</f>
        <v>119306</v>
      </c>
      <c r="BR1305" s="129">
        <f>INDEX('Gen. Plant Depreciation'!$D$7:$AC$94,MATCH($C1305,'Gen. Plant Depreciation'!$C$7:$C$94,0),MATCH(Calculation!$G1305,'Gen. Plant Depreciation'!$D$5:$AC$5,0))</f>
        <v>4811</v>
      </c>
      <c r="BS1305" s="129"/>
      <c r="BT1305" s="129"/>
      <c r="BU1305" s="129"/>
      <c r="BV1305" s="129"/>
      <c r="BW1305" s="129"/>
      <c r="BX1305" s="137"/>
      <c r="BY1305" s="129">
        <f>INDEX('Gross Dx Plant'!$D$7:$AC$91,MATCH($C1305,'Gross Dx Plant'!$C$7:$C$91,0),MATCH(Calculation!$G1305,'Gross Dx Plant'!$D$5:$AC$5,0))</f>
        <v>250863</v>
      </c>
      <c r="BZ1305" s="129">
        <f>INDEX('Gross Gen Plant'!$D$7:$AC$91,MATCH($C1305,'Gross Gen Plant'!$C$7:$C$91,0),MATCH(Calculation!$G1305,'Gross Gen Plant'!$D$5:$AC$5,0))</f>
        <v>11932</v>
      </c>
      <c r="CA1305" s="129">
        <f t="shared" si="2294"/>
        <v>138678</v>
      </c>
      <c r="CB1305" s="129"/>
      <c r="CC1305" s="133">
        <v>2000</v>
      </c>
      <c r="CD1305" s="129"/>
      <c r="CE1305" s="129"/>
      <c r="CF1305" s="129"/>
      <c r="CG1305" s="137"/>
      <c r="CH1305" s="129">
        <f t="shared" si="2348"/>
        <v>16829</v>
      </c>
      <c r="CI1305" s="46">
        <f t="shared" ref="CI1305:CI1327" si="2357">+CH1305+BP1305</f>
        <v>16752.221476816529</v>
      </c>
      <c r="CJ1305" s="231">
        <f t="shared" si="2349"/>
        <v>48.342255357227479</v>
      </c>
      <c r="CK1305" s="443">
        <v>0.98</v>
      </c>
      <c r="CL1305" s="231">
        <f>+CL1303*CK1305+CJ1304*CK1304+CJ1305</f>
        <v>709.9988078463266</v>
      </c>
      <c r="CM1305" s="134">
        <f t="shared" si="2350"/>
        <v>6.0283439087959412E-2</v>
      </c>
      <c r="CN1305" s="135">
        <f t="shared" si="2351"/>
        <v>1.0181052043874596E-2</v>
      </c>
      <c r="CO1305" s="135"/>
      <c r="CP1305" s="134">
        <f>VLOOKUP($H1305,RoR!$E:$F,2,FALSE)</f>
        <v>7.6225000000000001E-2</v>
      </c>
      <c r="CQ1305" s="135">
        <v>2.2568307442433211E-2</v>
      </c>
      <c r="CR1305" s="135">
        <f t="shared" ref="CR1305:CR1325" si="2358">+CP1305-CQ1305</f>
        <v>5.365669255756679E-2</v>
      </c>
      <c r="CS1305" s="135"/>
      <c r="CT1305" s="135"/>
      <c r="CU1305" s="139">
        <f t="shared" si="2352"/>
        <v>0.85150049999999999</v>
      </c>
      <c r="CV1305" s="335">
        <f t="shared" si="2353"/>
        <v>0.67277207323124022</v>
      </c>
      <c r="CW1305" s="335">
        <f t="shared" si="2354"/>
        <v>0.6470236142997704</v>
      </c>
      <c r="CX1305" s="335">
        <f t="shared" si="2355"/>
        <v>0.94704866037543145</v>
      </c>
      <c r="CY1305" s="335">
        <f t="shared" si="2356"/>
        <v>0.41224973107878493</v>
      </c>
      <c r="CZ1305" s="336">
        <f>INDEX('State Tax Lookup'!$D$7:$Z$91,MATCH(Calculation!$C1305,'State Tax Lookup'!$B$7:$B$91,0),MATCH($H1305,'State Tax Lookup'!$D$6:$Z$6,0))</f>
        <v>0.40134999999999998</v>
      </c>
      <c r="DA1305" s="302">
        <v>0.37</v>
      </c>
      <c r="DB1305" s="57"/>
      <c r="DC1305" s="56"/>
      <c r="DD1305" s="303">
        <f>VLOOKUP($H1305,RoR!$E:$F,2,FALSE)</f>
        <v>7.6225000000000001E-2</v>
      </c>
      <c r="DE1305" s="304">
        <f>HLOOKUP($H1305,'GDP-PI'!$D$8:$CQ$11,3,FALSE)</f>
        <v>2.2568307442433211E-2</v>
      </c>
      <c r="DF1305" s="303">
        <f>VLOOKUP(H1305,'HW Dx Data'!$E:$F,2,FALSE)</f>
        <v>346.53371782150339</v>
      </c>
      <c r="DG1305" s="364"/>
      <c r="DH1305" s="364"/>
      <c r="DI1305" s="364"/>
      <c r="DJ1305" s="56"/>
      <c r="DK1305" s="53">
        <f>HLOOKUP(H1305,'GDP-PI'!$8:$9,2,FALSE)</f>
        <v>78.069000000000003</v>
      </c>
      <c r="DL1305" s="298"/>
    </row>
    <row r="1306" spans="1:116" s="126" customFormat="1" ht="21" customHeight="1" x14ac:dyDescent="0.4">
      <c r="A1306" s="233" t="s">
        <v>259</v>
      </c>
      <c r="B1306" s="126" t="s">
        <v>259</v>
      </c>
      <c r="C1306" s="126">
        <v>4008669</v>
      </c>
      <c r="D1306" s="127" t="s">
        <v>214</v>
      </c>
      <c r="E1306" s="127"/>
      <c r="F1306" s="144"/>
      <c r="G1306" s="126" t="s">
        <v>157</v>
      </c>
      <c r="H1306" s="128">
        <v>2001</v>
      </c>
      <c r="I1306" s="129"/>
      <c r="J1306" s="125"/>
      <c r="K1306" s="125"/>
      <c r="L1306" s="47"/>
      <c r="M1306" s="125"/>
      <c r="N1306" s="125"/>
      <c r="O1306" s="125"/>
      <c r="P1306" s="47"/>
      <c r="Q1306" s="47"/>
      <c r="R1306" s="386"/>
      <c r="S1306" s="119"/>
      <c r="T1306" s="47"/>
      <c r="U1306" s="47"/>
      <c r="V1306" s="125"/>
      <c r="W1306" s="125"/>
      <c r="X1306" s="125"/>
      <c r="Y1306" s="125"/>
      <c r="Z1306" s="125"/>
      <c r="AA1306" s="125"/>
      <c r="AB1306" s="125"/>
      <c r="AC1306" s="125">
        <f t="shared" si="2347"/>
        <v>7453.0771578125059</v>
      </c>
      <c r="AD1306" s="129"/>
      <c r="AE1306" s="133">
        <v>748.22995397702744</v>
      </c>
      <c r="AF1306" s="134">
        <v>4.2295917580380621E-2</v>
      </c>
      <c r="AG1306" s="61"/>
      <c r="AH1306" s="134"/>
      <c r="AI1306" s="134"/>
      <c r="AJ1306" s="129">
        <f t="shared" si="2252"/>
        <v>7453.0771578125059</v>
      </c>
      <c r="AK1306" s="134"/>
      <c r="AL1306" s="129"/>
      <c r="AM1306" s="129"/>
      <c r="AN1306" s="129"/>
      <c r="AO1306" s="129"/>
      <c r="AP1306" s="133"/>
      <c r="AQ1306" s="134"/>
      <c r="AR1306" s="93"/>
      <c r="AS1306" s="93"/>
      <c r="AT1306" s="93"/>
      <c r="AU1306" s="93"/>
      <c r="AV1306" s="93"/>
      <c r="AW1306" s="134"/>
      <c r="AX1306" s="93"/>
      <c r="AY1306" s="93"/>
      <c r="AZ1306" s="93"/>
      <c r="BA1306" s="93"/>
      <c r="BB1306" s="234">
        <f>IFERROR(INDEX('Total Customers'!$E$7:$AA$91,MATCH($C1306,'Total Customers'!$C$7:$C$91,0),MATCH($G1306,'Total Customers'!$E$5:$AA$5,0)),"NA")</f>
        <v>159515</v>
      </c>
      <c r="BC1306" s="269">
        <f t="shared" si="2328"/>
        <v>1.540183071127855E-2</v>
      </c>
      <c r="BD1306" s="92"/>
      <c r="BE1306" s="299" t="str">
        <f t="shared" si="2317"/>
        <v>WISCONSIN POWER AND LIGHT COMPANY</v>
      </c>
      <c r="BF1306" s="300">
        <f t="shared" si="2318"/>
        <v>4008669</v>
      </c>
      <c r="BG1306" s="231" t="str">
        <f t="shared" si="2319"/>
        <v>WI</v>
      </c>
      <c r="BH1306" s="231"/>
      <c r="BI1306" s="231" t="str">
        <f t="shared" si="2320"/>
        <v>2001 Y</v>
      </c>
      <c r="BJ1306" s="129"/>
      <c r="BK1306" s="129"/>
      <c r="BL1306" s="129">
        <f>INDEX('Dist. Plant Gas Additions'!$E$7:$AD$91,MATCH($C1306,'Dist. Plant Gas Additions'!$C$7:$C$91,0),MATCH(Calculation!$G1306,'Dist. Plant Gas Additions'!$E$5:$AD$5,0))</f>
        <v>11237</v>
      </c>
      <c r="BM1306" s="129">
        <f>INDEX('Gen. Plant Additions'!$E$7:$AD$91,MATCH($C1306,'Gen. Plant Additions'!$C$7:$C$91,0),MATCH(Calculation!$G1306,'Gen. Plant Additions'!$E$5:$AD$5,0))</f>
        <v>974</v>
      </c>
      <c r="BN1306" s="301">
        <f t="shared" si="2346"/>
        <v>0.95547279612922809</v>
      </c>
      <c r="BO1306" s="231">
        <f t="shared" si="2339"/>
        <v>930.6305034298681</v>
      </c>
      <c r="BP1306" s="231">
        <f t="shared" si="2340"/>
        <v>-43.369496570131901</v>
      </c>
      <c r="BQ1306" s="129">
        <f>INDEX('Dist Plant Depreciation'!$D$7:$AC$94,MATCH($C1306,'Dist Plant Depreciation'!$C$7:$C$94,0),MATCH(Calculation!$G1306,'Dist Plant Depreciation'!$D$5:$AC$5,0))</f>
        <v>124486</v>
      </c>
      <c r="BR1306" s="129">
        <f>INDEX('Gen. Plant Depreciation'!$D$7:$AC$94,MATCH($C1306,'Gen. Plant Depreciation'!$C$7:$C$94,0),MATCH(Calculation!$G1306,'Gen. Plant Depreciation'!$D$5:$AC$5,0))</f>
        <v>5601</v>
      </c>
      <c r="BS1306" s="129"/>
      <c r="BT1306" s="129"/>
      <c r="BU1306" s="129"/>
      <c r="BV1306" s="129"/>
      <c r="BW1306" s="129"/>
      <c r="BX1306" s="137"/>
      <c r="BY1306" s="129">
        <f>INDEX('Gross Dx Plant'!$D$7:$AC$91,MATCH($C1306,'Gross Dx Plant'!$C$7:$C$91,0),MATCH(Calculation!$G1306,'Gross Dx Plant'!$D$5:$AC$5,0))</f>
        <v>258099</v>
      </c>
      <c r="BZ1306" s="129">
        <f>INDEX('Gross Gen Plant'!$D$7:$AC$91,MATCH($C1306,'Gross Gen Plant'!$C$7:$C$91,0),MATCH(Calculation!$G1306,'Gross Gen Plant'!$D$5:$AC$5,0))</f>
        <v>12028</v>
      </c>
      <c r="CA1306" s="129">
        <f t="shared" si="2294"/>
        <v>140040</v>
      </c>
      <c r="CB1306" s="129"/>
      <c r="CC1306" s="133">
        <v>2001</v>
      </c>
      <c r="CD1306" s="129"/>
      <c r="CE1306" s="129"/>
      <c r="CF1306" s="129"/>
      <c r="CG1306" s="137"/>
      <c r="CH1306" s="129">
        <f t="shared" si="2348"/>
        <v>12211</v>
      </c>
      <c r="CI1306" s="46">
        <f t="shared" si="2357"/>
        <v>12167.630503429868</v>
      </c>
      <c r="CJ1306" s="231">
        <f t="shared" si="2349"/>
        <v>34.42557841965386</v>
      </c>
      <c r="CK1306" s="443">
        <v>0.96969696969696972</v>
      </c>
      <c r="CL1306" s="231">
        <f>+CL1303*CK1306+CJ1304*CK1305+CJ1305*CK1303+CJ1306</f>
        <v>737.48133468918809</v>
      </c>
      <c r="CM1306" s="134">
        <f t="shared" si="2350"/>
        <v>3.7977488053412577E-2</v>
      </c>
      <c r="CN1306" s="135">
        <f t="shared" si="2351"/>
        <v>9.7789623025608483E-3</v>
      </c>
      <c r="CO1306" s="135">
        <f>+(CN1306+CN1305+CN1304)/3</f>
        <v>9.9536681484817518E-3</v>
      </c>
      <c r="CP1306" s="134">
        <f>VLOOKUP($H1306,RoR!$E:$F,2,FALSE)</f>
        <v>7.0824999999999999E-2</v>
      </c>
      <c r="CQ1306" s="135">
        <v>2.2454495382290052E-2</v>
      </c>
      <c r="CR1306" s="135">
        <f t="shared" si="2358"/>
        <v>4.8370504617709947E-2</v>
      </c>
      <c r="CS1306" s="135">
        <f>+$CR$2-CO1306</f>
        <v>2.0948273460051875E-2</v>
      </c>
      <c r="CT1306" s="135">
        <v>2.3947275901631187E-2</v>
      </c>
      <c r="CU1306" s="139">
        <f t="shared" si="2352"/>
        <v>0.85150049999999999</v>
      </c>
      <c r="CV1306" s="335">
        <f t="shared" si="2353"/>
        <v>0.72406708481540816</v>
      </c>
      <c r="CW1306" s="335">
        <f t="shared" si="2354"/>
        <v>0.62201729615248857</v>
      </c>
      <c r="CX1306" s="335">
        <f t="shared" si="2355"/>
        <v>0.9352469954311422</v>
      </c>
      <c r="CY1306" s="335">
        <f t="shared" si="2356"/>
        <v>0.42121864641655071</v>
      </c>
      <c r="CZ1306" s="336">
        <f>INDEX('State Tax Lookup'!$D$7:$Z$91,MATCH(Calculation!$C1306,'State Tax Lookup'!$B$7:$B$91,0),MATCH($H1306,'State Tax Lookup'!$D$6:$Z$6,0))</f>
        <v>0.40134999999999998</v>
      </c>
      <c r="DA1306" s="302">
        <v>0.37</v>
      </c>
      <c r="DB1306" s="57">
        <f t="shared" ref="DB1306:DB1327" si="2359">+(DF1306*CS1306-CT1306)*CU1306/(1-CZ1306)</f>
        <v>10.497309397490795</v>
      </c>
      <c r="DC1306" s="56"/>
      <c r="DD1306" s="303">
        <f>VLOOKUP($H1306,RoR!$E:$F,2,FALSE)</f>
        <v>7.0824999999999999E-2</v>
      </c>
      <c r="DE1306" s="304">
        <f>HLOOKUP($H1306,'GDP-PI'!$D$8:$CQ$11,3,FALSE)</f>
        <v>2.2454495382290052E-2</v>
      </c>
      <c r="DF1306" s="303">
        <f>VLOOKUP(H1306,'HW Dx Data'!$E:$F,2,FALSE)</f>
        <v>353.44738017483138</v>
      </c>
      <c r="DG1306" s="364"/>
      <c r="DH1306" s="364"/>
      <c r="DI1306" s="364"/>
      <c r="DJ1306" s="56"/>
      <c r="DK1306" s="53">
        <f>HLOOKUP(H1306,'GDP-PI'!$8:$9,2,FALSE)</f>
        <v>79.822000000000003</v>
      </c>
      <c r="DL1306" s="298"/>
    </row>
    <row r="1307" spans="1:116" s="126" customFormat="1" ht="21" customHeight="1" x14ac:dyDescent="0.4">
      <c r="A1307" s="233" t="s">
        <v>259</v>
      </c>
      <c r="B1307" s="126" t="s">
        <v>259</v>
      </c>
      <c r="C1307" s="126">
        <v>4008669</v>
      </c>
      <c r="D1307" s="127" t="s">
        <v>214</v>
      </c>
      <c r="E1307" s="127"/>
      <c r="F1307" s="144"/>
      <c r="G1307" s="126" t="s">
        <v>158</v>
      </c>
      <c r="H1307" s="128">
        <v>2002</v>
      </c>
      <c r="I1307" s="129"/>
      <c r="J1307" s="125"/>
      <c r="K1307" s="125"/>
      <c r="L1307" s="47"/>
      <c r="M1307" s="125"/>
      <c r="N1307" s="125"/>
      <c r="O1307" s="125"/>
      <c r="P1307" s="47"/>
      <c r="Q1307" s="47"/>
      <c r="R1307" s="386"/>
      <c r="S1307" s="119"/>
      <c r="T1307" s="47"/>
      <c r="U1307" s="47"/>
      <c r="V1307" s="125"/>
      <c r="W1307" s="125"/>
      <c r="X1307" s="125"/>
      <c r="Y1307" s="125"/>
      <c r="Z1307" s="125"/>
      <c r="AA1307" s="125"/>
      <c r="AB1307" s="125"/>
      <c r="AC1307" s="125">
        <f t="shared" si="2347"/>
        <v>7726.9850276023853</v>
      </c>
      <c r="AD1307" s="129"/>
      <c r="AE1307" s="133">
        <v>761.63986310585062</v>
      </c>
      <c r="AF1307" s="134">
        <v>1.776346753829279E-2</v>
      </c>
      <c r="AG1307" s="61"/>
      <c r="AH1307" s="134"/>
      <c r="AI1307" s="134"/>
      <c r="AJ1307" s="129">
        <f t="shared" si="2252"/>
        <v>7726.9850276023853</v>
      </c>
      <c r="AK1307" s="134"/>
      <c r="AL1307" s="129"/>
      <c r="AM1307" s="129"/>
      <c r="AN1307" s="129"/>
      <c r="AO1307" s="129"/>
      <c r="AP1307" s="133"/>
      <c r="AQ1307" s="134"/>
      <c r="AR1307" s="93"/>
      <c r="AS1307" s="93"/>
      <c r="AT1307" s="93"/>
      <c r="AU1307" s="93"/>
      <c r="AV1307" s="93"/>
      <c r="AW1307" s="134"/>
      <c r="AX1307" s="93"/>
      <c r="AY1307" s="93"/>
      <c r="AZ1307" s="93"/>
      <c r="BA1307" s="93"/>
      <c r="BB1307" s="234">
        <f>IFERROR(INDEX('Total Customers'!$E$7:$AA$91,MATCH($C1307,'Total Customers'!$C$7:$C$91,0),MATCH($G1307,'Total Customers'!$E$5:$AA$5,0)),"NA")</f>
        <v>165567</v>
      </c>
      <c r="BC1307" s="269">
        <f t="shared" si="2328"/>
        <v>3.7237985040669837E-2</v>
      </c>
      <c r="BD1307" s="92"/>
      <c r="BE1307" s="299" t="str">
        <f t="shared" si="2317"/>
        <v>WISCONSIN POWER AND LIGHT COMPANY</v>
      </c>
      <c r="BF1307" s="300">
        <f t="shared" si="2318"/>
        <v>4008669</v>
      </c>
      <c r="BG1307" s="231" t="str">
        <f t="shared" si="2319"/>
        <v>WI</v>
      </c>
      <c r="BH1307" s="231"/>
      <c r="BI1307" s="231" t="str">
        <f t="shared" si="2320"/>
        <v>2002 Y</v>
      </c>
      <c r="BJ1307" s="129"/>
      <c r="BK1307" s="129"/>
      <c r="BL1307" s="129">
        <f>INDEX('Dist. Plant Gas Additions'!$E$7:$AD$91,MATCH($C1307,'Dist. Plant Gas Additions'!$C$7:$C$91,0),MATCH(Calculation!$G1307,'Dist. Plant Gas Additions'!$E$5:$AD$5,0))</f>
        <v>6134</v>
      </c>
      <c r="BM1307" s="129">
        <f>INDEX('Gen. Plant Additions'!$E$7:$AD$91,MATCH($C1307,'Gen. Plant Additions'!$C$7:$C$91,0),MATCH(Calculation!$G1307,'Gen. Plant Additions'!$E$5:$AD$5,0))</f>
        <v>278</v>
      </c>
      <c r="BN1307" s="301">
        <f t="shared" si="2346"/>
        <v>0.95585721905923082</v>
      </c>
      <c r="BO1307" s="231">
        <f t="shared" si="2339"/>
        <v>265.72830689846614</v>
      </c>
      <c r="BP1307" s="231">
        <f t="shared" si="2340"/>
        <v>-12.271693101533856</v>
      </c>
      <c r="BQ1307" s="129">
        <f>INDEX('Dist Plant Depreciation'!$D$7:$AC$94,MATCH($C1307,'Dist Plant Depreciation'!$C$7:$C$94,0),MATCH(Calculation!$G1307,'Dist Plant Depreciation'!$D$5:$AC$5,0))</f>
        <v>132894</v>
      </c>
      <c r="BR1307" s="129">
        <f>INDEX('Gen. Plant Depreciation'!$D$7:$AC$94,MATCH($C1307,'Gen. Plant Depreciation'!$C$7:$C$94,0),MATCH(Calculation!$G1307,'Gen. Plant Depreciation'!$D$5:$AC$5,0))</f>
        <v>7042</v>
      </c>
      <c r="BS1307" s="129"/>
      <c r="BT1307" s="129"/>
      <c r="BU1307" s="129"/>
      <c r="BV1307" s="129"/>
      <c r="BW1307" s="129"/>
      <c r="BX1307" s="137"/>
      <c r="BY1307" s="129">
        <f>INDEX('Gross Dx Plant'!$D$7:$AC$91,MATCH($C1307,'Gross Dx Plant'!$C$7:$C$91,0),MATCH(Calculation!$G1307,'Gross Dx Plant'!$D$5:$AC$5,0))</f>
        <v>263418</v>
      </c>
      <c r="BZ1307" s="129">
        <f>INDEX('Gross Gen Plant'!$D$7:$AC$91,MATCH($C1307,'Gross Gen Plant'!$C$7:$C$91,0),MATCH(Calculation!$G1307,'Gross Gen Plant'!$D$5:$AC$5,0))</f>
        <v>12165</v>
      </c>
      <c r="CA1307" s="129">
        <f t="shared" si="2294"/>
        <v>135647</v>
      </c>
      <c r="CB1307" s="129"/>
      <c r="CC1307" s="133">
        <v>2002</v>
      </c>
      <c r="CD1307" s="129"/>
      <c r="CE1307" s="129"/>
      <c r="CF1307" s="129"/>
      <c r="CG1307" s="137"/>
      <c r="CH1307" s="129">
        <f t="shared" si="2348"/>
        <v>6412</v>
      </c>
      <c r="CI1307" s="46">
        <f t="shared" si="2357"/>
        <v>6399.7283068984661</v>
      </c>
      <c r="CJ1307" s="231">
        <f t="shared" si="2349"/>
        <v>17.710698195731545</v>
      </c>
      <c r="CK1307" s="443">
        <v>0.95918367346938771</v>
      </c>
      <c r="CL1307" s="231">
        <f>+CL1303*CK1307+CJ1304*CK1306+CJ1305*CK1305+CJ1306*CK1304+CJ1307</f>
        <v>746.79968214606993</v>
      </c>
      <c r="CM1307" s="134">
        <f t="shared" si="2350"/>
        <v>1.255620704856986E-2</v>
      </c>
      <c r="CN1307" s="135">
        <f t="shared" si="2351"/>
        <v>1.1379746637773101E-2</v>
      </c>
      <c r="CO1307" s="135">
        <f t="shared" ref="CO1307:CO1327" si="2360">+(CN1307+CN1306+CN1305)/3</f>
        <v>1.0446586994736181E-2</v>
      </c>
      <c r="CP1307" s="134">
        <f>VLOOKUP($H1307,RoR!$E:$F,2,FALSE)</f>
        <v>6.4916666666666664E-2</v>
      </c>
      <c r="CQ1307" s="135">
        <v>1.5246423291824351E-2</v>
      </c>
      <c r="CR1307" s="135">
        <f t="shared" si="2358"/>
        <v>4.9670243374842313E-2</v>
      </c>
      <c r="CS1307" s="135">
        <f t="shared" ref="CS1307:CS1327" si="2361">+$CR$2-CO1307</f>
        <v>2.0455354613797445E-2</v>
      </c>
      <c r="CT1307" s="135">
        <v>2.5243621214759093E-2</v>
      </c>
      <c r="CU1307" s="139">
        <f t="shared" si="2352"/>
        <v>0.85150049999999999</v>
      </c>
      <c r="CV1307" s="335">
        <f t="shared" si="2353"/>
        <v>0.78996741384417901</v>
      </c>
      <c r="CW1307" s="335">
        <f t="shared" si="2354"/>
        <v>0.58989088575096271</v>
      </c>
      <c r="CX1307" s="335">
        <f t="shared" si="2355"/>
        <v>0.91920675783645744</v>
      </c>
      <c r="CY1307" s="335">
        <f t="shared" si="2356"/>
        <v>0.42834536472275586</v>
      </c>
      <c r="CZ1307" s="336">
        <f>INDEX('State Tax Lookup'!$D$7:$Z$91,MATCH(Calculation!$C1307,'State Tax Lookup'!$B$7:$B$91,0),MATCH($H1307,'State Tax Lookup'!$D$6:$Z$6,0))</f>
        <v>0.40134999999999998</v>
      </c>
      <c r="DA1307" s="302">
        <v>0.37</v>
      </c>
      <c r="DB1307" s="57">
        <f t="shared" si="2359"/>
        <v>10.477533008830559</v>
      </c>
      <c r="DC1307" s="56">
        <f t="shared" ref="DC1307:DC1325" si="2362">LN(DB1307/DB1306)</f>
        <v>-1.8857252071283824E-3</v>
      </c>
      <c r="DD1307" s="303">
        <f>VLOOKUP($H1307,RoR!$E:$F,2,FALSE)</f>
        <v>6.4916666666666664E-2</v>
      </c>
      <c r="DE1307" s="304">
        <f>HLOOKUP($H1307,'GDP-PI'!$D$8:$CQ$11,3,FALSE)</f>
        <v>1.5246423291824351E-2</v>
      </c>
      <c r="DF1307" s="303">
        <f>VLOOKUP(H1307,'HW Dx Data'!$E:$F,2,FALSE)</f>
        <v>361.34816573413599</v>
      </c>
      <c r="DG1307" s="364"/>
      <c r="DH1307" s="364"/>
      <c r="DI1307" s="364"/>
      <c r="DJ1307" s="56"/>
      <c r="DK1307" s="53">
        <f>HLOOKUP(H1307,'GDP-PI'!$8:$9,2,FALSE)</f>
        <v>81.039000000000001</v>
      </c>
      <c r="DL1307" s="355">
        <f>LN(DK1307/DK1306)</f>
        <v>1.513136459537477E-2</v>
      </c>
    </row>
    <row r="1308" spans="1:116" s="126" customFormat="1" ht="21" customHeight="1" x14ac:dyDescent="0.4">
      <c r="A1308" s="233" t="s">
        <v>259</v>
      </c>
      <c r="B1308" s="126" t="s">
        <v>259</v>
      </c>
      <c r="C1308" s="126">
        <v>4008669</v>
      </c>
      <c r="D1308" s="127" t="s">
        <v>214</v>
      </c>
      <c r="E1308" s="127"/>
      <c r="F1308" s="144"/>
      <c r="G1308" s="126" t="s">
        <v>159</v>
      </c>
      <c r="H1308" s="128">
        <v>2003</v>
      </c>
      <c r="I1308" s="129"/>
      <c r="J1308" s="125"/>
      <c r="K1308" s="125"/>
      <c r="L1308" s="47"/>
      <c r="M1308" s="125"/>
      <c r="N1308" s="125"/>
      <c r="O1308" s="125"/>
      <c r="P1308" s="59"/>
      <c r="Q1308" s="59"/>
      <c r="R1308" s="386"/>
      <c r="S1308" s="119"/>
      <c r="T1308" s="59"/>
      <c r="U1308" s="59"/>
      <c r="V1308" s="125"/>
      <c r="W1308" s="125"/>
      <c r="X1308" s="125"/>
      <c r="Y1308" s="125"/>
      <c r="Z1308" s="125"/>
      <c r="AA1308" s="125"/>
      <c r="AB1308" s="125"/>
      <c r="AC1308" s="125">
        <f t="shared" si="2347"/>
        <v>7886.5189819162606</v>
      </c>
      <c r="AD1308" s="129"/>
      <c r="AE1308" s="133">
        <v>802.7638292199498</v>
      </c>
      <c r="AF1308" s="134">
        <v>5.2586736756973937E-2</v>
      </c>
      <c r="AG1308" s="61"/>
      <c r="AH1308" s="134"/>
      <c r="AI1308" s="134"/>
      <c r="AJ1308" s="129">
        <f t="shared" si="2252"/>
        <v>7886.5189819162606</v>
      </c>
      <c r="AK1308" s="134"/>
      <c r="AL1308" s="129"/>
      <c r="AM1308" s="129"/>
      <c r="AN1308" s="129"/>
      <c r="AO1308" s="129"/>
      <c r="AP1308" s="133"/>
      <c r="AQ1308" s="134"/>
      <c r="AR1308" s="93"/>
      <c r="AS1308" s="93"/>
      <c r="AT1308" s="93"/>
      <c r="AU1308" s="93"/>
      <c r="AV1308" s="93"/>
      <c r="AW1308" s="134"/>
      <c r="AX1308" s="93"/>
      <c r="AY1308" s="93"/>
      <c r="AZ1308" s="93"/>
      <c r="BA1308" s="93"/>
      <c r="BB1308" s="234">
        <f>IFERROR(INDEX('Total Customers'!$E$7:$AA$91,MATCH($C1308,'Total Customers'!$C$7:$C$91,0),MATCH($G1308,'Total Customers'!$E$5:$AA$5,0)),"NA")</f>
        <v>166961</v>
      </c>
      <c r="BC1308" s="269">
        <f t="shared" si="2328"/>
        <v>8.3843054786942092E-3</v>
      </c>
      <c r="BD1308" s="92"/>
      <c r="BE1308" s="299" t="str">
        <f t="shared" si="2317"/>
        <v>WISCONSIN POWER AND LIGHT COMPANY</v>
      </c>
      <c r="BF1308" s="300">
        <f t="shared" si="2318"/>
        <v>4008669</v>
      </c>
      <c r="BG1308" s="231" t="str">
        <f t="shared" si="2319"/>
        <v>WI</v>
      </c>
      <c r="BH1308" s="231"/>
      <c r="BI1308" s="231" t="str">
        <f t="shared" si="2320"/>
        <v>2003 Y</v>
      </c>
      <c r="BJ1308" s="129"/>
      <c r="BK1308" s="129"/>
      <c r="BL1308" s="129">
        <f>INDEX('Dist. Plant Gas Additions'!$E$7:$AD$91,MATCH($C1308,'Dist. Plant Gas Additions'!$C$7:$C$91,0),MATCH(Calculation!$G1308,'Dist. Plant Gas Additions'!$E$5:$AD$5,0))</f>
        <v>16462</v>
      </c>
      <c r="BM1308" s="129">
        <f>INDEX('Gen. Plant Additions'!$E$7:$AD$91,MATCH($C1308,'Gen. Plant Additions'!$C$7:$C$91,0),MATCH(Calculation!$G1308,'Gen. Plant Additions'!$E$5:$AD$5,0))</f>
        <v>314</v>
      </c>
      <c r="BN1308" s="301">
        <f t="shared" si="2346"/>
        <v>0.96263969131584215</v>
      </c>
      <c r="BO1308" s="231">
        <f t="shared" si="2339"/>
        <v>302.26886307317443</v>
      </c>
      <c r="BP1308" s="231">
        <f t="shared" si="2340"/>
        <v>-11.73113692682557</v>
      </c>
      <c r="BQ1308" s="129">
        <f>INDEX('Dist Plant Depreciation'!$D$7:$AC$94,MATCH($C1308,'Dist Plant Depreciation'!$C$7:$C$94,0),MATCH(Calculation!$G1308,'Dist Plant Depreciation'!$D$5:$AC$5,0))</f>
        <v>141966</v>
      </c>
      <c r="BR1308" s="129">
        <f>INDEX('Gen. Plant Depreciation'!$D$7:$AC$94,MATCH($C1308,'Gen. Plant Depreciation'!$C$7:$C$94,0),MATCH(Calculation!$G1308,'Gen. Plant Depreciation'!$D$5:$AC$5,0))</f>
        <v>6928</v>
      </c>
      <c r="BS1308" s="129"/>
      <c r="BT1308" s="129"/>
      <c r="BU1308" s="129"/>
      <c r="BV1308" s="129"/>
      <c r="BW1308" s="129"/>
      <c r="BX1308" s="137"/>
      <c r="BY1308" s="129">
        <f>INDEX('Gross Dx Plant'!$D$7:$AC$91,MATCH($C1308,'Gross Dx Plant'!$C$7:$C$91,0),MATCH(Calculation!$G1308,'Gross Dx Plant'!$D$5:$AC$5,0))</f>
        <v>278921</v>
      </c>
      <c r="BZ1308" s="129">
        <f>INDEX('Gross Gen Plant'!$D$7:$AC$91,MATCH($C1308,'Gross Gen Plant'!$C$7:$C$91,0),MATCH(Calculation!$G1308,'Gross Gen Plant'!$D$5:$AC$5,0))</f>
        <v>10825</v>
      </c>
      <c r="CA1308" s="129">
        <f t="shared" si="2294"/>
        <v>140852</v>
      </c>
      <c r="CB1308" s="129"/>
      <c r="CC1308" s="133">
        <v>2003</v>
      </c>
      <c r="CD1308" s="129"/>
      <c r="CE1308" s="129"/>
      <c r="CF1308" s="129"/>
      <c r="CG1308" s="137"/>
      <c r="CH1308" s="129">
        <f t="shared" si="2348"/>
        <v>16776</v>
      </c>
      <c r="CI1308" s="46">
        <f t="shared" si="2357"/>
        <v>16764.268863073175</v>
      </c>
      <c r="CJ1308" s="231">
        <f t="shared" si="2349"/>
        <v>45.402952514148254</v>
      </c>
      <c r="CK1308" s="443">
        <v>0.94845360824742264</v>
      </c>
      <c r="CL1308" s="231">
        <f>+CL1303*CK1308+CJ1304*CK1307+CJ1305*CK1306+CJ1306*CK1305+CJ1307*CK1304+CJ1308</f>
        <v>783.95090330651635</v>
      </c>
      <c r="CM1308" s="134">
        <f t="shared" si="2350"/>
        <v>4.854940900970698E-2</v>
      </c>
      <c r="CN1308" s="135">
        <f t="shared" si="2351"/>
        <v>1.104945750644794E-2</v>
      </c>
      <c r="CO1308" s="135">
        <f t="shared" si="2360"/>
        <v>1.0736055482260629E-2</v>
      </c>
      <c r="CP1308" s="134">
        <f>VLOOKUP($H1308,RoR!$E:$F,2,FALSE)</f>
        <v>5.6666666666666671E-2</v>
      </c>
      <c r="CQ1308" s="135">
        <v>1.8855119140166909E-2</v>
      </c>
      <c r="CR1308" s="135">
        <f t="shared" si="2358"/>
        <v>3.7811547526499761E-2</v>
      </c>
      <c r="CS1308" s="135">
        <f t="shared" si="2361"/>
        <v>2.0165886126272996E-2</v>
      </c>
      <c r="CT1308" s="135">
        <v>2.1375012817671957E-2</v>
      </c>
      <c r="CU1308" s="139">
        <f t="shared" si="2352"/>
        <v>0.85150049999999999</v>
      </c>
      <c r="CV1308" s="335">
        <f t="shared" si="2353"/>
        <v>0.90497737556561086</v>
      </c>
      <c r="CW1308" s="335">
        <f t="shared" si="2354"/>
        <v>0.5338235294117647</v>
      </c>
      <c r="CX1308" s="335">
        <f t="shared" si="2355"/>
        <v>0.88972433127405692</v>
      </c>
      <c r="CY1308" s="335">
        <f t="shared" si="2356"/>
        <v>0.42982423775949252</v>
      </c>
      <c r="CZ1308" s="336">
        <f>INDEX('State Tax Lookup'!$D$7:$Z$91,MATCH(Calculation!$C1308,'State Tax Lookup'!$B$7:$B$91,0),MATCH($H1308,'State Tax Lookup'!$D$6:$Z$6,0))</f>
        <v>0.40134999999999998</v>
      </c>
      <c r="DA1308" s="302">
        <v>0.37</v>
      </c>
      <c r="DB1308" s="57">
        <f t="shared" si="2359"/>
        <v>10.560420914016539</v>
      </c>
      <c r="DC1308" s="56">
        <f t="shared" si="2362"/>
        <v>7.8798855043869798E-3</v>
      </c>
      <c r="DD1308" s="303">
        <f>VLOOKUP($H1308,RoR!$E:$F,2,FALSE)</f>
        <v>5.6666666666666671E-2</v>
      </c>
      <c r="DE1308" s="304">
        <f>HLOOKUP($H1308,'GDP-PI'!$D$8:$CQ$11,3,FALSE)</f>
        <v>1.8855119140166909E-2</v>
      </c>
      <c r="DF1308" s="303">
        <f>VLOOKUP(H1308,'HW Dx Data'!$E:$F,2,FALSE)</f>
        <v>369.23301095560191</v>
      </c>
      <c r="DG1308" s="364">
        <f ca="1">VLOOKUP(CC1308,'ECI - Input Price'!M$13:N$33,2,FALSE)</f>
        <v>89.25</v>
      </c>
      <c r="DH1308" s="364"/>
      <c r="DI1308" s="364"/>
      <c r="DJ1308" s="56"/>
      <c r="DK1308" s="53">
        <f>HLOOKUP(H1308,'GDP-PI'!$8:$9,2,FALSE)</f>
        <v>82.566999999999993</v>
      </c>
      <c r="DL1308" s="355">
        <f t="shared" ref="DL1308:DL1327" si="2363">LN(DK1308/DK1307)</f>
        <v>1.8679564681853753E-2</v>
      </c>
    </row>
    <row r="1309" spans="1:116" s="126" customFormat="1" ht="21" customHeight="1" x14ac:dyDescent="0.4">
      <c r="A1309" s="233" t="s">
        <v>259</v>
      </c>
      <c r="B1309" s="126" t="s">
        <v>259</v>
      </c>
      <c r="C1309" s="126">
        <v>4008669</v>
      </c>
      <c r="D1309" s="127" t="s">
        <v>214</v>
      </c>
      <c r="E1309" s="127"/>
      <c r="F1309" s="144"/>
      <c r="G1309" s="126" t="s">
        <v>160</v>
      </c>
      <c r="H1309" s="128">
        <v>2004</v>
      </c>
      <c r="I1309" s="129"/>
      <c r="J1309" s="125">
        <f>IFERROR(INDEX('Labor Expenditures'!$E$7:$W$91,MATCH($C1309,'Labor Expenditures'!$C$7:$C$91,0),MATCH($G1309,'Labor Expenditures'!$E$5:$W$5,0)),"NA")</f>
        <v>9427.210217984577</v>
      </c>
      <c r="K1309" s="125">
        <f t="shared" ref="K1309:K1327" ca="1" si="2364">+J1309/DG1309</f>
        <v>99.91743739252334</v>
      </c>
      <c r="L1309" s="47"/>
      <c r="M1309" s="131"/>
      <c r="N1309" s="131"/>
      <c r="O1309" s="131"/>
      <c r="P1309" s="59"/>
      <c r="Q1309" s="59"/>
      <c r="R1309" s="386"/>
      <c r="S1309" s="119"/>
      <c r="T1309" s="59"/>
      <c r="U1309" s="59"/>
      <c r="V1309" s="125">
        <f>IFERROR(INDEX('Non-Labor Expenditures'!$E$7:$AA$91,MATCH($C1309,'Non-Labor Expenditures'!$C$7:$C$91,0),MATCH($G1309,'Non-Labor Expenditures'!$E$5:$AA$5,0)),"NA")</f>
        <v>13652.361155632041</v>
      </c>
      <c r="W1309" s="125">
        <f t="shared" ref="W1309:W1327" si="2365">+V1309/DK1309</f>
        <v>161.03660331255799</v>
      </c>
      <c r="X1309" s="125"/>
      <c r="Y1309" s="125"/>
      <c r="Z1309" s="125"/>
      <c r="AA1309" s="125"/>
      <c r="AB1309" s="125"/>
      <c r="AC1309" s="125">
        <f t="shared" si="2347"/>
        <v>9029.6193734401168</v>
      </c>
      <c r="AD1309" s="129"/>
      <c r="AE1309" s="133">
        <v>845.42936505829834</v>
      </c>
      <c r="AF1309" s="134">
        <v>5.1784062507760707E-2</v>
      </c>
      <c r="AG1309" s="59">
        <f t="shared" ref="AG1309:AG1327" si="2366">+AF1309*$AX1309</f>
        <v>0</v>
      </c>
      <c r="AH1309" s="134"/>
      <c r="AI1309" s="134"/>
      <c r="AJ1309" s="129">
        <f t="shared" si="2252"/>
        <v>32109.190747056735</v>
      </c>
      <c r="AK1309" s="134"/>
      <c r="AL1309" s="129"/>
      <c r="AM1309" s="129"/>
      <c r="AN1309" s="129"/>
      <c r="AO1309" s="129"/>
      <c r="AP1309" s="133"/>
      <c r="AQ1309" s="134"/>
      <c r="AR1309" s="93">
        <f t="shared" ref="AR1309:AR1327" si="2367">+J1309/AJ1309</f>
        <v>0.29359849932838045</v>
      </c>
      <c r="AS1309" s="93">
        <f t="shared" ref="AS1309:AS1327" si="2368">+V1309/AJ1309</f>
        <v>0.42518546366303156</v>
      </c>
      <c r="AT1309" s="93">
        <f t="shared" ref="AT1309:AT1327" si="2369">+AC1309/AJ1309</f>
        <v>0.28121603700858794</v>
      </c>
      <c r="AU1309" s="93"/>
      <c r="AV1309" s="93"/>
      <c r="AW1309" s="134"/>
      <c r="AX1309" s="93"/>
      <c r="AY1309" s="93"/>
      <c r="AZ1309" s="93"/>
      <c r="BA1309" s="93"/>
      <c r="BB1309" s="234">
        <f>IFERROR(INDEX('Total Customers'!$E$7:$AA$91,MATCH($C1309,'Total Customers'!$C$7:$C$91,0),MATCH($G1309,'Total Customers'!$E$5:$AA$5,0)),"NA")</f>
        <v>169216</v>
      </c>
      <c r="BC1309" s="269">
        <f t="shared" si="2328"/>
        <v>1.3415753139550235E-2</v>
      </c>
      <c r="BD1309" s="92"/>
      <c r="BE1309" s="299" t="str">
        <f t="shared" si="2317"/>
        <v>WISCONSIN POWER AND LIGHT COMPANY</v>
      </c>
      <c r="BF1309" s="300">
        <f t="shared" si="2318"/>
        <v>4008669</v>
      </c>
      <c r="BG1309" s="231" t="str">
        <f t="shared" si="2319"/>
        <v>WI</v>
      </c>
      <c r="BH1309" s="231"/>
      <c r="BI1309" s="231" t="str">
        <f t="shared" si="2320"/>
        <v>2004 Y</v>
      </c>
      <c r="BJ1309" s="129"/>
      <c r="BK1309" s="129"/>
      <c r="BL1309" s="129">
        <f>INDEX('Dist. Plant Gas Additions'!$E$7:$AD$91,MATCH($C1309,'Dist. Plant Gas Additions'!$C$7:$C$91,0),MATCH(Calculation!$G1309,'Dist. Plant Gas Additions'!$E$5:$AD$5,0))</f>
        <v>18903</v>
      </c>
      <c r="BM1309" s="129">
        <f>INDEX('Gen. Plant Additions'!$E$7:$AD$91,MATCH($C1309,'Gen. Plant Additions'!$C$7:$C$91,0),MATCH(Calculation!$G1309,'Gen. Plant Additions'!$E$5:$AD$5,0))</f>
        <v>738</v>
      </c>
      <c r="BN1309" s="301">
        <f t="shared" si="2346"/>
        <v>0.96363779853801457</v>
      </c>
      <c r="BO1309" s="231">
        <f t="shared" si="2339"/>
        <v>711.16469532105475</v>
      </c>
      <c r="BP1309" s="231">
        <f t="shared" si="2340"/>
        <v>-26.835304678945249</v>
      </c>
      <c r="BQ1309" s="129">
        <f>INDEX('Dist Plant Depreciation'!$D$7:$AC$94,MATCH($C1309,'Dist Plant Depreciation'!$C$7:$C$94,0),MATCH(Calculation!$G1309,'Dist Plant Depreciation'!$D$5:$AC$5,0))</f>
        <v>147410</v>
      </c>
      <c r="BR1309" s="129">
        <f>INDEX('Gen. Plant Depreciation'!$D$7:$AC$94,MATCH($C1309,'Gen. Plant Depreciation'!$C$7:$C$94,0),MATCH(Calculation!$G1309,'Gen. Plant Depreciation'!$D$5:$AC$5,0))</f>
        <v>7939</v>
      </c>
      <c r="BS1309" s="129"/>
      <c r="BT1309" s="129"/>
      <c r="BU1309" s="129"/>
      <c r="BV1309" s="129"/>
      <c r="BW1309" s="129"/>
      <c r="BX1309" s="137"/>
      <c r="BY1309" s="129">
        <f>INDEX('Gross Dx Plant'!$D$7:$AC$91,MATCH($C1309,'Gross Dx Plant'!$C$7:$C$91,0),MATCH(Calculation!$G1309,'Gross Dx Plant'!$D$5:$AC$5,0))</f>
        <v>293049</v>
      </c>
      <c r="BZ1309" s="129">
        <f>INDEX('Gross Gen Plant'!$D$7:$AC$91,MATCH($C1309,'Gross Gen Plant'!$C$7:$C$91,0),MATCH(Calculation!$G1309,'Gross Gen Plant'!$D$5:$AC$5,0))</f>
        <v>11058</v>
      </c>
      <c r="CA1309" s="129">
        <f t="shared" si="2294"/>
        <v>148758</v>
      </c>
      <c r="CB1309" s="129"/>
      <c r="CC1309" s="133">
        <v>2004</v>
      </c>
      <c r="CD1309" s="129"/>
      <c r="CE1309" s="129"/>
      <c r="CF1309" s="129"/>
      <c r="CG1309" s="137"/>
      <c r="CH1309" s="129">
        <f t="shared" si="2348"/>
        <v>19641</v>
      </c>
      <c r="CI1309" s="46">
        <f t="shared" si="2357"/>
        <v>19614.164695321055</v>
      </c>
      <c r="CJ1309" s="231">
        <f t="shared" si="2349"/>
        <v>47.275898374665729</v>
      </c>
      <c r="CK1309" s="443">
        <v>0.9375</v>
      </c>
      <c r="CL1309" s="231">
        <f>+CL1303*CK1309+CJ1304*CK1308+CJ1305*CK1307+CJ1306*CK1306+CJ1307*CK1305+CJ1308*CK1304+CJ1309</f>
        <v>822.35429810118785</v>
      </c>
      <c r="CM1309" s="134">
        <f t="shared" si="2350"/>
        <v>4.7824926725779801E-2</v>
      </c>
      <c r="CN1309" s="135">
        <f t="shared" si="2351"/>
        <v>1.1317677602732702E-2</v>
      </c>
      <c r="CO1309" s="135">
        <f t="shared" si="2360"/>
        <v>1.1248960582317913E-2</v>
      </c>
      <c r="CP1309" s="134">
        <f>VLOOKUP($H1309,RoR!$E:$F,2,FALSE)</f>
        <v>5.6283333333333331E-2</v>
      </c>
      <c r="CQ1309" s="135">
        <v>2.6778252812867276E-2</v>
      </c>
      <c r="CR1309" s="135">
        <f t="shared" si="2358"/>
        <v>2.9505080520466055E-2</v>
      </c>
      <c r="CS1309" s="135">
        <f t="shared" si="2361"/>
        <v>1.965298102621571E-2</v>
      </c>
      <c r="CT1309" s="135">
        <v>5.5940039414565046E-2</v>
      </c>
      <c r="CU1309" s="139">
        <f t="shared" si="2352"/>
        <v>0.85150049999999999</v>
      </c>
      <c r="CV1309" s="335">
        <f t="shared" si="2353"/>
        <v>0.91114097628755619</v>
      </c>
      <c r="CW1309" s="335">
        <f t="shared" si="2354"/>
        <v>0.53081877405981637</v>
      </c>
      <c r="CX1309" s="335">
        <f t="shared" si="2355"/>
        <v>0.88811215519385678</v>
      </c>
      <c r="CY1309" s="335">
        <f t="shared" si="2356"/>
        <v>0.42953609753547711</v>
      </c>
      <c r="CZ1309" s="336">
        <f>INDEX('State Tax Lookup'!$D$7:$Z$91,MATCH(Calculation!$C1309,'State Tax Lookup'!$B$7:$B$91,0),MATCH($H1309,'State Tax Lookup'!$D$6:$Z$6,0))</f>
        <v>0.40134999999999998</v>
      </c>
      <c r="DA1309" s="302">
        <v>0.37</v>
      </c>
      <c r="DB1309" s="57">
        <f t="shared" si="2359"/>
        <v>11.518092951172521</v>
      </c>
      <c r="DC1309" s="56">
        <f t="shared" si="2362"/>
        <v>8.6805962365518866E-2</v>
      </c>
      <c r="DD1309" s="303">
        <f>VLOOKUP($H1309,RoR!$E:$F,2,FALSE)</f>
        <v>5.6283333333333331E-2</v>
      </c>
      <c r="DE1309" s="304">
        <f>HLOOKUP($H1309,'GDP-PI'!$D$8:$CQ$11,3,FALSE)</f>
        <v>2.6778252812867276E-2</v>
      </c>
      <c r="DF1309" s="303">
        <f>VLOOKUP(H1309,'HW Dx Data'!$E:$F,2,FALSE)</f>
        <v>414.88719135228365</v>
      </c>
      <c r="DG1309" s="364">
        <f ca="1">VLOOKUP(CC1309,'ECI - Input Price'!M$13:N$33,2,FALSE)</f>
        <v>94.35</v>
      </c>
      <c r="DH1309" s="364"/>
      <c r="DI1309" s="364"/>
      <c r="DJ1309" s="56">
        <f t="shared" ref="DJ1309:DJ1327" ca="1" si="2370">LN(DG1309/DG1308)</f>
        <v>5.5569851154810786E-2</v>
      </c>
      <c r="DK1309" s="53">
        <f>HLOOKUP(H1309,'GDP-PI'!$8:$9,2,FALSE)</f>
        <v>84.778000000000006</v>
      </c>
      <c r="DL1309" s="355">
        <f t="shared" si="2363"/>
        <v>2.6425990216022755E-2</v>
      </c>
    </row>
    <row r="1310" spans="1:116" s="126" customFormat="1" ht="21" customHeight="1" x14ac:dyDescent="0.4">
      <c r="A1310" s="233" t="s">
        <v>259</v>
      </c>
      <c r="B1310" s="126" t="s">
        <v>259</v>
      </c>
      <c r="C1310" s="126">
        <v>4008669</v>
      </c>
      <c r="D1310" s="127" t="s">
        <v>214</v>
      </c>
      <c r="E1310" s="127"/>
      <c r="F1310" s="144"/>
      <c r="G1310" s="126" t="s">
        <v>161</v>
      </c>
      <c r="H1310" s="128">
        <v>2005</v>
      </c>
      <c r="I1310" s="129"/>
      <c r="J1310" s="125">
        <f>IFERROR(INDEX('Labor Expenditures'!$E$7:$W$91,MATCH($C1310,'Labor Expenditures'!$C$7:$C$91,0),MATCH($G1310,'Labor Expenditures'!$E$5:$W$5,0)),"NA")</f>
        <v>8067.5425623243082</v>
      </c>
      <c r="K1310" s="125">
        <f t="shared" ca="1" si="2364"/>
        <v>81.305543586034858</v>
      </c>
      <c r="L1310" s="47"/>
      <c r="M1310" s="131">
        <f t="shared" ref="M1310:M1326" ca="1" si="2371">LN(K1310/K1309)</f>
        <v>-0.20613001787715451</v>
      </c>
      <c r="N1310" s="131"/>
      <c r="O1310" s="131"/>
      <c r="P1310" s="59"/>
      <c r="Q1310" s="61"/>
      <c r="R1310" s="387"/>
      <c r="S1310" s="49">
        <v>100</v>
      </c>
      <c r="T1310" s="46"/>
      <c r="U1310" s="46"/>
      <c r="V1310" s="125">
        <f>IFERROR(INDEX('Non-Labor Expenditures'!$E$7:$AA$91,MATCH($C1310,'Non-Labor Expenditures'!$C$7:$C$91,0),MATCH($G1310,'Non-Labor Expenditures'!$E$5:$AA$5,0)),"NA")</f>
        <v>11683.308439347753</v>
      </c>
      <c r="W1310" s="125">
        <f t="shared" si="2365"/>
        <v>133.66559245080776</v>
      </c>
      <c r="X1310" s="131">
        <f>LN(W1310/W1309)</f>
        <v>-0.1862905868333182</v>
      </c>
      <c r="Y1310" s="131"/>
      <c r="Z1310" s="131"/>
      <c r="AA1310" s="131"/>
      <c r="AB1310" s="131"/>
      <c r="AC1310" s="125">
        <f t="shared" si="2347"/>
        <v>10640.901873257699</v>
      </c>
      <c r="AD1310" s="129"/>
      <c r="AE1310" s="133">
        <v>875.60739408298696</v>
      </c>
      <c r="AF1310" s="134">
        <v>3.5073187567964785E-2</v>
      </c>
      <c r="AG1310" s="59">
        <f t="shared" si="2366"/>
        <v>0</v>
      </c>
      <c r="AH1310" s="134"/>
      <c r="AI1310" s="134"/>
      <c r="AJ1310" s="129">
        <f t="shared" ref="AJ1310:AJ1352" si="2372">+J1310+V1310+AC1310</f>
        <v>30391.75287492976</v>
      </c>
      <c r="AK1310" s="134">
        <f>LN(AJ1310/AJ1309)</f>
        <v>-5.4971020664712593E-2</v>
      </c>
      <c r="AL1310" s="129"/>
      <c r="AM1310" s="129"/>
      <c r="AN1310" s="129"/>
      <c r="AO1310" s="129"/>
      <c r="AP1310" s="133"/>
      <c r="AQ1310" s="134"/>
      <c r="AR1310" s="93">
        <f t="shared" si="2367"/>
        <v>0.26545170314869354</v>
      </c>
      <c r="AS1310" s="93">
        <f t="shared" si="2368"/>
        <v>0.38442364569847981</v>
      </c>
      <c r="AT1310" s="93">
        <f t="shared" si="2369"/>
        <v>0.35012465115282665</v>
      </c>
      <c r="AU1310" s="93">
        <f t="shared" ref="AU1310:AU1326" ca="1" si="2373">+(((AR1310+AR1309)/2)*M1310+((AS1309+AS1310)/2)*X1310+((AT1309+AT1310)/2)*AF1310)</f>
        <v>-0.12195822697210444</v>
      </c>
      <c r="AV1310" s="132">
        <v>100</v>
      </c>
      <c r="AW1310" s="134"/>
      <c r="AX1310" s="93"/>
      <c r="AY1310" s="93"/>
      <c r="AZ1310" s="93"/>
      <c r="BA1310" s="93"/>
      <c r="BB1310" s="234">
        <f>IFERROR(INDEX('Total Customers'!$E$7:$AA$91,MATCH($C1310,'Total Customers'!$C$7:$C$91,0),MATCH($G1310,'Total Customers'!$E$5:$AA$5,0)),"NA")</f>
        <v>172312</v>
      </c>
      <c r="BC1310" s="269">
        <f t="shared" si="2328"/>
        <v>1.813078172594234E-2</v>
      </c>
      <c r="BD1310" s="92"/>
      <c r="BE1310" s="299" t="str">
        <f t="shared" si="2317"/>
        <v>WISCONSIN POWER AND LIGHT COMPANY</v>
      </c>
      <c r="BF1310" s="300">
        <f t="shared" si="2318"/>
        <v>4008669</v>
      </c>
      <c r="BG1310" s="231" t="str">
        <f t="shared" si="2319"/>
        <v>WI</v>
      </c>
      <c r="BH1310" s="231"/>
      <c r="BI1310" s="231" t="str">
        <f t="shared" si="2320"/>
        <v>2005 Y</v>
      </c>
      <c r="BJ1310" s="129"/>
      <c r="BK1310" s="129"/>
      <c r="BL1310" s="129">
        <f>INDEX('Dist. Plant Gas Additions'!$E$7:$AD$91,MATCH($C1310,'Dist. Plant Gas Additions'!$C$7:$C$91,0),MATCH(Calculation!$G1310,'Dist. Plant Gas Additions'!$E$5:$AD$5,0))</f>
        <v>15931</v>
      </c>
      <c r="BM1310" s="129">
        <f>INDEX('Gen. Plant Additions'!$E$7:$AD$91,MATCH($C1310,'Gen. Plant Additions'!$C$7:$C$91,0),MATCH(Calculation!$G1310,'Gen. Plant Additions'!$E$5:$AD$5,0))</f>
        <v>604</v>
      </c>
      <c r="BN1310" s="301">
        <f t="shared" si="2346"/>
        <v>0.96365583921373332</v>
      </c>
      <c r="BO1310" s="231">
        <f t="shared" ref="BO1310:BO1346" si="2374">+BN1310*BM1310</f>
        <v>582.04812688509492</v>
      </c>
      <c r="BP1310" s="231">
        <f t="shared" ref="BP1310:BP1346" si="2375">+BO1310-BM1310</f>
        <v>-21.951873114905084</v>
      </c>
      <c r="BQ1310" s="129">
        <f>INDEX('Dist Plant Depreciation'!$D$7:$AC$94,MATCH($C1310,'Dist Plant Depreciation'!$C$7:$C$94,0),MATCH(Calculation!$G1310,'Dist Plant Depreciation'!$D$5:$AC$5,0))</f>
        <v>156022</v>
      </c>
      <c r="BR1310" s="129">
        <f>INDEX('Gen. Plant Depreciation'!$D$7:$AC$94,MATCH($C1310,'Gen. Plant Depreciation'!$C$7:$C$94,0),MATCH(Calculation!$G1310,'Gen. Plant Depreciation'!$D$5:$AC$5,0))</f>
        <v>9111</v>
      </c>
      <c r="BS1310" s="129"/>
      <c r="BT1310" s="129"/>
      <c r="BU1310" s="129"/>
      <c r="BV1310" s="129"/>
      <c r="BW1310" s="129"/>
      <c r="BX1310" s="137"/>
      <c r="BY1310" s="129">
        <f>INDEX('Gross Dx Plant'!$D$7:$AC$91,MATCH($C1310,'Gross Dx Plant'!$C$7:$C$91,0),MATCH(Calculation!$G1310,'Gross Dx Plant'!$D$5:$AC$5,0))</f>
        <v>307677</v>
      </c>
      <c r="BZ1310" s="129">
        <f>INDEX('Gross Gen Plant'!$D$7:$AC$91,MATCH($C1310,'Gross Gen Plant'!$C$7:$C$91,0),MATCH(Calculation!$G1310,'Gross Gen Plant'!$D$5:$AC$5,0))</f>
        <v>11604</v>
      </c>
      <c r="CA1310" s="129">
        <f t="shared" si="2294"/>
        <v>154148</v>
      </c>
      <c r="CB1310" s="129"/>
      <c r="CC1310" s="133">
        <v>2005</v>
      </c>
      <c r="CD1310" s="129"/>
      <c r="CE1310" s="129"/>
      <c r="CF1310" s="129"/>
      <c r="CG1310" s="137"/>
      <c r="CH1310" s="129">
        <f t="shared" si="2348"/>
        <v>16535</v>
      </c>
      <c r="CI1310" s="46">
        <f t="shared" si="2357"/>
        <v>16513.048126885096</v>
      </c>
      <c r="CJ1310" s="231">
        <f t="shared" si="2349"/>
        <v>35.193664149948887</v>
      </c>
      <c r="CK1310" s="443">
        <v>0.9263157894736842</v>
      </c>
      <c r="CL1310" s="231">
        <f>+CL1303*CK1310+CJ1304*CK1309+CJ1305*CK1308+CJ1306*CK1307+CJ1307*CK1306+CJ1308*CK1305+CJ1309*CK1304+CJ1310</f>
        <v>848.02176512886876</v>
      </c>
      <c r="CM1310" s="134">
        <f t="shared" si="2350"/>
        <v>3.0734980106339037E-2</v>
      </c>
      <c r="CN1310" s="135">
        <f t="shared" si="2351"/>
        <v>1.1584054639543949E-2</v>
      </c>
      <c r="CO1310" s="135">
        <f t="shared" si="2360"/>
        <v>1.1317063249574863E-2</v>
      </c>
      <c r="CP1310" s="134">
        <f>VLOOKUP($H1310,RoR!$E:$F,2,FALSE)</f>
        <v>5.2350000000000001E-2</v>
      </c>
      <c r="CQ1310" s="135">
        <v>3.1010403642454332E-2</v>
      </c>
      <c r="CR1310" s="135">
        <f t="shared" si="2358"/>
        <v>2.1339596357545669E-2</v>
      </c>
      <c r="CS1310" s="135">
        <f t="shared" si="2361"/>
        <v>1.9584878358958762E-2</v>
      </c>
      <c r="CT1310" s="135">
        <v>9.2129610649277341E-2</v>
      </c>
      <c r="CU1310" s="139">
        <f t="shared" si="2352"/>
        <v>0.85150049999999999</v>
      </c>
      <c r="CV1310" s="335">
        <f t="shared" si="2353"/>
        <v>0.97959983346802826</v>
      </c>
      <c r="CW1310" s="335">
        <f t="shared" si="2354"/>
        <v>0.49744508118433622</v>
      </c>
      <c r="CX1310" s="335">
        <f t="shared" si="2355"/>
        <v>0.87010519444335932</v>
      </c>
      <c r="CY1310" s="335">
        <f t="shared" si="2356"/>
        <v>0.42399975420741998</v>
      </c>
      <c r="CZ1310" s="336">
        <f>INDEX('State Tax Lookup'!$D$7:$Z$91,MATCH(Calculation!$C1310,'State Tax Lookup'!$B$7:$B$91,0),MATCH($H1310,'State Tax Lookup'!$D$6:$Z$6,0))</f>
        <v>0.40134999999999998</v>
      </c>
      <c r="DA1310" s="302">
        <v>0.37</v>
      </c>
      <c r="DB1310" s="57">
        <f t="shared" si="2359"/>
        <v>12.939558895511935</v>
      </c>
      <c r="DC1310" s="56">
        <f t="shared" si="2362"/>
        <v>0.11637010091483226</v>
      </c>
      <c r="DD1310" s="303">
        <f>VLOOKUP($H1310,RoR!$E:$F,2,FALSE)</f>
        <v>5.2350000000000001E-2</v>
      </c>
      <c r="DE1310" s="304">
        <f>HLOOKUP($H1310,'GDP-PI'!$D$8:$CQ$11,3,FALSE)</f>
        <v>3.1010403642454332E-2</v>
      </c>
      <c r="DF1310" s="303">
        <f>VLOOKUP(H1310,'HW Dx Data'!$E:$F,2,FALSE)</f>
        <v>469.20514034936258</v>
      </c>
      <c r="DG1310" s="364">
        <f ca="1">VLOOKUP(CC1310,'ECI - Input Price'!M$13:N$33,2,FALSE)</f>
        <v>99.224999999999994</v>
      </c>
      <c r="DH1310" s="364"/>
      <c r="DI1310" s="364"/>
      <c r="DJ1310" s="56">
        <f t="shared" ca="1" si="2370"/>
        <v>5.0378726854569796E-2</v>
      </c>
      <c r="DK1310" s="53">
        <f>HLOOKUP(H1310,'GDP-PI'!$8:$9,2,FALSE)</f>
        <v>87.406999999999996</v>
      </c>
      <c r="DL1310" s="355">
        <f t="shared" si="2363"/>
        <v>3.0539295810733648E-2</v>
      </c>
    </row>
    <row r="1311" spans="1:116" s="126" customFormat="1" ht="21" customHeight="1" x14ac:dyDescent="0.4">
      <c r="A1311" s="233" t="s">
        <v>259</v>
      </c>
      <c r="B1311" s="126" t="s">
        <v>259</v>
      </c>
      <c r="C1311" s="126">
        <v>4008669</v>
      </c>
      <c r="D1311" s="127" t="s">
        <v>214</v>
      </c>
      <c r="E1311" s="127"/>
      <c r="F1311" s="144"/>
      <c r="G1311" s="126" t="s">
        <v>162</v>
      </c>
      <c r="H1311" s="128">
        <v>2006</v>
      </c>
      <c r="I1311" s="129"/>
      <c r="J1311" s="125">
        <f>IFERROR(INDEX('Labor Expenditures'!$E$7:$W$91,MATCH($C1311,'Labor Expenditures'!$C$7:$C$91,0),MATCH($G1311,'Labor Expenditures'!$E$5:$W$5,0)),"NA")</f>
        <v>9275.8279611023318</v>
      </c>
      <c r="K1311" s="125">
        <f t="shared" ca="1" si="2364"/>
        <v>84.788189772416189</v>
      </c>
      <c r="L1311" s="47"/>
      <c r="M1311" s="131">
        <f t="shared" ca="1" si="2371"/>
        <v>4.194206052773037E-2</v>
      </c>
      <c r="N1311" s="131"/>
      <c r="O1311" s="131"/>
      <c r="P1311" s="59">
        <f t="shared" ref="P1311:P1327" ca="1" si="2376">+M1311*$AX1311</f>
        <v>1.9127223853346656E-4</v>
      </c>
      <c r="Q1311" s="61"/>
      <c r="R1311" s="387"/>
      <c r="S1311" s="49">
        <f ca="1">+S1310*EXP(T1311)</f>
        <v>116.28445312844431</v>
      </c>
      <c r="T1311" s="61">
        <f ca="1">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+P2611+P2636</f>
        <v>0.15086918556753606</v>
      </c>
      <c r="U1311" s="61"/>
      <c r="V1311" s="125">
        <f>IFERROR(INDEX('Non-Labor Expenditures'!$E$7:$AA$91,MATCH($C1311,'Non-Labor Expenditures'!$C$7:$C$91,0),MATCH($G1311,'Non-Labor Expenditures'!$E$5:$AA$5,0)),"NA")</f>
        <v>13433.13137336111</v>
      </c>
      <c r="W1311" s="125">
        <f t="shared" si="2365"/>
        <v>149.13439364701367</v>
      </c>
      <c r="X1311" s="131">
        <f t="shared" ref="X1311:X1326" si="2377">LN(W1311/W1310)</f>
        <v>0.10950676812102779</v>
      </c>
      <c r="Y1311" s="131">
        <f t="shared" ref="Y1311:Y1327" si="2378">+X1311*AX1311</f>
        <v>4.9939379252065749E-4</v>
      </c>
      <c r="Z1311" s="131"/>
      <c r="AA1311" s="131"/>
      <c r="AB1311" s="131"/>
      <c r="AC1311" s="125">
        <f t="shared" si="2347"/>
        <v>10642.756610012795</v>
      </c>
      <c r="AD1311" s="129"/>
      <c r="AE1311" s="133">
        <v>906.06414991787335</v>
      </c>
      <c r="AF1311" s="134">
        <v>3.4192298982211392E-2</v>
      </c>
      <c r="AG1311" s="59">
        <f t="shared" si="2366"/>
        <v>1.5593028775038697E-4</v>
      </c>
      <c r="AH1311" s="134"/>
      <c r="AI1311" s="134"/>
      <c r="AJ1311" s="129">
        <f t="shared" si="2372"/>
        <v>33351.715944476236</v>
      </c>
      <c r="AK1311" s="134">
        <f t="shared" ref="AK1311:AK1327" si="2379">LN(AJ1311/AJ1310)</f>
        <v>9.2937939047666451E-2</v>
      </c>
      <c r="AL1311" s="129"/>
      <c r="AM1311" s="129"/>
      <c r="AN1311" s="129"/>
      <c r="AO1311" s="129"/>
      <c r="AP1311" s="133">
        <f t="shared" ref="AP1311:AP1327" si="2380">+(AJ1311*1000)/BB1311</f>
        <v>193.13726775194132</v>
      </c>
      <c r="AQ1311" s="134">
        <f>+BB1311/Outputs!$B$14</f>
        <v>4.9791460558640446E-3</v>
      </c>
      <c r="AR1311" s="93">
        <f t="shared" si="2367"/>
        <v>0.27812146087309814</v>
      </c>
      <c r="AS1311" s="93">
        <f t="shared" si="2368"/>
        <v>0.40277182126774275</v>
      </c>
      <c r="AT1311" s="93">
        <f t="shared" si="2369"/>
        <v>0.31910671785915906</v>
      </c>
      <c r="AU1311" s="93">
        <f t="shared" ca="1" si="2373"/>
        <v>6.5942184535589338E-2</v>
      </c>
      <c r="AV1311" s="132">
        <f ca="1">+AV1310*EXP(AU1311)</f>
        <v>106.81649589275524</v>
      </c>
      <c r="AW1311" s="134">
        <f ca="1">LN(AV1311/AV1310)</f>
        <v>6.5942184535589393E-2</v>
      </c>
      <c r="AX1311" s="135">
        <f>+AJ1311/$AL$11</f>
        <v>4.5603920295476472E-3</v>
      </c>
      <c r="AY1311" s="135">
        <f ca="1">+AX1311*AW1311</f>
        <v>3.0072221276706201E-4</v>
      </c>
      <c r="AZ1311" s="93"/>
      <c r="BA1311" s="93"/>
      <c r="BB1311" s="234">
        <f>IFERROR(INDEX('Total Customers'!$E$7:$AA$91,MATCH($C1311,'Total Customers'!$C$7:$C$91,0),MATCH($G1311,'Total Customers'!$E$5:$AA$5,0)),"NA")</f>
        <v>172684</v>
      </c>
      <c r="BC1311" s="269">
        <f t="shared" si="2328"/>
        <v>2.1565475783580285E-3</v>
      </c>
      <c r="BD1311" s="92"/>
      <c r="BE1311" s="299" t="str">
        <f t="shared" si="2317"/>
        <v>WISCONSIN POWER AND LIGHT COMPANY</v>
      </c>
      <c r="BF1311" s="300">
        <f t="shared" si="2318"/>
        <v>4008669</v>
      </c>
      <c r="BG1311" s="231" t="str">
        <f t="shared" si="2319"/>
        <v>WI</v>
      </c>
      <c r="BH1311" s="231"/>
      <c r="BI1311" s="231" t="str">
        <f t="shared" si="2320"/>
        <v>2006 Y</v>
      </c>
      <c r="BJ1311" s="129"/>
      <c r="BK1311" s="129"/>
      <c r="BL1311" s="129">
        <v>15931</v>
      </c>
      <c r="BM1311" s="129">
        <v>604</v>
      </c>
      <c r="BN1311" s="301">
        <f t="shared" si="2346"/>
        <v>0.97979099856242402</v>
      </c>
      <c r="BO1311" s="231">
        <f t="shared" si="2374"/>
        <v>591.79376313170405</v>
      </c>
      <c r="BP1311" s="231">
        <f t="shared" si="2375"/>
        <v>-12.206236868295946</v>
      </c>
      <c r="BQ1311" s="129">
        <f>INDEX('Dist Plant Depreciation'!$D$7:$AC$94,MATCH($C1311,'Dist Plant Depreciation'!$C$7:$C$94,0),MATCH(Calculation!$G1311,'Dist Plant Depreciation'!$D$5:$AC$5,0))</f>
        <v>166490</v>
      </c>
      <c r="BR1311" s="129">
        <f>INDEX('Gen. Plant Depreciation'!$D$7:$AC$94,MATCH($C1311,'Gen. Plant Depreciation'!$C$7:$C$94,0),MATCH(Calculation!$G1311,'Gen. Plant Depreciation'!$D$5:$AC$5,0))</f>
        <v>-6963</v>
      </c>
      <c r="BS1311" s="129"/>
      <c r="BT1311" s="129"/>
      <c r="BU1311" s="129"/>
      <c r="BV1311" s="129"/>
      <c r="BW1311" s="129"/>
      <c r="BX1311" s="137"/>
      <c r="BY1311" s="129">
        <f>INDEX('Gross Dx Plant'!$D$7:$AC$91,MATCH($C1311,'Gross Dx Plant'!$C$7:$C$91,0),MATCH(Calculation!$G1311,'Gross Dx Plant'!$D$5:$AC$5,0))</f>
        <v>318969</v>
      </c>
      <c r="BZ1311" s="129">
        <f>INDEX('Gross Gen Plant'!$D$7:$AC$91,MATCH($C1311,'Gross Gen Plant'!$C$7:$C$91,0),MATCH(Calculation!$G1311,'Gross Gen Plant'!$D$5:$AC$5,0))</f>
        <v>6579</v>
      </c>
      <c r="CA1311" s="129">
        <f t="shared" si="2294"/>
        <v>166021</v>
      </c>
      <c r="CB1311" s="134"/>
      <c r="CC1311" s="133">
        <v>2006</v>
      </c>
      <c r="CD1311" s="129"/>
      <c r="CE1311" s="129"/>
      <c r="CF1311" s="129"/>
      <c r="CG1311" s="137"/>
      <c r="CH1311" s="129">
        <f t="shared" si="2348"/>
        <v>16535</v>
      </c>
      <c r="CI1311" s="46">
        <f t="shared" si="2357"/>
        <v>16522.793763131704</v>
      </c>
      <c r="CJ1311" s="231">
        <f t="shared" si="2349"/>
        <v>35.834541692248862</v>
      </c>
      <c r="CK1311" s="443">
        <v>0.91489361702127658</v>
      </c>
      <c r="CL1311" s="231">
        <f>+CL1303*CK1311+CJ1304*CK1310+CJ1305*CK1309+CJ1306*CK1308+CJ1307*CK1307+CJ1308*CK1306+CJ1309*CK1305+CJ1310*CK1304+CJ1311</f>
        <v>873.78079327228841</v>
      </c>
      <c r="CM1311" s="134">
        <f t="shared" si="2350"/>
        <v>2.9923233696774156E-2</v>
      </c>
      <c r="CN1311" s="135">
        <f t="shared" si="2351"/>
        <v>1.188119687859439E-2</v>
      </c>
      <c r="CO1311" s="135">
        <f t="shared" si="2360"/>
        <v>1.1594309706957013E-2</v>
      </c>
      <c r="CP1311" s="134">
        <f>VLOOKUP($H1311,RoR!$E:$F,2,FALSE)</f>
        <v>5.5874999999999994E-2</v>
      </c>
      <c r="CQ1311" s="135">
        <v>3.0512430354548314E-2</v>
      </c>
      <c r="CR1311" s="135">
        <f t="shared" si="2358"/>
        <v>2.536256964545168E-2</v>
      </c>
      <c r="CS1311" s="135">
        <f t="shared" si="2361"/>
        <v>1.9307631901576611E-2</v>
      </c>
      <c r="CT1311" s="135">
        <v>7.9087823893859641E-2</v>
      </c>
      <c r="CU1311" s="139">
        <f t="shared" si="2352"/>
        <v>0.85150049999999999</v>
      </c>
      <c r="CV1311" s="335">
        <f t="shared" si="2353"/>
        <v>0.91779957551769631</v>
      </c>
      <c r="CW1311" s="335">
        <f t="shared" si="2354"/>
        <v>0.52757270693512304</v>
      </c>
      <c r="CX1311" s="335">
        <f t="shared" si="2355"/>
        <v>0.88636824549024895</v>
      </c>
      <c r="CY1311" s="335">
        <f t="shared" si="2356"/>
        <v>0.42918482841932087</v>
      </c>
      <c r="CZ1311" s="336">
        <f>INDEX('State Tax Lookup'!$D$7:$Z$91,MATCH(Calculation!$C1311,'State Tax Lookup'!$B$7:$B$91,0),MATCH($H1311,'State Tax Lookup'!$D$6:$Z$6,0))</f>
        <v>0.40134999999999998</v>
      </c>
      <c r="DA1311" s="302">
        <v>0.37</v>
      </c>
      <c r="DB1311" s="57">
        <f t="shared" si="2359"/>
        <v>12.550098414508829</v>
      </c>
      <c r="DC1311" s="56">
        <f t="shared" si="2362"/>
        <v>-3.0560692705397133E-2</v>
      </c>
      <c r="DD1311" s="303">
        <f>VLOOKUP($H1311,RoR!$E:$F,2,FALSE)</f>
        <v>5.5874999999999994E-2</v>
      </c>
      <c r="DE1311" s="304">
        <f>HLOOKUP($H1311,'GDP-PI'!$D$8:$CQ$11,3,FALSE)</f>
        <v>3.0512430354548314E-2</v>
      </c>
      <c r="DF1311" s="303">
        <f>VLOOKUP(H1311,'HW Dx Data'!$E:$F,2,FALSE)</f>
        <v>461.08567272971823</v>
      </c>
      <c r="DG1311" s="364">
        <f ca="1">VLOOKUP(CC1311,'ECI - Input Price'!M$13:N$33,2,FALSE)</f>
        <v>109.4</v>
      </c>
      <c r="DH1311" s="364"/>
      <c r="DI1311" s="364"/>
      <c r="DJ1311" s="56">
        <f t="shared" ca="1" si="2370"/>
        <v>9.7620891318751846E-2</v>
      </c>
      <c r="DK1311" s="53">
        <f>HLOOKUP(H1311,'GDP-PI'!$8:$9,2,FALSE)</f>
        <v>90.073999999999998</v>
      </c>
      <c r="DL1311" s="355">
        <f t="shared" si="2363"/>
        <v>3.005618372545445E-2</v>
      </c>
    </row>
    <row r="1312" spans="1:116" s="126" customFormat="1" ht="21" customHeight="1" x14ac:dyDescent="0.4">
      <c r="A1312" s="233" t="s">
        <v>259</v>
      </c>
      <c r="B1312" s="126" t="s">
        <v>259</v>
      </c>
      <c r="C1312" s="126">
        <v>4008669</v>
      </c>
      <c r="D1312" s="127" t="s">
        <v>214</v>
      </c>
      <c r="E1312" s="127"/>
      <c r="F1312" s="144"/>
      <c r="G1312" s="126" t="s">
        <v>163</v>
      </c>
      <c r="H1312" s="128">
        <v>2007</v>
      </c>
      <c r="I1312" s="129"/>
      <c r="J1312" s="125">
        <f>IFERROR(INDEX('Labor Expenditures'!$E$7:$W$91,MATCH($C1312,'Labor Expenditures'!$C$7:$C$91,0),MATCH($G1312,'Labor Expenditures'!$E$5:$W$5,0)),"NA")</f>
        <v>7498.8348460240086</v>
      </c>
      <c r="K1312" s="125">
        <f t="shared" ca="1" si="2364"/>
        <v>71.742021966266535</v>
      </c>
      <c r="L1312" s="47"/>
      <c r="M1312" s="131">
        <f t="shared" ca="1" si="2371"/>
        <v>-0.16707960519733212</v>
      </c>
      <c r="N1312" s="131"/>
      <c r="O1312" s="131"/>
      <c r="P1312" s="59">
        <f t="shared" ca="1" si="2376"/>
        <v>-6.5500351712594637E-4</v>
      </c>
      <c r="Q1312" s="61"/>
      <c r="R1312" s="387"/>
      <c r="S1312" s="49">
        <f t="shared" ref="S1312:S1325" ca="1" si="2381">+S1311*EXP(T1312)</f>
        <v>120.20699173028633</v>
      </c>
      <c r="T1312" s="61">
        <f ca="1">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+P2612+P2637</f>
        <v>3.3175816327081963E-2</v>
      </c>
      <c r="U1312" s="61"/>
      <c r="V1312" s="125">
        <f>IFERROR(INDEX('Non-Labor Expenditures'!$E$7:$AA$91,MATCH($C1312,'Non-Labor Expenditures'!$C$7:$C$91,0),MATCH($G1312,'Non-Labor Expenditures'!$E$5:$AA$5,0)),"NA")</f>
        <v>10859.713446195441</v>
      </c>
      <c r="W1312" s="125">
        <f t="shared" si="2365"/>
        <v>117.40484600959415</v>
      </c>
      <c r="X1312" s="131">
        <f t="shared" si="2377"/>
        <v>-0.23921968589262232</v>
      </c>
      <c r="Y1312" s="131">
        <f t="shared" si="2378"/>
        <v>-9.37814854424457E-4</v>
      </c>
      <c r="Z1312" s="131"/>
      <c r="AA1312" s="131"/>
      <c r="AB1312" s="131"/>
      <c r="AC1312" s="125">
        <f t="shared" si="2347"/>
        <v>11692.045570566017</v>
      </c>
      <c r="AD1312" s="129"/>
      <c r="AE1312" s="133">
        <v>909.01977844995315</v>
      </c>
      <c r="AF1312" s="134">
        <v>3.256743226317858E-3</v>
      </c>
      <c r="AG1312" s="59">
        <f t="shared" si="2366"/>
        <v>1.2767436606609609E-5</v>
      </c>
      <c r="AH1312" s="134"/>
      <c r="AI1312" s="134"/>
      <c r="AJ1312" s="129">
        <f t="shared" si="2372"/>
        <v>30050.593862785467</v>
      </c>
      <c r="AK1312" s="134">
        <f t="shared" si="2379"/>
        <v>-0.10422680037133353</v>
      </c>
      <c r="AL1312" s="129"/>
      <c r="AM1312" s="129"/>
      <c r="AN1312" s="129"/>
      <c r="AO1312" s="129"/>
      <c r="AP1312" s="133">
        <f t="shared" si="2380"/>
        <v>171.86302623238777</v>
      </c>
      <c r="AQ1312" s="134">
        <f>+BB1312/Outputs!$B$15</f>
        <v>5.0036988601569873E-3</v>
      </c>
      <c r="AR1312" s="93">
        <f t="shared" si="2367"/>
        <v>0.24954032124172212</v>
      </c>
      <c r="AS1312" s="93">
        <f t="shared" si="2368"/>
        <v>0.36138099286097858</v>
      </c>
      <c r="AT1312" s="93">
        <f t="shared" si="2369"/>
        <v>0.38907868589729933</v>
      </c>
      <c r="AU1312" s="93">
        <f t="shared" ca="1" si="2373"/>
        <v>-0.13432777019331998</v>
      </c>
      <c r="AV1312" s="132">
        <f ca="1">+AV1311*EXP(AU1312)</f>
        <v>93.390030558028698</v>
      </c>
      <c r="AW1312" s="134">
        <f ca="1">LN(AV1312/AV1311)</f>
        <v>-0.13432777019332004</v>
      </c>
      <c r="AX1312" s="135">
        <f>+AJ1312/$AL$12</f>
        <v>3.920308025341236E-3</v>
      </c>
      <c r="AY1312" s="135">
        <f t="shared" ref="AY1312:AY1326" ca="1" si="2382">+AX1312*AW1312</f>
        <v>-5.2660623551506578E-4</v>
      </c>
      <c r="AZ1312" s="93"/>
      <c r="BA1312" s="93"/>
      <c r="BB1312" s="234">
        <f>IFERROR(INDEX('Total Customers'!$E$7:$AA$91,MATCH($C1312,'Total Customers'!$C$7:$C$91,0),MATCH($G1312,'Total Customers'!$E$5:$AA$5,0)),"NA")</f>
        <v>174852</v>
      </c>
      <c r="BC1312" s="269">
        <f t="shared" si="2328"/>
        <v>1.2476567166305616E-2</v>
      </c>
      <c r="BD1312" s="92"/>
      <c r="BE1312" s="299" t="str">
        <f t="shared" si="2317"/>
        <v>WISCONSIN POWER AND LIGHT COMPANY</v>
      </c>
      <c r="BF1312" s="300">
        <f t="shared" si="2318"/>
        <v>4008669</v>
      </c>
      <c r="BG1312" s="231" t="str">
        <f t="shared" si="2319"/>
        <v>WI</v>
      </c>
      <c r="BH1312" s="231"/>
      <c r="BI1312" s="231" t="str">
        <f t="shared" si="2320"/>
        <v>2007 Y</v>
      </c>
      <c r="BJ1312" s="129"/>
      <c r="BK1312" s="129"/>
      <c r="BL1312" s="129">
        <f>INDEX('Dist. Plant Gas Additions'!$E$7:$AD$91,MATCH($C1312,'Dist. Plant Gas Additions'!$C$7:$C$91,0),MATCH(Calculation!$G1312,'Dist. Plant Gas Additions'!$E$5:$AD$5,0))</f>
        <v>4301</v>
      </c>
      <c r="BM1312" s="129">
        <f>INDEX('Gen. Plant Additions'!$E$7:$AD$91,MATCH($C1312,'Gen. Plant Additions'!$C$7:$C$91,0),MATCH(Calculation!$G1312,'Gen. Plant Additions'!$E$5:$AD$5,0))</f>
        <v>41</v>
      </c>
      <c r="BN1312" s="301">
        <f t="shared" si="2346"/>
        <v>0.97786814515142939</v>
      </c>
      <c r="BO1312" s="231">
        <f t="shared" si="2374"/>
        <v>40.092593951208606</v>
      </c>
      <c r="BP1312" s="231">
        <f t="shared" si="2375"/>
        <v>-0.90740604879139397</v>
      </c>
      <c r="BQ1312" s="129">
        <f>INDEX('Dist Plant Depreciation'!$D$7:$AC$94,MATCH($C1312,'Dist Plant Depreciation'!$C$7:$C$94,0),MATCH(Calculation!$G1312,'Dist Plant Depreciation'!$D$5:$AC$5,0))</f>
        <v>171380</v>
      </c>
      <c r="BR1312" s="129">
        <f>INDEX('Gen. Plant Depreciation'!$D$7:$AC$94,MATCH($C1312,'Gen. Plant Depreciation'!$C$7:$C$94,0),MATCH(Calculation!$G1312,'Gen. Plant Depreciation'!$D$5:$AC$5,0))</f>
        <v>4896</v>
      </c>
      <c r="BS1312" s="129"/>
      <c r="BT1312" s="129"/>
      <c r="BU1312" s="129"/>
      <c r="BV1312" s="129"/>
      <c r="BW1312" s="129"/>
      <c r="BX1312" s="137"/>
      <c r="BY1312" s="129">
        <f>INDEX('Gross Dx Plant'!$D$7:$AC$91,MATCH($C1312,'Gross Dx Plant'!$C$7:$C$91,0),MATCH(Calculation!$G1312,'Gross Dx Plant'!$D$5:$AC$5,0))</f>
        <v>279904</v>
      </c>
      <c r="BZ1312" s="129">
        <f>INDEX('Gross Gen Plant'!$D$7:$AC$91,MATCH($C1312,'Gross Gen Plant'!$C$7:$C$91,0),MATCH(Calculation!$G1312,'Gross Gen Plant'!$D$5:$AC$5,0))</f>
        <v>6335</v>
      </c>
      <c r="CA1312" s="129">
        <f t="shared" si="2294"/>
        <v>109963</v>
      </c>
      <c r="CB1312" s="129"/>
      <c r="CC1312" s="133">
        <v>2007</v>
      </c>
      <c r="CD1312" s="129"/>
      <c r="CE1312" s="129"/>
      <c r="CF1312" s="129"/>
      <c r="CG1312" s="137"/>
      <c r="CH1312" s="129">
        <f t="shared" si="2348"/>
        <v>4342</v>
      </c>
      <c r="CI1312" s="46">
        <f t="shared" si="2357"/>
        <v>4341.092593951209</v>
      </c>
      <c r="CJ1312" s="231">
        <f t="shared" si="2349"/>
        <v>8.7166628061456688</v>
      </c>
      <c r="CK1312" s="443">
        <v>0.90322580645161288</v>
      </c>
      <c r="CL1312" s="231">
        <f>+CL1303*CK1312+CJ1304*CK1311+CJ1305*CK1310+CJ1306*CK1309+CJ1307*CK1308+CJ1308*CK1307+CJ1309*CK1306+CJ1310*CK1305+CJ1311*CK1304+CJ1312</f>
        <v>871.85288895971053</v>
      </c>
      <c r="CM1312" s="134">
        <f t="shared" si="2350"/>
        <v>-2.2088312296496405E-3</v>
      </c>
      <c r="CN1312" s="135">
        <f t="shared" si="2351"/>
        <v>1.2182193978949683E-2</v>
      </c>
      <c r="CO1312" s="135">
        <f t="shared" si="2360"/>
        <v>1.1882481832362674E-2</v>
      </c>
      <c r="CP1312" s="134">
        <f>VLOOKUP($H1312,RoR!$E:$F,2,FALSE)</f>
        <v>5.5558333333333321E-2</v>
      </c>
      <c r="CQ1312" s="135">
        <v>2.691120634145272E-2</v>
      </c>
      <c r="CR1312" s="135">
        <f t="shared" si="2358"/>
        <v>2.86471269918806E-2</v>
      </c>
      <c r="CS1312" s="135">
        <f t="shared" si="2361"/>
        <v>1.9019459776170949E-2</v>
      </c>
      <c r="CT1312" s="135">
        <v>6.4575155250632399E-2</v>
      </c>
      <c r="CU1312" s="139">
        <f t="shared" si="2352"/>
        <v>0.85150049999999999</v>
      </c>
      <c r="CV1312" s="335">
        <f t="shared" si="2353"/>
        <v>0.92303077153834634</v>
      </c>
      <c r="CW1312" s="335">
        <f t="shared" si="2354"/>
        <v>0.52502249887505614</v>
      </c>
      <c r="CX1312" s="335">
        <f t="shared" si="2355"/>
        <v>0.88499666072084604</v>
      </c>
      <c r="CY1312" s="335">
        <f t="shared" si="2356"/>
        <v>0.42887993290280618</v>
      </c>
      <c r="CZ1312" s="336">
        <f>INDEX('State Tax Lookup'!$D$7:$Z$91,MATCH(Calculation!$C1312,'State Tax Lookup'!$B$7:$B$91,0),MATCH($H1312,'State Tax Lookup'!$D$6:$Z$6,0))</f>
        <v>0.40134999999999998</v>
      </c>
      <c r="DA1312" s="302">
        <v>0.37</v>
      </c>
      <c r="DB1312" s="57">
        <f t="shared" si="2359"/>
        <v>13.380982576624948</v>
      </c>
      <c r="DC1312" s="56">
        <f t="shared" si="2362"/>
        <v>6.4105980883297595E-2</v>
      </c>
      <c r="DD1312" s="303">
        <f>VLOOKUP($H1312,RoR!$E:$F,2,FALSE)</f>
        <v>5.5558333333333321E-2</v>
      </c>
      <c r="DE1312" s="304">
        <f>HLOOKUP($H1312,'GDP-PI'!$D$8:$CQ$11,3,FALSE)</f>
        <v>2.691120634145272E-2</v>
      </c>
      <c r="DF1312" s="303">
        <f>VLOOKUP(H1312,'HW Dx Data'!$E:$F,2,FALSE)</f>
        <v>498.0223154772637</v>
      </c>
      <c r="DG1312" s="364">
        <f ca="1">VLOOKUP(CC1312,'ECI - Input Price'!M$13:N$33,2,FALSE)</f>
        <v>104.52499999999999</v>
      </c>
      <c r="DH1312" s="364"/>
      <c r="DI1312" s="364"/>
      <c r="DJ1312" s="56">
        <f t="shared" ca="1" si="2370"/>
        <v>-4.5584612745252218E-2</v>
      </c>
      <c r="DK1312" s="53">
        <f>HLOOKUP(H1312,'GDP-PI'!$8:$9,2,FALSE)</f>
        <v>92.498000000000005</v>
      </c>
      <c r="DL1312" s="355">
        <f t="shared" si="2363"/>
        <v>2.6555467950038037E-2</v>
      </c>
    </row>
    <row r="1313" spans="1:116" s="126" customFormat="1" ht="21" customHeight="1" x14ac:dyDescent="0.4">
      <c r="A1313" s="233" t="s">
        <v>259</v>
      </c>
      <c r="B1313" s="126" t="s">
        <v>259</v>
      </c>
      <c r="C1313" s="126">
        <v>4008669</v>
      </c>
      <c r="D1313" s="127" t="s">
        <v>214</v>
      </c>
      <c r="E1313" s="127"/>
      <c r="F1313" s="144"/>
      <c r="G1313" s="126" t="s">
        <v>164</v>
      </c>
      <c r="H1313" s="128">
        <v>2008</v>
      </c>
      <c r="I1313" s="129"/>
      <c r="J1313" s="125">
        <f>IFERROR(INDEX('Labor Expenditures'!$E$7:$W$91,MATCH($C1313,'Labor Expenditures'!$C$7:$C$91,0),MATCH($G1313,'Labor Expenditures'!$E$5:$W$5,0)),"NA")</f>
        <v>7645.6798606609336</v>
      </c>
      <c r="K1313" s="125">
        <f t="shared" ca="1" si="2364"/>
        <v>70.85894217480012</v>
      </c>
      <c r="L1313" s="47"/>
      <c r="M1313" s="131">
        <f t="shared" ca="1" si="2371"/>
        <v>-1.2385485406474538E-2</v>
      </c>
      <c r="N1313" s="131"/>
      <c r="O1313" s="131"/>
      <c r="P1313" s="59">
        <f t="shared" ca="1" si="2376"/>
        <v>-4.8749809953060442E-5</v>
      </c>
      <c r="Q1313" s="61"/>
      <c r="R1313" s="387"/>
      <c r="S1313" s="49">
        <f t="shared" ca="1" si="2381"/>
        <v>114.18245985569226</v>
      </c>
      <c r="T1313" s="61">
        <f ca="1">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+P2613+P2638</f>
        <v>-5.141749391345999E-2</v>
      </c>
      <c r="U1313" s="61"/>
      <c r="V1313" s="125">
        <f>IFERROR(INDEX('Non-Labor Expenditures'!$E$7:$AA$91,MATCH($C1313,'Non-Labor Expenditures'!$C$7:$C$91,0),MATCH($G1313,'Non-Labor Expenditures'!$E$5:$AA$5,0)),"NA")</f>
        <v>11072.372454255194</v>
      </c>
      <c r="W1313" s="125">
        <f t="shared" si="2365"/>
        <v>117.46130499719081</v>
      </c>
      <c r="X1313" s="131">
        <f t="shared" si="2377"/>
        <v>4.8077586695353686E-4</v>
      </c>
      <c r="Y1313" s="131">
        <f t="shared" si="2378"/>
        <v>1.892354750323364E-6</v>
      </c>
      <c r="Z1313" s="131"/>
      <c r="AA1313" s="131"/>
      <c r="AB1313" s="131"/>
      <c r="AC1313" s="125">
        <f t="shared" si="2347"/>
        <v>13123.34029885265</v>
      </c>
      <c r="AD1313" s="129"/>
      <c r="AE1313" s="133">
        <v>957.76527959710165</v>
      </c>
      <c r="AF1313" s="134">
        <v>5.2235884680258748E-2</v>
      </c>
      <c r="AG1313" s="59">
        <f t="shared" si="2366"/>
        <v>2.0560271699657511E-4</v>
      </c>
      <c r="AH1313" s="134"/>
      <c r="AI1313" s="134"/>
      <c r="AJ1313" s="129">
        <f t="shared" si="2372"/>
        <v>31841.392613768778</v>
      </c>
      <c r="AK1313" s="134">
        <f t="shared" si="2379"/>
        <v>5.7884674614689637E-2</v>
      </c>
      <c r="AL1313" s="129"/>
      <c r="AM1313" s="129"/>
      <c r="AN1313" s="129"/>
      <c r="AO1313" s="129"/>
      <c r="AP1313" s="133">
        <f t="shared" si="2380"/>
        <v>180.25436386561208</v>
      </c>
      <c r="AQ1313" s="134">
        <f>+BB1313/Outputs!$B$16</f>
        <v>5.0280386584606396E-3</v>
      </c>
      <c r="AR1313" s="93">
        <f t="shared" si="2367"/>
        <v>0.24011763409351661</v>
      </c>
      <c r="AS1313" s="93">
        <f t="shared" si="2368"/>
        <v>0.3477351819551795</v>
      </c>
      <c r="AT1313" s="93">
        <f t="shared" si="2369"/>
        <v>0.4121471839513039</v>
      </c>
      <c r="AU1313" s="93">
        <f t="shared" ca="1" si="2373"/>
        <v>1.8064508312000446E-2</v>
      </c>
      <c r="AV1313" s="132">
        <f t="shared" ref="AV1313:AV1326" ca="1" si="2383">+AV1312*EXP(AU1313)</f>
        <v>95.092405530810311</v>
      </c>
      <c r="AW1313" s="134">
        <f t="shared" ref="AW1313:AW1326" ca="1" si="2384">LN(AV1313/AV1312)</f>
        <v>1.8064508312000342E-2</v>
      </c>
      <c r="AX1313" s="135">
        <f>+AJ1313/$AL$13</f>
        <v>3.9360435504268874E-3</v>
      </c>
      <c r="AY1313" s="135">
        <f t="shared" ca="1" si="2382"/>
        <v>7.1102691433081849E-5</v>
      </c>
      <c r="AZ1313" s="93"/>
      <c r="BA1313" s="93"/>
      <c r="BB1313" s="234">
        <f>IFERROR(INDEX('Total Customers'!$E$7:$AA$91,MATCH($C1313,'Total Customers'!$C$7:$C$91,0),MATCH($G1313,'Total Customers'!$E$5:$AA$5,0)),"NA")</f>
        <v>176647</v>
      </c>
      <c r="BC1313" s="269">
        <f t="shared" si="2328"/>
        <v>1.0213489107007905E-2</v>
      </c>
      <c r="BD1313" s="92"/>
      <c r="BE1313" s="299" t="str">
        <f t="shared" si="2317"/>
        <v>WISCONSIN POWER AND LIGHT COMPANY</v>
      </c>
      <c r="BF1313" s="300">
        <f t="shared" si="2318"/>
        <v>4008669</v>
      </c>
      <c r="BG1313" s="231" t="str">
        <f t="shared" si="2319"/>
        <v>WI</v>
      </c>
      <c r="BH1313" s="231"/>
      <c r="BI1313" s="231" t="str">
        <f t="shared" si="2320"/>
        <v>2008 Y</v>
      </c>
      <c r="BJ1313" s="129"/>
      <c r="BK1313" s="129"/>
      <c r="BL1313" s="129">
        <f>INDEX('Dist. Plant Gas Additions'!$E$7:$AD$91,MATCH($C1313,'Dist. Plant Gas Additions'!$C$7:$C$91,0),MATCH(Calculation!$G1313,'Dist. Plant Gas Additions'!$E$5:$AD$5,0))</f>
        <v>30563</v>
      </c>
      <c r="BM1313" s="129">
        <f>INDEX('Gen. Plant Additions'!$E$7:$AD$91,MATCH($C1313,'Gen. Plant Additions'!$C$7:$C$91,0),MATCH(Calculation!$G1313,'Gen. Plant Additions'!$E$5:$AD$5,0))</f>
        <v>636</v>
      </c>
      <c r="BN1313" s="301">
        <f t="shared" si="2346"/>
        <v>0.98019606677511228</v>
      </c>
      <c r="BO1313" s="231">
        <f t="shared" si="2374"/>
        <v>623.40469846897145</v>
      </c>
      <c r="BP1313" s="231">
        <f t="shared" si="2375"/>
        <v>-12.595301531028554</v>
      </c>
      <c r="BQ1313" s="129">
        <f>INDEX('Dist Plant Depreciation'!$D$7:$AC$94,MATCH($C1313,'Dist Plant Depreciation'!$C$7:$C$94,0),MATCH(Calculation!$G1313,'Dist Plant Depreciation'!$D$5:$AC$5,0))</f>
        <v>177176</v>
      </c>
      <c r="BR1313" s="129">
        <f>INDEX('Gen. Plant Depreciation'!$D$7:$AC$94,MATCH($C1313,'Gen. Plant Depreciation'!$C$7:$C$94,0),MATCH(Calculation!$G1313,'Gen. Plant Depreciation'!$D$5:$AC$5,0))</f>
        <v>2379</v>
      </c>
      <c r="BS1313" s="129"/>
      <c r="BT1313" s="129"/>
      <c r="BU1313" s="129"/>
      <c r="BV1313" s="129"/>
      <c r="BW1313" s="129"/>
      <c r="BX1313" s="137"/>
      <c r="BY1313" s="129">
        <f>INDEX('Gross Dx Plant'!$D$7:$AC$91,MATCH($C1313,'Gross Dx Plant'!$C$7:$C$91,0),MATCH(Calculation!$G1313,'Gross Dx Plant'!$D$5:$AC$5,0))</f>
        <v>362749</v>
      </c>
      <c r="BZ1313" s="129">
        <f>INDEX('Gross Gen Plant'!$D$7:$AC$91,MATCH($C1313,'Gross Gen Plant'!$C$7:$C$91,0),MATCH(Calculation!$G1313,'Gross Gen Plant'!$D$5:$AC$5,0))</f>
        <v>7329</v>
      </c>
      <c r="CA1313" s="129">
        <f t="shared" si="2294"/>
        <v>190523</v>
      </c>
      <c r="CB1313" s="129"/>
      <c r="CC1313" s="133">
        <v>2008</v>
      </c>
      <c r="CD1313" s="129"/>
      <c r="CE1313" s="129"/>
      <c r="CF1313" s="129"/>
      <c r="CG1313" s="137"/>
      <c r="CH1313" s="129">
        <f t="shared" si="2348"/>
        <v>31199</v>
      </c>
      <c r="CI1313" s="46">
        <f t="shared" si="2357"/>
        <v>31186.40469846897</v>
      </c>
      <c r="CJ1313" s="231">
        <f t="shared" si="2349"/>
        <v>54.724396095106947</v>
      </c>
      <c r="CK1313" s="443">
        <v>0.89130434782608692</v>
      </c>
      <c r="CL1313" s="231">
        <f>+CL1303*CK1313+CJ1304*CK1312+CJ1305*CK1311+CJ1306*CK1310+CJ1307*CK1309+CJ1308*CK1308+CJ1309*CK1307+CJ1310*CK1306+CJ1311*CK1305+CJ1312*CK1304+CJ1313</f>
        <v>915.61815143555589</v>
      </c>
      <c r="CM1313" s="134">
        <f t="shared" si="2350"/>
        <v>4.8978708161429692E-2</v>
      </c>
      <c r="CN1313" s="135">
        <f t="shared" si="2351"/>
        <v>1.2569934398379933E-2</v>
      </c>
      <c r="CO1313" s="135">
        <f t="shared" si="2360"/>
        <v>1.2211108418641335E-2</v>
      </c>
      <c r="CP1313" s="134">
        <f>VLOOKUP($H1313,RoR!$E:$F,2,FALSE)</f>
        <v>5.6316666666666668E-2</v>
      </c>
      <c r="CQ1313" s="135">
        <v>1.9092304698479889E-2</v>
      </c>
      <c r="CR1313" s="135">
        <f t="shared" si="2358"/>
        <v>3.7224361968186778E-2</v>
      </c>
      <c r="CS1313" s="135">
        <f t="shared" si="2361"/>
        <v>1.869083318989229E-2</v>
      </c>
      <c r="CT1313" s="135">
        <v>6.9030581091053131E-2</v>
      </c>
      <c r="CU1313" s="139">
        <f t="shared" si="2352"/>
        <v>0.85150049999999999</v>
      </c>
      <c r="CV1313" s="335">
        <f t="shared" si="2353"/>
        <v>0.91060168006009956</v>
      </c>
      <c r="CW1313" s="335">
        <f t="shared" si="2354"/>
        <v>0.53108168097070152</v>
      </c>
      <c r="CX1313" s="335">
        <f t="shared" si="2355"/>
        <v>0.88825329850328805</v>
      </c>
      <c r="CY1313" s="335">
        <f t="shared" si="2356"/>
        <v>0.4295627335323573</v>
      </c>
      <c r="CZ1313" s="336">
        <f>INDEX('State Tax Lookup'!$D$7:$Z$91,MATCH(Calculation!$C1313,'State Tax Lookup'!$B$7:$B$91,0),MATCH($H1313,'State Tax Lookup'!$D$6:$Z$6,0))</f>
        <v>0.40134999999999998</v>
      </c>
      <c r="DA1313" s="302">
        <v>0.37</v>
      </c>
      <c r="DB1313" s="57">
        <f t="shared" si="2359"/>
        <v>15.052241570835807</v>
      </c>
      <c r="DC1313" s="56">
        <f t="shared" si="2362"/>
        <v>0.11769243346408692</v>
      </c>
      <c r="DD1313" s="303">
        <f>VLOOKUP($H1313,RoR!$E:$F,2,FALSE)</f>
        <v>5.6316666666666668E-2</v>
      </c>
      <c r="DE1313" s="304">
        <f>HLOOKUP($H1313,'GDP-PI'!$D$8:$CQ$11,3,FALSE)</f>
        <v>1.9092304698479889E-2</v>
      </c>
      <c r="DF1313" s="303">
        <f>VLOOKUP(H1313,'HW Dx Data'!$E:$F,2,FALSE)</f>
        <v>569.88120333515076</v>
      </c>
      <c r="DG1313" s="364">
        <f ca="1">VLOOKUP(CC1313,'ECI - Input Price'!M$13:N$33,2,FALSE)</f>
        <v>107.9</v>
      </c>
      <c r="DH1313" s="364"/>
      <c r="DI1313" s="364"/>
      <c r="DJ1313" s="56">
        <f t="shared" ca="1" si="2370"/>
        <v>3.1778595021460486E-2</v>
      </c>
      <c r="DK1313" s="53">
        <f>HLOOKUP(H1313,'GDP-PI'!$8:$9,2,FALSE)</f>
        <v>94.263999999999996</v>
      </c>
      <c r="DL1313" s="355">
        <f t="shared" si="2363"/>
        <v>1.8912333748032254E-2</v>
      </c>
    </row>
    <row r="1314" spans="1:116" s="126" customFormat="1" ht="21" customHeight="1" x14ac:dyDescent="0.4">
      <c r="A1314" s="233" t="s">
        <v>259</v>
      </c>
      <c r="B1314" s="126" t="s">
        <v>259</v>
      </c>
      <c r="C1314" s="126">
        <v>4008669</v>
      </c>
      <c r="D1314" s="127" t="s">
        <v>214</v>
      </c>
      <c r="E1314" s="127"/>
      <c r="F1314" s="144"/>
      <c r="G1314" s="126" t="s">
        <v>165</v>
      </c>
      <c r="H1314" s="128">
        <v>2009</v>
      </c>
      <c r="I1314" s="129"/>
      <c r="J1314" s="125">
        <f>IFERROR(INDEX('Labor Expenditures'!$E$7:$W$91,MATCH($C1314,'Labor Expenditures'!$C$7:$C$91,0),MATCH($G1314,'Labor Expenditures'!$E$5:$W$5,0)),"NA")</f>
        <v>8271.472908744985</v>
      </c>
      <c r="K1314" s="125">
        <f t="shared" ca="1" si="2364"/>
        <v>74.568157843092052</v>
      </c>
      <c r="L1314" s="47"/>
      <c r="M1314" s="131">
        <f t="shared" ca="1" si="2371"/>
        <v>5.1022406580583241E-2</v>
      </c>
      <c r="N1314" s="131"/>
      <c r="O1314" s="131"/>
      <c r="P1314" s="59">
        <f t="shared" ca="1" si="2376"/>
        <v>2.0123112788930723E-4</v>
      </c>
      <c r="Q1314" s="61"/>
      <c r="R1314" s="387"/>
      <c r="S1314" s="49">
        <f t="shared" ca="1" si="2381"/>
        <v>117.17571071602256</v>
      </c>
      <c r="T1314" s="61">
        <f ca="1">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+P2614+P2639</f>
        <v>2.5876915244830476E-2</v>
      </c>
      <c r="U1314" s="61"/>
      <c r="V1314" s="125">
        <f>IFERROR(INDEX('Non-Labor Expenditures'!$E$7:$AA$91,MATCH($C1314,'Non-Labor Expenditures'!$C$7:$C$91,0),MATCH($G1314,'Non-Labor Expenditures'!$E$5:$AA$5,0)),"NA")</f>
        <v>11978.637669899636</v>
      </c>
      <c r="W1314" s="125">
        <f t="shared" si="2365"/>
        <v>126.09225012789226</v>
      </c>
      <c r="X1314" s="131">
        <f t="shared" si="2377"/>
        <v>7.0904822763157641E-2</v>
      </c>
      <c r="Y1314" s="131">
        <f t="shared" si="2378"/>
        <v>2.7964689268207652E-4</v>
      </c>
      <c r="Z1314" s="131"/>
      <c r="AA1314" s="131"/>
      <c r="AB1314" s="131"/>
      <c r="AC1314" s="125">
        <f t="shared" si="2347"/>
        <v>13103.397327126962</v>
      </c>
      <c r="AD1314" s="129"/>
      <c r="AE1314" s="133">
        <v>998.05851017432121</v>
      </c>
      <c r="AF1314" s="134">
        <v>4.1209164930301939E-2</v>
      </c>
      <c r="AG1314" s="59">
        <f t="shared" si="2366"/>
        <v>1.6252794201708449E-4</v>
      </c>
      <c r="AH1314" s="134"/>
      <c r="AI1314" s="134"/>
      <c r="AJ1314" s="129">
        <f t="shared" si="2372"/>
        <v>33353.507905771585</v>
      </c>
      <c r="AK1314" s="134">
        <f t="shared" si="2379"/>
        <v>4.6395853521647781E-2</v>
      </c>
      <c r="AL1314" s="129"/>
      <c r="AM1314" s="129"/>
      <c r="AN1314" s="129"/>
      <c r="AO1314" s="129"/>
      <c r="AP1314" s="133">
        <f t="shared" si="2380"/>
        <v>188.02466841670895</v>
      </c>
      <c r="AQ1314" s="134">
        <f>+BB1314/Outputs!$B$17</f>
        <v>5.0427222382205764E-3</v>
      </c>
      <c r="AR1314" s="93">
        <f t="shared" si="2367"/>
        <v>0.24799409201913861</v>
      </c>
      <c r="AS1314" s="93">
        <f t="shared" si="2368"/>
        <v>0.35914176415089516</v>
      </c>
      <c r="AT1314" s="93">
        <f t="shared" si="2369"/>
        <v>0.39286414382996621</v>
      </c>
      <c r="AU1314" s="93">
        <f t="shared" ca="1" si="2373"/>
        <v>5.4099732051391625E-2</v>
      </c>
      <c r="AV1314" s="132">
        <f t="shared" ca="1" si="2383"/>
        <v>100.37858028219391</v>
      </c>
      <c r="AW1314" s="134">
        <f t="shared" ca="1" si="2384"/>
        <v>5.4099732051391722E-2</v>
      </c>
      <c r="AX1314" s="135">
        <f>+AJ1314/$AL$14</f>
        <v>3.9439756251302823E-3</v>
      </c>
      <c r="AY1314" s="135">
        <f t="shared" ca="1" si="2382"/>
        <v>2.1336802453676844E-4</v>
      </c>
      <c r="AZ1314" s="93"/>
      <c r="BA1314" s="93"/>
      <c r="BB1314" s="234">
        <f>IFERROR(INDEX('Total Customers'!$E$7:$AA$91,MATCH($C1314,'Total Customers'!$C$7:$C$91,0),MATCH($G1314,'Total Customers'!$E$5:$AA$5,0)),"NA")</f>
        <v>177389</v>
      </c>
      <c r="BC1314" s="269">
        <f t="shared" si="2328"/>
        <v>4.1916702618801961E-3</v>
      </c>
      <c r="BD1314" s="92"/>
      <c r="BE1314" s="299" t="str">
        <f t="shared" si="2317"/>
        <v>WISCONSIN POWER AND LIGHT COMPANY</v>
      </c>
      <c r="BF1314" s="300">
        <f t="shared" si="2318"/>
        <v>4008669</v>
      </c>
      <c r="BG1314" s="231" t="str">
        <f t="shared" si="2319"/>
        <v>WI</v>
      </c>
      <c r="BH1314" s="231"/>
      <c r="BI1314" s="231" t="str">
        <f t="shared" si="2320"/>
        <v>2009 Y</v>
      </c>
      <c r="BJ1314" s="129"/>
      <c r="BK1314" s="129"/>
      <c r="BL1314" s="129">
        <f>INDEX('Dist. Plant Gas Additions'!$E$7:$AD$91,MATCH($C1314,'Dist. Plant Gas Additions'!$C$7:$C$91,0),MATCH(Calculation!$G1314,'Dist. Plant Gas Additions'!$E$5:$AD$5,0))</f>
        <v>25250</v>
      </c>
      <c r="BM1314" s="129">
        <f>INDEX('Gen. Plant Additions'!$E$7:$AD$91,MATCH($C1314,'Gen. Plant Additions'!$C$7:$C$91,0),MATCH(Calculation!$G1314,'Gen. Plant Additions'!$E$5:$AD$5,0))</f>
        <v>519</v>
      </c>
      <c r="BN1314" s="301">
        <f t="shared" si="2346"/>
        <v>0.98075311257067099</v>
      </c>
      <c r="BO1314" s="231">
        <f t="shared" si="2374"/>
        <v>509.01086542417823</v>
      </c>
      <c r="BP1314" s="231">
        <f t="shared" si="2375"/>
        <v>-9.9891345758217653</v>
      </c>
      <c r="BQ1314" s="129">
        <f>INDEX('Dist Plant Depreciation'!$D$7:$AC$94,MATCH($C1314,'Dist Plant Depreciation'!$C$7:$C$94,0),MATCH(Calculation!$G1314,'Dist Plant Depreciation'!$D$5:$AC$5,0))</f>
        <v>184575</v>
      </c>
      <c r="BR1314" s="129">
        <f>INDEX('Gen. Plant Depreciation'!$D$7:$AC$94,MATCH($C1314,'Gen. Plant Depreciation'!$C$7:$C$94,0),MATCH(Calculation!$G1314,'Gen. Plant Depreciation'!$D$5:$AC$5,0))</f>
        <v>3043</v>
      </c>
      <c r="BS1314" s="129"/>
      <c r="BT1314" s="129"/>
      <c r="BU1314" s="129"/>
      <c r="BV1314" s="129"/>
      <c r="BW1314" s="129"/>
      <c r="BX1314" s="137"/>
      <c r="BY1314" s="129">
        <f>INDEX('Gross Dx Plant'!$D$7:$AC$91,MATCH($C1314,'Gross Dx Plant'!$C$7:$C$91,0),MATCH(Calculation!$G1314,'Gross Dx Plant'!$D$5:$AC$5,0))</f>
        <v>386148</v>
      </c>
      <c r="BZ1314" s="129">
        <f>INDEX('Gross Gen Plant'!$D$7:$AC$91,MATCH($C1314,'Gross Gen Plant'!$C$7:$C$91,0),MATCH(Calculation!$G1314,'Gross Gen Plant'!$D$5:$AC$5,0))</f>
        <v>7578</v>
      </c>
      <c r="CA1314" s="129">
        <f t="shared" si="2294"/>
        <v>206108</v>
      </c>
      <c r="CB1314" s="129"/>
      <c r="CC1314" s="133">
        <v>2009</v>
      </c>
      <c r="CD1314" s="129"/>
      <c r="CE1314" s="129"/>
      <c r="CF1314" s="129"/>
      <c r="CG1314" s="137"/>
      <c r="CH1314" s="129">
        <f t="shared" si="2348"/>
        <v>25769</v>
      </c>
      <c r="CI1314" s="46">
        <f t="shared" si="2357"/>
        <v>25759.010865424178</v>
      </c>
      <c r="CJ1314" s="231">
        <f t="shared" si="2349"/>
        <v>46.754603209490107</v>
      </c>
      <c r="CK1314" s="443">
        <v>0.87912087912087911</v>
      </c>
      <c r="CL1314" s="231">
        <f>+CL1303*CK1314+CJ1304*CK1313+CJ1305*CK1312+CJ1306*CK1311+CJ1307*CK1310+CJ1308*CK1309+CJ1309*CK1308+CJ1310*CK1307+CJ1311*CK1306+CJ1312*CK1305+CJ1313*CK1304+CJ1314</f>
        <v>950.63437990433476</v>
      </c>
      <c r="CM1314" s="134">
        <f t="shared" si="2350"/>
        <v>3.7530117540247258E-2</v>
      </c>
      <c r="CN1314" s="135">
        <f t="shared" si="2351"/>
        <v>1.2820163866680851E-2</v>
      </c>
      <c r="CO1314" s="135">
        <f t="shared" si="2360"/>
        <v>1.2524097414670157E-2</v>
      </c>
      <c r="CP1314" s="134">
        <f>VLOOKUP($H1314,RoR!$E:$F,2,FALSE)</f>
        <v>5.3133333333333324E-2</v>
      </c>
      <c r="CQ1314" s="135">
        <v>7.7972502758210105E-3</v>
      </c>
      <c r="CR1314" s="135">
        <f t="shared" si="2358"/>
        <v>4.5336083057512314E-2</v>
      </c>
      <c r="CS1314" s="135">
        <f t="shared" si="2361"/>
        <v>1.8377844193863468E-2</v>
      </c>
      <c r="CT1314" s="135">
        <v>6.3720160300892073E-2</v>
      </c>
      <c r="CU1314" s="139">
        <f t="shared" si="2352"/>
        <v>0.85150049999999999</v>
      </c>
      <c r="CV1314" s="335">
        <f t="shared" si="2353"/>
        <v>0.96515780330083989</v>
      </c>
      <c r="CW1314" s="335">
        <f t="shared" si="2354"/>
        <v>0.50448557089084056</v>
      </c>
      <c r="CX1314" s="335">
        <f t="shared" si="2355"/>
        <v>0.87391435735465484</v>
      </c>
      <c r="CY1314" s="335">
        <f t="shared" si="2356"/>
        <v>0.42551605393279146</v>
      </c>
      <c r="CZ1314" s="336">
        <f>INDEX('State Tax Lookup'!$D$7:$Z$91,MATCH(Calculation!$C1314,'State Tax Lookup'!$B$7:$B$91,0),MATCH($H1314,'State Tax Lookup'!$D$6:$Z$6,0))</f>
        <v>0.40134999999999998</v>
      </c>
      <c r="DA1314" s="302">
        <v>0.37</v>
      </c>
      <c r="DB1314" s="57">
        <f t="shared" si="2359"/>
        <v>14.31098466820775</v>
      </c>
      <c r="DC1314" s="56">
        <f t="shared" si="2362"/>
        <v>-5.0499520689002819E-2</v>
      </c>
      <c r="DD1314" s="303">
        <f>VLOOKUP($H1314,RoR!$E:$F,2,FALSE)</f>
        <v>5.3133333333333324E-2</v>
      </c>
      <c r="DE1314" s="304">
        <f>HLOOKUP($H1314,'GDP-PI'!$D$8:$CQ$11,3,FALSE)</f>
        <v>7.7972502758210105E-3</v>
      </c>
      <c r="DF1314" s="303">
        <f>VLOOKUP(H1314,'HW Dx Data'!$E:$F,2,FALSE)</f>
        <v>550.94063679692806</v>
      </c>
      <c r="DG1314" s="364">
        <f ca="1">VLOOKUP(CC1314,'ECI - Input Price'!M$13:N$33,2,FALSE)</f>
        <v>110.925</v>
      </c>
      <c r="DH1314" s="364"/>
      <c r="DI1314" s="364"/>
      <c r="DJ1314" s="56">
        <f t="shared" ca="1" si="2370"/>
        <v>2.7649425000884052E-2</v>
      </c>
      <c r="DK1314" s="53">
        <f>HLOOKUP(H1314,'GDP-PI'!$8:$9,2,FALSE)</f>
        <v>94.998999999999995</v>
      </c>
      <c r="DL1314" s="355">
        <f t="shared" si="2363"/>
        <v>7.7670088183096342E-3</v>
      </c>
    </row>
    <row r="1315" spans="1:116" s="126" customFormat="1" ht="21" customHeight="1" x14ac:dyDescent="0.4">
      <c r="A1315" s="233" t="s">
        <v>259</v>
      </c>
      <c r="B1315" s="126" t="s">
        <v>259</v>
      </c>
      <c r="C1315" s="126">
        <v>4008669</v>
      </c>
      <c r="D1315" s="127" t="s">
        <v>214</v>
      </c>
      <c r="E1315" s="127"/>
      <c r="F1315" s="144"/>
      <c r="G1315" s="126" t="s">
        <v>166</v>
      </c>
      <c r="H1315" s="128">
        <v>2010</v>
      </c>
      <c r="I1315" s="129"/>
      <c r="J1315" s="125">
        <f>IFERROR(INDEX('Labor Expenditures'!$E$7:$W$91,MATCH($C1315,'Labor Expenditures'!$C$7:$C$91,0),MATCH($G1315,'Labor Expenditures'!$E$5:$W$5,0)),"NA")</f>
        <v>8736.6409130018692</v>
      </c>
      <c r="K1315" s="125">
        <f t="shared" ca="1" si="2364"/>
        <v>74.720042018403845</v>
      </c>
      <c r="L1315" s="47"/>
      <c r="M1315" s="131">
        <f t="shared" ca="1" si="2371"/>
        <v>2.0347787414792683E-3</v>
      </c>
      <c r="N1315" s="131"/>
      <c r="O1315" s="131"/>
      <c r="P1315" s="59">
        <f t="shared" ca="1" si="2376"/>
        <v>8.2223579099144016E-6</v>
      </c>
      <c r="Q1315" s="61"/>
      <c r="R1315" s="387"/>
      <c r="S1315" s="49">
        <f t="shared" ca="1" si="2381"/>
        <v>98.529824890414289</v>
      </c>
      <c r="T1315" s="61">
        <f ca="1">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+P2615+P2640</f>
        <v>-0.17331531610228151</v>
      </c>
      <c r="U1315" s="61"/>
      <c r="V1315" s="125">
        <f>IFERROR(INDEX('Non-Labor Expenditures'!$E$7:$AA$91,MATCH($C1315,'Non-Labor Expenditures'!$C$7:$C$91,0),MATCH($G1315,'Non-Labor Expenditures'!$E$5:$AA$5,0)),"NA")</f>
        <v>12652.287821462425</v>
      </c>
      <c r="W1315" s="125">
        <f t="shared" si="2365"/>
        <v>131.64519266106635</v>
      </c>
      <c r="X1315" s="131">
        <f t="shared" si="2377"/>
        <v>4.3096586281305728E-2</v>
      </c>
      <c r="Y1315" s="131">
        <f t="shared" si="2378"/>
        <v>1.7414942955556382E-4</v>
      </c>
      <c r="Z1315" s="131"/>
      <c r="AA1315" s="131"/>
      <c r="AB1315" s="131"/>
      <c r="AC1315" s="125">
        <f t="shared" si="2347"/>
        <v>13837.898525788638</v>
      </c>
      <c r="AD1315" s="129"/>
      <c r="AE1315" s="133">
        <v>1027.2693869591199</v>
      </c>
      <c r="AF1315" s="134">
        <v>2.8847578241936594E-2</v>
      </c>
      <c r="AG1315" s="59">
        <f t="shared" si="2366"/>
        <v>1.1657046945901496E-4</v>
      </c>
      <c r="AH1315" s="134"/>
      <c r="AI1315" s="134"/>
      <c r="AJ1315" s="129">
        <f t="shared" si="2372"/>
        <v>35226.827260252932</v>
      </c>
      <c r="AK1315" s="134">
        <f t="shared" si="2379"/>
        <v>5.4644978988695692E-2</v>
      </c>
      <c r="AL1315" s="129"/>
      <c r="AM1315" s="129"/>
      <c r="AN1315" s="129"/>
      <c r="AO1315" s="129"/>
      <c r="AP1315" s="133">
        <f t="shared" si="2380"/>
        <v>197.56056766766079</v>
      </c>
      <c r="AQ1315" s="134">
        <f>+BB1315/Outputs!$B$18</f>
        <v>5.0411416119496228E-3</v>
      </c>
      <c r="AR1315" s="93">
        <f t="shared" si="2367"/>
        <v>0.24801100730577516</v>
      </c>
      <c r="AS1315" s="93">
        <f t="shared" si="2368"/>
        <v>0.35916626064528473</v>
      </c>
      <c r="AT1315" s="93">
        <f t="shared" si="2369"/>
        <v>0.39282273204894014</v>
      </c>
      <c r="AU1315" s="93">
        <f t="shared" ca="1" si="2373"/>
        <v>2.7315524012266997E-2</v>
      </c>
      <c r="AV1315" s="132">
        <f t="shared" ca="1" si="2383"/>
        <v>103.1582652443432</v>
      </c>
      <c r="AW1315" s="134">
        <f t="shared" ca="1" si="2384"/>
        <v>2.7315524012266959E-2</v>
      </c>
      <c r="AX1315" s="135">
        <f>+AJ1315/$AL$15</f>
        <v>4.0409100715966843E-3</v>
      </c>
      <c r="AY1315" s="135">
        <f t="shared" ca="1" si="2382"/>
        <v>1.1037957609211063E-4</v>
      </c>
      <c r="AZ1315" s="93"/>
      <c r="BA1315" s="93"/>
      <c r="BB1315" s="234">
        <f>IFERROR(INDEX('Total Customers'!$E$7:$AA$91,MATCH($C1315,'Total Customers'!$C$7:$C$91,0),MATCH($G1315,'Total Customers'!$E$5:$AA$5,0)),"NA")</f>
        <v>178309</v>
      </c>
      <c r="BC1315" s="269">
        <f t="shared" si="2328"/>
        <v>5.1729391312033178E-3</v>
      </c>
      <c r="BD1315" s="92"/>
      <c r="BE1315" s="299" t="str">
        <f t="shared" si="2317"/>
        <v>WISCONSIN POWER AND LIGHT COMPANY</v>
      </c>
      <c r="BF1315" s="300">
        <f t="shared" si="2318"/>
        <v>4008669</v>
      </c>
      <c r="BG1315" s="231" t="str">
        <f t="shared" si="2319"/>
        <v>WI</v>
      </c>
      <c r="BH1315" s="231"/>
      <c r="BI1315" s="231" t="str">
        <f t="shared" si="2320"/>
        <v>2010 Y</v>
      </c>
      <c r="BJ1315" s="129"/>
      <c r="BK1315" s="129"/>
      <c r="BL1315" s="129">
        <f>INDEX('Dist. Plant Gas Additions'!$E$7:$AD$91,MATCH($C1315,'Dist. Plant Gas Additions'!$C$7:$C$91,0),MATCH(Calculation!$G1315,'Dist. Plant Gas Additions'!$E$5:$AD$5,0))</f>
        <v>20274</v>
      </c>
      <c r="BM1315" s="129">
        <f>INDEX('Gen. Plant Additions'!$E$7:$AD$91,MATCH($C1315,'Gen. Plant Additions'!$C$7:$C$91,0),MATCH(Calculation!$G1315,'Gen. Plant Additions'!$E$5:$AD$5,0))</f>
        <v>294</v>
      </c>
      <c r="BN1315" s="301">
        <f t="shared" si="2346"/>
        <v>0.98230469281782995</v>
      </c>
      <c r="BO1315" s="231">
        <f t="shared" si="2374"/>
        <v>288.797579688442</v>
      </c>
      <c r="BP1315" s="231">
        <f t="shared" si="2375"/>
        <v>-5.2024203115580008</v>
      </c>
      <c r="BQ1315" s="129">
        <f>INDEX('Dist Plant Depreciation'!$D$7:$AC$94,MATCH($C1315,'Dist Plant Depreciation'!$C$7:$C$94,0),MATCH(Calculation!$G1315,'Dist Plant Depreciation'!$D$5:$AC$5,0))</f>
        <v>189801</v>
      </c>
      <c r="BR1315" s="129">
        <f>INDEX('Gen. Plant Depreciation'!$D$7:$AC$94,MATCH($C1315,'Gen. Plant Depreciation'!$C$7:$C$94,0),MATCH(Calculation!$G1315,'Gen. Plant Depreciation'!$D$5:$AC$5,0))</f>
        <v>3212</v>
      </c>
      <c r="BS1315" s="129"/>
      <c r="BT1315" s="129"/>
      <c r="BU1315" s="129"/>
      <c r="BV1315" s="129"/>
      <c r="BW1315" s="129"/>
      <c r="BX1315" s="137"/>
      <c r="BY1315" s="129">
        <f>INDEX('Gross Dx Plant'!$D$7:$AC$91,MATCH($C1315,'Gross Dx Plant'!$C$7:$C$91,0),MATCH(Calculation!$G1315,'Gross Dx Plant'!$D$5:$AC$5,0))</f>
        <v>404073</v>
      </c>
      <c r="BZ1315" s="129">
        <f>INDEX('Gross Gen Plant'!$D$7:$AC$91,MATCH($C1315,'Gross Gen Plant'!$C$7:$C$91,0),MATCH(Calculation!$G1315,'Gross Gen Plant'!$D$5:$AC$5,0))</f>
        <v>7279</v>
      </c>
      <c r="CA1315" s="129">
        <f t="shared" si="2294"/>
        <v>218339</v>
      </c>
      <c r="CB1315" s="129"/>
      <c r="CC1315" s="133">
        <v>2010</v>
      </c>
      <c r="CD1315" s="129"/>
      <c r="CE1315" s="129"/>
      <c r="CF1315" s="129"/>
      <c r="CG1315" s="137"/>
      <c r="CH1315" s="129">
        <f t="shared" si="2348"/>
        <v>20568</v>
      </c>
      <c r="CI1315" s="46">
        <f t="shared" si="2357"/>
        <v>20562.797579688442</v>
      </c>
      <c r="CJ1315" s="231">
        <f t="shared" si="2349"/>
        <v>36.13915104699241</v>
      </c>
      <c r="CK1315" s="443">
        <v>0.8666666666666667</v>
      </c>
      <c r="CL1315" s="231">
        <f>+CL1303*CK1315+CJ1304*CK1314+CJ1305*CK1313+CJ1306*CK1312+CJ1307*CK1311+CJ1308*CK1310+CJ1309*CK1309+CJ1310*CK1308+CJ1311*CK1307+CJ1312*CK1306+CJ1313*CK1305+CJ1314*CK1304+CJ1315</f>
        <v>974.31618279166548</v>
      </c>
      <c r="CM1315" s="134">
        <f t="shared" si="2350"/>
        <v>2.4606343896402091E-2</v>
      </c>
      <c r="CN1315" s="135">
        <f t="shared" si="2351"/>
        <v>1.3104247461484943E-2</v>
      </c>
      <c r="CO1315" s="135">
        <f t="shared" si="2360"/>
        <v>1.2831448575515242E-2</v>
      </c>
      <c r="CP1315" s="134">
        <f>VLOOKUP($H1315,RoR!$E:$F,2,FALSE)</f>
        <v>4.9433333333333322E-2</v>
      </c>
      <c r="CQ1315" s="135">
        <v>1.1684333519300205E-2</v>
      </c>
      <c r="CR1315" s="135">
        <f t="shared" si="2358"/>
        <v>3.7748999814033117E-2</v>
      </c>
      <c r="CS1315" s="135">
        <f t="shared" si="2361"/>
        <v>1.8070493033018383E-2</v>
      </c>
      <c r="CT1315" s="135">
        <v>4.7937530248493419E-2</v>
      </c>
      <c r="CU1315" s="139">
        <f t="shared" si="2352"/>
        <v>0.85150049999999999</v>
      </c>
      <c r="CV1315" s="335">
        <f t="shared" si="2353"/>
        <v>1.037398205301105</v>
      </c>
      <c r="CW1315" s="335">
        <f t="shared" si="2354"/>
        <v>0.46926837491571133</v>
      </c>
      <c r="CX1315" s="335">
        <f t="shared" si="2355"/>
        <v>0.8548537519972772</v>
      </c>
      <c r="CY1315" s="335">
        <f t="shared" si="2356"/>
        <v>0.41615833911547367</v>
      </c>
      <c r="CZ1315" s="336">
        <f>INDEX('State Tax Lookup'!$D$7:$Z$91,MATCH(Calculation!$C1315,'State Tax Lookup'!$B$7:$B$91,0),MATCH($H1315,'State Tax Lookup'!$D$6:$Z$6,0))</f>
        <v>0.40134999999999998</v>
      </c>
      <c r="DA1315" s="302">
        <v>0.37</v>
      </c>
      <c r="DB1315" s="57">
        <f t="shared" si="2359"/>
        <v>14.556488612563315</v>
      </c>
      <c r="DC1315" s="56">
        <f t="shared" si="2362"/>
        <v>1.7009445964657546E-2</v>
      </c>
      <c r="DD1315" s="303">
        <f>VLOOKUP($H1315,RoR!$E:$F,2,FALSE)</f>
        <v>4.9433333333333322E-2</v>
      </c>
      <c r="DE1315" s="304">
        <f>HLOOKUP($H1315,'GDP-PI'!$D$8:$CQ$11,3,FALSE)</f>
        <v>1.1684333519300205E-2</v>
      </c>
      <c r="DF1315" s="303">
        <f>VLOOKUP(H1315,'HW Dx Data'!$E:$F,2,FALSE)</f>
        <v>568.98950262971744</v>
      </c>
      <c r="DG1315" s="364">
        <f ca="1">VLOOKUP(CC1315,'ECI - Input Price'!M$13:N$33,2,FALSE)</f>
        <v>116.925</v>
      </c>
      <c r="DH1315" s="364"/>
      <c r="DI1315" s="364"/>
      <c r="DJ1315" s="56">
        <f t="shared" ca="1" si="2370"/>
        <v>5.2678406346976722E-2</v>
      </c>
      <c r="DK1315" s="53">
        <f>HLOOKUP(H1315,'GDP-PI'!$8:$9,2,FALSE)</f>
        <v>96.108999999999995</v>
      </c>
      <c r="DL1315" s="355">
        <f t="shared" si="2363"/>
        <v>1.1616598807150427E-2</v>
      </c>
    </row>
    <row r="1316" spans="1:116" s="126" customFormat="1" ht="21" customHeight="1" x14ac:dyDescent="0.4">
      <c r="A1316" s="233" t="s">
        <v>259</v>
      </c>
      <c r="B1316" s="126" t="s">
        <v>259</v>
      </c>
      <c r="C1316" s="126">
        <v>4008669</v>
      </c>
      <c r="D1316" s="127" t="s">
        <v>214</v>
      </c>
      <c r="E1316" s="127"/>
      <c r="F1316" s="144"/>
      <c r="G1316" s="126" t="s">
        <v>167</v>
      </c>
      <c r="H1316" s="128">
        <v>2011</v>
      </c>
      <c r="I1316" s="129"/>
      <c r="J1316" s="125">
        <f>IFERROR(INDEX('Labor Expenditures'!$E$7:$W$91,MATCH($C1316,'Labor Expenditures'!$C$7:$C$91,0),MATCH($G1316,'Labor Expenditures'!$E$5:$W$5,0)),"NA")</f>
        <v>9179.0850602837381</v>
      </c>
      <c r="K1316" s="125">
        <f t="shared" ca="1" si="2364"/>
        <v>75.938656134715515</v>
      </c>
      <c r="L1316" s="47"/>
      <c r="M1316" s="131">
        <f t="shared" ca="1" si="2371"/>
        <v>1.6177501973035947E-2</v>
      </c>
      <c r="N1316" s="131"/>
      <c r="O1316" s="131"/>
      <c r="P1316" s="59">
        <f t="shared" ca="1" si="2376"/>
        <v>6.6884140147565962E-5</v>
      </c>
      <c r="Q1316" s="61"/>
      <c r="R1316" s="387"/>
      <c r="S1316" s="49">
        <f t="shared" ca="1" si="2381"/>
        <v>119.22096612492166</v>
      </c>
      <c r="T1316" s="61">
        <f ca="1">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+P2616+P2641</f>
        <v>0.19061933636230985</v>
      </c>
      <c r="U1316" s="61"/>
      <c r="V1316" s="125">
        <f>IFERROR(INDEX('Non-Labor Expenditures'!$E$7:$AA$91,MATCH($C1316,'Non-Labor Expenditures'!$C$7:$C$91,0),MATCH($G1316,'Non-Labor Expenditures'!$E$5:$AA$5,0)),"NA")</f>
        <v>13293.029583894353</v>
      </c>
      <c r="W1316" s="125">
        <f t="shared" si="2365"/>
        <v>135.48831523049529</v>
      </c>
      <c r="X1316" s="131">
        <f t="shared" si="2377"/>
        <v>2.8775032921695178E-2</v>
      </c>
      <c r="Y1316" s="131">
        <f t="shared" si="2378"/>
        <v>1.189672755344629E-4</v>
      </c>
      <c r="Z1316" s="131"/>
      <c r="AA1316" s="131"/>
      <c r="AB1316" s="131"/>
      <c r="AC1316" s="125">
        <f t="shared" si="2347"/>
        <v>15037.911219032307</v>
      </c>
      <c r="AD1316" s="129"/>
      <c r="AE1316" s="133">
        <v>1045.5663470148404</v>
      </c>
      <c r="AF1316" s="134">
        <v>1.7654496194061283E-2</v>
      </c>
      <c r="AG1316" s="59">
        <f t="shared" si="2366"/>
        <v>7.2990613732972339E-5</v>
      </c>
      <c r="AH1316" s="134"/>
      <c r="AI1316" s="134"/>
      <c r="AJ1316" s="129">
        <f t="shared" si="2372"/>
        <v>37510.025863210394</v>
      </c>
      <c r="AK1316" s="134">
        <f t="shared" si="2379"/>
        <v>6.2800323195626298E-2</v>
      </c>
      <c r="AL1316" s="129"/>
      <c r="AM1316" s="129"/>
      <c r="AN1316" s="129"/>
      <c r="AO1316" s="129"/>
      <c r="AP1316" s="133">
        <f t="shared" si="2380"/>
        <v>209.25394889549244</v>
      </c>
      <c r="AQ1316" s="134">
        <f>+BB1316/Outputs!$B$19</f>
        <v>5.0434625000798346E-3</v>
      </c>
      <c r="AR1316" s="93">
        <f t="shared" si="2367"/>
        <v>0.24471017678733539</v>
      </c>
      <c r="AS1316" s="93">
        <f t="shared" si="2368"/>
        <v>0.35438604154448411</v>
      </c>
      <c r="AT1316" s="93">
        <f t="shared" si="2369"/>
        <v>0.40090378166818058</v>
      </c>
      <c r="AU1316" s="93">
        <f t="shared" ca="1" si="2373"/>
        <v>2.1258165315114666E-2</v>
      </c>
      <c r="AV1316" s="132">
        <f t="shared" ca="1" si="2383"/>
        <v>105.37469585648316</v>
      </c>
      <c r="AW1316" s="134">
        <f t="shared" ca="1" si="2384"/>
        <v>2.1258165315114649E-2</v>
      </c>
      <c r="AX1316" s="135">
        <f>+AJ1316/$AL$16</f>
        <v>4.1343923344312325E-3</v>
      </c>
      <c r="AY1316" s="135">
        <f t="shared" ca="1" si="2382"/>
        <v>8.7889595722881911E-5</v>
      </c>
      <c r="AZ1316" s="93"/>
      <c r="BA1316" s="93"/>
      <c r="BB1316" s="234">
        <f>IFERROR(INDEX('Total Customers'!$E$7:$AA$91,MATCH($C1316,'Total Customers'!$C$7:$C$91,0),MATCH($G1316,'Total Customers'!$E$5:$AA$5,0)),"NA")</f>
        <v>179256</v>
      </c>
      <c r="BC1316" s="269">
        <f t="shared" si="2328"/>
        <v>5.296951403066001E-3</v>
      </c>
      <c r="BD1316" s="92"/>
      <c r="BE1316" s="299" t="str">
        <f t="shared" si="2317"/>
        <v>WISCONSIN POWER AND LIGHT COMPANY</v>
      </c>
      <c r="BF1316" s="300">
        <f t="shared" si="2318"/>
        <v>4008669</v>
      </c>
      <c r="BG1316" s="231" t="str">
        <f t="shared" si="2319"/>
        <v>WI</v>
      </c>
      <c r="BH1316" s="231"/>
      <c r="BI1316" s="231" t="str">
        <f t="shared" si="2320"/>
        <v>2011 Y</v>
      </c>
      <c r="BJ1316" s="129"/>
      <c r="BK1316" s="129"/>
      <c r="BL1316" s="129">
        <f>INDEX('Dist. Plant Gas Additions'!$E$7:$AD$91,MATCH($C1316,'Dist. Plant Gas Additions'!$C$7:$C$91,0),MATCH(Calculation!$G1316,'Dist. Plant Gas Additions'!$E$5:$AD$5,0))</f>
        <v>15536</v>
      </c>
      <c r="BM1316" s="129">
        <f>INDEX('Gen. Plant Additions'!$E$7:$AD$91,MATCH($C1316,'Gen. Plant Additions'!$C$7:$C$91,0),MATCH(Calculation!$G1316,'Gen. Plant Additions'!$E$5:$AD$5,0))</f>
        <v>157</v>
      </c>
      <c r="BN1316" s="301">
        <f t="shared" si="2346"/>
        <v>0.98330625603352872</v>
      </c>
      <c r="BO1316" s="231">
        <f t="shared" si="2374"/>
        <v>154.37908219726401</v>
      </c>
      <c r="BP1316" s="231">
        <f t="shared" si="2375"/>
        <v>-2.6209178027359883</v>
      </c>
      <c r="BQ1316" s="129">
        <f>INDEX('Dist Plant Depreciation'!$D$7:$AC$94,MATCH($C1316,'Dist Plant Depreciation'!$C$7:$C$94,0),MATCH(Calculation!$G1316,'Dist Plant Depreciation'!$D$5:$AC$5,0))</f>
        <v>197584</v>
      </c>
      <c r="BR1316" s="129">
        <f>INDEX('Gen. Plant Depreciation'!$D$7:$AC$94,MATCH($C1316,'Gen. Plant Depreciation'!$C$7:$C$94,0),MATCH(Calculation!$G1316,'Gen. Plant Depreciation'!$D$5:$AC$5,0))</f>
        <v>3637</v>
      </c>
      <c r="BS1316" s="129"/>
      <c r="BT1316" s="129"/>
      <c r="BU1316" s="129"/>
      <c r="BV1316" s="129"/>
      <c r="BW1316" s="129"/>
      <c r="BX1316" s="137"/>
      <c r="BY1316" s="129">
        <f>INDEX('Gross Dx Plant'!$D$7:$AC$91,MATCH($C1316,'Gross Dx Plant'!$C$7:$C$91,0),MATCH(Calculation!$G1316,'Gross Dx Plant'!$D$5:$AC$5,0))</f>
        <v>417620</v>
      </c>
      <c r="BZ1316" s="129">
        <f>INDEX('Gross Gen Plant'!$D$7:$AC$91,MATCH($C1316,'Gross Gen Plant'!$C$7:$C$91,0),MATCH(Calculation!$G1316,'Gross Gen Plant'!$D$5:$AC$5,0))</f>
        <v>7090</v>
      </c>
      <c r="CA1316" s="129">
        <f t="shared" si="2294"/>
        <v>223489</v>
      </c>
      <c r="CB1316" s="129"/>
      <c r="CC1316" s="133">
        <v>2011</v>
      </c>
      <c r="CD1316" s="129"/>
      <c r="CE1316" s="129"/>
      <c r="CF1316" s="129"/>
      <c r="CG1316" s="137"/>
      <c r="CH1316" s="129">
        <f t="shared" si="2348"/>
        <v>15693</v>
      </c>
      <c r="CI1316" s="46">
        <f t="shared" si="2357"/>
        <v>15690.379082197263</v>
      </c>
      <c r="CJ1316" s="231">
        <f t="shared" si="2349"/>
        <v>25.654176619199383</v>
      </c>
      <c r="CK1316" s="443">
        <v>0.8539325842696629</v>
      </c>
      <c r="CL1316" s="231">
        <f>+CL1303*CK1316+CJ1304*CK1315+CJ1305*CK1314+CJ1306*CK1313+CJ1307*CK1312+CJ1308*CK1311+CJ1309*CK1310+CJ1310*CK1309+CJ1311*CK1308+CJ1312*CK1307+CJ1313*CK1306+CJ1314*CK1305+CJ1315*CK1304+CJ1316</f>
        <v>986.88140387842725</v>
      </c>
      <c r="CM1316" s="134">
        <f t="shared" si="2350"/>
        <v>1.2814000082741923E-2</v>
      </c>
      <c r="CN1316" s="135">
        <f t="shared" si="2351"/>
        <v>1.3433991720156392E-2</v>
      </c>
      <c r="CO1316" s="135">
        <f t="shared" si="2360"/>
        <v>1.3119467682774062E-2</v>
      </c>
      <c r="CP1316" s="134">
        <f>VLOOKUP($H1316,RoR!$E:$F,2,FALSE)</f>
        <v>4.6391666666666664E-2</v>
      </c>
      <c r="CQ1316" s="135">
        <v>2.0840920205183799E-2</v>
      </c>
      <c r="CR1316" s="135">
        <f t="shared" si="2358"/>
        <v>2.5550746461482865E-2</v>
      </c>
      <c r="CS1316" s="135">
        <f t="shared" si="2361"/>
        <v>1.7782473925759563E-2</v>
      </c>
      <c r="CT1316" s="135">
        <v>2.4810540821321614E-2</v>
      </c>
      <c r="CU1316" s="139">
        <f t="shared" si="2352"/>
        <v>0.85150049999999999</v>
      </c>
      <c r="CV1316" s="335">
        <f t="shared" si="2353"/>
        <v>1.1054151524782025</v>
      </c>
      <c r="CW1316" s="335">
        <f t="shared" si="2354"/>
        <v>0.43611011316687626</v>
      </c>
      <c r="CX1316" s="335">
        <f t="shared" si="2355"/>
        <v>0.83698442246886229</v>
      </c>
      <c r="CY1316" s="335">
        <f t="shared" si="2356"/>
        <v>0.40349573304423936</v>
      </c>
      <c r="CZ1316" s="336">
        <f>INDEX('State Tax Lookup'!$D$7:$Z$91,MATCH(Calculation!$C1316,'State Tax Lookup'!$B$7:$B$91,0),MATCH($H1316,'State Tax Lookup'!$D$6:$Z$6,0))</f>
        <v>0.40134999999999998</v>
      </c>
      <c r="DA1316" s="302">
        <v>0.37</v>
      </c>
      <c r="DB1316" s="57">
        <f t="shared" si="2359"/>
        <v>15.434323564189233</v>
      </c>
      <c r="DC1316" s="56">
        <f t="shared" si="2362"/>
        <v>5.8556985228695201E-2</v>
      </c>
      <c r="DD1316" s="303">
        <f>VLOOKUP($H1316,RoR!$E:$F,2,FALSE)</f>
        <v>4.6391666666666664E-2</v>
      </c>
      <c r="DE1316" s="304">
        <f>HLOOKUP($H1316,'GDP-PI'!$D$8:$CQ$11,3,FALSE)</f>
        <v>2.0840920205183799E-2</v>
      </c>
      <c r="DF1316" s="303">
        <f>VLOOKUP(H1316,'HW Dx Data'!$E:$F,2,FALSE)</f>
        <v>611.61109612283201</v>
      </c>
      <c r="DG1316" s="364">
        <f ca="1">VLOOKUP(CC1316,'ECI - Input Price'!M$13:N$33,2,FALSE)</f>
        <v>120.875</v>
      </c>
      <c r="DH1316" s="364"/>
      <c r="DI1316" s="364"/>
      <c r="DJ1316" s="56">
        <f t="shared" ca="1" si="2370"/>
        <v>3.3224250161508609E-2</v>
      </c>
      <c r="DK1316" s="53">
        <f>HLOOKUP(H1316,'GDP-PI'!$8:$9,2,FALSE)</f>
        <v>98.111999999999995</v>
      </c>
      <c r="DL1316" s="355">
        <f t="shared" si="2363"/>
        <v>2.0626719212849295E-2</v>
      </c>
    </row>
    <row r="1317" spans="1:116" s="126" customFormat="1" ht="21" customHeight="1" x14ac:dyDescent="0.4">
      <c r="A1317" s="233" t="s">
        <v>259</v>
      </c>
      <c r="B1317" s="126" t="s">
        <v>259</v>
      </c>
      <c r="C1317" s="126">
        <v>4008669</v>
      </c>
      <c r="D1317" s="127" t="s">
        <v>214</v>
      </c>
      <c r="E1317" s="127"/>
      <c r="F1317" s="144"/>
      <c r="G1317" s="126" t="s">
        <v>168</v>
      </c>
      <c r="H1317" s="128">
        <v>2012</v>
      </c>
      <c r="I1317" s="129"/>
      <c r="J1317" s="125">
        <f>IFERROR(INDEX('Labor Expenditures'!$E$7:$W$91,MATCH($C1317,'Labor Expenditures'!$C$7:$C$91,0),MATCH($G1317,'Labor Expenditures'!$E$5:$W$5,0)),"NA")</f>
        <v>8866.9588875377649</v>
      </c>
      <c r="K1317" s="125">
        <f t="shared" ca="1" si="2364"/>
        <v>71.049350060398751</v>
      </c>
      <c r="L1317" s="47"/>
      <c r="M1317" s="131">
        <f t="shared" ca="1" si="2371"/>
        <v>-6.6551151373893377E-2</v>
      </c>
      <c r="N1317" s="131"/>
      <c r="O1317" s="131"/>
      <c r="P1317" s="59">
        <f t="shared" ca="1" si="2376"/>
        <v>-2.6936851895883638E-4</v>
      </c>
      <c r="Q1317" s="61"/>
      <c r="R1317" s="387"/>
      <c r="S1317" s="49">
        <f t="shared" ca="1" si="2381"/>
        <v>119.39678510893981</v>
      </c>
      <c r="T1317" s="61">
        <f ca="1">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+P2617+P2642</f>
        <v>1.4736457361352387E-3</v>
      </c>
      <c r="U1317" s="61"/>
      <c r="V1317" s="125">
        <f>IFERROR(INDEX('Non-Labor Expenditures'!$E$7:$AA$91,MATCH($C1317,'Non-Labor Expenditures'!$C$7:$C$91,0),MATCH($G1317,'Non-Labor Expenditures'!$E$5:$AA$5,0)),"NA")</f>
        <v>12841.012588630592</v>
      </c>
      <c r="W1317" s="125">
        <f t="shared" si="2365"/>
        <v>128.41012588630593</v>
      </c>
      <c r="X1317" s="131">
        <f t="shared" si="2377"/>
        <v>-5.3656151950766798E-2</v>
      </c>
      <c r="Y1317" s="131">
        <f t="shared" si="2378"/>
        <v>-2.1717547909588911E-4</v>
      </c>
      <c r="Z1317" s="131"/>
      <c r="AA1317" s="131"/>
      <c r="AB1317" s="131"/>
      <c r="AC1317" s="125">
        <f t="shared" si="2347"/>
        <v>16291.802487598281</v>
      </c>
      <c r="AD1317" s="129"/>
      <c r="AE1317" s="133">
        <v>1059.7048628319767</v>
      </c>
      <c r="AF1317" s="134">
        <v>1.3431740588215576E-2</v>
      </c>
      <c r="AG1317" s="59">
        <f t="shared" si="2366"/>
        <v>5.4365521776776047E-5</v>
      </c>
      <c r="AH1317" s="134"/>
      <c r="AI1317" s="134"/>
      <c r="AJ1317" s="129">
        <f t="shared" si="2372"/>
        <v>37999.773963766638</v>
      </c>
      <c r="AK1317" s="134">
        <f t="shared" si="2379"/>
        <v>1.2971957791462293E-2</v>
      </c>
      <c r="AL1317" s="129"/>
      <c r="AM1317" s="129"/>
      <c r="AN1317" s="129"/>
      <c r="AO1317" s="129"/>
      <c r="AP1317" s="133">
        <f t="shared" si="2380"/>
        <v>210.63592452407991</v>
      </c>
      <c r="AQ1317" s="134">
        <f>+BB1317/Outputs!$B$20</f>
        <v>5.0514654177833927E-3</v>
      </c>
      <c r="AR1317" s="93">
        <f t="shared" si="2367"/>
        <v>0.23334241135203976</v>
      </c>
      <c r="AS1317" s="93">
        <f t="shared" si="2368"/>
        <v>0.33792339398846671</v>
      </c>
      <c r="AT1317" s="93">
        <f t="shared" si="2369"/>
        <v>0.42873419465949358</v>
      </c>
      <c r="AU1317" s="93">
        <f t="shared" ca="1" si="2373"/>
        <v>-2.8909064173842605E-2</v>
      </c>
      <c r="AV1317" s="132">
        <f t="shared" ca="1" si="2383"/>
        <v>102.37202335440689</v>
      </c>
      <c r="AW1317" s="134">
        <f t="shared" ca="1" si="2384"/>
        <v>-2.8909064173842626E-2</v>
      </c>
      <c r="AX1317" s="135">
        <f>+AJ1317/$AL$17</f>
        <v>4.0475410777717066E-3</v>
      </c>
      <c r="AY1317" s="135">
        <f t="shared" ca="1" si="2382"/>
        <v>-1.1701062476356641E-4</v>
      </c>
      <c r="AZ1317" s="93"/>
      <c r="BA1317" s="93"/>
      <c r="BB1317" s="234">
        <f>IFERROR(INDEX('Total Customers'!$E$7:$AA$91,MATCH($C1317,'Total Customers'!$C$7:$C$91,0),MATCH($G1317,'Total Customers'!$E$5:$AA$5,0)),"NA")</f>
        <v>180405</v>
      </c>
      <c r="BC1317" s="269">
        <f t="shared" si="2328"/>
        <v>6.3893717078144195E-3</v>
      </c>
      <c r="BD1317" s="92"/>
      <c r="BE1317" s="299" t="str">
        <f t="shared" si="2317"/>
        <v>WISCONSIN POWER AND LIGHT COMPANY</v>
      </c>
      <c r="BF1317" s="300">
        <f t="shared" si="2318"/>
        <v>4008669</v>
      </c>
      <c r="BG1317" s="231" t="str">
        <f t="shared" si="2319"/>
        <v>WI</v>
      </c>
      <c r="BH1317" s="231"/>
      <c r="BI1317" s="231" t="str">
        <f t="shared" si="2320"/>
        <v>2012 Y</v>
      </c>
      <c r="BJ1317" s="129"/>
      <c r="BK1317" s="129"/>
      <c r="BL1317" s="129">
        <f>INDEX('Dist. Plant Gas Additions'!$E$7:$AD$91,MATCH($C1317,'Dist. Plant Gas Additions'!$C$7:$C$91,0),MATCH(Calculation!$G1317,'Dist. Plant Gas Additions'!$E$5:$AD$5,0))</f>
        <v>14260</v>
      </c>
      <c r="BM1317" s="129">
        <f>INDEX('Gen. Plant Additions'!$E$7:$AD$91,MATCH($C1317,'Gen. Plant Additions'!$C$7:$C$91,0),MATCH(Calculation!$G1317,'Gen. Plant Additions'!$E$5:$AD$5,0))</f>
        <v>383</v>
      </c>
      <c r="BN1317" s="301">
        <f t="shared" si="2346"/>
        <v>0.98301461905328591</v>
      </c>
      <c r="BO1317" s="231">
        <f t="shared" si="2374"/>
        <v>376.49459909740852</v>
      </c>
      <c r="BP1317" s="231">
        <f t="shared" si="2375"/>
        <v>-6.5054009025914752</v>
      </c>
      <c r="BQ1317" s="129">
        <f>INDEX('Dist Plant Depreciation'!$D$7:$AC$94,MATCH($C1317,'Dist Plant Depreciation'!$C$7:$C$94,0),MATCH(Calculation!$G1317,'Dist Plant Depreciation'!$D$5:$AC$5,0))</f>
        <v>205134</v>
      </c>
      <c r="BR1317" s="129">
        <f>INDEX('Gen. Plant Depreciation'!$D$7:$AC$94,MATCH($C1317,'Gen. Plant Depreciation'!$C$7:$C$94,0),MATCH(Calculation!$G1317,'Gen. Plant Depreciation'!$D$5:$AC$5,0))</f>
        <v>4364</v>
      </c>
      <c r="BS1317" s="129"/>
      <c r="BT1317" s="129"/>
      <c r="BU1317" s="129"/>
      <c r="BV1317" s="129"/>
      <c r="BW1317" s="129"/>
      <c r="BX1317" s="137"/>
      <c r="BY1317" s="129">
        <f>INDEX('Gross Dx Plant'!$D$7:$AC$91,MATCH($C1317,'Gross Dx Plant'!$C$7:$C$91,0),MATCH(Calculation!$G1317,'Gross Dx Plant'!$D$5:$AC$5,0))</f>
        <v>429542</v>
      </c>
      <c r="BZ1317" s="129">
        <f>INDEX('Gross Gen Plant'!$D$7:$AC$91,MATCH($C1317,'Gross Gen Plant'!$C$7:$C$91,0),MATCH(Calculation!$G1317,'Gross Gen Plant'!$D$5:$AC$5,0))</f>
        <v>7422</v>
      </c>
      <c r="CA1317" s="129">
        <f t="shared" si="2294"/>
        <v>227466</v>
      </c>
      <c r="CB1317" s="129"/>
      <c r="CC1317" s="133">
        <v>2012</v>
      </c>
      <c r="CD1317" s="129"/>
      <c r="CE1317" s="129"/>
      <c r="CF1317" s="129"/>
      <c r="CG1317" s="137"/>
      <c r="CH1317" s="129">
        <f t="shared" si="2348"/>
        <v>14643</v>
      </c>
      <c r="CI1317" s="46">
        <f t="shared" si="2357"/>
        <v>14636.494599097408</v>
      </c>
      <c r="CJ1317" s="231">
        <f t="shared" si="2349"/>
        <v>21.880807020002862</v>
      </c>
      <c r="CK1317" s="443">
        <v>0.84090909090909094</v>
      </c>
      <c r="CL1317" s="231">
        <f>+CL1303*CK1317+CJ1304*CK1316+CJ1305*CK1315+CJ1306*CK1314+CJ1307*CK1313+CJ1308*CK1312+CJ1309*CK1311+CJ1310*CK1310+CJ1311*CK1309+CJ1312*CK1308+CJ1313*CK1307+CJ1314*CK1306+CJ1315*CK1305+CJ1316*CK1304+CJ1317</f>
        <v>995.12916477880628</v>
      </c>
      <c r="CM1317" s="134">
        <f t="shared" si="2350"/>
        <v>8.32266854552665E-3</v>
      </c>
      <c r="CN1317" s="135">
        <f t="shared" si="2351"/>
        <v>1.3814269947783175E-2</v>
      </c>
      <c r="CO1317" s="135">
        <f t="shared" si="2360"/>
        <v>1.3450836376474836E-2</v>
      </c>
      <c r="CP1317" s="134">
        <f>VLOOKUP($H1317,RoR!$E:$F,2,FALSE)</f>
        <v>3.6733333333333333E-2</v>
      </c>
      <c r="CQ1317" s="135">
        <v>1.924331376386168E-2</v>
      </c>
      <c r="CR1317" s="135">
        <f t="shared" si="2358"/>
        <v>1.7490019569471653E-2</v>
      </c>
      <c r="CS1317" s="135">
        <f t="shared" si="2361"/>
        <v>1.745110523205879E-2</v>
      </c>
      <c r="CT1317" s="135">
        <v>6.7122682943869583E-2</v>
      </c>
      <c r="CU1317" s="139">
        <f t="shared" si="2352"/>
        <v>0.85150049999999999</v>
      </c>
      <c r="CV1317" s="335">
        <f t="shared" si="2353"/>
        <v>1.3960631020522127</v>
      </c>
      <c r="CW1317" s="335">
        <f t="shared" si="2354"/>
        <v>0.29441923774954631</v>
      </c>
      <c r="CX1317" s="335">
        <f t="shared" si="2355"/>
        <v>0.76377954189366437</v>
      </c>
      <c r="CY1317" s="335">
        <f t="shared" si="2356"/>
        <v>0.31393465103033691</v>
      </c>
      <c r="CZ1317" s="336">
        <f>INDEX('State Tax Lookup'!$D$7:$Z$91,MATCH(Calculation!$C1317,'State Tax Lookup'!$B$7:$B$91,0),MATCH($H1317,'State Tax Lookup'!$D$6:$Z$6,0))</f>
        <v>0.40134999999999998</v>
      </c>
      <c r="DA1317" s="302">
        <v>0.37</v>
      </c>
      <c r="DB1317" s="57">
        <f t="shared" si="2359"/>
        <v>16.508369114639077</v>
      </c>
      <c r="DC1317" s="56">
        <f t="shared" si="2362"/>
        <v>6.7273639191146054E-2</v>
      </c>
      <c r="DD1317" s="303">
        <f>VLOOKUP($H1317,RoR!$E:$F,2,FALSE)</f>
        <v>3.6733333333333333E-2</v>
      </c>
      <c r="DE1317" s="304">
        <f>HLOOKUP($H1317,'GDP-PI'!$D$8:$CQ$11,3,FALSE)</f>
        <v>1.924331376386168E-2</v>
      </c>
      <c r="DF1317" s="303">
        <f>VLOOKUP(H1317,'HW Dx Data'!$E:$F,2,FALSE)</f>
        <v>668.91932211262167</v>
      </c>
      <c r="DG1317" s="364">
        <f ca="1">VLOOKUP(CC1317,'ECI - Input Price'!M$13:N$33,2,FALSE)</f>
        <v>124.80000000000001</v>
      </c>
      <c r="DH1317" s="364"/>
      <c r="DI1317" s="364"/>
      <c r="DJ1317" s="56">
        <f t="shared" ca="1" si="2370"/>
        <v>3.1955502161869064E-2</v>
      </c>
      <c r="DK1317" s="53">
        <f>HLOOKUP(H1317,'GDP-PI'!$8:$9,2,FALSE)</f>
        <v>100</v>
      </c>
      <c r="DL1317" s="355">
        <f t="shared" si="2363"/>
        <v>1.9060502738742411E-2</v>
      </c>
    </row>
    <row r="1318" spans="1:116" s="126" customFormat="1" ht="21" customHeight="1" x14ac:dyDescent="0.4">
      <c r="A1318" s="233" t="s">
        <v>259</v>
      </c>
      <c r="B1318" s="126" t="s">
        <v>259</v>
      </c>
      <c r="C1318" s="126">
        <v>4008669</v>
      </c>
      <c r="D1318" s="127" t="s">
        <v>214</v>
      </c>
      <c r="E1318" s="127"/>
      <c r="F1318" s="144"/>
      <c r="G1318" s="126" t="s">
        <v>169</v>
      </c>
      <c r="H1318" s="128">
        <v>2013</v>
      </c>
      <c r="I1318" s="129"/>
      <c r="J1318" s="125">
        <f>IFERROR(INDEX('Labor Expenditures'!$E$7:$W$91,MATCH($C1318,'Labor Expenditures'!$C$7:$C$91,0),MATCH($G1318,'Labor Expenditures'!$E$5:$W$5,0)),"NA")</f>
        <v>9552.8849298259447</v>
      </c>
      <c r="K1318" s="125">
        <f t="shared" ca="1" si="2364"/>
        <v>75.338209225756657</v>
      </c>
      <c r="L1318" s="47"/>
      <c r="M1318" s="131">
        <f t="shared" ca="1" si="2371"/>
        <v>5.8612725880984262E-2</v>
      </c>
      <c r="N1318" s="131"/>
      <c r="O1318" s="131"/>
      <c r="P1318" s="59">
        <f t="shared" ca="1" si="2376"/>
        <v>2.369922254157197E-4</v>
      </c>
      <c r="Q1318" s="61"/>
      <c r="R1318" s="387"/>
      <c r="S1318" s="49">
        <f t="shared" ca="1" si="2381"/>
        <v>109.00399892512718</v>
      </c>
      <c r="T1318" s="61">
        <f ca="1">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+P2618+P2643</f>
        <v>-9.1067706267577334E-2</v>
      </c>
      <c r="U1318" s="61"/>
      <c r="V1318" s="125">
        <f>IFERROR(INDEX('Non-Labor Expenditures'!$E$7:$AA$91,MATCH($C1318,'Non-Labor Expenditures'!$C$7:$C$91,0),MATCH($G1318,'Non-Labor Expenditures'!$E$5:$AA$5,0)),"NA")</f>
        <v>13834.36161117669</v>
      </c>
      <c r="W1318" s="125">
        <f t="shared" si="2365"/>
        <v>135.93351489271899</v>
      </c>
      <c r="X1318" s="131">
        <f t="shared" si="2377"/>
        <v>5.6936654932271916E-2</v>
      </c>
      <c r="Y1318" s="131">
        <f t="shared" si="2378"/>
        <v>2.3021527078479981E-4</v>
      </c>
      <c r="Z1318" s="131"/>
      <c r="AA1318" s="131"/>
      <c r="AB1318" s="131"/>
      <c r="AC1318" s="125">
        <f t="shared" si="2347"/>
        <v>15956.964776134886</v>
      </c>
      <c r="AD1318" s="129"/>
      <c r="AE1318" s="133">
        <v>1080.9726179045372</v>
      </c>
      <c r="AF1318" s="134">
        <v>1.987076993397479E-2</v>
      </c>
      <c r="AG1318" s="59">
        <f t="shared" si="2366"/>
        <v>8.0344633637048974E-5</v>
      </c>
      <c r="AH1318" s="134"/>
      <c r="AI1318" s="134"/>
      <c r="AJ1318" s="129">
        <f t="shared" si="2372"/>
        <v>39344.211317137524</v>
      </c>
      <c r="AK1318" s="134">
        <f t="shared" si="2379"/>
        <v>3.4768645085701169E-2</v>
      </c>
      <c r="AL1318" s="129"/>
      <c r="AM1318" s="129"/>
      <c r="AN1318" s="129"/>
      <c r="AO1318" s="129"/>
      <c r="AP1318" s="133">
        <f t="shared" si="2380"/>
        <v>216.0499668718804</v>
      </c>
      <c r="AQ1318" s="134">
        <f>+BB1318/Outputs!$B$21</f>
        <v>5.066624243318601E-3</v>
      </c>
      <c r="AR1318" s="93">
        <f t="shared" si="2367"/>
        <v>0.24280280656343733</v>
      </c>
      <c r="AS1318" s="93">
        <f t="shared" si="2368"/>
        <v>0.35162381321266256</v>
      </c>
      <c r="AT1318" s="93">
        <f t="shared" si="2369"/>
        <v>0.40557338022389999</v>
      </c>
      <c r="AU1318" s="93">
        <f t="shared" ca="1" si="2373"/>
        <v>4.1873507203912114E-2</v>
      </c>
      <c r="AV1318" s="132">
        <f t="shared" ca="1" si="2383"/>
        <v>106.74971401099178</v>
      </c>
      <c r="AW1318" s="134">
        <f t="shared" ca="1" si="2384"/>
        <v>4.1873507203912204E-2</v>
      </c>
      <c r="AX1318" s="135">
        <f>+AJ1318/$AL$18</f>
        <v>4.0433578519610729E-3</v>
      </c>
      <c r="AY1318" s="135">
        <f t="shared" ca="1" si="2382"/>
        <v>1.6930957414208696E-4</v>
      </c>
      <c r="AZ1318" s="93"/>
      <c r="BA1318" s="93"/>
      <c r="BB1318" s="234">
        <f>IFERROR(INDEX('Total Customers'!$E$7:$AA$91,MATCH($C1318,'Total Customers'!$C$7:$C$91,0),MATCH($G1318,'Total Customers'!$E$5:$AA$5,0)),"NA")</f>
        <v>182107</v>
      </c>
      <c r="BC1318" s="269">
        <f t="shared" si="2328"/>
        <v>9.3901029814119075E-3</v>
      </c>
      <c r="BD1318" s="92"/>
      <c r="BE1318" s="299" t="str">
        <f t="shared" si="2317"/>
        <v>WISCONSIN POWER AND LIGHT COMPANY</v>
      </c>
      <c r="BF1318" s="300">
        <f t="shared" si="2318"/>
        <v>4008669</v>
      </c>
      <c r="BG1318" s="231" t="str">
        <f t="shared" si="2319"/>
        <v>WI</v>
      </c>
      <c r="BH1318" s="231"/>
      <c r="BI1318" s="231" t="str">
        <f t="shared" si="2320"/>
        <v>2013 Y</v>
      </c>
      <c r="BJ1318" s="129"/>
      <c r="BK1318" s="129"/>
      <c r="BL1318" s="129">
        <f>INDEX('Dist. Plant Gas Additions'!$E$7:$AD$91,MATCH($C1318,'Dist. Plant Gas Additions'!$C$7:$C$91,0),MATCH(Calculation!$G1318,'Dist. Plant Gas Additions'!$E$5:$AD$5,0))</f>
        <v>19159</v>
      </c>
      <c r="BM1318" s="129">
        <f>INDEX('Gen. Plant Additions'!$E$7:$AD$91,MATCH($C1318,'Gen. Plant Additions'!$C$7:$C$91,0),MATCH(Calculation!$G1318,'Gen. Plant Additions'!$E$5:$AD$5,0))</f>
        <v>347</v>
      </c>
      <c r="BN1318" s="301">
        <f t="shared" si="2346"/>
        <v>0.98353445384085736</v>
      </c>
      <c r="BO1318" s="231">
        <f t="shared" si="2374"/>
        <v>341.28645548277751</v>
      </c>
      <c r="BP1318" s="231">
        <f t="shared" si="2375"/>
        <v>-5.7135445172224877</v>
      </c>
      <c r="BQ1318" s="129">
        <f>INDEX('Dist Plant Depreciation'!$D$7:$AC$94,MATCH($C1318,'Dist Plant Depreciation'!$C$7:$C$94,0),MATCH(Calculation!$G1318,'Dist Plant Depreciation'!$D$5:$AC$5,0))</f>
        <v>212135</v>
      </c>
      <c r="BR1318" s="129">
        <f>INDEX('Gen. Plant Depreciation'!$D$7:$AC$94,MATCH($C1318,'Gen. Plant Depreciation'!$C$7:$C$94,0),MATCH(Calculation!$G1318,'Gen. Plant Depreciation'!$D$5:$AC$5,0))</f>
        <v>4858</v>
      </c>
      <c r="BS1318" s="129"/>
      <c r="BT1318" s="129"/>
      <c r="BU1318" s="129"/>
      <c r="BV1318" s="129"/>
      <c r="BW1318" s="129"/>
      <c r="BX1318" s="137"/>
      <c r="BY1318" s="129">
        <f>INDEX('Gross Dx Plant'!$D$7:$AC$91,MATCH($C1318,'Gross Dx Plant'!$C$7:$C$91,0),MATCH(Calculation!$G1318,'Gross Dx Plant'!$D$5:$AC$5,0))</f>
        <v>445667</v>
      </c>
      <c r="BZ1318" s="129">
        <f>INDEX('Gross Gen Plant'!$D$7:$AC$91,MATCH($C1318,'Gross Gen Plant'!$C$7:$C$91,0),MATCH(Calculation!$G1318,'Gross Gen Plant'!$D$5:$AC$5,0))</f>
        <v>7461</v>
      </c>
      <c r="CA1318" s="129">
        <f t="shared" si="2294"/>
        <v>236135</v>
      </c>
      <c r="CB1318" s="129"/>
      <c r="CC1318" s="133">
        <v>2013</v>
      </c>
      <c r="CD1318" s="129"/>
      <c r="CE1318" s="129"/>
      <c r="CF1318" s="129"/>
      <c r="CG1318" s="137"/>
      <c r="CH1318" s="129">
        <f t="shared" si="2348"/>
        <v>19506</v>
      </c>
      <c r="CI1318" s="46">
        <f t="shared" si="2357"/>
        <v>19500.286455482779</v>
      </c>
      <c r="CJ1318" s="231">
        <f t="shared" si="2349"/>
        <v>29.401181056935542</v>
      </c>
      <c r="CK1318" s="443">
        <v>0.82758620689655171</v>
      </c>
      <c r="CL1318" s="231">
        <f>+CL1303*CK1318+CJ1304*CK1317+CJ1305*CK1316+CJ1306*CK1315+CJ1307*CK1314+CJ1308*CK1313+CJ1309*CK1312+CJ1310*CK1311+CJ1311*CK1310+CJ1312*CK1309+CJ1313*CK1308+CJ1314*CK1307+CJ1315*CK1306+CJ1316*CK1305+CJ1317*CK1304+CJ1318</f>
        <v>1010.3757219648375</v>
      </c>
      <c r="CM1318" s="134">
        <f t="shared" si="2350"/>
        <v>1.5205000023569311E-2</v>
      </c>
      <c r="CN1318" s="135">
        <f t="shared" si="2351"/>
        <v>1.4223906174080037E-2</v>
      </c>
      <c r="CO1318" s="135">
        <f t="shared" si="2360"/>
        <v>1.3824055947339868E-2</v>
      </c>
      <c r="CP1318" s="134">
        <f>VLOOKUP($H1318,RoR!$E:$F,2,FALSE)</f>
        <v>4.2350000000000006E-2</v>
      </c>
      <c r="CQ1318" s="135">
        <v>1.7730000000000024E-2</v>
      </c>
      <c r="CR1318" s="135">
        <f t="shared" si="2358"/>
        <v>2.4619999999999982E-2</v>
      </c>
      <c r="CS1318" s="135">
        <f t="shared" si="2361"/>
        <v>1.7077885661193757E-2</v>
      </c>
      <c r="CT1318" s="135">
        <v>5.3376742735721204E-2</v>
      </c>
      <c r="CU1318" s="139">
        <f t="shared" si="2352"/>
        <v>0.85150049999999999</v>
      </c>
      <c r="CV1318" s="335">
        <f t="shared" si="2353"/>
        <v>1.2109103018193925</v>
      </c>
      <c r="CW1318" s="335">
        <f t="shared" si="2354"/>
        <v>0.38468122786304604</v>
      </c>
      <c r="CX1318" s="335">
        <f t="shared" si="2355"/>
        <v>0.80969194503422559</v>
      </c>
      <c r="CY1318" s="335">
        <f t="shared" si="2356"/>
        <v>0.37716621754800816</v>
      </c>
      <c r="CZ1318" s="336">
        <f>INDEX('State Tax Lookup'!$D$7:$Z$91,MATCH(Calculation!$C1318,'State Tax Lookup'!$B$7:$B$91,0),MATCH($H1318,'State Tax Lookup'!$D$6:$Z$6,0))</f>
        <v>0.40134999999999998</v>
      </c>
      <c r="DA1318" s="302">
        <v>0.37</v>
      </c>
      <c r="DB1318" s="57">
        <f t="shared" si="2359"/>
        <v>16.035068954774069</v>
      </c>
      <c r="DC1318" s="56">
        <f t="shared" si="2362"/>
        <v>-2.9089337981040665E-2</v>
      </c>
      <c r="DD1318" s="303">
        <f>VLOOKUP($H1318,RoR!$E:$F,2,FALSE)</f>
        <v>4.2350000000000006E-2</v>
      </c>
      <c r="DE1318" s="304">
        <f>HLOOKUP($H1318,'GDP-PI'!$D$8:$CQ$11,3,FALSE)</f>
        <v>1.7730000000000024E-2</v>
      </c>
      <c r="DF1318" s="303">
        <f>VLOOKUP(H1318,'HW Dx Data'!$E:$F,2,FALSE)</f>
        <v>663.24840548821396</v>
      </c>
      <c r="DG1318" s="364">
        <f ca="1">VLOOKUP(CC1318,'ECI - Input Price'!M$13:N$33,2,FALSE)</f>
        <v>126.8</v>
      </c>
      <c r="DH1318" s="364"/>
      <c r="DI1318" s="364"/>
      <c r="DJ1318" s="56">
        <f t="shared" ca="1" si="2370"/>
        <v>1.5898586067798204E-2</v>
      </c>
      <c r="DK1318" s="53">
        <f>HLOOKUP(H1318,'GDP-PI'!$8:$9,2,FALSE)</f>
        <v>101.773</v>
      </c>
      <c r="DL1318" s="355">
        <f t="shared" si="2363"/>
        <v>1.7574657016510519E-2</v>
      </c>
    </row>
    <row r="1319" spans="1:116" s="126" customFormat="1" ht="21" customHeight="1" x14ac:dyDescent="0.4">
      <c r="A1319" s="233" t="s">
        <v>259</v>
      </c>
      <c r="B1319" s="126" t="s">
        <v>259</v>
      </c>
      <c r="C1319" s="126">
        <v>4008669</v>
      </c>
      <c r="D1319" s="127" t="s">
        <v>214</v>
      </c>
      <c r="E1319" s="127"/>
      <c r="F1319" s="144"/>
      <c r="G1319" s="126" t="s">
        <v>170</v>
      </c>
      <c r="H1319" s="128">
        <v>2014</v>
      </c>
      <c r="I1319" s="129"/>
      <c r="J1319" s="125">
        <f>IFERROR(INDEX('Labor Expenditures'!$E$7:$W$91,MATCH($C1319,'Labor Expenditures'!$C$7:$C$91,0),MATCH($G1319,'Labor Expenditures'!$E$5:$W$5,0)),"NA")</f>
        <v>10689.028583694484</v>
      </c>
      <c r="K1319" s="125">
        <f t="shared" ca="1" si="2364"/>
        <v>82.604548560235571</v>
      </c>
      <c r="L1319" s="47"/>
      <c r="M1319" s="131">
        <f t="shared" ca="1" si="2371"/>
        <v>9.2077313580623044E-2</v>
      </c>
      <c r="N1319" s="131"/>
      <c r="O1319" s="131"/>
      <c r="P1319" s="59">
        <f t="shared" ca="1" si="2376"/>
        <v>3.9514359206544082E-4</v>
      </c>
      <c r="Q1319" s="61"/>
      <c r="R1319" s="387"/>
      <c r="S1319" s="49">
        <f t="shared" ca="1" si="2381"/>
        <v>124.16079570114732</v>
      </c>
      <c r="T1319" s="61">
        <f ca="1">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+P2619+P2644</f>
        <v>0.1301928961471851</v>
      </c>
      <c r="U1319" s="61"/>
      <c r="V1319" s="125">
        <f>IFERROR(INDEX('Non-Labor Expenditures'!$E$7:$AA$91,MATCH($C1319,'Non-Labor Expenditures'!$C$7:$C$91,0),MATCH($G1319,'Non-Labor Expenditures'!$E$5:$AA$5,0)),"NA")</f>
        <v>15479.709824341791</v>
      </c>
      <c r="W1319" s="125">
        <f t="shared" si="2365"/>
        <v>149.35029305567735</v>
      </c>
      <c r="X1319" s="131">
        <f t="shared" si="2377"/>
        <v>9.4128601746041832E-2</v>
      </c>
      <c r="Y1319" s="131">
        <f t="shared" si="2378"/>
        <v>4.0394655712300829E-4</v>
      </c>
      <c r="Z1319" s="131"/>
      <c r="AA1319" s="131"/>
      <c r="AB1319" s="131"/>
      <c r="AC1319" s="125">
        <f t="shared" si="2347"/>
        <v>16355.999256717263</v>
      </c>
      <c r="AD1319" s="129"/>
      <c r="AE1319" s="133">
        <v>1104.3900308200664</v>
      </c>
      <c r="AF1319" s="134">
        <v>2.1431966251232455E-2</v>
      </c>
      <c r="AG1319" s="59">
        <f t="shared" si="2366"/>
        <v>9.1973840245915524E-5</v>
      </c>
      <c r="AH1319" s="134"/>
      <c r="AI1319" s="134"/>
      <c r="AJ1319" s="129">
        <f t="shared" si="2372"/>
        <v>42524.737664753542</v>
      </c>
      <c r="AK1319" s="134">
        <f t="shared" si="2379"/>
        <v>7.7737112825201016E-2</v>
      </c>
      <c r="AL1319" s="129"/>
      <c r="AM1319" s="129"/>
      <c r="AN1319" s="129"/>
      <c r="AO1319" s="129"/>
      <c r="AP1319" s="133">
        <f t="shared" si="2380"/>
        <v>231.34153164953128</v>
      </c>
      <c r="AQ1319" s="134">
        <f>+BB1319/Outputs!$B$22</f>
        <v>5.0868991412062964E-3</v>
      </c>
      <c r="AR1319" s="93">
        <f t="shared" si="2367"/>
        <v>0.25136024748611308</v>
      </c>
      <c r="AS1319" s="93">
        <f t="shared" si="2368"/>
        <v>0.36401658597819136</v>
      </c>
      <c r="AT1319" s="93">
        <f t="shared" si="2369"/>
        <v>0.38462316653569545</v>
      </c>
      <c r="AU1319" s="93">
        <f t="shared" ca="1" si="2373"/>
        <v>6.4899451169242603E-2</v>
      </c>
      <c r="AV1319" s="132">
        <f t="shared" ca="1" si="2383"/>
        <v>113.90746681883303</v>
      </c>
      <c r="AW1319" s="134">
        <f t="shared" ca="1" si="2384"/>
        <v>6.48994511692427E-2</v>
      </c>
      <c r="AX1319" s="135">
        <f>+AJ1319/$AL$19</f>
        <v>4.2914326743411389E-3</v>
      </c>
      <c r="AY1319" s="135">
        <f t="shared" ca="1" si="2382"/>
        <v>2.7851162529449533E-4</v>
      </c>
      <c r="AZ1319" s="93"/>
      <c r="BA1319" s="93"/>
      <c r="BB1319" s="234">
        <f>IFERROR(INDEX('Total Customers'!$E$7:$AA$91,MATCH($C1319,'Total Customers'!$C$7:$C$91,0),MATCH($G1319,'Total Customers'!$E$5:$AA$5,0)),"NA")</f>
        <v>183818</v>
      </c>
      <c r="BC1319" s="269">
        <f t="shared" si="2328"/>
        <v>9.3517112497719795E-3</v>
      </c>
      <c r="BD1319" s="92"/>
      <c r="BE1319" s="299" t="str">
        <f t="shared" si="2317"/>
        <v>WISCONSIN POWER AND LIGHT COMPANY</v>
      </c>
      <c r="BF1319" s="300">
        <f t="shared" si="2318"/>
        <v>4008669</v>
      </c>
      <c r="BG1319" s="231" t="str">
        <f t="shared" si="2319"/>
        <v>WI</v>
      </c>
      <c r="BH1319" s="231"/>
      <c r="BI1319" s="231" t="str">
        <f t="shared" si="2320"/>
        <v>2014 Y</v>
      </c>
      <c r="BJ1319" s="129"/>
      <c r="BK1319" s="129"/>
      <c r="BL1319" s="129">
        <f>INDEX('Dist. Plant Gas Additions'!$E$7:$AD$91,MATCH($C1319,'Dist. Plant Gas Additions'!$C$7:$C$91,0),MATCH(Calculation!$G1319,'Dist. Plant Gas Additions'!$E$5:$AD$5,0))</f>
        <v>21266</v>
      </c>
      <c r="BM1319" s="129">
        <f>INDEX('Gen. Plant Additions'!$E$7:$AD$91,MATCH($C1319,'Gen. Plant Additions'!$C$7:$C$91,0),MATCH(Calculation!$G1319,'Gen. Plant Additions'!$E$5:$AD$5,0))</f>
        <v>641</v>
      </c>
      <c r="BN1319" s="301">
        <f t="shared" si="2346"/>
        <v>0.98284126315076004</v>
      </c>
      <c r="BO1319" s="231">
        <f t="shared" si="2374"/>
        <v>630.00124967963723</v>
      </c>
      <c r="BP1319" s="231">
        <f t="shared" si="2375"/>
        <v>-10.998750320362774</v>
      </c>
      <c r="BQ1319" s="129">
        <f>INDEX('Dist Plant Depreciation'!$D$7:$AC$94,MATCH($C1319,'Dist Plant Depreciation'!$C$7:$C$94,0),MATCH(Calculation!$G1319,'Dist Plant Depreciation'!$D$5:$AC$5,0))</f>
        <v>219574</v>
      </c>
      <c r="BR1319" s="129">
        <f>INDEX('Gen. Plant Depreciation'!$D$7:$AC$94,MATCH($C1319,'Gen. Plant Depreciation'!$C$7:$C$94,0),MATCH(Calculation!$G1319,'Gen. Plant Depreciation'!$D$5:$AC$5,0))</f>
        <v>5152</v>
      </c>
      <c r="BS1319" s="129"/>
      <c r="BT1319" s="129"/>
      <c r="BU1319" s="129"/>
      <c r="BV1319" s="129"/>
      <c r="BW1319" s="129"/>
      <c r="BX1319" s="137"/>
      <c r="BY1319" s="129">
        <f>INDEX('Gross Dx Plant'!$D$7:$AC$91,MATCH($C1319,'Gross Dx Plant'!$C$7:$C$91,0),MATCH(Calculation!$G1319,'Gross Dx Plant'!$D$5:$AC$5,0))</f>
        <v>464020</v>
      </c>
      <c r="BZ1319" s="129">
        <f>INDEX('Gross Gen Plant'!$D$7:$AC$91,MATCH($C1319,'Gross Gen Plant'!$C$7:$C$91,0),MATCH(Calculation!$G1319,'Gross Gen Plant'!$D$5:$AC$5,0))</f>
        <v>8101</v>
      </c>
      <c r="CA1319" s="129">
        <f t="shared" si="2294"/>
        <v>247395</v>
      </c>
      <c r="CB1319" s="129"/>
      <c r="CC1319" s="133">
        <v>2014</v>
      </c>
      <c r="CD1319" s="129"/>
      <c r="CE1319" s="129"/>
      <c r="CF1319" s="129"/>
      <c r="CG1319" s="137"/>
      <c r="CH1319" s="129">
        <f t="shared" si="2348"/>
        <v>21907</v>
      </c>
      <c r="CI1319" s="46">
        <f t="shared" si="2357"/>
        <v>21896.001249679637</v>
      </c>
      <c r="CJ1319" s="231">
        <f t="shared" si="2349"/>
        <v>31.989756555708432</v>
      </c>
      <c r="CK1319" s="443">
        <v>0.81395348837209303</v>
      </c>
      <c r="CL1319" s="231">
        <f>+CL1303*CK1319+CJ1304*CK1318+CJ1305*CK1317+CJ1306*CK1316+CJ1307*CK1315+CJ1308*CK1314+CJ1309*CK1313+CJ1310*CK1312+CJ1311*CK1311+CJ1312*CK1310+CJ1313*CK1309+CJ1314*CK1308+CJ1315*CK1307+CJ1316*CK1306+CJ1317*CK1305+CJ1318*CK1304+CJ1319</f>
        <v>1027.6001196202269</v>
      </c>
      <c r="CM1319" s="134">
        <f t="shared" si="2350"/>
        <v>1.6903839037984626E-2</v>
      </c>
      <c r="CN1319" s="135">
        <f t="shared" si="2351"/>
        <v>1.4613730891717561E-2</v>
      </c>
      <c r="CO1319" s="135">
        <f t="shared" si="2360"/>
        <v>1.4217302337860257E-2</v>
      </c>
      <c r="CP1319" s="134">
        <f>VLOOKUP($H1319,RoR!$E:$F,2,FALSE)</f>
        <v>4.1625000000000002E-2</v>
      </c>
      <c r="CQ1319" s="135">
        <v>1.841352814597208E-2</v>
      </c>
      <c r="CR1319" s="135">
        <f t="shared" si="2358"/>
        <v>2.3211471854027922E-2</v>
      </c>
      <c r="CS1319" s="135">
        <f t="shared" si="2361"/>
        <v>1.6684639270673367E-2</v>
      </c>
      <c r="CT1319" s="135">
        <v>3.9072621432650924E-2</v>
      </c>
      <c r="CU1319" s="139">
        <f t="shared" si="2352"/>
        <v>0.85150049999999999</v>
      </c>
      <c r="CV1319" s="335">
        <f t="shared" si="2353"/>
        <v>1.2320012320012319</v>
      </c>
      <c r="CW1319" s="335">
        <f t="shared" si="2354"/>
        <v>0.37439939939939942</v>
      </c>
      <c r="CX1319" s="335">
        <f t="shared" si="2355"/>
        <v>0.80432100613819935</v>
      </c>
      <c r="CY1319" s="335">
        <f t="shared" si="2356"/>
        <v>0.37100152660040037</v>
      </c>
      <c r="CZ1319" s="336">
        <f>INDEX('State Tax Lookup'!$D$7:$Z$91,MATCH(Calculation!$C1319,'State Tax Lookup'!$B$7:$B$91,0),MATCH($H1319,'State Tax Lookup'!$D$6:$Z$6,0))</f>
        <v>0.40134999999999998</v>
      </c>
      <c r="DA1319" s="302">
        <v>0.37</v>
      </c>
      <c r="DB1319" s="57">
        <f t="shared" si="2359"/>
        <v>16.188036688876888</v>
      </c>
      <c r="DC1319" s="56">
        <f t="shared" si="2362"/>
        <v>9.4943600329523304E-3</v>
      </c>
      <c r="DD1319" s="303">
        <f>VLOOKUP($H1319,RoR!$E:$F,2,FALSE)</f>
        <v>4.1625000000000002E-2</v>
      </c>
      <c r="DE1319" s="304">
        <f>HLOOKUP($H1319,'GDP-PI'!$D$8:$CQ$11,3,FALSE)</f>
        <v>1.841352814597208E-2</v>
      </c>
      <c r="DF1319" s="303">
        <f>VLOOKUP(H1319,'HW Dx Data'!$E:$F,2,FALSE)</f>
        <v>684.46914285042885</v>
      </c>
      <c r="DG1319" s="364">
        <f ca="1">VLOOKUP(CC1319,'ECI - Input Price'!M$13:N$33,2,FALSE)</f>
        <v>129.4</v>
      </c>
      <c r="DH1319" s="364"/>
      <c r="DI1319" s="364"/>
      <c r="DJ1319" s="56">
        <f t="shared" ca="1" si="2370"/>
        <v>2.0297340063674733E-2</v>
      </c>
      <c r="DK1319" s="53">
        <f>HLOOKUP(H1319,'GDP-PI'!$8:$9,2,FALSE)</f>
        <v>103.64700000000001</v>
      </c>
      <c r="DL1319" s="355">
        <f t="shared" si="2363"/>
        <v>1.8246051898256087E-2</v>
      </c>
    </row>
    <row r="1320" spans="1:116" s="126" customFormat="1" ht="21" customHeight="1" x14ac:dyDescent="0.4">
      <c r="A1320" s="233" t="s">
        <v>259</v>
      </c>
      <c r="B1320" s="126" t="s">
        <v>259</v>
      </c>
      <c r="C1320" s="126">
        <v>4008669</v>
      </c>
      <c r="D1320" s="127" t="s">
        <v>214</v>
      </c>
      <c r="E1320" s="127"/>
      <c r="F1320" s="144"/>
      <c r="G1320" s="126" t="s">
        <v>171</v>
      </c>
      <c r="H1320" s="128">
        <v>2015</v>
      </c>
      <c r="I1320" s="129"/>
      <c r="J1320" s="125">
        <f>IFERROR(INDEX('Labor Expenditures'!$E$7:$W$91,MATCH($C1320,'Labor Expenditures'!$C$7:$C$91,0),MATCH($G1320,'Labor Expenditures'!$E$5:$W$5,0)),"NA")</f>
        <v>11680.247909899137</v>
      </c>
      <c r="K1320" s="125">
        <f t="shared" ca="1" si="2364"/>
        <v>87.492493707109645</v>
      </c>
      <c r="L1320" s="47"/>
      <c r="M1320" s="131">
        <f t="shared" ca="1" si="2371"/>
        <v>5.7488257153276531E-2</v>
      </c>
      <c r="N1320" s="131"/>
      <c r="O1320" s="131"/>
      <c r="P1320" s="59">
        <f t="shared" ca="1" si="2376"/>
        <v>2.5784287273686703E-4</v>
      </c>
      <c r="Q1320" s="61"/>
      <c r="R1320" s="387"/>
      <c r="S1320" s="49">
        <f t="shared" ca="1" si="2381"/>
        <v>124.15782501408371</v>
      </c>
      <c r="T1320" s="61">
        <f ca="1">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+P2620+P2645</f>
        <v>-2.3926414017587589E-5</v>
      </c>
      <c r="U1320" s="61"/>
      <c r="V1320" s="125">
        <f>IFERROR(INDEX('Non-Labor Expenditures'!$E$7:$AA$91,MATCH($C1320,'Non-Labor Expenditures'!$C$7:$C$91,0),MATCH($G1320,'Non-Labor Expenditures'!$E$5:$AA$5,0)),"NA")</f>
        <v>16915.180542918941</v>
      </c>
      <c r="W1320" s="125">
        <f t="shared" si="2365"/>
        <v>161.65273505021017</v>
      </c>
      <c r="X1320" s="131">
        <f t="shared" si="2377"/>
        <v>7.9155916741337581E-2</v>
      </c>
      <c r="Y1320" s="131">
        <f t="shared" si="2378"/>
        <v>3.5502535608776059E-4</v>
      </c>
      <c r="Z1320" s="131"/>
      <c r="AA1320" s="131"/>
      <c r="AB1320" s="131"/>
      <c r="AC1320" s="125">
        <f t="shared" si="2347"/>
        <v>16079.10289899463</v>
      </c>
      <c r="AD1320" s="129"/>
      <c r="AE1320" s="133">
        <v>1146.517264287995</v>
      </c>
      <c r="AF1320" s="134">
        <v>3.7435707206852541E-2</v>
      </c>
      <c r="AG1320" s="59">
        <f t="shared" si="2366"/>
        <v>1.679043819925745E-4</v>
      </c>
      <c r="AH1320" s="134"/>
      <c r="AI1320" s="134"/>
      <c r="AJ1320" s="129">
        <f t="shared" si="2372"/>
        <v>44674.531351812708</v>
      </c>
      <c r="AK1320" s="134">
        <f t="shared" si="2379"/>
        <v>4.9317601526327887E-2</v>
      </c>
      <c r="AL1320" s="129"/>
      <c r="AM1320" s="129"/>
      <c r="AN1320" s="129"/>
      <c r="AO1320" s="129"/>
      <c r="AP1320" s="133">
        <f t="shared" si="2380"/>
        <v>240.85252905524817</v>
      </c>
      <c r="AQ1320" s="134">
        <f>+BB1320/Outputs!$B$23</f>
        <v>5.091292751652622E-3</v>
      </c>
      <c r="AR1320" s="93">
        <f t="shared" si="2367"/>
        <v>0.2614520523543265</v>
      </c>
      <c r="AS1320" s="93">
        <f t="shared" si="2368"/>
        <v>0.37863140431651315</v>
      </c>
      <c r="AT1320" s="93">
        <f t="shared" si="2369"/>
        <v>0.35991654332916034</v>
      </c>
      <c r="AU1320" s="93">
        <f t="shared" ca="1" si="2373"/>
        <v>5.8069019217427673E-2</v>
      </c>
      <c r="AV1320" s="132">
        <f t="shared" ca="1" si="2383"/>
        <v>120.71778227062913</v>
      </c>
      <c r="AW1320" s="134">
        <f t="shared" ca="1" si="2384"/>
        <v>5.806901921742768E-2</v>
      </c>
      <c r="AX1320" s="135">
        <f>+AJ1320/$AL$20</f>
        <v>4.485139844288554E-3</v>
      </c>
      <c r="AY1320" s="135">
        <f t="shared" ca="1" si="2382"/>
        <v>2.6044767181084266E-4</v>
      </c>
      <c r="AZ1320" s="93"/>
      <c r="BA1320" s="93"/>
      <c r="BB1320" s="234">
        <f>IFERROR(INDEX('Total Customers'!$E$7:$AA$91,MATCH($C1320,'Total Customers'!$C$7:$C$91,0),MATCH($G1320,'Total Customers'!$E$5:$AA$5,0)),"NA")</f>
        <v>185485</v>
      </c>
      <c r="BC1320" s="269">
        <f t="shared" si="2328"/>
        <v>9.0278785823727312E-3</v>
      </c>
      <c r="BD1320" s="92"/>
      <c r="BE1320" s="299" t="str">
        <f t="shared" si="2317"/>
        <v>WISCONSIN POWER AND LIGHT COMPANY</v>
      </c>
      <c r="BF1320" s="300">
        <f t="shared" si="2318"/>
        <v>4008669</v>
      </c>
      <c r="BG1320" s="231" t="str">
        <f t="shared" si="2319"/>
        <v>WI</v>
      </c>
      <c r="BH1320" s="231"/>
      <c r="BI1320" s="231" t="str">
        <f t="shared" si="2320"/>
        <v>2015 Y</v>
      </c>
      <c r="BJ1320" s="129"/>
      <c r="BK1320" s="129"/>
      <c r="BL1320" s="129">
        <f>INDEX('Dist. Plant Gas Additions'!$E$7:$AD$91,MATCH($C1320,'Dist. Plant Gas Additions'!$C$7:$C$91,0),MATCH(Calculation!$G1320,'Dist. Plant Gas Additions'!$E$5:$AD$5,0))</f>
        <v>33675</v>
      </c>
      <c r="BM1320" s="129">
        <f>INDEX('Gen. Plant Additions'!$E$7:$AD$91,MATCH($C1320,'Gen. Plant Additions'!$C$7:$C$91,0),MATCH(Calculation!$G1320,'Gen. Plant Additions'!$E$5:$AD$5,0))</f>
        <v>914</v>
      </c>
      <c r="BN1320" s="301">
        <f t="shared" si="2346"/>
        <v>0.98237205927663418</v>
      </c>
      <c r="BO1320" s="231">
        <f t="shared" si="2374"/>
        <v>897.8880621788436</v>
      </c>
      <c r="BP1320" s="231">
        <f t="shared" si="2375"/>
        <v>-16.111937821156403</v>
      </c>
      <c r="BQ1320" s="129">
        <f>INDEX('Dist Plant Depreciation'!$D$7:$AC$94,MATCH($C1320,'Dist Plant Depreciation'!$C$7:$C$94,0),MATCH(Calculation!$G1320,'Dist Plant Depreciation'!$D$5:$AC$5,0))</f>
        <v>226706</v>
      </c>
      <c r="BR1320" s="129">
        <f>INDEX('Gen. Plant Depreciation'!$D$7:$AC$94,MATCH($C1320,'Gen. Plant Depreciation'!$C$7:$C$94,0),MATCH(Calculation!$G1320,'Gen. Plant Depreciation'!$D$5:$AC$5,0))</f>
        <v>5296</v>
      </c>
      <c r="BS1320" s="129"/>
      <c r="BT1320" s="129"/>
      <c r="BU1320" s="129"/>
      <c r="BV1320" s="129"/>
      <c r="BW1320" s="129"/>
      <c r="BX1320" s="137"/>
      <c r="BY1320" s="129">
        <f>INDEX('Gross Dx Plant'!$D$7:$AC$91,MATCH($C1320,'Gross Dx Plant'!$C$7:$C$91,0),MATCH(Calculation!$G1320,'Gross Dx Plant'!$D$5:$AC$5,0))</f>
        <v>494197</v>
      </c>
      <c r="BZ1320" s="129">
        <f>INDEX('Gross Gen Plant'!$D$7:$AC$91,MATCH($C1320,'Gross Gen Plant'!$C$7:$C$91,0),MATCH(Calculation!$G1320,'Gross Gen Plant'!$D$5:$AC$5,0))</f>
        <v>8868</v>
      </c>
      <c r="CA1320" s="129">
        <f t="shared" si="2294"/>
        <v>271063</v>
      </c>
      <c r="CB1320" s="129"/>
      <c r="CC1320" s="133">
        <v>2015</v>
      </c>
      <c r="CD1320" s="129"/>
      <c r="CE1320" s="129"/>
      <c r="CF1320" s="129"/>
      <c r="CG1320" s="137"/>
      <c r="CH1320" s="129">
        <f t="shared" si="2348"/>
        <v>34589</v>
      </c>
      <c r="CI1320" s="46">
        <f t="shared" si="2357"/>
        <v>34572.888062178841</v>
      </c>
      <c r="CJ1320" s="231">
        <f t="shared" si="2349"/>
        <v>51.172497410582793</v>
      </c>
      <c r="CK1320" s="443">
        <v>0.8</v>
      </c>
      <c r="CL1320" s="231">
        <f>+CL1303*CK1320+CJ1304*CK1319+CJ1305*CK1318+CJ1306*CK1317+CJ1307*CK1316+CJ1308*CK1315+CJ1309*CK1314+CJ1310*CK1313+CJ1311*CK1312+CJ1312*CK1311+CJ1313*CK1310+CJ1314*CK1309+CJ1315*CK1308+CJ1316*CK1307+CJ1317*CK1306+CJ1318*CK1305+CJ1319*CK1304+CJ1320</f>
        <v>1063.3540990437405</v>
      </c>
      <c r="CM1320" s="134">
        <f t="shared" si="2350"/>
        <v>3.4202054158250214E-2</v>
      </c>
      <c r="CN1320" s="135">
        <f t="shared" si="2351"/>
        <v>1.5004394893188123E-2</v>
      </c>
      <c r="CO1320" s="135">
        <f t="shared" si="2360"/>
        <v>1.461401065299524E-2</v>
      </c>
      <c r="CP1320" s="134">
        <f>VLOOKUP($H1320,RoR!$E:$F,2,FALSE)</f>
        <v>3.8866666666666674E-2</v>
      </c>
      <c r="CQ1320" s="135">
        <v>9.5709475431029478E-3</v>
      </c>
      <c r="CR1320" s="135">
        <f t="shared" si="2358"/>
        <v>2.9295719123563727E-2</v>
      </c>
      <c r="CS1320" s="135">
        <f t="shared" si="2361"/>
        <v>1.6287930955538384E-2</v>
      </c>
      <c r="CT1320" s="135">
        <v>3.5270373279175926E-3</v>
      </c>
      <c r="CU1320" s="139">
        <f t="shared" si="2352"/>
        <v>0.85150049999999999</v>
      </c>
      <c r="CV1320" s="335">
        <f t="shared" si="2353"/>
        <v>1.3194352816994324</v>
      </c>
      <c r="CW1320" s="335">
        <f t="shared" si="2354"/>
        <v>0.33177530017152673</v>
      </c>
      <c r="CX1320" s="335">
        <f t="shared" si="2355"/>
        <v>0.78242572977668579</v>
      </c>
      <c r="CY1320" s="335">
        <f t="shared" si="2356"/>
        <v>0.34251158643433932</v>
      </c>
      <c r="CZ1320" s="336">
        <f>INDEX('State Tax Lookup'!$D$7:$Z$91,MATCH(Calculation!$C1320,'State Tax Lookup'!$B$7:$B$91,0),MATCH($H1320,'State Tax Lookup'!$D$6:$Z$6,0))</f>
        <v>0.40134999999999998</v>
      </c>
      <c r="DA1320" s="302">
        <v>0.37</v>
      </c>
      <c r="DB1320" s="57">
        <f t="shared" si="2359"/>
        <v>15.647237278385127</v>
      </c>
      <c r="DC1320" s="56">
        <f t="shared" si="2362"/>
        <v>-3.3978123765348436E-2</v>
      </c>
      <c r="DD1320" s="303">
        <f>VLOOKUP($H1320,RoR!$E:$F,2,FALSE)</f>
        <v>3.8866666666666674E-2</v>
      </c>
      <c r="DE1320" s="304">
        <f>HLOOKUP($H1320,'GDP-PI'!$D$8:$CQ$11,3,FALSE)</f>
        <v>9.5709475431029478E-3</v>
      </c>
      <c r="DF1320" s="303">
        <f>VLOOKUP(H1320,'HW Dx Data'!$E:$F,2,FALSE)</f>
        <v>675.61463308665782</v>
      </c>
      <c r="DG1320" s="364">
        <f ca="1">VLOOKUP(CC1320,'ECI - Input Price'!M$13:N$33,2,FALSE)</f>
        <v>133.5</v>
      </c>
      <c r="DH1320" s="364"/>
      <c r="DI1320" s="364"/>
      <c r="DJ1320" s="56">
        <f t="shared" ca="1" si="2370"/>
        <v>3.1193095773504077E-2</v>
      </c>
      <c r="DK1320" s="53">
        <f>HLOOKUP(H1320,'GDP-PI'!$8:$9,2,FALSE)</f>
        <v>104.639</v>
      </c>
      <c r="DL1320" s="355">
        <f t="shared" si="2363"/>
        <v>9.5254361854427965E-3</v>
      </c>
    </row>
    <row r="1321" spans="1:116" s="126" customFormat="1" ht="21" customHeight="1" x14ac:dyDescent="0.4">
      <c r="A1321" s="233" t="s">
        <v>259</v>
      </c>
      <c r="B1321" s="126" t="s">
        <v>259</v>
      </c>
      <c r="C1321" s="126">
        <v>4008669</v>
      </c>
      <c r="D1321" s="127" t="s">
        <v>214</v>
      </c>
      <c r="E1321" s="127"/>
      <c r="F1321" s="144"/>
      <c r="G1321" s="126" t="s">
        <v>172</v>
      </c>
      <c r="H1321" s="128">
        <v>2016</v>
      </c>
      <c r="I1321" s="129"/>
      <c r="J1321" s="125">
        <f>IFERROR(INDEX('Labor Expenditures'!$E$7:$W$91,MATCH($C1321,'Labor Expenditures'!$C$7:$C$91,0),MATCH($G1321,'Labor Expenditures'!$E$5:$W$5,0)),"NA")</f>
        <v>11571.493549309196</v>
      </c>
      <c r="K1321" s="125">
        <f t="shared" ca="1" si="2364"/>
        <v>84.494293897840066</v>
      </c>
      <c r="L1321" s="47"/>
      <c r="M1321" s="131">
        <f t="shared" ca="1" si="2371"/>
        <v>-3.4868999232451667E-2</v>
      </c>
      <c r="N1321" s="131"/>
      <c r="O1321" s="131"/>
      <c r="P1321" s="59">
        <f t="shared" ca="1" si="2376"/>
        <v>-1.508916685388035E-4</v>
      </c>
      <c r="Q1321" s="61"/>
      <c r="R1321" s="387"/>
      <c r="S1321" s="49">
        <f t="shared" ca="1" si="2381"/>
        <v>308.3467746388277</v>
      </c>
      <c r="T1321" s="61">
        <f ca="1">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+P2621+P2646</f>
        <v>0.9096715026415414</v>
      </c>
      <c r="U1321" s="61"/>
      <c r="V1321" s="125">
        <f>IFERROR(INDEX('Non-Labor Expenditures'!$E$7:$AA$91,MATCH($C1321,'Non-Labor Expenditures'!$C$7:$C$91,0),MATCH($G1321,'Non-Labor Expenditures'!$E$5:$AA$5,0)),"NA")</f>
        <v>16757.683916272043</v>
      </c>
      <c r="W1321" s="125">
        <f t="shared" si="2365"/>
        <v>158.48607774336122</v>
      </c>
      <c r="X1321" s="131">
        <f t="shared" si="2377"/>
        <v>-1.9783671730874003E-2</v>
      </c>
      <c r="Y1321" s="131">
        <f t="shared" si="2378"/>
        <v>-8.5611612119836729E-5</v>
      </c>
      <c r="Z1321" s="131"/>
      <c r="AA1321" s="131"/>
      <c r="AB1321" s="131"/>
      <c r="AC1321" s="125">
        <f t="shared" si="2347"/>
        <v>16167.390057763198</v>
      </c>
      <c r="AD1321" s="129"/>
      <c r="AE1321" s="133">
        <v>1214.9788264150322</v>
      </c>
      <c r="AF1321" s="134">
        <v>5.7997768365500253E-2</v>
      </c>
      <c r="AG1321" s="59">
        <f t="shared" si="2366"/>
        <v>2.5097881306707212E-4</v>
      </c>
      <c r="AH1321" s="134"/>
      <c r="AI1321" s="134"/>
      <c r="AJ1321" s="129">
        <f t="shared" si="2372"/>
        <v>44496.567523344434</v>
      </c>
      <c r="AK1321" s="134">
        <f t="shared" si="2379"/>
        <v>-3.9915189336698484E-3</v>
      </c>
      <c r="AL1321" s="129"/>
      <c r="AM1321" s="129"/>
      <c r="AN1321" s="129"/>
      <c r="AO1321" s="129"/>
      <c r="AP1321" s="133">
        <f t="shared" si="2380"/>
        <v>238.70908786429783</v>
      </c>
      <c r="AQ1321" s="134">
        <f>+BB1321/Outputs!$B$24</f>
        <v>5.0723313001195614E-3</v>
      </c>
      <c r="AR1321" s="93">
        <f t="shared" si="2367"/>
        <v>0.26005362196170279</v>
      </c>
      <c r="AS1321" s="93">
        <f t="shared" si="2368"/>
        <v>0.37660621591722515</v>
      </c>
      <c r="AT1321" s="93">
        <f t="shared" si="2369"/>
        <v>0.36334016212107206</v>
      </c>
      <c r="AU1321" s="93">
        <f t="shared" ca="1" si="2373"/>
        <v>4.4107603782709212E-3</v>
      </c>
      <c r="AV1321" s="132">
        <f t="shared" ca="1" si="2383"/>
        <v>121.25141548058669</v>
      </c>
      <c r="AW1321" s="134">
        <f t="shared" ca="1" si="2384"/>
        <v>4.4107603782709776E-3</v>
      </c>
      <c r="AX1321" s="135">
        <f>+AJ1321/$AL$21</f>
        <v>4.3273874174849436E-3</v>
      </c>
      <c r="AY1321" s="135">
        <f t="shared" ca="1" si="2382"/>
        <v>1.9087068962470959E-5</v>
      </c>
      <c r="AZ1321" s="93"/>
      <c r="BA1321" s="93"/>
      <c r="BB1321" s="234">
        <f>IFERROR(INDEX('Total Customers'!$E$7:$AA$91,MATCH($C1321,'Total Customers'!$C$7:$C$91,0),MATCH($G1321,'Total Customers'!$E$5:$AA$5,0)),"NA")</f>
        <v>186405</v>
      </c>
      <c r="BC1321" s="269">
        <f t="shared" si="2328"/>
        <v>4.9477096818213622E-3</v>
      </c>
      <c r="BD1321" s="92"/>
      <c r="BE1321" s="299" t="str">
        <f t="shared" si="2317"/>
        <v>WISCONSIN POWER AND LIGHT COMPANY</v>
      </c>
      <c r="BF1321" s="300">
        <f t="shared" si="2318"/>
        <v>4008669</v>
      </c>
      <c r="BG1321" s="231" t="str">
        <f t="shared" si="2319"/>
        <v>WI</v>
      </c>
      <c r="BH1321" s="231"/>
      <c r="BI1321" s="231" t="str">
        <f t="shared" si="2320"/>
        <v>2016 Y</v>
      </c>
      <c r="BJ1321" s="129"/>
      <c r="BK1321" s="129"/>
      <c r="BL1321" s="129">
        <f>INDEX('Dist. Plant Gas Additions'!$E$7:$AD$91,MATCH($C1321,'Dist. Plant Gas Additions'!$C$7:$C$91,0),MATCH(Calculation!$G1321,'Dist. Plant Gas Additions'!$E$5:$AD$5,0))</f>
        <v>48571</v>
      </c>
      <c r="BM1321" s="129">
        <f>INDEX('Gen. Plant Additions'!$E$7:$AD$91,MATCH($C1321,'Gen. Plant Additions'!$C$7:$C$91,0),MATCH(Calculation!$G1321,'Gen. Plant Additions'!$E$5:$AD$5,0))</f>
        <v>3890</v>
      </c>
      <c r="BN1321" s="301">
        <f t="shared" si="2346"/>
        <v>0.9770659390632106</v>
      </c>
      <c r="BO1321" s="231">
        <f t="shared" si="2374"/>
        <v>3800.7865029558893</v>
      </c>
      <c r="BP1321" s="231">
        <f t="shared" si="2375"/>
        <v>-89.213497044110682</v>
      </c>
      <c r="BQ1321" s="129">
        <f>INDEX('Dist Plant Depreciation'!$D$7:$AC$94,MATCH($C1321,'Dist Plant Depreciation'!$C$7:$C$94,0),MATCH(Calculation!$G1321,'Dist Plant Depreciation'!$D$5:$AC$5,0))</f>
        <v>232253</v>
      </c>
      <c r="BR1321" s="129">
        <f>INDEX('Gen. Plant Depreciation'!$D$7:$AC$94,MATCH($C1321,'Gen. Plant Depreciation'!$C$7:$C$94,0),MATCH(Calculation!$G1321,'Gen. Plant Depreciation'!$D$5:$AC$5,0))</f>
        <v>5544</v>
      </c>
      <c r="BS1321" s="129"/>
      <c r="BT1321" s="129"/>
      <c r="BU1321" s="129"/>
      <c r="BV1321" s="129"/>
      <c r="BW1321" s="129"/>
      <c r="BX1321" s="137"/>
      <c r="BY1321" s="129">
        <f>INDEX('Gross Dx Plant'!$D$7:$AC$91,MATCH($C1321,'Gross Dx Plant'!$C$7:$C$91,0),MATCH(Calculation!$G1321,'Gross Dx Plant'!$D$5:$AC$5,0))</f>
        <v>537142</v>
      </c>
      <c r="BZ1321" s="129">
        <f>INDEX('Gross Gen Plant'!$D$7:$AC$91,MATCH($C1321,'Gross Gen Plant'!$C$7:$C$91,0),MATCH(Calculation!$G1321,'Gross Gen Plant'!$D$5:$AC$5,0))</f>
        <v>12608</v>
      </c>
      <c r="CA1321" s="129">
        <f t="shared" si="2294"/>
        <v>311953</v>
      </c>
      <c r="CB1321" s="129"/>
      <c r="CC1321" s="133">
        <v>2016</v>
      </c>
      <c r="CD1321" s="129"/>
      <c r="CE1321" s="129"/>
      <c r="CF1321" s="129"/>
      <c r="CG1321" s="137"/>
      <c r="CH1321" s="129">
        <f t="shared" si="2348"/>
        <v>52461</v>
      </c>
      <c r="CI1321" s="46">
        <f t="shared" si="2357"/>
        <v>52371.786502955889</v>
      </c>
      <c r="CJ1321" s="231">
        <f t="shared" si="2349"/>
        <v>77.9973010636011</v>
      </c>
      <c r="CK1321" s="443">
        <v>0.7857142857142857</v>
      </c>
      <c r="CL1321" s="231">
        <f>+CL1303*CK1321+CJ1304*CK1320+CJ1305*CK1319+CJ1306*CK1318+CJ1307*CK1317+CJ1308*CK1316+CJ1309*CK1315+CJ1310*CK1314+CJ1311*CK1313+CJ1312*CK1312+CJ1313*CK1311+CJ1314*CK1310+CJ1315*CK1309+CJ1316*CK1308+CJ1317*CK1307+CJ1318*CK1306+CJ1319*CK1305+CJ1320*CK1304+CJ1321</f>
        <v>1125.0718022637934</v>
      </c>
      <c r="CM1321" s="134">
        <f t="shared" si="2350"/>
        <v>5.641870103496878E-2</v>
      </c>
      <c r="CN1321" s="135">
        <f t="shared" si="2351"/>
        <v>1.5309667643344923E-2</v>
      </c>
      <c r="CO1321" s="135">
        <f t="shared" si="2360"/>
        <v>1.4975931142750204E-2</v>
      </c>
      <c r="CP1321" s="134">
        <f>VLOOKUP($H1321,RoR!$E:$F,2,FALSE)</f>
        <v>3.6658333333333334E-2</v>
      </c>
      <c r="CQ1321" s="135">
        <v>1.0483662879041455E-2</v>
      </c>
      <c r="CR1321" s="135">
        <f t="shared" si="2358"/>
        <v>2.6174670454291879E-2</v>
      </c>
      <c r="CS1321" s="135">
        <f t="shared" si="2361"/>
        <v>1.5926010465783423E-2</v>
      </c>
      <c r="CT1321" s="135">
        <v>4.301363574220729E-3</v>
      </c>
      <c r="CU1321" s="139">
        <f t="shared" si="2352"/>
        <v>0.85150049999999999</v>
      </c>
      <c r="CV1321" s="335">
        <f t="shared" si="2353"/>
        <v>1.3989193348138562</v>
      </c>
      <c r="CW1321" s="335">
        <f t="shared" si="2354"/>
        <v>0.29302682427824522</v>
      </c>
      <c r="CX1321" s="335">
        <f t="shared" si="2355"/>
        <v>0.76309497491941802</v>
      </c>
      <c r="CY1321" s="335">
        <f t="shared" si="2356"/>
        <v>0.31280857135128509</v>
      </c>
      <c r="CZ1321" s="336">
        <f>INDEX('State Tax Lookup'!$D$7:$Z$91,MATCH(Calculation!$C1321,'State Tax Lookup'!$B$7:$B$91,0),MATCH($H1321,'State Tax Lookup'!$D$6:$Z$6,0))</f>
        <v>0.40134999999999998</v>
      </c>
      <c r="DA1321" s="302">
        <v>0.37</v>
      </c>
      <c r="DB1321" s="57">
        <f t="shared" si="2359"/>
        <v>15.204145140647228</v>
      </c>
      <c r="DC1321" s="56">
        <f t="shared" si="2362"/>
        <v>-2.8726272373955065E-2</v>
      </c>
      <c r="DD1321" s="303">
        <f>VLOOKUP($H1321,RoR!$E:$F,2,FALSE)</f>
        <v>3.6658333333333334E-2</v>
      </c>
      <c r="DE1321" s="304">
        <f>HLOOKUP($H1321,'GDP-PI'!$D$8:$CQ$11,3,FALSE)</f>
        <v>1.0483662879041455E-2</v>
      </c>
      <c r="DF1321" s="303">
        <f>VLOOKUP(H1321,'HW Dx Data'!$E:$F,2,FALSE)</f>
        <v>671.45639385971219</v>
      </c>
      <c r="DG1321" s="364">
        <f ca="1">VLOOKUP(CC1321,'ECI - Input Price'!M$13:N$33,2,FALSE)</f>
        <v>136.94999999999999</v>
      </c>
      <c r="DH1321" s="364"/>
      <c r="DI1321" s="364"/>
      <c r="DJ1321" s="56">
        <f t="shared" ca="1" si="2370"/>
        <v>2.5514417868782811E-2</v>
      </c>
      <c r="DK1321" s="53">
        <f>HLOOKUP(H1321,'GDP-PI'!$8:$9,2,FALSE)</f>
        <v>105.736</v>
      </c>
      <c r="DL1321" s="355">
        <f t="shared" si="2363"/>
        <v>1.0429090367205095E-2</v>
      </c>
    </row>
    <row r="1322" spans="1:116" s="126" customFormat="1" ht="21" customHeight="1" x14ac:dyDescent="0.4">
      <c r="A1322" s="233" t="s">
        <v>259</v>
      </c>
      <c r="B1322" s="126" t="s">
        <v>259</v>
      </c>
      <c r="C1322" s="126">
        <v>4008669</v>
      </c>
      <c r="D1322" s="127" t="s">
        <v>214</v>
      </c>
      <c r="E1322" s="127"/>
      <c r="F1322" s="144"/>
      <c r="G1322" s="126" t="s">
        <v>173</v>
      </c>
      <c r="H1322" s="128">
        <v>2017</v>
      </c>
      <c r="I1322" s="129"/>
      <c r="J1322" s="125">
        <f>IFERROR(INDEX('Labor Expenditures'!$E$7:$W$91,MATCH($C1322,'Labor Expenditures'!$C$7:$C$91,0),MATCH($G1322,'Labor Expenditures'!$E$5:$W$5,0)),"NA")</f>
        <v>11834.48054413148</v>
      </c>
      <c r="K1322" s="125">
        <f t="shared" ca="1" si="2364"/>
        <v>84.261164429558434</v>
      </c>
      <c r="L1322" s="47"/>
      <c r="M1322" s="131">
        <f t="shared" ca="1" si="2371"/>
        <v>-2.7629283093658892E-3</v>
      </c>
      <c r="N1322" s="131"/>
      <c r="O1322" s="131"/>
      <c r="P1322" s="59">
        <f t="shared" ca="1" si="2376"/>
        <v>-1.1901425416966448E-5</v>
      </c>
      <c r="Q1322" s="61"/>
      <c r="R1322" s="387"/>
      <c r="S1322" s="49">
        <f t="shared" ca="1" si="2381"/>
        <v>173.46381503008101</v>
      </c>
      <c r="T1322" s="61">
        <f ca="1">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+P2622+P2647</f>
        <v>-0.57525602258632591</v>
      </c>
      <c r="U1322" s="61"/>
      <c r="V1322" s="125">
        <f>IFERROR(INDEX('Non-Labor Expenditures'!$E$7:$AA$91,MATCH($C1322,'Non-Labor Expenditures'!$C$7:$C$91,0),MATCH($G1322,'Non-Labor Expenditures'!$E$5:$AA$5,0)),"NA")</f>
        <v>17138.538203969867</v>
      </c>
      <c r="W1322" s="125">
        <f t="shared" si="2365"/>
        <v>159.05688303560865</v>
      </c>
      <c r="X1322" s="131">
        <f t="shared" si="2377"/>
        <v>3.5951413040545273E-3</v>
      </c>
      <c r="Y1322" s="131">
        <f t="shared" si="2378"/>
        <v>1.5486216543736681E-5</v>
      </c>
      <c r="Z1322" s="131"/>
      <c r="AA1322" s="131"/>
      <c r="AB1322" s="131"/>
      <c r="AC1322" s="125">
        <f t="shared" si="2347"/>
        <v>15304.737496297252</v>
      </c>
      <c r="AD1322" s="129"/>
      <c r="AE1322" s="133">
        <v>1265.0250791256299</v>
      </c>
      <c r="AF1322" s="134">
        <v>4.0365297556958231E-2</v>
      </c>
      <c r="AG1322" s="59">
        <f t="shared" si="2366"/>
        <v>1.7387515147580953E-4</v>
      </c>
      <c r="AH1322" s="134"/>
      <c r="AI1322" s="134"/>
      <c r="AJ1322" s="129">
        <f t="shared" si="2372"/>
        <v>44277.756244398603</v>
      </c>
      <c r="AK1322" s="134">
        <f t="shared" si="2379"/>
        <v>-4.9296173211413859E-3</v>
      </c>
      <c r="AL1322" s="129"/>
      <c r="AM1322" s="129"/>
      <c r="AN1322" s="129"/>
      <c r="AO1322" s="129"/>
      <c r="AP1322" s="133">
        <f t="shared" si="2380"/>
        <v>235.37349758075348</v>
      </c>
      <c r="AQ1322" s="134">
        <f>+BB1322/Outputs!$B$25</f>
        <v>5.0804578901860369E-3</v>
      </c>
      <c r="AR1322" s="93">
        <f t="shared" si="2367"/>
        <v>0.26727823512124355</v>
      </c>
      <c r="AS1322" s="93">
        <f t="shared" si="2368"/>
        <v>0.38706880514384678</v>
      </c>
      <c r="AT1322" s="93">
        <f t="shared" si="2369"/>
        <v>0.34565295973490956</v>
      </c>
      <c r="AU1322" s="93">
        <f t="shared" ca="1" si="2373"/>
        <v>1.4953628912139928E-2</v>
      </c>
      <c r="AV1322" s="132">
        <f t="shared" ca="1" si="2383"/>
        <v>123.07818855566882</v>
      </c>
      <c r="AW1322" s="134">
        <f t="shared" ca="1" si="2384"/>
        <v>1.4953628912139897E-2</v>
      </c>
      <c r="AX1322" s="135">
        <f>+AJ1322/$AL$22</f>
        <v>4.3075404369423923E-3</v>
      </c>
      <c r="AY1322" s="135">
        <f t="shared" ca="1" si="2382"/>
        <v>6.4413361218073486E-5</v>
      </c>
      <c r="AZ1322" s="93"/>
      <c r="BA1322" s="93"/>
      <c r="BB1322" s="234">
        <f>IFERROR(INDEX('Total Customers'!$E$7:$AA$91,MATCH($C1322,'Total Customers'!$C$7:$C$91,0),MATCH($G1322,'Total Customers'!$E$5:$AA$5,0)),"NA")</f>
        <v>188117</v>
      </c>
      <c r="BC1322" s="269">
        <f t="shared" si="2328"/>
        <v>9.1423837559191142E-3</v>
      </c>
      <c r="BD1322" s="92"/>
      <c r="BE1322" s="299" t="str">
        <f t="shared" si="2317"/>
        <v>WISCONSIN POWER AND LIGHT COMPANY</v>
      </c>
      <c r="BF1322" s="300">
        <f t="shared" si="2318"/>
        <v>4008669</v>
      </c>
      <c r="BG1322" s="231" t="str">
        <f t="shared" si="2319"/>
        <v>WI</v>
      </c>
      <c r="BH1322" s="231"/>
      <c r="BI1322" s="231" t="str">
        <f t="shared" si="2320"/>
        <v>2017 Y</v>
      </c>
      <c r="BJ1322" s="129"/>
      <c r="BK1322" s="129"/>
      <c r="BL1322" s="129">
        <f>INDEX('Dist. Plant Gas Additions'!$E$7:$AD$91,MATCH($C1322,'Dist. Plant Gas Additions'!$C$7:$C$91,0),MATCH(Calculation!$G1322,'Dist. Plant Gas Additions'!$E$5:$AD$5,0))</f>
        <v>41559</v>
      </c>
      <c r="BM1322" s="129">
        <f>INDEX('Gen. Plant Additions'!$E$7:$AD$91,MATCH($C1322,'Gen. Plant Additions'!$C$7:$C$91,0),MATCH(Calculation!$G1322,'Gen. Plant Additions'!$E$5:$AD$5,0))</f>
        <v>1526</v>
      </c>
      <c r="BN1322" s="301">
        <f t="shared" si="2346"/>
        <v>0.97750264875764725</v>
      </c>
      <c r="BO1322" s="231">
        <f t="shared" si="2374"/>
        <v>1491.6690420041698</v>
      </c>
      <c r="BP1322" s="231">
        <f t="shared" si="2375"/>
        <v>-34.330957995830204</v>
      </c>
      <c r="BQ1322" s="129">
        <f>INDEX('Dist Plant Depreciation'!$D$7:$AC$94,MATCH($C1322,'Dist Plant Depreciation'!$C$7:$C$94,0),MATCH(Calculation!$G1322,'Dist Plant Depreciation'!$D$5:$AC$5,0))</f>
        <v>237748</v>
      </c>
      <c r="BR1322" s="129">
        <f>INDEX('Gen. Plant Depreciation'!$D$7:$AC$94,MATCH($C1322,'Gen. Plant Depreciation'!$C$7:$C$94,0),MATCH(Calculation!$G1322,'Gen. Plant Depreciation'!$D$5:$AC$5,0))</f>
        <v>5053</v>
      </c>
      <c r="BS1322" s="129"/>
      <c r="BT1322" s="129"/>
      <c r="BU1322" s="129"/>
      <c r="BV1322" s="129"/>
      <c r="BW1322" s="129"/>
      <c r="BX1322" s="137"/>
      <c r="BY1322" s="129">
        <f>INDEX('Gross Dx Plant'!$D$7:$AC$91,MATCH($C1322,'Gross Dx Plant'!$C$7:$C$91,0),MATCH(Calculation!$G1322,'Gross Dx Plant'!$D$5:$AC$5,0))</f>
        <v>572015</v>
      </c>
      <c r="BZ1322" s="129">
        <f>INDEX('Gross Gen Plant'!$D$7:$AC$91,MATCH($C1322,'Gross Gen Plant'!$C$7:$C$91,0),MATCH(Calculation!$G1322,'Gross Gen Plant'!$D$5:$AC$5,0))</f>
        <v>13165</v>
      </c>
      <c r="CA1322" s="129">
        <f t="shared" si="2294"/>
        <v>342379</v>
      </c>
      <c r="CB1322" s="129"/>
      <c r="CC1322" s="133">
        <v>2017</v>
      </c>
      <c r="CD1322" s="129"/>
      <c r="CE1322" s="129"/>
      <c r="CF1322" s="129"/>
      <c r="CG1322" s="137"/>
      <c r="CH1322" s="129">
        <f t="shared" si="2348"/>
        <v>43085</v>
      </c>
      <c r="CI1322" s="46">
        <f t="shared" si="2357"/>
        <v>43050.66904200417</v>
      </c>
      <c r="CJ1322" s="231">
        <f t="shared" si="2349"/>
        <v>60.428048546678987</v>
      </c>
      <c r="CK1322" s="443">
        <v>0.77108433734939763</v>
      </c>
      <c r="CL1322" s="231">
        <f>+CL1303*CK1322+CJ1304*CK1321+CJ1305*CK1320+CJ1306*CK1319+CJ1307*CK1318+CJ1308*CK1317+CJ1309*CK1316+CJ1310*CK1315+CJ1311*CK1314+CJ1312*CK1313+CJ1313*CK1312+CJ1314*CK1311+CJ1315*CK1310+CJ1316*CK1309+CJ1317*CK1308+CJ1318*CK1307+CJ1319*CK1306+CJ1320*CK1305+CJ1321*CK1304+CJ1322</f>
        <v>1168.0710516795391</v>
      </c>
      <c r="CM1322" s="134">
        <f t="shared" si="2350"/>
        <v>3.7506856619076268E-2</v>
      </c>
      <c r="CN1322" s="135">
        <f t="shared" si="2351"/>
        <v>1.5491277175256064E-2</v>
      </c>
      <c r="CO1322" s="135">
        <f t="shared" si="2360"/>
        <v>1.5268446570596372E-2</v>
      </c>
      <c r="CP1322" s="134">
        <f>VLOOKUP($H1322,RoR!$E:$F,2,FALSE)</f>
        <v>3.7433333333333339E-2</v>
      </c>
      <c r="CQ1322" s="135">
        <v>1.9056896421275615E-2</v>
      </c>
      <c r="CR1322" s="135">
        <f t="shared" si="2358"/>
        <v>1.8376436912057724E-2</v>
      </c>
      <c r="CS1322" s="135">
        <f t="shared" si="2361"/>
        <v>1.5633495037937255E-2</v>
      </c>
      <c r="CT1322" s="135">
        <v>1.3976271617800498E-2</v>
      </c>
      <c r="CU1322" s="139">
        <f t="shared" si="2352"/>
        <v>0.90330050000000006</v>
      </c>
      <c r="CV1322" s="335">
        <f t="shared" si="2353"/>
        <v>1.3699568463593395</v>
      </c>
      <c r="CW1322" s="335">
        <f t="shared" si="2354"/>
        <v>0.30714603739982199</v>
      </c>
      <c r="CX1322" s="335">
        <f t="shared" si="2355"/>
        <v>0.77007188472689425</v>
      </c>
      <c r="CY1322" s="335">
        <f t="shared" si="2356"/>
        <v>0.32402839633793828</v>
      </c>
      <c r="CZ1322" s="336">
        <f>INDEX('State Tax Lookup'!$D$7:$Z$91,MATCH(Calculation!$C1322,'State Tax Lookup'!$B$7:$B$91,0),MATCH($H1322,'State Tax Lookup'!$D$6:$Z$6,0))</f>
        <v>0.26134999999999997</v>
      </c>
      <c r="DA1322" s="302">
        <v>0.37</v>
      </c>
      <c r="DB1322" s="57">
        <f t="shared" si="2359"/>
        <v>13.603342884873742</v>
      </c>
      <c r="DC1322" s="56">
        <f t="shared" si="2362"/>
        <v>-0.11125253439965613</v>
      </c>
      <c r="DD1322" s="303">
        <f>VLOOKUP($H1322,RoR!$E:$F,2,FALSE)</f>
        <v>3.7433333333333339E-2</v>
      </c>
      <c r="DE1322" s="304">
        <f>HLOOKUP($H1322,'GDP-PI'!$D$8:$CQ$11,3,FALSE)</f>
        <v>1.9056896421275615E-2</v>
      </c>
      <c r="DF1322" s="303">
        <f>VLOOKUP(H1322,'HW Dx Data'!$E:$F,2,FALSE)</f>
        <v>712.42858370229726</v>
      </c>
      <c r="DG1322" s="364">
        <f ca="1">VLOOKUP(CC1322,'ECI - Input Price'!M$13:N$33,2,FALSE)</f>
        <v>140.44999999999999</v>
      </c>
      <c r="DH1322" s="364"/>
      <c r="DI1322" s="364"/>
      <c r="DJ1322" s="56">
        <f t="shared" ca="1" si="2370"/>
        <v>2.5235657841165486E-2</v>
      </c>
      <c r="DK1322" s="53">
        <f>HLOOKUP(H1322,'GDP-PI'!$8:$9,2,FALSE)</f>
        <v>107.751</v>
      </c>
      <c r="DL1322" s="355">
        <f t="shared" si="2363"/>
        <v>1.8877588227745139E-2</v>
      </c>
    </row>
    <row r="1323" spans="1:116" s="126" customFormat="1" ht="21" customHeight="1" x14ac:dyDescent="0.4">
      <c r="A1323" s="233" t="s">
        <v>259</v>
      </c>
      <c r="B1323" s="126" t="s">
        <v>259</v>
      </c>
      <c r="C1323" s="126">
        <v>4008669</v>
      </c>
      <c r="D1323" s="127" t="s">
        <v>214</v>
      </c>
      <c r="E1323" s="127"/>
      <c r="F1323" s="144"/>
      <c r="G1323" s="126" t="s">
        <v>174</v>
      </c>
      <c r="H1323" s="128">
        <v>2018</v>
      </c>
      <c r="I1323" s="129"/>
      <c r="J1323" s="125">
        <f>IFERROR(INDEX('Labor Expenditures'!$E$7:$W$91,MATCH($C1323,'Labor Expenditures'!$C$7:$C$91,0),MATCH($G1323,'Labor Expenditures'!$E$5:$W$5,0)),"NA")</f>
        <v>12310.585611699657</v>
      </c>
      <c r="K1323" s="125">
        <f t="shared" ca="1" si="2364"/>
        <v>85.223853317408498</v>
      </c>
      <c r="L1323" s="47"/>
      <c r="M1323" s="131">
        <f t="shared" ca="1" si="2371"/>
        <v>1.1360287228140109E-2</v>
      </c>
      <c r="N1323" s="131"/>
      <c r="O1323" s="131"/>
      <c r="P1323" s="59">
        <f t="shared" ca="1" si="2376"/>
        <v>4.7642638472194889E-5</v>
      </c>
      <c r="Q1323" s="61"/>
      <c r="R1323" s="387"/>
      <c r="S1323" s="49">
        <f t="shared" ca="1" si="2381"/>
        <v>119.28995753046011</v>
      </c>
      <c r="T1323" s="61">
        <f ca="1">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+P2623+P2648</f>
        <v>-0.37441187145653776</v>
      </c>
      <c r="U1323" s="61"/>
      <c r="V1323" s="125">
        <f>IFERROR(INDEX('Non-Labor Expenditures'!$E$7:$AA$91,MATCH($C1323,'Non-Labor Expenditures'!$C$7:$C$91,0),MATCH($G1323,'Non-Labor Expenditures'!$E$5:$AA$5,0)),"NA")</f>
        <v>17828.027265969053</v>
      </c>
      <c r="W1323" s="125">
        <f t="shared" si="2365"/>
        <v>161.5999280829667</v>
      </c>
      <c r="X1323" s="131">
        <f t="shared" si="2377"/>
        <v>1.5861807873622992E-2</v>
      </c>
      <c r="Y1323" s="131">
        <f t="shared" si="2378"/>
        <v>6.6521062615963137E-5</v>
      </c>
      <c r="Z1323" s="131"/>
      <c r="AA1323" s="131"/>
      <c r="AB1323" s="131"/>
      <c r="AC1323" s="125">
        <f t="shared" si="2347"/>
        <v>16529.641531100144</v>
      </c>
      <c r="AD1323" s="129"/>
      <c r="AE1323" s="133">
        <v>1312.4968814233625</v>
      </c>
      <c r="AF1323" s="134">
        <v>3.6839392043710631E-2</v>
      </c>
      <c r="AG1323" s="59">
        <f t="shared" si="2366"/>
        <v>1.5449660747365675E-4</v>
      </c>
      <c r="AH1323" s="134"/>
      <c r="AI1323" s="134"/>
      <c r="AJ1323" s="129">
        <f t="shared" si="2372"/>
        <v>46668.254408768858</v>
      </c>
      <c r="AK1323" s="134">
        <f t="shared" si="2379"/>
        <v>5.2581721838288041E-2</v>
      </c>
      <c r="AL1323" s="129"/>
      <c r="AM1323" s="129"/>
      <c r="AN1323" s="129"/>
      <c r="AO1323" s="129"/>
      <c r="AP1323" s="133">
        <f t="shared" si="2380"/>
        <v>245.94730095425459</v>
      </c>
      <c r="AQ1323" s="134">
        <f>+BB1323/Outputs!$B$26</f>
        <v>5.0796531286705542E-3</v>
      </c>
      <c r="AR1323" s="93">
        <f t="shared" si="2367"/>
        <v>0.26378928819301467</v>
      </c>
      <c r="AS1323" s="93">
        <f t="shared" si="2368"/>
        <v>0.38201615834637276</v>
      </c>
      <c r="AT1323" s="93">
        <f t="shared" si="2369"/>
        <v>0.35419455346061246</v>
      </c>
      <c r="AU1323" s="93">
        <f t="shared" ca="1" si="2373"/>
        <v>2.2007057220593484E-2</v>
      </c>
      <c r="AV1323" s="132">
        <f t="shared" ca="1" si="2383"/>
        <v>125.81680116870018</v>
      </c>
      <c r="AW1323" s="134">
        <f t="shared" ca="1" si="2384"/>
        <v>2.2007057220593495E-2</v>
      </c>
      <c r="AX1323" s="135">
        <f>+AJ1323/$AL$23</f>
        <v>4.1937881952651013E-3</v>
      </c>
      <c r="AY1323" s="135">
        <f t="shared" ca="1" si="2382"/>
        <v>9.2292936784248606E-5</v>
      </c>
      <c r="AZ1323" s="93"/>
      <c r="BA1323" s="93"/>
      <c r="BB1323" s="234">
        <f>IFERROR(INDEX('Total Customers'!$E$7:$AA$91,MATCH($C1323,'Total Customers'!$C$7:$C$91,0),MATCH($G1323,'Total Customers'!$E$5:$AA$5,0)),"NA")</f>
        <v>189749</v>
      </c>
      <c r="BC1323" s="269">
        <f t="shared" si="2328"/>
        <v>8.6380364876389622E-3</v>
      </c>
      <c r="BD1323" s="92"/>
      <c r="BE1323" s="299" t="str">
        <f t="shared" si="2317"/>
        <v>WISCONSIN POWER AND LIGHT COMPANY</v>
      </c>
      <c r="BF1323" s="300">
        <f t="shared" si="2318"/>
        <v>4008669</v>
      </c>
      <c r="BG1323" s="231" t="str">
        <f t="shared" si="2319"/>
        <v>WI</v>
      </c>
      <c r="BH1323" s="231"/>
      <c r="BI1323" s="231" t="str">
        <f t="shared" si="2320"/>
        <v>2018 Y</v>
      </c>
      <c r="BJ1323" s="129"/>
      <c r="BK1323" s="129"/>
      <c r="BL1323" s="129">
        <f>INDEX('Dist. Plant Gas Additions'!$E$7:$AD$91,MATCH($C1323,'Dist. Plant Gas Additions'!$C$7:$C$91,0),MATCH(Calculation!$G1323,'Dist. Plant Gas Additions'!$E$5:$AD$5,0))</f>
        <v>42753</v>
      </c>
      <c r="BM1323" s="129">
        <f>INDEX('Gen. Plant Additions'!$E$7:$AD$91,MATCH($C1323,'Gen. Plant Additions'!$C$7:$C$91,0),MATCH(Calculation!$G1323,'Gen. Plant Additions'!$E$5:$AD$5,0))</f>
        <v>1505</v>
      </c>
      <c r="BN1323" s="301">
        <f t="shared" si="2346"/>
        <v>0.97989646955711973</v>
      </c>
      <c r="BO1323" s="231">
        <f t="shared" si="2374"/>
        <v>1474.7441866834652</v>
      </c>
      <c r="BP1323" s="231">
        <f t="shared" si="2375"/>
        <v>-30.255813316534841</v>
      </c>
      <c r="BQ1323" s="129">
        <f>INDEX('Dist Plant Depreciation'!$D$7:$AC$94,MATCH($C1323,'Dist Plant Depreciation'!$C$7:$C$94,0),MATCH(Calculation!$G1323,'Dist Plant Depreciation'!$D$5:$AC$5,0))</f>
        <v>243533</v>
      </c>
      <c r="BR1323" s="129">
        <f>INDEX('Gen. Plant Depreciation'!$D$7:$AC$94,MATCH($C1323,'Gen. Plant Depreciation'!$C$7:$C$94,0),MATCH(Calculation!$G1323,'Gen. Plant Depreciation'!$D$5:$AC$5,0))</f>
        <v>3366</v>
      </c>
      <c r="BS1323" s="129"/>
      <c r="BT1323" s="129"/>
      <c r="BU1323" s="129"/>
      <c r="BV1323" s="129"/>
      <c r="BW1323" s="129"/>
      <c r="BX1323" s="137"/>
      <c r="BY1323" s="129">
        <f>INDEX('Gross Dx Plant'!$D$7:$AC$91,MATCH($C1323,'Gross Dx Plant'!$C$7:$C$91,0),MATCH(Calculation!$G1323,'Gross Dx Plant'!$D$5:$AC$5,0))</f>
        <v>608209</v>
      </c>
      <c r="BZ1323" s="129">
        <f>INDEX('Gross Gen Plant'!$D$7:$AC$91,MATCH($C1323,'Gross Gen Plant'!$C$7:$C$91,0),MATCH(Calculation!$G1323,'Gross Gen Plant'!$D$5:$AC$5,0))</f>
        <v>12478</v>
      </c>
      <c r="CA1323" s="129">
        <f t="shared" si="2294"/>
        <v>373788</v>
      </c>
      <c r="CB1323" s="129"/>
      <c r="CC1323" s="133">
        <v>2018</v>
      </c>
      <c r="CD1323" s="129"/>
      <c r="CE1323" s="129"/>
      <c r="CF1323" s="129"/>
      <c r="CG1323" s="137"/>
      <c r="CH1323" s="129">
        <f t="shared" si="2348"/>
        <v>44258</v>
      </c>
      <c r="CI1323" s="46">
        <f t="shared" si="2357"/>
        <v>44227.744186683463</v>
      </c>
      <c r="CJ1323" s="231">
        <f t="shared" si="2349"/>
        <v>58.569187998277535</v>
      </c>
      <c r="CK1323" s="443">
        <v>0.75609756097560976</v>
      </c>
      <c r="CL1323" s="231">
        <f>+CL1303*CK1323++CJ1304*CK1322+CJ1305*CK1321+CJ1306*CK1320+CJ1307*CK1319+CJ1308*CK1318+CJ1309*CK1317+CJ1310*CK1316+CJ1311*CK1315+CJ1312*CK1314+CJ1313*CK1313+CJ1314*CK1312+CJ1315*CK1311+CJ1316*CK1310+CJ1317*CK1309+CJ1318*CK1308+CJ1319*CK1307+CJ1320*CK1306+CJ1321*CK1305+CJ1322*CK1304+CJ1323</f>
        <v>1208.2074576126613</v>
      </c>
      <c r="CM1323" s="134">
        <f t="shared" si="2350"/>
        <v>3.3784106728669286E-2</v>
      </c>
      <c r="CN1323" s="135">
        <f t="shared" si="2351"/>
        <v>1.5780531534148809E-2</v>
      </c>
      <c r="CO1323" s="135">
        <f t="shared" si="2360"/>
        <v>1.5527158784249933E-2</v>
      </c>
      <c r="CP1323" s="134">
        <f>VLOOKUP($H1323,RoR!$E:$F,2,FALSE)</f>
        <v>3.9299999999999995E-2</v>
      </c>
      <c r="CQ1323" s="135">
        <v>2.386056741932796E-2</v>
      </c>
      <c r="CR1323" s="135">
        <f t="shared" si="2358"/>
        <v>1.5439432580672034E-2</v>
      </c>
      <c r="CS1323" s="135">
        <f t="shared" si="2361"/>
        <v>1.5374782824283692E-2</v>
      </c>
      <c r="CT1323" s="135">
        <v>3.8270792163076606E-2</v>
      </c>
      <c r="CU1323" s="139">
        <f t="shared" si="2352"/>
        <v>0.90330050000000006</v>
      </c>
      <c r="CV1323" s="335">
        <f t="shared" si="2353"/>
        <v>1.3048868010700074</v>
      </c>
      <c r="CW1323" s="335">
        <f t="shared" si="2354"/>
        <v>0.33886768447837151</v>
      </c>
      <c r="CX1323" s="335">
        <f t="shared" si="2355"/>
        <v>0.78602506232557801</v>
      </c>
      <c r="CY1323" s="335">
        <f t="shared" si="2356"/>
        <v>0.34756768162358759</v>
      </c>
      <c r="CZ1323" s="336">
        <f>INDEX('State Tax Lookup'!$D$7:$Z$91,MATCH(Calculation!$C1323,'State Tax Lookup'!$B$7:$B$91,0),MATCH($H1323,'State Tax Lookup'!$D$6:$Z$6,0))</f>
        <v>0.26134999999999997</v>
      </c>
      <c r="DA1323" s="302">
        <v>0.37</v>
      </c>
      <c r="DB1323" s="57">
        <f t="shared" si="2359"/>
        <v>14.15122950554472</v>
      </c>
      <c r="DC1323" s="56">
        <f t="shared" si="2362"/>
        <v>3.9485948269261384E-2</v>
      </c>
      <c r="DD1323" s="303">
        <f>VLOOKUP($H1323,RoR!$E:$F,2,FALSE)</f>
        <v>3.9299999999999995E-2</v>
      </c>
      <c r="DE1323" s="304">
        <f>HLOOKUP($H1323,'GDP-PI'!$D$8:$CQ$11,3,FALSE)</f>
        <v>2.386056741932796E-2</v>
      </c>
      <c r="DF1323" s="303">
        <f>VLOOKUP(H1323,'HW Dx Data'!$E:$F,2,FALSE)</f>
        <v>755.13671434174842</v>
      </c>
      <c r="DG1323" s="364">
        <f ca="1">VLOOKUP(CC1323,'ECI - Input Price'!M$13:N$33,2,FALSE)</f>
        <v>144.44999999999999</v>
      </c>
      <c r="DH1323" s="364"/>
      <c r="DI1323" s="364"/>
      <c r="DJ1323" s="56">
        <f t="shared" ca="1" si="2370"/>
        <v>2.80818733619915E-2</v>
      </c>
      <c r="DK1323" s="53">
        <f>HLOOKUP(H1323,'GDP-PI'!$8:$9,2,FALSE)</f>
        <v>110.322</v>
      </c>
      <c r="DL1323" s="355">
        <f t="shared" si="2363"/>
        <v>2.3580352716508712E-2</v>
      </c>
    </row>
    <row r="1324" spans="1:116" s="126" customFormat="1" ht="21" customHeight="1" x14ac:dyDescent="0.4">
      <c r="A1324" s="233" t="s">
        <v>259</v>
      </c>
      <c r="B1324" s="126" t="s">
        <v>259</v>
      </c>
      <c r="C1324" s="126">
        <v>4008669</v>
      </c>
      <c r="D1324" s="127" t="s">
        <v>214</v>
      </c>
      <c r="E1324" s="127"/>
      <c r="F1324" s="144"/>
      <c r="G1324" s="126" t="s">
        <v>175</v>
      </c>
      <c r="H1324" s="128">
        <v>2019</v>
      </c>
      <c r="I1324" s="129"/>
      <c r="J1324" s="125">
        <f>IFERROR(INDEX('Labor Expenditures'!$E$7:$W$91,MATCH($C1324,'Labor Expenditures'!$C$7:$C$91,0),MATCH($G1324,'Labor Expenditures'!$E$5:$W$5,0)),"NA")</f>
        <v>12354.321258063899</v>
      </c>
      <c r="K1324" s="125">
        <f t="shared" ca="1" si="2364"/>
        <v>82.540980511534315</v>
      </c>
      <c r="L1324" s="47"/>
      <c r="M1324" s="131">
        <f t="shared" ca="1" si="2371"/>
        <v>-3.1986459683036206E-2</v>
      </c>
      <c r="N1324" s="131"/>
      <c r="O1324" s="131"/>
      <c r="P1324" s="59">
        <f t="shared" ca="1" si="2376"/>
        <v>-1.3321026048599574E-4</v>
      </c>
      <c r="Q1324" s="61"/>
      <c r="R1324" s="387"/>
      <c r="S1324" s="49">
        <f t="shared" ca="1" si="2381"/>
        <v>118.23765867057456</v>
      </c>
      <c r="T1324" s="61">
        <f ca="1">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+P2624+P2649</f>
        <v>-8.8604917712254219E-3</v>
      </c>
      <c r="U1324" s="61"/>
      <c r="V1324" s="125">
        <f>IFERROR(INDEX('Non-Labor Expenditures'!$E$7:$AA$91,MATCH($C1324,'Non-Labor Expenditures'!$C$7:$C$91,0),MATCH($G1324,'Non-Labor Expenditures'!$E$5:$AA$5,0)),"NA")</f>
        <v>17891.364650596435</v>
      </c>
      <c r="W1324" s="125">
        <f t="shared" si="2365"/>
        <v>159.29205159098663</v>
      </c>
      <c r="X1324" s="131">
        <f t="shared" si="2377"/>
        <v>-1.4384381235266105E-2</v>
      </c>
      <c r="Y1324" s="131">
        <f t="shared" si="2378"/>
        <v>-5.9904946976544653E-5</v>
      </c>
      <c r="Z1324" s="131"/>
      <c r="AA1324" s="131"/>
      <c r="AB1324" s="131"/>
      <c r="AC1324" s="125">
        <f t="shared" si="2347"/>
        <v>17201.875826015319</v>
      </c>
      <c r="AD1324" s="129"/>
      <c r="AE1324" s="133">
        <v>1357.501293101031</v>
      </c>
      <c r="AF1324" s="134">
        <v>3.3714385963683494E-2</v>
      </c>
      <c r="AG1324" s="59">
        <f t="shared" si="2366"/>
        <v>1.4040635258954592E-4</v>
      </c>
      <c r="AH1324" s="134"/>
      <c r="AI1324" s="134"/>
      <c r="AJ1324" s="129">
        <f t="shared" si="2372"/>
        <v>47447.561734675655</v>
      </c>
      <c r="AK1324" s="134">
        <f t="shared" si="2379"/>
        <v>1.6560981336077411E-2</v>
      </c>
      <c r="AL1324" s="129"/>
      <c r="AM1324" s="129"/>
      <c r="AN1324" s="129"/>
      <c r="AO1324" s="129"/>
      <c r="AP1324" s="133">
        <f t="shared" si="2380"/>
        <v>247.49395830556071</v>
      </c>
      <c r="AQ1324" s="134">
        <f>+BB1324/Outputs!$B$27</f>
        <v>5.0898771706588989E-3</v>
      </c>
      <c r="AR1324" s="93">
        <f t="shared" si="2367"/>
        <v>0.26037842212311424</v>
      </c>
      <c r="AS1324" s="93">
        <f t="shared" si="2368"/>
        <v>0.37707658721525111</v>
      </c>
      <c r="AT1324" s="93">
        <f t="shared" si="2369"/>
        <v>0.36254499066163465</v>
      </c>
      <c r="AU1324" s="93">
        <f t="shared" ca="1" si="2373"/>
        <v>-1.7604575761437577E-3</v>
      </c>
      <c r="AV1324" s="132">
        <f t="shared" ca="1" si="2383"/>
        <v>125.59550087991624</v>
      </c>
      <c r="AW1324" s="134">
        <f t="shared" ca="1" si="2384"/>
        <v>-1.7604575761438121E-3</v>
      </c>
      <c r="AX1324" s="135">
        <f>+AJ1324/$AL$24</f>
        <v>4.1645828205439965E-3</v>
      </c>
      <c r="AY1324" s="135">
        <f t="shared" ca="1" si="2382"/>
        <v>-7.3315713779050446E-6</v>
      </c>
      <c r="AZ1324" s="93"/>
      <c r="BA1324" s="93"/>
      <c r="BB1324" s="234">
        <f>IFERROR(INDEX('Total Customers'!$E$7:$AA$91,MATCH($C1324,'Total Customers'!$C$7:$C$91,0),MATCH($G1324,'Total Customers'!$E$5:$AA$5,0)),"NA")</f>
        <v>191712</v>
      </c>
      <c r="BC1324" s="269">
        <f t="shared" si="2328"/>
        <v>1.0292099731888655E-2</v>
      </c>
      <c r="BD1324" s="92"/>
      <c r="BE1324" s="299" t="str">
        <f t="shared" si="2317"/>
        <v>WISCONSIN POWER AND LIGHT COMPANY</v>
      </c>
      <c r="BF1324" s="300">
        <f t="shared" si="2318"/>
        <v>4008669</v>
      </c>
      <c r="BG1324" s="231" t="str">
        <f t="shared" si="2319"/>
        <v>WI</v>
      </c>
      <c r="BH1324" s="231"/>
      <c r="BI1324" s="231" t="str">
        <f t="shared" si="2320"/>
        <v>2019 Y</v>
      </c>
      <c r="BJ1324" s="129"/>
      <c r="BK1324" s="129"/>
      <c r="BL1324" s="129">
        <f>INDEX('Dist. Plant Gas Additions'!$E$7:$AD$91,MATCH($C1324,'Dist. Plant Gas Additions'!$C$7:$C$91,0),MATCH(Calculation!$G1324,'Dist. Plant Gas Additions'!$E$5:$AD$5,0))</f>
        <v>40681</v>
      </c>
      <c r="BM1324" s="129">
        <f>INDEX('Gen. Plant Additions'!$E$7:$AD$91,MATCH($C1324,'Gen. Plant Additions'!$C$7:$C$91,0),MATCH(Calculation!$G1324,'Gen. Plant Additions'!$E$5:$AD$5,0))</f>
        <v>3313</v>
      </c>
      <c r="BN1324" s="301">
        <f t="shared" si="2346"/>
        <v>0.97624976436750155</v>
      </c>
      <c r="BO1324" s="231">
        <f t="shared" si="2374"/>
        <v>3234.3154693495326</v>
      </c>
      <c r="BP1324" s="231">
        <f t="shared" si="2375"/>
        <v>-78.684530650467423</v>
      </c>
      <c r="BQ1324" s="129">
        <f>INDEX('Dist Plant Depreciation'!$D$7:$AC$94,MATCH($C1324,'Dist Plant Depreciation'!$C$7:$C$94,0),MATCH(Calculation!$G1324,'Dist Plant Depreciation'!$D$5:$AC$5,0))</f>
        <v>250414</v>
      </c>
      <c r="BR1324" s="129">
        <f>INDEX('Gen. Plant Depreciation'!$D$7:$AC$94,MATCH($C1324,'Gen. Plant Depreciation'!$C$7:$C$94,0),MATCH(Calculation!$G1324,'Gen. Plant Depreciation'!$D$5:$AC$5,0))</f>
        <v>4349</v>
      </c>
      <c r="BS1324" s="129"/>
      <c r="BT1324" s="129"/>
      <c r="BU1324" s="129"/>
      <c r="BV1324" s="129"/>
      <c r="BW1324" s="129"/>
      <c r="BX1324" s="137"/>
      <c r="BY1324" s="129">
        <f>INDEX('Gross Dx Plant'!$D$7:$AC$91,MATCH($C1324,'Gross Dx Plant'!$C$7:$C$91,0),MATCH(Calculation!$G1324,'Gross Dx Plant'!$D$5:$AC$5,0))</f>
        <v>642181</v>
      </c>
      <c r="BZ1324" s="129">
        <f>INDEX('Gross Gen Plant'!$D$7:$AC$91,MATCH($C1324,'Gross Gen Plant'!$C$7:$C$91,0),MATCH(Calculation!$G1324,'Gross Gen Plant'!$D$5:$AC$5,0))</f>
        <v>15623</v>
      </c>
      <c r="CA1324" s="129">
        <f t="shared" si="2294"/>
        <v>403041</v>
      </c>
      <c r="CB1324" s="129"/>
      <c r="CC1324" s="133">
        <v>2019</v>
      </c>
      <c r="CD1324" s="129"/>
      <c r="CE1324" s="129"/>
      <c r="CF1324" s="129"/>
      <c r="CG1324" s="137"/>
      <c r="CH1324" s="129">
        <f t="shared" si="2348"/>
        <v>43994</v>
      </c>
      <c r="CI1324" s="46">
        <f t="shared" si="2357"/>
        <v>43915.315469349531</v>
      </c>
      <c r="CJ1324" s="231">
        <f t="shared" si="2349"/>
        <v>56.771925597489989</v>
      </c>
      <c r="CK1324" s="443">
        <v>0.7407407407407407</v>
      </c>
      <c r="CL1324" s="231">
        <f>CL1303*CK1324+CJ1304*CK1323+CJ1305*CK1322+CJ1306*CK1321+CJ1307*CK1320+CJ1308*CK1319+CJ1309*CK1318+CJ1310*CK1317+CJ1311*CK1316+CJ1312*CK1315+CJ1313*CK1314+CJ1314*CK1313+CJ1315*CK1312+CJ1316*CK1311+CJ1317*CK1310+CJ1318*CK1309+CJ1319*CK1308+CJ1320*CK1307+CJ1321*CK1306+CJ1322*CK1305+CJ1323*CK1304+CJ1324</f>
        <v>1245.5346650280744</v>
      </c>
      <c r="CM1324" s="134">
        <f t="shared" si="2350"/>
        <v>3.0427066349302822E-2</v>
      </c>
      <c r="CN1324" s="135">
        <f t="shared" si="2351"/>
        <v>1.6093857110018477E-2</v>
      </c>
      <c r="CO1324" s="135">
        <f t="shared" si="2360"/>
        <v>1.5788555273141117E-2</v>
      </c>
      <c r="CP1324" s="134">
        <f>VLOOKUP($H1324,RoR!$E:$F,2,FALSE)</f>
        <v>3.3875000000000009E-2</v>
      </c>
      <c r="CQ1324" s="135">
        <v>1.8092492884465461E-2</v>
      </c>
      <c r="CR1324" s="135">
        <f t="shared" si="2358"/>
        <v>1.5782507115534548E-2</v>
      </c>
      <c r="CS1324" s="135">
        <f t="shared" si="2361"/>
        <v>1.5113386335392508E-2</v>
      </c>
      <c r="CT1324" s="135">
        <v>4.8445665544254078E-2</v>
      </c>
      <c r="CU1324" s="139">
        <f t="shared" si="2352"/>
        <v>0.90330050000000006</v>
      </c>
      <c r="CV1324" s="335">
        <f t="shared" si="2353"/>
        <v>1.513861292459078</v>
      </c>
      <c r="CW1324" s="335">
        <f t="shared" si="2354"/>
        <v>0.23699261992619944</v>
      </c>
      <c r="CX1324" s="335">
        <f t="shared" si="2355"/>
        <v>0.73619765810468829</v>
      </c>
      <c r="CY1324" s="335">
        <f t="shared" si="2356"/>
        <v>0.26412854465362851</v>
      </c>
      <c r="CZ1324" s="336">
        <f>INDEX('State Tax Lookup'!$D$7:$Z$91,MATCH(Calculation!$C1324,'State Tax Lookup'!$B$7:$B$91,0),MATCH($H1324,'State Tax Lookup'!$D$6:$Z$6,0))</f>
        <v>0.26134999999999997</v>
      </c>
      <c r="DA1324" s="302">
        <v>0.37</v>
      </c>
      <c r="DB1324" s="57">
        <f t="shared" si="2359"/>
        <v>14.237518331500038</v>
      </c>
      <c r="DC1324" s="56">
        <f t="shared" si="2362"/>
        <v>6.0791051572850283E-3</v>
      </c>
      <c r="DD1324" s="303">
        <f>VLOOKUP($H1324,RoR!$E:$F,2,FALSE)</f>
        <v>3.3875000000000009E-2</v>
      </c>
      <c r="DE1324" s="304">
        <f>HLOOKUP($H1324,'GDP-PI'!$D$8:$CQ$11,3,FALSE)</f>
        <v>1.8092492884465461E-2</v>
      </c>
      <c r="DF1324" s="303">
        <f>VLOOKUP(H1324,'HW Dx Data'!$E:$F,2,FALSE)</f>
        <v>773.53929793938721</v>
      </c>
      <c r="DG1324" s="364">
        <f ca="1">VLOOKUP(CC1324,'ECI - Input Price'!M$13:N$33,2,FALSE)</f>
        <v>149.67500000000001</v>
      </c>
      <c r="DH1324" s="364"/>
      <c r="DI1324" s="364"/>
      <c r="DJ1324" s="56">
        <f t="shared" ca="1" si="2370"/>
        <v>3.5532849899171604E-2</v>
      </c>
      <c r="DK1324" s="53">
        <f>HLOOKUP(H1324,'GDP-PI'!$8:$9,2,FALSE)</f>
        <v>112.318</v>
      </c>
      <c r="DL1324" s="355">
        <f t="shared" si="2363"/>
        <v>1.7930771451401852E-2</v>
      </c>
    </row>
    <row r="1325" spans="1:116" s="126" customFormat="1" ht="21" customHeight="1" x14ac:dyDescent="0.4">
      <c r="A1325" s="233" t="s">
        <v>259</v>
      </c>
      <c r="B1325" s="126" t="s">
        <v>259</v>
      </c>
      <c r="C1325" s="126">
        <v>4008669</v>
      </c>
      <c r="D1325" s="126" t="s">
        <v>214</v>
      </c>
      <c r="G1325" s="127" t="s">
        <v>176</v>
      </c>
      <c r="H1325" s="128">
        <v>2020</v>
      </c>
      <c r="I1325" s="129"/>
      <c r="J1325" s="125">
        <f>IFERROR(INDEX('Labor Expenditures'!$E$7:$W$91,MATCH($C1325,'Labor Expenditures'!$C$7:$C$91,0),MATCH($G1325,'Labor Expenditures'!$E$5:$W$5,0)),"NA")</f>
        <v>11908.289974921527</v>
      </c>
      <c r="K1325" s="125">
        <f t="shared" ca="1" si="2364"/>
        <v>77.755729513036414</v>
      </c>
      <c r="L1325" s="47"/>
      <c r="M1325" s="131">
        <f t="shared" ca="1" si="2371"/>
        <v>-5.9722663652288753E-2</v>
      </c>
      <c r="N1325" s="131"/>
      <c r="O1325" s="131"/>
      <c r="P1325" s="59">
        <f t="shared" ca="1" si="2376"/>
        <v>-2.4406818056795881E-4</v>
      </c>
      <c r="Q1325" s="61"/>
      <c r="R1325" s="387"/>
      <c r="S1325" s="49">
        <f t="shared" ca="1" si="2381"/>
        <v>118.17652483852879</v>
      </c>
      <c r="T1325" s="61">
        <f ca="1">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+P2625+P2650</f>
        <v>-5.1717568295597404E-4</v>
      </c>
      <c r="U1325" s="61"/>
      <c r="V1325" s="125">
        <f>IFERROR(INDEX('Non-Labor Expenditures'!$E$7:$AA$91,MATCH($C1325,'Non-Labor Expenditures'!$C$7:$C$91,0),MATCH($G1325,'Non-Labor Expenditures'!$E$5:$AA$5,0)),"NA")</f>
        <v>17245.428045453933</v>
      </c>
      <c r="W1325" s="125">
        <f t="shared" si="2365"/>
        <v>151.77761584761828</v>
      </c>
      <c r="X1325" s="131">
        <f t="shared" si="2377"/>
        <v>-4.8322923916313452E-2</v>
      </c>
      <c r="Y1325" s="131">
        <f t="shared" si="2378"/>
        <v>-1.9748094607174377E-4</v>
      </c>
      <c r="Z1325" s="131"/>
      <c r="AA1325" s="131"/>
      <c r="AB1325" s="131"/>
      <c r="AC1325" s="125">
        <f t="shared" si="2347"/>
        <v>18260.483052451331</v>
      </c>
      <c r="AD1325" s="129"/>
      <c r="AE1325" s="133">
        <v>1426.2808640604492</v>
      </c>
      <c r="AF1325" s="134">
        <v>4.9424536581221153E-2</v>
      </c>
      <c r="AG1325" s="59">
        <f t="shared" si="2366"/>
        <v>2.0198289863668665E-4</v>
      </c>
      <c r="AH1325" s="134"/>
      <c r="AI1325" s="134"/>
      <c r="AJ1325" s="129">
        <f t="shared" si="2372"/>
        <v>47414.201072826792</v>
      </c>
      <c r="AK1325" s="134">
        <f t="shared" si="2379"/>
        <v>-7.0335322129466183E-4</v>
      </c>
      <c r="AL1325" s="129"/>
      <c r="AM1325" s="129"/>
      <c r="AN1325" s="129"/>
      <c r="AO1325" s="129"/>
      <c r="AP1325" s="133">
        <f t="shared" si="2380"/>
        <v>244.20295259466104</v>
      </c>
      <c r="AQ1325" s="134">
        <f>+BB1325/Outputs!$B$28</f>
        <v>5.1184427621838663E-3</v>
      </c>
      <c r="AR1325" s="93">
        <f t="shared" si="2367"/>
        <v>0.25115450024415154</v>
      </c>
      <c r="AS1325" s="93">
        <f t="shared" si="2368"/>
        <v>0.363718625543547</v>
      </c>
      <c r="AT1325" s="93">
        <f t="shared" si="2369"/>
        <v>0.38512687421230141</v>
      </c>
      <c r="AU1325" s="93">
        <f t="shared" ca="1" si="2373"/>
        <v>-1.4697081968556746E-2</v>
      </c>
      <c r="AV1325" s="132">
        <f t="shared" ca="1" si="2383"/>
        <v>123.76311187781073</v>
      </c>
      <c r="AW1325" s="134">
        <f t="shared" ca="1" si="2384"/>
        <v>-1.4697081968556696E-2</v>
      </c>
      <c r="AX1325" s="135">
        <f>+AJ1325/$AL$25</f>
        <v>4.0866928171346788E-3</v>
      </c>
      <c r="AY1325" s="135">
        <f t="shared" ca="1" si="2382"/>
        <v>-6.0062459313740256E-5</v>
      </c>
      <c r="AZ1325" s="93"/>
      <c r="BA1325" s="93"/>
      <c r="BB1325" s="234">
        <f>IFERROR(INDEX('Total Customers'!$E$7:$AA$91,MATCH($C1325,'Total Customers'!$C$7:$C$91,0),MATCH($G1325,'Total Customers'!$E$5:$AA$5,0)),"NA")</f>
        <v>194159</v>
      </c>
      <c r="BC1325" s="269">
        <f t="shared" si="2328"/>
        <v>1.2683165112138458E-2</v>
      </c>
      <c r="BD1325" s="92"/>
      <c r="BE1325" s="299" t="str">
        <f t="shared" si="2317"/>
        <v>WISCONSIN POWER AND LIGHT COMPANY</v>
      </c>
      <c r="BF1325" s="300">
        <f t="shared" si="2318"/>
        <v>4008669</v>
      </c>
      <c r="BG1325" s="231" t="str">
        <f t="shared" si="2319"/>
        <v>WI</v>
      </c>
      <c r="BH1325" s="231"/>
      <c r="BI1325" s="231" t="str">
        <f t="shared" si="2320"/>
        <v>2020 Y</v>
      </c>
      <c r="BJ1325" s="129"/>
      <c r="BK1325" s="129"/>
      <c r="BL1325" s="129">
        <f>INDEX('Dist. Plant Gas Additions'!$E$7:$AD$91,MATCH($C1325,'Dist. Plant Gas Additions'!$C$7:$C$91,0),MATCH(Calculation!$G1325,'Dist. Plant Gas Additions'!$E$5:$AD$5,0))</f>
        <v>63947</v>
      </c>
      <c r="BM1325" s="129">
        <f>INDEX('Gen. Plant Additions'!$E$7:$AD$91,MATCH($C1325,'Gen. Plant Additions'!$C$7:$C$91,0),MATCH(Calculation!$G1325,'Gen. Plant Additions'!$E$5:$AD$5,0))</f>
        <v>2244</v>
      </c>
      <c r="BN1325" s="301">
        <f t="shared" si="2346"/>
        <v>0.9756008439184809</v>
      </c>
      <c r="BO1325" s="231">
        <f t="shared" si="2374"/>
        <v>2189.2482937530713</v>
      </c>
      <c r="BP1325" s="231">
        <f t="shared" si="2375"/>
        <v>-54.751706246928734</v>
      </c>
      <c r="BQ1325" s="129">
        <f>INDEX('Dist Plant Depreciation'!$D$7:$AC$94,MATCH($C1325,'Dist Plant Depreciation'!$C$7:$C$94,0),MATCH(Calculation!$G1325,'Dist Plant Depreciation'!$D$5:$AC$5,0))</f>
        <v>256143</v>
      </c>
      <c r="BR1325" s="129">
        <f>INDEX('Gen. Plant Depreciation'!$D$7:$AC$94,MATCH($C1325,'Gen. Plant Depreciation'!$C$7:$C$94,0),MATCH(Calculation!$G1325,'Gen. Plant Depreciation'!$D$5:$AC$5,0))</f>
        <v>4931</v>
      </c>
      <c r="BS1325" s="129"/>
      <c r="BT1325" s="129"/>
      <c r="BU1325" s="129"/>
      <c r="BV1325" s="129"/>
      <c r="BW1325" s="129"/>
      <c r="BX1325" s="137"/>
      <c r="BY1325" s="129">
        <f>INDEX('Gross Dx Plant'!$D$7:$AC$91,MATCH($C1325,'Gross Dx Plant'!$C$7:$C$91,0),MATCH(Calculation!$G1325,'Gross Dx Plant'!$D$5:$AC$5,0))</f>
        <v>696859</v>
      </c>
      <c r="BZ1325" s="129">
        <f>INDEX('Gross Gen Plant'!$D$7:$AC$91,MATCH($C1325,'Gross Gen Plant'!$C$7:$C$91,0),MATCH(Calculation!$G1325,'Gross Gen Plant'!$D$5:$AC$5,0))</f>
        <v>17428</v>
      </c>
      <c r="CA1325" s="129">
        <f t="shared" si="2294"/>
        <v>453213</v>
      </c>
      <c r="CB1325" s="129"/>
      <c r="CC1325" s="133">
        <v>2020</v>
      </c>
      <c r="CD1325" s="129"/>
      <c r="CE1325" s="129"/>
      <c r="CF1325" s="129"/>
      <c r="CG1325" s="137"/>
      <c r="CH1325" s="129">
        <f t="shared" si="2348"/>
        <v>66191</v>
      </c>
      <c r="CI1325" s="46">
        <f t="shared" si="2357"/>
        <v>66136.248293753073</v>
      </c>
      <c r="CJ1325" s="231">
        <f t="shared" si="2349"/>
        <v>81.340378658053424</v>
      </c>
      <c r="CK1325" s="443">
        <v>0.72499999999999998</v>
      </c>
      <c r="CL1325" s="231">
        <f>CL1303*CK1325+CJ1304*CK1324+CJ1305*CK1323+CJ1306*CK1322+CJ1307*CK1321+CJ1308*CK1320+CJ1309*CK1319+CJ1310*CK1318+CJ1311*CK1317+CJ1312*CK1316+CJ1313*CK1315+CJ1314*CK1314+CJ1315*CK1313+CJ1316*CK1312+CJ1317*CK1311+CJ1318*CK1310+CJ1319*CK1309+CJ1320*CK1308+CJ1321*CK1307+CJ1322*CK1306+CJ1323*CK1305+CJ1324*CK1304+CJ1325</f>
        <v>1306.4091401822429</v>
      </c>
      <c r="CM1325" s="134">
        <f t="shared" si="2350"/>
        <v>4.7717371563688958E-2</v>
      </c>
      <c r="CN1325" s="135">
        <f t="shared" si="2351"/>
        <v>1.6431420239454837E-2</v>
      </c>
      <c r="CO1325" s="135">
        <f t="shared" si="2360"/>
        <v>1.6101936294540709E-2</v>
      </c>
      <c r="CP1325" s="134">
        <f>VLOOKUP($H1325,RoR!$E:$F,2,FALSE)</f>
        <v>2.4766666666666666E-2</v>
      </c>
      <c r="CQ1325" s="135">
        <v>1.1618796630994188E-2</v>
      </c>
      <c r="CR1325" s="135">
        <f t="shared" si="2358"/>
        <v>1.3147870035672478E-2</v>
      </c>
      <c r="CS1325" s="135">
        <f t="shared" si="2361"/>
        <v>1.4800005313992916E-2</v>
      </c>
      <c r="CT1325" s="135">
        <v>4.5144642961987357E-2</v>
      </c>
      <c r="CU1325" s="139">
        <f t="shared" si="2352"/>
        <v>0.90330050000000006</v>
      </c>
      <c r="CV1325" s="335">
        <f t="shared" si="2353"/>
        <v>2.0706077233668081</v>
      </c>
      <c r="CW1325" s="335">
        <f t="shared" si="2354"/>
        <v>-3.4421265141318998E-2</v>
      </c>
      <c r="CX1325" s="335">
        <f t="shared" si="2355"/>
        <v>0.62416226176410472</v>
      </c>
      <c r="CY1325" s="335">
        <f t="shared" si="2356"/>
        <v>-4.4485877841158712E-2</v>
      </c>
      <c r="CZ1325" s="336">
        <f>INDEX('State Tax Lookup'!$D$7:$Z$91,MATCH(Calculation!$C1325,'State Tax Lookup'!$B$7:$B$91,0),MATCH($H1325,'State Tax Lookup'!$D$6:$Z$6,0))</f>
        <v>0.26134999999999997</v>
      </c>
      <c r="DA1325" s="302">
        <v>0.37</v>
      </c>
      <c r="DB1325" s="57">
        <f t="shared" si="2359"/>
        <v>14.660758600435852</v>
      </c>
      <c r="DC1325" s="56">
        <f t="shared" si="2362"/>
        <v>2.9293825074781149E-2</v>
      </c>
      <c r="DD1325" s="303">
        <f>VLOOKUP($H1325,RoR!$E:$F,2,FALSE)</f>
        <v>2.4766666666666666E-2</v>
      </c>
      <c r="DE1325" s="304">
        <f>HLOOKUP($H1325,'GDP-PI'!$D$8:$CQ$11,3,FALSE)</f>
        <v>1.1618796630994188E-2</v>
      </c>
      <c r="DF1325" s="303">
        <f>VLOOKUP(H1325,'HW Dx Data'!$E:$F,2,FALSE)</f>
        <v>813.080162458833</v>
      </c>
      <c r="DG1325" s="364">
        <f ca="1">VLOOKUP(CC1325,'ECI - Input Price'!M$13:N$33,2,FALSE)</f>
        <v>153.15</v>
      </c>
      <c r="DH1325" s="364"/>
      <c r="DI1325" s="364"/>
      <c r="DJ1325" s="56">
        <f t="shared" ca="1" si="2370"/>
        <v>2.2951556467368479E-2</v>
      </c>
      <c r="DK1325" s="53">
        <f>HLOOKUP(H1325,'GDP-PI'!$8:$9,2,FALSE)</f>
        <v>113.623</v>
      </c>
      <c r="DL1325" s="355">
        <f t="shared" si="2363"/>
        <v>1.1551816731392881E-2</v>
      </c>
    </row>
    <row r="1326" spans="1:116" s="126" customFormat="1" ht="21" customHeight="1" x14ac:dyDescent="0.4">
      <c r="A1326" s="233" t="s">
        <v>259</v>
      </c>
      <c r="B1326" s="126" t="s">
        <v>259</v>
      </c>
      <c r="C1326" s="126">
        <v>4008669</v>
      </c>
      <c r="D1326" s="126" t="s">
        <v>214</v>
      </c>
      <c r="G1326" s="127" t="s">
        <v>177</v>
      </c>
      <c r="H1326" s="128">
        <v>2021</v>
      </c>
      <c r="I1326" s="129"/>
      <c r="J1326" s="125">
        <v>37083.103177765493</v>
      </c>
      <c r="K1326" s="125">
        <f t="shared" ca="1" si="2364"/>
        <v>235.82259572505879</v>
      </c>
      <c r="L1326" s="47"/>
      <c r="M1326" s="130">
        <f t="shared" ca="1" si="2371"/>
        <v>1.1095075694880299</v>
      </c>
      <c r="N1326" s="130"/>
      <c r="O1326" s="130"/>
      <c r="P1326" s="59">
        <f t="shared" ca="1" si="2376"/>
        <v>7.0207857783014856E-3</v>
      </c>
      <c r="Q1326" s="61"/>
      <c r="R1326" s="387"/>
      <c r="S1326" s="132">
        <f ca="1">+S1325*EXP(T1326)</f>
        <v>119.15962759423896</v>
      </c>
      <c r="T1326" s="134">
        <f ca="1">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+P2626+P2651</f>
        <v>8.2845227617189595E-3</v>
      </c>
      <c r="U1326" s="134"/>
      <c r="V1326" s="125">
        <v>17123.186362329376</v>
      </c>
      <c r="W1326" s="125">
        <f t="shared" si="2365"/>
        <v>144.51165804987235</v>
      </c>
      <c r="X1326" s="131">
        <f t="shared" si="2377"/>
        <v>-4.905621306019229E-2</v>
      </c>
      <c r="Y1326" s="131">
        <f t="shared" si="2378"/>
        <v>-3.1041984071298521E-4</v>
      </c>
      <c r="Z1326" s="131"/>
      <c r="AA1326" s="131"/>
      <c r="AB1326" s="131"/>
      <c r="AC1326" s="125">
        <f t="shared" si="2347"/>
        <v>27075.916346686794</v>
      </c>
      <c r="AD1326" s="129"/>
      <c r="AE1326" s="133">
        <v>1478.3976897708333</v>
      </c>
      <c r="AF1326" s="134"/>
      <c r="AG1326" s="59">
        <f t="shared" si="2366"/>
        <v>0</v>
      </c>
      <c r="AH1326" s="134"/>
      <c r="AI1326" s="134"/>
      <c r="AJ1326" s="129">
        <f t="shared" si="2372"/>
        <v>81282.205886781667</v>
      </c>
      <c r="AK1326" s="134">
        <f t="shared" si="2379"/>
        <v>0.53900533829474173</v>
      </c>
      <c r="AL1326" s="129"/>
      <c r="AM1326" s="134"/>
      <c r="AN1326" s="134"/>
      <c r="AO1326" s="134"/>
      <c r="AP1326" s="133">
        <f t="shared" si="2380"/>
        <v>414.19372961334301</v>
      </c>
      <c r="AQ1326" s="134">
        <f>+BB1326/Outputs!$B$29</f>
        <v>5.0831632163087356E-3</v>
      </c>
      <c r="AR1326" s="93">
        <f t="shared" si="2367"/>
        <v>0.45622658456659881</v>
      </c>
      <c r="AS1326" s="93">
        <f t="shared" si="2368"/>
        <v>0.21066340628329325</v>
      </c>
      <c r="AT1326" s="93">
        <f t="shared" si="2369"/>
        <v>0.33311000915010791</v>
      </c>
      <c r="AU1326" s="93">
        <f t="shared" ca="1" si="2373"/>
        <v>0.37833383038946894</v>
      </c>
      <c r="AV1326" s="132">
        <f t="shared" ca="1" si="2383"/>
        <v>180.67560411038502</v>
      </c>
      <c r="AW1326" s="134">
        <f t="shared" ca="1" si="2384"/>
        <v>0.37833383038946888</v>
      </c>
      <c r="AX1326" s="135">
        <f>+AJ1326/$AL$26</f>
        <v>6.3278394590323981E-3</v>
      </c>
      <c r="AY1326" s="135">
        <f t="shared" ca="1" si="2382"/>
        <v>2.3940357406253519E-3</v>
      </c>
      <c r="AZ1326" s="93"/>
      <c r="BA1326" s="93"/>
      <c r="BB1326" s="234">
        <f>INDEX('Total Customers'!$D$7:$D$91,MATCH(Calculation!$C1326,'Total Customers'!$C$7:$C$91,0))</f>
        <v>196242</v>
      </c>
      <c r="BC1326" s="269">
        <f t="shared" si="2328"/>
        <v>1.0671180486766794E-2</v>
      </c>
      <c r="BD1326" s="91"/>
      <c r="BE1326" s="299" t="str">
        <f t="shared" si="2317"/>
        <v>WISCONSIN POWER AND LIGHT COMPANY</v>
      </c>
      <c r="BF1326" s="300">
        <f t="shared" si="2318"/>
        <v>4008669</v>
      </c>
      <c r="BG1326" s="231" t="str">
        <f t="shared" si="2319"/>
        <v>WI</v>
      </c>
      <c r="BH1326" s="231"/>
      <c r="BI1326" s="231" t="str">
        <f t="shared" si="2320"/>
        <v>2021 Y</v>
      </c>
      <c r="BJ1326" s="129"/>
      <c r="BK1326" s="129"/>
      <c r="BL1326" s="129">
        <f>INDEX('Dist. Plant Gas Additions'!$D$7:$AD$91,MATCH($C1326,'Dist. Plant Gas Additions'!$C$7:$C$91,0),MATCH(Calculation!$G1326,'Dist. Plant Gas Additions'!$D$5:$AD$5,0))</f>
        <v>44814</v>
      </c>
      <c r="BM1326" s="129">
        <f>INDEX('Gen. Plant Additions'!$D$7:$AD$91,MATCH($C1326,'Gen. Plant Additions'!$C$7:$C$91,0),MATCH(Calculation!$G1326,'Gen. Plant Additions'!$D$5:$AD$5,0))</f>
        <v>2165</v>
      </c>
      <c r="BN1326" s="301">
        <v>1</v>
      </c>
      <c r="BO1326" s="231">
        <f t="shared" si="2374"/>
        <v>2165</v>
      </c>
      <c r="BP1326" s="231">
        <f t="shared" si="2375"/>
        <v>0</v>
      </c>
      <c r="BQ1326" s="129"/>
      <c r="BR1326" s="129"/>
      <c r="BS1326" s="137"/>
      <c r="BT1326" s="137"/>
      <c r="BU1326" s="333"/>
      <c r="BV1326" s="93"/>
      <c r="BW1326" s="334"/>
      <c r="BX1326" s="334"/>
      <c r="BY1326" s="129"/>
      <c r="BZ1326" s="129"/>
      <c r="CA1326" s="129"/>
      <c r="CB1326" s="129"/>
      <c r="CC1326" s="133">
        <v>2021</v>
      </c>
      <c r="CD1326" s="129"/>
      <c r="CE1326" s="129"/>
      <c r="CF1326" s="129"/>
      <c r="CG1326" s="137"/>
      <c r="CH1326" s="129">
        <f t="shared" si="2348"/>
        <v>46979</v>
      </c>
      <c r="CI1326" s="46">
        <f t="shared" si="2357"/>
        <v>46979</v>
      </c>
      <c r="CJ1326" s="231">
        <f t="shared" si="2349"/>
        <v>50.351411717771008</v>
      </c>
      <c r="CK1326" s="443">
        <v>0.70886075949367089</v>
      </c>
      <c r="CL1326" s="129">
        <f>CL1303*CK1326+CJ1304*CK1325+CJ1305*CK1324+CJ1306*CK1323+CJ1307*CK1322+CJ1308*CK1321+CJ1309*CK1320+CJ1310*CK1319+CJ1311*CK1318+CJ1312*CK1317+CJ1313*CK1316+CJ1314*CK1315+CJ1315*CK1314+CJ1316*CK1313+CJ1317*CK1312+CJ1308*CK1311+CJ1319*CK1310+CJ1320*CK1309+CJ1321*CK1308+CJ1322*CK1307+CJ1323*CK1306+CJ1324*CK1305+CJ1326+CJ1325*CK1304</f>
        <v>1349.642341556616</v>
      </c>
      <c r="CM1326" s="134"/>
      <c r="CN1326" s="135">
        <f t="shared" si="2351"/>
        <v>5.4486838192244931E-3</v>
      </c>
      <c r="CO1326" s="135">
        <f t="shared" si="2360"/>
        <v>1.2657987056232603E-2</v>
      </c>
      <c r="CP1326" s="134">
        <f>VLOOKUP($H1326,RoR!$E:$F,2,FALSE)</f>
        <v>2.7033333333333336E-2</v>
      </c>
      <c r="CQ1326" s="135"/>
      <c r="CR1326" s="135"/>
      <c r="CS1326" s="135">
        <f t="shared" si="2361"/>
        <v>1.8243954552301024E-2</v>
      </c>
      <c r="CT1326" s="135">
        <v>7.433422950153494E-2</v>
      </c>
      <c r="CU1326" s="139">
        <f t="shared" si="2352"/>
        <v>0.90330050000000006</v>
      </c>
      <c r="CV1326" s="335">
        <f t="shared" si="2353"/>
        <v>1.8969932656739068</v>
      </c>
      <c r="CW1326" s="335">
        <f t="shared" si="2354"/>
        <v>5.0215782983970621E-2</v>
      </c>
      <c r="CX1326" s="335">
        <f t="shared" si="2355"/>
        <v>0.655952481704143</v>
      </c>
      <c r="CY1326" s="335">
        <f t="shared" si="2356"/>
        <v>6.2485378865697057E-2</v>
      </c>
      <c r="CZ1326" s="336">
        <f>CZ1325</f>
        <v>0.26134999999999997</v>
      </c>
      <c r="DA1326" s="302">
        <v>0.37</v>
      </c>
      <c r="DB1326" s="141">
        <f t="shared" si="2359"/>
        <v>20.725449259264771</v>
      </c>
      <c r="DC1326" s="135">
        <f>LN(DB1327/DB1325)</f>
        <v>0.20450305660788118</v>
      </c>
      <c r="DD1326" s="336">
        <f>VLOOKUP($H1326,RoR!$E:$F,2,FALSE)</f>
        <v>2.7033333333333336E-2</v>
      </c>
      <c r="DE1326" s="342">
        <f>HLOOKUP($H1326,'GDP-PI'!$D$8:$CR$11,3,FALSE)</f>
        <v>4.2834637353352578E-2</v>
      </c>
      <c r="DF1326" s="336">
        <f>VLOOKUP(H1326,'HW Dx Data'!$E:$F,2,FALSE)</f>
        <v>933.02249921662576</v>
      </c>
      <c r="DG1326" s="364">
        <f ca="1">VLOOKUP(CC1326,'ECI - Input Price'!M$13:N$33,2,FALSE)</f>
        <v>157.25</v>
      </c>
      <c r="DH1326" s="364"/>
      <c r="DI1326" s="364"/>
      <c r="DJ1326" s="135">
        <f t="shared" ca="1" si="2370"/>
        <v>2.6419062301765574E-2</v>
      </c>
      <c r="DK1326" s="137">
        <f>HLOOKUP(H1326,'GDP-PI'!$8:$9,2,FALSE)</f>
        <v>118.49</v>
      </c>
      <c r="DL1326" s="356">
        <f t="shared" si="2363"/>
        <v>4.194261824609434E-2</v>
      </c>
    </row>
    <row r="1327" spans="1:116" s="126" customFormat="1" ht="21" customHeight="1" thickBot="1" x14ac:dyDescent="0.45">
      <c r="A1327" s="235"/>
      <c r="B1327" s="236"/>
      <c r="C1327" s="236"/>
      <c r="D1327" s="236"/>
      <c r="E1327" s="236"/>
      <c r="F1327" s="236"/>
      <c r="G1327" s="237" t="s">
        <v>178</v>
      </c>
      <c r="H1327" s="238"/>
      <c r="I1327" s="239"/>
      <c r="J1327" s="240">
        <v>38972.728740420534</v>
      </c>
      <c r="K1327" s="240">
        <f t="shared" ca="1" si="2364"/>
        <v>239.75840504718875</v>
      </c>
      <c r="L1327" s="47"/>
      <c r="M1327" s="241">
        <f t="shared" ref="M1327" ca="1" si="2385">LN(K1327/K1326)</f>
        <v>1.6551961378990423E-2</v>
      </c>
      <c r="N1327" s="241"/>
      <c r="O1327" s="241"/>
      <c r="P1327" s="242">
        <f t="shared" ca="1" si="2376"/>
        <v>1.0338328976332887E-4</v>
      </c>
      <c r="Q1327" s="61"/>
      <c r="R1327" s="387"/>
      <c r="S1327" s="206">
        <f ca="1">+S1326*EXP(T1327)</f>
        <v>119.19841928110245</v>
      </c>
      <c r="T1327" s="243">
        <f ca="1">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+P2627+P2652</f>
        <v>3.2549089669514831E-4</v>
      </c>
      <c r="U1327" s="243"/>
      <c r="V1327" s="239">
        <v>16981.330451933762</v>
      </c>
      <c r="W1327" s="240">
        <f t="shared" si="2365"/>
        <v>133.44856936686651</v>
      </c>
      <c r="X1327" s="244">
        <f t="shared" ref="X1327" si="2386">LN(W1327/W1326)</f>
        <v>-7.964402741908691E-2</v>
      </c>
      <c r="Y1327" s="244">
        <f t="shared" si="2378"/>
        <v>-4.9745533934348707E-4</v>
      </c>
      <c r="Z1327" s="206"/>
      <c r="AA1327" s="243"/>
      <c r="AB1327" s="243"/>
      <c r="AC1327" s="240">
        <f t="shared" si="2347"/>
        <v>24276.701955576144</v>
      </c>
      <c r="AD1327" s="243"/>
      <c r="AE1327" s="245">
        <v>1494.3030758425914</v>
      </c>
      <c r="AF1327" s="243">
        <v>1.0701068897625347E-2</v>
      </c>
      <c r="AG1327" s="242">
        <f t="shared" si="2366"/>
        <v>6.6838707588141223E-5</v>
      </c>
      <c r="AH1327" s="206"/>
      <c r="AI1327" s="243"/>
      <c r="AJ1327" s="239">
        <f t="shared" si="2372"/>
        <v>80230.761147930432</v>
      </c>
      <c r="AK1327" s="243">
        <f t="shared" si="2379"/>
        <v>-1.3020126022639611E-2</v>
      </c>
      <c r="AL1327" s="239"/>
      <c r="AM1327" s="243"/>
      <c r="AN1327" s="243"/>
      <c r="AO1327" s="243"/>
      <c r="AP1327" s="245">
        <f t="shared" si="2380"/>
        <v>404.05695496104727</v>
      </c>
      <c r="AQ1327" s="243"/>
      <c r="AR1327" s="207">
        <f t="shared" si="2367"/>
        <v>0.4857579335257976</v>
      </c>
      <c r="AS1327" s="207">
        <f t="shared" si="2368"/>
        <v>0.21165610557555825</v>
      </c>
      <c r="AT1327" s="207">
        <f t="shared" si="2369"/>
        <v>0.30258596089864426</v>
      </c>
      <c r="AU1327" s="207"/>
      <c r="AV1327" s="206"/>
      <c r="AW1327" s="243"/>
      <c r="AX1327" s="249">
        <f>+AJ1327/$AL$26</f>
        <v>6.2459842308812035E-3</v>
      </c>
      <c r="AY1327" s="249"/>
      <c r="AZ1327" s="206"/>
      <c r="BA1327" s="243"/>
      <c r="BB1327" s="250">
        <v>198563</v>
      </c>
      <c r="BC1327" s="270">
        <f t="shared" si="2328"/>
        <v>1.1757838624980192E-2</v>
      </c>
      <c r="BD1327" s="91"/>
      <c r="BE1327" s="306">
        <f t="shared" si="2317"/>
        <v>0</v>
      </c>
      <c r="BF1327" s="307">
        <f t="shared" si="2318"/>
        <v>0</v>
      </c>
      <c r="BG1327" s="308">
        <f t="shared" si="2319"/>
        <v>0</v>
      </c>
      <c r="BH1327" s="308"/>
      <c r="BI1327" s="308" t="str">
        <f t="shared" si="2320"/>
        <v>2022Y</v>
      </c>
      <c r="BJ1327" s="239"/>
      <c r="BK1327" s="239"/>
      <c r="BL1327" s="239"/>
      <c r="BM1327" s="239"/>
      <c r="BN1327" s="309"/>
      <c r="BO1327" s="308">
        <f t="shared" si="2374"/>
        <v>0</v>
      </c>
      <c r="BP1327" s="308">
        <f t="shared" si="2375"/>
        <v>0</v>
      </c>
      <c r="BQ1327" s="239"/>
      <c r="BR1327" s="239"/>
      <c r="BS1327" s="310"/>
      <c r="BT1327" s="310"/>
      <c r="BU1327" s="311"/>
      <c r="BV1327" s="207"/>
      <c r="BW1327" s="312"/>
      <c r="BX1327" s="312"/>
      <c r="BY1327" s="239"/>
      <c r="BZ1327" s="239"/>
      <c r="CA1327" s="239"/>
      <c r="CB1327" s="239"/>
      <c r="CC1327" s="245">
        <v>2022</v>
      </c>
      <c r="CD1327" s="239"/>
      <c r="CE1327" s="239"/>
      <c r="CF1327" s="239"/>
      <c r="CG1327" s="310"/>
      <c r="CH1327" s="239">
        <v>40333</v>
      </c>
      <c r="CI1327" s="313">
        <f t="shared" si="2357"/>
        <v>40333</v>
      </c>
      <c r="CJ1327" s="308">
        <f t="shared" si="2349"/>
        <v>39.127482271223606</v>
      </c>
      <c r="CK1327" s="443">
        <v>0.69230769230769229</v>
      </c>
      <c r="CL1327" s="239">
        <f>+CL1303*CK1327+CJ1304*CK1326+CJ1305*CK1325+CJ1306*CK1324+CJ1307*CK1323+CJ1308*CK1322+CJ1309*CK1321+CJ1310*CK1320+CJ1311*CK1319+CJ1312*CK1318+CJ1313*CK1317+CJ1314*CK1316+CJ1315*CK1315+CJ1316*CK1314+CJ1317*CK1313+CJ1318*CK1312+CJ1319*CK1311+CJ1320*CK1310+CJ1321*CK1309+CJ1322*CK1308+CJ1323*CK1307+CJ1324*CK1306+CJ1325*CK1305+CJ1326*CK1304+CJ1327*CK1303</f>
        <v>1351.3525695248813</v>
      </c>
      <c r="CM1327" s="243">
        <f t="shared" ref="CM1327" si="2387">LN(CL1327/CL1326)</f>
        <v>1.2663690626036552E-3</v>
      </c>
      <c r="CN1327" s="249">
        <f t="shared" si="2351"/>
        <v>2.7723829603480635E-2</v>
      </c>
      <c r="CO1327" s="249">
        <f t="shared" si="2360"/>
        <v>1.6534644554053322E-2</v>
      </c>
      <c r="CP1327" s="243"/>
      <c r="CQ1327" s="249"/>
      <c r="CR1327" s="249"/>
      <c r="CS1327" s="248">
        <f t="shared" si="2361"/>
        <v>1.4367297054480303E-2</v>
      </c>
      <c r="CT1327" s="249">
        <v>0.10114668178709289</v>
      </c>
      <c r="CU1327" s="314">
        <f t="shared" si="2352"/>
        <v>0.90330050000000006</v>
      </c>
      <c r="CV1327" s="315">
        <f t="shared" si="2353"/>
        <v>1.2820512820512819</v>
      </c>
      <c r="CW1327" s="315">
        <f t="shared" si="2354"/>
        <v>0.35000000000000003</v>
      </c>
      <c r="CX1327" s="315">
        <f t="shared" si="2355"/>
        <v>0.79171095533705893</v>
      </c>
      <c r="CY1327" s="315">
        <f t="shared" si="2356"/>
        <v>0.35525491585637264</v>
      </c>
      <c r="CZ1327" s="316">
        <f>CZ1326</f>
        <v>0.26134999999999997</v>
      </c>
      <c r="DA1327" s="317">
        <v>0.37</v>
      </c>
      <c r="DB1327" s="318">
        <f t="shared" si="2359"/>
        <v>17.987507658937627</v>
      </c>
      <c r="DC1327" s="249">
        <f>LN(DB1327/DB1326)</f>
        <v>-0.14168487994676496</v>
      </c>
      <c r="DD1327" s="316">
        <v>0.04</v>
      </c>
      <c r="DE1327" s="319">
        <v>7.0000000000000001E-3</v>
      </c>
      <c r="DF1327" s="316">
        <v>1030.81</v>
      </c>
      <c r="DG1327" s="364">
        <f ca="1">VLOOKUP(CC1327,'ECI - Input Price'!M$13:N$33,2,FALSE)</f>
        <v>162.55000000000001</v>
      </c>
      <c r="DH1327" s="364"/>
      <c r="DI1327" s="364"/>
      <c r="DJ1327" s="249">
        <f t="shared" ca="1" si="2370"/>
        <v>3.3148751169364422E-2</v>
      </c>
      <c r="DK1327" s="310">
        <v>127.25</v>
      </c>
      <c r="DL1327" s="357">
        <f t="shared" si="2363"/>
        <v>7.1325086601983473E-2</v>
      </c>
    </row>
    <row r="1328" spans="1:116" s="126" customFormat="1" ht="21" customHeight="1" x14ac:dyDescent="0.4">
      <c r="A1328" s="251" t="s">
        <v>260</v>
      </c>
      <c r="B1328" s="265" t="s">
        <v>261</v>
      </c>
      <c r="C1328" s="265">
        <v>4064141</v>
      </c>
      <c r="D1328" s="252" t="s">
        <v>203</v>
      </c>
      <c r="E1328" s="252" t="s">
        <v>15</v>
      </c>
      <c r="F1328" s="266"/>
      <c r="G1328" s="265" t="s">
        <v>150</v>
      </c>
      <c r="H1328" s="253">
        <v>1998</v>
      </c>
      <c r="I1328" s="254"/>
      <c r="J1328" s="255"/>
      <c r="K1328" s="255"/>
      <c r="L1328" s="47"/>
      <c r="M1328" s="255"/>
      <c r="N1328" s="255"/>
      <c r="O1328" s="255"/>
      <c r="P1328" s="219"/>
      <c r="Q1328" s="218"/>
      <c r="R1328" s="385"/>
      <c r="S1328" s="257"/>
      <c r="T1328" s="258"/>
      <c r="U1328" s="258"/>
      <c r="V1328" s="259"/>
      <c r="W1328" s="259"/>
      <c r="X1328" s="259"/>
      <c r="Y1328" s="255"/>
      <c r="Z1328" s="259"/>
      <c r="AA1328" s="259"/>
      <c r="AB1328" s="259"/>
      <c r="AC1328" s="255"/>
      <c r="AD1328" s="254"/>
      <c r="AE1328" s="260">
        <v>1666.1160777855976</v>
      </c>
      <c r="AF1328" s="256"/>
      <c r="AG1328" s="225"/>
      <c r="AH1328" s="256"/>
      <c r="AI1328" s="256"/>
      <c r="AJ1328" s="254">
        <f t="shared" si="2372"/>
        <v>0</v>
      </c>
      <c r="AK1328" s="254"/>
      <c r="AL1328" s="254"/>
      <c r="AM1328" s="256"/>
      <c r="AN1328" s="256"/>
      <c r="AO1328" s="256"/>
      <c r="AP1328" s="226">
        <f>+(AP1325+AP1326+AP1327)/3</f>
        <v>354.15121238968374</v>
      </c>
      <c r="AQ1328" s="256"/>
      <c r="AR1328" s="261"/>
      <c r="AS1328" s="261"/>
      <c r="AT1328" s="261"/>
      <c r="AU1328" s="261"/>
      <c r="AV1328" s="261"/>
      <c r="AW1328" s="256">
        <f ca="1">AVERAGE(AW1337:AW1351)</f>
        <v>1.6863417223494031E-2</v>
      </c>
      <c r="AX1328" s="261"/>
      <c r="AY1328" s="261"/>
      <c r="AZ1328" s="261"/>
      <c r="BA1328" s="261"/>
      <c r="BB1328" s="262">
        <f>IFERROR(INDEX('Total Customers'!$E$7:$AA$91,MATCH($C1328,'Total Customers'!$C$7:$C$91,0),MATCH($G1328,'Total Customers'!$E$5:$AA$5,0)),"NA")</f>
        <v>183696</v>
      </c>
      <c r="BC1328" s="268"/>
      <c r="BD1328" s="92"/>
      <c r="BE1328" s="320" t="str">
        <f t="shared" si="2317"/>
        <v>YANKEE GAS SERVICES COMPANY</v>
      </c>
      <c r="BF1328" s="321">
        <f t="shared" si="2318"/>
        <v>4064141</v>
      </c>
      <c r="BG1328" s="322" t="str">
        <f t="shared" si="2319"/>
        <v>CT</v>
      </c>
      <c r="BH1328" s="322"/>
      <c r="BI1328" s="322" t="str">
        <f t="shared" si="2320"/>
        <v>1998 Y</v>
      </c>
      <c r="BJ1328" s="254">
        <f>INDEX('Gross Dx Plant'!$D$7:$AC$91,MATCH($C1328,'Gross Dx Plant'!$C$7:$C$91,0),MATCH(Calculation!$G1328,'Gross Dx Plant'!$D$5:$AC$5,0))</f>
        <v>498933</v>
      </c>
      <c r="BK1328" s="254">
        <f>INDEX('Gross Gen Plant'!$D$7:$AC$91,MATCH($C1328,'Gross Gen Plant'!$C$7:$C$91,0),MATCH(Calculation!$G1328,'Gross Gen Plant'!$D$5:$AC$5,0))</f>
        <v>37292</v>
      </c>
      <c r="BL1328" s="254">
        <f>INDEX('Dist. Plant Gas Additions'!$E$7:$AD$91,MATCH($C1328,'Dist. Plant Gas Additions'!$C$7:$C$91,0),MATCH(Calculation!$G1328,'Dist. Plant Gas Additions'!$E$5:$AD$5,0))</f>
        <v>22874</v>
      </c>
      <c r="BM1328" s="254">
        <f>INDEX('Gen. Plant Additions'!$E$7:$AD$91,MATCH($C1328,'Gen. Plant Additions'!$C$7:$C$91,0),MATCH(Calculation!$G1328,'Gen. Plant Additions'!$E$5:$AD$5,0))</f>
        <v>1807</v>
      </c>
      <c r="BN1328" s="338">
        <f t="shared" si="2346"/>
        <v>0.93045456664646375</v>
      </c>
      <c r="BO1328" s="322">
        <f t="shared" si="2374"/>
        <v>1681.3314019301599</v>
      </c>
      <c r="BP1328" s="322">
        <f t="shared" si="2375"/>
        <v>-125.66859806984007</v>
      </c>
      <c r="BQ1328" s="254">
        <f>INDEX('Dist Plant Depreciation'!$D$7:$AC$94,MATCH($C1328,'Dist Plant Depreciation'!$C$7:$C$94,0),MATCH(Calculation!$G1328,'Dist Plant Depreciation'!$D$5:$AC$5,0))</f>
        <v>189588</v>
      </c>
      <c r="BR1328" s="254">
        <f>INDEX('Gen. Plant Depreciation'!$D$7:$AC$94,MATCH($C1328,'Gen. Plant Depreciation'!$C$7:$C$94,0),MATCH(Calculation!$G1328,'Gen. Plant Depreciation'!$D$5:$AC$5,0))</f>
        <v>10549</v>
      </c>
      <c r="BS1328" s="254"/>
      <c r="BT1328" s="254"/>
      <c r="BU1328" s="254"/>
      <c r="BV1328" s="254"/>
      <c r="BW1328" s="254"/>
      <c r="BX1328" s="323"/>
      <c r="BY1328" s="254">
        <f>INDEX('Gross Dx Plant'!$D$7:$AC$91,MATCH($C1328,'Gross Dx Plant'!$C$7:$C$91,0),MATCH(Calculation!$G1328,'Gross Dx Plant'!$D$5:$AC$5,0))</f>
        <v>498933</v>
      </c>
      <c r="BZ1328" s="254">
        <f>INDEX('Gross Gen Plant'!$D$7:$AC$91,MATCH($C1328,'Gross Gen Plant'!$C$7:$C$91,0),MATCH(Calculation!$G1328,'Gross Gen Plant'!$D$5:$AC$5,0))</f>
        <v>37292</v>
      </c>
      <c r="CA1328" s="254">
        <f t="shared" si="2294"/>
        <v>336088</v>
      </c>
      <c r="CB1328" s="254"/>
      <c r="CC1328" s="260">
        <v>1998</v>
      </c>
      <c r="CD1328" s="254">
        <f>BJ1328+BK1328</f>
        <v>536225</v>
      </c>
      <c r="CE1328" s="254">
        <f>189588+10549</f>
        <v>200137</v>
      </c>
      <c r="CF1328" s="254">
        <f>+CD1328-CE1328</f>
        <v>336088</v>
      </c>
      <c r="CG1328" s="254">
        <f>CF1328/$BX$3</f>
        <v>1666.1160777855976</v>
      </c>
      <c r="CH1328" s="323"/>
      <c r="CI1328" s="344"/>
      <c r="CJ1328" s="344"/>
      <c r="CK1328" s="443">
        <v>1</v>
      </c>
      <c r="CL1328" s="254">
        <f>+CG1328</f>
        <v>1666.1160777855976</v>
      </c>
      <c r="CM1328" s="256"/>
      <c r="CN1328" s="325"/>
      <c r="CO1328" s="325"/>
      <c r="CP1328" s="256" t="e">
        <f>VLOOKUP($H1328,RoR!$E:$F,2,FALSE)</f>
        <v>#N/A</v>
      </c>
      <c r="CQ1328" s="325">
        <v>1.1028127770464469E-2</v>
      </c>
      <c r="CR1328" s="325"/>
      <c r="CS1328" s="325"/>
      <c r="CT1328" s="325"/>
      <c r="CU1328" s="327"/>
      <c r="CV1328" s="331" t="e">
        <f>2/(DD1328*39)</f>
        <v>#N/A</v>
      </c>
      <c r="CW1328" s="328" t="e">
        <f>+(DD1328*40-(1+DD1328))/(DD1328*40)</f>
        <v>#N/A</v>
      </c>
      <c r="CX1328" s="328" t="e">
        <f>+(1-(1/(1+DD1328)^40))</f>
        <v>#N/A</v>
      </c>
      <c r="CY1328" s="328" t="e">
        <f>+CX1328*CW1328*CV1328</f>
        <v>#N/A</v>
      </c>
      <c r="CZ1328" s="329">
        <f>INDEX('State Tax Lookup'!$D$7:$Z$91,MATCH(Calculation!$C1328,'State Tax Lookup'!$B$7:$B$91,0),MATCH($H1328,'State Tax Lookup'!$D$6:$Z$6,0))</f>
        <v>0.40200000000000002</v>
      </c>
      <c r="DA1328" s="330">
        <v>0.37</v>
      </c>
      <c r="DB1328" s="344"/>
      <c r="DC1328" s="326"/>
      <c r="DD1328" s="351" t="e">
        <f>VLOOKUP($H1328,RoR!$E:$F,2,FALSE)</f>
        <v>#N/A</v>
      </c>
      <c r="DE1328" s="354">
        <f>HLOOKUP($H1328,'GDP-PI'!$D$8:$CQ$11,3,FALSE)</f>
        <v>1.1028127770464469E-2</v>
      </c>
      <c r="DF1328" s="351">
        <f>VLOOKUP(H1328,'HW Dx Data'!$E:$F,2,FALSE)</f>
        <v>329.24564746449528</v>
      </c>
      <c r="DG1328" s="330"/>
      <c r="DH1328" s="330"/>
      <c r="DI1328" s="330"/>
      <c r="DJ1328" s="326"/>
      <c r="DK1328" s="344">
        <f>HLOOKUP(H1328,'GDP-PI'!$8:$9,2,FALSE)</f>
        <v>75.266999999999996</v>
      </c>
      <c r="DL1328" s="292"/>
    </row>
    <row r="1329" spans="1:116" s="126" customFormat="1" ht="21" customHeight="1" x14ac:dyDescent="0.4">
      <c r="A1329" s="233" t="s">
        <v>260</v>
      </c>
      <c r="B1329" s="126" t="s">
        <v>261</v>
      </c>
      <c r="C1329" s="126">
        <v>4064141</v>
      </c>
      <c r="D1329" s="127" t="s">
        <v>203</v>
      </c>
      <c r="E1329" s="127" t="s">
        <v>15</v>
      </c>
      <c r="F1329" s="144"/>
      <c r="G1329" s="126" t="s">
        <v>155</v>
      </c>
      <c r="H1329" s="128">
        <v>1999</v>
      </c>
      <c r="I1329" s="129"/>
      <c r="J1329" s="125"/>
      <c r="K1329" s="129"/>
      <c r="L1329" s="47"/>
      <c r="M1329" s="129"/>
      <c r="N1329" s="129"/>
      <c r="O1329" s="129"/>
      <c r="P1329" s="47"/>
      <c r="Q1329" s="47"/>
      <c r="R1329" s="386"/>
      <c r="S1329" s="119"/>
      <c r="T1329" s="47"/>
      <c r="U1329" s="46"/>
      <c r="V1329" s="135"/>
      <c r="W1329" s="135"/>
      <c r="X1329" s="135"/>
      <c r="Y1329" s="143"/>
      <c r="Z1329" s="135"/>
      <c r="AA1329" s="135"/>
      <c r="AB1329" s="135"/>
      <c r="AC1329" s="125">
        <f t="shared" ref="AC1329:AC1352" si="2388">+CL1328*DB1329</f>
        <v>0</v>
      </c>
      <c r="AD1329" s="129"/>
      <c r="AE1329" s="133">
        <v>1802.4627478393556</v>
      </c>
      <c r="AF1329" s="134">
        <v>7.8658707164016975E-2</v>
      </c>
      <c r="AG1329" s="61"/>
      <c r="AH1329" s="134"/>
      <c r="AI1329" s="134"/>
      <c r="AJ1329" s="129">
        <f t="shared" si="2372"/>
        <v>0</v>
      </c>
      <c r="AK1329" s="134"/>
      <c r="AL1329" s="129"/>
      <c r="AM1329" s="134"/>
      <c r="AN1329" s="134"/>
      <c r="AO1329" s="134"/>
      <c r="AP1329" s="133"/>
      <c r="AQ1329" s="134"/>
      <c r="AR1329" s="93"/>
      <c r="AS1329" s="93"/>
      <c r="AT1329" s="93"/>
      <c r="AU1329" s="93"/>
      <c r="AV1329" s="93"/>
      <c r="AW1329" s="134"/>
      <c r="AX1329" s="93"/>
      <c r="AY1329" s="93"/>
      <c r="AZ1329" s="93"/>
      <c r="BA1329" s="93"/>
      <c r="BB1329" s="234">
        <f>IFERROR(INDEX('Total Customers'!$E$7:$AA$91,MATCH($C1329,'Total Customers'!$C$7:$C$91,0),MATCH($G1329,'Total Customers'!$E$5:$AA$5,0)),"NA")</f>
        <v>184711</v>
      </c>
      <c r="BC1329" s="269">
        <f t="shared" si="2328"/>
        <v>5.5102241171642533E-3</v>
      </c>
      <c r="BD1329" s="92"/>
      <c r="BE1329" s="299" t="str">
        <f t="shared" si="2317"/>
        <v>YANKEE GAS SERVICES COMPANY</v>
      </c>
      <c r="BF1329" s="300">
        <f t="shared" si="2318"/>
        <v>4064141</v>
      </c>
      <c r="BG1329" s="231" t="str">
        <f t="shared" si="2319"/>
        <v>CT</v>
      </c>
      <c r="BH1329" s="231"/>
      <c r="BI1329" s="231" t="str">
        <f t="shared" si="2320"/>
        <v>1999 Y</v>
      </c>
      <c r="BJ1329" s="129"/>
      <c r="BK1329" s="129"/>
      <c r="BL1329" s="129">
        <f>INDEX('Dist. Plant Gas Additions'!$E$7:$AD$91,MATCH($C1329,'Dist. Plant Gas Additions'!$C$7:$C$91,0),MATCH(Calculation!$G1329,'Dist. Plant Gas Additions'!$E$5:$AD$5,0))</f>
        <v>20230</v>
      </c>
      <c r="BM1329" s="129">
        <f>INDEX('Gen. Plant Additions'!$E$7:$AD$91,MATCH($C1329,'Gen. Plant Additions'!$C$7:$C$91,0),MATCH(Calculation!$G1329,'Gen. Plant Additions'!$E$5:$AD$5,0))</f>
        <v>28270</v>
      </c>
      <c r="BN1329" s="301">
        <f t="shared" si="2346"/>
        <v>0.8882767849003903</v>
      </c>
      <c r="BO1329" s="231">
        <f t="shared" si="2374"/>
        <v>25111.584709134033</v>
      </c>
      <c r="BP1329" s="231">
        <f t="shared" si="2375"/>
        <v>-3158.4152908659671</v>
      </c>
      <c r="BQ1329" s="129">
        <f>INDEX('Dist Plant Depreciation'!$D$7:$AC$94,MATCH($C1329,'Dist Plant Depreciation'!$C$7:$C$94,0),MATCH(Calculation!$G1329,'Dist Plant Depreciation'!$D$5:$AC$5,0))</f>
        <v>204357</v>
      </c>
      <c r="BR1329" s="129">
        <f>INDEX('Gen. Plant Depreciation'!$D$7:$AC$94,MATCH($C1329,'Gen. Plant Depreciation'!$C$7:$C$94,0),MATCH(Calculation!$G1329,'Gen. Plant Depreciation'!$D$5:$AC$5,0))</f>
        <v>12606</v>
      </c>
      <c r="BS1329" s="129"/>
      <c r="BT1329" s="129"/>
      <c r="BU1329" s="129"/>
      <c r="BV1329" s="129"/>
      <c r="BW1329" s="129"/>
      <c r="BX1329" s="137"/>
      <c r="BY1329" s="129">
        <f>INDEX('Gross Dx Plant'!$D$7:$AC$91,MATCH($C1329,'Gross Dx Plant'!$C$7:$C$91,0),MATCH(Calculation!$G1329,'Gross Dx Plant'!$D$5:$AC$5,0))</f>
        <v>516461</v>
      </c>
      <c r="BZ1329" s="129">
        <f>INDEX('Gross Gen Plant'!$D$7:$AC$91,MATCH($C1329,'Gross Gen Plant'!$C$7:$C$91,0),MATCH(Calculation!$G1329,'Gross Gen Plant'!$D$5:$AC$5,0))</f>
        <v>64958</v>
      </c>
      <c r="CA1329" s="129">
        <f t="shared" si="2294"/>
        <v>364456</v>
      </c>
      <c r="CB1329" s="129"/>
      <c r="CC1329" s="133">
        <v>1999</v>
      </c>
      <c r="CD1329" s="129"/>
      <c r="CE1329" s="129"/>
      <c r="CF1329" s="129"/>
      <c r="CG1329" s="137"/>
      <c r="CH1329" s="129">
        <f t="shared" ref="CH1329:CH1351" si="2389">+BM1329+BL1329</f>
        <v>48500</v>
      </c>
      <c r="CI1329" s="46">
        <f>+CH1329+BP1329</f>
        <v>45341.584709134033</v>
      </c>
      <c r="CJ1329" s="231">
        <f t="shared" ref="CJ1329:CJ1352" si="2390">+CI1329/$DF1329</f>
        <v>135.21683698788331</v>
      </c>
      <c r="CK1329" s="443">
        <v>0.99009900990099009</v>
      </c>
      <c r="CL1329" s="231">
        <f>+CL1328*CK1329+CJ1329</f>
        <v>1784.8367159835243</v>
      </c>
      <c r="CM1329" s="134">
        <f t="shared" ref="CM1329:CM1350" si="2391">LN(CL1329/CL1328)</f>
        <v>6.8831719549300882E-2</v>
      </c>
      <c r="CN1329" s="135">
        <f t="shared" ref="CN1329:CN1352" si="2392">+(CL1328-CL1329+CJ1329)/CL1328</f>
        <v>9.9009900990099931E-3</v>
      </c>
      <c r="CO1329" s="135"/>
      <c r="CP1329" s="134">
        <f>VLOOKUP($H1329,RoR!$E:$F,2,FALSE)</f>
        <v>7.0416666666666669E-2</v>
      </c>
      <c r="CQ1329" s="135">
        <v>1.4335631817396832E-2</v>
      </c>
      <c r="CR1329" s="135">
        <f>+CP1329-CQ1329</f>
        <v>5.6081034849269837E-2</v>
      </c>
      <c r="CS1329" s="135"/>
      <c r="CT1329" s="135"/>
      <c r="CU1329" s="139">
        <f t="shared" ref="CU1329:CU1352" si="2393">1-CZ1329*DA1329</f>
        <v>0.85126000000000002</v>
      </c>
      <c r="CV1329" s="335">
        <f t="shared" ref="CV1329:CV1352" si="2394">2/(DD1329*39)</f>
        <v>0.72826581702321336</v>
      </c>
      <c r="CW1329" s="335">
        <f t="shared" ref="CW1329:CW1352" si="2395">+(DD1329*40-(1+DD1329))/(DD1329*40)</f>
        <v>0.61997041420118348</v>
      </c>
      <c r="CX1329" s="335">
        <f t="shared" ref="CX1329:CX1352" si="2396">+(1-(1/(1+DD1329)^40))</f>
        <v>0.93425155319585029</v>
      </c>
      <c r="CY1329" s="335">
        <f t="shared" ref="CY1329:CY1352" si="2397">+CX1329*CW1329*CV1329</f>
        <v>0.42181762214141483</v>
      </c>
      <c r="CZ1329" s="336">
        <f>INDEX('State Tax Lookup'!$D$7:$Z$91,MATCH(Calculation!$C1329,'State Tax Lookup'!$B$7:$B$91,0),MATCH($H1329,'State Tax Lookup'!$D$6:$Z$6,0))</f>
        <v>0.40200000000000002</v>
      </c>
      <c r="DA1329" s="302">
        <v>0.37</v>
      </c>
      <c r="DB1329" s="57"/>
      <c r="DC1329" s="56"/>
      <c r="DD1329" s="303">
        <f>VLOOKUP($H1329,RoR!$E:$F,2,FALSE)</f>
        <v>7.0416666666666669E-2</v>
      </c>
      <c r="DE1329" s="304">
        <f>HLOOKUP($H1329,'GDP-PI'!$D$8:$CQ$11,3,FALSE)</f>
        <v>1.4335631817396832E-2</v>
      </c>
      <c r="DF1329" s="303">
        <f>VLOOKUP(H1329,'HW Dx Data'!$E:$F,2,FALSE)</f>
        <v>335.32499146683239</v>
      </c>
      <c r="DG1329" s="364"/>
      <c r="DH1329" s="364"/>
      <c r="DI1329" s="364"/>
      <c r="DJ1329" s="56"/>
      <c r="DK1329" s="53">
        <f>HLOOKUP(H1329,'GDP-PI'!$8:$9,2,FALSE)</f>
        <v>76.346000000000004</v>
      </c>
      <c r="DL1329" s="298"/>
    </row>
    <row r="1330" spans="1:116" s="126" customFormat="1" ht="21" customHeight="1" x14ac:dyDescent="0.4">
      <c r="A1330" s="233" t="s">
        <v>260</v>
      </c>
      <c r="B1330" s="126" t="s">
        <v>261</v>
      </c>
      <c r="C1330" s="126">
        <v>4064141</v>
      </c>
      <c r="D1330" s="127" t="s">
        <v>203</v>
      </c>
      <c r="E1330" s="127" t="s">
        <v>15</v>
      </c>
      <c r="F1330" s="144"/>
      <c r="G1330" s="126" t="s">
        <v>156</v>
      </c>
      <c r="H1330" s="128">
        <v>2000</v>
      </c>
      <c r="I1330" s="129"/>
      <c r="J1330" s="125"/>
      <c r="K1330" s="125"/>
      <c r="L1330" s="47"/>
      <c r="M1330" s="125"/>
      <c r="N1330" s="125"/>
      <c r="O1330" s="125"/>
      <c r="P1330" s="47"/>
      <c r="Q1330" s="47"/>
      <c r="R1330" s="386"/>
      <c r="S1330" s="119"/>
      <c r="T1330" s="47"/>
      <c r="U1330" s="47"/>
      <c r="V1330" s="125"/>
      <c r="W1330" s="125"/>
      <c r="X1330" s="125"/>
      <c r="Y1330" s="125"/>
      <c r="Z1330" s="125"/>
      <c r="AA1330" s="125"/>
      <c r="AB1330" s="125"/>
      <c r="AC1330" s="125">
        <f t="shared" si="2388"/>
        <v>0</v>
      </c>
      <c r="AD1330" s="129"/>
      <c r="AE1330" s="133">
        <v>1852.0052048717012</v>
      </c>
      <c r="AF1330" s="134">
        <v>2.7115023603239755E-2</v>
      </c>
      <c r="AG1330" s="61"/>
      <c r="AH1330" s="134"/>
      <c r="AI1330" s="134"/>
      <c r="AJ1330" s="129">
        <f t="shared" si="2372"/>
        <v>0</v>
      </c>
      <c r="AK1330" s="134"/>
      <c r="AL1330" s="129"/>
      <c r="AM1330" s="129"/>
      <c r="AN1330" s="129"/>
      <c r="AO1330" s="129"/>
      <c r="AP1330" s="133"/>
      <c r="AQ1330" s="134"/>
      <c r="AR1330" s="93"/>
      <c r="AS1330" s="93"/>
      <c r="AT1330" s="93"/>
      <c r="AU1330" s="93"/>
      <c r="AV1330" s="93"/>
      <c r="AW1330" s="134"/>
      <c r="AX1330" s="93"/>
      <c r="AY1330" s="93"/>
      <c r="AZ1330" s="93"/>
      <c r="BA1330" s="93"/>
      <c r="BB1330" s="234">
        <f>IFERROR(INDEX('Total Customers'!$E$7:$AA$91,MATCH($C1330,'Total Customers'!$C$7:$C$91,0),MATCH($G1330,'Total Customers'!$E$5:$AA$5,0)),"NA")</f>
        <v>185373</v>
      </c>
      <c r="BC1330" s="269">
        <f t="shared" si="2328"/>
        <v>3.5775699899395779E-3</v>
      </c>
      <c r="BD1330" s="92"/>
      <c r="BE1330" s="299" t="str">
        <f t="shared" si="2317"/>
        <v>YANKEE GAS SERVICES COMPANY</v>
      </c>
      <c r="BF1330" s="300">
        <f t="shared" si="2318"/>
        <v>4064141</v>
      </c>
      <c r="BG1330" s="231" t="str">
        <f t="shared" si="2319"/>
        <v>CT</v>
      </c>
      <c r="BH1330" s="231"/>
      <c r="BI1330" s="231" t="str">
        <f t="shared" si="2320"/>
        <v>2000 Y</v>
      </c>
      <c r="BJ1330" s="129"/>
      <c r="BK1330" s="129"/>
      <c r="BL1330" s="129">
        <f>INDEX('Dist. Plant Gas Additions'!$E$7:$AD$91,MATCH($C1330,'Dist. Plant Gas Additions'!$C$7:$C$91,0),MATCH(Calculation!$G1330,'Dist. Plant Gas Additions'!$E$5:$AD$5,0))</f>
        <v>17984</v>
      </c>
      <c r="BM1330" s="129">
        <f>INDEX('Gen. Plant Additions'!$E$7:$AD$91,MATCH($C1330,'Gen. Plant Additions'!$C$7:$C$91,0),MATCH(Calculation!$G1330,'Gen. Plant Additions'!$E$5:$AD$5,0))</f>
        <v>2393</v>
      </c>
      <c r="BN1330" s="301">
        <f t="shared" si="2346"/>
        <v>0.88784701255994369</v>
      </c>
      <c r="BO1330" s="231">
        <f t="shared" si="2374"/>
        <v>2124.6179010559454</v>
      </c>
      <c r="BP1330" s="231">
        <f t="shared" si="2375"/>
        <v>-268.38209894405463</v>
      </c>
      <c r="BQ1330" s="129"/>
      <c r="BR1330" s="129"/>
      <c r="BS1330" s="129"/>
      <c r="BT1330" s="129"/>
      <c r="BU1330" s="129"/>
      <c r="BV1330" s="129"/>
      <c r="BW1330" s="129"/>
      <c r="BX1330" s="137"/>
      <c r="BY1330" s="129">
        <f>INDEX('Gross Dx Plant'!$D$7:$AC$91,MATCH($C1330,'Gross Dx Plant'!$C$7:$C$91,0),MATCH(Calculation!$G1330,'Gross Dx Plant'!$D$5:$AC$5,0))</f>
        <v>530802</v>
      </c>
      <c r="BZ1330" s="129">
        <f>INDEX('Gross Gen Plant'!$D$7:$AC$91,MATCH($C1330,'Gross Gen Plant'!$C$7:$C$91,0),MATCH(Calculation!$G1330,'Gross Gen Plant'!$D$5:$AC$5,0))</f>
        <v>67051</v>
      </c>
      <c r="CA1330" s="129">
        <f t="shared" si="2294"/>
        <v>597853</v>
      </c>
      <c r="CB1330" s="129"/>
      <c r="CC1330" s="133">
        <v>2000</v>
      </c>
      <c r="CD1330" s="129"/>
      <c r="CE1330" s="129"/>
      <c r="CF1330" s="129"/>
      <c r="CG1330" s="137"/>
      <c r="CH1330" s="129">
        <f t="shared" si="2389"/>
        <v>20377</v>
      </c>
      <c r="CI1330" s="46">
        <f t="shared" ref="CI1330:CI1352" si="2398">+CH1330+BP1330</f>
        <v>20108.617901055946</v>
      </c>
      <c r="CJ1330" s="231">
        <f t="shared" si="2390"/>
        <v>58.027882618376914</v>
      </c>
      <c r="CK1330" s="443">
        <v>0.98</v>
      </c>
      <c r="CL1330" s="231">
        <f>+CL1328*CK1330+CJ1329*CK1329+CJ1330</f>
        <v>1824.6996952719094</v>
      </c>
      <c r="CM1330" s="134">
        <f t="shared" si="2391"/>
        <v>2.2088487550621302E-2</v>
      </c>
      <c r="CN1330" s="135">
        <f t="shared" si="2392"/>
        <v>1.0177347410730606E-2</v>
      </c>
      <c r="CO1330" s="135"/>
      <c r="CP1330" s="134">
        <f>VLOOKUP($H1330,RoR!$E:$F,2,FALSE)</f>
        <v>7.6225000000000001E-2</v>
      </c>
      <c r="CQ1330" s="135">
        <v>2.2568307442433211E-2</v>
      </c>
      <c r="CR1330" s="135">
        <f t="shared" ref="CR1330:CR1350" si="2399">+CP1330-CQ1330</f>
        <v>5.365669255756679E-2</v>
      </c>
      <c r="CS1330" s="135"/>
      <c r="CT1330" s="135"/>
      <c r="CU1330" s="139">
        <f t="shared" si="2393"/>
        <v>0.85126000000000002</v>
      </c>
      <c r="CV1330" s="335">
        <f t="shared" si="2394"/>
        <v>0.67277207323124022</v>
      </c>
      <c r="CW1330" s="335">
        <f t="shared" si="2395"/>
        <v>0.6470236142997704</v>
      </c>
      <c r="CX1330" s="335">
        <f t="shared" si="2396"/>
        <v>0.94704866037543145</v>
      </c>
      <c r="CY1330" s="335">
        <f t="shared" si="2397"/>
        <v>0.41224973107878493</v>
      </c>
      <c r="CZ1330" s="336">
        <f>INDEX('State Tax Lookup'!$D$7:$Z$91,MATCH(Calculation!$C1330,'State Tax Lookup'!$B$7:$B$91,0),MATCH($H1330,'State Tax Lookup'!$D$6:$Z$6,0))</f>
        <v>0.40200000000000002</v>
      </c>
      <c r="DA1330" s="302">
        <v>0.37</v>
      </c>
      <c r="DB1330" s="57"/>
      <c r="DC1330" s="56"/>
      <c r="DD1330" s="303">
        <f>VLOOKUP($H1330,RoR!$E:$F,2,FALSE)</f>
        <v>7.6225000000000001E-2</v>
      </c>
      <c r="DE1330" s="304">
        <f>HLOOKUP($H1330,'GDP-PI'!$D$8:$CQ$11,3,FALSE)</f>
        <v>2.2568307442433211E-2</v>
      </c>
      <c r="DF1330" s="303">
        <f>VLOOKUP(H1330,'HW Dx Data'!$E:$F,2,FALSE)</f>
        <v>346.53371782150339</v>
      </c>
      <c r="DG1330" s="364"/>
      <c r="DH1330" s="364"/>
      <c r="DI1330" s="364"/>
      <c r="DJ1330" s="56"/>
      <c r="DK1330" s="53">
        <f>HLOOKUP(H1330,'GDP-PI'!$8:$9,2,FALSE)</f>
        <v>78.069000000000003</v>
      </c>
      <c r="DL1330" s="298"/>
    </row>
    <row r="1331" spans="1:116" s="126" customFormat="1" ht="21" customHeight="1" x14ac:dyDescent="0.4">
      <c r="A1331" s="233" t="s">
        <v>260</v>
      </c>
      <c r="B1331" s="126" t="s">
        <v>261</v>
      </c>
      <c r="C1331" s="126">
        <v>4064141</v>
      </c>
      <c r="D1331" s="127" t="s">
        <v>203</v>
      </c>
      <c r="E1331" s="127" t="s">
        <v>15</v>
      </c>
      <c r="F1331" s="144"/>
      <c r="G1331" s="126" t="s">
        <v>157</v>
      </c>
      <c r="H1331" s="128">
        <v>2001</v>
      </c>
      <c r="I1331" s="129"/>
      <c r="J1331" s="125"/>
      <c r="K1331" s="125"/>
      <c r="L1331" s="47"/>
      <c r="M1331" s="125"/>
      <c r="N1331" s="125"/>
      <c r="O1331" s="125"/>
      <c r="P1331" s="47"/>
      <c r="Q1331" s="47"/>
      <c r="R1331" s="386"/>
      <c r="S1331" s="119"/>
      <c r="T1331" s="47"/>
      <c r="U1331" s="47"/>
      <c r="V1331" s="125"/>
      <c r="W1331" s="125"/>
      <c r="X1331" s="125"/>
      <c r="Y1331" s="125"/>
      <c r="Z1331" s="125"/>
      <c r="AA1331" s="125"/>
      <c r="AB1331" s="125"/>
      <c r="AC1331" s="125">
        <f t="shared" si="2388"/>
        <v>19055.600689950861</v>
      </c>
      <c r="AD1331" s="129"/>
      <c r="AE1331" s="133">
        <v>1923.5505825829398</v>
      </c>
      <c r="AF1331" s="134">
        <v>3.7903793396278036E-2</v>
      </c>
      <c r="AG1331" s="61"/>
      <c r="AH1331" s="134"/>
      <c r="AI1331" s="134"/>
      <c r="AJ1331" s="129">
        <f t="shared" si="2372"/>
        <v>19055.600689950861</v>
      </c>
      <c r="AK1331" s="134"/>
      <c r="AL1331" s="129"/>
      <c r="AM1331" s="129"/>
      <c r="AN1331" s="129"/>
      <c r="AO1331" s="129"/>
      <c r="AP1331" s="133"/>
      <c r="AQ1331" s="134"/>
      <c r="AR1331" s="93"/>
      <c r="AS1331" s="93"/>
      <c r="AT1331" s="93"/>
      <c r="AU1331" s="93"/>
      <c r="AV1331" s="93"/>
      <c r="AW1331" s="134"/>
      <c r="AX1331" s="93"/>
      <c r="AY1331" s="93"/>
      <c r="AZ1331" s="93"/>
      <c r="BA1331" s="93"/>
      <c r="BB1331" s="234">
        <f>IFERROR(INDEX('Total Customers'!$E$7:$AA$91,MATCH($C1331,'Total Customers'!$C$7:$C$91,0),MATCH($G1331,'Total Customers'!$E$5:$AA$5,0)),"NA")</f>
        <v>191112</v>
      </c>
      <c r="BC1331" s="269">
        <f t="shared" si="2328"/>
        <v>3.0489632164693515E-2</v>
      </c>
      <c r="BD1331" s="92"/>
      <c r="BE1331" s="299" t="str">
        <f t="shared" si="2317"/>
        <v>YANKEE GAS SERVICES COMPANY</v>
      </c>
      <c r="BF1331" s="300">
        <f t="shared" si="2318"/>
        <v>4064141</v>
      </c>
      <c r="BG1331" s="231" t="str">
        <f t="shared" si="2319"/>
        <v>CT</v>
      </c>
      <c r="BH1331" s="231"/>
      <c r="BI1331" s="231" t="str">
        <f t="shared" si="2320"/>
        <v>2001 Y</v>
      </c>
      <c r="BJ1331" s="129"/>
      <c r="BK1331" s="129"/>
      <c r="BL1331" s="129">
        <f>INDEX('Dist. Plant Gas Additions'!$E$7:$AD$91,MATCH($C1331,'Dist. Plant Gas Additions'!$C$7:$C$91,0),MATCH(Calculation!$G1331,'Dist. Plant Gas Additions'!$E$5:$AD$5,0))</f>
        <v>23946</v>
      </c>
      <c r="BM1331" s="129">
        <f>INDEX('Gen. Plant Additions'!$E$7:$AD$91,MATCH($C1331,'Gen. Plant Additions'!$C$7:$C$91,0),MATCH(Calculation!$G1331,'Gen. Plant Additions'!$E$5:$AD$5,0))</f>
        <v>4715</v>
      </c>
      <c r="BN1331" s="301">
        <f t="shared" si="2346"/>
        <v>0.891172900593448</v>
      </c>
      <c r="BO1331" s="231">
        <f t="shared" si="2374"/>
        <v>4201.8802262981071</v>
      </c>
      <c r="BP1331" s="231">
        <f t="shared" si="2375"/>
        <v>-513.11977370189288</v>
      </c>
      <c r="BQ1331" s="129"/>
      <c r="BR1331" s="129"/>
      <c r="BS1331" s="129"/>
      <c r="BT1331" s="129"/>
      <c r="BU1331" s="129"/>
      <c r="BV1331" s="129"/>
      <c r="BW1331" s="129"/>
      <c r="BX1331" s="137"/>
      <c r="BY1331" s="129">
        <f>INDEX('Gross Dx Plant'!$D$7:$AC$91,MATCH($C1331,'Gross Dx Plant'!$C$7:$C$91,0),MATCH(Calculation!$G1331,'Gross Dx Plant'!$D$5:$AC$5,0))</f>
        <v>556525</v>
      </c>
      <c r="BZ1331" s="129">
        <f>INDEX('Gross Gen Plant'!$D$7:$AC$91,MATCH($C1331,'Gross Gen Plant'!$C$7:$C$91,0),MATCH(Calculation!$G1331,'Gross Gen Plant'!$D$5:$AC$5,0))</f>
        <v>67961</v>
      </c>
      <c r="CA1331" s="129">
        <f t="shared" si="2294"/>
        <v>624486</v>
      </c>
      <c r="CB1331" s="129"/>
      <c r="CC1331" s="133">
        <v>2001</v>
      </c>
      <c r="CD1331" s="129"/>
      <c r="CE1331" s="129"/>
      <c r="CF1331" s="129"/>
      <c r="CG1331" s="137"/>
      <c r="CH1331" s="129">
        <f t="shared" si="2389"/>
        <v>28661</v>
      </c>
      <c r="CI1331" s="46">
        <f t="shared" si="2398"/>
        <v>28147.880226298108</v>
      </c>
      <c r="CJ1331" s="231">
        <f t="shared" si="2390"/>
        <v>79.638106844574338</v>
      </c>
      <c r="CK1331" s="443">
        <v>0.96969696969696972</v>
      </c>
      <c r="CL1331" s="231">
        <f>+CL1328*CK1331+CJ1329*CK1330+CJ1330*CK1328+CJ1331</f>
        <v>1885.8062015031717</v>
      </c>
      <c r="CM1331" s="134">
        <f t="shared" si="2391"/>
        <v>3.2939999611888517E-2</v>
      </c>
      <c r="CN1331" s="135">
        <f t="shared" si="2392"/>
        <v>1.0155972876704259E-2</v>
      </c>
      <c r="CO1331" s="135">
        <f>+(CN1331+CN1330+CN1329)/3</f>
        <v>1.0078103462148285E-2</v>
      </c>
      <c r="CP1331" s="134">
        <f>VLOOKUP($H1331,RoR!$E:$F,2,FALSE)</f>
        <v>7.0824999999999999E-2</v>
      </c>
      <c r="CQ1331" s="135">
        <v>2.2454495382290052E-2</v>
      </c>
      <c r="CR1331" s="135">
        <f t="shared" si="2399"/>
        <v>4.8370504617709947E-2</v>
      </c>
      <c r="CS1331" s="135">
        <f>+$CR$2-CO1331</f>
        <v>2.0823838146385339E-2</v>
      </c>
      <c r="CT1331" s="135">
        <v>2.3947275901631187E-2</v>
      </c>
      <c r="CU1331" s="139">
        <f t="shared" si="2393"/>
        <v>0.85126000000000002</v>
      </c>
      <c r="CV1331" s="335">
        <f t="shared" si="2394"/>
        <v>0.72406708481540816</v>
      </c>
      <c r="CW1331" s="335">
        <f t="shared" si="2395"/>
        <v>0.62201729615248857</v>
      </c>
      <c r="CX1331" s="335">
        <f t="shared" si="2396"/>
        <v>0.9352469954311422</v>
      </c>
      <c r="CY1331" s="335">
        <f t="shared" si="2397"/>
        <v>0.42121864641655071</v>
      </c>
      <c r="CZ1331" s="336">
        <f>INDEX('State Tax Lookup'!$D$7:$Z$91,MATCH(Calculation!$C1331,'State Tax Lookup'!$B$7:$B$91,0),MATCH($H1331,'State Tax Lookup'!$D$6:$Z$6,0))</f>
        <v>0.40200000000000002</v>
      </c>
      <c r="DA1331" s="302">
        <v>0.37</v>
      </c>
      <c r="DB1331" s="57">
        <f t="shared" ref="DB1331:DB1352" si="2400">+(DF1331*CS1331-CT1331)*CU1331/(1-CZ1331)</f>
        <v>10.443143460442828</v>
      </c>
      <c r="DC1331" s="56"/>
      <c r="DD1331" s="303">
        <f>VLOOKUP($H1331,RoR!$E:$F,2,FALSE)</f>
        <v>7.0824999999999999E-2</v>
      </c>
      <c r="DE1331" s="304">
        <f>HLOOKUP($H1331,'GDP-PI'!$D$8:$CQ$11,3,FALSE)</f>
        <v>2.2454495382290052E-2</v>
      </c>
      <c r="DF1331" s="303">
        <f>VLOOKUP(H1331,'HW Dx Data'!$E:$F,2,FALSE)</f>
        <v>353.44738017483138</v>
      </c>
      <c r="DG1331" s="364"/>
      <c r="DH1331" s="364"/>
      <c r="DI1331" s="364"/>
      <c r="DJ1331" s="56"/>
      <c r="DK1331" s="53">
        <f>HLOOKUP(H1331,'GDP-PI'!$8:$9,2,FALSE)</f>
        <v>79.822000000000003</v>
      </c>
      <c r="DL1331" s="298"/>
    </row>
    <row r="1332" spans="1:116" s="126" customFormat="1" ht="21" customHeight="1" x14ac:dyDescent="0.4">
      <c r="A1332" s="233" t="s">
        <v>260</v>
      </c>
      <c r="B1332" s="126" t="s">
        <v>261</v>
      </c>
      <c r="C1332" s="126">
        <v>4064141</v>
      </c>
      <c r="D1332" s="127" t="s">
        <v>203</v>
      </c>
      <c r="E1332" s="127" t="s">
        <v>15</v>
      </c>
      <c r="F1332" s="144"/>
      <c r="G1332" s="126" t="s">
        <v>158</v>
      </c>
      <c r="H1332" s="128">
        <v>2002</v>
      </c>
      <c r="I1332" s="129"/>
      <c r="J1332" s="125"/>
      <c r="K1332" s="125"/>
      <c r="L1332" s="47"/>
      <c r="M1332" s="125"/>
      <c r="N1332" s="125"/>
      <c r="O1332" s="125"/>
      <c r="P1332" s="47"/>
      <c r="Q1332" s="47"/>
      <c r="R1332" s="386"/>
      <c r="S1332" s="119"/>
      <c r="T1332" s="47"/>
      <c r="U1332" s="47"/>
      <c r="V1332" s="125"/>
      <c r="W1332" s="125"/>
      <c r="X1332" s="125"/>
      <c r="Y1332" s="125"/>
      <c r="Z1332" s="125"/>
      <c r="AA1332" s="125"/>
      <c r="AB1332" s="125"/>
      <c r="AC1332" s="125">
        <f t="shared" si="2388"/>
        <v>19756.90258504761</v>
      </c>
      <c r="AD1332" s="129"/>
      <c r="AE1332" s="133">
        <v>2052.2299727388827</v>
      </c>
      <c r="AF1332" s="134">
        <v>6.4754253491504363E-2</v>
      </c>
      <c r="AG1332" s="61"/>
      <c r="AH1332" s="134"/>
      <c r="AI1332" s="134"/>
      <c r="AJ1332" s="129">
        <f t="shared" si="2372"/>
        <v>19756.90258504761</v>
      </c>
      <c r="AK1332" s="134"/>
      <c r="AL1332" s="129"/>
      <c r="AM1332" s="129"/>
      <c r="AN1332" s="129"/>
      <c r="AO1332" s="129"/>
      <c r="AP1332" s="133"/>
      <c r="AQ1332" s="134"/>
      <c r="AR1332" s="93"/>
      <c r="AS1332" s="93"/>
      <c r="AT1332" s="93"/>
      <c r="AU1332" s="93"/>
      <c r="AV1332" s="93"/>
      <c r="AW1332" s="134"/>
      <c r="AX1332" s="93"/>
      <c r="AY1332" s="93"/>
      <c r="AZ1332" s="93"/>
      <c r="BA1332" s="93"/>
      <c r="BB1332" s="234">
        <f>IFERROR(INDEX('Total Customers'!$E$7:$AA$91,MATCH($C1332,'Total Customers'!$C$7:$C$91,0),MATCH($G1332,'Total Customers'!$E$5:$AA$5,0)),"NA")</f>
        <v>190984</v>
      </c>
      <c r="BC1332" s="269">
        <f t="shared" si="2328"/>
        <v>-6.6998871900309117E-4</v>
      </c>
      <c r="BD1332" s="92"/>
      <c r="BE1332" s="299" t="str">
        <f t="shared" si="2317"/>
        <v>YANKEE GAS SERVICES COMPANY</v>
      </c>
      <c r="BF1332" s="300">
        <f t="shared" si="2318"/>
        <v>4064141</v>
      </c>
      <c r="BG1332" s="231" t="str">
        <f t="shared" si="2319"/>
        <v>CT</v>
      </c>
      <c r="BH1332" s="231"/>
      <c r="BI1332" s="231" t="str">
        <f t="shared" si="2320"/>
        <v>2002 Y</v>
      </c>
      <c r="BJ1332" s="129"/>
      <c r="BK1332" s="129"/>
      <c r="BL1332" s="129">
        <f>INDEX('Dist. Plant Gas Additions'!$E$7:$AD$91,MATCH($C1332,'Dist. Plant Gas Additions'!$C$7:$C$91,0),MATCH(Calculation!$G1332,'Dist. Plant Gas Additions'!$E$5:$AD$5,0))</f>
        <v>44077</v>
      </c>
      <c r="BM1332" s="129">
        <f>INDEX('Gen. Plant Additions'!$E$7:$AD$91,MATCH($C1332,'Gen. Plant Additions'!$C$7:$C$91,0),MATCH(Calculation!$G1332,'Gen. Plant Additions'!$E$5:$AD$5,0))</f>
        <v>6338</v>
      </c>
      <c r="BN1332" s="301">
        <f t="shared" si="2346"/>
        <v>0.89803814819855732</v>
      </c>
      <c r="BO1332" s="231">
        <f t="shared" si="2374"/>
        <v>5691.7657832824561</v>
      </c>
      <c r="BP1332" s="231">
        <f t="shared" si="2375"/>
        <v>-646.23421671754386</v>
      </c>
      <c r="BQ1332" s="129">
        <f>INDEX('Dist Plant Depreciation'!$D$7:$AC$94,MATCH($C1332,'Dist Plant Depreciation'!$C$7:$C$94,0),MATCH(Calculation!$G1332,'Dist Plant Depreciation'!$D$5:$AC$5,0))</f>
        <v>247837</v>
      </c>
      <c r="BR1332" s="129">
        <f>INDEX('Gen. Plant Depreciation'!$D$7:$AC$94,MATCH($C1332,'Gen. Plant Depreciation'!$C$7:$C$94,0),MATCH(Calculation!$G1332,'Gen. Plant Depreciation'!$D$5:$AC$5,0))</f>
        <v>26384</v>
      </c>
      <c r="BS1332" s="129"/>
      <c r="BT1332" s="129"/>
      <c r="BU1332" s="129"/>
      <c r="BV1332" s="129"/>
      <c r="BW1332" s="129"/>
      <c r="BX1332" s="137"/>
      <c r="BY1332" s="129">
        <f>INDEX('Gross Dx Plant'!$D$7:$AC$91,MATCH($C1332,'Gross Dx Plant'!$C$7:$C$91,0),MATCH(Calculation!$G1332,'Gross Dx Plant'!$D$5:$AC$5,0))</f>
        <v>600431</v>
      </c>
      <c r="BZ1332" s="129">
        <f>INDEX('Gross Gen Plant'!$D$7:$AC$91,MATCH($C1332,'Gross Gen Plant'!$C$7:$C$91,0),MATCH(Calculation!$G1332,'Gross Gen Plant'!$D$5:$AC$5,0))</f>
        <v>68172</v>
      </c>
      <c r="CA1332" s="129">
        <f t="shared" si="2294"/>
        <v>394382</v>
      </c>
      <c r="CB1332" s="129"/>
      <c r="CC1332" s="133">
        <v>2002</v>
      </c>
      <c r="CD1332" s="129"/>
      <c r="CE1332" s="129"/>
      <c r="CF1332" s="129"/>
      <c r="CG1332" s="137"/>
      <c r="CH1332" s="129">
        <f t="shared" si="2389"/>
        <v>50415</v>
      </c>
      <c r="CI1332" s="46">
        <f t="shared" si="2398"/>
        <v>49768.765783282455</v>
      </c>
      <c r="CJ1332" s="231">
        <f t="shared" si="2390"/>
        <v>137.73078294771287</v>
      </c>
      <c r="CK1332" s="443">
        <v>0.95918367346938771</v>
      </c>
      <c r="CL1332" s="231">
        <f>+CL1328*CK1332+CJ1329*CK1331+CJ1330*CK1330+CJ1331*CK1329+CJ1332</f>
        <v>2002.6784156468816</v>
      </c>
      <c r="CM1332" s="134">
        <f t="shared" si="2391"/>
        <v>6.0130069873920243E-2</v>
      </c>
      <c r="CN1332" s="135">
        <f t="shared" si="2392"/>
        <v>1.1060823104397804E-2</v>
      </c>
      <c r="CO1332" s="135">
        <f t="shared" ref="CO1332:CO1352" si="2401">+(CN1332+CN1331+CN1330)/3</f>
        <v>1.0464714463944223E-2</v>
      </c>
      <c r="CP1332" s="134">
        <f>VLOOKUP($H1332,RoR!$E:$F,2,FALSE)</f>
        <v>6.4916666666666664E-2</v>
      </c>
      <c r="CQ1332" s="135">
        <v>1.5246423291824351E-2</v>
      </c>
      <c r="CR1332" s="135">
        <f t="shared" si="2399"/>
        <v>4.9670243374842313E-2</v>
      </c>
      <c r="CS1332" s="135">
        <f t="shared" ref="CS1332:CS1352" si="2402">+$CR$2-CO1332</f>
        <v>2.0437227144589402E-2</v>
      </c>
      <c r="CT1332" s="135">
        <v>2.5243621214759093E-2</v>
      </c>
      <c r="CU1332" s="139">
        <f t="shared" si="2393"/>
        <v>0.85126000000000002</v>
      </c>
      <c r="CV1332" s="335">
        <f t="shared" si="2394"/>
        <v>0.78996741384417901</v>
      </c>
      <c r="CW1332" s="335">
        <f t="shared" si="2395"/>
        <v>0.58989088575096271</v>
      </c>
      <c r="CX1332" s="335">
        <f t="shared" si="2396"/>
        <v>0.91920675783645744</v>
      </c>
      <c r="CY1332" s="335">
        <f t="shared" si="2397"/>
        <v>0.42834536472275586</v>
      </c>
      <c r="CZ1332" s="336">
        <f>INDEX('State Tax Lookup'!$D$7:$Z$91,MATCH(Calculation!$C1332,'State Tax Lookup'!$B$7:$B$91,0),MATCH($H1332,'State Tax Lookup'!$D$6:$Z$6,0))</f>
        <v>0.40200000000000002</v>
      </c>
      <c r="DA1332" s="302">
        <v>0.37</v>
      </c>
      <c r="DB1332" s="57">
        <f t="shared" si="2400"/>
        <v>10.476634645330698</v>
      </c>
      <c r="DC1332" s="56">
        <f t="shared" ref="DC1332:DC1350" si="2403">LN(DB1332/DB1331)</f>
        <v>3.2018708163249962E-3</v>
      </c>
      <c r="DD1332" s="303">
        <f>VLOOKUP($H1332,RoR!$E:$F,2,FALSE)</f>
        <v>6.4916666666666664E-2</v>
      </c>
      <c r="DE1332" s="304">
        <f>HLOOKUP($H1332,'GDP-PI'!$D$8:$CQ$11,3,FALSE)</f>
        <v>1.5246423291824351E-2</v>
      </c>
      <c r="DF1332" s="303">
        <f>VLOOKUP(H1332,'HW Dx Data'!$E:$F,2,FALSE)</f>
        <v>361.34816573413599</v>
      </c>
      <c r="DG1332" s="364"/>
      <c r="DH1332" s="364"/>
      <c r="DI1332" s="364"/>
      <c r="DJ1332" s="56"/>
      <c r="DK1332" s="53">
        <f>HLOOKUP(H1332,'GDP-PI'!$8:$9,2,FALSE)</f>
        <v>81.039000000000001</v>
      </c>
      <c r="DL1332" s="355">
        <f>LN(DK1332/DK1331)</f>
        <v>1.513136459537477E-2</v>
      </c>
    </row>
    <row r="1333" spans="1:116" s="126" customFormat="1" ht="21" customHeight="1" x14ac:dyDescent="0.4">
      <c r="A1333" s="233" t="s">
        <v>260</v>
      </c>
      <c r="B1333" s="126" t="s">
        <v>261</v>
      </c>
      <c r="C1333" s="126">
        <v>4064141</v>
      </c>
      <c r="D1333" s="127" t="s">
        <v>203</v>
      </c>
      <c r="E1333" s="127" t="s">
        <v>15</v>
      </c>
      <c r="F1333" s="144"/>
      <c r="G1333" s="126" t="s">
        <v>159</v>
      </c>
      <c r="H1333" s="128">
        <v>2003</v>
      </c>
      <c r="I1333" s="129"/>
      <c r="J1333" s="125"/>
      <c r="K1333" s="125"/>
      <c r="L1333" s="47"/>
      <c r="M1333" s="125"/>
      <c r="N1333" s="125"/>
      <c r="O1333" s="125"/>
      <c r="P1333" s="59"/>
      <c r="Q1333" s="59"/>
      <c r="R1333" s="386"/>
      <c r="S1333" s="119"/>
      <c r="T1333" s="59"/>
      <c r="U1333" s="59"/>
      <c r="V1333" s="125"/>
      <c r="W1333" s="125"/>
      <c r="X1333" s="125"/>
      <c r="Y1333" s="125"/>
      <c r="Z1333" s="125"/>
      <c r="AA1333" s="125"/>
      <c r="AB1333" s="125"/>
      <c r="AC1333" s="125">
        <f t="shared" si="2388"/>
        <v>21156.897110386763</v>
      </c>
      <c r="AD1333" s="129"/>
      <c r="AE1333" s="133">
        <v>2220.3545626158948</v>
      </c>
      <c r="AF1333" s="134">
        <v>7.8739902507777931E-2</v>
      </c>
      <c r="AG1333" s="61"/>
      <c r="AH1333" s="134"/>
      <c r="AI1333" s="134"/>
      <c r="AJ1333" s="129">
        <f t="shared" si="2372"/>
        <v>21156.897110386763</v>
      </c>
      <c r="AK1333" s="134"/>
      <c r="AL1333" s="129"/>
      <c r="AM1333" s="129"/>
      <c r="AN1333" s="129"/>
      <c r="AO1333" s="129"/>
      <c r="AP1333" s="133"/>
      <c r="AQ1333" s="134"/>
      <c r="AR1333" s="93"/>
      <c r="AS1333" s="93"/>
      <c r="AT1333" s="93"/>
      <c r="AU1333" s="93"/>
      <c r="AV1333" s="93"/>
      <c r="AW1333" s="134"/>
      <c r="AX1333" s="93"/>
      <c r="AY1333" s="93"/>
      <c r="AZ1333" s="93"/>
      <c r="BA1333" s="93"/>
      <c r="BB1333" s="234">
        <f>IFERROR(INDEX('Total Customers'!$E$7:$AA$91,MATCH($C1333,'Total Customers'!$C$7:$C$91,0),MATCH($G1333,'Total Customers'!$E$5:$AA$5,0)),"NA")</f>
        <v>192816</v>
      </c>
      <c r="BC1333" s="269">
        <f t="shared" si="2328"/>
        <v>9.5467113807858398E-3</v>
      </c>
      <c r="BD1333" s="92"/>
      <c r="BE1333" s="299" t="str">
        <f t="shared" si="2317"/>
        <v>YANKEE GAS SERVICES COMPANY</v>
      </c>
      <c r="BF1333" s="300">
        <f t="shared" si="2318"/>
        <v>4064141</v>
      </c>
      <c r="BG1333" s="231" t="str">
        <f t="shared" si="2319"/>
        <v>CT</v>
      </c>
      <c r="BH1333" s="231"/>
      <c r="BI1333" s="231" t="str">
        <f t="shared" si="2320"/>
        <v>2003 Y</v>
      </c>
      <c r="BJ1333" s="129"/>
      <c r="BK1333" s="129"/>
      <c r="BL1333" s="129">
        <f>INDEX('Dist. Plant Gas Additions'!$E$7:$AD$91,MATCH($C1333,'Dist. Plant Gas Additions'!$C$7:$C$91,0),MATCH(Calculation!$G1333,'Dist. Plant Gas Additions'!$E$5:$AD$5,0))</f>
        <v>52497</v>
      </c>
      <c r="BM1333" s="129">
        <f>INDEX('Gen. Plant Additions'!$E$7:$AD$91,MATCH($C1333,'Gen. Plant Additions'!$C$7:$C$91,0),MATCH(Calculation!$G1333,'Gen. Plant Additions'!$E$5:$AD$5,0))</f>
        <v>13854</v>
      </c>
      <c r="BN1333" s="301">
        <f t="shared" si="2346"/>
        <v>0.88985941954941739</v>
      </c>
      <c r="BO1333" s="231">
        <f t="shared" si="2374"/>
        <v>12328.112398437628</v>
      </c>
      <c r="BP1333" s="231">
        <f t="shared" si="2375"/>
        <v>-1525.8876015623719</v>
      </c>
      <c r="BQ1333" s="129">
        <f>INDEX('Dist Plant Depreciation'!$D$7:$AC$94,MATCH($C1333,'Dist Plant Depreciation'!$C$7:$C$94,0),MATCH(Calculation!$G1333,'Dist Plant Depreciation'!$D$5:$AC$5,0))</f>
        <v>257621</v>
      </c>
      <c r="BR1333" s="129">
        <f>INDEX('Gen. Plant Depreciation'!$D$7:$AC$94,MATCH($C1333,'Gen. Plant Depreciation'!$C$7:$C$94,0),MATCH(Calculation!$G1333,'Gen. Plant Depreciation'!$D$5:$AC$5,0))</f>
        <v>29686</v>
      </c>
      <c r="BS1333" s="129"/>
      <c r="BT1333" s="129"/>
      <c r="BU1333" s="129"/>
      <c r="BV1333" s="129"/>
      <c r="BW1333" s="129"/>
      <c r="BX1333" s="137"/>
      <c r="BY1333" s="129">
        <f>INDEX('Gross Dx Plant'!$D$7:$AC$91,MATCH($C1333,'Gross Dx Plant'!$C$7:$C$91,0),MATCH(Calculation!$G1333,'Gross Dx Plant'!$D$5:$AC$5,0))</f>
        <v>647928</v>
      </c>
      <c r="BZ1333" s="129">
        <f>INDEX('Gross Gen Plant'!$D$7:$AC$91,MATCH($C1333,'Gross Gen Plant'!$C$7:$C$91,0),MATCH(Calculation!$G1333,'Gross Gen Plant'!$D$5:$AC$5,0))</f>
        <v>80196</v>
      </c>
      <c r="CA1333" s="129">
        <f t="shared" si="2294"/>
        <v>440817</v>
      </c>
      <c r="CB1333" s="129"/>
      <c r="CC1333" s="133">
        <v>2003</v>
      </c>
      <c r="CD1333" s="129"/>
      <c r="CE1333" s="129"/>
      <c r="CF1333" s="129"/>
      <c r="CG1333" s="137"/>
      <c r="CH1333" s="129">
        <f t="shared" si="2389"/>
        <v>66351</v>
      </c>
      <c r="CI1333" s="46">
        <f t="shared" si="2398"/>
        <v>64825.112398437632</v>
      </c>
      <c r="CJ1333" s="231">
        <f t="shared" si="2390"/>
        <v>175.56694681947727</v>
      </c>
      <c r="CK1333" s="443">
        <v>0.94845360824742264</v>
      </c>
      <c r="CL1333" s="231">
        <f>+CL1328*CK1333+CJ1329*CK1332+CJ1330*CK1331+CJ1331*CK1330+CJ1332*CK1329+CJ1333</f>
        <v>2156.1804534412931</v>
      </c>
      <c r="CM1333" s="134">
        <f t="shared" si="2391"/>
        <v>7.3852855356477828E-2</v>
      </c>
      <c r="CN1333" s="135">
        <f t="shared" si="2392"/>
        <v>1.1017699523135163E-2</v>
      </c>
      <c r="CO1333" s="135">
        <f t="shared" si="2401"/>
        <v>1.0744831834745741E-2</v>
      </c>
      <c r="CP1333" s="134">
        <f>VLOOKUP($H1333,RoR!$E:$F,2,FALSE)</f>
        <v>5.6666666666666671E-2</v>
      </c>
      <c r="CQ1333" s="135">
        <v>1.8855119140166909E-2</v>
      </c>
      <c r="CR1333" s="135">
        <f t="shared" si="2399"/>
        <v>3.7811547526499761E-2</v>
      </c>
      <c r="CS1333" s="135">
        <f t="shared" si="2402"/>
        <v>2.0157109773787884E-2</v>
      </c>
      <c r="CT1333" s="135">
        <v>2.1375012817671957E-2</v>
      </c>
      <c r="CU1333" s="139">
        <f t="shared" si="2393"/>
        <v>0.85126000000000002</v>
      </c>
      <c r="CV1333" s="335">
        <f t="shared" si="2394"/>
        <v>0.90497737556561086</v>
      </c>
      <c r="CW1333" s="335">
        <f t="shared" si="2395"/>
        <v>0.5338235294117647</v>
      </c>
      <c r="CX1333" s="335">
        <f t="shared" si="2396"/>
        <v>0.88972433127405692</v>
      </c>
      <c r="CY1333" s="335">
        <f t="shared" si="2397"/>
        <v>0.42982423775949252</v>
      </c>
      <c r="CZ1333" s="336">
        <f>INDEX('State Tax Lookup'!$D$7:$Z$91,MATCH(Calculation!$C1333,'State Tax Lookup'!$B$7:$B$91,0),MATCH($H1333,'State Tax Lookup'!$D$6:$Z$6,0))</f>
        <v>0.40200000000000002</v>
      </c>
      <c r="DA1333" s="302">
        <v>0.37</v>
      </c>
      <c r="DB1333" s="57">
        <f t="shared" si="2400"/>
        <v>10.564300760965116</v>
      </c>
      <c r="DC1333" s="56">
        <f t="shared" si="2403"/>
        <v>8.3329587038269027E-3</v>
      </c>
      <c r="DD1333" s="303">
        <f>VLOOKUP($H1333,RoR!$E:$F,2,FALSE)</f>
        <v>5.6666666666666671E-2</v>
      </c>
      <c r="DE1333" s="304">
        <f>HLOOKUP($H1333,'GDP-PI'!$D$8:$CQ$11,3,FALSE)</f>
        <v>1.8855119140166909E-2</v>
      </c>
      <c r="DF1333" s="303">
        <f>VLOOKUP(H1333,'HW Dx Data'!$E:$F,2,FALSE)</f>
        <v>369.23301095560191</v>
      </c>
      <c r="DG1333" s="364">
        <f ca="1">VLOOKUP(CC1333,'ECI - Input Price'!M$13:N$33,2,FALSE)</f>
        <v>89.25</v>
      </c>
      <c r="DH1333" s="364"/>
      <c r="DI1333" s="364"/>
      <c r="DJ1333" s="56"/>
      <c r="DK1333" s="53">
        <f>HLOOKUP(H1333,'GDP-PI'!$8:$9,2,FALSE)</f>
        <v>82.566999999999993</v>
      </c>
      <c r="DL1333" s="355">
        <f t="shared" ref="DL1333:DL1352" si="2404">LN(DK1333/DK1332)</f>
        <v>1.8679564681853753E-2</v>
      </c>
    </row>
    <row r="1334" spans="1:116" s="126" customFormat="1" ht="21" customHeight="1" x14ac:dyDescent="0.4">
      <c r="A1334" s="233" t="s">
        <v>260</v>
      </c>
      <c r="B1334" s="126" t="s">
        <v>261</v>
      </c>
      <c r="C1334" s="126">
        <v>4064141</v>
      </c>
      <c r="D1334" s="127" t="s">
        <v>203</v>
      </c>
      <c r="E1334" s="127" t="s">
        <v>15</v>
      </c>
      <c r="F1334" s="144"/>
      <c r="G1334" s="126" t="s">
        <v>160</v>
      </c>
      <c r="H1334" s="128">
        <v>2004</v>
      </c>
      <c r="I1334" s="129"/>
      <c r="J1334" s="125">
        <f>IFERROR(INDEX('Labor Expenditures'!$E$7:$W$91,MATCH($C1334,'Labor Expenditures'!$C$7:$C$91,0),MATCH($G1334,'Labor Expenditures'!$E$5:$W$5,0)),"NA")</f>
        <v>23894.892477881745</v>
      </c>
      <c r="K1334" s="125">
        <f t="shared" ref="K1334:K1352" ca="1" si="2405">+J1334/DG1334</f>
        <v>253.25800188533913</v>
      </c>
      <c r="L1334" s="47"/>
      <c r="M1334" s="131"/>
      <c r="N1334" s="131"/>
      <c r="O1334" s="131"/>
      <c r="P1334" s="59"/>
      <c r="Q1334" s="59"/>
      <c r="R1334" s="386"/>
      <c r="S1334" s="119"/>
      <c r="T1334" s="59"/>
      <c r="U1334" s="59"/>
      <c r="V1334" s="125">
        <f>IFERROR(INDEX('Non-Labor Expenditures'!$E$7:$AA$91,MATCH($C1334,'Non-Labor Expenditures'!$C$7:$C$91,0),MATCH($G1334,'Non-Labor Expenditures'!$E$5:$AA$5,0)),"NA")</f>
        <v>34604.267258270527</v>
      </c>
      <c r="W1334" s="125">
        <f t="shared" ref="W1334:W1352" si="2406">+V1334/DK1334</f>
        <v>408.17508384569732</v>
      </c>
      <c r="X1334" s="125"/>
      <c r="Y1334" s="125"/>
      <c r="Z1334" s="125"/>
      <c r="AA1334" s="125"/>
      <c r="AB1334" s="125"/>
      <c r="AC1334" s="125">
        <f t="shared" si="2388"/>
        <v>25031.925501434147</v>
      </c>
      <c r="AD1334" s="129"/>
      <c r="AE1334" s="133">
        <v>2319.6056086485155</v>
      </c>
      <c r="AF1334" s="134">
        <v>4.3730278933537967E-2</v>
      </c>
      <c r="AG1334" s="59">
        <f t="shared" ref="AG1334:AG1352" si="2407">+AF1334*$AX1334</f>
        <v>0</v>
      </c>
      <c r="AH1334" s="134"/>
      <c r="AI1334" s="134"/>
      <c r="AJ1334" s="129">
        <f t="shared" si="2372"/>
        <v>83531.08523758642</v>
      </c>
      <c r="AK1334" s="134"/>
      <c r="AL1334" s="129"/>
      <c r="AM1334" s="129"/>
      <c r="AN1334" s="129"/>
      <c r="AO1334" s="129"/>
      <c r="AP1334" s="133"/>
      <c r="AQ1334" s="134"/>
      <c r="AR1334" s="93">
        <f t="shared" ref="AR1334:AR1352" si="2408">+J1334/AJ1334</f>
        <v>0.286059883095231</v>
      </c>
      <c r="AS1334" s="93">
        <f t="shared" ref="AS1334:AS1352" si="2409">+V1334/AJ1334</f>
        <v>0.41426813933814033</v>
      </c>
      <c r="AT1334" s="93">
        <f t="shared" ref="AT1334:AT1352" si="2410">+AC1334/AJ1334</f>
        <v>0.29967197756662872</v>
      </c>
      <c r="AU1334" s="93"/>
      <c r="AV1334" s="93"/>
      <c r="AW1334" s="134"/>
      <c r="AX1334" s="93"/>
      <c r="AY1334" s="93"/>
      <c r="AZ1334" s="93"/>
      <c r="BA1334" s="93"/>
      <c r="BB1334" s="234">
        <f>IFERROR(INDEX('Total Customers'!$E$7:$AA$91,MATCH($C1334,'Total Customers'!$C$7:$C$91,0),MATCH($G1334,'Total Customers'!$E$5:$AA$5,0)),"NA")</f>
        <v>194212</v>
      </c>
      <c r="BC1334" s="269">
        <f t="shared" si="2328"/>
        <v>7.2139796301877879E-3</v>
      </c>
      <c r="BD1334" s="92"/>
      <c r="BE1334" s="299" t="str">
        <f t="shared" si="2317"/>
        <v>YANKEE GAS SERVICES COMPANY</v>
      </c>
      <c r="BF1334" s="300">
        <f t="shared" si="2318"/>
        <v>4064141</v>
      </c>
      <c r="BG1334" s="231" t="str">
        <f t="shared" si="2319"/>
        <v>CT</v>
      </c>
      <c r="BH1334" s="231"/>
      <c r="BI1334" s="231" t="str">
        <f t="shared" si="2320"/>
        <v>2004 Y</v>
      </c>
      <c r="BJ1334" s="129"/>
      <c r="BK1334" s="129"/>
      <c r="BL1334" s="129">
        <f>INDEX('Dist. Plant Gas Additions'!$E$7:$AD$91,MATCH($C1334,'Dist. Plant Gas Additions'!$C$7:$C$91,0),MATCH(Calculation!$G1334,'Dist. Plant Gas Additions'!$E$5:$AD$5,0))</f>
        <v>45512</v>
      </c>
      <c r="BM1334" s="129">
        <f>INDEX('Gen. Plant Additions'!$E$7:$AD$91,MATCH($C1334,'Gen. Plant Additions'!$C$7:$C$91,0),MATCH(Calculation!$G1334,'Gen. Plant Additions'!$E$5:$AD$5,0))</f>
        <v>993</v>
      </c>
      <c r="BN1334" s="301">
        <f t="shared" si="2346"/>
        <v>0.89775076716907443</v>
      </c>
      <c r="BO1334" s="231">
        <f t="shared" si="2374"/>
        <v>891.46651179889091</v>
      </c>
      <c r="BP1334" s="231">
        <f t="shared" si="2375"/>
        <v>-101.53348820110909</v>
      </c>
      <c r="BQ1334" s="129">
        <f>INDEX('Dist Plant Depreciation'!$D$7:$AC$94,MATCH($C1334,'Dist Plant Depreciation'!$C$7:$C$94,0),MATCH(Calculation!$G1334,'Dist Plant Depreciation'!$D$5:$AC$5,0))</f>
        <v>268255</v>
      </c>
      <c r="BR1334" s="129">
        <f>INDEX('Gen. Plant Depreciation'!$D$7:$AC$94,MATCH($C1334,'Gen. Plant Depreciation'!$C$7:$C$94,0),MATCH(Calculation!$G1334,'Gen. Plant Depreciation'!$D$5:$AC$5,0))</f>
        <v>33109</v>
      </c>
      <c r="BS1334" s="129"/>
      <c r="BT1334" s="129"/>
      <c r="BU1334" s="129"/>
      <c r="BV1334" s="129"/>
      <c r="BW1334" s="129"/>
      <c r="BX1334" s="137"/>
      <c r="BY1334" s="129">
        <f>INDEX('Gross Dx Plant'!$D$7:$AC$91,MATCH($C1334,'Gross Dx Plant'!$C$7:$C$91,0),MATCH(Calculation!$G1334,'Gross Dx Plant'!$D$5:$AC$5,0))</f>
        <v>688670</v>
      </c>
      <c r="BZ1334" s="129">
        <f>INDEX('Gross Gen Plant'!$D$7:$AC$91,MATCH($C1334,'Gross Gen Plant'!$C$7:$C$91,0),MATCH(Calculation!$G1334,'Gross Gen Plant'!$D$5:$AC$5,0))</f>
        <v>78436</v>
      </c>
      <c r="CA1334" s="129">
        <f t="shared" si="2294"/>
        <v>465742</v>
      </c>
      <c r="CB1334" s="129"/>
      <c r="CC1334" s="133">
        <v>2004</v>
      </c>
      <c r="CD1334" s="129"/>
      <c r="CE1334" s="129"/>
      <c r="CF1334" s="129"/>
      <c r="CG1334" s="137"/>
      <c r="CH1334" s="129">
        <f t="shared" si="2389"/>
        <v>46505</v>
      </c>
      <c r="CI1334" s="46">
        <f t="shared" si="2398"/>
        <v>46403.466511798892</v>
      </c>
      <c r="CJ1334" s="231">
        <f t="shared" si="2390"/>
        <v>111.84598483397714</v>
      </c>
      <c r="CK1334" s="443">
        <v>0.9375</v>
      </c>
      <c r="CL1334" s="231">
        <f>+CL1328*CK1334+CJ1329*CK1333+CJ1330*CK1332+CJ1331*CK1331+CJ1332*CK1330+CJ1333*CK1329+CJ1334</f>
        <v>2243.7657606941316</v>
      </c>
      <c r="CM1334" s="134">
        <f t="shared" si="2391"/>
        <v>3.9817249693699416E-2</v>
      </c>
      <c r="CN1334" s="135">
        <f t="shared" si="2392"/>
        <v>1.1251691639453611E-2</v>
      </c>
      <c r="CO1334" s="135">
        <f t="shared" si="2401"/>
        <v>1.111007142232886E-2</v>
      </c>
      <c r="CP1334" s="134">
        <f>VLOOKUP($H1334,RoR!$E:$F,2,FALSE)</f>
        <v>5.6283333333333331E-2</v>
      </c>
      <c r="CQ1334" s="135">
        <v>2.6778252812867276E-2</v>
      </c>
      <c r="CR1334" s="135">
        <f t="shared" si="2399"/>
        <v>2.9505080520466055E-2</v>
      </c>
      <c r="CS1334" s="135">
        <f t="shared" si="2402"/>
        <v>1.9791870186204763E-2</v>
      </c>
      <c r="CT1334" s="135">
        <v>5.5940039414565046E-2</v>
      </c>
      <c r="CU1334" s="139">
        <f t="shared" si="2393"/>
        <v>0.85126000000000002</v>
      </c>
      <c r="CV1334" s="335">
        <f t="shared" si="2394"/>
        <v>0.91114097628755619</v>
      </c>
      <c r="CW1334" s="335">
        <f t="shared" si="2395"/>
        <v>0.53081877405981637</v>
      </c>
      <c r="CX1334" s="335">
        <f t="shared" si="2396"/>
        <v>0.88811215519385678</v>
      </c>
      <c r="CY1334" s="335">
        <f t="shared" si="2397"/>
        <v>0.42953609753547711</v>
      </c>
      <c r="CZ1334" s="336">
        <f>INDEX('State Tax Lookup'!$D$7:$Z$91,MATCH(Calculation!$C1334,'State Tax Lookup'!$B$7:$B$91,0),MATCH($H1334,'State Tax Lookup'!$D$6:$Z$6,0))</f>
        <v>0.40200000000000002</v>
      </c>
      <c r="DA1334" s="302">
        <v>0.37</v>
      </c>
      <c r="DB1334" s="57">
        <f t="shared" si="2400"/>
        <v>11.609383371175106</v>
      </c>
      <c r="DC1334" s="56">
        <f t="shared" si="2403"/>
        <v>9.4333218030710306E-2</v>
      </c>
      <c r="DD1334" s="303">
        <f>VLOOKUP($H1334,RoR!$E:$F,2,FALSE)</f>
        <v>5.6283333333333331E-2</v>
      </c>
      <c r="DE1334" s="304">
        <f>HLOOKUP($H1334,'GDP-PI'!$D$8:$CQ$11,3,FALSE)</f>
        <v>2.6778252812867276E-2</v>
      </c>
      <c r="DF1334" s="303">
        <f>VLOOKUP(H1334,'HW Dx Data'!$E:$F,2,FALSE)</f>
        <v>414.88719135228365</v>
      </c>
      <c r="DG1334" s="364">
        <f ca="1">VLOOKUP(CC1334,'ECI - Input Price'!M$13:N$33,2,FALSE)</f>
        <v>94.35</v>
      </c>
      <c r="DH1334" s="364"/>
      <c r="DI1334" s="364"/>
      <c r="DJ1334" s="56">
        <f t="shared" ref="DJ1334:DJ1352" ca="1" si="2411">LN(DG1334/DG1333)</f>
        <v>5.5569851154810786E-2</v>
      </c>
      <c r="DK1334" s="53">
        <f>HLOOKUP(H1334,'GDP-PI'!$8:$9,2,FALSE)</f>
        <v>84.778000000000006</v>
      </c>
      <c r="DL1334" s="355">
        <f t="shared" si="2404"/>
        <v>2.6425990216022755E-2</v>
      </c>
    </row>
    <row r="1335" spans="1:116" s="126" customFormat="1" ht="21" customHeight="1" x14ac:dyDescent="0.4">
      <c r="A1335" s="233" t="s">
        <v>260</v>
      </c>
      <c r="B1335" s="126" t="s">
        <v>261</v>
      </c>
      <c r="C1335" s="126">
        <v>4064141</v>
      </c>
      <c r="D1335" s="127" t="s">
        <v>203</v>
      </c>
      <c r="E1335" s="127" t="s">
        <v>15</v>
      </c>
      <c r="F1335" s="144"/>
      <c r="G1335" s="126" t="s">
        <v>161</v>
      </c>
      <c r="H1335" s="128">
        <v>2005</v>
      </c>
      <c r="I1335" s="129"/>
      <c r="J1335" s="125">
        <f>IFERROR(INDEX('Labor Expenditures'!$E$7:$W$91,MATCH($C1335,'Labor Expenditures'!$C$7:$C$91,0),MATCH($G1335,'Labor Expenditures'!$E$5:$W$5,0)),"NA")</f>
        <v>25302.443898977537</v>
      </c>
      <c r="K1335" s="125">
        <f t="shared" ca="1" si="2405"/>
        <v>255.00069437115181</v>
      </c>
      <c r="L1335" s="47"/>
      <c r="M1335" s="131">
        <f t="shared" ref="M1335:M1351" ca="1" si="2412">LN(K1335/K1334)</f>
        <v>6.8575287660432244E-3</v>
      </c>
      <c r="N1335" s="131"/>
      <c r="O1335" s="131"/>
      <c r="P1335" s="59"/>
      <c r="Q1335" s="61"/>
      <c r="R1335" s="387"/>
      <c r="S1335" s="49">
        <v>100</v>
      </c>
      <c r="T1335" s="46"/>
      <c r="U1335" s="46"/>
      <c r="V1335" s="125">
        <f>IFERROR(INDEX('Non-Labor Expenditures'!$E$7:$AA$91,MATCH($C1335,'Non-Labor Expenditures'!$C$7:$C$91,0),MATCH($G1335,'Non-Labor Expenditures'!$E$5:$AA$5,0)),"NA")</f>
        <v>36642.664610359177</v>
      </c>
      <c r="W1335" s="125">
        <f t="shared" si="2406"/>
        <v>419.21887961329389</v>
      </c>
      <c r="X1335" s="131">
        <f>LN(W1335/W1334)</f>
        <v>2.6696959809879281E-2</v>
      </c>
      <c r="Y1335" s="131"/>
      <c r="Z1335" s="131"/>
      <c r="AA1335" s="131"/>
      <c r="AB1335" s="131"/>
      <c r="AC1335" s="125">
        <f t="shared" si="2388"/>
        <v>29131.612888648102</v>
      </c>
      <c r="AD1335" s="129"/>
      <c r="AE1335" s="133">
        <v>2388.1849249908983</v>
      </c>
      <c r="AF1335" s="134">
        <v>2.9136456852987217E-2</v>
      </c>
      <c r="AG1335" s="59">
        <f t="shared" si="2407"/>
        <v>0</v>
      </c>
      <c r="AH1335" s="134"/>
      <c r="AI1335" s="134"/>
      <c r="AJ1335" s="129">
        <f t="shared" si="2372"/>
        <v>91076.721397984817</v>
      </c>
      <c r="AK1335" s="134">
        <f>LN(AJ1335/AJ1334)</f>
        <v>8.6483402726841227E-2</v>
      </c>
      <c r="AL1335" s="129"/>
      <c r="AM1335" s="129"/>
      <c r="AN1335" s="129"/>
      <c r="AO1335" s="129"/>
      <c r="AP1335" s="133"/>
      <c r="AQ1335" s="134"/>
      <c r="AR1335" s="93">
        <f t="shared" si="2408"/>
        <v>0.277814610699605</v>
      </c>
      <c r="AS1335" s="93">
        <f t="shared" si="2409"/>
        <v>0.40232744490481781</v>
      </c>
      <c r="AT1335" s="93">
        <f t="shared" si="2410"/>
        <v>0.31985794439557719</v>
      </c>
      <c r="AU1335" s="93">
        <f t="shared" ref="AU1335:AU1351" ca="1" si="2413">+(((AR1335+AR1334)/2)*M1335+((AS1334+AS1335)/2)*X1335+((AT1334+AT1335)/2)*AF1335)</f>
        <v>2.1859155947740821E-2</v>
      </c>
      <c r="AV1335" s="132">
        <v>100</v>
      </c>
      <c r="AW1335" s="134"/>
      <c r="AX1335" s="93"/>
      <c r="AY1335" s="93"/>
      <c r="AZ1335" s="93"/>
      <c r="BA1335" s="93"/>
      <c r="BB1335" s="234">
        <f>IFERROR(INDEX('Total Customers'!$E$7:$AA$91,MATCH($C1335,'Total Customers'!$C$7:$C$91,0),MATCH($G1335,'Total Customers'!$E$5:$AA$5,0)),"NA")</f>
        <v>196870</v>
      </c>
      <c r="BC1335" s="269">
        <f t="shared" si="2328"/>
        <v>1.359326651677204E-2</v>
      </c>
      <c r="BD1335" s="92"/>
      <c r="BE1335" s="299" t="str">
        <f t="shared" si="2317"/>
        <v>YANKEE GAS SERVICES COMPANY</v>
      </c>
      <c r="BF1335" s="300">
        <f t="shared" si="2318"/>
        <v>4064141</v>
      </c>
      <c r="BG1335" s="231" t="str">
        <f t="shared" si="2319"/>
        <v>CT</v>
      </c>
      <c r="BH1335" s="231"/>
      <c r="BI1335" s="231" t="str">
        <f t="shared" si="2320"/>
        <v>2005 Y</v>
      </c>
      <c r="BJ1335" s="129"/>
      <c r="BK1335" s="129"/>
      <c r="BL1335" s="129">
        <f>INDEX('Dist. Plant Gas Additions'!$E$7:$AD$91,MATCH($C1335,'Dist. Plant Gas Additions'!$C$7:$C$91,0),MATCH(Calculation!$G1335,'Dist. Plant Gas Additions'!$E$5:$AD$5,0))</f>
        <v>38473</v>
      </c>
      <c r="BM1335" s="129">
        <f>INDEX('Gen. Plant Additions'!$E$7:$AD$91,MATCH($C1335,'Gen. Plant Additions'!$C$7:$C$91,0),MATCH(Calculation!$G1335,'Gen. Plant Additions'!$E$5:$AD$5,0))</f>
        <v>186</v>
      </c>
      <c r="BN1335" s="301">
        <f t="shared" si="2346"/>
        <v>0.90230289684649934</v>
      </c>
      <c r="BO1335" s="231">
        <f t="shared" si="2374"/>
        <v>167.82833881344888</v>
      </c>
      <c r="BP1335" s="231">
        <f t="shared" si="2375"/>
        <v>-18.17166118655112</v>
      </c>
      <c r="BQ1335" s="129">
        <f>INDEX('Dist Plant Depreciation'!$D$7:$AC$94,MATCH($C1335,'Dist Plant Depreciation'!$C$7:$C$94,0),MATCH(Calculation!$G1335,'Dist Plant Depreciation'!$D$5:$AC$5,0))</f>
        <v>262207</v>
      </c>
      <c r="BR1335" s="129">
        <f>INDEX('Gen. Plant Depreciation'!$D$7:$AC$94,MATCH($C1335,'Gen. Plant Depreciation'!$C$7:$C$94,0),MATCH(Calculation!$G1335,'Gen. Plant Depreciation'!$D$5:$AC$5,0))</f>
        <v>37642</v>
      </c>
      <c r="BS1335" s="129"/>
      <c r="BT1335" s="129"/>
      <c r="BU1335" s="129"/>
      <c r="BV1335" s="129"/>
      <c r="BW1335" s="129"/>
      <c r="BX1335" s="137"/>
      <c r="BY1335" s="129">
        <f>INDEX('Gross Dx Plant'!$D$7:$AC$91,MATCH($C1335,'Gross Dx Plant'!$C$7:$C$91,0),MATCH(Calculation!$G1335,'Gross Dx Plant'!$D$5:$AC$5,0))</f>
        <v>722815</v>
      </c>
      <c r="BZ1335" s="129">
        <f>INDEX('Gross Gen Plant'!$D$7:$AC$91,MATCH($C1335,'Gross Gen Plant'!$C$7:$C$91,0),MATCH(Calculation!$G1335,'Gross Gen Plant'!$D$5:$AC$5,0))</f>
        <v>78263</v>
      </c>
      <c r="CA1335" s="129">
        <f t="shared" si="2294"/>
        <v>501229</v>
      </c>
      <c r="CB1335" s="129"/>
      <c r="CC1335" s="133">
        <v>2005</v>
      </c>
      <c r="CD1335" s="129"/>
      <c r="CE1335" s="129"/>
      <c r="CF1335" s="129"/>
      <c r="CG1335" s="137"/>
      <c r="CH1335" s="129">
        <f t="shared" si="2389"/>
        <v>38659</v>
      </c>
      <c r="CI1335" s="46">
        <f t="shared" si="2398"/>
        <v>38640.828338813451</v>
      </c>
      <c r="CJ1335" s="231">
        <f t="shared" si="2390"/>
        <v>82.353804372309554</v>
      </c>
      <c r="CK1335" s="443">
        <v>0.9263157894736842</v>
      </c>
      <c r="CL1335" s="231">
        <f>+CL1328*CK1335+CJ1329*CK1334+CJ1330*CK1333+CJ1331*CK1332+CJ1332*CK1331+CJ1333*CK1330+CJ1334*CK1329+CJ1335</f>
        <v>2300.244875103896</v>
      </c>
      <c r="CM1335" s="134">
        <f t="shared" si="2391"/>
        <v>2.4859987209749263E-2</v>
      </c>
      <c r="CN1335" s="135">
        <f t="shared" si="2392"/>
        <v>1.1531814245414169E-2</v>
      </c>
      <c r="CO1335" s="135">
        <f t="shared" si="2401"/>
        <v>1.1267068469334313E-2</v>
      </c>
      <c r="CP1335" s="134">
        <f>VLOOKUP($H1335,RoR!$E:$F,2,FALSE)</f>
        <v>5.2350000000000001E-2</v>
      </c>
      <c r="CQ1335" s="135">
        <v>3.1010403642454332E-2</v>
      </c>
      <c r="CR1335" s="135">
        <f t="shared" si="2399"/>
        <v>2.1339596357545669E-2</v>
      </c>
      <c r="CS1335" s="135">
        <f t="shared" si="2402"/>
        <v>1.9634873139199312E-2</v>
      </c>
      <c r="CT1335" s="135">
        <v>9.2129610649277341E-2</v>
      </c>
      <c r="CU1335" s="139">
        <f t="shared" si="2393"/>
        <v>0.85126000000000002</v>
      </c>
      <c r="CV1335" s="335">
        <f t="shared" si="2394"/>
        <v>0.97959983346802826</v>
      </c>
      <c r="CW1335" s="335">
        <f t="shared" si="2395"/>
        <v>0.49744508118433622</v>
      </c>
      <c r="CX1335" s="335">
        <f t="shared" si="2396"/>
        <v>0.87010519444335932</v>
      </c>
      <c r="CY1335" s="335">
        <f t="shared" si="2397"/>
        <v>0.42399975420741998</v>
      </c>
      <c r="CZ1335" s="336">
        <f>INDEX('State Tax Lookup'!$D$7:$Z$91,MATCH(Calculation!$C1335,'State Tax Lookup'!$B$7:$B$91,0),MATCH($H1335,'State Tax Lookup'!$D$6:$Z$6,0))</f>
        <v>0.40200000000000002</v>
      </c>
      <c r="DA1335" s="302">
        <v>0.37</v>
      </c>
      <c r="DB1335" s="57">
        <f t="shared" si="2400"/>
        <v>12.983357442639621</v>
      </c>
      <c r="DC1335" s="56">
        <f t="shared" si="2403"/>
        <v>0.11185465816154924</v>
      </c>
      <c r="DD1335" s="303">
        <f>VLOOKUP($H1335,RoR!$E:$F,2,FALSE)</f>
        <v>5.2350000000000001E-2</v>
      </c>
      <c r="DE1335" s="304">
        <f>HLOOKUP($H1335,'GDP-PI'!$D$8:$CQ$11,3,FALSE)</f>
        <v>3.1010403642454332E-2</v>
      </c>
      <c r="DF1335" s="303">
        <f>VLOOKUP(H1335,'HW Dx Data'!$E:$F,2,FALSE)</f>
        <v>469.20514034936258</v>
      </c>
      <c r="DG1335" s="364">
        <f ca="1">VLOOKUP(CC1335,'ECI - Input Price'!M$13:N$33,2,FALSE)</f>
        <v>99.224999999999994</v>
      </c>
      <c r="DH1335" s="364"/>
      <c r="DI1335" s="364"/>
      <c r="DJ1335" s="56">
        <f t="shared" ca="1" si="2411"/>
        <v>5.0378726854569796E-2</v>
      </c>
      <c r="DK1335" s="53">
        <f>HLOOKUP(H1335,'GDP-PI'!$8:$9,2,FALSE)</f>
        <v>87.406999999999996</v>
      </c>
      <c r="DL1335" s="355">
        <f t="shared" si="2404"/>
        <v>3.0539295810733648E-2</v>
      </c>
    </row>
    <row r="1336" spans="1:116" s="126" customFormat="1" ht="21" customHeight="1" x14ac:dyDescent="0.4">
      <c r="A1336" s="233" t="s">
        <v>260</v>
      </c>
      <c r="B1336" s="126" t="s">
        <v>261</v>
      </c>
      <c r="C1336" s="126">
        <v>4064141</v>
      </c>
      <c r="D1336" s="127" t="s">
        <v>203</v>
      </c>
      <c r="E1336" s="127" t="s">
        <v>15</v>
      </c>
      <c r="F1336" s="144"/>
      <c r="G1336" s="126" t="s">
        <v>162</v>
      </c>
      <c r="H1336" s="128">
        <v>2006</v>
      </c>
      <c r="I1336" s="129"/>
      <c r="J1336" s="125">
        <f>IFERROR(INDEX('Labor Expenditures'!$E$7:$W$91,MATCH($C1336,'Labor Expenditures'!$C$7:$C$91,0),MATCH($G1336,'Labor Expenditures'!$E$5:$W$5,0)),"NA")</f>
        <v>25095.715676010917</v>
      </c>
      <c r="K1336" s="125">
        <f t="shared" ca="1" si="2405"/>
        <v>229.39411038401204</v>
      </c>
      <c r="L1336" s="47"/>
      <c r="M1336" s="131">
        <f t="shared" ca="1" si="2412"/>
        <v>-0.10582473781484712</v>
      </c>
      <c r="N1336" s="131"/>
      <c r="O1336" s="131"/>
      <c r="P1336" s="59">
        <f t="shared" ref="P1336:P1352" ca="1" si="2414">+M1336*$AX1336</f>
        <v>-1.3082515638142397E-3</v>
      </c>
      <c r="Q1336" s="61"/>
      <c r="R1336" s="387"/>
      <c r="S1336" s="49">
        <f ca="1">+S1335*EXP(T1336)</f>
        <v>116.26221326778956</v>
      </c>
      <c r="T1336" s="61">
        <f ca="1">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+P2611+P2636+P2661</f>
        <v>0.1506779133290026</v>
      </c>
      <c r="U1336" s="61"/>
      <c r="V1336" s="125">
        <f>IFERROR(INDEX('Non-Labor Expenditures'!$E$7:$AA$91,MATCH($C1336,'Non-Labor Expenditures'!$C$7:$C$91,0),MATCH($G1336,'Non-Labor Expenditures'!$E$5:$AA$5,0)),"NA")</f>
        <v>36343.283531997513</v>
      </c>
      <c r="W1336" s="125">
        <f t="shared" si="2406"/>
        <v>403.4825091813122</v>
      </c>
      <c r="X1336" s="131">
        <f t="shared" ref="X1336:X1351" si="2415">LN(W1336/W1335)</f>
        <v>-3.8260030221549751E-2</v>
      </c>
      <c r="Y1336" s="131">
        <f t="shared" ref="Y1336:Y1352" si="2416">+X1336*AX1336</f>
        <v>-4.7298718052576211E-4</v>
      </c>
      <c r="Z1336" s="131"/>
      <c r="AA1336" s="131"/>
      <c r="AB1336" s="131"/>
      <c r="AC1336" s="125">
        <f t="shared" si="2388"/>
        <v>28971.74969770926</v>
      </c>
      <c r="AD1336" s="129"/>
      <c r="AE1336" s="133">
        <v>2445.6447263637579</v>
      </c>
      <c r="AF1336" s="134">
        <v>2.3775148122580626E-2</v>
      </c>
      <c r="AG1336" s="59">
        <f t="shared" si="2407"/>
        <v>2.9391875050709972E-4</v>
      </c>
      <c r="AH1336" s="134"/>
      <c r="AI1336" s="134"/>
      <c r="AJ1336" s="129">
        <f t="shared" si="2372"/>
        <v>90410.748905717686</v>
      </c>
      <c r="AK1336" s="134">
        <f t="shared" ref="AK1336:AK1352" si="2417">LN(AJ1336/AJ1335)</f>
        <v>-7.339079445786093E-3</v>
      </c>
      <c r="AL1336" s="129"/>
      <c r="AM1336" s="129"/>
      <c r="AN1336" s="129"/>
      <c r="AO1336" s="129"/>
      <c r="AP1336" s="133">
        <f t="shared" ref="AP1336:AP1352" si="2418">+(AJ1336*1000)/BB1336</f>
        <v>453.46629202825648</v>
      </c>
      <c r="AQ1336" s="134">
        <f>+BB1336/Outputs!$B$14</f>
        <v>5.7488082461606494E-3</v>
      </c>
      <c r="AR1336" s="93">
        <f t="shared" si="2408"/>
        <v>0.27757446962618659</v>
      </c>
      <c r="AS1336" s="93">
        <f t="shared" si="2409"/>
        <v>0.40197967577834232</v>
      </c>
      <c r="AT1336" s="93">
        <f t="shared" si="2410"/>
        <v>0.32044585459547115</v>
      </c>
      <c r="AU1336" s="93">
        <f t="shared" ca="1" si="2413"/>
        <v>-3.7161700445494036E-2</v>
      </c>
      <c r="AV1336" s="132">
        <f ca="1">+AV1335*EXP(AU1336)</f>
        <v>96.352032108661291</v>
      </c>
      <c r="AW1336" s="134">
        <f ca="1">LN(AV1336/AV1335)</f>
        <v>-3.7161700445494009E-2</v>
      </c>
      <c r="AX1336" s="135">
        <f>+AJ1336/$AL$11</f>
        <v>1.2362436145158993E-2</v>
      </c>
      <c r="AY1336" s="135">
        <f ca="1">+AX1336*AW1336</f>
        <v>-4.5940914880294618E-4</v>
      </c>
      <c r="AZ1336" s="93"/>
      <c r="BA1336" s="93"/>
      <c r="BB1336" s="234">
        <f>IFERROR(INDEX('Total Customers'!$E$7:$AA$91,MATCH($C1336,'Total Customers'!$C$7:$C$91,0),MATCH($G1336,'Total Customers'!$E$5:$AA$5,0)),"NA")</f>
        <v>199377</v>
      </c>
      <c r="BC1336" s="269">
        <f t="shared" si="2328"/>
        <v>1.2653892404762014E-2</v>
      </c>
      <c r="BD1336" s="92"/>
      <c r="BE1336" s="299" t="str">
        <f t="shared" si="2317"/>
        <v>YANKEE GAS SERVICES COMPANY</v>
      </c>
      <c r="BF1336" s="300">
        <f t="shared" si="2318"/>
        <v>4064141</v>
      </c>
      <c r="BG1336" s="231" t="str">
        <f t="shared" si="2319"/>
        <v>CT</v>
      </c>
      <c r="BH1336" s="231"/>
      <c r="BI1336" s="231" t="str">
        <f t="shared" si="2320"/>
        <v>2006 Y</v>
      </c>
      <c r="BJ1336" s="129"/>
      <c r="BK1336" s="129"/>
      <c r="BL1336" s="129">
        <f>INDEX('Dist. Plant Gas Additions'!$E$7:$AD$91,MATCH($C1336,'Dist. Plant Gas Additions'!$C$7:$C$91,0),MATCH(Calculation!$G1336,'Dist. Plant Gas Additions'!$E$5:$AD$5,0))</f>
        <v>31112</v>
      </c>
      <c r="BM1336" s="129">
        <f>INDEX('Gen. Plant Additions'!$E$7:$AD$91,MATCH($C1336,'Gen. Plant Additions'!$C$7:$C$91,0),MATCH(Calculation!$G1336,'Gen. Plant Additions'!$E$5:$AD$5,0))</f>
        <v>2149</v>
      </c>
      <c r="BN1336" s="301">
        <f t="shared" si="2346"/>
        <v>0.90382721336687533</v>
      </c>
      <c r="BO1336" s="231">
        <f t="shared" si="2374"/>
        <v>1942.3246815254151</v>
      </c>
      <c r="BP1336" s="231">
        <f t="shared" si="2375"/>
        <v>-206.67531847458486</v>
      </c>
      <c r="BQ1336" s="129">
        <f>INDEX('Dist Plant Depreciation'!$D$7:$AC$94,MATCH($C1336,'Dist Plant Depreciation'!$C$7:$C$94,0),MATCH(Calculation!$G1336,'Dist Plant Depreciation'!$D$5:$AC$5,0))</f>
        <v>273337</v>
      </c>
      <c r="BR1336" s="129">
        <f>INDEX('Gen. Plant Depreciation'!$D$7:$AC$94,MATCH($C1336,'Gen. Plant Depreciation'!$C$7:$C$94,0),MATCH(Calculation!$G1336,'Gen. Plant Depreciation'!$D$5:$AC$5,0))</f>
        <v>43671</v>
      </c>
      <c r="BS1336" s="129"/>
      <c r="BT1336" s="129"/>
      <c r="BU1336" s="129"/>
      <c r="BV1336" s="129"/>
      <c r="BW1336" s="129"/>
      <c r="BX1336" s="137"/>
      <c r="BY1336" s="129">
        <f>INDEX('Gross Dx Plant'!$D$7:$AC$91,MATCH($C1336,'Gross Dx Plant'!$C$7:$C$91,0),MATCH(Calculation!$G1336,'Gross Dx Plant'!$D$5:$AC$5,0))</f>
        <v>753415</v>
      </c>
      <c r="BZ1336" s="129">
        <f>INDEX('Gross Gen Plant'!$D$7:$AC$91,MATCH($C1336,'Gross Gen Plant'!$C$7:$C$91,0),MATCH(Calculation!$G1336,'Gross Gen Plant'!$D$5:$AC$5,0))</f>
        <v>80168</v>
      </c>
      <c r="CA1336" s="129">
        <f t="shared" si="2294"/>
        <v>516575</v>
      </c>
      <c r="CB1336" s="134"/>
      <c r="CC1336" s="133">
        <v>2006</v>
      </c>
      <c r="CD1336" s="129"/>
      <c r="CE1336" s="129"/>
      <c r="CF1336" s="129"/>
      <c r="CG1336" s="137"/>
      <c r="CH1336" s="129">
        <f t="shared" si="2389"/>
        <v>33261</v>
      </c>
      <c r="CI1336" s="46">
        <f t="shared" si="2398"/>
        <v>33054.324681525417</v>
      </c>
      <c r="CJ1336" s="231">
        <f t="shared" si="2390"/>
        <v>71.688032477429388</v>
      </c>
      <c r="CK1336" s="443">
        <v>0.91489361702127658</v>
      </c>
      <c r="CL1336" s="231">
        <f>+CL1328*CK1336+CJ1329*CK1335+CJ1330*CK1334+CJ1331*CK1333+CJ1332*CK1332+CJ1333*CK1331+CJ1334*CK1330+CJ1335*CK1329+CJ1336</f>
        <v>2344.6980180653204</v>
      </c>
      <c r="CM1336" s="134">
        <f t="shared" si="2391"/>
        <v>1.9141031957028456E-2</v>
      </c>
      <c r="CN1336" s="135">
        <f t="shared" si="2392"/>
        <v>1.1839995737312464E-2</v>
      </c>
      <c r="CO1336" s="135">
        <f t="shared" si="2401"/>
        <v>1.1541167207393415E-2</v>
      </c>
      <c r="CP1336" s="134">
        <f>VLOOKUP($H1336,RoR!$E:$F,2,FALSE)</f>
        <v>5.5874999999999994E-2</v>
      </c>
      <c r="CQ1336" s="135">
        <v>3.0512430354548314E-2</v>
      </c>
      <c r="CR1336" s="135">
        <f t="shared" si="2399"/>
        <v>2.536256964545168E-2</v>
      </c>
      <c r="CS1336" s="135">
        <f t="shared" si="2402"/>
        <v>1.9360774401140209E-2</v>
      </c>
      <c r="CT1336" s="135">
        <v>7.9087823893859641E-2</v>
      </c>
      <c r="CU1336" s="139">
        <f t="shared" si="2393"/>
        <v>0.85126000000000002</v>
      </c>
      <c r="CV1336" s="335">
        <f t="shared" si="2394"/>
        <v>0.91779957551769631</v>
      </c>
      <c r="CW1336" s="335">
        <f t="shared" si="2395"/>
        <v>0.52757270693512304</v>
      </c>
      <c r="CX1336" s="335">
        <f t="shared" si="2396"/>
        <v>0.88636824549024895</v>
      </c>
      <c r="CY1336" s="335">
        <f t="shared" si="2397"/>
        <v>0.42918482841932087</v>
      </c>
      <c r="CZ1336" s="336">
        <f>INDEX('State Tax Lookup'!$D$7:$Z$91,MATCH(Calculation!$C1336,'State Tax Lookup'!$B$7:$B$91,0),MATCH($H1336,'State Tax Lookup'!$D$6:$Z$6,0))</f>
        <v>0.40200000000000002</v>
      </c>
      <c r="DA1336" s="302">
        <v>0.37</v>
      </c>
      <c r="DB1336" s="57">
        <f t="shared" si="2400"/>
        <v>12.595071947025067</v>
      </c>
      <c r="DC1336" s="56">
        <f t="shared" si="2403"/>
        <v>-3.0362718453223924E-2</v>
      </c>
      <c r="DD1336" s="303">
        <f>VLOOKUP($H1336,RoR!$E:$F,2,FALSE)</f>
        <v>5.5874999999999994E-2</v>
      </c>
      <c r="DE1336" s="304">
        <f>HLOOKUP($H1336,'GDP-PI'!$D$8:$CQ$11,3,FALSE)</f>
        <v>3.0512430354548314E-2</v>
      </c>
      <c r="DF1336" s="303">
        <f>VLOOKUP(H1336,'HW Dx Data'!$E:$F,2,FALSE)</f>
        <v>461.08567272971823</v>
      </c>
      <c r="DG1336" s="364">
        <f ca="1">VLOOKUP(CC1336,'ECI - Input Price'!M$13:N$33,2,FALSE)</f>
        <v>109.4</v>
      </c>
      <c r="DH1336" s="364"/>
      <c r="DI1336" s="364"/>
      <c r="DJ1336" s="56">
        <f t="shared" ca="1" si="2411"/>
        <v>9.7620891318751846E-2</v>
      </c>
      <c r="DK1336" s="53">
        <f>HLOOKUP(H1336,'GDP-PI'!$8:$9,2,FALSE)</f>
        <v>90.073999999999998</v>
      </c>
      <c r="DL1336" s="355">
        <f t="shared" si="2404"/>
        <v>3.005618372545445E-2</v>
      </c>
    </row>
    <row r="1337" spans="1:116" s="126" customFormat="1" ht="21" customHeight="1" x14ac:dyDescent="0.4">
      <c r="A1337" s="233" t="s">
        <v>260</v>
      </c>
      <c r="B1337" s="126" t="s">
        <v>261</v>
      </c>
      <c r="C1337" s="126">
        <v>4064141</v>
      </c>
      <c r="D1337" s="127" t="s">
        <v>203</v>
      </c>
      <c r="E1337" s="127" t="s">
        <v>15</v>
      </c>
      <c r="F1337" s="144"/>
      <c r="G1337" s="126" t="s">
        <v>163</v>
      </c>
      <c r="H1337" s="128">
        <v>2007</v>
      </c>
      <c r="I1337" s="129"/>
      <c r="J1337" s="125">
        <f>IFERROR(INDEX('Labor Expenditures'!$E$7:$W$91,MATCH($C1337,'Labor Expenditures'!$C$7:$C$91,0),MATCH($G1337,'Labor Expenditures'!$E$5:$W$5,0)),"NA")</f>
        <v>25279.701612801415</v>
      </c>
      <c r="K1337" s="125">
        <f t="shared" ca="1" si="2405"/>
        <v>241.85316061039384</v>
      </c>
      <c r="L1337" s="47"/>
      <c r="M1337" s="131">
        <f t="shared" ca="1" si="2412"/>
        <v>5.288923729342615E-2</v>
      </c>
      <c r="N1337" s="131"/>
      <c r="O1337" s="131"/>
      <c r="P1337" s="59">
        <f t="shared" ca="1" si="2414"/>
        <v>6.4409562178305898E-4</v>
      </c>
      <c r="Q1337" s="61"/>
      <c r="R1337" s="387"/>
      <c r="S1337" s="49">
        <f t="shared" ref="S1337:S1350" ca="1" si="2419">+S1336*EXP(T1337)</f>
        <v>120.26274839931371</v>
      </c>
      <c r="T1337" s="61">
        <f ca="1">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+P2612+P2637+P2662</f>
        <v>3.383081984420791E-2</v>
      </c>
      <c r="U1337" s="61"/>
      <c r="V1337" s="125">
        <f>IFERROR(INDEX('Non-Labor Expenditures'!$E$7:$AA$91,MATCH($C1337,'Non-Labor Expenditures'!$C$7:$C$91,0),MATCH($G1337,'Non-Labor Expenditures'!$E$5:$AA$5,0)),"NA")</f>
        <v>36609.729532303019</v>
      </c>
      <c r="W1337" s="125">
        <f t="shared" si="2406"/>
        <v>395.78941741770655</v>
      </c>
      <c r="X1337" s="131">
        <f t="shared" si="2415"/>
        <v>-1.9250843401863886E-2</v>
      </c>
      <c r="Y1337" s="131">
        <f t="shared" si="2416"/>
        <v>-2.3444058915012933E-4</v>
      </c>
      <c r="Z1337" s="131"/>
      <c r="AA1337" s="131"/>
      <c r="AB1337" s="131"/>
      <c r="AC1337" s="125">
        <f t="shared" si="2388"/>
        <v>31460.910183813594</v>
      </c>
      <c r="AD1337" s="129"/>
      <c r="AE1337" s="133">
        <v>2487.4356044599767</v>
      </c>
      <c r="AF1337" s="134">
        <v>1.6943522130648103E-2</v>
      </c>
      <c r="AG1337" s="59">
        <f t="shared" si="2407"/>
        <v>2.0634157307636706E-4</v>
      </c>
      <c r="AH1337" s="134"/>
      <c r="AI1337" s="134"/>
      <c r="AJ1337" s="129">
        <f t="shared" si="2372"/>
        <v>93350.341328918032</v>
      </c>
      <c r="AK1337" s="134">
        <f t="shared" si="2417"/>
        <v>3.1996362269718928E-2</v>
      </c>
      <c r="AL1337" s="129"/>
      <c r="AM1337" s="129"/>
      <c r="AN1337" s="129"/>
      <c r="AO1337" s="129"/>
      <c r="AP1337" s="133">
        <f t="shared" si="2418"/>
        <v>460.43681571703104</v>
      </c>
      <c r="AQ1337" s="134">
        <f>+BB1337/Outputs!$B$15</f>
        <v>5.8018490952623254E-3</v>
      </c>
      <c r="AR1337" s="93">
        <f t="shared" si="2408"/>
        <v>0.27080459752931058</v>
      </c>
      <c r="AS1337" s="93">
        <f t="shared" si="2409"/>
        <v>0.3921756365443741</v>
      </c>
      <c r="AT1337" s="93">
        <f t="shared" si="2410"/>
        <v>0.33701976592631533</v>
      </c>
      <c r="AU1337" s="93">
        <f t="shared" ca="1" si="2413"/>
        <v>1.2427487173351508E-2</v>
      </c>
      <c r="AV1337" s="132">
        <f ca="1">+AV1336*EXP(AU1337)</f>
        <v>97.556917091075647</v>
      </c>
      <c r="AW1337" s="134">
        <f ca="1">LN(AV1337/AV1336)</f>
        <v>1.2427487173351532E-2</v>
      </c>
      <c r="AX1337" s="135">
        <f>+AJ1337/$AL$12</f>
        <v>1.2178198339477976E-2</v>
      </c>
      <c r="AY1337" s="135">
        <f t="shared" ref="AY1337:AY1351" ca="1" si="2420">+AX1337*AW1337</f>
        <v>1.5134440365839347E-4</v>
      </c>
      <c r="AZ1337" s="93"/>
      <c r="BA1337" s="93"/>
      <c r="BB1337" s="234">
        <f>IFERROR(INDEX('Total Customers'!$E$7:$AA$91,MATCH($C1337,'Total Customers'!$C$7:$C$91,0),MATCH($G1337,'Total Customers'!$E$5:$AA$5,0)),"NA")</f>
        <v>202743</v>
      </c>
      <c r="BC1337" s="269">
        <f t="shared" si="2328"/>
        <v>1.6741662285318124E-2</v>
      </c>
      <c r="BD1337" s="92"/>
      <c r="BE1337" s="299" t="str">
        <f t="shared" si="2317"/>
        <v>YANKEE GAS SERVICES COMPANY</v>
      </c>
      <c r="BF1337" s="300">
        <f t="shared" si="2318"/>
        <v>4064141</v>
      </c>
      <c r="BG1337" s="231" t="str">
        <f t="shared" si="2319"/>
        <v>CT</v>
      </c>
      <c r="BH1337" s="231"/>
      <c r="BI1337" s="231" t="str">
        <f t="shared" si="2320"/>
        <v>2007 Y</v>
      </c>
      <c r="BJ1337" s="129"/>
      <c r="BK1337" s="129"/>
      <c r="BL1337" s="129">
        <f>INDEX('Dist. Plant Gas Additions'!$E$7:$AD$91,MATCH($C1337,'Dist. Plant Gas Additions'!$C$7:$C$91,0),MATCH(Calculation!$G1337,'Dist. Plant Gas Additions'!$E$5:$AD$5,0))</f>
        <v>26596</v>
      </c>
      <c r="BM1337" s="129">
        <f>INDEX('Gen. Plant Additions'!$E$7:$AD$91,MATCH($C1337,'Gen. Plant Additions'!$C$7:$C$91,0),MATCH(Calculation!$G1337,'Gen. Plant Additions'!$E$5:$AD$5,0))</f>
        <v>1948</v>
      </c>
      <c r="BN1337" s="301">
        <f t="shared" si="2346"/>
        <v>0.94615369579452502</v>
      </c>
      <c r="BO1337" s="231">
        <f t="shared" si="2374"/>
        <v>1843.1073994077346</v>
      </c>
      <c r="BP1337" s="231">
        <f t="shared" si="2375"/>
        <v>-104.89260059226535</v>
      </c>
      <c r="BQ1337" s="129">
        <f>INDEX('Dist Plant Depreciation'!$D$7:$AC$94,MATCH($C1337,'Dist Plant Depreciation'!$C$7:$C$94,0),MATCH(Calculation!$G1337,'Dist Plant Depreciation'!$D$5:$AC$5,0))</f>
        <v>274709</v>
      </c>
      <c r="BR1337" s="129">
        <f>INDEX('Gen. Plant Depreciation'!$D$7:$AC$94,MATCH($C1337,'Gen. Plant Depreciation'!$C$7:$C$94,0),MATCH(Calculation!$G1337,'Gen. Plant Depreciation'!$D$5:$AC$5,0))</f>
        <v>50882</v>
      </c>
      <c r="BS1337" s="129"/>
      <c r="BT1337" s="129"/>
      <c r="BU1337" s="129"/>
      <c r="BV1337" s="129"/>
      <c r="BW1337" s="129"/>
      <c r="BX1337" s="137"/>
      <c r="BY1337" s="129">
        <f>INDEX('Gross Dx Plant'!$D$7:$AC$91,MATCH($C1337,'Gross Dx Plant'!$C$7:$C$91,0),MATCH(Calculation!$G1337,'Gross Dx Plant'!$D$5:$AC$5,0))</f>
        <v>774476</v>
      </c>
      <c r="BZ1337" s="129">
        <f>INDEX('Gross Gen Plant'!$D$7:$AC$91,MATCH($C1337,'Gross Gen Plant'!$C$7:$C$91,0),MATCH(Calculation!$G1337,'Gross Gen Plant'!$D$5:$AC$5,0))</f>
        <v>44076</v>
      </c>
      <c r="CA1337" s="129">
        <f t="shared" si="2294"/>
        <v>492961</v>
      </c>
      <c r="CB1337" s="129"/>
      <c r="CC1337" s="133">
        <v>2007</v>
      </c>
      <c r="CD1337" s="129"/>
      <c r="CE1337" s="129"/>
      <c r="CF1337" s="129"/>
      <c r="CG1337" s="137"/>
      <c r="CH1337" s="129">
        <f t="shared" si="2389"/>
        <v>28544</v>
      </c>
      <c r="CI1337" s="46">
        <f t="shared" si="2398"/>
        <v>28439.107399407734</v>
      </c>
      <c r="CJ1337" s="231">
        <f t="shared" si="2390"/>
        <v>57.104082519181951</v>
      </c>
      <c r="CK1337" s="443">
        <v>0.90322580645161288</v>
      </c>
      <c r="CL1337" s="231">
        <f>+CL1328*CK1337+CJ1329*CK1336+CJ1330*CK1335+CJ1331*CK1334+CJ1332*CK1333+CJ1333*CK1332+CJ1334*CK1331+CJ1335*CK1330+CJ1336*CK1329+CJ1337</f>
        <v>2373.278908531423</v>
      </c>
      <c r="CM1337" s="134">
        <f t="shared" si="2391"/>
        <v>1.2115888032925539E-2</v>
      </c>
      <c r="CN1337" s="135">
        <f t="shared" si="2392"/>
        <v>1.2164974693250565E-2</v>
      </c>
      <c r="CO1337" s="135">
        <f t="shared" si="2401"/>
        <v>1.1845594891992399E-2</v>
      </c>
      <c r="CP1337" s="134">
        <f>VLOOKUP($H1337,RoR!$E:$F,2,FALSE)</f>
        <v>5.5558333333333321E-2</v>
      </c>
      <c r="CQ1337" s="135">
        <v>2.691120634145272E-2</v>
      </c>
      <c r="CR1337" s="135">
        <f t="shared" si="2399"/>
        <v>2.86471269918806E-2</v>
      </c>
      <c r="CS1337" s="135">
        <f t="shared" si="2402"/>
        <v>1.9056346716541224E-2</v>
      </c>
      <c r="CT1337" s="135">
        <v>6.4575155250632399E-2</v>
      </c>
      <c r="CU1337" s="139">
        <f t="shared" si="2393"/>
        <v>0.85126000000000002</v>
      </c>
      <c r="CV1337" s="335">
        <f t="shared" si="2394"/>
        <v>0.92303077153834634</v>
      </c>
      <c r="CW1337" s="335">
        <f t="shared" si="2395"/>
        <v>0.52502249887505614</v>
      </c>
      <c r="CX1337" s="335">
        <f t="shared" si="2396"/>
        <v>0.88499666072084604</v>
      </c>
      <c r="CY1337" s="335">
        <f t="shared" si="2397"/>
        <v>0.42887993290280618</v>
      </c>
      <c r="CZ1337" s="336">
        <f>INDEX('State Tax Lookup'!$D$7:$Z$91,MATCH(Calculation!$C1337,'State Tax Lookup'!$B$7:$B$91,0),MATCH($H1337,'State Tax Lookup'!$D$6:$Z$6,0))</f>
        <v>0.40200000000000002</v>
      </c>
      <c r="DA1337" s="302">
        <v>0.37</v>
      </c>
      <c r="DB1337" s="57">
        <f t="shared" si="2400"/>
        <v>13.417894305115215</v>
      </c>
      <c r="DC1337" s="56">
        <f t="shared" si="2403"/>
        <v>6.32835898764601E-2</v>
      </c>
      <c r="DD1337" s="303">
        <f>VLOOKUP($H1337,RoR!$E:$F,2,FALSE)</f>
        <v>5.5558333333333321E-2</v>
      </c>
      <c r="DE1337" s="304">
        <f>HLOOKUP($H1337,'GDP-PI'!$D$8:$CQ$11,3,FALSE)</f>
        <v>2.691120634145272E-2</v>
      </c>
      <c r="DF1337" s="303">
        <f>VLOOKUP(H1337,'HW Dx Data'!$E:$F,2,FALSE)</f>
        <v>498.0223154772637</v>
      </c>
      <c r="DG1337" s="364">
        <f ca="1">VLOOKUP(CC1337,'ECI - Input Price'!M$13:N$33,2,FALSE)</f>
        <v>104.52499999999999</v>
      </c>
      <c r="DH1337" s="364"/>
      <c r="DI1337" s="364"/>
      <c r="DJ1337" s="56">
        <f t="shared" ca="1" si="2411"/>
        <v>-4.5584612745252218E-2</v>
      </c>
      <c r="DK1337" s="53">
        <f>HLOOKUP(H1337,'GDP-PI'!$8:$9,2,FALSE)</f>
        <v>92.498000000000005</v>
      </c>
      <c r="DL1337" s="355">
        <f t="shared" si="2404"/>
        <v>2.6555467950038037E-2</v>
      </c>
    </row>
    <row r="1338" spans="1:116" s="126" customFormat="1" ht="21" customHeight="1" x14ac:dyDescent="0.4">
      <c r="A1338" s="233" t="s">
        <v>260</v>
      </c>
      <c r="B1338" s="126" t="s">
        <v>261</v>
      </c>
      <c r="C1338" s="126">
        <v>4064141</v>
      </c>
      <c r="D1338" s="127" t="s">
        <v>203</v>
      </c>
      <c r="E1338" s="127" t="s">
        <v>15</v>
      </c>
      <c r="F1338" s="144"/>
      <c r="G1338" s="126" t="s">
        <v>164</v>
      </c>
      <c r="H1338" s="128">
        <v>2008</v>
      </c>
      <c r="I1338" s="129"/>
      <c r="J1338" s="125">
        <f>IFERROR(INDEX('Labor Expenditures'!$E$7:$W$91,MATCH($C1338,'Labor Expenditures'!$C$7:$C$91,0),MATCH($G1338,'Labor Expenditures'!$E$5:$W$5,0)),"NA")</f>
        <v>26558.330714454718</v>
      </c>
      <c r="K1338" s="125">
        <f t="shared" ca="1" si="2405"/>
        <v>246.13837548150804</v>
      </c>
      <c r="L1338" s="47"/>
      <c r="M1338" s="131">
        <f t="shared" ca="1" si="2412"/>
        <v>1.756311208736586E-2</v>
      </c>
      <c r="N1338" s="131"/>
      <c r="O1338" s="131"/>
      <c r="P1338" s="59">
        <f t="shared" ca="1" si="2414"/>
        <v>2.1893893926722973E-4</v>
      </c>
      <c r="Q1338" s="61"/>
      <c r="R1338" s="387"/>
      <c r="S1338" s="49">
        <f t="shared" ca="1" si="2419"/>
        <v>114.24099120383539</v>
      </c>
      <c r="T1338" s="61">
        <f ca="1">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+P2613+P2638+P2663</f>
        <v>-5.1368744103506933E-2</v>
      </c>
      <c r="U1338" s="61"/>
      <c r="V1338" s="125">
        <f>IFERROR(INDEX('Non-Labor Expenditures'!$E$7:$AA$91,MATCH($C1338,'Non-Labor Expenditures'!$C$7:$C$91,0),MATCH($G1338,'Non-Labor Expenditures'!$E$5:$AA$5,0)),"NA")</f>
        <v>38461.423286471167</v>
      </c>
      <c r="W1338" s="125">
        <f t="shared" si="2406"/>
        <v>408.0181541889923</v>
      </c>
      <c r="X1338" s="131">
        <f t="shared" si="2415"/>
        <v>3.0429373360793755E-2</v>
      </c>
      <c r="Y1338" s="131">
        <f t="shared" si="2416"/>
        <v>3.7932768936612099E-4</v>
      </c>
      <c r="Z1338" s="131"/>
      <c r="AA1338" s="131"/>
      <c r="AB1338" s="131"/>
      <c r="AC1338" s="125">
        <f t="shared" si="2388"/>
        <v>35825.089276266706</v>
      </c>
      <c r="AD1338" s="129"/>
      <c r="AE1338" s="133">
        <v>2581.0464305156829</v>
      </c>
      <c r="AF1338" s="134">
        <v>3.694260786472274E-2</v>
      </c>
      <c r="AG1338" s="59">
        <f t="shared" si="2407"/>
        <v>4.6052062638066843E-4</v>
      </c>
      <c r="AH1338" s="134"/>
      <c r="AI1338" s="134"/>
      <c r="AJ1338" s="129">
        <f t="shared" si="2372"/>
        <v>100844.84327719259</v>
      </c>
      <c r="AK1338" s="134">
        <f t="shared" si="2417"/>
        <v>7.7223604068277829E-2</v>
      </c>
      <c r="AL1338" s="129"/>
      <c r="AM1338" s="129"/>
      <c r="AN1338" s="129"/>
      <c r="AO1338" s="129"/>
      <c r="AP1338" s="133">
        <f t="shared" si="2418"/>
        <v>492.32232419846508</v>
      </c>
      <c r="AQ1338" s="134">
        <f>+BB1338/Outputs!$B$16</f>
        <v>5.8303752602975713E-3</v>
      </c>
      <c r="AR1338" s="93">
        <f t="shared" si="2408"/>
        <v>0.26335834189809526</v>
      </c>
      <c r="AS1338" s="93">
        <f t="shared" si="2409"/>
        <v>0.38139206762166422</v>
      </c>
      <c r="AT1338" s="93">
        <f t="shared" si="2410"/>
        <v>0.35524959048024057</v>
      </c>
      <c r="AU1338" s="93">
        <f t="shared" ca="1" si="2413"/>
        <v>2.9247489719246081E-2</v>
      </c>
      <c r="AV1338" s="132">
        <f t="shared" ref="AV1338:AV1351" ca="1" si="2421">+AV1337*EXP(AU1338)</f>
        <v>100.45234766188727</v>
      </c>
      <c r="AW1338" s="134">
        <f t="shared" ref="AW1338:AW1351" ca="1" si="2422">LN(AV1338/AV1337)</f>
        <v>2.924748971924615E-2</v>
      </c>
      <c r="AX1338" s="135">
        <f>+AJ1338/$AL$13</f>
        <v>1.2465839663161114E-2</v>
      </c>
      <c r="AY1338" s="135">
        <f t="shared" ca="1" si="2420"/>
        <v>3.6459451739007559E-4</v>
      </c>
      <c r="AZ1338" s="93"/>
      <c r="BA1338" s="93"/>
      <c r="BB1338" s="234">
        <f>IFERROR(INDEX('Total Customers'!$E$7:$AA$91,MATCH($C1338,'Total Customers'!$C$7:$C$91,0),MATCH($G1338,'Total Customers'!$E$5:$AA$5,0)),"NA")</f>
        <v>204835</v>
      </c>
      <c r="BC1338" s="269">
        <f t="shared" si="2328"/>
        <v>1.0265609879302452E-2</v>
      </c>
      <c r="BD1338" s="92"/>
      <c r="BE1338" s="299" t="str">
        <f t="shared" si="2317"/>
        <v>YANKEE GAS SERVICES COMPANY</v>
      </c>
      <c r="BF1338" s="300">
        <f t="shared" si="2318"/>
        <v>4064141</v>
      </c>
      <c r="BG1338" s="231" t="str">
        <f t="shared" si="2319"/>
        <v>CT</v>
      </c>
      <c r="BH1338" s="231"/>
      <c r="BI1338" s="231" t="str">
        <f t="shared" si="2320"/>
        <v>2008 Y</v>
      </c>
      <c r="BJ1338" s="129"/>
      <c r="BK1338" s="129"/>
      <c r="BL1338" s="129">
        <f>INDEX('Dist. Plant Gas Additions'!$E$7:$AD$91,MATCH($C1338,'Dist. Plant Gas Additions'!$C$7:$C$91,0),MATCH(Calculation!$G1338,'Dist. Plant Gas Additions'!$E$5:$AD$5,0))</f>
        <v>58978</v>
      </c>
      <c r="BM1338" s="129">
        <f>INDEX('Gen. Plant Additions'!$E$7:$AD$91,MATCH($C1338,'Gen. Plant Additions'!$C$7:$C$91,0),MATCH(Calculation!$G1338,'Gen. Plant Additions'!$E$5:$AD$5,0))</f>
        <v>3677</v>
      </c>
      <c r="BN1338" s="301">
        <f t="shared" si="2346"/>
        <v>0.94605476968338953</v>
      </c>
      <c r="BO1338" s="231">
        <f t="shared" si="2374"/>
        <v>3478.6433881258231</v>
      </c>
      <c r="BP1338" s="231">
        <f t="shared" si="2375"/>
        <v>-198.35661187417691</v>
      </c>
      <c r="BQ1338" s="129">
        <f>INDEX('Dist Plant Depreciation'!$D$7:$AC$94,MATCH($C1338,'Dist Plant Depreciation'!$C$7:$C$94,0),MATCH(Calculation!$G1338,'Dist Plant Depreciation'!$D$5:$AC$5,0))</f>
        <v>284869</v>
      </c>
      <c r="BR1338" s="129">
        <f>INDEX('Gen. Plant Depreciation'!$D$7:$AC$94,MATCH($C1338,'Gen. Plant Depreciation'!$C$7:$C$94,0),MATCH(Calculation!$G1338,'Gen. Plant Depreciation'!$D$5:$AC$5,0))</f>
        <v>56503</v>
      </c>
      <c r="BS1338" s="129"/>
      <c r="BT1338" s="129"/>
      <c r="BU1338" s="129"/>
      <c r="BV1338" s="129"/>
      <c r="BW1338" s="129"/>
      <c r="BX1338" s="137"/>
      <c r="BY1338" s="129">
        <f>INDEX('Gross Dx Plant'!$D$7:$AC$91,MATCH($C1338,'Gross Dx Plant'!$C$7:$C$91,0),MATCH(Calculation!$G1338,'Gross Dx Plant'!$D$5:$AC$5,0))</f>
        <v>829638</v>
      </c>
      <c r="BZ1338" s="129">
        <f>INDEX('Gross Gen Plant'!$D$7:$AC$91,MATCH($C1338,'Gross Gen Plant'!$C$7:$C$91,0),MATCH(Calculation!$G1338,'Gross Gen Plant'!$D$5:$AC$5,0))</f>
        <v>47307</v>
      </c>
      <c r="CA1338" s="129">
        <f t="shared" si="2294"/>
        <v>535573</v>
      </c>
      <c r="CB1338" s="129"/>
      <c r="CC1338" s="133">
        <v>2008</v>
      </c>
      <c r="CD1338" s="129"/>
      <c r="CE1338" s="129"/>
      <c r="CF1338" s="129"/>
      <c r="CG1338" s="137"/>
      <c r="CH1338" s="129">
        <f t="shared" si="2389"/>
        <v>62655</v>
      </c>
      <c r="CI1338" s="46">
        <f t="shared" si="2398"/>
        <v>62456.64338812582</v>
      </c>
      <c r="CJ1338" s="231">
        <f t="shared" si="2390"/>
        <v>109.59590002724597</v>
      </c>
      <c r="CK1338" s="443">
        <v>0.89130434782608692</v>
      </c>
      <c r="CL1338" s="231">
        <f>+CL1328*CK1338+CJ1329*CK1337+CJ1330*CK1336+CJ1331*CK1335+CJ1332*CK1334+CJ1333*CK1333+CJ1334*CK1332+CJ1335*CK1331+CJ1336*CK1330+CJ1337*CK1329+CJ1338</f>
        <v>2453.1748737489738</v>
      </c>
      <c r="CM1338" s="134">
        <f t="shared" si="2391"/>
        <v>3.3110547787909721E-2</v>
      </c>
      <c r="CN1338" s="135">
        <f t="shared" si="2392"/>
        <v>1.2514304451503915E-2</v>
      </c>
      <c r="CO1338" s="135">
        <f t="shared" si="2401"/>
        <v>1.2173091627355645E-2</v>
      </c>
      <c r="CP1338" s="134">
        <f>VLOOKUP($H1338,RoR!$E:$F,2,FALSE)</f>
        <v>5.6316666666666668E-2</v>
      </c>
      <c r="CQ1338" s="135">
        <v>1.9092304698479889E-2</v>
      </c>
      <c r="CR1338" s="135">
        <f t="shared" si="2399"/>
        <v>3.7224361968186778E-2</v>
      </c>
      <c r="CS1338" s="135">
        <f t="shared" si="2402"/>
        <v>1.8728849981177978E-2</v>
      </c>
      <c r="CT1338" s="135">
        <v>6.9030581091053131E-2</v>
      </c>
      <c r="CU1338" s="139">
        <f t="shared" si="2393"/>
        <v>0.85126000000000002</v>
      </c>
      <c r="CV1338" s="335">
        <f t="shared" si="2394"/>
        <v>0.91060168006009956</v>
      </c>
      <c r="CW1338" s="335">
        <f t="shared" si="2395"/>
        <v>0.53108168097070152</v>
      </c>
      <c r="CX1338" s="335">
        <f t="shared" si="2396"/>
        <v>0.88825329850328805</v>
      </c>
      <c r="CY1338" s="335">
        <f t="shared" si="2397"/>
        <v>0.4295627335323573</v>
      </c>
      <c r="CZ1338" s="336">
        <f>INDEX('State Tax Lookup'!$D$7:$Z$91,MATCH(Calculation!$C1338,'State Tax Lookup'!$B$7:$B$91,0),MATCH($H1338,'State Tax Lookup'!$D$6:$Z$6,0))</f>
        <v>0.40200000000000002</v>
      </c>
      <c r="DA1338" s="302">
        <v>0.37</v>
      </c>
      <c r="DB1338" s="57">
        <f t="shared" si="2400"/>
        <v>15.095187146981873</v>
      </c>
      <c r="DC1338" s="56">
        <f t="shared" si="2403"/>
        <v>0.11778674901420963</v>
      </c>
      <c r="DD1338" s="303">
        <f>VLOOKUP($H1338,RoR!$E:$F,2,FALSE)</f>
        <v>5.6316666666666668E-2</v>
      </c>
      <c r="DE1338" s="304">
        <f>HLOOKUP($H1338,'GDP-PI'!$D$8:$CQ$11,3,FALSE)</f>
        <v>1.9092304698479889E-2</v>
      </c>
      <c r="DF1338" s="303">
        <f>VLOOKUP(H1338,'HW Dx Data'!$E:$F,2,FALSE)</f>
        <v>569.88120333515076</v>
      </c>
      <c r="DG1338" s="364">
        <f ca="1">VLOOKUP(CC1338,'ECI - Input Price'!M$13:N$33,2,FALSE)</f>
        <v>107.9</v>
      </c>
      <c r="DH1338" s="364"/>
      <c r="DI1338" s="364"/>
      <c r="DJ1338" s="56">
        <f t="shared" ca="1" si="2411"/>
        <v>3.1778595021460486E-2</v>
      </c>
      <c r="DK1338" s="53">
        <f>HLOOKUP(H1338,'GDP-PI'!$8:$9,2,FALSE)</f>
        <v>94.263999999999996</v>
      </c>
      <c r="DL1338" s="355">
        <f t="shared" si="2404"/>
        <v>1.8912333748032254E-2</v>
      </c>
    </row>
    <row r="1339" spans="1:116" s="126" customFormat="1" ht="21" customHeight="1" x14ac:dyDescent="0.4">
      <c r="A1339" s="233" t="s">
        <v>260</v>
      </c>
      <c r="B1339" s="126" t="s">
        <v>261</v>
      </c>
      <c r="C1339" s="126">
        <v>4064141</v>
      </c>
      <c r="D1339" s="127" t="s">
        <v>203</v>
      </c>
      <c r="E1339" s="127" t="s">
        <v>15</v>
      </c>
      <c r="F1339" s="144"/>
      <c r="G1339" s="126" t="s">
        <v>165</v>
      </c>
      <c r="H1339" s="128">
        <v>2009</v>
      </c>
      <c r="I1339" s="129"/>
      <c r="J1339" s="125">
        <f>IFERROR(INDEX('Labor Expenditures'!$E$7:$W$91,MATCH($C1339,'Labor Expenditures'!$C$7:$C$91,0),MATCH($G1339,'Labor Expenditures'!$E$5:$W$5,0)),"NA")</f>
        <v>29150.460904251362</v>
      </c>
      <c r="K1339" s="125">
        <f t="shared" ca="1" si="2405"/>
        <v>262.79432863873217</v>
      </c>
      <c r="L1339" s="47"/>
      <c r="M1339" s="131">
        <f t="shared" ca="1" si="2412"/>
        <v>6.5477826110476256E-2</v>
      </c>
      <c r="N1339" s="131"/>
      <c r="O1339" s="131"/>
      <c r="P1339" s="59">
        <f t="shared" ca="1" si="2414"/>
        <v>8.2500494974214946E-4</v>
      </c>
      <c r="Q1339" s="61"/>
      <c r="R1339" s="387"/>
      <c r="S1339" s="49">
        <f t="shared" ca="1" si="2419"/>
        <v>117.21218732775033</v>
      </c>
      <c r="T1339" s="61">
        <f ca="1">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+P2614+P2639+P2664</f>
        <v>2.5675684116941169E-2</v>
      </c>
      <c r="U1339" s="61"/>
      <c r="V1339" s="125">
        <f>IFERROR(INDEX('Non-Labor Expenditures'!$E$7:$AA$91,MATCH($C1339,'Non-Labor Expenditures'!$C$7:$C$91,0),MATCH($G1339,'Non-Labor Expenditures'!$E$5:$AA$5,0)),"NA")</f>
        <v>42215.311944433706</v>
      </c>
      <c r="W1339" s="125">
        <f t="shared" si="2406"/>
        <v>444.37638232437928</v>
      </c>
      <c r="X1339" s="131">
        <f t="shared" si="2415"/>
        <v>8.5360242293050517E-2</v>
      </c>
      <c r="Y1339" s="131">
        <f t="shared" si="2416"/>
        <v>1.0755186386936025E-3</v>
      </c>
      <c r="Z1339" s="131"/>
      <c r="AA1339" s="131"/>
      <c r="AB1339" s="131"/>
      <c r="AC1339" s="125">
        <f t="shared" si="2388"/>
        <v>35188.187659480602</v>
      </c>
      <c r="AD1339" s="129"/>
      <c r="AE1339" s="133">
        <v>2682.6846174818434</v>
      </c>
      <c r="AF1339" s="134">
        <v>3.8623106148172368E-2</v>
      </c>
      <c r="AG1339" s="59">
        <f t="shared" si="2407"/>
        <v>4.8664190061680233E-4</v>
      </c>
      <c r="AH1339" s="134"/>
      <c r="AI1339" s="134"/>
      <c r="AJ1339" s="129">
        <f t="shared" si="2372"/>
        <v>106553.96050816568</v>
      </c>
      <c r="AK1339" s="134">
        <f t="shared" si="2417"/>
        <v>5.5068397781083606E-2</v>
      </c>
      <c r="AL1339" s="129"/>
      <c r="AM1339" s="129"/>
      <c r="AN1339" s="129"/>
      <c r="AO1339" s="129"/>
      <c r="AP1339" s="133">
        <f t="shared" si="2418"/>
        <v>516.15478016724478</v>
      </c>
      <c r="AQ1339" s="134">
        <f>+BB1339/Outputs!$B$17</f>
        <v>5.868512102857445E-3</v>
      </c>
      <c r="AR1339" s="93">
        <f t="shared" si="2408"/>
        <v>0.27357463547323929</v>
      </c>
      <c r="AS1339" s="93">
        <f t="shared" si="2409"/>
        <v>0.39618716885890476</v>
      </c>
      <c r="AT1339" s="93">
        <f t="shared" si="2410"/>
        <v>0.33023819566785584</v>
      </c>
      <c r="AU1339" s="93">
        <f t="shared" ca="1" si="2413"/>
        <v>6.4003611840500366E-2</v>
      </c>
      <c r="AV1339" s="132">
        <f t="shared" ca="1" si="2421"/>
        <v>107.09187107814479</v>
      </c>
      <c r="AW1339" s="134">
        <f t="shared" ca="1" si="2422"/>
        <v>6.4003611840500463E-2</v>
      </c>
      <c r="AX1339" s="135">
        <f>+AJ1339/$AL$14</f>
        <v>1.2599760846521922E-2</v>
      </c>
      <c r="AY1339" s="135">
        <f t="shared" ca="1" si="2420"/>
        <v>8.0643020250392456E-4</v>
      </c>
      <c r="AZ1339" s="93"/>
      <c r="BA1339" s="93"/>
      <c r="BB1339" s="234">
        <f>IFERROR(INDEX('Total Customers'!$E$7:$AA$91,MATCH($C1339,'Total Customers'!$C$7:$C$91,0),MATCH($G1339,'Total Customers'!$E$5:$AA$5,0)),"NA")</f>
        <v>206438</v>
      </c>
      <c r="BC1339" s="269">
        <f t="shared" si="2328"/>
        <v>7.7953481872660825E-3</v>
      </c>
      <c r="BD1339" s="92"/>
      <c r="BE1339" s="299" t="str">
        <f t="shared" si="2317"/>
        <v>YANKEE GAS SERVICES COMPANY</v>
      </c>
      <c r="BF1339" s="300">
        <f t="shared" si="2318"/>
        <v>4064141</v>
      </c>
      <c r="BG1339" s="231" t="str">
        <f t="shared" si="2319"/>
        <v>CT</v>
      </c>
      <c r="BH1339" s="231"/>
      <c r="BI1339" s="231" t="str">
        <f t="shared" si="2320"/>
        <v>2009 Y</v>
      </c>
      <c r="BJ1339" s="129"/>
      <c r="BK1339" s="129"/>
      <c r="BL1339" s="129">
        <f>INDEX('Dist. Plant Gas Additions'!$E$7:$AD$91,MATCH($C1339,'Dist. Plant Gas Additions'!$C$7:$C$91,0),MATCH(Calculation!$G1339,'Dist. Plant Gas Additions'!$E$5:$AD$5,0))</f>
        <v>62955</v>
      </c>
      <c r="BM1339" s="129">
        <f>INDEX('Gen. Plant Additions'!$E$7:$AD$91,MATCH($C1339,'Gen. Plant Additions'!$C$7:$C$91,0),MATCH(Calculation!$G1339,'Gen. Plant Additions'!$E$5:$AD$5,0))</f>
        <v>2650</v>
      </c>
      <c r="BN1339" s="301">
        <f t="shared" si="2346"/>
        <v>0.94734938810761138</v>
      </c>
      <c r="BO1339" s="231">
        <f t="shared" si="2374"/>
        <v>2510.4758784851701</v>
      </c>
      <c r="BP1339" s="231">
        <f t="shared" si="2375"/>
        <v>-139.52412151482986</v>
      </c>
      <c r="BQ1339" s="129">
        <f>INDEX('Dist Plant Depreciation'!$D$7:$AC$94,MATCH($C1339,'Dist Plant Depreciation'!$C$7:$C$94,0),MATCH(Calculation!$G1339,'Dist Plant Depreciation'!$D$5:$AC$5,0))</f>
        <v>298403</v>
      </c>
      <c r="BR1339" s="129">
        <f>INDEX('Gen. Plant Depreciation'!$D$7:$AC$94,MATCH($C1339,'Gen. Plant Depreciation'!$C$7:$C$94,0),MATCH(Calculation!$G1339,'Gen. Plant Depreciation'!$D$5:$AC$5,0))</f>
        <v>30213</v>
      </c>
      <c r="BS1339" s="129"/>
      <c r="BT1339" s="129"/>
      <c r="BU1339" s="129"/>
      <c r="BV1339" s="129"/>
      <c r="BW1339" s="129"/>
      <c r="BX1339" s="137"/>
      <c r="BY1339" s="129">
        <f>INDEX('Gross Dx Plant'!$D$7:$AC$91,MATCH($C1339,'Gross Dx Plant'!$C$7:$C$91,0),MATCH(Calculation!$G1339,'Gross Dx Plant'!$D$5:$AC$5,0))</f>
        <v>890696</v>
      </c>
      <c r="BZ1339" s="129">
        <f>INDEX('Gross Gen Plant'!$D$7:$AC$91,MATCH($C1339,'Gross Gen Plant'!$C$7:$C$91,0),MATCH(Calculation!$G1339,'Gross Gen Plant'!$D$5:$AC$5,0))</f>
        <v>49502</v>
      </c>
      <c r="CA1339" s="129">
        <f t="shared" ref="CA1339:CA1350" si="2423">IF(OR(BQ1339="NA",BR1339="NA"),"NA",(SUM(BY1339:BZ1339)-SUM(BQ1339:BR1339)))</f>
        <v>611582</v>
      </c>
      <c r="CB1339" s="129"/>
      <c r="CC1339" s="133">
        <v>2009</v>
      </c>
      <c r="CD1339" s="129"/>
      <c r="CE1339" s="129"/>
      <c r="CF1339" s="129"/>
      <c r="CG1339" s="137"/>
      <c r="CH1339" s="129">
        <f t="shared" si="2389"/>
        <v>65605</v>
      </c>
      <c r="CI1339" s="46">
        <f t="shared" si="2398"/>
        <v>65465.475878485173</v>
      </c>
      <c r="CJ1339" s="231">
        <f t="shared" si="2390"/>
        <v>118.82491779711501</v>
      </c>
      <c r="CK1339" s="443">
        <v>0.87912087912087911</v>
      </c>
      <c r="CL1339" s="231">
        <f>+CL1328*CK1339+CJ1329*CK1338+CJ1330*CK1337+CJ1331*CK1336+CJ1332*CK1335+CJ1333*CK1334+CJ1334*CK1333+CJ1335*CK1332+CJ1336*CK1331+CJ1337*CK1330+CJ1338*CK1329+CJ1339</f>
        <v>2540.5722051244011</v>
      </c>
      <c r="CM1339" s="134">
        <f t="shared" si="2391"/>
        <v>3.5006280785098126E-2</v>
      </c>
      <c r="CN1339" s="135">
        <f t="shared" si="2392"/>
        <v>1.2810984964011025E-2</v>
      </c>
      <c r="CO1339" s="135">
        <f t="shared" si="2401"/>
        <v>1.2496754702921836E-2</v>
      </c>
      <c r="CP1339" s="134">
        <f>VLOOKUP($H1339,RoR!$E:$F,2,FALSE)</f>
        <v>5.3133333333333324E-2</v>
      </c>
      <c r="CQ1339" s="135">
        <v>7.7972502758210105E-3</v>
      </c>
      <c r="CR1339" s="135">
        <f t="shared" si="2399"/>
        <v>4.5336083057512314E-2</v>
      </c>
      <c r="CS1339" s="135">
        <f t="shared" si="2402"/>
        <v>1.8405186905611791E-2</v>
      </c>
      <c r="CT1339" s="135">
        <v>6.3720160300892073E-2</v>
      </c>
      <c r="CU1339" s="139">
        <f t="shared" si="2393"/>
        <v>0.85126000000000002</v>
      </c>
      <c r="CV1339" s="335">
        <f t="shared" si="2394"/>
        <v>0.96515780330083989</v>
      </c>
      <c r="CW1339" s="335">
        <f t="shared" si="2395"/>
        <v>0.50448557089084056</v>
      </c>
      <c r="CX1339" s="335">
        <f t="shared" si="2396"/>
        <v>0.87391435735465484</v>
      </c>
      <c r="CY1339" s="335">
        <f t="shared" si="2397"/>
        <v>0.42551605393279146</v>
      </c>
      <c r="CZ1339" s="336">
        <f>INDEX('State Tax Lookup'!$D$7:$Z$91,MATCH(Calculation!$C1339,'State Tax Lookup'!$B$7:$B$91,0),MATCH($H1339,'State Tax Lookup'!$D$6:$Z$6,0))</f>
        <v>0.40200000000000002</v>
      </c>
      <c r="DA1339" s="302">
        <v>0.37</v>
      </c>
      <c r="DB1339" s="57">
        <f t="shared" si="2400"/>
        <v>14.34393774207607</v>
      </c>
      <c r="DC1339" s="56">
        <f t="shared" si="2403"/>
        <v>-5.1048565079737901E-2</v>
      </c>
      <c r="DD1339" s="303">
        <f>VLOOKUP($H1339,RoR!$E:$F,2,FALSE)</f>
        <v>5.3133333333333324E-2</v>
      </c>
      <c r="DE1339" s="304">
        <f>HLOOKUP($H1339,'GDP-PI'!$D$8:$CQ$11,3,FALSE)</f>
        <v>7.7972502758210105E-3</v>
      </c>
      <c r="DF1339" s="303">
        <f>VLOOKUP(H1339,'HW Dx Data'!$E:$F,2,FALSE)</f>
        <v>550.94063679692806</v>
      </c>
      <c r="DG1339" s="364">
        <f ca="1">VLOOKUP(CC1339,'ECI - Input Price'!M$13:N$33,2,FALSE)</f>
        <v>110.925</v>
      </c>
      <c r="DH1339" s="364"/>
      <c r="DI1339" s="364"/>
      <c r="DJ1339" s="56">
        <f t="shared" ca="1" si="2411"/>
        <v>2.7649425000884052E-2</v>
      </c>
      <c r="DK1339" s="53">
        <f>HLOOKUP(H1339,'GDP-PI'!$8:$9,2,FALSE)</f>
        <v>94.998999999999995</v>
      </c>
      <c r="DL1339" s="355">
        <f t="shared" si="2404"/>
        <v>7.7670088183096342E-3</v>
      </c>
    </row>
    <row r="1340" spans="1:116" s="126" customFormat="1" ht="21" customHeight="1" x14ac:dyDescent="0.4">
      <c r="A1340" s="233" t="s">
        <v>260</v>
      </c>
      <c r="B1340" s="126" t="s">
        <v>261</v>
      </c>
      <c r="C1340" s="126">
        <v>4064141</v>
      </c>
      <c r="D1340" s="127" t="s">
        <v>203</v>
      </c>
      <c r="E1340" s="127" t="s">
        <v>15</v>
      </c>
      <c r="F1340" s="144"/>
      <c r="G1340" s="126" t="s">
        <v>166</v>
      </c>
      <c r="H1340" s="128">
        <v>2010</v>
      </c>
      <c r="I1340" s="129"/>
      <c r="J1340" s="125">
        <f>IFERROR(INDEX('Labor Expenditures'!$E$7:$W$91,MATCH($C1340,'Labor Expenditures'!$C$7:$C$91,0),MATCH($G1340,'Labor Expenditures'!$E$5:$W$5,0)),"NA")</f>
        <v>30726.286782521151</v>
      </c>
      <c r="K1340" s="125">
        <f t="shared" ca="1" si="2405"/>
        <v>262.78628849708059</v>
      </c>
      <c r="L1340" s="47"/>
      <c r="M1340" s="131">
        <f t="shared" ca="1" si="2412"/>
        <v>-3.0595274597504411E-5</v>
      </c>
      <c r="N1340" s="131"/>
      <c r="O1340" s="131"/>
      <c r="P1340" s="59">
        <f t="shared" ca="1" si="2414"/>
        <v>-3.9406170797359398E-7</v>
      </c>
      <c r="Q1340" s="61"/>
      <c r="R1340" s="387"/>
      <c r="S1340" s="49">
        <f t="shared" ca="1" si="2419"/>
        <v>98.559686671293306</v>
      </c>
      <c r="T1340" s="61">
        <f ca="1">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+P2615+P2640+P2665</f>
        <v>-0.17332353846019144</v>
      </c>
      <c r="U1340" s="61"/>
      <c r="V1340" s="125">
        <f>IFERROR(INDEX('Non-Labor Expenditures'!$E$7:$AA$91,MATCH($C1340,'Non-Labor Expenditures'!$C$7:$C$91,0),MATCH($G1340,'Non-Labor Expenditures'!$E$5:$AA$5,0)),"NA")</f>
        <v>44497.402139843565</v>
      </c>
      <c r="W1340" s="125">
        <f t="shared" si="2406"/>
        <v>462.98892028679484</v>
      </c>
      <c r="X1340" s="131">
        <f t="shared" si="2415"/>
        <v>4.1031212265229003E-2</v>
      </c>
      <c r="Y1340" s="131">
        <f t="shared" si="2416"/>
        <v>5.2847473337539765E-4</v>
      </c>
      <c r="Z1340" s="131"/>
      <c r="AA1340" s="131"/>
      <c r="AB1340" s="131"/>
      <c r="AC1340" s="125">
        <f t="shared" si="2388"/>
        <v>37056.781666103532</v>
      </c>
      <c r="AD1340" s="129"/>
      <c r="AE1340" s="133">
        <v>2771.2364743701874</v>
      </c>
      <c r="AF1340" s="134">
        <v>3.2475585165970405E-2</v>
      </c>
      <c r="AG1340" s="59">
        <f t="shared" si="2407"/>
        <v>4.1827977445210002E-4</v>
      </c>
      <c r="AH1340" s="134"/>
      <c r="AI1340" s="134"/>
      <c r="AJ1340" s="129">
        <f t="shared" si="2372"/>
        <v>112280.47058846825</v>
      </c>
      <c r="AK1340" s="134">
        <f t="shared" si="2417"/>
        <v>5.2348414416616543E-2</v>
      </c>
      <c r="AL1340" s="129"/>
      <c r="AM1340" s="129"/>
      <c r="AN1340" s="129"/>
      <c r="AO1340" s="129"/>
      <c r="AP1340" s="133">
        <f t="shared" si="2418"/>
        <v>545.35262518319973</v>
      </c>
      <c r="AQ1340" s="134">
        <f>+BB1340/Outputs!$B$18</f>
        <v>5.8207969419258702E-3</v>
      </c>
      <c r="AR1340" s="93">
        <f t="shared" si="2408"/>
        <v>0.2736565550668158</v>
      </c>
      <c r="AS1340" s="93">
        <f t="shared" si="2409"/>
        <v>0.3963058037308731</v>
      </c>
      <c r="AT1340" s="93">
        <f t="shared" si="2410"/>
        <v>0.33003764120231116</v>
      </c>
      <c r="AU1340" s="93">
        <f t="shared" ca="1" si="2413"/>
        <v>2.6971524430900042E-2</v>
      </c>
      <c r="AV1340" s="132">
        <f t="shared" ca="1" si="2421"/>
        <v>110.01960736784697</v>
      </c>
      <c r="AW1340" s="134">
        <f t="shared" ca="1" si="2422"/>
        <v>2.697152443090009E-2</v>
      </c>
      <c r="AX1340" s="135">
        <f>+AJ1340/$AL$15</f>
        <v>1.2879822559452914E-2</v>
      </c>
      <c r="AY1340" s="135">
        <f t="shared" ca="1" si="2420"/>
        <v>3.4738844882794238E-4</v>
      </c>
      <c r="AZ1340" s="93"/>
      <c r="BA1340" s="93"/>
      <c r="BB1340" s="234">
        <f>IFERROR(INDEX('Total Customers'!$E$7:$AA$91,MATCH($C1340,'Total Customers'!$C$7:$C$91,0),MATCH($G1340,'Total Customers'!$E$5:$AA$5,0)),"NA")</f>
        <v>205886</v>
      </c>
      <c r="BC1340" s="269">
        <f t="shared" si="2328"/>
        <v>-2.6775076385373549E-3</v>
      </c>
      <c r="BD1340" s="92"/>
      <c r="BE1340" s="299" t="str">
        <f t="shared" si="2317"/>
        <v>YANKEE GAS SERVICES COMPANY</v>
      </c>
      <c r="BF1340" s="300">
        <f t="shared" si="2318"/>
        <v>4064141</v>
      </c>
      <c r="BG1340" s="231" t="str">
        <f t="shared" si="2319"/>
        <v>CT</v>
      </c>
      <c r="BH1340" s="231"/>
      <c r="BI1340" s="231" t="str">
        <f t="shared" si="2320"/>
        <v>2010 Y</v>
      </c>
      <c r="BJ1340" s="129"/>
      <c r="BK1340" s="129"/>
      <c r="BL1340" s="129">
        <f>INDEX('Dist. Plant Gas Additions'!$E$7:$AD$91,MATCH($C1340,'Dist. Plant Gas Additions'!$C$7:$C$91,0),MATCH(Calculation!$G1340,'Dist. Plant Gas Additions'!$E$5:$AD$5,0))</f>
        <v>57438</v>
      </c>
      <c r="BM1340" s="129">
        <f>INDEX('Gen. Plant Additions'!$E$7:$AD$91,MATCH($C1340,'Gen. Plant Additions'!$C$7:$C$91,0),MATCH(Calculation!$G1340,'Gen. Plant Additions'!$E$5:$AD$5,0))</f>
        <v>3552</v>
      </c>
      <c r="BN1340" s="301">
        <f t="shared" si="2346"/>
        <v>0.95029335874402054</v>
      </c>
      <c r="BO1340" s="231">
        <f t="shared" si="2374"/>
        <v>3375.442010258761</v>
      </c>
      <c r="BP1340" s="231">
        <f t="shared" si="2375"/>
        <v>-176.557989741239</v>
      </c>
      <c r="BQ1340" s="129">
        <f>INDEX('Dist Plant Depreciation'!$D$7:$AC$94,MATCH($C1340,'Dist Plant Depreciation'!$C$7:$C$94,0),MATCH(Calculation!$G1340,'Dist Plant Depreciation'!$D$5:$AC$5,0))</f>
        <v>311925</v>
      </c>
      <c r="BR1340" s="129">
        <f>INDEX('Gen. Plant Depreciation'!$D$7:$AC$94,MATCH($C1340,'Gen. Plant Depreciation'!$C$7:$C$94,0),MATCH(Calculation!$G1340,'Gen. Plant Depreciation'!$D$5:$AC$5,0))</f>
        <v>30594</v>
      </c>
      <c r="BS1340" s="129"/>
      <c r="BT1340" s="129"/>
      <c r="BU1340" s="129"/>
      <c r="BV1340" s="129"/>
      <c r="BW1340" s="129"/>
      <c r="BX1340" s="137"/>
      <c r="BY1340" s="129">
        <f>INDEX('Gross Dx Plant'!$D$7:$AC$91,MATCH($C1340,'Gross Dx Plant'!$C$7:$C$91,0),MATCH(Calculation!$G1340,'Gross Dx Plant'!$D$5:$AC$5,0))</f>
        <v>945406</v>
      </c>
      <c r="BZ1340" s="129">
        <f>INDEX('Gross Gen Plant'!$D$7:$AC$91,MATCH($C1340,'Gross Gen Plant'!$C$7:$C$91,0),MATCH(Calculation!$G1340,'Gross Gen Plant'!$D$5:$AC$5,0))</f>
        <v>49451</v>
      </c>
      <c r="CA1340" s="129">
        <f t="shared" si="2423"/>
        <v>652338</v>
      </c>
      <c r="CB1340" s="129"/>
      <c r="CC1340" s="133">
        <v>2010</v>
      </c>
      <c r="CD1340" s="129"/>
      <c r="CE1340" s="129"/>
      <c r="CF1340" s="129"/>
      <c r="CG1340" s="137"/>
      <c r="CH1340" s="129">
        <f t="shared" si="2389"/>
        <v>60990</v>
      </c>
      <c r="CI1340" s="46">
        <f t="shared" si="2398"/>
        <v>60813.442010258761</v>
      </c>
      <c r="CJ1340" s="231">
        <f t="shared" si="2390"/>
        <v>106.87972577559917</v>
      </c>
      <c r="CK1340" s="443">
        <v>0.8666666666666667</v>
      </c>
      <c r="CL1340" s="231">
        <f>+CL1328*CK1340+CJ1329*CK1339+CJ1330*CK1338+CJ1331*CK1337+CJ1332*CK1336+CJ1333*CK1335+CJ1334*CK1334+CJ1335*CK1333+CJ1336*CK1332+CJ1337*CK1331+CJ1338*CK1330+CJ1339*CK1329+CJ1340</f>
        <v>2614.1625195736956</v>
      </c>
      <c r="CM1340" s="134">
        <f t="shared" si="2391"/>
        <v>2.855445275408524E-2</v>
      </c>
      <c r="CN1340" s="135">
        <f t="shared" si="2392"/>
        <v>1.3103115612758039E-2</v>
      </c>
      <c r="CO1340" s="135">
        <f t="shared" si="2401"/>
        <v>1.280946834275766E-2</v>
      </c>
      <c r="CP1340" s="134">
        <f>VLOOKUP($H1340,RoR!$E:$F,2,FALSE)</f>
        <v>4.9433333333333322E-2</v>
      </c>
      <c r="CQ1340" s="135">
        <v>1.1684333519300205E-2</v>
      </c>
      <c r="CR1340" s="135">
        <f t="shared" si="2399"/>
        <v>3.7748999814033117E-2</v>
      </c>
      <c r="CS1340" s="135">
        <f t="shared" si="2402"/>
        <v>1.8092473265775965E-2</v>
      </c>
      <c r="CT1340" s="135">
        <v>4.7937530248493419E-2</v>
      </c>
      <c r="CU1340" s="139">
        <f t="shared" si="2393"/>
        <v>0.85126000000000002</v>
      </c>
      <c r="CV1340" s="335">
        <f t="shared" si="2394"/>
        <v>1.037398205301105</v>
      </c>
      <c r="CW1340" s="335">
        <f t="shared" si="2395"/>
        <v>0.46926837491571133</v>
      </c>
      <c r="CX1340" s="335">
        <f t="shared" si="2396"/>
        <v>0.8548537519972772</v>
      </c>
      <c r="CY1340" s="335">
        <f t="shared" si="2397"/>
        <v>0.41615833911547367</v>
      </c>
      <c r="CZ1340" s="336">
        <f>INDEX('State Tax Lookup'!$D$7:$Z$91,MATCH(Calculation!$C1340,'State Tax Lookup'!$B$7:$B$91,0),MATCH($H1340,'State Tax Lookup'!$D$6:$Z$6,0))</f>
        <v>0.40200000000000002</v>
      </c>
      <c r="DA1340" s="302">
        <v>0.37</v>
      </c>
      <c r="DB1340" s="57">
        <f t="shared" si="2400"/>
        <v>14.585998221723054</v>
      </c>
      <c r="DC1340" s="56">
        <f t="shared" si="2403"/>
        <v>1.6734646697987413E-2</v>
      </c>
      <c r="DD1340" s="303">
        <f>VLOOKUP($H1340,RoR!$E:$F,2,FALSE)</f>
        <v>4.9433333333333322E-2</v>
      </c>
      <c r="DE1340" s="304">
        <f>HLOOKUP($H1340,'GDP-PI'!$D$8:$CQ$11,3,FALSE)</f>
        <v>1.1684333519300205E-2</v>
      </c>
      <c r="DF1340" s="303">
        <f>VLOOKUP(H1340,'HW Dx Data'!$E:$F,2,FALSE)</f>
        <v>568.98950262971744</v>
      </c>
      <c r="DG1340" s="364">
        <f ca="1">VLOOKUP(CC1340,'ECI - Input Price'!M$13:N$33,2,FALSE)</f>
        <v>116.925</v>
      </c>
      <c r="DH1340" s="364"/>
      <c r="DI1340" s="364"/>
      <c r="DJ1340" s="56">
        <f t="shared" ca="1" si="2411"/>
        <v>5.2678406346976722E-2</v>
      </c>
      <c r="DK1340" s="53">
        <f>HLOOKUP(H1340,'GDP-PI'!$8:$9,2,FALSE)</f>
        <v>96.108999999999995</v>
      </c>
      <c r="DL1340" s="355">
        <f t="shared" si="2404"/>
        <v>1.1616598807150427E-2</v>
      </c>
    </row>
    <row r="1341" spans="1:116" s="126" customFormat="1" ht="21" customHeight="1" x14ac:dyDescent="0.4">
      <c r="A1341" s="233" t="s">
        <v>260</v>
      </c>
      <c r="B1341" s="126" t="s">
        <v>261</v>
      </c>
      <c r="C1341" s="126">
        <v>4064141</v>
      </c>
      <c r="D1341" s="127" t="s">
        <v>203</v>
      </c>
      <c r="E1341" s="127" t="s">
        <v>15</v>
      </c>
      <c r="F1341" s="144"/>
      <c r="G1341" s="126" t="s">
        <v>167</v>
      </c>
      <c r="H1341" s="128">
        <v>2011</v>
      </c>
      <c r="I1341" s="129"/>
      <c r="J1341" s="125">
        <f>IFERROR(INDEX('Labor Expenditures'!$E$7:$W$91,MATCH($C1341,'Labor Expenditures'!$C$7:$C$91,0),MATCH($G1341,'Labor Expenditures'!$E$5:$W$5,0)),"NA")</f>
        <v>32267.303393300001</v>
      </c>
      <c r="K1341" s="125">
        <f t="shared" ca="1" si="2405"/>
        <v>266.94770128893487</v>
      </c>
      <c r="L1341" s="47"/>
      <c r="M1341" s="131">
        <f t="shared" ca="1" si="2412"/>
        <v>1.5711653311164923E-2</v>
      </c>
      <c r="N1341" s="131"/>
      <c r="O1341" s="131"/>
      <c r="P1341" s="59">
        <f t="shared" ca="1" si="2414"/>
        <v>2.067643952264796E-4</v>
      </c>
      <c r="Q1341" s="61"/>
      <c r="R1341" s="387"/>
      <c r="S1341" s="49">
        <f t="shared" ca="1" si="2419"/>
        <v>119.24912270104164</v>
      </c>
      <c r="T1341" s="61">
        <f ca="1">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+P2616+P2641+P2666</f>
        <v>0.1905524522221623</v>
      </c>
      <c r="U1341" s="61"/>
      <c r="V1341" s="125">
        <f>IFERROR(INDEX('Non-Labor Expenditures'!$E$7:$AA$91,MATCH($C1341,'Non-Labor Expenditures'!$C$7:$C$91,0),MATCH($G1341,'Non-Labor Expenditures'!$E$5:$AA$5,0)),"NA")</f>
        <v>46729.082014452186</v>
      </c>
      <c r="W1341" s="125">
        <f t="shared" si="2406"/>
        <v>476.28304401553521</v>
      </c>
      <c r="X1341" s="131">
        <f t="shared" si="2415"/>
        <v>2.8309184259824122E-2</v>
      </c>
      <c r="Y1341" s="131">
        <f t="shared" si="2416"/>
        <v>3.7254713090429829E-4</v>
      </c>
      <c r="Z1341" s="131"/>
      <c r="AA1341" s="131"/>
      <c r="AB1341" s="131"/>
      <c r="AC1341" s="125">
        <f t="shared" si="2388"/>
        <v>40399.550661665395</v>
      </c>
      <c r="AD1341" s="129"/>
      <c r="AE1341" s="133">
        <v>2933.5510037944368</v>
      </c>
      <c r="AF1341" s="134">
        <v>5.6920034661842034E-2</v>
      </c>
      <c r="AG1341" s="59">
        <f t="shared" si="2407"/>
        <v>7.4906416976262965E-4</v>
      </c>
      <c r="AH1341" s="134"/>
      <c r="AI1341" s="134"/>
      <c r="AJ1341" s="129">
        <f t="shared" si="2372"/>
        <v>119395.93606941757</v>
      </c>
      <c r="AK1341" s="134">
        <f t="shared" si="2417"/>
        <v>6.1445221420081117E-2</v>
      </c>
      <c r="AL1341" s="129"/>
      <c r="AM1341" s="129"/>
      <c r="AN1341" s="129"/>
      <c r="AO1341" s="129"/>
      <c r="AP1341" s="133">
        <f t="shared" si="2418"/>
        <v>574.70138130095631</v>
      </c>
      <c r="AQ1341" s="134">
        <f>+BB1341/Outputs!$B$19</f>
        <v>5.8452406880611296E-3</v>
      </c>
      <c r="AR1341" s="93">
        <f t="shared" si="2408"/>
        <v>0.27025462051354565</v>
      </c>
      <c r="AS1341" s="93">
        <f t="shared" si="2409"/>
        <v>0.39137916710400927</v>
      </c>
      <c r="AT1341" s="93">
        <f t="shared" si="2410"/>
        <v>0.33836621238244519</v>
      </c>
      <c r="AU1341" s="93">
        <f t="shared" ca="1" si="2413"/>
        <v>3.444501665749939E-2</v>
      </c>
      <c r="AV1341" s="132">
        <f t="shared" ca="1" si="2421"/>
        <v>113.87525733319063</v>
      </c>
      <c r="AW1341" s="134">
        <f t="shared" ca="1" si="2422"/>
        <v>3.4445016657499467E-2</v>
      </c>
      <c r="AX1341" s="135">
        <f>+AJ1341/$AL$16</f>
        <v>1.3159938749383548E-2</v>
      </c>
      <c r="AY1341" s="135">
        <f t="shared" ca="1" si="2420"/>
        <v>4.5329430943418902E-4</v>
      </c>
      <c r="AZ1341" s="93"/>
      <c r="BA1341" s="93"/>
      <c r="BB1341" s="234">
        <f>IFERROR(INDEX('Total Customers'!$E$7:$AA$91,MATCH($C1341,'Total Customers'!$C$7:$C$91,0),MATCH($G1341,'Total Customers'!$E$5:$AA$5,0)),"NA")</f>
        <v>207753</v>
      </c>
      <c r="BC1341" s="269">
        <f t="shared" si="2328"/>
        <v>9.0272565144012672E-3</v>
      </c>
      <c r="BD1341" s="92"/>
      <c r="BE1341" s="299" t="str">
        <f t="shared" si="2317"/>
        <v>YANKEE GAS SERVICES COMPANY</v>
      </c>
      <c r="BF1341" s="300">
        <f t="shared" si="2318"/>
        <v>4064141</v>
      </c>
      <c r="BG1341" s="231" t="str">
        <f t="shared" si="2319"/>
        <v>CT</v>
      </c>
      <c r="BH1341" s="231"/>
      <c r="BI1341" s="231" t="str">
        <f t="shared" si="2320"/>
        <v>2011 Y</v>
      </c>
      <c r="BJ1341" s="129"/>
      <c r="BK1341" s="129"/>
      <c r="BL1341" s="129">
        <f>INDEX('Dist. Plant Gas Additions'!$E$7:$AD$91,MATCH($C1341,'Dist. Plant Gas Additions'!$C$7:$C$91,0),MATCH(Calculation!$G1341,'Dist. Plant Gas Additions'!$E$5:$AD$5,0))</f>
        <v>101025</v>
      </c>
      <c r="BM1341" s="129">
        <f>INDEX('Gen. Plant Additions'!$E$7:$AD$91,MATCH($C1341,'Gen. Plant Additions'!$C$7:$C$91,0),MATCH(Calculation!$G1341,'Gen. Plant Additions'!$E$5:$AD$5,0))</f>
        <v>10375</v>
      </c>
      <c r="BN1341" s="301">
        <f t="shared" ref="BN1341:BN1350" si="2424">+(BY1341/(BY1341+BZ1341))</f>
        <v>0.94623174600575177</v>
      </c>
      <c r="BO1341" s="231">
        <f t="shared" si="2374"/>
        <v>9817.154364809674</v>
      </c>
      <c r="BP1341" s="231">
        <f t="shared" si="2375"/>
        <v>-557.84563519032599</v>
      </c>
      <c r="BQ1341" s="129">
        <f>INDEX('Dist Plant Depreciation'!$D$7:$AC$94,MATCH($C1341,'Dist Plant Depreciation'!$C$7:$C$94,0),MATCH(Calculation!$G1341,'Dist Plant Depreciation'!$D$5:$AC$5,0))</f>
        <v>321804</v>
      </c>
      <c r="BR1341" s="129">
        <f>INDEX('Gen. Plant Depreciation'!$D$7:$AC$94,MATCH($C1341,'Gen. Plant Depreciation'!$C$7:$C$94,0),MATCH(Calculation!$G1341,'Gen. Plant Depreciation'!$D$5:$AC$5,0))</f>
        <v>35203</v>
      </c>
      <c r="BS1341" s="129"/>
      <c r="BT1341" s="129"/>
      <c r="BU1341" s="129"/>
      <c r="BV1341" s="129"/>
      <c r="BW1341" s="129"/>
      <c r="BX1341" s="137"/>
      <c r="BY1341" s="129">
        <f>INDEX('Gross Dx Plant'!$D$7:$AC$91,MATCH($C1341,'Gross Dx Plant'!$C$7:$C$91,0),MATCH(Calculation!$G1341,'Gross Dx Plant'!$D$5:$AC$5,0))</f>
        <v>1040044</v>
      </c>
      <c r="BZ1341" s="129">
        <f>INDEX('Gross Gen Plant'!$D$7:$AC$91,MATCH($C1341,'Gross Gen Plant'!$C$7:$C$91,0),MATCH(Calculation!$G1341,'Gross Gen Plant'!$D$5:$AC$5,0))</f>
        <v>59099</v>
      </c>
      <c r="CA1341" s="129">
        <f t="shared" si="2423"/>
        <v>742136</v>
      </c>
      <c r="CB1341" s="129"/>
      <c r="CC1341" s="133">
        <v>2011</v>
      </c>
      <c r="CD1341" s="129"/>
      <c r="CE1341" s="129"/>
      <c r="CF1341" s="129"/>
      <c r="CG1341" s="137"/>
      <c r="CH1341" s="129">
        <f t="shared" si="2389"/>
        <v>111400</v>
      </c>
      <c r="CI1341" s="46">
        <f t="shared" si="2398"/>
        <v>110842.15436480967</v>
      </c>
      <c r="CJ1341" s="231">
        <f t="shared" si="2390"/>
        <v>181.22979629942628</v>
      </c>
      <c r="CK1341" s="443">
        <v>0.8539325842696629</v>
      </c>
      <c r="CL1341" s="231">
        <f>+CL1328*CK1341+CJ1329*CK1340+CJ1330*CK1339+CJ1331*CK1338+CJ1332*CK1337+CJ1333*CK1336+CJ1334*CK1335+CJ1335*CK1334+CJ1336*CK1333+CJ1337*CK1332+CJ1338*CK1331+CJ1339*CK1330+CJ1340*CK1329+CJ1341</f>
        <v>2760.3131325659538</v>
      </c>
      <c r="CM1341" s="134">
        <f t="shared" si="2391"/>
        <v>5.4400341100531657E-2</v>
      </c>
      <c r="CN1341" s="135">
        <f t="shared" si="2392"/>
        <v>1.3418899186454806E-2</v>
      </c>
      <c r="CO1341" s="135">
        <f t="shared" si="2401"/>
        <v>1.3110999921074623E-2</v>
      </c>
      <c r="CP1341" s="134">
        <f>VLOOKUP($H1341,RoR!$E:$F,2,FALSE)</f>
        <v>4.6391666666666664E-2</v>
      </c>
      <c r="CQ1341" s="135">
        <v>2.0840920205183799E-2</v>
      </c>
      <c r="CR1341" s="135">
        <f t="shared" si="2399"/>
        <v>2.5550746461482865E-2</v>
      </c>
      <c r="CS1341" s="135">
        <f t="shared" si="2402"/>
        <v>1.7790941687459004E-2</v>
      </c>
      <c r="CT1341" s="135">
        <v>2.4810540821321614E-2</v>
      </c>
      <c r="CU1341" s="139">
        <f t="shared" si="2393"/>
        <v>0.85126000000000002</v>
      </c>
      <c r="CV1341" s="335">
        <f t="shared" si="2394"/>
        <v>1.1054151524782025</v>
      </c>
      <c r="CW1341" s="335">
        <f t="shared" si="2395"/>
        <v>0.43611011316687626</v>
      </c>
      <c r="CX1341" s="335">
        <f t="shared" si="2396"/>
        <v>0.83698442246886229</v>
      </c>
      <c r="CY1341" s="335">
        <f t="shared" si="2397"/>
        <v>0.40349573304423936</v>
      </c>
      <c r="CZ1341" s="336">
        <f>INDEX('State Tax Lookup'!$D$7:$Z$91,MATCH(Calculation!$C1341,'State Tax Lookup'!$B$7:$B$91,0),MATCH($H1341,'State Tax Lookup'!$D$6:$Z$6,0))</f>
        <v>0.40200000000000002</v>
      </c>
      <c r="DA1341" s="302">
        <v>0.37</v>
      </c>
      <c r="DB1341" s="57">
        <f t="shared" si="2400"/>
        <v>15.454108288666593</v>
      </c>
      <c r="DC1341" s="56">
        <f t="shared" si="2403"/>
        <v>5.7812834002537769E-2</v>
      </c>
      <c r="DD1341" s="303">
        <f>VLOOKUP($H1341,RoR!$E:$F,2,FALSE)</f>
        <v>4.6391666666666664E-2</v>
      </c>
      <c r="DE1341" s="304">
        <f>HLOOKUP($H1341,'GDP-PI'!$D$8:$CQ$11,3,FALSE)</f>
        <v>2.0840920205183799E-2</v>
      </c>
      <c r="DF1341" s="303">
        <f>VLOOKUP(H1341,'HW Dx Data'!$E:$F,2,FALSE)</f>
        <v>611.61109612283201</v>
      </c>
      <c r="DG1341" s="364">
        <f ca="1">VLOOKUP(CC1341,'ECI - Input Price'!M$13:N$33,2,FALSE)</f>
        <v>120.875</v>
      </c>
      <c r="DH1341" s="364"/>
      <c r="DI1341" s="364"/>
      <c r="DJ1341" s="56">
        <f t="shared" ca="1" si="2411"/>
        <v>3.3224250161508609E-2</v>
      </c>
      <c r="DK1341" s="53">
        <f>HLOOKUP(H1341,'GDP-PI'!$8:$9,2,FALSE)</f>
        <v>98.111999999999995</v>
      </c>
      <c r="DL1341" s="355">
        <f t="shared" si="2404"/>
        <v>2.0626719212849295E-2</v>
      </c>
    </row>
    <row r="1342" spans="1:116" s="126" customFormat="1" ht="21" customHeight="1" x14ac:dyDescent="0.4">
      <c r="A1342" s="233" t="s">
        <v>260</v>
      </c>
      <c r="B1342" s="126" t="s">
        <v>261</v>
      </c>
      <c r="C1342" s="126">
        <v>4064141</v>
      </c>
      <c r="D1342" s="127" t="s">
        <v>203</v>
      </c>
      <c r="E1342" s="127" t="s">
        <v>15</v>
      </c>
      <c r="F1342" s="144"/>
      <c r="G1342" s="126" t="s">
        <v>168</v>
      </c>
      <c r="H1342" s="128">
        <v>2012</v>
      </c>
      <c r="I1342" s="129"/>
      <c r="J1342" s="125">
        <f>IFERROR(INDEX('Labor Expenditures'!$E$7:$W$91,MATCH($C1342,'Labor Expenditures'!$C$7:$C$91,0),MATCH($G1342,'Labor Expenditures'!$E$5:$W$5,0)),"NA")</f>
        <v>32158.369578901482</v>
      </c>
      <c r="K1342" s="125">
        <f t="shared" ca="1" si="2405"/>
        <v>257.67924342068494</v>
      </c>
      <c r="L1342" s="47"/>
      <c r="M1342" s="131">
        <f t="shared" ca="1" si="2412"/>
        <v>-3.5337194992862975E-2</v>
      </c>
      <c r="N1342" s="131"/>
      <c r="O1342" s="131"/>
      <c r="P1342" s="59">
        <f t="shared" ca="1" si="2414"/>
        <v>-4.6861581091816928E-4</v>
      </c>
      <c r="Q1342" s="61"/>
      <c r="R1342" s="387"/>
      <c r="S1342" s="49">
        <f t="shared" ca="1" si="2419"/>
        <v>119.45715687241113</v>
      </c>
      <c r="T1342" s="61">
        <f ca="1">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+P2617+P2642+P2667</f>
        <v>1.743014255094075E-3</v>
      </c>
      <c r="U1342" s="61"/>
      <c r="V1342" s="125">
        <f>IFERROR(INDEX('Non-Labor Expenditures'!$E$7:$AA$91,MATCH($C1342,'Non-Labor Expenditures'!$C$7:$C$91,0),MATCH($G1342,'Non-Labor Expenditures'!$E$5:$AA$5,0)),"NA")</f>
        <v>46571.325505173118</v>
      </c>
      <c r="W1342" s="125">
        <f t="shared" si="2406"/>
        <v>465.71325505173115</v>
      </c>
      <c r="X1342" s="131">
        <f t="shared" si="2415"/>
        <v>-2.2442195569736721E-2</v>
      </c>
      <c r="Y1342" s="131">
        <f t="shared" si="2416"/>
        <v>-2.9761184151204937E-4</v>
      </c>
      <c r="Z1342" s="131"/>
      <c r="AA1342" s="131"/>
      <c r="AB1342" s="131"/>
      <c r="AC1342" s="125">
        <f t="shared" si="2388"/>
        <v>45771.813189880238</v>
      </c>
      <c r="AD1342" s="129"/>
      <c r="AE1342" s="133">
        <v>3053.9642328060213</v>
      </c>
      <c r="AF1342" s="134">
        <v>4.0226859236528939E-2</v>
      </c>
      <c r="AG1342" s="59">
        <f t="shared" si="2407"/>
        <v>5.3345893089772306E-4</v>
      </c>
      <c r="AH1342" s="134"/>
      <c r="AI1342" s="134"/>
      <c r="AJ1342" s="129">
        <f t="shared" si="2372"/>
        <v>124501.50827395484</v>
      </c>
      <c r="AK1342" s="134">
        <f t="shared" si="2417"/>
        <v>4.1872666371900125E-2</v>
      </c>
      <c r="AL1342" s="129"/>
      <c r="AM1342" s="129"/>
      <c r="AN1342" s="129"/>
      <c r="AO1342" s="129"/>
      <c r="AP1342" s="133">
        <f t="shared" si="2418"/>
        <v>588.54273985286534</v>
      </c>
      <c r="AQ1342" s="134">
        <f>+BB1342/Outputs!$B$20</f>
        <v>5.9233230642650398E-3</v>
      </c>
      <c r="AR1342" s="93">
        <f t="shared" si="2408"/>
        <v>0.2582970280820997</v>
      </c>
      <c r="AS1342" s="93">
        <f t="shared" si="2409"/>
        <v>0.3740623398930793</v>
      </c>
      <c r="AT1342" s="93">
        <f t="shared" si="2410"/>
        <v>0.367640632024821</v>
      </c>
      <c r="AU1342" s="93">
        <f t="shared" ca="1" si="2413"/>
        <v>-3.7276413587245434E-3</v>
      </c>
      <c r="AV1342" s="132">
        <f t="shared" ca="1" si="2421"/>
        <v>113.45156139808107</v>
      </c>
      <c r="AW1342" s="134">
        <f t="shared" ca="1" si="2422"/>
        <v>-3.7276413587245547E-3</v>
      </c>
      <c r="AX1342" s="135">
        <f>+AJ1342/$AL$17</f>
        <v>1.3261262276556338E-2</v>
      </c>
      <c r="AY1342" s="135">
        <f t="shared" ca="1" si="2420"/>
        <v>-4.943322973098515E-5</v>
      </c>
      <c r="AZ1342" s="93"/>
      <c r="BA1342" s="93"/>
      <c r="BB1342" s="234">
        <f>IFERROR(INDEX('Total Customers'!$E$7:$AA$91,MATCH($C1342,'Total Customers'!$C$7:$C$91,0),MATCH($G1342,'Total Customers'!$E$5:$AA$5,0)),"NA")</f>
        <v>211542</v>
      </c>
      <c r="BC1342" s="269">
        <f t="shared" si="2328"/>
        <v>1.8073686267399813E-2</v>
      </c>
      <c r="BD1342" s="92"/>
      <c r="BE1342" s="299" t="str">
        <f t="shared" si="2317"/>
        <v>YANKEE GAS SERVICES COMPANY</v>
      </c>
      <c r="BF1342" s="300">
        <f t="shared" si="2318"/>
        <v>4064141</v>
      </c>
      <c r="BG1342" s="231" t="str">
        <f t="shared" si="2319"/>
        <v>CT</v>
      </c>
      <c r="BH1342" s="231"/>
      <c r="BI1342" s="231" t="str">
        <f t="shared" si="2320"/>
        <v>2012 Y</v>
      </c>
      <c r="BJ1342" s="129"/>
      <c r="BK1342" s="129"/>
      <c r="BL1342" s="129">
        <f>INDEX('Dist. Plant Gas Additions'!$E$7:$AD$91,MATCH($C1342,'Dist. Plant Gas Additions'!$C$7:$C$91,0),MATCH(Calculation!$G1342,'Dist. Plant Gas Additions'!$E$5:$AD$5,0))</f>
        <v>90248</v>
      </c>
      <c r="BM1342" s="129">
        <f>INDEX('Gen. Plant Additions'!$E$7:$AD$91,MATCH($C1342,'Gen. Plant Additions'!$C$7:$C$91,0),MATCH(Calculation!$G1342,'Gen. Plant Additions'!$E$5:$AD$5,0))</f>
        <v>4641</v>
      </c>
      <c r="BN1342" s="301">
        <f t="shared" si="2424"/>
        <v>0.94775569465710641</v>
      </c>
      <c r="BO1342" s="231">
        <f t="shared" si="2374"/>
        <v>4398.5341789036311</v>
      </c>
      <c r="BP1342" s="231">
        <f t="shared" si="2375"/>
        <v>-242.46582109636893</v>
      </c>
      <c r="BQ1342" s="129">
        <f>INDEX('Dist Plant Depreciation'!$D$7:$AC$94,MATCH($C1342,'Dist Plant Depreciation'!$C$7:$C$94,0),MATCH(Calculation!$G1342,'Dist Plant Depreciation'!$D$5:$AC$5,0))</f>
        <v>332567</v>
      </c>
      <c r="BR1342" s="129">
        <f>INDEX('Gen. Plant Depreciation'!$D$7:$AC$94,MATCH($C1342,'Gen. Plant Depreciation'!$C$7:$C$94,0),MATCH(Calculation!$G1342,'Gen. Plant Depreciation'!$D$5:$AC$5,0))</f>
        <v>38728</v>
      </c>
      <c r="BS1342" s="129"/>
      <c r="BT1342" s="129"/>
      <c r="BU1342" s="129"/>
      <c r="BV1342" s="129"/>
      <c r="BW1342" s="129"/>
      <c r="BX1342" s="137"/>
      <c r="BY1342" s="129">
        <f>INDEX('Gross Dx Plant'!$D$7:$AC$91,MATCH($C1342,'Gross Dx Plant'!$C$7:$C$91,0),MATCH(Calculation!$G1342,'Gross Dx Plant'!$D$5:$AC$5,0))</f>
        <v>1124061</v>
      </c>
      <c r="BZ1342" s="129">
        <f>INDEX('Gross Gen Plant'!$D$7:$AC$91,MATCH($C1342,'Gross Gen Plant'!$C$7:$C$91,0),MATCH(Calculation!$G1342,'Gross Gen Plant'!$D$5:$AC$5,0))</f>
        <v>61963</v>
      </c>
      <c r="CA1342" s="129">
        <f t="shared" si="2423"/>
        <v>814729</v>
      </c>
      <c r="CB1342" s="129"/>
      <c r="CC1342" s="133">
        <v>2012</v>
      </c>
      <c r="CD1342" s="129"/>
      <c r="CE1342" s="129"/>
      <c r="CF1342" s="129"/>
      <c r="CG1342" s="137"/>
      <c r="CH1342" s="129">
        <f t="shared" si="2389"/>
        <v>94889</v>
      </c>
      <c r="CI1342" s="46">
        <f t="shared" si="2398"/>
        <v>94646.534178903632</v>
      </c>
      <c r="CJ1342" s="231">
        <f t="shared" si="2390"/>
        <v>141.49170318475058</v>
      </c>
      <c r="CK1342" s="443">
        <v>0.84090909090909094</v>
      </c>
      <c r="CL1342" s="231">
        <f>+CL1328*CK1342+CJ1329*CK1341+CJ1330*CK1340+CJ1331*CK1339+CJ1332*CK1338+CJ1333*CK1337+CJ1334*CK1336+CJ1335*CK1335+CJ1336*CK1334+CJ1337*CK1333+CJ1338*CK1332+CJ1339*CK1331+CJ1340*CK1330+CJ1341*CK1329+CJ1342</f>
        <v>2864.1541637759728</v>
      </c>
      <c r="CM1342" s="134">
        <f t="shared" si="2391"/>
        <v>3.6928948661881962E-2</v>
      </c>
      <c r="CN1342" s="135">
        <f t="shared" si="2392"/>
        <v>1.3640000306679657E-2</v>
      </c>
      <c r="CO1342" s="135">
        <f t="shared" si="2401"/>
        <v>1.3387338368630833E-2</v>
      </c>
      <c r="CP1342" s="134">
        <f>VLOOKUP($H1342,RoR!$E:$F,2,FALSE)</f>
        <v>3.6733333333333333E-2</v>
      </c>
      <c r="CQ1342" s="135">
        <v>1.924331376386168E-2</v>
      </c>
      <c r="CR1342" s="135">
        <f t="shared" si="2399"/>
        <v>1.7490019569471653E-2</v>
      </c>
      <c r="CS1342" s="135">
        <f t="shared" si="2402"/>
        <v>1.7514603239902792E-2</v>
      </c>
      <c r="CT1342" s="135">
        <v>6.7122682943869583E-2</v>
      </c>
      <c r="CU1342" s="139">
        <f t="shared" si="2393"/>
        <v>0.85126000000000002</v>
      </c>
      <c r="CV1342" s="335">
        <f t="shared" si="2394"/>
        <v>1.3960631020522127</v>
      </c>
      <c r="CW1342" s="335">
        <f t="shared" si="2395"/>
        <v>0.29441923774954631</v>
      </c>
      <c r="CX1342" s="335">
        <f t="shared" si="2396"/>
        <v>0.76377954189366437</v>
      </c>
      <c r="CY1342" s="335">
        <f t="shared" si="2397"/>
        <v>0.31393465103033691</v>
      </c>
      <c r="CZ1342" s="336">
        <f>INDEX('State Tax Lookup'!$D$7:$Z$91,MATCH(Calculation!$C1342,'State Tax Lookup'!$B$7:$B$91,0),MATCH($H1342,'State Tax Lookup'!$D$6:$Z$6,0))</f>
        <v>0.40200000000000002</v>
      </c>
      <c r="DA1342" s="302">
        <v>0.37</v>
      </c>
      <c r="DB1342" s="57">
        <f t="shared" si="2400"/>
        <v>16.582108982444073</v>
      </c>
      <c r="DC1342" s="56">
        <f t="shared" si="2403"/>
        <v>7.0449465358656593E-2</v>
      </c>
      <c r="DD1342" s="303">
        <f>VLOOKUP($H1342,RoR!$E:$F,2,FALSE)</f>
        <v>3.6733333333333333E-2</v>
      </c>
      <c r="DE1342" s="304">
        <f>HLOOKUP($H1342,'GDP-PI'!$D$8:$CQ$11,3,FALSE)</f>
        <v>1.924331376386168E-2</v>
      </c>
      <c r="DF1342" s="303">
        <f>VLOOKUP(H1342,'HW Dx Data'!$E:$F,2,FALSE)</f>
        <v>668.91932211262167</v>
      </c>
      <c r="DG1342" s="364">
        <f ca="1">VLOOKUP(CC1342,'ECI - Input Price'!M$13:N$33,2,FALSE)</f>
        <v>124.80000000000001</v>
      </c>
      <c r="DH1342" s="364"/>
      <c r="DI1342" s="364"/>
      <c r="DJ1342" s="56">
        <f t="shared" ca="1" si="2411"/>
        <v>3.1955502161869064E-2</v>
      </c>
      <c r="DK1342" s="53">
        <f>HLOOKUP(H1342,'GDP-PI'!$8:$9,2,FALSE)</f>
        <v>100</v>
      </c>
      <c r="DL1342" s="355">
        <f t="shared" si="2404"/>
        <v>1.9060502738742411E-2</v>
      </c>
    </row>
    <row r="1343" spans="1:116" s="126" customFormat="1" ht="21" customHeight="1" x14ac:dyDescent="0.4">
      <c r="A1343" s="233" t="s">
        <v>260</v>
      </c>
      <c r="B1343" s="126" t="s">
        <v>261</v>
      </c>
      <c r="C1343" s="126">
        <v>4064141</v>
      </c>
      <c r="D1343" s="127" t="s">
        <v>203</v>
      </c>
      <c r="E1343" s="127" t="s">
        <v>15</v>
      </c>
      <c r="F1343" s="144"/>
      <c r="G1343" s="126" t="s">
        <v>169</v>
      </c>
      <c r="H1343" s="128">
        <v>2013</v>
      </c>
      <c r="I1343" s="129"/>
      <c r="J1343" s="125">
        <f>IFERROR(INDEX('Labor Expenditures'!$E$7:$W$91,MATCH($C1343,'Labor Expenditures'!$C$7:$C$91,0),MATCH($G1343,'Labor Expenditures'!$E$5:$W$5,0)),"NA")</f>
        <v>32430.899449424294</v>
      </c>
      <c r="K1343" s="125">
        <f t="shared" ca="1" si="2405"/>
        <v>255.76419124151653</v>
      </c>
      <c r="L1343" s="47"/>
      <c r="M1343" s="131">
        <f t="shared" ca="1" si="2412"/>
        <v>-7.4596768812930005E-3</v>
      </c>
      <c r="N1343" s="131"/>
      <c r="O1343" s="131"/>
      <c r="P1343" s="59">
        <f t="shared" ca="1" si="2414"/>
        <v>-9.6439938255215224E-5</v>
      </c>
      <c r="Q1343" s="61"/>
      <c r="R1343" s="387"/>
      <c r="S1343" s="49">
        <f t="shared" ca="1" si="2419"/>
        <v>109.03327258243885</v>
      </c>
      <c r="T1343" s="61">
        <f ca="1">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+P2618+P2643+P2668</f>
        <v>-9.1304698492993053E-2</v>
      </c>
      <c r="U1343" s="61"/>
      <c r="V1343" s="125">
        <f>IFERROR(INDEX('Non-Labor Expenditures'!$E$7:$AA$91,MATCH($C1343,'Non-Labor Expenditures'!$C$7:$C$91,0),MATCH($G1343,'Non-Labor Expenditures'!$E$5:$AA$5,0)),"NA")</f>
        <v>46965.999659248628</v>
      </c>
      <c r="W1343" s="125">
        <f t="shared" si="2406"/>
        <v>461.47799179790934</v>
      </c>
      <c r="X1343" s="131">
        <f t="shared" si="2415"/>
        <v>-9.1357478300053419E-3</v>
      </c>
      <c r="Y1343" s="131">
        <f t="shared" si="2416"/>
        <v>-1.1810846108500846E-4</v>
      </c>
      <c r="Z1343" s="131"/>
      <c r="AA1343" s="131"/>
      <c r="AB1343" s="131"/>
      <c r="AC1343" s="125">
        <f t="shared" si="2388"/>
        <v>46401.632470087694</v>
      </c>
      <c r="AD1343" s="129"/>
      <c r="AE1343" s="133">
        <v>3172.5535629409223</v>
      </c>
      <c r="AF1343" s="134">
        <v>3.8096308837122415E-2</v>
      </c>
      <c r="AG1343" s="59">
        <f t="shared" si="2407"/>
        <v>4.9251539047450983E-4</v>
      </c>
      <c r="AH1343" s="134"/>
      <c r="AI1343" s="134"/>
      <c r="AJ1343" s="129">
        <f t="shared" si="2372"/>
        <v>125798.53157876062</v>
      </c>
      <c r="AK1343" s="134">
        <f t="shared" si="2417"/>
        <v>1.0363841051733878E-2</v>
      </c>
      <c r="AL1343" s="129"/>
      <c r="AM1343" s="129"/>
      <c r="AN1343" s="129"/>
      <c r="AO1343" s="129"/>
      <c r="AP1343" s="133">
        <f t="shared" si="2418"/>
        <v>585.94339654932423</v>
      </c>
      <c r="AQ1343" s="134">
        <f>+BB1343/Outputs!$B$21</f>
        <v>5.9732675036931237E-3</v>
      </c>
      <c r="AR1343" s="93">
        <f t="shared" si="2408"/>
        <v>0.25780030213722949</v>
      </c>
      <c r="AS1343" s="93">
        <f t="shared" si="2409"/>
        <v>0.37334298794929816</v>
      </c>
      <c r="AT1343" s="93">
        <f t="shared" si="2410"/>
        <v>0.3688567099134723</v>
      </c>
      <c r="AU1343" s="93">
        <f t="shared" ca="1" si="2413"/>
        <v>8.6899021357481863E-3</v>
      </c>
      <c r="AV1343" s="132">
        <f t="shared" ca="1" si="2421"/>
        <v>114.44174041208589</v>
      </c>
      <c r="AW1343" s="134">
        <f t="shared" ca="1" si="2422"/>
        <v>8.6899021357480823E-3</v>
      </c>
      <c r="AX1343" s="135">
        <f>+AJ1343/$AL$18</f>
        <v>1.2928165628334709E-2</v>
      </c>
      <c r="AY1343" s="135">
        <f t="shared" ca="1" si="2420"/>
        <v>1.1234449410497073E-4</v>
      </c>
      <c r="AZ1343" s="93"/>
      <c r="BA1343" s="93"/>
      <c r="BB1343" s="234">
        <f>IFERROR(INDEX('Total Customers'!$E$7:$AA$91,MATCH($C1343,'Total Customers'!$C$7:$C$91,0),MATCH($G1343,'Total Customers'!$E$5:$AA$5,0)),"NA")</f>
        <v>214694</v>
      </c>
      <c r="BC1343" s="269">
        <f t="shared" si="2328"/>
        <v>1.4790198191208715E-2</v>
      </c>
      <c r="BD1343" s="92"/>
      <c r="BE1343" s="299" t="str">
        <f t="shared" si="2317"/>
        <v>YANKEE GAS SERVICES COMPANY</v>
      </c>
      <c r="BF1343" s="300">
        <f t="shared" si="2318"/>
        <v>4064141</v>
      </c>
      <c r="BG1343" s="231" t="str">
        <f t="shared" si="2319"/>
        <v>CT</v>
      </c>
      <c r="BH1343" s="231"/>
      <c r="BI1343" s="231" t="str">
        <f t="shared" si="2320"/>
        <v>2013 Y</v>
      </c>
      <c r="BJ1343" s="129"/>
      <c r="BK1343" s="129"/>
      <c r="BL1343" s="129">
        <f>INDEX('Dist. Plant Gas Additions'!$E$7:$AD$91,MATCH($C1343,'Dist. Plant Gas Additions'!$C$7:$C$91,0),MATCH(Calculation!$G1343,'Dist. Plant Gas Additions'!$E$5:$AD$5,0))</f>
        <v>91488</v>
      </c>
      <c r="BM1343" s="129">
        <f>INDEX('Gen. Plant Additions'!$E$7:$AD$91,MATCH($C1343,'Gen. Plant Additions'!$C$7:$C$91,0),MATCH(Calculation!$G1343,'Gen. Plant Additions'!$E$5:$AD$5,0))</f>
        <v>2368</v>
      </c>
      <c r="BN1343" s="301">
        <f t="shared" si="2424"/>
        <v>0.94976054170804414</v>
      </c>
      <c r="BO1343" s="231">
        <f t="shared" si="2374"/>
        <v>2249.0329627646483</v>
      </c>
      <c r="BP1343" s="231">
        <f t="shared" si="2375"/>
        <v>-118.96703723535165</v>
      </c>
      <c r="BQ1343" s="129">
        <f>INDEX('Dist Plant Depreciation'!$D$7:$AC$94,MATCH($C1343,'Dist Plant Depreciation'!$C$7:$C$94,0),MATCH(Calculation!$G1343,'Dist Plant Depreciation'!$D$5:$AC$5,0))</f>
        <v>341546</v>
      </c>
      <c r="BR1343" s="129">
        <f>INDEX('Gen. Plant Depreciation'!$D$7:$AC$94,MATCH($C1343,'Gen. Plant Depreciation'!$C$7:$C$94,0),MATCH(Calculation!$G1343,'Gen. Plant Depreciation'!$D$5:$AC$5,0))</f>
        <v>43520</v>
      </c>
      <c r="BS1343" s="129"/>
      <c r="BT1343" s="129"/>
      <c r="BU1343" s="129"/>
      <c r="BV1343" s="129"/>
      <c r="BW1343" s="129"/>
      <c r="BX1343" s="137"/>
      <c r="BY1343" s="129">
        <f>INDEX('Gross Dx Plant'!$D$7:$AC$91,MATCH($C1343,'Gross Dx Plant'!$C$7:$C$91,0),MATCH(Calculation!$G1343,'Gross Dx Plant'!$D$5:$AC$5,0))</f>
        <v>1207933</v>
      </c>
      <c r="BZ1343" s="129">
        <f>INDEX('Gross Gen Plant'!$D$7:$AC$91,MATCH($C1343,'Gross Gen Plant'!$C$7:$C$91,0),MATCH(Calculation!$G1343,'Gross Gen Plant'!$D$5:$AC$5,0))</f>
        <v>63896</v>
      </c>
      <c r="CA1343" s="129">
        <f t="shared" si="2423"/>
        <v>886763</v>
      </c>
      <c r="CB1343" s="129"/>
      <c r="CC1343" s="133">
        <v>2013</v>
      </c>
      <c r="CD1343" s="129"/>
      <c r="CE1343" s="129"/>
      <c r="CF1343" s="129"/>
      <c r="CG1343" s="137"/>
      <c r="CH1343" s="129">
        <f t="shared" si="2389"/>
        <v>93856</v>
      </c>
      <c r="CI1343" s="46">
        <f t="shared" si="2398"/>
        <v>93737.032962764642</v>
      </c>
      <c r="CJ1343" s="231">
        <f t="shared" si="2390"/>
        <v>141.33020477262249</v>
      </c>
      <c r="CK1343" s="443">
        <v>0.82758620689655171</v>
      </c>
      <c r="CL1343" s="231">
        <f>+CL1328*CK1343+CJ1329*CK1342+CJ1330*CK1341+CJ1331*CK1340+CJ1332*CK1339+CJ1333*CK1338+CJ1334*CK1337+CJ1335*CK1336+CJ1336*CK1335+CJ1337*CK1334+CJ1338*CK1333+CJ1339*CK1332+CJ1340*CK1331+CJ1341*CK1330+CJ1342*CK1329+CJ1343</f>
        <v>2965.5936130524115</v>
      </c>
      <c r="CM1343" s="134">
        <f t="shared" si="2391"/>
        <v>3.4804143390242757E-2</v>
      </c>
      <c r="CN1343" s="135">
        <f t="shared" si="2392"/>
        <v>1.3927586720260092E-2</v>
      </c>
      <c r="CO1343" s="135">
        <f t="shared" si="2401"/>
        <v>1.3662162071131518E-2</v>
      </c>
      <c r="CP1343" s="134">
        <f>VLOOKUP($H1343,RoR!$E:$F,2,FALSE)</f>
        <v>4.2350000000000006E-2</v>
      </c>
      <c r="CQ1343" s="135">
        <v>1.7730000000000024E-2</v>
      </c>
      <c r="CR1343" s="135">
        <f t="shared" si="2399"/>
        <v>2.4619999999999982E-2</v>
      </c>
      <c r="CS1343" s="135">
        <f t="shared" si="2402"/>
        <v>1.7239779537402106E-2</v>
      </c>
      <c r="CT1343" s="135">
        <v>5.3376742735721204E-2</v>
      </c>
      <c r="CU1343" s="139">
        <f t="shared" si="2393"/>
        <v>0.85126000000000002</v>
      </c>
      <c r="CV1343" s="335">
        <f t="shared" si="2394"/>
        <v>1.2109103018193925</v>
      </c>
      <c r="CW1343" s="335">
        <f t="shared" si="2395"/>
        <v>0.38468122786304604</v>
      </c>
      <c r="CX1343" s="335">
        <f t="shared" si="2396"/>
        <v>0.80969194503422559</v>
      </c>
      <c r="CY1343" s="335">
        <f t="shared" si="2397"/>
        <v>0.37716621754800816</v>
      </c>
      <c r="CZ1343" s="336">
        <f>INDEX('State Tax Lookup'!$D$7:$Z$91,MATCH(Calculation!$C1343,'State Tax Lookup'!$B$7:$B$91,0),MATCH($H1343,'State Tax Lookup'!$D$6:$Z$6,0))</f>
        <v>0.40200000000000002</v>
      </c>
      <c r="DA1343" s="302">
        <v>0.37</v>
      </c>
      <c r="DB1343" s="57">
        <f t="shared" si="2400"/>
        <v>16.200815255319167</v>
      </c>
      <c r="DC1343" s="56">
        <f t="shared" si="2403"/>
        <v>-2.3262776632004965E-2</v>
      </c>
      <c r="DD1343" s="303">
        <f>VLOOKUP($H1343,RoR!$E:$F,2,FALSE)</f>
        <v>4.2350000000000006E-2</v>
      </c>
      <c r="DE1343" s="304">
        <f>HLOOKUP($H1343,'GDP-PI'!$D$8:$CQ$11,3,FALSE)</f>
        <v>1.7730000000000024E-2</v>
      </c>
      <c r="DF1343" s="303">
        <f>VLOOKUP(H1343,'HW Dx Data'!$E:$F,2,FALSE)</f>
        <v>663.24840548821396</v>
      </c>
      <c r="DG1343" s="364">
        <f ca="1">VLOOKUP(CC1343,'ECI - Input Price'!M$13:N$33,2,FALSE)</f>
        <v>126.8</v>
      </c>
      <c r="DH1343" s="364"/>
      <c r="DI1343" s="364"/>
      <c r="DJ1343" s="56">
        <f t="shared" ca="1" si="2411"/>
        <v>1.5898586067798204E-2</v>
      </c>
      <c r="DK1343" s="53">
        <f>HLOOKUP(H1343,'GDP-PI'!$8:$9,2,FALSE)</f>
        <v>101.773</v>
      </c>
      <c r="DL1343" s="355">
        <f t="shared" si="2404"/>
        <v>1.7574657016510519E-2</v>
      </c>
    </row>
    <row r="1344" spans="1:116" s="126" customFormat="1" ht="21" customHeight="1" x14ac:dyDescent="0.4">
      <c r="A1344" s="233" t="s">
        <v>260</v>
      </c>
      <c r="B1344" s="126" t="s">
        <v>261</v>
      </c>
      <c r="C1344" s="126">
        <v>4064141</v>
      </c>
      <c r="D1344" s="127" t="s">
        <v>203</v>
      </c>
      <c r="E1344" s="127" t="s">
        <v>15</v>
      </c>
      <c r="F1344" s="144"/>
      <c r="G1344" s="126" t="s">
        <v>170</v>
      </c>
      <c r="H1344" s="128">
        <v>2014</v>
      </c>
      <c r="I1344" s="129"/>
      <c r="J1344" s="125">
        <f>IFERROR(INDEX('Labor Expenditures'!$E$7:$W$91,MATCH($C1344,'Labor Expenditures'!$C$7:$C$91,0),MATCH($G1344,'Labor Expenditures'!$E$5:$W$5,0)),"NA")</f>
        <v>32547.237847510016</v>
      </c>
      <c r="K1344" s="125">
        <f t="shared" ca="1" si="2405"/>
        <v>251.52424920795994</v>
      </c>
      <c r="L1344" s="47"/>
      <c r="M1344" s="131">
        <f t="shared" ca="1" si="2412"/>
        <v>-1.6716488803921188E-2</v>
      </c>
      <c r="N1344" s="131"/>
      <c r="O1344" s="131"/>
      <c r="P1344" s="59">
        <f t="shared" ca="1" si="2414"/>
        <v>-2.1686777953769832E-4</v>
      </c>
      <c r="Q1344" s="61"/>
      <c r="R1344" s="387"/>
      <c r="S1344" s="49">
        <f t="shared" ca="1" si="2419"/>
        <v>124.14507498025438</v>
      </c>
      <c r="T1344" s="61">
        <f ca="1">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+P2619+P2644+P2669</f>
        <v>0.12979775255511966</v>
      </c>
      <c r="U1344" s="61"/>
      <c r="V1344" s="125">
        <f>IFERROR(INDEX('Non-Labor Expenditures'!$E$7:$AA$91,MATCH($C1344,'Non-Labor Expenditures'!$C$7:$C$91,0),MATCH($G1344,'Non-Labor Expenditures'!$E$5:$AA$5,0)),"NA")</f>
        <v>47134.479388692227</v>
      </c>
      <c r="W1344" s="125">
        <f t="shared" si="2406"/>
        <v>454.75970735952052</v>
      </c>
      <c r="X1344" s="131">
        <f t="shared" si="2415"/>
        <v>-1.4665200638502501E-2</v>
      </c>
      <c r="Y1344" s="131">
        <f t="shared" si="2416"/>
        <v>-1.9025583280388666E-4</v>
      </c>
      <c r="Z1344" s="131"/>
      <c r="AA1344" s="131"/>
      <c r="AB1344" s="131"/>
      <c r="AC1344" s="125">
        <f t="shared" si="2388"/>
        <v>48873.38280147803</v>
      </c>
      <c r="AD1344" s="129"/>
      <c r="AE1344" s="133">
        <v>3296.7278727631415</v>
      </c>
      <c r="AF1344" s="134">
        <v>3.8393618874119739E-2</v>
      </c>
      <c r="AG1344" s="59">
        <f t="shared" si="2407"/>
        <v>4.9809137381134146E-4</v>
      </c>
      <c r="AH1344" s="134"/>
      <c r="AI1344" s="134"/>
      <c r="AJ1344" s="129">
        <f t="shared" si="2372"/>
        <v>128555.10003768027</v>
      </c>
      <c r="AK1344" s="134">
        <f t="shared" si="2417"/>
        <v>2.1675934963566474E-2</v>
      </c>
      <c r="AL1344" s="129"/>
      <c r="AM1344" s="129"/>
      <c r="AN1344" s="129"/>
      <c r="AO1344" s="129"/>
      <c r="AP1344" s="133">
        <f t="shared" si="2418"/>
        <v>586.02218197502964</v>
      </c>
      <c r="AQ1344" s="134">
        <f>+BB1344/Outputs!$B$22</f>
        <v>6.0707220060455666E-3</v>
      </c>
      <c r="AR1344" s="93">
        <f t="shared" si="2408"/>
        <v>0.25317733670597453</v>
      </c>
      <c r="AS1344" s="93">
        <f t="shared" si="2409"/>
        <v>0.36664807055400234</v>
      </c>
      <c r="AT1344" s="93">
        <f t="shared" si="2410"/>
        <v>0.38017459274002313</v>
      </c>
      <c r="AU1344" s="93">
        <f t="shared" ca="1" si="2413"/>
        <v>4.6820765182192439E-3</v>
      </c>
      <c r="AV1344" s="132">
        <f t="shared" ca="1" si="2421"/>
        <v>114.97882174437001</v>
      </c>
      <c r="AW1344" s="134">
        <f t="shared" ca="1" si="2422"/>
        <v>4.6820765182192673E-3</v>
      </c>
      <c r="AX1344" s="135">
        <f>+AJ1344/$AL$19</f>
        <v>1.2973285364019005E-2</v>
      </c>
      <c r="AY1344" s="135">
        <f t="shared" ca="1" si="2420"/>
        <v>6.0741914767031085E-5</v>
      </c>
      <c r="AZ1344" s="93"/>
      <c r="BA1344" s="93"/>
      <c r="BB1344" s="234">
        <f>IFERROR(INDEX('Total Customers'!$E$7:$AA$91,MATCH($C1344,'Total Customers'!$C$7:$C$91,0),MATCH($G1344,'Total Customers'!$E$5:$AA$5,0)),"NA")</f>
        <v>219369</v>
      </c>
      <c r="BC1344" s="269">
        <f t="shared" si="2328"/>
        <v>2.1541484895633241E-2</v>
      </c>
      <c r="BD1344" s="92"/>
      <c r="BE1344" s="299" t="str">
        <f t="shared" si="2317"/>
        <v>YANKEE GAS SERVICES COMPANY</v>
      </c>
      <c r="BF1344" s="300">
        <f t="shared" si="2318"/>
        <v>4064141</v>
      </c>
      <c r="BG1344" s="231" t="str">
        <f t="shared" si="2319"/>
        <v>CT</v>
      </c>
      <c r="BH1344" s="231"/>
      <c r="BI1344" s="231" t="str">
        <f t="shared" si="2320"/>
        <v>2014 Y</v>
      </c>
      <c r="BJ1344" s="129"/>
      <c r="BK1344" s="129"/>
      <c r="BL1344" s="129">
        <f>INDEX('Dist. Plant Gas Additions'!$E$7:$AD$91,MATCH($C1344,'Dist. Plant Gas Additions'!$C$7:$C$91,0),MATCH(Calculation!$G1344,'Dist. Plant Gas Additions'!$E$5:$AD$5,0))</f>
        <v>98247</v>
      </c>
      <c r="BM1344" s="129">
        <f>INDEX('Gen. Plant Additions'!$E$7:$AD$91,MATCH($C1344,'Gen. Plant Additions'!$C$7:$C$91,0),MATCH(Calculation!$G1344,'Gen. Plant Additions'!$E$5:$AD$5,0))</f>
        <v>3490</v>
      </c>
      <c r="BN1344" s="301">
        <f t="shared" si="2424"/>
        <v>0.95178209612341547</v>
      </c>
      <c r="BO1344" s="231">
        <f t="shared" si="2374"/>
        <v>3321.7195154707201</v>
      </c>
      <c r="BP1344" s="231">
        <f t="shared" si="2375"/>
        <v>-168.28048452927987</v>
      </c>
      <c r="BQ1344" s="129">
        <f>INDEX('Dist Plant Depreciation'!$D$7:$AC$94,MATCH($C1344,'Dist Plant Depreciation'!$C$7:$C$94,0),MATCH(Calculation!$G1344,'Dist Plant Depreciation'!$D$5:$AC$5,0))</f>
        <v>358461</v>
      </c>
      <c r="BR1344" s="129">
        <f>INDEX('Gen. Plant Depreciation'!$D$7:$AC$94,MATCH($C1344,'Gen. Plant Depreciation'!$C$7:$C$94,0),MATCH(Calculation!$G1344,'Gen. Plant Depreciation'!$D$5:$AC$5,0))</f>
        <v>25956</v>
      </c>
      <c r="BS1344" s="129"/>
      <c r="BT1344" s="129"/>
      <c r="BU1344" s="129"/>
      <c r="BV1344" s="129"/>
      <c r="BW1344" s="129"/>
      <c r="BX1344" s="137"/>
      <c r="BY1344" s="129">
        <f>INDEX('Gross Dx Plant'!$D$7:$AC$91,MATCH($C1344,'Gross Dx Plant'!$C$7:$C$91,0),MATCH(Calculation!$G1344,'Gross Dx Plant'!$D$5:$AC$5,0))</f>
        <v>1304010</v>
      </c>
      <c r="BZ1344" s="129">
        <f>INDEX('Gross Gen Plant'!$D$7:$AC$91,MATCH($C1344,'Gross Gen Plant'!$C$7:$C$91,0),MATCH(Calculation!$G1344,'Gross Gen Plant'!$D$5:$AC$5,0))</f>
        <v>66062</v>
      </c>
      <c r="CA1344" s="129">
        <f t="shared" si="2423"/>
        <v>985655</v>
      </c>
      <c r="CB1344" s="129"/>
      <c r="CC1344" s="133">
        <v>2014</v>
      </c>
      <c r="CD1344" s="129"/>
      <c r="CE1344" s="129"/>
      <c r="CF1344" s="129"/>
      <c r="CG1344" s="137"/>
      <c r="CH1344" s="129">
        <f t="shared" si="2389"/>
        <v>101737</v>
      </c>
      <c r="CI1344" s="46">
        <f t="shared" si="2398"/>
        <v>101568.71951547072</v>
      </c>
      <c r="CJ1344" s="231">
        <f t="shared" si="2390"/>
        <v>148.39050171421044</v>
      </c>
      <c r="CK1344" s="443">
        <v>0.81395348837209303</v>
      </c>
      <c r="CL1344" s="231">
        <f>+CL1328*CK1344+CJ1329*CK1343+CJ1330*CK1342+CJ1331*CK1341+CJ1332*CK1340+CJ1333*CK1339+CJ1334*CK1338+CJ1335*CK1337+CJ1336*CK1336+CJ1337*CK1335+CJ1338*CK1334+CJ1339*CK1333+CJ1340*CK1332+CJ1341*CK1331+CJ1342*CK1330+CJ1343*CK1329+CJ1344</f>
        <v>3071.7984261572401</v>
      </c>
      <c r="CM1344" s="134">
        <f t="shared" si="2391"/>
        <v>3.5185977473267918E-2</v>
      </c>
      <c r="CN1344" s="135">
        <f t="shared" si="2392"/>
        <v>1.4225040283237299E-2</v>
      </c>
      <c r="CO1344" s="135">
        <f t="shared" si="2401"/>
        <v>1.3930875770059017E-2</v>
      </c>
      <c r="CP1344" s="134">
        <f>VLOOKUP($H1344,RoR!$E:$F,2,FALSE)</f>
        <v>4.1625000000000002E-2</v>
      </c>
      <c r="CQ1344" s="135">
        <v>1.841352814597208E-2</v>
      </c>
      <c r="CR1344" s="135">
        <f t="shared" si="2399"/>
        <v>2.3211471854027922E-2</v>
      </c>
      <c r="CS1344" s="135">
        <f t="shared" si="2402"/>
        <v>1.697106583847461E-2</v>
      </c>
      <c r="CT1344" s="135">
        <v>3.9072621432650924E-2</v>
      </c>
      <c r="CU1344" s="139">
        <f t="shared" si="2393"/>
        <v>0.85126000000000002</v>
      </c>
      <c r="CV1344" s="335">
        <f t="shared" si="2394"/>
        <v>1.2320012320012319</v>
      </c>
      <c r="CW1344" s="335">
        <f t="shared" si="2395"/>
        <v>0.37439939939939942</v>
      </c>
      <c r="CX1344" s="335">
        <f t="shared" si="2396"/>
        <v>0.80432100613819935</v>
      </c>
      <c r="CY1344" s="335">
        <f t="shared" si="2397"/>
        <v>0.37100152660040037</v>
      </c>
      <c r="CZ1344" s="336">
        <f>INDEX('State Tax Lookup'!$D$7:$Z$91,MATCH(Calculation!$C1344,'State Tax Lookup'!$B$7:$B$91,0),MATCH($H1344,'State Tax Lookup'!$D$6:$Z$6,0))</f>
        <v>0.40200000000000002</v>
      </c>
      <c r="DA1344" s="302">
        <v>0.37</v>
      </c>
      <c r="DB1344" s="57">
        <f t="shared" si="2400"/>
        <v>16.480134899931173</v>
      </c>
      <c r="DC1344" s="56">
        <f t="shared" si="2403"/>
        <v>1.7094144748732661E-2</v>
      </c>
      <c r="DD1344" s="303">
        <f>VLOOKUP($H1344,RoR!$E:$F,2,FALSE)</f>
        <v>4.1625000000000002E-2</v>
      </c>
      <c r="DE1344" s="304">
        <f>HLOOKUP($H1344,'GDP-PI'!$D$8:$CQ$11,3,FALSE)</f>
        <v>1.841352814597208E-2</v>
      </c>
      <c r="DF1344" s="303">
        <f>VLOOKUP(H1344,'HW Dx Data'!$E:$F,2,FALSE)</f>
        <v>684.46914285042885</v>
      </c>
      <c r="DG1344" s="364">
        <f ca="1">VLOOKUP(CC1344,'ECI - Input Price'!M$13:N$33,2,FALSE)</f>
        <v>129.4</v>
      </c>
      <c r="DH1344" s="364"/>
      <c r="DI1344" s="364"/>
      <c r="DJ1344" s="56">
        <f t="shared" ca="1" si="2411"/>
        <v>2.0297340063674733E-2</v>
      </c>
      <c r="DK1344" s="53">
        <f>HLOOKUP(H1344,'GDP-PI'!$8:$9,2,FALSE)</f>
        <v>103.64700000000001</v>
      </c>
      <c r="DL1344" s="355">
        <f t="shared" si="2404"/>
        <v>1.8246051898256087E-2</v>
      </c>
    </row>
    <row r="1345" spans="1:130" s="126" customFormat="1" ht="21" customHeight="1" x14ac:dyDescent="0.4">
      <c r="A1345" s="233" t="s">
        <v>260</v>
      </c>
      <c r="B1345" s="126" t="s">
        <v>261</v>
      </c>
      <c r="C1345" s="126">
        <v>4064141</v>
      </c>
      <c r="D1345" s="127" t="s">
        <v>203</v>
      </c>
      <c r="E1345" s="127" t="s">
        <v>15</v>
      </c>
      <c r="F1345" s="144"/>
      <c r="G1345" s="126" t="s">
        <v>171</v>
      </c>
      <c r="H1345" s="128">
        <v>2015</v>
      </c>
      <c r="I1345" s="129"/>
      <c r="J1345" s="125">
        <f>IFERROR(INDEX('Labor Expenditures'!$E$7:$W$91,MATCH($C1345,'Labor Expenditures'!$C$7:$C$91,0),MATCH($G1345,'Labor Expenditures'!$E$5:$W$5,0)),"NA")</f>
        <v>31900.780219457771</v>
      </c>
      <c r="K1345" s="125">
        <f t="shared" ca="1" si="2405"/>
        <v>238.95715520193087</v>
      </c>
      <c r="L1345" s="47"/>
      <c r="M1345" s="131">
        <f t="shared" ca="1" si="2412"/>
        <v>-5.1255134290009663E-2</v>
      </c>
      <c r="N1345" s="131"/>
      <c r="O1345" s="131"/>
      <c r="P1345" s="59">
        <f t="shared" ca="1" si="2414"/>
        <v>-6.5533045434861448E-4</v>
      </c>
      <c r="Q1345" s="61"/>
      <c r="R1345" s="387"/>
      <c r="S1345" s="49">
        <f t="shared" ca="1" si="2419"/>
        <v>124.11009963874304</v>
      </c>
      <c r="T1345" s="61">
        <f ca="1">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+P2620+P2645+P2670</f>
        <v>-2.8176928675445462E-4</v>
      </c>
      <c r="U1345" s="61"/>
      <c r="V1345" s="125">
        <f>IFERROR(INDEX('Non-Labor Expenditures'!$E$7:$AA$91,MATCH($C1345,'Non-Labor Expenditures'!$C$7:$C$91,0),MATCH($G1345,'Non-Labor Expenditures'!$E$5:$AA$5,0)),"NA")</f>
        <v>46198.288001642693</v>
      </c>
      <c r="W1345" s="125">
        <f t="shared" si="2406"/>
        <v>441.50161987062847</v>
      </c>
      <c r="X1345" s="131">
        <f t="shared" si="2415"/>
        <v>-2.9587474701948557E-2</v>
      </c>
      <c r="Y1345" s="131">
        <f t="shared" si="2416"/>
        <v>-3.7829523828279932E-4</v>
      </c>
      <c r="Z1345" s="131"/>
      <c r="AA1345" s="131"/>
      <c r="AB1345" s="131"/>
      <c r="AC1345" s="125">
        <f t="shared" si="2388"/>
        <v>49253.290135511139</v>
      </c>
      <c r="AD1345" s="129"/>
      <c r="AE1345" s="133">
        <v>3377.4799088683067</v>
      </c>
      <c r="AF1345" s="134">
        <v>2.4199419463209929E-2</v>
      </c>
      <c r="AG1345" s="59">
        <f t="shared" si="2407"/>
        <v>3.094054238950483E-4</v>
      </c>
      <c r="AH1345" s="134"/>
      <c r="AI1345" s="134"/>
      <c r="AJ1345" s="129">
        <f t="shared" si="2372"/>
        <v>127352.3583566116</v>
      </c>
      <c r="AK1345" s="134">
        <f t="shared" si="2417"/>
        <v>-9.3998865416153495E-3</v>
      </c>
      <c r="AL1345" s="129"/>
      <c r="AM1345" s="129"/>
      <c r="AN1345" s="129"/>
      <c r="AO1345" s="129"/>
      <c r="AP1345" s="133">
        <f t="shared" si="2418"/>
        <v>571.35839617312081</v>
      </c>
      <c r="AQ1345" s="134">
        <f>+BB1345/Outputs!$B$23</f>
        <v>6.1181152469841739E-3</v>
      </c>
      <c r="AR1345" s="93">
        <f t="shared" si="2408"/>
        <v>0.2504922612436381</v>
      </c>
      <c r="AS1345" s="93">
        <f t="shared" si="2409"/>
        <v>0.36275957978161988</v>
      </c>
      <c r="AT1345" s="93">
        <f t="shared" si="2410"/>
        <v>0.38674815897474202</v>
      </c>
      <c r="AU1345" s="93">
        <f t="shared" ca="1" si="2413"/>
        <v>-1.4418948958895363E-2</v>
      </c>
      <c r="AV1345" s="132">
        <f t="shared" ca="1" si="2421"/>
        <v>113.33284314033919</v>
      </c>
      <c r="AW1345" s="134">
        <f t="shared" ca="1" si="2422"/>
        <v>-1.4418948958895355E-2</v>
      </c>
      <c r="AX1345" s="135">
        <f>+AJ1345/$AL$20</f>
        <v>1.2785654811489734E-2</v>
      </c>
      <c r="AY1345" s="135">
        <f t="shared" ca="1" si="2420"/>
        <v>-1.8435570413292529E-4</v>
      </c>
      <c r="AZ1345" s="93"/>
      <c r="BA1345" s="93"/>
      <c r="BB1345" s="234">
        <f>IFERROR(INDEX('Total Customers'!$E$7:$AA$91,MATCH($C1345,'Total Customers'!$C$7:$C$91,0),MATCH($G1345,'Total Customers'!$E$5:$AA$5,0)),"NA")</f>
        <v>222894</v>
      </c>
      <c r="BC1345" s="269">
        <f t="shared" si="2328"/>
        <v>1.5941078710376089E-2</v>
      </c>
      <c r="BD1345" s="92"/>
      <c r="BE1345" s="299" t="str">
        <f t="shared" si="2317"/>
        <v>YANKEE GAS SERVICES COMPANY</v>
      </c>
      <c r="BF1345" s="300">
        <f t="shared" si="2318"/>
        <v>4064141</v>
      </c>
      <c r="BG1345" s="231" t="str">
        <f t="shared" si="2319"/>
        <v>CT</v>
      </c>
      <c r="BH1345" s="231"/>
      <c r="BI1345" s="231" t="str">
        <f t="shared" si="2320"/>
        <v>2015 Y</v>
      </c>
      <c r="BJ1345" s="129"/>
      <c r="BK1345" s="129"/>
      <c r="BL1345" s="129">
        <f>INDEX('Dist. Plant Gas Additions'!$E$7:$AD$91,MATCH($C1345,'Dist. Plant Gas Additions'!$C$7:$C$91,0),MATCH(Calculation!$G1345,'Dist. Plant Gas Additions'!$E$5:$AD$5,0))</f>
        <v>70590</v>
      </c>
      <c r="BM1345" s="129">
        <f>INDEX('Gen. Plant Additions'!$E$7:$AD$91,MATCH($C1345,'Gen. Plant Additions'!$C$7:$C$91,0),MATCH(Calculation!$G1345,'Gen. Plant Additions'!$E$5:$AD$5,0))</f>
        <v>1606</v>
      </c>
      <c r="BN1345" s="301">
        <f t="shared" si="2424"/>
        <v>0.95397388190690169</v>
      </c>
      <c r="BO1345" s="231">
        <f t="shared" si="2374"/>
        <v>1532.0820543424841</v>
      </c>
      <c r="BP1345" s="231">
        <f t="shared" si="2375"/>
        <v>-73.917945657515929</v>
      </c>
      <c r="BQ1345" s="129">
        <f>INDEX('Dist Plant Depreciation'!$D$7:$AC$94,MATCH($C1345,'Dist Plant Depreciation'!$C$7:$C$94,0),MATCH(Calculation!$G1345,'Dist Plant Depreciation'!$D$5:$AC$5,0))</f>
        <v>360182</v>
      </c>
      <c r="BR1345" s="129">
        <f>INDEX('Gen. Plant Depreciation'!$D$7:$AC$94,MATCH($C1345,'Gen. Plant Depreciation'!$C$7:$C$94,0),MATCH(Calculation!$G1345,'Gen. Plant Depreciation'!$D$5:$AC$5,0))</f>
        <v>27938</v>
      </c>
      <c r="BS1345" s="129"/>
      <c r="BT1345" s="129"/>
      <c r="BU1345" s="129"/>
      <c r="BV1345" s="129"/>
      <c r="BW1345" s="129"/>
      <c r="BX1345" s="137"/>
      <c r="BY1345" s="129">
        <f>INDEX('Gross Dx Plant'!$D$7:$AC$91,MATCH($C1345,'Gross Dx Plant'!$C$7:$C$91,0),MATCH(Calculation!$G1345,'Gross Dx Plant'!$D$5:$AC$5,0))</f>
        <v>1358745</v>
      </c>
      <c r="BZ1345" s="129">
        <f>INDEX('Gross Gen Plant'!$D$7:$AC$91,MATCH($C1345,'Gross Gen Plant'!$C$7:$C$91,0),MATCH(Calculation!$G1345,'Gross Gen Plant'!$D$5:$AC$5,0))</f>
        <v>65555</v>
      </c>
      <c r="CA1345" s="129">
        <f t="shared" si="2423"/>
        <v>1036180</v>
      </c>
      <c r="CB1345" s="129"/>
      <c r="CC1345" s="133">
        <v>2015</v>
      </c>
      <c r="CD1345" s="129"/>
      <c r="CE1345" s="129"/>
      <c r="CF1345" s="129"/>
      <c r="CG1345" s="137"/>
      <c r="CH1345" s="129">
        <f t="shared" si="2389"/>
        <v>72196</v>
      </c>
      <c r="CI1345" s="46">
        <f t="shared" si="2398"/>
        <v>72122.082054342478</v>
      </c>
      <c r="CJ1345" s="231">
        <f t="shared" si="2390"/>
        <v>106.75032558848045</v>
      </c>
      <c r="CK1345" s="443">
        <v>0.8</v>
      </c>
      <c r="CL1345" s="231">
        <f>+CL1328*CK1345+CJ1329*CK1344+CJ1330*CK1343+CJ1331*CK1342+CJ1332*CK1341+CJ1333*CK1340+CJ1334*CK1339+CJ1335*CK1338+CJ1336*CK1337+CJ1337*CK1336+CJ1338*CK1335+CJ1339*CK1334+CJ1340*CK1333+CJ1341*CK1332+CJ1342*CK1331+CJ1343*CK1330+CJ1344*CK1329+CJ1345</f>
        <v>3133.9396589492253</v>
      </c>
      <c r="CM1345" s="134">
        <f t="shared" si="2391"/>
        <v>2.0027693415544653E-2</v>
      </c>
      <c r="CN1345" s="135">
        <f t="shared" si="2392"/>
        <v>1.4522141953272744E-2</v>
      </c>
      <c r="CO1345" s="135">
        <f t="shared" si="2401"/>
        <v>1.4224922985590046E-2</v>
      </c>
      <c r="CP1345" s="134">
        <f>VLOOKUP($H1345,RoR!$E:$F,2,FALSE)</f>
        <v>3.8866666666666674E-2</v>
      </c>
      <c r="CQ1345" s="135">
        <v>9.5709475431029478E-3</v>
      </c>
      <c r="CR1345" s="135">
        <f t="shared" si="2399"/>
        <v>2.9295719123563727E-2</v>
      </c>
      <c r="CS1345" s="135">
        <f t="shared" si="2402"/>
        <v>1.667701862294358E-2</v>
      </c>
      <c r="CT1345" s="135">
        <v>3.5270373279175926E-3</v>
      </c>
      <c r="CU1345" s="139">
        <f t="shared" si="2393"/>
        <v>0.85126000000000002</v>
      </c>
      <c r="CV1345" s="335">
        <f t="shared" si="2394"/>
        <v>1.3194352816994324</v>
      </c>
      <c r="CW1345" s="335">
        <f t="shared" si="2395"/>
        <v>0.33177530017152673</v>
      </c>
      <c r="CX1345" s="335">
        <f t="shared" si="2396"/>
        <v>0.78242572977668579</v>
      </c>
      <c r="CY1345" s="335">
        <f t="shared" si="2397"/>
        <v>0.34251158643433932</v>
      </c>
      <c r="CZ1345" s="336">
        <f>INDEX('State Tax Lookup'!$D$7:$Z$91,MATCH(Calculation!$C1345,'State Tax Lookup'!$B$7:$B$91,0),MATCH($H1345,'State Tax Lookup'!$D$6:$Z$6,0))</f>
        <v>0.40200000000000002</v>
      </c>
      <c r="DA1345" s="302">
        <v>0.37</v>
      </c>
      <c r="DB1345" s="57">
        <f t="shared" si="2400"/>
        <v>16.034024145629257</v>
      </c>
      <c r="DC1345" s="56">
        <f t="shared" si="2403"/>
        <v>-2.7442736601845121E-2</v>
      </c>
      <c r="DD1345" s="303">
        <f>VLOOKUP($H1345,RoR!$E:$F,2,FALSE)</f>
        <v>3.8866666666666674E-2</v>
      </c>
      <c r="DE1345" s="304">
        <f>HLOOKUP($H1345,'GDP-PI'!$D$8:$CQ$11,3,FALSE)</f>
        <v>9.5709475431029478E-3</v>
      </c>
      <c r="DF1345" s="303">
        <f>VLOOKUP(H1345,'HW Dx Data'!$E:$F,2,FALSE)</f>
        <v>675.61463308665782</v>
      </c>
      <c r="DG1345" s="364">
        <f ca="1">VLOOKUP(CC1345,'ECI - Input Price'!M$13:N$33,2,FALSE)</f>
        <v>133.5</v>
      </c>
      <c r="DH1345" s="364"/>
      <c r="DI1345" s="364"/>
      <c r="DJ1345" s="56">
        <f t="shared" ca="1" si="2411"/>
        <v>3.1193095773504077E-2</v>
      </c>
      <c r="DK1345" s="53">
        <f>HLOOKUP(H1345,'GDP-PI'!$8:$9,2,FALSE)</f>
        <v>104.639</v>
      </c>
      <c r="DL1345" s="355">
        <f t="shared" si="2404"/>
        <v>9.5254361854427965E-3</v>
      </c>
    </row>
    <row r="1346" spans="1:130" s="126" customFormat="1" ht="21" customHeight="1" x14ac:dyDescent="0.4">
      <c r="A1346" s="233" t="s">
        <v>260</v>
      </c>
      <c r="B1346" s="126" t="s">
        <v>261</v>
      </c>
      <c r="C1346" s="126">
        <v>4064141</v>
      </c>
      <c r="D1346" s="127" t="s">
        <v>203</v>
      </c>
      <c r="E1346" s="127" t="s">
        <v>15</v>
      </c>
      <c r="F1346" s="144"/>
      <c r="G1346" s="126" t="s">
        <v>172</v>
      </c>
      <c r="H1346" s="128">
        <v>2016</v>
      </c>
      <c r="I1346" s="129"/>
      <c r="J1346" s="125">
        <f>IFERROR(INDEX('Labor Expenditures'!$E$7:$W$91,MATCH($C1346,'Labor Expenditures'!$C$7:$C$91,0),MATCH($G1346,'Labor Expenditures'!$E$5:$W$5,0)),"NA")</f>
        <v>30387.502992497026</v>
      </c>
      <c r="K1346" s="125">
        <f t="shared" ca="1" si="2405"/>
        <v>221.88757205182205</v>
      </c>
      <c r="L1346" s="47"/>
      <c r="M1346" s="131">
        <f t="shared" ca="1" si="2412"/>
        <v>-7.4113447530563259E-2</v>
      </c>
      <c r="N1346" s="131"/>
      <c r="O1346" s="131"/>
      <c r="P1346" s="59">
        <f t="shared" ca="1" si="2414"/>
        <v>-8.8917266155968716E-4</v>
      </c>
      <c r="Q1346" s="61"/>
      <c r="R1346" s="387"/>
      <c r="S1346" s="49">
        <f t="shared" ca="1" si="2419"/>
        <v>308.27476093919904</v>
      </c>
      <c r="T1346" s="61">
        <f ca="1">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+P2621+P2646+P2671</f>
        <v>0.90982239431008027</v>
      </c>
      <c r="U1346" s="61"/>
      <c r="V1346" s="125">
        <f>IFERROR(INDEX('Non-Labor Expenditures'!$E$7:$AA$91,MATCH($C1346,'Non-Labor Expenditures'!$C$7:$C$91,0),MATCH($G1346,'Non-Labor Expenditures'!$E$5:$AA$5,0)),"NA")</f>
        <v>44006.779935804923</v>
      </c>
      <c r="W1346" s="125">
        <f t="shared" si="2406"/>
        <v>416.19486206972954</v>
      </c>
      <c r="X1346" s="131">
        <f t="shared" si="2415"/>
        <v>-5.9028120028985297E-2</v>
      </c>
      <c r="Y1346" s="131">
        <f t="shared" si="2416"/>
        <v>-7.0818714203509461E-4</v>
      </c>
      <c r="Z1346" s="131"/>
      <c r="AA1346" s="131"/>
      <c r="AB1346" s="131"/>
      <c r="AC1346" s="125">
        <f t="shared" si="2388"/>
        <v>48970.107852672038</v>
      </c>
      <c r="AD1346" s="129"/>
      <c r="AE1346" s="133">
        <v>3569.0555153537707</v>
      </c>
      <c r="AF1346" s="134">
        <v>5.5171156950491677E-2</v>
      </c>
      <c r="AG1346" s="59">
        <f t="shared" si="2407"/>
        <v>6.6191340575225154E-4</v>
      </c>
      <c r="AH1346" s="134"/>
      <c r="AI1346" s="134"/>
      <c r="AJ1346" s="129">
        <f t="shared" si="2372"/>
        <v>123364.39078097399</v>
      </c>
      <c r="AK1346" s="134">
        <f t="shared" si="2417"/>
        <v>-3.1815217542727404E-2</v>
      </c>
      <c r="AL1346" s="129"/>
      <c r="AM1346" s="129"/>
      <c r="AN1346" s="129"/>
      <c r="AO1346" s="129"/>
      <c r="AP1346" s="133">
        <f t="shared" si="2418"/>
        <v>544.8090885767898</v>
      </c>
      <c r="AQ1346" s="134">
        <f>+BB1346/Outputs!$B$24</f>
        <v>6.1616287667920549E-3</v>
      </c>
      <c r="AR1346" s="93">
        <f t="shared" si="2408"/>
        <v>0.24632313101151043</v>
      </c>
      <c r="AS1346" s="93">
        <f t="shared" si="2409"/>
        <v>0.35672190051938324</v>
      </c>
      <c r="AT1346" s="93">
        <f t="shared" si="2410"/>
        <v>0.39695496846910627</v>
      </c>
      <c r="AU1346" s="93">
        <f t="shared" ca="1" si="2413"/>
        <v>-1.8026266218661029E-2</v>
      </c>
      <c r="AV1346" s="132">
        <f t="shared" ca="1" si="2421"/>
        <v>111.30817853546384</v>
      </c>
      <c r="AW1346" s="134">
        <f t="shared" ca="1" si="2422"/>
        <v>-1.8026266218661047E-2</v>
      </c>
      <c r="AX1346" s="135">
        <f>+AJ1346/$AL$21</f>
        <v>1.1997453784524137E-2</v>
      </c>
      <c r="AY1346" s="135">
        <f t="shared" ca="1" si="2420"/>
        <v>-2.1626929586591458E-4</v>
      </c>
      <c r="AZ1346" s="93"/>
      <c r="BA1346" s="93"/>
      <c r="BB1346" s="234">
        <f>IFERROR(INDEX('Total Customers'!$E$7:$AA$91,MATCH($C1346,'Total Customers'!$C$7:$C$91,0),MATCH($G1346,'Total Customers'!$E$5:$AA$5,0)),"NA")</f>
        <v>226436</v>
      </c>
      <c r="BC1346" s="269">
        <f t="shared" si="2328"/>
        <v>1.5766022159762787E-2</v>
      </c>
      <c r="BD1346" s="92"/>
      <c r="BE1346" s="299" t="str">
        <f t="shared" si="2317"/>
        <v>YANKEE GAS SERVICES COMPANY</v>
      </c>
      <c r="BF1346" s="300">
        <f t="shared" si="2318"/>
        <v>4064141</v>
      </c>
      <c r="BG1346" s="231" t="str">
        <f t="shared" si="2319"/>
        <v>CT</v>
      </c>
      <c r="BH1346" s="231"/>
      <c r="BI1346" s="231" t="str">
        <f t="shared" si="2320"/>
        <v>2016 Y</v>
      </c>
      <c r="BJ1346" s="129"/>
      <c r="BK1346" s="129"/>
      <c r="BL1346" s="129">
        <f>INDEX('Dist. Plant Gas Additions'!$E$7:$AD$91,MATCH($C1346,'Dist. Plant Gas Additions'!$C$7:$C$91,0),MATCH(Calculation!$G1346,'Dist. Plant Gas Additions'!$E$5:$AD$5,0))</f>
        <v>138150</v>
      </c>
      <c r="BM1346" s="129">
        <f>INDEX('Gen. Plant Additions'!$E$7:$AD$91,MATCH($C1346,'Gen. Plant Additions'!$C$7:$C$91,0),MATCH(Calculation!$G1346,'Gen. Plant Additions'!$E$5:$AD$5,0))</f>
        <v>9030</v>
      </c>
      <c r="BN1346" s="301">
        <f t="shared" si="2424"/>
        <v>0.95513085977816725</v>
      </c>
      <c r="BO1346" s="231">
        <f t="shared" si="2374"/>
        <v>8624.831663796851</v>
      </c>
      <c r="BP1346" s="231">
        <f t="shared" si="2375"/>
        <v>-405.16833620314901</v>
      </c>
      <c r="BQ1346" s="129">
        <f>INDEX('Dist Plant Depreciation'!$D$7:$AC$94,MATCH($C1346,'Dist Plant Depreciation'!$C$7:$C$94,0),MATCH(Calculation!$G1346,'Dist Plant Depreciation'!$D$5:$AC$5,0))</f>
        <v>371835</v>
      </c>
      <c r="BR1346" s="129">
        <f>INDEX('Gen. Plant Depreciation'!$D$7:$AC$94,MATCH($C1346,'Gen. Plant Depreciation'!$C$7:$C$94,0),MATCH(Calculation!$G1346,'Gen. Plant Depreciation'!$D$5:$AC$5,0))</f>
        <v>26367</v>
      </c>
      <c r="BS1346" s="129"/>
      <c r="BT1346" s="129"/>
      <c r="BU1346" s="129"/>
      <c r="BV1346" s="129"/>
      <c r="BW1346" s="129"/>
      <c r="BX1346" s="137"/>
      <c r="BY1346" s="129">
        <f>INDEX('Gross Dx Plant'!$D$7:$AC$91,MATCH($C1346,'Gross Dx Plant'!$C$7:$C$91,0),MATCH(Calculation!$G1346,'Gross Dx Plant'!$D$5:$AC$5,0))</f>
        <v>1489922</v>
      </c>
      <c r="BZ1346" s="129">
        <f>INDEX('Gross Gen Plant'!$D$7:$AC$91,MATCH($C1346,'Gross Gen Plant'!$C$7:$C$91,0),MATCH(Calculation!$G1346,'Gross Gen Plant'!$D$5:$AC$5,0))</f>
        <v>69992</v>
      </c>
      <c r="CA1346" s="129">
        <f t="shared" si="2423"/>
        <v>1161712</v>
      </c>
      <c r="CB1346" s="129"/>
      <c r="CC1346" s="133">
        <v>2016</v>
      </c>
      <c r="CD1346" s="129"/>
      <c r="CE1346" s="129"/>
      <c r="CF1346" s="129"/>
      <c r="CG1346" s="137"/>
      <c r="CH1346" s="129">
        <f t="shared" si="2389"/>
        <v>147180</v>
      </c>
      <c r="CI1346" s="46">
        <f t="shared" si="2398"/>
        <v>146774.83166379685</v>
      </c>
      <c r="CJ1346" s="231">
        <f t="shared" si="2390"/>
        <v>218.59175518471957</v>
      </c>
      <c r="CK1346" s="443">
        <v>0.7857142857142857</v>
      </c>
      <c r="CL1346" s="231">
        <f>+CL1328*CK1346+CJ1329*CK1345+CJ1330*CK1344+CJ1331*CK1343+CJ1332*CK1342+CJ1333*CK1341+CJ1334*CK1340+CJ1335*CK1339+CJ1336*CK1338+CJ1337*CK1337+CJ1338*CK1336+CJ1339*CK1335+CJ1340*CK1334+CJ1341*CK1333+CJ1342*CK1332+CJ1343*CK1331+CJ1344*CK1330+CJ1345*CK1329+CJ1346</f>
        <v>3305.848971194529</v>
      </c>
      <c r="CM1346" s="134">
        <f t="shared" si="2391"/>
        <v>5.3402425048235884E-2</v>
      </c>
      <c r="CN1346" s="135">
        <f t="shared" si="2392"/>
        <v>1.4895769548756401E-2</v>
      </c>
      <c r="CO1346" s="135">
        <f t="shared" si="2401"/>
        <v>1.4547650595088816E-2</v>
      </c>
      <c r="CP1346" s="134">
        <f>VLOOKUP($H1346,RoR!$E:$F,2,FALSE)</f>
        <v>3.6658333333333334E-2</v>
      </c>
      <c r="CQ1346" s="135">
        <v>1.0483662879041455E-2</v>
      </c>
      <c r="CR1346" s="135">
        <f t="shared" si="2399"/>
        <v>2.6174670454291879E-2</v>
      </c>
      <c r="CS1346" s="135">
        <f t="shared" si="2402"/>
        <v>1.6354291013444808E-2</v>
      </c>
      <c r="CT1346" s="135">
        <v>4.301363574220729E-3</v>
      </c>
      <c r="CU1346" s="139">
        <f t="shared" si="2393"/>
        <v>0.85126000000000002</v>
      </c>
      <c r="CV1346" s="335">
        <f t="shared" si="2394"/>
        <v>1.3989193348138562</v>
      </c>
      <c r="CW1346" s="335">
        <f t="shared" si="2395"/>
        <v>0.29302682427824522</v>
      </c>
      <c r="CX1346" s="335">
        <f t="shared" si="2396"/>
        <v>0.76309497491941802</v>
      </c>
      <c r="CY1346" s="335">
        <f t="shared" si="2397"/>
        <v>0.31280857135128509</v>
      </c>
      <c r="CZ1346" s="336">
        <f>INDEX('State Tax Lookup'!$D$7:$Z$91,MATCH(Calculation!$C1346,'State Tax Lookup'!$B$7:$B$91,0),MATCH($H1346,'State Tax Lookup'!$D$6:$Z$6,0))</f>
        <v>0.40200000000000002</v>
      </c>
      <c r="DA1346" s="302">
        <v>0.37</v>
      </c>
      <c r="DB1346" s="57">
        <f t="shared" si="2400"/>
        <v>15.6257341180242</v>
      </c>
      <c r="DC1346" s="56">
        <f t="shared" si="2403"/>
        <v>-2.5793795449091821E-2</v>
      </c>
      <c r="DD1346" s="303">
        <f>VLOOKUP($H1346,RoR!$E:$F,2,FALSE)</f>
        <v>3.6658333333333334E-2</v>
      </c>
      <c r="DE1346" s="304">
        <f>HLOOKUP($H1346,'GDP-PI'!$D$8:$CQ$11,3,FALSE)</f>
        <v>1.0483662879041455E-2</v>
      </c>
      <c r="DF1346" s="303">
        <f>VLOOKUP(H1346,'HW Dx Data'!$E:$F,2,FALSE)</f>
        <v>671.45639385971219</v>
      </c>
      <c r="DG1346" s="364">
        <f ca="1">VLOOKUP(CC1346,'ECI - Input Price'!M$13:N$33,2,FALSE)</f>
        <v>136.94999999999999</v>
      </c>
      <c r="DH1346" s="364"/>
      <c r="DI1346" s="364"/>
      <c r="DJ1346" s="56">
        <f t="shared" ca="1" si="2411"/>
        <v>2.5514417868782811E-2</v>
      </c>
      <c r="DK1346" s="53">
        <f>HLOOKUP(H1346,'GDP-PI'!$8:$9,2,FALSE)</f>
        <v>105.736</v>
      </c>
      <c r="DL1346" s="355">
        <f t="shared" si="2404"/>
        <v>1.0429090367205095E-2</v>
      </c>
    </row>
    <row r="1347" spans="1:130" s="126" customFormat="1" ht="21" customHeight="1" x14ac:dyDescent="0.4">
      <c r="A1347" s="233" t="s">
        <v>260</v>
      </c>
      <c r="B1347" s="126" t="s">
        <v>261</v>
      </c>
      <c r="C1347" s="126">
        <v>4064141</v>
      </c>
      <c r="D1347" s="127" t="s">
        <v>203</v>
      </c>
      <c r="E1347" s="127" t="s">
        <v>15</v>
      </c>
      <c r="F1347" s="144"/>
      <c r="G1347" s="126" t="s">
        <v>173</v>
      </c>
      <c r="H1347" s="128">
        <v>2017</v>
      </c>
      <c r="I1347" s="129"/>
      <c r="J1347" s="125">
        <f>IFERROR(INDEX('Labor Expenditures'!$E$7:$W$91,MATCH($C1347,'Labor Expenditures'!$C$7:$C$91,0),MATCH($G1347,'Labor Expenditures'!$E$5:$W$5,0)),"NA")</f>
        <v>32248.095654620898</v>
      </c>
      <c r="K1347" s="125">
        <f t="shared" ca="1" si="2405"/>
        <v>229.60552263881027</v>
      </c>
      <c r="L1347" s="47"/>
      <c r="M1347" s="131">
        <f t="shared" ca="1" si="2412"/>
        <v>3.4191896067876384E-2</v>
      </c>
      <c r="N1347" s="131"/>
      <c r="O1347" s="131"/>
      <c r="P1347" s="59">
        <f t="shared" ca="1" si="2414"/>
        <v>4.1640481489556102E-4</v>
      </c>
      <c r="Q1347" s="61"/>
      <c r="R1347" s="387"/>
      <c r="S1347" s="49">
        <f t="shared" ca="1" si="2419"/>
        <v>173.42536694080383</v>
      </c>
      <c r="T1347" s="61">
        <f ca="1">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+P2622+P2647+P2672</f>
        <v>-0.57524412116090895</v>
      </c>
      <c r="U1347" s="61"/>
      <c r="V1347" s="125">
        <f>IFERROR(INDEX('Non-Labor Expenditures'!$E$7:$AA$91,MATCH($C1347,'Non-Labor Expenditures'!$C$7:$C$91,0),MATCH($G1347,'Non-Labor Expenditures'!$E$5:$AA$5,0)),"NA")</f>
        <v>46701.265621334118</v>
      </c>
      <c r="W1347" s="125">
        <f t="shared" si="2406"/>
        <v>433.41839631496799</v>
      </c>
      <c r="X1347" s="131">
        <f t="shared" si="2415"/>
        <v>4.0549965681296901E-2</v>
      </c>
      <c r="Y1347" s="131">
        <f t="shared" si="2416"/>
        <v>4.9383634414488045E-4</v>
      </c>
      <c r="Z1347" s="131"/>
      <c r="AA1347" s="131"/>
      <c r="AB1347" s="131"/>
      <c r="AC1347" s="125">
        <f t="shared" si="2388"/>
        <v>46234.631659678962</v>
      </c>
      <c r="AD1347" s="129"/>
      <c r="AE1347" s="133">
        <v>3707.9099772035465</v>
      </c>
      <c r="AF1347" s="134">
        <v>3.8167370152903141E-2</v>
      </c>
      <c r="AG1347" s="59">
        <f t="shared" si="2407"/>
        <v>4.6481998752042567E-4</v>
      </c>
      <c r="AH1347" s="134"/>
      <c r="AI1347" s="134"/>
      <c r="AJ1347" s="129">
        <f t="shared" si="2372"/>
        <v>125183.99293563399</v>
      </c>
      <c r="AK1347" s="134">
        <f t="shared" si="2417"/>
        <v>1.464209612785769E-2</v>
      </c>
      <c r="AL1347" s="129"/>
      <c r="AM1347" s="129"/>
      <c r="AN1347" s="129"/>
      <c r="AO1347" s="129"/>
      <c r="AP1347" s="133">
        <f t="shared" si="2418"/>
        <v>544.14574249588793</v>
      </c>
      <c r="AQ1347" s="134">
        <f>+BB1347/Outputs!$B$25</f>
        <v>6.2131004661175691E-3</v>
      </c>
      <c r="AR1347" s="93">
        <f t="shared" si="2408"/>
        <v>0.25760558437532777</v>
      </c>
      <c r="AS1347" s="93">
        <f t="shared" si="2409"/>
        <v>0.37306100026180317</v>
      </c>
      <c r="AT1347" s="93">
        <f t="shared" si="2410"/>
        <v>0.36933341536286896</v>
      </c>
      <c r="AU1347" s="93">
        <f t="shared" ca="1" si="2413"/>
        <v>3.8035081116592276E-2</v>
      </c>
      <c r="AV1347" s="132">
        <f t="shared" ca="1" si="2421"/>
        <v>115.62333764424386</v>
      </c>
      <c r="AW1347" s="134">
        <f t="shared" ca="1" si="2422"/>
        <v>3.8035081116592172E-2</v>
      </c>
      <c r="AX1347" s="135">
        <f>+AJ1347/$AL$22</f>
        <v>1.2178465156449084E-2</v>
      </c>
      <c r="AY1347" s="135">
        <f t="shared" ca="1" si="2420"/>
        <v>4.6320891010113226E-4</v>
      </c>
      <c r="AZ1347" s="93"/>
      <c r="BA1347" s="93"/>
      <c r="BB1347" s="234">
        <f>IFERROR(INDEX('Total Customers'!$E$7:$AA$91,MATCH($C1347,'Total Customers'!$C$7:$C$91,0),MATCH($G1347,'Total Customers'!$E$5:$AA$5,0)),"NA")</f>
        <v>230056</v>
      </c>
      <c r="BC1347" s="269">
        <f t="shared" si="2328"/>
        <v>1.5860413259154604E-2</v>
      </c>
      <c r="BD1347" s="92"/>
      <c r="BE1347" s="299" t="str">
        <f t="shared" si="2317"/>
        <v>YANKEE GAS SERVICES COMPANY</v>
      </c>
      <c r="BF1347" s="300">
        <f t="shared" si="2318"/>
        <v>4064141</v>
      </c>
      <c r="BG1347" s="231" t="str">
        <f t="shared" si="2319"/>
        <v>CT</v>
      </c>
      <c r="BH1347" s="231"/>
      <c r="BI1347" s="231" t="str">
        <f t="shared" si="2320"/>
        <v>2017 Y</v>
      </c>
      <c r="BJ1347" s="129"/>
      <c r="BK1347" s="129"/>
      <c r="BL1347" s="129">
        <f>INDEX('Dist. Plant Gas Additions'!$E$7:$AD$91,MATCH($C1347,'Dist. Plant Gas Additions'!$C$7:$C$91,0),MATCH(Calculation!$G1347,'Dist. Plant Gas Additions'!$E$5:$AD$5,0))</f>
        <v>113048</v>
      </c>
      <c r="BM1347" s="129">
        <f>INDEX('Gen. Plant Additions'!$E$7:$AD$91,MATCH($C1347,'Gen. Plant Additions'!$C$7:$C$91,0),MATCH(Calculation!$G1347,'Gen. Plant Additions'!$E$5:$AD$5,0))</f>
        <v>7080</v>
      </c>
      <c r="BN1347" s="301">
        <f t="shared" si="2424"/>
        <v>0.95483680516212144</v>
      </c>
      <c r="BO1347" s="231">
        <f t="shared" ref="BO1347:BO1353" si="2425">+BN1347*BM1347</f>
        <v>6760.2445805478201</v>
      </c>
      <c r="BP1347" s="231">
        <f t="shared" ref="BP1347:BP1353" si="2426">+BO1347-BM1347</f>
        <v>-319.75541945217992</v>
      </c>
      <c r="BQ1347" s="129">
        <f>INDEX('Dist Plant Depreciation'!$D$7:$AC$94,MATCH($C1347,'Dist Plant Depreciation'!$C$7:$C$94,0),MATCH(Calculation!$G1347,'Dist Plant Depreciation'!$D$5:$AC$5,0))</f>
        <v>392198</v>
      </c>
      <c r="BR1347" s="129">
        <f>INDEX('Gen. Plant Depreciation'!$D$7:$AC$94,MATCH($C1347,'Gen. Plant Depreciation'!$C$7:$C$94,0),MATCH(Calculation!$G1347,'Gen. Plant Depreciation'!$D$5:$AC$5,0))</f>
        <v>28244</v>
      </c>
      <c r="BS1347" s="129"/>
      <c r="BT1347" s="129"/>
      <c r="BU1347" s="129"/>
      <c r="BV1347" s="129"/>
      <c r="BW1347" s="129"/>
      <c r="BX1347" s="137"/>
      <c r="BY1347" s="129">
        <f>INDEX('Gross Dx Plant'!$D$7:$AC$91,MATCH($C1347,'Gross Dx Plant'!$C$7:$C$91,0),MATCH(Calculation!$G1347,'Gross Dx Plant'!$D$5:$AC$5,0))</f>
        <v>1601099</v>
      </c>
      <c r="BZ1347" s="129">
        <f>INDEX('Gross Gen Plant'!$D$7:$AC$91,MATCH($C1347,'Gross Gen Plant'!$C$7:$C$91,0),MATCH(Calculation!$G1347,'Gross Gen Plant'!$D$5:$AC$5,0))</f>
        <v>75731</v>
      </c>
      <c r="CA1347" s="129">
        <f t="shared" si="2423"/>
        <v>1256388</v>
      </c>
      <c r="CB1347" s="129"/>
      <c r="CC1347" s="133">
        <v>2017</v>
      </c>
      <c r="CD1347" s="129"/>
      <c r="CE1347" s="129"/>
      <c r="CF1347" s="129"/>
      <c r="CG1347" s="137"/>
      <c r="CH1347" s="129">
        <f t="shared" si="2389"/>
        <v>120128</v>
      </c>
      <c r="CI1347" s="46">
        <f t="shared" si="2398"/>
        <v>119808.24458054782</v>
      </c>
      <c r="CJ1347" s="231">
        <f t="shared" si="2390"/>
        <v>168.16877834678812</v>
      </c>
      <c r="CK1347" s="443">
        <v>0.77108433734939763</v>
      </c>
      <c r="CL1347" s="231">
        <f>+CL1328*CK1347+CJ1329*CK1346+CJ1330*CK1345+CJ1331*CK1344+CJ1332*CK1343+CJ1333*CK1342+CJ1334*CK1341+CJ1335*CK1340+CJ1336*CK1339+CJ1337*CK1338+CJ1338*CK1337+CJ1339*CK1336+CJ1340*CK1335+CJ1341*CK1334+CJ1342*CK1333+CJ1343*CK1332+CJ1344*CK1331+CJ1345*CK1330+CJ1346*CK1329+CJ1347</f>
        <v>3424.0982169454524</v>
      </c>
      <c r="CM1347" s="134">
        <f t="shared" si="2391"/>
        <v>3.5144827612580316E-2</v>
      </c>
      <c r="CN1347" s="135">
        <f t="shared" si="2392"/>
        <v>1.5100366964987795E-2</v>
      </c>
      <c r="CO1347" s="135">
        <f t="shared" si="2401"/>
        <v>1.4839426155672313E-2</v>
      </c>
      <c r="CP1347" s="134">
        <f>VLOOKUP($H1347,RoR!$E:$F,2,FALSE)</f>
        <v>3.7433333333333339E-2</v>
      </c>
      <c r="CQ1347" s="135">
        <v>1.9056896421275615E-2</v>
      </c>
      <c r="CR1347" s="135">
        <f t="shared" si="2399"/>
        <v>1.8376436912057724E-2</v>
      </c>
      <c r="CS1347" s="135">
        <f t="shared" si="2402"/>
        <v>1.606251545286131E-2</v>
      </c>
      <c r="CT1347" s="135">
        <v>1.3976271617800498E-2</v>
      </c>
      <c r="CU1347" s="139">
        <f t="shared" si="2393"/>
        <v>0.90305999999999997</v>
      </c>
      <c r="CV1347" s="335">
        <f t="shared" si="2394"/>
        <v>1.3699568463593395</v>
      </c>
      <c r="CW1347" s="335">
        <f t="shared" si="2395"/>
        <v>0.30714603739982199</v>
      </c>
      <c r="CX1347" s="335">
        <f t="shared" si="2396"/>
        <v>0.77007188472689425</v>
      </c>
      <c r="CY1347" s="335">
        <f t="shared" si="2397"/>
        <v>0.32402839633793828</v>
      </c>
      <c r="CZ1347" s="336">
        <f>INDEX('State Tax Lookup'!$D$7:$Z$91,MATCH(Calculation!$C1347,'State Tax Lookup'!$B$7:$B$91,0),MATCH($H1347,'State Tax Lookup'!$D$6:$Z$6,0))</f>
        <v>0.26200000000000001</v>
      </c>
      <c r="DA1347" s="302">
        <v>0.37</v>
      </c>
      <c r="DB1347" s="57">
        <f t="shared" si="2400"/>
        <v>13.985705960116089</v>
      </c>
      <c r="DC1347" s="56">
        <f t="shared" si="2403"/>
        <v>-0.11088337288437457</v>
      </c>
      <c r="DD1347" s="303">
        <f>VLOOKUP($H1347,RoR!$E:$F,2,FALSE)</f>
        <v>3.7433333333333339E-2</v>
      </c>
      <c r="DE1347" s="304">
        <f>HLOOKUP($H1347,'GDP-PI'!$D$8:$CQ$11,3,FALSE)</f>
        <v>1.9056896421275615E-2</v>
      </c>
      <c r="DF1347" s="303">
        <f>VLOOKUP(H1347,'HW Dx Data'!$E:$F,2,FALSE)</f>
        <v>712.42858370229726</v>
      </c>
      <c r="DG1347" s="364">
        <f ca="1">VLOOKUP(CC1347,'ECI - Input Price'!M$13:N$33,2,FALSE)</f>
        <v>140.44999999999999</v>
      </c>
      <c r="DH1347" s="364"/>
      <c r="DI1347" s="364"/>
      <c r="DJ1347" s="56">
        <f t="shared" ca="1" si="2411"/>
        <v>2.5235657841165486E-2</v>
      </c>
      <c r="DK1347" s="53">
        <f>HLOOKUP(H1347,'GDP-PI'!$8:$9,2,FALSE)</f>
        <v>107.751</v>
      </c>
      <c r="DL1347" s="355">
        <f t="shared" si="2404"/>
        <v>1.8877588227745139E-2</v>
      </c>
    </row>
    <row r="1348" spans="1:130" s="126" customFormat="1" ht="21" customHeight="1" x14ac:dyDescent="0.4">
      <c r="A1348" s="233" t="s">
        <v>260</v>
      </c>
      <c r="B1348" s="126" t="s">
        <v>261</v>
      </c>
      <c r="C1348" s="126">
        <v>4064141</v>
      </c>
      <c r="D1348" s="127" t="s">
        <v>203</v>
      </c>
      <c r="E1348" s="127" t="s">
        <v>15</v>
      </c>
      <c r="F1348" s="144"/>
      <c r="G1348" s="126" t="s">
        <v>174</v>
      </c>
      <c r="H1348" s="128">
        <v>2018</v>
      </c>
      <c r="I1348" s="129"/>
      <c r="J1348" s="125">
        <f>IFERROR(INDEX('Labor Expenditures'!$E$7:$W$91,MATCH($C1348,'Labor Expenditures'!$C$7:$C$91,0),MATCH($G1348,'Labor Expenditures'!$E$5:$W$5,0)),"NA")</f>
        <v>32818.821917094734</v>
      </c>
      <c r="K1348" s="125">
        <f t="shared" ca="1" si="2405"/>
        <v>227.19849025333843</v>
      </c>
      <c r="L1348" s="47"/>
      <c r="M1348" s="131">
        <f t="shared" ca="1" si="2412"/>
        <v>-1.0538675647854531E-2</v>
      </c>
      <c r="N1348" s="131"/>
      <c r="O1348" s="131"/>
      <c r="P1348" s="59">
        <f t="shared" ca="1" si="2414"/>
        <v>-1.2319124664658191E-4</v>
      </c>
      <c r="Q1348" s="61"/>
      <c r="R1348" s="387"/>
      <c r="S1348" s="49">
        <f t="shared" ca="1" si="2419"/>
        <v>119.25783513179262</v>
      </c>
      <c r="T1348" s="61">
        <f ca="1">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+P2623+P2648+P2673</f>
        <v>-0.37445951409500994</v>
      </c>
      <c r="U1348" s="61"/>
      <c r="V1348" s="125">
        <f>IFERROR(INDEX('Non-Labor Expenditures'!$E$7:$AA$91,MATCH($C1348,'Non-Labor Expenditures'!$C$7:$C$91,0),MATCH($G1348,'Non-Labor Expenditures'!$E$5:$AA$5,0)),"NA")</f>
        <v>47527.783846358136</v>
      </c>
      <c r="W1348" s="125">
        <f t="shared" si="2406"/>
        <v>430.80966485703789</v>
      </c>
      <c r="X1348" s="131">
        <f t="shared" si="2415"/>
        <v>-6.0371550023715255E-3</v>
      </c>
      <c r="Y1348" s="131">
        <f t="shared" si="2416"/>
        <v>-7.0570978346050925E-5</v>
      </c>
      <c r="Z1348" s="131"/>
      <c r="AA1348" s="131"/>
      <c r="AB1348" s="131"/>
      <c r="AC1348" s="125">
        <f t="shared" si="2388"/>
        <v>49732.899252722455</v>
      </c>
      <c r="AD1348" s="129"/>
      <c r="AE1348" s="133">
        <v>3902.1692982776367</v>
      </c>
      <c r="AF1348" s="134">
        <v>5.1064259408129295E-2</v>
      </c>
      <c r="AG1348" s="59">
        <f t="shared" si="2407"/>
        <v>5.9691274176870159E-4</v>
      </c>
      <c r="AH1348" s="134"/>
      <c r="AI1348" s="134"/>
      <c r="AJ1348" s="129">
        <f t="shared" si="2372"/>
        <v>130079.50501617533</v>
      </c>
      <c r="AK1348" s="134">
        <f t="shared" si="2417"/>
        <v>3.8361242025620829E-2</v>
      </c>
      <c r="AL1348" s="129"/>
      <c r="AM1348" s="129"/>
      <c r="AN1348" s="129"/>
      <c r="AO1348" s="129"/>
      <c r="AP1348" s="133">
        <f t="shared" si="2418"/>
        <v>556.34705537049456</v>
      </c>
      <c r="AQ1348" s="134">
        <f>+BB1348/Outputs!$B$26</f>
        <v>6.2591829101310793E-3</v>
      </c>
      <c r="AR1348" s="93">
        <f t="shared" si="2408"/>
        <v>0.25229817651146297</v>
      </c>
      <c r="AS1348" s="93">
        <f t="shared" si="2409"/>
        <v>0.36537488238787558</v>
      </c>
      <c r="AT1348" s="93">
        <f t="shared" si="2410"/>
        <v>0.3823269411006614</v>
      </c>
      <c r="AU1348" s="93">
        <f t="shared" ca="1" si="2413"/>
        <v>1.4275608599392225E-2</v>
      </c>
      <c r="AV1348" s="132">
        <f t="shared" ca="1" si="2421"/>
        <v>117.2857690347748</v>
      </c>
      <c r="AW1348" s="134">
        <f t="shared" ca="1" si="2422"/>
        <v>1.4275608599392173E-2</v>
      </c>
      <c r="AX1348" s="135">
        <f>+AJ1348/$AL$23</f>
        <v>1.1689442844904448E-2</v>
      </c>
      <c r="AY1348" s="135">
        <f t="shared" ca="1" si="2420"/>
        <v>1.6687391079882126E-4</v>
      </c>
      <c r="AZ1348" s="93"/>
      <c r="BA1348" s="93"/>
      <c r="BB1348" s="234">
        <f>IFERROR(INDEX('Total Customers'!$E$7:$AA$91,MATCH($C1348,'Total Customers'!$C$7:$C$91,0),MATCH($G1348,'Total Customers'!$E$5:$AA$5,0)),"NA")</f>
        <v>233810</v>
      </c>
      <c r="BC1348" s="269">
        <f t="shared" ref="BC1348:BC1352" si="2427">LN(BB1348/BB1347)</f>
        <v>1.6186062174903419E-2</v>
      </c>
      <c r="BD1348" s="92"/>
      <c r="BE1348" s="299" t="str">
        <f t="shared" si="2317"/>
        <v>YANKEE GAS SERVICES COMPANY</v>
      </c>
      <c r="BF1348" s="300">
        <f t="shared" si="2318"/>
        <v>4064141</v>
      </c>
      <c r="BG1348" s="231" t="str">
        <f t="shared" si="2319"/>
        <v>CT</v>
      </c>
      <c r="BH1348" s="231"/>
      <c r="BI1348" s="231" t="str">
        <f t="shared" si="2320"/>
        <v>2018 Y</v>
      </c>
      <c r="BJ1348" s="129"/>
      <c r="BK1348" s="129"/>
      <c r="BL1348" s="129">
        <f>INDEX('Dist. Plant Gas Additions'!$E$7:$AD$91,MATCH($C1348,'Dist. Plant Gas Additions'!$C$7:$C$91,0),MATCH(Calculation!$G1348,'Dist. Plant Gas Additions'!$E$5:$AD$5,0))</f>
        <v>164259</v>
      </c>
      <c r="BM1348" s="129">
        <f>INDEX('Gen. Plant Additions'!$E$7:$AD$91,MATCH($C1348,'Gen. Plant Additions'!$C$7:$C$91,0),MATCH(Calculation!$G1348,'Gen. Plant Additions'!$E$5:$AD$5,0))</f>
        <v>6409</v>
      </c>
      <c r="BN1348" s="301">
        <f t="shared" si="2424"/>
        <v>0.95780721680350045</v>
      </c>
      <c r="BO1348" s="231">
        <f t="shared" si="2425"/>
        <v>6138.5864524936342</v>
      </c>
      <c r="BP1348" s="231">
        <f t="shared" si="2426"/>
        <v>-270.41354750636583</v>
      </c>
      <c r="BQ1348" s="129">
        <f>INDEX('Dist Plant Depreciation'!$D$7:$AC$94,MATCH($C1348,'Dist Plant Depreciation'!$C$7:$C$94,0),MATCH(Calculation!$G1348,'Dist Plant Depreciation'!$D$5:$AC$5,0))</f>
        <v>396041</v>
      </c>
      <c r="BR1348" s="129">
        <f>INDEX('Gen. Plant Depreciation'!$D$7:$AC$94,MATCH($C1348,'Gen. Plant Depreciation'!$C$7:$C$94,0),MATCH(Calculation!$G1348,'Gen. Plant Depreciation'!$D$5:$AC$5,0))</f>
        <v>26926</v>
      </c>
      <c r="BS1348" s="129"/>
      <c r="BT1348" s="129"/>
      <c r="BU1348" s="129"/>
      <c r="BV1348" s="129"/>
      <c r="BW1348" s="129"/>
      <c r="BX1348" s="137"/>
      <c r="BY1348" s="129">
        <f>INDEX('Gross Dx Plant'!$D$7:$AC$91,MATCH($C1348,'Gross Dx Plant'!$C$7:$C$91,0),MATCH(Calculation!$G1348,'Gross Dx Plant'!$D$5:$AC$5,0))</f>
        <v>1743530</v>
      </c>
      <c r="BZ1348" s="129">
        <f>INDEX('Gross Gen Plant'!$D$7:$AC$91,MATCH($C1348,'Gross Gen Plant'!$C$7:$C$91,0),MATCH(Calculation!$G1348,'Gross Gen Plant'!$D$5:$AC$5,0))</f>
        <v>76805</v>
      </c>
      <c r="CA1348" s="129">
        <f t="shared" si="2423"/>
        <v>1397368</v>
      </c>
      <c r="CB1348" s="129"/>
      <c r="CC1348" s="133">
        <v>2018</v>
      </c>
      <c r="CD1348" s="129"/>
      <c r="CE1348" s="129"/>
      <c r="CF1348" s="129"/>
      <c r="CG1348" s="137"/>
      <c r="CH1348" s="129">
        <f t="shared" si="2389"/>
        <v>170668</v>
      </c>
      <c r="CI1348" s="46">
        <f t="shared" si="2398"/>
        <v>170397.58645249365</v>
      </c>
      <c r="CJ1348" s="231">
        <f t="shared" si="2390"/>
        <v>225.65130686438545</v>
      </c>
      <c r="CK1348" s="443">
        <v>0.75609756097560976</v>
      </c>
      <c r="CL1348" s="231">
        <f>+CL1328*CK1348++CJ1329*CK1347+CJ1330*CK1346+CJ1331*CK1345+CJ1332*CK1344+CJ1333*CK1343+CJ1334*CK1342+CJ1335*CK1341+CJ1336*CK1340+CJ1337*CK1339+CJ1338*CK1338+CJ1339*CK1337+CJ1340*CK1336+CJ1341*CK1335+CJ1342*CK1334+CJ1343*CK1333+CJ1344*CK1332+CJ1345*CK1331+CJ1346*CK1330+CJ1347*CK1329+CJ1348</f>
        <v>3597.0112974939266</v>
      </c>
      <c r="CM1348" s="134">
        <f t="shared" si="2391"/>
        <v>4.9265162794996223E-2</v>
      </c>
      <c r="CN1348" s="135">
        <f t="shared" si="2392"/>
        <v>1.5402077561594479E-2</v>
      </c>
      <c r="CO1348" s="135">
        <f t="shared" si="2401"/>
        <v>1.5132738025112891E-2</v>
      </c>
      <c r="CP1348" s="134">
        <f>VLOOKUP($H1348,RoR!$E:$F,2,FALSE)</f>
        <v>3.9299999999999995E-2</v>
      </c>
      <c r="CQ1348" s="135">
        <v>2.386056741932796E-2</v>
      </c>
      <c r="CR1348" s="135">
        <f t="shared" si="2399"/>
        <v>1.5439432580672034E-2</v>
      </c>
      <c r="CS1348" s="135">
        <f t="shared" si="2402"/>
        <v>1.5769203583420734E-2</v>
      </c>
      <c r="CT1348" s="135">
        <v>3.8270792163076606E-2</v>
      </c>
      <c r="CU1348" s="139">
        <f t="shared" si="2393"/>
        <v>0.90305999999999997</v>
      </c>
      <c r="CV1348" s="335">
        <f t="shared" si="2394"/>
        <v>1.3048868010700074</v>
      </c>
      <c r="CW1348" s="335">
        <f t="shared" si="2395"/>
        <v>0.33886768447837151</v>
      </c>
      <c r="CX1348" s="335">
        <f t="shared" si="2396"/>
        <v>0.78602506232557801</v>
      </c>
      <c r="CY1348" s="335">
        <f t="shared" si="2397"/>
        <v>0.34756768162358759</v>
      </c>
      <c r="CZ1348" s="336">
        <f>INDEX('State Tax Lookup'!$D$7:$Z$91,MATCH(Calculation!$C1348,'State Tax Lookup'!$B$7:$B$91,0),MATCH($H1348,'State Tax Lookup'!$D$6:$Z$6,0))</f>
        <v>0.26200000000000001</v>
      </c>
      <c r="DA1348" s="302">
        <v>0.37</v>
      </c>
      <c r="DB1348" s="57">
        <f t="shared" si="2400"/>
        <v>14.524378712795178</v>
      </c>
      <c r="DC1348" s="56">
        <f t="shared" si="2403"/>
        <v>3.7792722989438705E-2</v>
      </c>
      <c r="DD1348" s="303">
        <f>VLOOKUP($H1348,RoR!$E:$F,2,FALSE)</f>
        <v>3.9299999999999995E-2</v>
      </c>
      <c r="DE1348" s="304">
        <f>HLOOKUP($H1348,'GDP-PI'!$D$8:$CQ$11,3,FALSE)</f>
        <v>2.386056741932796E-2</v>
      </c>
      <c r="DF1348" s="303">
        <f>VLOOKUP(H1348,'HW Dx Data'!$E:$F,2,FALSE)</f>
        <v>755.13671434174842</v>
      </c>
      <c r="DG1348" s="364">
        <f ca="1">VLOOKUP(CC1348,'ECI - Input Price'!M$13:N$33,2,FALSE)</f>
        <v>144.44999999999999</v>
      </c>
      <c r="DH1348" s="364"/>
      <c r="DI1348" s="364"/>
      <c r="DJ1348" s="56">
        <f t="shared" ca="1" si="2411"/>
        <v>2.80818733619915E-2</v>
      </c>
      <c r="DK1348" s="53">
        <f>HLOOKUP(H1348,'GDP-PI'!$8:$9,2,FALSE)</f>
        <v>110.322</v>
      </c>
      <c r="DL1348" s="355">
        <f t="shared" si="2404"/>
        <v>2.3580352716508712E-2</v>
      </c>
    </row>
    <row r="1349" spans="1:130" s="126" customFormat="1" ht="21" customHeight="1" x14ac:dyDescent="0.4">
      <c r="A1349" s="233" t="s">
        <v>260</v>
      </c>
      <c r="B1349" s="126" t="s">
        <v>261</v>
      </c>
      <c r="C1349" s="126">
        <v>4064141</v>
      </c>
      <c r="D1349" s="127" t="s">
        <v>203</v>
      </c>
      <c r="E1349" s="127" t="s">
        <v>15</v>
      </c>
      <c r="F1349" s="144"/>
      <c r="G1349" s="126" t="s">
        <v>175</v>
      </c>
      <c r="H1349" s="128">
        <v>2019</v>
      </c>
      <c r="I1349" s="129"/>
      <c r="J1349" s="125">
        <v>32819</v>
      </c>
      <c r="K1349" s="125">
        <f t="shared" ca="1" si="2405"/>
        <v>219.2684148989477</v>
      </c>
      <c r="L1349" s="47"/>
      <c r="M1349" s="131">
        <f t="shared" ca="1" si="2412"/>
        <v>-3.5527423670815378E-2</v>
      </c>
      <c r="N1349" s="131"/>
      <c r="O1349" s="131"/>
      <c r="P1349" s="59">
        <f t="shared" ca="1" si="2414"/>
        <v>-4.1472871699872933E-4</v>
      </c>
      <c r="Q1349" s="61"/>
      <c r="R1349" s="387"/>
      <c r="S1349" s="49">
        <f t="shared" ca="1" si="2419"/>
        <v>118.22156691178505</v>
      </c>
      <c r="T1349" s="61">
        <f ca="1">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+P2624+P2649+P2674</f>
        <v>-8.7272815107394264E-3</v>
      </c>
      <c r="U1349" s="61"/>
      <c r="V1349" s="125">
        <v>47528</v>
      </c>
      <c r="W1349" s="125">
        <f t="shared" si="2406"/>
        <v>423.1556829715629</v>
      </c>
      <c r="X1349" s="131">
        <f t="shared" si="2415"/>
        <v>-1.7926223518953722E-2</v>
      </c>
      <c r="Y1349" s="131">
        <f t="shared" si="2416"/>
        <v>-2.0926143560348677E-4</v>
      </c>
      <c r="Z1349" s="131"/>
      <c r="AA1349" s="131"/>
      <c r="AB1349" s="131"/>
      <c r="AC1349" s="125">
        <f t="shared" si="2388"/>
        <v>52650.289291718167</v>
      </c>
      <c r="AD1349" s="129"/>
      <c r="AE1349" s="133">
        <v>4134.2267789717362</v>
      </c>
      <c r="AF1349" s="134">
        <v>5.7767687962883098E-2</v>
      </c>
      <c r="AG1349" s="59">
        <f t="shared" si="2407"/>
        <v>6.7435002703306339E-4</v>
      </c>
      <c r="AH1349" s="134"/>
      <c r="AI1349" s="134"/>
      <c r="AJ1349" s="129">
        <f t="shared" si="2372"/>
        <v>132997.28929171816</v>
      </c>
      <c r="AK1349" s="134">
        <f t="shared" si="2417"/>
        <v>2.2182906182719696E-2</v>
      </c>
      <c r="AL1349" s="129"/>
      <c r="AM1349" s="129"/>
      <c r="AN1349" s="129"/>
      <c r="AO1349" s="129"/>
      <c r="AP1349" s="133">
        <f t="shared" si="2418"/>
        <v>551.71174876160239</v>
      </c>
      <c r="AQ1349" s="134">
        <f>+BB1349/Outputs!$B$27</f>
        <v>6.4001265460197909E-3</v>
      </c>
      <c r="AR1349" s="93">
        <f t="shared" si="2408"/>
        <v>0.24676442786750588</v>
      </c>
      <c r="AS1349" s="93">
        <f t="shared" si="2409"/>
        <v>0.35736066692119872</v>
      </c>
      <c r="AT1349" s="93">
        <f t="shared" si="2410"/>
        <v>0.39587490521129548</v>
      </c>
      <c r="AU1349" s="93">
        <f t="shared" ca="1" si="2413"/>
        <v>7.1342969219241083E-3</v>
      </c>
      <c r="AV1349" s="132">
        <f t="shared" ca="1" si="2421"/>
        <v>118.12551246348221</v>
      </c>
      <c r="AW1349" s="134">
        <f t="shared" ca="1" si="2422"/>
        <v>7.1342969219241516E-3</v>
      </c>
      <c r="AX1349" s="135">
        <f>+AJ1349/$AL$24</f>
        <v>1.1673481332096013E-2</v>
      </c>
      <c r="AY1349" s="135">
        <f t="shared" ca="1" si="2420"/>
        <v>8.3282081935711627E-5</v>
      </c>
      <c r="AZ1349" s="93"/>
      <c r="BA1349" s="93"/>
      <c r="BB1349" s="234">
        <f>IFERROR(INDEX('Total Customers'!$E$7:$AA$91,MATCH($C1349,'Total Customers'!$C$7:$C$91,0),MATCH($G1349,'Total Customers'!$E$5:$AA$5,0)),"NA")</f>
        <v>241063</v>
      </c>
      <c r="BC1349" s="269">
        <f t="shared" si="2427"/>
        <v>3.0549490394242942E-2</v>
      </c>
      <c r="BD1349" s="92"/>
      <c r="BE1349" s="299" t="str">
        <f t="shared" si="2317"/>
        <v>YANKEE GAS SERVICES COMPANY</v>
      </c>
      <c r="BF1349" s="300">
        <f t="shared" si="2318"/>
        <v>4064141</v>
      </c>
      <c r="BG1349" s="231" t="str">
        <f t="shared" si="2319"/>
        <v>CT</v>
      </c>
      <c r="BH1349" s="231"/>
      <c r="BI1349" s="231" t="str">
        <f t="shared" si="2320"/>
        <v>2019 Y</v>
      </c>
      <c r="BJ1349" s="129"/>
      <c r="BK1349" s="129"/>
      <c r="BL1349" s="129">
        <f>INDEX('Dist. Plant Gas Additions'!$E$7:$AD$91,MATCH($C1349,'Dist. Plant Gas Additions'!$C$7:$C$91,0),MATCH(Calculation!$G1349,'Dist. Plant Gas Additions'!$E$5:$AD$5,0))</f>
        <v>199657</v>
      </c>
      <c r="BM1349" s="129">
        <f>INDEX('Gen. Plant Additions'!$E$7:$AD$91,MATCH($C1349,'Gen. Plant Additions'!$C$7:$C$91,0),MATCH(Calculation!$G1349,'Gen. Plant Additions'!$E$5:$AD$5,0))</f>
        <v>6239</v>
      </c>
      <c r="BN1349" s="301">
        <f t="shared" si="2424"/>
        <v>0.95953649312301614</v>
      </c>
      <c r="BO1349" s="231">
        <f t="shared" si="2425"/>
        <v>5986.5481805944974</v>
      </c>
      <c r="BP1349" s="231">
        <f t="shared" si="2426"/>
        <v>-252.45181940550265</v>
      </c>
      <c r="BQ1349" s="129">
        <f>INDEX('Dist Plant Depreciation'!$D$7:$AC$94,MATCH($C1349,'Dist Plant Depreciation'!$C$7:$C$94,0),MATCH(Calculation!$G1349,'Dist Plant Depreciation'!$D$5:$AC$5,0))</f>
        <v>406803</v>
      </c>
      <c r="BR1349" s="129">
        <f>INDEX('Gen. Plant Depreciation'!$D$7:$AC$94,MATCH($C1349,'Gen. Plant Depreciation'!$C$7:$C$94,0),MATCH(Calculation!$G1349,'Gen. Plant Depreciation'!$D$5:$AC$5,0))</f>
        <v>29590</v>
      </c>
      <c r="BS1349" s="129"/>
      <c r="BT1349" s="129"/>
      <c r="BU1349" s="129"/>
      <c r="BV1349" s="129"/>
      <c r="BW1349" s="129"/>
      <c r="BX1349" s="137"/>
      <c r="BY1349" s="129">
        <f>INDEX('Gross Dx Plant'!$D$7:$AC$91,MATCH($C1349,'Gross Dx Plant'!$C$7:$C$91,0),MATCH(Calculation!$G1349,'Gross Dx Plant'!$D$5:$AC$5,0))</f>
        <v>1932542</v>
      </c>
      <c r="BZ1349" s="129">
        <f>INDEX('Gross Gen Plant'!$D$7:$AC$91,MATCH($C1349,'Gross Gen Plant'!$C$7:$C$91,0),MATCH(Calculation!$G1349,'Gross Gen Plant'!$D$5:$AC$5,0))</f>
        <v>81495</v>
      </c>
      <c r="CA1349" s="129">
        <f t="shared" si="2423"/>
        <v>1577644</v>
      </c>
      <c r="CB1349" s="129"/>
      <c r="CC1349" s="133">
        <v>2019</v>
      </c>
      <c r="CD1349" s="129"/>
      <c r="CE1349" s="129"/>
      <c r="CF1349" s="129"/>
      <c r="CG1349" s="137"/>
      <c r="CH1349" s="129">
        <f t="shared" si="2389"/>
        <v>205896</v>
      </c>
      <c r="CI1349" s="46">
        <f t="shared" si="2398"/>
        <v>205643.54818059449</v>
      </c>
      <c r="CJ1349" s="231">
        <f t="shared" si="2390"/>
        <v>265.84757714107531</v>
      </c>
      <c r="CK1349" s="443">
        <v>0.7407407407407407</v>
      </c>
      <c r="CL1349" s="231">
        <f>CL1328*CK1349+CJ1329*CK1348+CJ1330*CK1347+CJ1331*CK1346+CJ1332*CK1345+CJ1333*CK1344+CJ1334*CK1343+CJ1335*CK1342+CJ1336*CK1341+CJ1337*CK1340+CJ1338*CK1339+CJ1339*CK1338+CJ1340*CK1337+CJ1341*CK1336+CJ1342*CK1335+CJ1343*CK1334+CJ1344*CK1333+CJ1345*CK1332+CJ1346*CK1331+CJ1347*CK1330+CJ1348*CK1329+CJ1349</f>
        <v>3806.6588720502841</v>
      </c>
      <c r="CM1349" s="134">
        <f t="shared" si="2391"/>
        <v>5.6648562416487046E-2</v>
      </c>
      <c r="CN1349" s="135">
        <f t="shared" si="2392"/>
        <v>1.5624082866760208E-2</v>
      </c>
      <c r="CO1349" s="135">
        <f t="shared" si="2401"/>
        <v>1.5375509131114162E-2</v>
      </c>
      <c r="CP1349" s="134">
        <f>VLOOKUP($H1349,RoR!$E:$F,2,FALSE)</f>
        <v>3.3875000000000009E-2</v>
      </c>
      <c r="CQ1349" s="135">
        <v>1.8092492884465461E-2</v>
      </c>
      <c r="CR1349" s="135">
        <f t="shared" si="2399"/>
        <v>1.5782507115534548E-2</v>
      </c>
      <c r="CS1349" s="135">
        <f t="shared" si="2402"/>
        <v>1.5526432477419463E-2</v>
      </c>
      <c r="CT1349" s="135">
        <v>4.8445665544254078E-2</v>
      </c>
      <c r="CU1349" s="139">
        <f t="shared" si="2393"/>
        <v>0.90305999999999997</v>
      </c>
      <c r="CV1349" s="335">
        <f t="shared" si="2394"/>
        <v>1.513861292459078</v>
      </c>
      <c r="CW1349" s="335">
        <f t="shared" si="2395"/>
        <v>0.23699261992619944</v>
      </c>
      <c r="CX1349" s="335">
        <f t="shared" si="2396"/>
        <v>0.73619765810468829</v>
      </c>
      <c r="CY1349" s="335">
        <f t="shared" si="2397"/>
        <v>0.26412854465362851</v>
      </c>
      <c r="CZ1349" s="336">
        <f>INDEX('State Tax Lookup'!$D$7:$Z$91,MATCH(Calculation!$C1349,'State Tax Lookup'!$B$7:$B$91,0),MATCH($H1349,'State Tax Lookup'!$D$6:$Z$6,0))</f>
        <v>0.26200000000000001</v>
      </c>
      <c r="DA1349" s="302">
        <v>0.37</v>
      </c>
      <c r="DB1349" s="57">
        <f t="shared" si="2400"/>
        <v>14.637232117786271</v>
      </c>
      <c r="DC1349" s="56">
        <f t="shared" si="2403"/>
        <v>7.7398994883781909E-3</v>
      </c>
      <c r="DD1349" s="303">
        <f>VLOOKUP($H1349,RoR!$E:$F,2,FALSE)</f>
        <v>3.3875000000000009E-2</v>
      </c>
      <c r="DE1349" s="304">
        <f>HLOOKUP($H1349,'GDP-PI'!$D$8:$CQ$11,3,FALSE)</f>
        <v>1.8092492884465461E-2</v>
      </c>
      <c r="DF1349" s="303">
        <f>VLOOKUP(H1349,'HW Dx Data'!$E:$F,2,FALSE)</f>
        <v>773.53929793938721</v>
      </c>
      <c r="DG1349" s="364">
        <f ca="1">VLOOKUP(CC1349,'ECI - Input Price'!M$13:N$33,2,FALSE)</f>
        <v>149.67500000000001</v>
      </c>
      <c r="DH1349" s="364"/>
      <c r="DI1349" s="364"/>
      <c r="DJ1349" s="56">
        <f t="shared" ca="1" si="2411"/>
        <v>3.5532849899171604E-2</v>
      </c>
      <c r="DK1349" s="53">
        <f>HLOOKUP(H1349,'GDP-PI'!$8:$9,2,FALSE)</f>
        <v>112.318</v>
      </c>
      <c r="DL1349" s="355">
        <f t="shared" si="2404"/>
        <v>1.7930771451401852E-2</v>
      </c>
    </row>
    <row r="1350" spans="1:130" s="126" customFormat="1" ht="21" customHeight="1" x14ac:dyDescent="0.4">
      <c r="A1350" s="233" t="s">
        <v>260</v>
      </c>
      <c r="B1350" s="126" t="s">
        <v>261</v>
      </c>
      <c r="C1350" s="126">
        <v>4064141</v>
      </c>
      <c r="D1350" s="126" t="s">
        <v>203</v>
      </c>
      <c r="E1350" s="126" t="s">
        <v>15</v>
      </c>
      <c r="G1350" s="127" t="s">
        <v>176</v>
      </c>
      <c r="H1350" s="128">
        <v>2020</v>
      </c>
      <c r="I1350" s="129"/>
      <c r="J1350" s="125">
        <v>32819</v>
      </c>
      <c r="K1350" s="125">
        <f t="shared" ca="1" si="2405"/>
        <v>214.2931766242246</v>
      </c>
      <c r="L1350" s="47"/>
      <c r="M1350" s="131">
        <f t="shared" ca="1" si="2412"/>
        <v>-2.2951556467368461E-2</v>
      </c>
      <c r="N1350" s="131"/>
      <c r="O1350" s="131"/>
      <c r="P1350" s="59">
        <f t="shared" ca="1" si="2414"/>
        <v>-2.7310750238801522E-4</v>
      </c>
      <c r="Q1350" s="61"/>
      <c r="R1350" s="387"/>
      <c r="S1350" s="49">
        <f t="shared" ca="1" si="2419"/>
        <v>118.18928412345387</v>
      </c>
      <c r="T1350" s="61">
        <f ca="1">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+P2625+P2650+P2675</f>
        <v>-2.7310750238801522E-4</v>
      </c>
      <c r="U1350" s="61"/>
      <c r="V1350" s="125">
        <v>47528</v>
      </c>
      <c r="W1350" s="125">
        <f t="shared" si="2406"/>
        <v>418.29559156156762</v>
      </c>
      <c r="X1350" s="131">
        <f t="shared" si="2415"/>
        <v>-1.1551816731392965E-2</v>
      </c>
      <c r="Y1350" s="131">
        <f t="shared" si="2416"/>
        <v>-1.3745855624390017E-4</v>
      </c>
      <c r="Z1350" s="131"/>
      <c r="AA1350" s="131"/>
      <c r="AB1350" s="131"/>
      <c r="AC1350" s="125">
        <f t="shared" si="2388"/>
        <v>57709.840620504139</v>
      </c>
      <c r="AD1350" s="129"/>
      <c r="AE1350" s="133">
        <v>4338.3052633979969</v>
      </c>
      <c r="AF1350" s="134">
        <v>4.8183462758395919E-2</v>
      </c>
      <c r="AG1350" s="59">
        <f t="shared" si="2407"/>
        <v>5.7334957605427472E-4</v>
      </c>
      <c r="AH1350" s="134"/>
      <c r="AI1350" s="134"/>
      <c r="AJ1350" s="129">
        <f t="shared" si="2372"/>
        <v>138056.84062050414</v>
      </c>
      <c r="AK1350" s="134">
        <f t="shared" si="2417"/>
        <v>3.7336742160001296E-2</v>
      </c>
      <c r="AL1350" s="129"/>
      <c r="AM1350" s="129"/>
      <c r="AN1350" s="129"/>
      <c r="AO1350" s="129"/>
      <c r="AP1350" s="133">
        <f t="shared" si="2418"/>
        <v>572.70025105679485</v>
      </c>
      <c r="AQ1350" s="134">
        <f>+BB1350/Outputs!$B$28</f>
        <v>6.354931615739314E-3</v>
      </c>
      <c r="AR1350" s="93">
        <f t="shared" si="2408"/>
        <v>0.2377209260511336</v>
      </c>
      <c r="AS1350" s="93">
        <f t="shared" si="2409"/>
        <v>0.34426399870070012</v>
      </c>
      <c r="AT1350" s="93">
        <f t="shared" si="2410"/>
        <v>0.41801507524816628</v>
      </c>
      <c r="AU1350" s="93">
        <f t="shared" ca="1" si="2413"/>
        <v>9.9956525266671811E-3</v>
      </c>
      <c r="AV1350" s="132">
        <f t="shared" ca="1" si="2421"/>
        <v>119.31217489301703</v>
      </c>
      <c r="AW1350" s="134">
        <f t="shared" ca="1" si="2422"/>
        <v>9.9956525266672903E-3</v>
      </c>
      <c r="AX1350" s="135">
        <f>+AJ1350/$AL$25</f>
        <v>1.1899302026697306E-2</v>
      </c>
      <c r="AY1350" s="135">
        <f t="shared" ca="1" si="2420"/>
        <v>1.1894128836873414E-4</v>
      </c>
      <c r="AZ1350" s="93"/>
      <c r="BA1350" s="93"/>
      <c r="BB1350" s="234">
        <v>241063</v>
      </c>
      <c r="BC1350" s="269">
        <f t="shared" si="2427"/>
        <v>0</v>
      </c>
      <c r="BD1350" s="92"/>
      <c r="BE1350" s="299" t="str">
        <f t="shared" si="2317"/>
        <v>YANKEE GAS SERVICES COMPANY</v>
      </c>
      <c r="BF1350" s="300">
        <f t="shared" si="2318"/>
        <v>4064141</v>
      </c>
      <c r="BG1350" s="231" t="str">
        <f t="shared" si="2319"/>
        <v>CT</v>
      </c>
      <c r="BH1350" s="231"/>
      <c r="BI1350" s="231" t="str">
        <f t="shared" si="2320"/>
        <v>2020 Y</v>
      </c>
      <c r="BJ1350" s="129"/>
      <c r="BK1350" s="129"/>
      <c r="BL1350" s="129">
        <f>INDEX('Dist. Plant Gas Additions'!$E$7:$AD$91,MATCH($C1350,'Dist. Plant Gas Additions'!$C$7:$C$91,0),MATCH(Calculation!$G1350,'Dist. Plant Gas Additions'!$E$5:$AD$5,0))</f>
        <v>187318</v>
      </c>
      <c r="BM1350" s="129">
        <f>INDEX('Gen. Plant Additions'!$E$7:$AD$91,MATCH($C1350,'Gen. Plant Additions'!$C$7:$C$91,0),MATCH(Calculation!$G1350,'Gen. Plant Additions'!$E$5:$AD$5,0))</f>
        <v>8529</v>
      </c>
      <c r="BN1350" s="301">
        <f t="shared" si="2424"/>
        <v>0.95908709530323755</v>
      </c>
      <c r="BO1350" s="231">
        <f t="shared" si="2425"/>
        <v>8180.0538358413132</v>
      </c>
      <c r="BP1350" s="231">
        <f t="shared" si="2426"/>
        <v>-348.94616415868677</v>
      </c>
      <c r="BQ1350" s="129">
        <f>INDEX('Dist Plant Depreciation'!$D$7:$AC$94,MATCH($C1350,'Dist Plant Depreciation'!$C$7:$C$94,0),MATCH(Calculation!$G1350,'Dist Plant Depreciation'!$D$5:$AC$5,0))</f>
        <v>416963</v>
      </c>
      <c r="BR1350" s="129">
        <f>INDEX('Gen. Plant Depreciation'!$D$7:$AC$94,MATCH($C1350,'Gen. Plant Depreciation'!$C$7:$C$94,0),MATCH(Calculation!$G1350,'Gen. Plant Depreciation'!$D$5:$AC$5,0))</f>
        <v>34015</v>
      </c>
      <c r="BS1350" s="129"/>
      <c r="BT1350" s="129"/>
      <c r="BU1350" s="129"/>
      <c r="BV1350" s="129"/>
      <c r="BW1350" s="129"/>
      <c r="BX1350" s="137"/>
      <c r="BY1350" s="129">
        <f>INDEX('Gross Dx Plant'!$D$7:$AC$91,MATCH($C1350,'Gross Dx Plant'!$C$7:$C$91,0),MATCH(Calculation!$G1350,'Gross Dx Plant'!$D$5:$AC$5,0))</f>
        <v>2103278</v>
      </c>
      <c r="BZ1350" s="129">
        <f>INDEX('Gross Gen Plant'!$D$7:$AC$91,MATCH($C1350,'Gross Gen Plant'!$C$7:$C$91,0),MATCH(Calculation!$G1350,'Gross Gen Plant'!$D$5:$AC$5,0))</f>
        <v>89722</v>
      </c>
      <c r="CA1350" s="129">
        <f t="shared" si="2423"/>
        <v>1742022</v>
      </c>
      <c r="CB1350" s="129"/>
      <c r="CC1350" s="133">
        <v>2020</v>
      </c>
      <c r="CD1350" s="137"/>
      <c r="CE1350" s="137"/>
      <c r="CF1350" s="129"/>
      <c r="CG1350" s="137"/>
      <c r="CH1350" s="129">
        <f t="shared" si="2389"/>
        <v>195847</v>
      </c>
      <c r="CI1350" s="46">
        <f t="shared" si="2398"/>
        <v>195498.0538358413</v>
      </c>
      <c r="CJ1350" s="231">
        <f t="shared" si="2390"/>
        <v>240.44130316085474</v>
      </c>
      <c r="CK1350" s="443">
        <v>0.72499999999999998</v>
      </c>
      <c r="CL1350" s="231">
        <f>CL1328*CK1350+CJ1329*CK1349+CJ1330*CK1348+CJ1331*CK1347+CJ1332*CK1346+CJ1333*CK1345+CJ1334*CK1344+CJ1335*CK1343+CJ1336*CK1342+CJ1337*CK1341+CJ1338*CK1340+CJ1339*CK1339+CJ1340*CK1338+CJ1341*CK1337+CJ1342*CK1336+CJ1343*CK1335+CJ1344*CK1334+CJ1345*CK1333+CJ1346*CK1332+CJ1347*CK1331+CJ1348*CK1330+CJ1349*CK1329+CJ1350</f>
        <v>3986.9521322171427</v>
      </c>
      <c r="CM1350" s="134">
        <f t="shared" si="2391"/>
        <v>4.6275194426904108E-2</v>
      </c>
      <c r="CN1350" s="135">
        <f t="shared" si="2392"/>
        <v>1.5800744173748403E-2</v>
      </c>
      <c r="CO1350" s="135">
        <f t="shared" si="2401"/>
        <v>1.5608968200701031E-2</v>
      </c>
      <c r="CP1350" s="134">
        <f>VLOOKUP($H1350,RoR!$E:$F,2,FALSE)</f>
        <v>2.4766666666666666E-2</v>
      </c>
      <c r="CQ1350" s="135">
        <v>1.1618796630994188E-2</v>
      </c>
      <c r="CR1350" s="135">
        <f t="shared" si="2399"/>
        <v>1.3147870035672478E-2</v>
      </c>
      <c r="CS1350" s="135">
        <f t="shared" si="2402"/>
        <v>1.5292973407832594E-2</v>
      </c>
      <c r="CT1350" s="135">
        <v>4.5144642961987357E-2</v>
      </c>
      <c r="CU1350" s="139">
        <f t="shared" si="2393"/>
        <v>0.90305999999999997</v>
      </c>
      <c r="CV1350" s="335">
        <f t="shared" si="2394"/>
        <v>2.0706077233668081</v>
      </c>
      <c r="CW1350" s="335">
        <f t="shared" si="2395"/>
        <v>-3.4421265141318998E-2</v>
      </c>
      <c r="CX1350" s="335">
        <f t="shared" si="2396"/>
        <v>0.62416226176410472</v>
      </c>
      <c r="CY1350" s="335">
        <f t="shared" si="2397"/>
        <v>-4.4485877841158712E-2</v>
      </c>
      <c r="CZ1350" s="336">
        <f>INDEX('State Tax Lookup'!$D$7:$Z$91,MATCH(Calculation!$C1350,'State Tax Lookup'!$B$7:$B$91,0),MATCH($H1350,'State Tax Lookup'!$D$6:$Z$6,0))</f>
        <v>0.26200000000000001</v>
      </c>
      <c r="DA1350" s="302">
        <v>0.37</v>
      </c>
      <c r="DB1350" s="57">
        <f t="shared" si="2400"/>
        <v>15.160234357806102</v>
      </c>
      <c r="DC1350" s="56">
        <f t="shared" si="2403"/>
        <v>3.5107411387159386E-2</v>
      </c>
      <c r="DD1350" s="303">
        <f>VLOOKUP($H1350,RoR!$E:$F,2,FALSE)</f>
        <v>2.4766666666666666E-2</v>
      </c>
      <c r="DE1350" s="304">
        <f>HLOOKUP($H1350,'GDP-PI'!$D$8:$CQ$11,3,FALSE)</f>
        <v>1.1618796630994188E-2</v>
      </c>
      <c r="DF1350" s="303">
        <f>VLOOKUP(H1350,'HW Dx Data'!$E:$F,2,FALSE)</f>
        <v>813.080162458833</v>
      </c>
      <c r="DG1350" s="364">
        <f ca="1">VLOOKUP(CC1350,'ECI - Input Price'!M$13:N$33,2,FALSE)</f>
        <v>153.15</v>
      </c>
      <c r="DH1350" s="364"/>
      <c r="DI1350" s="364"/>
      <c r="DJ1350" s="56">
        <f t="shared" ca="1" si="2411"/>
        <v>2.2951556467368479E-2</v>
      </c>
      <c r="DK1350" s="53">
        <f>HLOOKUP(H1350,'GDP-PI'!$8:$9,2,FALSE)</f>
        <v>113.623</v>
      </c>
      <c r="DL1350" s="355">
        <f t="shared" si="2404"/>
        <v>1.1551816731392881E-2</v>
      </c>
    </row>
    <row r="1351" spans="1:130" s="126" customFormat="1" ht="21" customHeight="1" x14ac:dyDescent="0.4">
      <c r="A1351" s="233" t="s">
        <v>260</v>
      </c>
      <c r="B1351" s="126" t="s">
        <v>261</v>
      </c>
      <c r="C1351" s="126">
        <v>4064141</v>
      </c>
      <c r="D1351" s="126" t="s">
        <v>203</v>
      </c>
      <c r="E1351" s="126" t="s">
        <v>15</v>
      </c>
      <c r="G1351" s="127" t="s">
        <v>177</v>
      </c>
      <c r="H1351" s="128">
        <v>2021</v>
      </c>
      <c r="I1351" s="129"/>
      <c r="J1351" s="125">
        <v>37083.103177765493</v>
      </c>
      <c r="K1351" s="125">
        <f t="shared" ca="1" si="2405"/>
        <v>235.82259572505879</v>
      </c>
      <c r="L1351" s="47"/>
      <c r="M1351" s="130">
        <f t="shared" ca="1" si="2412"/>
        <v>9.5734747643268586E-2</v>
      </c>
      <c r="N1351" s="130"/>
      <c r="O1351" s="130"/>
      <c r="P1351" s="59">
        <f t="shared" ca="1" si="2414"/>
        <v>1.2637369834174745E-3</v>
      </c>
      <c r="Q1351" s="61"/>
      <c r="R1351" s="387"/>
      <c r="S1351" s="132">
        <f ca="1">+S1350*EXP(T1351)</f>
        <v>118.3387387085973</v>
      </c>
      <c r="T1351" s="134">
        <f ca="1">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+P2626+P2651+P2676</f>
        <v>1.2637369834174745E-3</v>
      </c>
      <c r="U1351" s="134"/>
      <c r="V1351" s="125">
        <v>52273.77194938028</v>
      </c>
      <c r="W1351" s="125">
        <f t="shared" si="2406"/>
        <v>441.16610641725276</v>
      </c>
      <c r="X1351" s="131">
        <f t="shared" si="2415"/>
        <v>5.3233123618324572E-2</v>
      </c>
      <c r="Y1351" s="131">
        <f t="shared" si="2416"/>
        <v>7.0269853648108685E-4</v>
      </c>
      <c r="Z1351" s="131"/>
      <c r="AA1351" s="131"/>
      <c r="AB1351" s="131"/>
      <c r="AC1351" s="125">
        <f t="shared" si="2388"/>
        <v>80204.577094846667</v>
      </c>
      <c r="AD1351" s="129"/>
      <c r="AE1351" s="133">
        <v>4554.2795151840673</v>
      </c>
      <c r="AF1351" s="134"/>
      <c r="AG1351" s="59">
        <f t="shared" si="2407"/>
        <v>0</v>
      </c>
      <c r="AH1351" s="134"/>
      <c r="AI1351" s="134"/>
      <c r="AJ1351" s="129">
        <f t="shared" si="2372"/>
        <v>169561.45222199243</v>
      </c>
      <c r="AK1351" s="134">
        <f t="shared" si="2417"/>
        <v>0.20554992218861959</v>
      </c>
      <c r="AL1351" s="129"/>
      <c r="AM1351" s="134"/>
      <c r="AN1351" s="134"/>
      <c r="AO1351" s="134"/>
      <c r="AP1351" s="133">
        <f t="shared" si="2418"/>
        <v>684.85327326846391</v>
      </c>
      <c r="AQ1351" s="134">
        <f>+BB1351/Outputs!$B$29</f>
        <v>6.4131542401700313E-3</v>
      </c>
      <c r="AR1351" s="93">
        <f t="shared" si="2408"/>
        <v>0.21870008007017852</v>
      </c>
      <c r="AS1351" s="93">
        <f t="shared" si="2409"/>
        <v>0.30828806467723963</v>
      </c>
      <c r="AT1351" s="93">
        <f t="shared" si="2410"/>
        <v>0.47301185525258194</v>
      </c>
      <c r="AU1351" s="93">
        <f t="shared" ca="1" si="2413"/>
        <v>3.9216367248650602E-2</v>
      </c>
      <c r="AV1351" s="132">
        <f t="shared" ca="1" si="2421"/>
        <v>124.08412262980279</v>
      </c>
      <c r="AW1351" s="134">
        <f t="shared" ca="1" si="2422"/>
        <v>3.9216367248650595E-2</v>
      </c>
      <c r="AX1351" s="135">
        <f>+AJ1351/$AL$26</f>
        <v>1.3200400215462749E-2</v>
      </c>
      <c r="AY1351" s="135">
        <f t="shared" ca="1" si="2420"/>
        <v>5.176717426787536E-4</v>
      </c>
      <c r="AZ1351" s="93"/>
      <c r="BA1351" s="93"/>
      <c r="BB1351" s="234">
        <v>247588</v>
      </c>
      <c r="BC1351" s="269">
        <f t="shared" si="2427"/>
        <v>2.6707764252213002E-2</v>
      </c>
      <c r="BD1351" s="91"/>
      <c r="BE1351" s="299" t="str">
        <f t="shared" si="2317"/>
        <v>YANKEE GAS SERVICES COMPANY</v>
      </c>
      <c r="BF1351" s="300">
        <f t="shared" si="2318"/>
        <v>4064141</v>
      </c>
      <c r="BG1351" s="231" t="str">
        <f t="shared" si="2319"/>
        <v>CT</v>
      </c>
      <c r="BH1351" s="231"/>
      <c r="BI1351" s="231" t="str">
        <f t="shared" si="2320"/>
        <v>2021 Y</v>
      </c>
      <c r="BJ1351" s="129"/>
      <c r="BK1351" s="129"/>
      <c r="BL1351" s="129">
        <f>INDEX('Dist. Plant Gas Additions'!$D$7:$AD$91,MATCH($C1351,'Dist. Plant Gas Additions'!$C$7:$C$91,0),MATCH(Calculation!$G1351,'Dist. Plant Gas Additions'!$D$5:$AD$5,0))</f>
        <v>195582</v>
      </c>
      <c r="BM1351" s="129">
        <f>INDEX('Gen. Plant Additions'!$D$7:$AD$91,MATCH($C1351,'Gen. Plant Additions'!$C$7:$C$91,0),MATCH(Calculation!$G1351,'Gen. Plant Additions'!$D$5:$AD$5,0))</f>
        <v>8700</v>
      </c>
      <c r="BN1351" s="301">
        <v>0.95899999999999996</v>
      </c>
      <c r="BO1351" s="231">
        <f t="shared" si="2425"/>
        <v>8343.2999999999993</v>
      </c>
      <c r="BP1351" s="231">
        <f t="shared" si="2426"/>
        <v>-356.70000000000073</v>
      </c>
      <c r="BQ1351" s="129"/>
      <c r="BR1351" s="129"/>
      <c r="BS1351" s="137"/>
      <c r="BT1351" s="137"/>
      <c r="BU1351" s="333"/>
      <c r="BV1351" s="93"/>
      <c r="BW1351" s="334"/>
      <c r="BX1351" s="334"/>
      <c r="BY1351" s="129"/>
      <c r="BZ1351" s="129"/>
      <c r="CA1351" s="129"/>
      <c r="CB1351" s="129"/>
      <c r="CC1351" s="133">
        <v>2021</v>
      </c>
      <c r="CD1351" s="129"/>
      <c r="CE1351" s="129"/>
      <c r="CF1351" s="129"/>
      <c r="CG1351" s="137"/>
      <c r="CH1351" s="129">
        <f t="shared" si="2389"/>
        <v>204282</v>
      </c>
      <c r="CI1351" s="46">
        <f t="shared" si="2398"/>
        <v>203925.3</v>
      </c>
      <c r="CJ1351" s="231">
        <f t="shared" si="2390"/>
        <v>218.56418271929942</v>
      </c>
      <c r="CK1351" s="443">
        <v>0.70886075949367089</v>
      </c>
      <c r="CL1351" s="129">
        <f>CL1328*CK1351+CJ1329*CK1350+CJ1330*CK1349+CJ1331*CK1348+CJ1332*CK1347+CJ1333*CK1346+CJ1334*CK1345+CJ1335*CK1344+CJ1336*CK1343+CJ1337*CK1342+CJ1338*CK1341+CJ1339*CK1340+CJ1340*CK1339+CJ1341*CK1338+CJ1342*CK1337+CJ1333*CK1336+CJ1344*CK1335+CJ1345*CK1334+CJ1346*CK1333+CJ1347*CK1332+CJ1348*CK1331+CJ1349*CK1330+CJ1351+CJ1350*CK1329</f>
        <v>4172.8950608033956</v>
      </c>
      <c r="CM1351" s="134"/>
      <c r="CN1351" s="135">
        <f t="shared" si="2392"/>
        <v>8.1820029564553132E-3</v>
      </c>
      <c r="CO1351" s="135">
        <f t="shared" si="2401"/>
        <v>1.3202276665654641E-2</v>
      </c>
      <c r="CP1351" s="134">
        <f>VLOOKUP($H1351,RoR!$E:$F,2,FALSE)</f>
        <v>2.7033333333333336E-2</v>
      </c>
      <c r="CQ1351" s="135"/>
      <c r="CR1351" s="135"/>
      <c r="CS1351" s="135">
        <f t="shared" si="2402"/>
        <v>1.7699664942878984E-2</v>
      </c>
      <c r="CT1351" s="135">
        <v>7.433422950153494E-2</v>
      </c>
      <c r="CU1351" s="139">
        <f t="shared" si="2393"/>
        <v>0.90305999999999997</v>
      </c>
      <c r="CV1351" s="335">
        <f t="shared" si="2394"/>
        <v>1.8969932656739068</v>
      </c>
      <c r="CW1351" s="335">
        <f t="shared" si="2395"/>
        <v>5.0215782983970621E-2</v>
      </c>
      <c r="CX1351" s="335">
        <f t="shared" si="2396"/>
        <v>0.655952481704143</v>
      </c>
      <c r="CY1351" s="335">
        <f t="shared" si="2397"/>
        <v>6.2485378865697057E-2</v>
      </c>
      <c r="CZ1351" s="336">
        <f>CZ1350</f>
        <v>0.26200000000000001</v>
      </c>
      <c r="DA1351" s="302">
        <v>0.37</v>
      </c>
      <c r="DB1351" s="141">
        <f t="shared" si="2400"/>
        <v>20.116764494547599</v>
      </c>
      <c r="DC1351" s="135">
        <f>LN(DB1352/DB1350)</f>
        <v>0.21526175809088299</v>
      </c>
      <c r="DD1351" s="336">
        <f>VLOOKUP($H1351,RoR!$E:$F,2,FALSE)</f>
        <v>2.7033333333333336E-2</v>
      </c>
      <c r="DE1351" s="342">
        <f>HLOOKUP($H1351,'GDP-PI'!$D$8:$CR$11,3,FALSE)</f>
        <v>4.2834637353352578E-2</v>
      </c>
      <c r="DF1351" s="336">
        <f>VLOOKUP(H1351,'HW Dx Data'!$E:$F,2,FALSE)</f>
        <v>933.02249921662576</v>
      </c>
      <c r="DG1351" s="364">
        <f ca="1">VLOOKUP(CC1351,'ECI - Input Price'!M$13:N$33,2,FALSE)</f>
        <v>157.25</v>
      </c>
      <c r="DH1351" s="364"/>
      <c r="DI1351" s="364"/>
      <c r="DJ1351" s="135">
        <f t="shared" ca="1" si="2411"/>
        <v>2.6419062301765574E-2</v>
      </c>
      <c r="DK1351" s="137">
        <f>HLOOKUP(H1351,'GDP-PI'!$8:$9,2,FALSE)</f>
        <v>118.49</v>
      </c>
      <c r="DL1351" s="356">
        <f t="shared" si="2404"/>
        <v>4.194261824609434E-2</v>
      </c>
    </row>
    <row r="1352" spans="1:130" s="126" customFormat="1" ht="21.6" thickBot="1" x14ac:dyDescent="0.45">
      <c r="A1352" s="235"/>
      <c r="B1352" s="236"/>
      <c r="C1352" s="236"/>
      <c r="D1352" s="236"/>
      <c r="E1352" s="267"/>
      <c r="F1352" s="267"/>
      <c r="G1352" s="237" t="s">
        <v>178</v>
      </c>
      <c r="H1352" s="238"/>
      <c r="I1352" s="239"/>
      <c r="J1352" s="240">
        <v>38972.728740420534</v>
      </c>
      <c r="K1352" s="240">
        <f t="shared" ca="1" si="2405"/>
        <v>239.75840504718875</v>
      </c>
      <c r="L1352" s="47"/>
      <c r="M1352" s="241">
        <f t="shared" ref="M1352" ca="1" si="2428">LN(K1352/K1351)</f>
        <v>1.6551961378990423E-2</v>
      </c>
      <c r="N1352" s="241"/>
      <c r="O1352" s="241"/>
      <c r="P1352" s="242">
        <f t="shared" ca="1" si="2414"/>
        <v>2.2210760693181945E-4</v>
      </c>
      <c r="Q1352" s="61"/>
      <c r="R1352" s="387"/>
      <c r="S1352" s="206">
        <f ca="1">+S1351*EXP(T1352)</f>
        <v>118.36502556180615</v>
      </c>
      <c r="T1352" s="243">
        <f ca="1">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+P2627+P2652+P2677</f>
        <v>2.2210760693181945E-4</v>
      </c>
      <c r="U1352" s="243"/>
      <c r="V1352" s="239">
        <v>54937.460995532565</v>
      </c>
      <c r="W1352" s="240">
        <f t="shared" si="2406"/>
        <v>431.72857363876278</v>
      </c>
      <c r="X1352" s="244">
        <f t="shared" ref="X1352" si="2429">LN(W1352/W1351)</f>
        <v>-2.1624374053628614E-2</v>
      </c>
      <c r="Y1352" s="244">
        <f t="shared" si="2416"/>
        <v>-2.9017334335654016E-4</v>
      </c>
      <c r="Z1352" s="206"/>
      <c r="AA1352" s="243"/>
      <c r="AB1352" s="243"/>
      <c r="AC1352" s="240">
        <f t="shared" si="2388"/>
        <v>78456.760490524524</v>
      </c>
      <c r="AD1352" s="243"/>
      <c r="AE1352" s="245">
        <v>4673.8060825966149</v>
      </c>
      <c r="AF1352" s="243">
        <v>2.5906403015015116E-2</v>
      </c>
      <c r="AG1352" s="242">
        <f t="shared" si="2407"/>
        <v>3.4763307176271591E-4</v>
      </c>
      <c r="AH1352" s="206"/>
      <c r="AI1352" s="243"/>
      <c r="AJ1352" s="239">
        <f t="shared" si="2372"/>
        <v>172366.95022647764</v>
      </c>
      <c r="AK1352" s="243">
        <f t="shared" si="2417"/>
        <v>1.6410224731879381E-2</v>
      </c>
      <c r="AL1352" s="239"/>
      <c r="AM1352" s="243"/>
      <c r="AN1352" s="243"/>
      <c r="AO1352" s="243"/>
      <c r="AP1352" s="245">
        <f t="shared" si="2418"/>
        <v>686.7209172369628</v>
      </c>
      <c r="AQ1352" s="243"/>
      <c r="AR1352" s="207">
        <f t="shared" si="2408"/>
        <v>0.22610325639116549</v>
      </c>
      <c r="AS1352" s="207">
        <f t="shared" si="2409"/>
        <v>0.31872386744296827</v>
      </c>
      <c r="AT1352" s="207">
        <f t="shared" si="2410"/>
        <v>0.45517287616586616</v>
      </c>
      <c r="AU1352" s="207"/>
      <c r="AV1352" s="206"/>
      <c r="AW1352" s="243"/>
      <c r="AX1352" s="249">
        <f>+AJ1352/$AL$26</f>
        <v>1.3418808916128995E-2</v>
      </c>
      <c r="AY1352" s="249"/>
      <c r="AZ1352" s="206"/>
      <c r="BA1352" s="243"/>
      <c r="BB1352" s="250">
        <v>251000</v>
      </c>
      <c r="BC1352" s="270">
        <f t="shared" si="2427"/>
        <v>1.3686864762380858E-2</v>
      </c>
      <c r="BD1352" s="91"/>
      <c r="BE1352" s="362"/>
      <c r="BF1352" s="363"/>
      <c r="BG1352" s="285"/>
      <c r="BH1352" s="285"/>
      <c r="BI1352" s="206"/>
      <c r="BJ1352" s="239"/>
      <c r="BK1352" s="239"/>
      <c r="BL1352" s="239"/>
      <c r="BM1352" s="239"/>
      <c r="BN1352" s="309"/>
      <c r="BO1352" s="308">
        <f t="shared" si="2425"/>
        <v>0</v>
      </c>
      <c r="BP1352" s="308">
        <f t="shared" si="2426"/>
        <v>0</v>
      </c>
      <c r="BQ1352" s="239"/>
      <c r="BR1352" s="239"/>
      <c r="BS1352" s="310"/>
      <c r="BT1352" s="310"/>
      <c r="BU1352" s="311"/>
      <c r="BV1352" s="207"/>
      <c r="BW1352" s="312"/>
      <c r="BX1352" s="312"/>
      <c r="BY1352" s="239"/>
      <c r="BZ1352" s="239"/>
      <c r="CA1352" s="239"/>
      <c r="CB1352" s="239"/>
      <c r="CC1352" s="245">
        <v>2022</v>
      </c>
      <c r="CD1352" s="239"/>
      <c r="CE1352" s="239"/>
      <c r="CF1352" s="239"/>
      <c r="CG1352" s="310"/>
      <c r="CH1352" s="239">
        <v>189061.91</v>
      </c>
      <c r="CI1352" s="313">
        <f t="shared" si="2398"/>
        <v>189061.91</v>
      </c>
      <c r="CJ1352" s="308">
        <f t="shared" si="2390"/>
        <v>183.41101657919501</v>
      </c>
      <c r="CK1352" s="443">
        <v>0.69230769230769229</v>
      </c>
      <c r="CL1352" s="239">
        <f>+CL1328*CK1352+CJ1329*CK1351+CJ1330*CK1350+CJ1331*CK1349+CJ1332*CK1348+CJ1333*CK1347+CJ1334*CK1346+CJ1335*CK1345+CJ1336*CK1344+CJ1337*CK1343+CJ1338*CK1342+CJ1339*CK1341+CJ1340*CK1340+CJ1341*CK1339+CJ1342*CK1338+CJ1343*CK1337+CJ1344*CK1336+CJ1345*CK1335+CJ1346*CK1334+CJ1347*CK1333+CJ1348*CK1332+CJ1349*CK1331+CJ1350*CK1330+CJ1351*CK1329+CJ1352*CK1328</f>
        <v>4257.3607442684079</v>
      </c>
      <c r="CM1352" s="243">
        <f t="shared" ref="CM1352" si="2430">LN(CL1352/CL1351)</f>
        <v>2.0039370576120416E-2</v>
      </c>
      <c r="CN1352" s="249">
        <f t="shared" si="2392"/>
        <v>2.3711435747232303E-2</v>
      </c>
      <c r="CO1352" s="249">
        <f t="shared" si="2401"/>
        <v>1.5898060959145342E-2</v>
      </c>
      <c r="CP1352" s="243"/>
      <c r="CQ1352" s="249"/>
      <c r="CR1352" s="249"/>
      <c r="CS1352" s="248">
        <f t="shared" si="2402"/>
        <v>1.5003880649388283E-2</v>
      </c>
      <c r="CT1352" s="249">
        <v>0.10114668178709289</v>
      </c>
      <c r="CU1352" s="314">
        <f t="shared" si="2393"/>
        <v>0.90305999999999997</v>
      </c>
      <c r="CV1352" s="315">
        <f t="shared" si="2394"/>
        <v>1.2820512820512819</v>
      </c>
      <c r="CW1352" s="315">
        <f t="shared" si="2395"/>
        <v>0.35000000000000003</v>
      </c>
      <c r="CX1352" s="315">
        <f t="shared" si="2396"/>
        <v>0.79171095533705893</v>
      </c>
      <c r="CY1352" s="315">
        <f t="shared" si="2397"/>
        <v>0.35525491585637264</v>
      </c>
      <c r="CZ1352" s="316">
        <f>CZ1351</f>
        <v>0.26200000000000001</v>
      </c>
      <c r="DA1352" s="317">
        <v>0.37</v>
      </c>
      <c r="DB1352" s="318">
        <f t="shared" si="2400"/>
        <v>18.801517734649064</v>
      </c>
      <c r="DC1352" s="249">
        <f t="shared" ref="DC1352" si="2431">LN(DB1352/DB1351)</f>
        <v>-6.7615924746192713E-2</v>
      </c>
      <c r="DD1352" s="316">
        <v>0.04</v>
      </c>
      <c r="DE1352" s="319">
        <v>7.0000000000000001E-3</v>
      </c>
      <c r="DF1352" s="316">
        <v>1030.81</v>
      </c>
      <c r="DG1352" s="364">
        <f ca="1">VLOOKUP(CC1352,'ECI - Input Price'!M$13:N$33,2,FALSE)</f>
        <v>162.55000000000001</v>
      </c>
      <c r="DH1352" s="364"/>
      <c r="DI1352" s="364"/>
      <c r="DJ1352" s="249">
        <f t="shared" ca="1" si="2411"/>
        <v>3.3148751169364422E-2</v>
      </c>
      <c r="DK1352" s="310">
        <v>127.25</v>
      </c>
      <c r="DL1352" s="357">
        <f t="shared" si="2404"/>
        <v>7.1325086601983473E-2</v>
      </c>
      <c r="DZ1352" s="126" t="s">
        <v>262</v>
      </c>
    </row>
    <row r="1353" spans="1:130" s="126" customFormat="1" x14ac:dyDescent="0.4">
      <c r="E1353" s="144"/>
      <c r="F1353" s="144"/>
      <c r="H1353" s="128"/>
      <c r="I1353" s="128"/>
      <c r="L1353" s="47"/>
      <c r="R1353" s="388"/>
      <c r="S1353" s="147"/>
      <c r="AC1353" s="141"/>
      <c r="AD1353" s="141"/>
      <c r="AE1353" s="145"/>
      <c r="AF1353" s="141"/>
      <c r="AG1353" s="61"/>
      <c r="AH1353" s="141"/>
      <c r="AI1353" s="141"/>
      <c r="AJ1353" s="141"/>
      <c r="AK1353" s="134"/>
      <c r="AL1353" s="141"/>
      <c r="AM1353" s="141"/>
      <c r="AN1353" s="141"/>
      <c r="AO1353" s="141"/>
      <c r="AP1353" s="132">
        <f>+(AP1350+AP1351+AP1352)/3</f>
        <v>648.09148052074056</v>
      </c>
      <c r="AQ1353" s="134"/>
      <c r="AR1353" s="146"/>
      <c r="AS1353" s="146"/>
      <c r="AT1353" s="146"/>
      <c r="AU1353" s="93"/>
      <c r="AV1353" s="93"/>
      <c r="AW1353" s="134"/>
      <c r="AX1353" s="93"/>
      <c r="AY1353" s="93"/>
      <c r="AZ1353" s="93"/>
      <c r="BA1353" s="93"/>
      <c r="BB1353" s="137"/>
      <c r="BC1353" s="55"/>
      <c r="BD1353" s="135"/>
      <c r="BE1353" s="148"/>
      <c r="BF1353" s="287"/>
      <c r="BG1353" s="148"/>
      <c r="BH1353" s="148"/>
      <c r="BI1353" s="148"/>
      <c r="BJ1353" s="149"/>
      <c r="BK1353" s="149"/>
      <c r="BL1353" s="149"/>
      <c r="BM1353" s="149"/>
      <c r="BN1353" s="175"/>
      <c r="BO1353" s="48">
        <f t="shared" si="2425"/>
        <v>0</v>
      </c>
      <c r="BP1353" s="48">
        <f t="shared" si="2426"/>
        <v>0</v>
      </c>
      <c r="BQ1353" s="149"/>
      <c r="BR1353" s="149"/>
      <c r="BS1353" s="149"/>
      <c r="BT1353" s="149"/>
      <c r="BU1353" s="149"/>
      <c r="BV1353" s="149"/>
      <c r="BW1353" s="149"/>
      <c r="BX1353" s="149"/>
      <c r="BY1353" s="149"/>
      <c r="BZ1353" s="149"/>
      <c r="CA1353" s="149"/>
      <c r="CB1353" s="150"/>
      <c r="CC1353" s="94"/>
      <c r="CD1353" s="137"/>
      <c r="CE1353" s="137"/>
      <c r="CF1353" s="137"/>
      <c r="CG1353" s="137"/>
      <c r="CH1353" s="91"/>
      <c r="CI1353" s="91"/>
      <c r="CJ1353" s="91"/>
      <c r="CK1353" s="138"/>
      <c r="CL1353" s="91"/>
      <c r="CM1353" s="92"/>
      <c r="CN1353" s="135"/>
      <c r="CO1353" s="135"/>
      <c r="CP1353" s="135"/>
      <c r="CQ1353" s="135"/>
      <c r="CR1353" s="135"/>
      <c r="CS1353" s="135"/>
      <c r="CT1353" s="135"/>
      <c r="CU1353" s="139"/>
      <c r="CV1353" s="137"/>
      <c r="CW1353" s="137"/>
      <c r="CX1353" s="137"/>
      <c r="CY1353" s="137"/>
      <c r="CZ1353" s="137"/>
      <c r="DA1353" s="137"/>
      <c r="DB1353" s="53"/>
      <c r="DC1353" s="56"/>
      <c r="DD1353" s="89"/>
      <c r="DE1353" s="170"/>
      <c r="DF1353" s="89"/>
      <c r="DG1353" s="364"/>
      <c r="DH1353" s="364"/>
      <c r="DI1353" s="364"/>
      <c r="DJ1353" s="56"/>
      <c r="DK1353" s="53"/>
      <c r="DL1353"/>
    </row>
    <row r="1354" spans="1:130" x14ac:dyDescent="0.4">
      <c r="CI1354" s="60"/>
      <c r="CJ1354" s="48"/>
      <c r="CK1354" s="54"/>
      <c r="CL1354" s="48"/>
      <c r="CM1354" s="55"/>
      <c r="CN1354" s="56"/>
      <c r="CO1354" s="56"/>
      <c r="CP1354" s="56"/>
      <c r="CQ1354" s="56"/>
      <c r="CR1354" s="56"/>
      <c r="CS1354" s="56"/>
      <c r="CT1354" s="56"/>
      <c r="CU1354" s="96"/>
      <c r="CV1354" s="53"/>
      <c r="CW1354" s="53"/>
      <c r="CX1354" s="53"/>
      <c r="CY1354" s="53"/>
      <c r="CZ1354" s="53"/>
      <c r="DA1354" s="53"/>
      <c r="DB1354" s="57"/>
      <c r="DC1354" s="56"/>
      <c r="DD1354" s="89"/>
      <c r="DE1354" s="170"/>
      <c r="DF1354" s="89"/>
      <c r="DG1354" s="364"/>
      <c r="DH1354" s="364"/>
      <c r="DI1354" s="364"/>
      <c r="DJ1354" s="56"/>
      <c r="DK1354" s="53"/>
    </row>
    <row r="1355" spans="1:130" x14ac:dyDescent="0.4">
      <c r="CI1355" s="60"/>
      <c r="CJ1355" s="48"/>
      <c r="CK1355" s="54"/>
      <c r="CL1355" s="48"/>
      <c r="CM1355" s="55"/>
      <c r="CN1355" s="56"/>
      <c r="CO1355" s="56"/>
      <c r="CP1355" s="56"/>
      <c r="CQ1355" s="56"/>
      <c r="CR1355" s="56"/>
      <c r="CS1355" s="56"/>
      <c r="CT1355" s="56"/>
      <c r="CU1355" s="96"/>
      <c r="CV1355" s="53"/>
      <c r="CW1355" s="53"/>
      <c r="CX1355" s="53"/>
      <c r="CY1355" s="53"/>
      <c r="CZ1355" s="53"/>
      <c r="DA1355" s="53"/>
      <c r="DB1355" s="57"/>
      <c r="DC1355" s="56"/>
      <c r="DD1355" s="89"/>
      <c r="DE1355" s="170"/>
      <c r="DF1355" s="89"/>
      <c r="DG1355" s="364"/>
      <c r="DH1355" s="364"/>
      <c r="DI1355" s="364"/>
      <c r="DJ1355" s="56"/>
      <c r="DK1355" s="53"/>
    </row>
    <row r="1356" spans="1:130" x14ac:dyDescent="0.4">
      <c r="CI1356" s="48"/>
      <c r="CJ1356" s="48"/>
      <c r="CK1356" s="54"/>
      <c r="CL1356" s="48"/>
      <c r="CM1356" s="55"/>
      <c r="CN1356" s="56"/>
      <c r="CO1356" s="56"/>
      <c r="CP1356" s="56"/>
      <c r="CQ1356" s="56"/>
      <c r="CR1356" s="56"/>
      <c r="CS1356" s="56"/>
      <c r="CT1356" s="56"/>
      <c r="CU1356" s="96"/>
      <c r="CV1356" s="53"/>
      <c r="CW1356" s="53"/>
      <c r="CX1356" s="53"/>
      <c r="CY1356" s="53"/>
      <c r="CZ1356" s="53"/>
      <c r="DA1356" s="53"/>
      <c r="DB1356" s="57"/>
      <c r="DC1356" s="56"/>
      <c r="DD1356" s="89"/>
      <c r="DE1356" s="170"/>
      <c r="DF1356" s="89"/>
      <c r="DG1356" s="364"/>
      <c r="DH1356" s="364"/>
      <c r="DI1356" s="364"/>
      <c r="DJ1356" s="56"/>
      <c r="DK1356" s="53"/>
    </row>
    <row r="1357" spans="1:130" x14ac:dyDescent="0.4">
      <c r="CI1357" s="48"/>
      <c r="CJ1357" s="48"/>
      <c r="CK1357" s="54"/>
      <c r="CL1357" s="48"/>
      <c r="CM1357" s="55"/>
      <c r="CN1357" s="56"/>
      <c r="CO1357" s="56"/>
      <c r="CP1357" s="56"/>
      <c r="CQ1357" s="56"/>
      <c r="CR1357" s="56"/>
      <c r="CS1357" s="56"/>
      <c r="CT1357" s="56"/>
      <c r="CU1357" s="96"/>
      <c r="CV1357" s="53"/>
      <c r="CW1357" s="53"/>
      <c r="CX1357" s="53"/>
      <c r="CY1357" s="53"/>
      <c r="CZ1357" s="53"/>
      <c r="DA1357" s="53"/>
      <c r="DB1357" s="57"/>
      <c r="DC1357" s="56"/>
      <c r="DD1357" s="89"/>
      <c r="DE1357" s="170"/>
      <c r="DF1357" s="89"/>
      <c r="DG1357" s="364"/>
      <c r="DH1357" s="364"/>
      <c r="DI1357" s="364"/>
      <c r="DJ1357" s="56"/>
      <c r="DK1357" s="53"/>
      <c r="DL1357" s="56"/>
    </row>
    <row r="1358" spans="1:130" x14ac:dyDescent="0.4">
      <c r="CI1358" s="60"/>
      <c r="CJ1358" s="60"/>
      <c r="CK1358" s="77"/>
      <c r="CL1358" s="60"/>
      <c r="CM1358" s="78"/>
      <c r="CN1358" s="56"/>
      <c r="CO1358" s="56"/>
      <c r="CP1358" s="56"/>
      <c r="CQ1358" s="56"/>
      <c r="CR1358" s="56"/>
      <c r="CS1358" s="56"/>
      <c r="CT1358" s="56"/>
      <c r="CU1358" s="96"/>
      <c r="CV1358" s="53"/>
      <c r="CW1358" s="53"/>
      <c r="CX1358" s="53"/>
      <c r="CY1358" s="53"/>
      <c r="CZ1358" s="53"/>
      <c r="DA1358" s="53"/>
      <c r="DB1358" s="57"/>
      <c r="DC1358" s="56"/>
      <c r="DD1358" s="89"/>
      <c r="DE1358" s="170"/>
      <c r="DF1358" s="89"/>
      <c r="DG1358" s="364"/>
      <c r="DH1358" s="364"/>
      <c r="DI1358" s="364"/>
      <c r="DJ1358" s="56"/>
      <c r="DK1358" s="53"/>
      <c r="DL1358" s="56"/>
    </row>
    <row r="1359" spans="1:130" x14ac:dyDescent="0.4">
      <c r="CI1359" s="60"/>
      <c r="CJ1359" s="60"/>
      <c r="CK1359" s="77"/>
      <c r="CL1359" s="60"/>
      <c r="CM1359" s="78"/>
      <c r="CN1359" s="56"/>
      <c r="CO1359" s="56"/>
      <c r="CP1359" s="56"/>
      <c r="CQ1359" s="56"/>
      <c r="CR1359" s="56"/>
      <c r="CS1359" s="56"/>
      <c r="CT1359" s="56"/>
      <c r="CU1359" s="96"/>
      <c r="CV1359" s="53"/>
      <c r="CW1359" s="53"/>
      <c r="CX1359" s="53"/>
      <c r="CY1359" s="53"/>
      <c r="CZ1359" s="53"/>
      <c r="DA1359" s="53"/>
      <c r="DB1359" s="57"/>
      <c r="DC1359" s="56"/>
      <c r="DD1359" s="89"/>
      <c r="DE1359" s="170"/>
      <c r="DF1359" s="89"/>
      <c r="DG1359" s="364"/>
      <c r="DH1359" s="364"/>
      <c r="DI1359" s="364"/>
      <c r="DJ1359" s="56"/>
      <c r="DK1359" s="53"/>
      <c r="DL1359" s="56"/>
    </row>
    <row r="1360" spans="1:130" x14ac:dyDescent="0.4">
      <c r="CI1360" s="60"/>
      <c r="CJ1360" s="60"/>
      <c r="CK1360" s="77"/>
      <c r="CL1360" s="60"/>
      <c r="CM1360" s="78"/>
      <c r="CN1360" s="56"/>
      <c r="CO1360" s="56"/>
      <c r="CP1360" s="56"/>
      <c r="CQ1360" s="56"/>
      <c r="CR1360" s="56"/>
      <c r="CS1360" s="56"/>
      <c r="CT1360" s="56"/>
      <c r="CU1360" s="96"/>
      <c r="CV1360" s="53"/>
      <c r="CW1360" s="53"/>
      <c r="CX1360" s="53"/>
      <c r="CY1360" s="53"/>
      <c r="CZ1360" s="53"/>
      <c r="DA1360" s="53"/>
      <c r="DB1360" s="57"/>
      <c r="DC1360" s="56"/>
      <c r="DD1360" s="89"/>
      <c r="DE1360" s="170"/>
      <c r="DF1360" s="89"/>
      <c r="DG1360" s="364"/>
      <c r="DH1360" s="364"/>
      <c r="DI1360" s="364"/>
      <c r="DJ1360" s="56"/>
      <c r="DK1360" s="53"/>
      <c r="DL1360" s="56"/>
    </row>
    <row r="1361" spans="87:116" x14ac:dyDescent="0.4">
      <c r="CI1361" s="60"/>
      <c r="CJ1361" s="60"/>
      <c r="CK1361" s="77"/>
      <c r="CL1361" s="60"/>
      <c r="CM1361" s="78"/>
      <c r="CN1361" s="56"/>
      <c r="CO1361" s="56"/>
      <c r="CP1361" s="56"/>
      <c r="CQ1361" s="56"/>
      <c r="CR1361" s="56"/>
      <c r="CS1361" s="56"/>
      <c r="CT1361" s="56"/>
      <c r="CU1361" s="96"/>
      <c r="CV1361" s="53"/>
      <c r="CW1361" s="53"/>
      <c r="CX1361" s="53"/>
      <c r="CY1361" s="53"/>
      <c r="CZ1361" s="53"/>
      <c r="DA1361" s="53"/>
      <c r="DB1361" s="57"/>
      <c r="DC1361" s="56"/>
      <c r="DD1361" s="89"/>
      <c r="DE1361" s="170"/>
      <c r="DF1361" s="89"/>
      <c r="DG1361" s="364"/>
      <c r="DH1361" s="364"/>
      <c r="DI1361" s="364"/>
      <c r="DJ1361" s="56"/>
      <c r="DK1361" s="53"/>
      <c r="DL1361" s="56"/>
    </row>
    <row r="1362" spans="87:116" x14ac:dyDescent="0.4">
      <c r="CI1362" s="60"/>
      <c r="CJ1362" s="60"/>
      <c r="CK1362" s="77"/>
      <c r="CL1362" s="60"/>
      <c r="CM1362" s="78"/>
      <c r="CN1362" s="56"/>
      <c r="CO1362" s="56"/>
      <c r="CP1362" s="56"/>
      <c r="CQ1362" s="56"/>
      <c r="CR1362" s="56"/>
      <c r="CS1362" s="56"/>
      <c r="CT1362" s="56"/>
      <c r="CU1362" s="96"/>
      <c r="CV1362" s="53"/>
      <c r="CW1362" s="53"/>
      <c r="CX1362" s="53"/>
      <c r="CY1362" s="53"/>
      <c r="CZ1362" s="53"/>
      <c r="DA1362" s="53"/>
      <c r="DB1362" s="57"/>
      <c r="DC1362" s="56"/>
      <c r="DD1362" s="89"/>
      <c r="DE1362" s="170"/>
      <c r="DF1362" s="89"/>
      <c r="DG1362" s="364"/>
      <c r="DH1362" s="364"/>
      <c r="DI1362" s="364"/>
      <c r="DJ1362" s="56"/>
      <c r="DK1362" s="53"/>
      <c r="DL1362" s="56"/>
    </row>
    <row r="1363" spans="87:116" x14ac:dyDescent="0.4">
      <c r="CI1363" s="60"/>
      <c r="CJ1363" s="60"/>
      <c r="CK1363" s="77"/>
      <c r="CL1363" s="60"/>
      <c r="CM1363" s="78"/>
      <c r="CN1363" s="56"/>
      <c r="CO1363" s="56"/>
      <c r="CP1363" s="56"/>
      <c r="CQ1363" s="56"/>
      <c r="CR1363" s="56"/>
      <c r="CS1363" s="56"/>
      <c r="CT1363" s="56"/>
      <c r="CU1363" s="96"/>
      <c r="CV1363" s="53"/>
      <c r="CW1363" s="53"/>
      <c r="CX1363" s="53"/>
      <c r="CY1363" s="53"/>
      <c r="CZ1363" s="53"/>
      <c r="DA1363" s="53"/>
      <c r="DB1363" s="57"/>
      <c r="DC1363" s="56"/>
      <c r="DD1363" s="89"/>
      <c r="DE1363" s="170"/>
      <c r="DF1363" s="89"/>
      <c r="DG1363" s="364"/>
      <c r="DH1363" s="364"/>
      <c r="DI1363" s="364"/>
      <c r="DJ1363" s="56"/>
      <c r="DK1363" s="53"/>
      <c r="DL1363" s="56"/>
    </row>
    <row r="1364" spans="87:116" x14ac:dyDescent="0.4">
      <c r="CI1364" s="60"/>
      <c r="CJ1364" s="60"/>
      <c r="CK1364" s="77"/>
      <c r="CL1364" s="60"/>
      <c r="CM1364" s="78"/>
      <c r="CN1364" s="56"/>
      <c r="CO1364" s="56"/>
      <c r="CP1364" s="56"/>
      <c r="CQ1364" s="56"/>
      <c r="CR1364" s="56"/>
      <c r="CS1364" s="56"/>
      <c r="CT1364" s="56"/>
      <c r="CU1364" s="96"/>
      <c r="CV1364" s="53"/>
      <c r="CW1364" s="53"/>
      <c r="CX1364" s="53"/>
      <c r="CY1364" s="53"/>
      <c r="CZ1364" s="53"/>
      <c r="DA1364" s="53"/>
      <c r="DB1364" s="57"/>
      <c r="DC1364" s="56"/>
      <c r="DD1364" s="89"/>
      <c r="DE1364" s="170"/>
      <c r="DF1364" s="89"/>
      <c r="DG1364" s="364"/>
      <c r="DH1364" s="364"/>
      <c r="DI1364" s="364"/>
      <c r="DJ1364" s="56"/>
      <c r="DK1364" s="53"/>
      <c r="DL1364" s="56"/>
    </row>
    <row r="1365" spans="87:116" x14ac:dyDescent="0.4">
      <c r="CI1365" s="60"/>
      <c r="CJ1365" s="60"/>
      <c r="CK1365" s="77"/>
      <c r="CL1365" s="60"/>
      <c r="CM1365" s="78"/>
      <c r="CN1365" s="56"/>
      <c r="CO1365" s="56"/>
      <c r="CP1365" s="56"/>
      <c r="CQ1365" s="56"/>
      <c r="CR1365" s="56"/>
      <c r="CS1365" s="56"/>
      <c r="CT1365" s="56"/>
      <c r="CU1365" s="96"/>
      <c r="CV1365" s="53"/>
      <c r="CW1365" s="53"/>
      <c r="CX1365" s="53"/>
      <c r="CY1365" s="53"/>
      <c r="CZ1365" s="53"/>
      <c r="DA1365" s="53"/>
      <c r="DB1365" s="57"/>
      <c r="DC1365" s="56"/>
      <c r="DD1365" s="89"/>
      <c r="DE1365" s="170"/>
      <c r="DF1365" s="89"/>
      <c r="DG1365" s="364"/>
      <c r="DH1365" s="364"/>
      <c r="DI1365" s="364"/>
      <c r="DJ1365" s="56"/>
      <c r="DK1365" s="53"/>
      <c r="DL1365" s="56"/>
    </row>
    <row r="1366" spans="87:116" x14ac:dyDescent="0.4">
      <c r="CI1366" s="60"/>
      <c r="CJ1366" s="60"/>
      <c r="CK1366" s="77"/>
      <c r="CL1366" s="60"/>
      <c r="CM1366" s="78"/>
      <c r="CN1366" s="56"/>
      <c r="CO1366" s="56"/>
      <c r="CP1366" s="56"/>
      <c r="CQ1366" s="56"/>
      <c r="CR1366" s="56"/>
      <c r="CS1366" s="56"/>
      <c r="CT1366" s="56"/>
      <c r="CU1366" s="96"/>
      <c r="CV1366" s="53"/>
      <c r="CW1366" s="53"/>
      <c r="CX1366" s="53"/>
      <c r="CY1366" s="53"/>
      <c r="CZ1366" s="53"/>
      <c r="DA1366" s="53"/>
      <c r="DB1366" s="57"/>
      <c r="DC1366" s="56"/>
      <c r="DD1366" s="89"/>
      <c r="DE1366" s="170"/>
      <c r="DF1366" s="89"/>
      <c r="DG1366" s="364"/>
      <c r="DH1366" s="364"/>
      <c r="DI1366" s="364"/>
      <c r="DJ1366" s="56"/>
      <c r="DK1366" s="53"/>
      <c r="DL1366" s="56"/>
    </row>
    <row r="1367" spans="87:116" x14ac:dyDescent="0.4">
      <c r="CI1367" s="60"/>
      <c r="CJ1367" s="60"/>
      <c r="CK1367" s="77"/>
      <c r="CL1367" s="60"/>
      <c r="CM1367" s="78"/>
      <c r="CN1367" s="56"/>
      <c r="CO1367" s="56"/>
      <c r="CP1367" s="56"/>
      <c r="CQ1367" s="56"/>
      <c r="CR1367" s="56"/>
      <c r="CS1367" s="56"/>
      <c r="CT1367" s="56"/>
      <c r="CU1367" s="96"/>
      <c r="CV1367" s="53"/>
      <c r="CW1367" s="53"/>
      <c r="CX1367" s="53"/>
      <c r="CY1367" s="53"/>
      <c r="CZ1367" s="53"/>
      <c r="DA1367" s="53"/>
      <c r="DB1367" s="57"/>
      <c r="DC1367" s="56"/>
      <c r="DD1367" s="89"/>
      <c r="DE1367" s="170"/>
      <c r="DF1367" s="89"/>
      <c r="DG1367" s="364"/>
      <c r="DH1367" s="364"/>
      <c r="DI1367" s="364"/>
      <c r="DJ1367" s="56"/>
      <c r="DK1367" s="53"/>
      <c r="DL1367" s="56"/>
    </row>
    <row r="1368" spans="87:116" x14ac:dyDescent="0.4">
      <c r="CI1368" s="60"/>
      <c r="CJ1368" s="60"/>
      <c r="CK1368" s="77"/>
      <c r="CL1368" s="60"/>
      <c r="CM1368" s="78"/>
      <c r="CN1368" s="56"/>
      <c r="CO1368" s="56"/>
      <c r="CP1368" s="56"/>
      <c r="CQ1368" s="56"/>
      <c r="CR1368" s="56"/>
      <c r="CS1368" s="56"/>
      <c r="CT1368" s="56"/>
      <c r="CU1368" s="96"/>
      <c r="CV1368" s="53"/>
      <c r="CW1368" s="53"/>
      <c r="CX1368" s="53"/>
      <c r="CY1368" s="53"/>
      <c r="CZ1368" s="53"/>
      <c r="DA1368" s="53"/>
      <c r="DB1368" s="57"/>
      <c r="DC1368" s="56"/>
      <c r="DD1368" s="89"/>
      <c r="DE1368" s="170"/>
      <c r="DF1368" s="89"/>
      <c r="DG1368" s="364"/>
      <c r="DH1368" s="364"/>
      <c r="DI1368" s="364"/>
      <c r="DJ1368" s="56"/>
      <c r="DK1368" s="53"/>
      <c r="DL1368" s="56"/>
    </row>
    <row r="1369" spans="87:116" x14ac:dyDescent="0.4">
      <c r="CI1369" s="60"/>
      <c r="CJ1369" s="60"/>
      <c r="CK1369" s="77"/>
      <c r="CL1369" s="60"/>
      <c r="CM1369" s="78"/>
      <c r="CN1369" s="56"/>
      <c r="CO1369" s="56"/>
      <c r="CP1369" s="56"/>
      <c r="CQ1369" s="56"/>
      <c r="CR1369" s="56"/>
      <c r="CS1369" s="56"/>
      <c r="CT1369" s="56"/>
      <c r="CU1369" s="96"/>
      <c r="CV1369" s="53"/>
      <c r="CW1369" s="53"/>
      <c r="CX1369" s="53"/>
      <c r="CY1369" s="53"/>
      <c r="CZ1369" s="53"/>
      <c r="DA1369" s="53"/>
      <c r="DB1369" s="57"/>
      <c r="DC1369" s="56"/>
      <c r="DD1369" s="89"/>
      <c r="DE1369" s="170"/>
      <c r="DF1369" s="89"/>
      <c r="DG1369" s="364"/>
      <c r="DH1369" s="364"/>
      <c r="DI1369" s="364"/>
      <c r="DJ1369" s="56"/>
      <c r="DK1369" s="53"/>
      <c r="DL1369" s="56"/>
    </row>
    <row r="1370" spans="87:116" x14ac:dyDescent="0.4">
      <c r="CI1370" s="60"/>
      <c r="CJ1370" s="60"/>
      <c r="CK1370" s="77"/>
      <c r="CL1370" s="60"/>
      <c r="CM1370" s="78"/>
      <c r="CN1370" s="56"/>
      <c r="CO1370" s="56"/>
      <c r="CP1370" s="56"/>
      <c r="CQ1370" s="56"/>
      <c r="CR1370" s="56"/>
      <c r="CS1370" s="56"/>
      <c r="CT1370" s="56"/>
      <c r="CU1370" s="96"/>
      <c r="CV1370" s="53"/>
      <c r="CW1370" s="53"/>
      <c r="CX1370" s="53"/>
      <c r="CY1370" s="53"/>
      <c r="CZ1370" s="53"/>
      <c r="DA1370" s="53"/>
      <c r="DB1370" s="57"/>
      <c r="DC1370" s="56"/>
      <c r="DD1370" s="89"/>
      <c r="DE1370" s="170"/>
      <c r="DF1370" s="89"/>
      <c r="DG1370" s="364"/>
      <c r="DH1370" s="364"/>
      <c r="DI1370" s="364"/>
      <c r="DJ1370" s="56"/>
      <c r="DK1370" s="53"/>
      <c r="DL1370" s="56"/>
    </row>
    <row r="1371" spans="87:116" x14ac:dyDescent="0.4">
      <c r="CI1371" s="60"/>
      <c r="CJ1371" s="60"/>
      <c r="CK1371" s="77"/>
      <c r="CL1371" s="60"/>
      <c r="CM1371" s="78"/>
      <c r="CN1371" s="78"/>
      <c r="CO1371" s="78"/>
      <c r="CP1371" s="78"/>
      <c r="CQ1371" s="78"/>
      <c r="CR1371" s="78"/>
      <c r="CS1371" s="78"/>
      <c r="CT1371" s="78"/>
      <c r="CU1371" s="96"/>
      <c r="CV1371" s="53"/>
      <c r="CW1371" s="53"/>
      <c r="CX1371" s="53"/>
      <c r="CY1371" s="53"/>
      <c r="CZ1371" s="53"/>
      <c r="DA1371" s="53"/>
      <c r="DB1371" s="57"/>
      <c r="DC1371" s="56"/>
      <c r="DD1371" s="89"/>
      <c r="DE1371" s="170"/>
      <c r="DF1371" s="89"/>
      <c r="DG1371" s="364"/>
      <c r="DH1371" s="364"/>
      <c r="DI1371" s="364"/>
      <c r="DJ1371" s="56"/>
      <c r="DK1371" s="53"/>
      <c r="DL1371" s="56"/>
    </row>
    <row r="1372" spans="87:116" x14ac:dyDescent="0.4">
      <c r="CI1372" s="60"/>
      <c r="CJ1372" s="60"/>
      <c r="CK1372" s="77"/>
      <c r="CL1372" s="60"/>
      <c r="CM1372" s="78"/>
      <c r="CN1372" s="56"/>
      <c r="CO1372" s="56"/>
      <c r="CP1372" s="56"/>
      <c r="CQ1372" s="56"/>
      <c r="CR1372" s="56"/>
      <c r="CS1372" s="56"/>
      <c r="CT1372" s="56"/>
      <c r="CU1372" s="96"/>
      <c r="CV1372" s="53"/>
      <c r="CW1372" s="53"/>
      <c r="CX1372" s="53"/>
      <c r="CY1372" s="53"/>
      <c r="CZ1372" s="53"/>
      <c r="DA1372" s="53"/>
      <c r="DB1372" s="57"/>
      <c r="DC1372" s="56"/>
      <c r="DD1372" s="89"/>
      <c r="DE1372" s="170"/>
      <c r="DF1372" s="89"/>
      <c r="DG1372" s="364"/>
      <c r="DH1372" s="364"/>
      <c r="DI1372" s="364"/>
      <c r="DJ1372" s="56"/>
      <c r="DK1372" s="53"/>
      <c r="DL1372" s="56"/>
    </row>
    <row r="1373" spans="87:116" x14ac:dyDescent="0.4">
      <c r="CI1373" s="60"/>
      <c r="CJ1373" s="60"/>
      <c r="CK1373" s="77"/>
      <c r="CL1373" s="60"/>
      <c r="CM1373" s="78"/>
      <c r="CN1373" s="56"/>
      <c r="CO1373" s="56"/>
      <c r="CP1373" s="56"/>
      <c r="CQ1373" s="56"/>
      <c r="CR1373" s="56"/>
      <c r="CS1373" s="56"/>
      <c r="CT1373" s="56"/>
      <c r="CU1373" s="96"/>
      <c r="CV1373" s="53"/>
      <c r="CW1373" s="53"/>
      <c r="CX1373" s="53"/>
      <c r="CY1373" s="53"/>
      <c r="CZ1373" s="53"/>
      <c r="DA1373" s="53"/>
      <c r="DB1373" s="57"/>
      <c r="DC1373" s="56"/>
      <c r="DD1373" s="89"/>
      <c r="DE1373" s="170"/>
      <c r="DF1373" s="89"/>
      <c r="DG1373" s="364"/>
      <c r="DH1373" s="364"/>
      <c r="DI1373" s="364"/>
      <c r="DJ1373" s="56"/>
      <c r="DK1373" s="53"/>
      <c r="DL1373" s="56"/>
    </row>
    <row r="1374" spans="87:116" x14ac:dyDescent="0.4">
      <c r="CI1374" s="60"/>
      <c r="CJ1374" s="60"/>
      <c r="CK1374" s="77"/>
      <c r="CL1374" s="60"/>
      <c r="CM1374" s="78"/>
      <c r="CN1374" s="56"/>
      <c r="CO1374" s="56"/>
      <c r="CP1374" s="56"/>
      <c r="CQ1374" s="56"/>
      <c r="CR1374" s="56"/>
      <c r="CS1374" s="56"/>
      <c r="CT1374" s="56"/>
      <c r="CU1374" s="96"/>
      <c r="CV1374" s="53"/>
      <c r="CW1374" s="53"/>
      <c r="CX1374" s="53"/>
      <c r="CY1374" s="53"/>
      <c r="CZ1374" s="53"/>
      <c r="DA1374" s="53"/>
      <c r="DB1374" s="57"/>
      <c r="DC1374" s="56"/>
      <c r="DD1374" s="89"/>
      <c r="DE1374" s="170"/>
      <c r="DF1374" s="89"/>
      <c r="DG1374" s="364"/>
      <c r="DH1374" s="364"/>
      <c r="DI1374" s="364"/>
      <c r="DJ1374" s="56"/>
      <c r="DK1374" s="53"/>
      <c r="DL1374" s="56"/>
    </row>
    <row r="1375" spans="87:116" x14ac:dyDescent="0.4">
      <c r="CI1375" s="60"/>
      <c r="CJ1375" s="60"/>
      <c r="CK1375" s="77"/>
      <c r="CL1375" s="60"/>
      <c r="CM1375" s="78"/>
      <c r="CN1375" s="56"/>
      <c r="CO1375" s="56"/>
      <c r="CP1375" s="56"/>
      <c r="CQ1375" s="56"/>
      <c r="CR1375" s="56"/>
      <c r="CS1375" s="56"/>
      <c r="CT1375" s="56"/>
      <c r="CU1375" s="96"/>
      <c r="CV1375" s="53"/>
      <c r="CW1375" s="53"/>
      <c r="CX1375" s="53"/>
      <c r="CY1375" s="53"/>
      <c r="CZ1375" s="53"/>
      <c r="DA1375" s="53"/>
      <c r="DB1375" s="57"/>
      <c r="DC1375" s="56"/>
      <c r="DD1375" s="89"/>
      <c r="DE1375" s="170"/>
      <c r="DF1375" s="89"/>
      <c r="DG1375" s="364"/>
      <c r="DH1375" s="364"/>
      <c r="DI1375" s="364"/>
      <c r="DJ1375" s="56"/>
      <c r="DK1375" s="53"/>
      <c r="DL1375" s="56"/>
    </row>
    <row r="1376" spans="87:116" x14ac:dyDescent="0.4">
      <c r="CI1376" s="81"/>
      <c r="CJ1376" s="81"/>
      <c r="CK1376" s="82"/>
      <c r="CL1376" s="81"/>
      <c r="CM1376" s="83"/>
      <c r="CN1376" s="27"/>
      <c r="CO1376" s="27"/>
      <c r="CP1376" s="27"/>
      <c r="CQ1376" s="27"/>
      <c r="CR1376" s="27"/>
      <c r="CS1376" s="27"/>
      <c r="CT1376" s="27"/>
      <c r="DB1376" s="141"/>
      <c r="DC1376" s="135"/>
      <c r="DD1376" s="140"/>
      <c r="DE1376" s="142"/>
      <c r="DF1376" s="140"/>
      <c r="DG1376" s="366"/>
      <c r="DH1376" s="366"/>
      <c r="DI1376" s="366"/>
      <c r="DJ1376" s="135"/>
      <c r="DK1376" s="137"/>
      <c r="DL1376" s="135"/>
    </row>
    <row r="1377" spans="87:116" x14ac:dyDescent="0.4">
      <c r="CI1377" s="81"/>
      <c r="CJ1377" s="81"/>
      <c r="CK1377" s="82"/>
      <c r="CL1377" s="81"/>
      <c r="CM1377" s="83"/>
      <c r="CN1377" s="27"/>
      <c r="CO1377" s="27"/>
      <c r="CP1377" s="27"/>
      <c r="CQ1377" s="27"/>
      <c r="CR1377" s="27"/>
      <c r="CS1377" s="27"/>
      <c r="CT1377" s="27"/>
      <c r="DB1377" s="141"/>
      <c r="DC1377" s="135"/>
      <c r="DD1377" s="140"/>
      <c r="DE1377" s="142"/>
      <c r="DF1377" s="140"/>
      <c r="DG1377" s="366"/>
      <c r="DH1377" s="366"/>
      <c r="DI1377" s="366"/>
      <c r="DJ1377" s="135"/>
      <c r="DK1377" s="137"/>
      <c r="DL1377" s="135"/>
    </row>
    <row r="1378" spans="87:116" x14ac:dyDescent="0.4">
      <c r="CI1378" s="81"/>
      <c r="CJ1378" s="81"/>
      <c r="CK1378" s="82"/>
      <c r="CL1378" s="81"/>
      <c r="CM1378" s="83"/>
      <c r="CN1378" s="27"/>
      <c r="CO1378" s="27"/>
      <c r="CP1378" s="27"/>
      <c r="CQ1378" s="27"/>
      <c r="CR1378" s="27"/>
      <c r="CS1378" s="27"/>
      <c r="CT1378" s="27"/>
      <c r="DF1378" s="90"/>
    </row>
    <row r="1379" spans="87:116" x14ac:dyDescent="0.4">
      <c r="CI1379" s="81"/>
      <c r="CJ1379" s="81"/>
      <c r="CK1379" s="82"/>
      <c r="CL1379" s="81"/>
      <c r="CM1379" s="83"/>
      <c r="CN1379" s="27"/>
      <c r="CO1379" s="27"/>
      <c r="CP1379" s="27"/>
      <c r="CQ1379" s="27"/>
      <c r="CR1379" s="27"/>
      <c r="CS1379" s="27"/>
      <c r="CT1379" s="27"/>
      <c r="DF1379" s="90"/>
    </row>
    <row r="1380" spans="87:116" x14ac:dyDescent="0.4">
      <c r="CK1380" s="31"/>
      <c r="CL1380" s="26"/>
      <c r="CM1380" s="32"/>
      <c r="CN1380" s="27"/>
      <c r="CO1380" s="27"/>
      <c r="CP1380" s="27"/>
      <c r="CQ1380" s="27"/>
      <c r="CR1380" s="27"/>
      <c r="CS1380" s="27"/>
      <c r="CT1380" s="27"/>
    </row>
    <row r="1381" spans="87:116" x14ac:dyDescent="0.4">
      <c r="CK1381" s="31"/>
      <c r="CL1381" s="26"/>
      <c r="CM1381" s="32"/>
      <c r="CN1381" s="27"/>
      <c r="CO1381" s="27"/>
      <c r="CP1381" s="27"/>
      <c r="CQ1381" s="27"/>
      <c r="CR1381" s="27"/>
      <c r="CS1381" s="27"/>
      <c r="CT1381" s="27"/>
    </row>
    <row r="1382" spans="87:116" x14ac:dyDescent="0.4">
      <c r="CK1382" s="31"/>
      <c r="CL1382" s="26"/>
      <c r="CM1382" s="32"/>
      <c r="CN1382" s="27"/>
      <c r="CO1382" s="27"/>
      <c r="CP1382" s="27"/>
      <c r="CQ1382" s="27"/>
      <c r="CR1382" s="27"/>
      <c r="CS1382" s="27"/>
      <c r="CT1382" s="27"/>
    </row>
    <row r="1383" spans="87:116" x14ac:dyDescent="0.4">
      <c r="CK1383" s="31"/>
      <c r="CL1383" s="26"/>
      <c r="CM1383" s="32"/>
      <c r="CN1383" s="27"/>
      <c r="CO1383" s="27"/>
      <c r="CP1383" s="27"/>
      <c r="CQ1383" s="27"/>
      <c r="CR1383" s="27"/>
      <c r="CS1383" s="27"/>
      <c r="CT1383" s="27"/>
    </row>
    <row r="1384" spans="87:116" x14ac:dyDescent="0.4">
      <c r="CK1384" s="31"/>
      <c r="CL1384" s="26"/>
      <c r="CM1384" s="32"/>
      <c r="CN1384" s="27"/>
      <c r="CO1384" s="27"/>
      <c r="CP1384" s="27"/>
      <c r="CQ1384" s="27"/>
      <c r="CR1384" s="27"/>
      <c r="CS1384" s="27"/>
      <c r="CT1384" s="27"/>
    </row>
    <row r="1385" spans="87:116" x14ac:dyDescent="0.4">
      <c r="CK1385" s="31"/>
      <c r="CL1385" s="26"/>
      <c r="CM1385" s="32"/>
      <c r="CN1385" s="27"/>
      <c r="CO1385" s="27"/>
      <c r="CP1385" s="27"/>
      <c r="CQ1385" s="27"/>
      <c r="CR1385" s="27"/>
      <c r="CS1385" s="27"/>
      <c r="CT1385" s="27"/>
    </row>
    <row r="1386" spans="87:116" x14ac:dyDescent="0.4">
      <c r="CK1386" s="31"/>
      <c r="CL1386" s="26"/>
      <c r="CM1386" s="32"/>
      <c r="CN1386" s="27"/>
      <c r="CO1386" s="27"/>
      <c r="CP1386" s="27"/>
      <c r="CQ1386" s="27"/>
      <c r="CR1386" s="27"/>
      <c r="CS1386" s="27"/>
      <c r="CT1386" s="27"/>
    </row>
    <row r="1387" spans="87:116" x14ac:dyDescent="0.4">
      <c r="CK1387" s="31"/>
      <c r="CL1387" s="26"/>
      <c r="CM1387" s="32"/>
      <c r="CN1387" s="27"/>
      <c r="CO1387" s="27"/>
      <c r="CP1387" s="27"/>
      <c r="CQ1387" s="27"/>
      <c r="CR1387" s="27"/>
      <c r="CS1387" s="27"/>
      <c r="CT1387" s="27"/>
    </row>
    <row r="1388" spans="87:116" x14ac:dyDescent="0.4">
      <c r="CK1388" s="31"/>
      <c r="CL1388" s="26"/>
      <c r="CM1388" s="32"/>
      <c r="CN1388" s="27"/>
      <c r="CO1388" s="27"/>
      <c r="CP1388" s="27"/>
      <c r="CQ1388" s="27"/>
      <c r="CR1388" s="27"/>
      <c r="CS1388" s="27"/>
      <c r="CT1388" s="27"/>
    </row>
    <row r="1389" spans="87:116" x14ac:dyDescent="0.4">
      <c r="CK1389" s="31"/>
      <c r="CL1389" s="26"/>
      <c r="CM1389" s="32"/>
      <c r="CN1389" s="27"/>
      <c r="CO1389" s="27"/>
      <c r="CP1389" s="27"/>
      <c r="CQ1389" s="27"/>
      <c r="CR1389" s="27"/>
      <c r="CS1389" s="27"/>
      <c r="CT1389" s="27"/>
    </row>
    <row r="1390" spans="87:116" x14ac:dyDescent="0.4">
      <c r="CK1390" s="31"/>
      <c r="CL1390" s="26"/>
      <c r="CM1390" s="32"/>
      <c r="CN1390" s="27"/>
      <c r="CO1390" s="27"/>
      <c r="CP1390" s="27"/>
      <c r="CQ1390" s="27"/>
      <c r="CR1390" s="27"/>
      <c r="CS1390" s="27"/>
      <c r="CT1390" s="27"/>
    </row>
    <row r="1391" spans="87:116" x14ac:dyDescent="0.4">
      <c r="CK1391" s="31"/>
      <c r="CL1391" s="26"/>
      <c r="CM1391" s="32"/>
      <c r="CN1391" s="27"/>
      <c r="CO1391" s="27"/>
      <c r="CP1391" s="27"/>
      <c r="CQ1391" s="27"/>
      <c r="CR1391" s="27"/>
      <c r="CS1391" s="27"/>
      <c r="CT1391" s="27"/>
    </row>
    <row r="1392" spans="87:116" x14ac:dyDescent="0.4">
      <c r="CK1392" s="31"/>
      <c r="CL1392" s="26"/>
      <c r="CM1392" s="32"/>
      <c r="CN1392" s="27"/>
      <c r="CO1392" s="27"/>
      <c r="CP1392" s="27"/>
      <c r="CQ1392" s="27"/>
      <c r="CR1392" s="27"/>
      <c r="CS1392" s="27"/>
      <c r="CT1392" s="27"/>
    </row>
    <row r="1393" spans="89:98" x14ac:dyDescent="0.4">
      <c r="CK1393" s="31"/>
      <c r="CL1393" s="26"/>
      <c r="CM1393" s="32"/>
      <c r="CN1393" s="27"/>
      <c r="CO1393" s="27"/>
      <c r="CP1393" s="27"/>
      <c r="CQ1393" s="27"/>
      <c r="CR1393" s="27"/>
      <c r="CS1393" s="27"/>
      <c r="CT1393" s="27"/>
    </row>
    <row r="1394" spans="89:98" x14ac:dyDescent="0.4">
      <c r="CK1394" s="31"/>
      <c r="CL1394" s="26"/>
      <c r="CM1394" s="32"/>
      <c r="CN1394" s="27"/>
      <c r="CO1394" s="27"/>
      <c r="CP1394" s="27"/>
      <c r="CQ1394" s="27"/>
      <c r="CR1394" s="27"/>
      <c r="CS1394" s="27"/>
      <c r="CT1394" s="27"/>
    </row>
    <row r="1395" spans="89:98" x14ac:dyDescent="0.4">
      <c r="CK1395" s="31"/>
      <c r="CL1395" s="26"/>
      <c r="CM1395" s="32"/>
      <c r="CN1395" s="27"/>
      <c r="CO1395" s="27"/>
      <c r="CP1395" s="27"/>
      <c r="CQ1395" s="27"/>
      <c r="CR1395" s="27"/>
      <c r="CS1395" s="27"/>
      <c r="CT1395" s="27"/>
    </row>
    <row r="1396" spans="89:98" x14ac:dyDescent="0.4">
      <c r="CK1396" s="31"/>
      <c r="CL1396" s="26"/>
      <c r="CM1396" s="32"/>
      <c r="CN1396" s="27"/>
      <c r="CO1396" s="27"/>
      <c r="CP1396" s="27"/>
      <c r="CQ1396" s="27"/>
      <c r="CR1396" s="27"/>
      <c r="CS1396" s="27"/>
      <c r="CT1396" s="27"/>
    </row>
    <row r="1397" spans="89:98" x14ac:dyDescent="0.4">
      <c r="CK1397" s="31"/>
      <c r="CL1397" s="26"/>
      <c r="CM1397" s="32"/>
      <c r="CN1397" s="27"/>
      <c r="CO1397" s="27"/>
      <c r="CP1397" s="27"/>
      <c r="CQ1397" s="27"/>
      <c r="CR1397" s="27"/>
      <c r="CS1397" s="27"/>
      <c r="CT1397" s="27"/>
    </row>
    <row r="1398" spans="89:98" x14ac:dyDescent="0.4">
      <c r="CK1398" s="31"/>
      <c r="CL1398" s="26"/>
      <c r="CM1398" s="32"/>
      <c r="CN1398" s="27"/>
      <c r="CO1398" s="27"/>
      <c r="CP1398" s="27"/>
      <c r="CQ1398" s="27"/>
      <c r="CR1398" s="27"/>
      <c r="CS1398" s="27"/>
      <c r="CT1398" s="27"/>
    </row>
    <row r="1399" spans="89:98" x14ac:dyDescent="0.4">
      <c r="CK1399" s="31"/>
      <c r="CL1399" s="26"/>
      <c r="CM1399" s="32"/>
      <c r="CN1399" s="27"/>
      <c r="CO1399" s="27"/>
      <c r="CP1399" s="27"/>
      <c r="CQ1399" s="27"/>
      <c r="CR1399" s="27"/>
      <c r="CS1399" s="27"/>
      <c r="CT1399" s="27"/>
    </row>
    <row r="1400" spans="89:98" x14ac:dyDescent="0.4">
      <c r="CK1400" s="31"/>
      <c r="CL1400" s="26"/>
      <c r="CM1400" s="32"/>
      <c r="CN1400" s="27"/>
      <c r="CO1400" s="27"/>
      <c r="CP1400" s="27"/>
      <c r="CQ1400" s="27"/>
      <c r="CR1400" s="27"/>
      <c r="CS1400" s="27"/>
      <c r="CT1400" s="27"/>
    </row>
    <row r="1401" spans="89:98" x14ac:dyDescent="0.4">
      <c r="CK1401" s="31"/>
      <c r="CL1401" s="26"/>
      <c r="CM1401" s="32"/>
      <c r="CN1401" s="27"/>
      <c r="CO1401" s="27"/>
      <c r="CP1401" s="27"/>
      <c r="CQ1401" s="27"/>
      <c r="CR1401" s="27"/>
      <c r="CS1401" s="27"/>
      <c r="CT1401" s="27"/>
    </row>
    <row r="1402" spans="89:98" x14ac:dyDescent="0.4">
      <c r="CK1402" s="31"/>
      <c r="CL1402" s="26"/>
      <c r="CM1402" s="32"/>
      <c r="CN1402" s="27"/>
      <c r="CO1402" s="27"/>
      <c r="CP1402" s="27"/>
      <c r="CQ1402" s="27"/>
      <c r="CR1402" s="27"/>
      <c r="CS1402" s="27"/>
      <c r="CT1402" s="27"/>
    </row>
    <row r="1403" spans="89:98" x14ac:dyDescent="0.4">
      <c r="CK1403" s="31"/>
      <c r="CL1403" s="26"/>
      <c r="CM1403" s="32"/>
      <c r="CN1403" s="27"/>
      <c r="CO1403" s="27"/>
      <c r="CP1403" s="27"/>
      <c r="CQ1403" s="27"/>
      <c r="CR1403" s="27"/>
      <c r="CS1403" s="27"/>
      <c r="CT1403" s="27"/>
    </row>
    <row r="1404" spans="89:98" x14ac:dyDescent="0.4">
      <c r="CK1404" s="31"/>
      <c r="CL1404" s="26"/>
      <c r="CM1404" s="32"/>
      <c r="CN1404" s="27"/>
      <c r="CO1404" s="27"/>
      <c r="CP1404" s="27"/>
      <c r="CQ1404" s="27"/>
      <c r="CR1404" s="27"/>
      <c r="CS1404" s="27"/>
      <c r="CT1404" s="27"/>
    </row>
    <row r="1405" spans="89:98" x14ac:dyDescent="0.4">
      <c r="CK1405" s="31"/>
      <c r="CL1405" s="26"/>
      <c r="CM1405" s="32"/>
      <c r="CN1405" s="27"/>
      <c r="CO1405" s="27"/>
      <c r="CP1405" s="27"/>
      <c r="CQ1405" s="27"/>
      <c r="CR1405" s="27"/>
      <c r="CS1405" s="27"/>
      <c r="CT1405" s="27"/>
    </row>
    <row r="1406" spans="89:98" x14ac:dyDescent="0.4">
      <c r="CK1406" s="31"/>
      <c r="CL1406" s="26"/>
      <c r="CM1406" s="32"/>
      <c r="CN1406" s="27"/>
      <c r="CO1406" s="27"/>
      <c r="CP1406" s="27"/>
      <c r="CQ1406" s="27"/>
      <c r="CR1406" s="27"/>
      <c r="CS1406" s="27"/>
      <c r="CT1406" s="27"/>
    </row>
    <row r="1407" spans="89:98" x14ac:dyDescent="0.4">
      <c r="CK1407" s="31"/>
      <c r="CL1407" s="26"/>
      <c r="CM1407" s="32"/>
      <c r="CN1407" s="27"/>
      <c r="CO1407" s="27"/>
      <c r="CP1407" s="27"/>
      <c r="CQ1407" s="27"/>
      <c r="CR1407" s="27"/>
      <c r="CS1407" s="27"/>
      <c r="CT1407" s="27"/>
    </row>
    <row r="1408" spans="89:98" x14ac:dyDescent="0.4">
      <c r="CK1408" s="31"/>
      <c r="CL1408" s="26"/>
      <c r="CM1408" s="32"/>
      <c r="CN1408" s="27"/>
      <c r="CO1408" s="27"/>
      <c r="CP1408" s="27"/>
      <c r="CQ1408" s="27"/>
      <c r="CR1408" s="27"/>
      <c r="CS1408" s="27"/>
      <c r="CT1408" s="27"/>
    </row>
    <row r="1409" spans="89:98" x14ac:dyDescent="0.4">
      <c r="CK1409" s="31"/>
      <c r="CL1409" s="26"/>
      <c r="CM1409" s="32"/>
      <c r="CN1409" s="27"/>
      <c r="CO1409" s="27"/>
      <c r="CP1409" s="27"/>
      <c r="CQ1409" s="27"/>
      <c r="CR1409" s="27"/>
      <c r="CS1409" s="27"/>
      <c r="CT1409" s="27"/>
    </row>
    <row r="1410" spans="89:98" x14ac:dyDescent="0.4">
      <c r="CK1410" s="31"/>
      <c r="CL1410" s="26"/>
      <c r="CM1410" s="32"/>
      <c r="CN1410" s="27"/>
      <c r="CO1410" s="27"/>
      <c r="CP1410" s="27"/>
      <c r="CQ1410" s="27"/>
      <c r="CR1410" s="27"/>
      <c r="CS1410" s="27"/>
      <c r="CT1410" s="27"/>
    </row>
    <row r="1411" spans="89:98" x14ac:dyDescent="0.4">
      <c r="CK1411" s="31"/>
      <c r="CL1411" s="26"/>
      <c r="CM1411" s="32"/>
      <c r="CN1411" s="27"/>
      <c r="CO1411" s="27"/>
      <c r="CP1411" s="27"/>
      <c r="CQ1411" s="27"/>
      <c r="CR1411" s="27"/>
      <c r="CS1411" s="27"/>
      <c r="CT1411" s="27"/>
    </row>
    <row r="1412" spans="89:98" x14ac:dyDescent="0.4">
      <c r="CK1412" s="31"/>
      <c r="CL1412" s="26"/>
      <c r="CM1412" s="32"/>
      <c r="CN1412" s="27"/>
      <c r="CO1412" s="27"/>
      <c r="CP1412" s="27"/>
      <c r="CQ1412" s="27"/>
      <c r="CR1412" s="27"/>
      <c r="CS1412" s="27"/>
      <c r="CT1412" s="27"/>
    </row>
    <row r="1413" spans="89:98" x14ac:dyDescent="0.4">
      <c r="CK1413" s="31"/>
      <c r="CL1413" s="26"/>
      <c r="CM1413" s="32"/>
      <c r="CN1413" s="27"/>
      <c r="CO1413" s="27"/>
      <c r="CP1413" s="27"/>
      <c r="CQ1413" s="27"/>
      <c r="CR1413" s="27"/>
      <c r="CS1413" s="27"/>
      <c r="CT1413" s="27"/>
    </row>
    <row r="1414" spans="89:98" x14ac:dyDescent="0.4">
      <c r="CK1414" s="31"/>
      <c r="CL1414" s="26"/>
      <c r="CM1414" s="32"/>
      <c r="CN1414" s="27"/>
      <c r="CO1414" s="27"/>
      <c r="CP1414" s="27"/>
      <c r="CQ1414" s="27"/>
      <c r="CR1414" s="27"/>
      <c r="CS1414" s="27"/>
      <c r="CT1414" s="27"/>
    </row>
    <row r="1415" spans="89:98" x14ac:dyDescent="0.4">
      <c r="CK1415" s="31"/>
      <c r="CL1415" s="26"/>
      <c r="CM1415" s="32"/>
      <c r="CN1415" s="27"/>
      <c r="CO1415" s="27"/>
      <c r="CP1415" s="27"/>
      <c r="CQ1415" s="27"/>
      <c r="CR1415" s="27"/>
      <c r="CS1415" s="27"/>
      <c r="CT1415" s="27"/>
    </row>
    <row r="1416" spans="89:98" x14ac:dyDescent="0.4">
      <c r="CK1416" s="31"/>
      <c r="CL1416" s="26"/>
      <c r="CM1416" s="32"/>
      <c r="CN1416" s="27"/>
      <c r="CO1416" s="27"/>
      <c r="CP1416" s="27"/>
      <c r="CQ1416" s="27"/>
      <c r="CR1416" s="27"/>
      <c r="CS1416" s="27"/>
      <c r="CT1416" s="27"/>
    </row>
    <row r="1417" spans="89:98" x14ac:dyDescent="0.4">
      <c r="CK1417" s="31"/>
      <c r="CL1417" s="26"/>
      <c r="CM1417" s="32"/>
      <c r="CN1417" s="27"/>
      <c r="CO1417" s="27"/>
      <c r="CP1417" s="27"/>
      <c r="CQ1417" s="27"/>
      <c r="CR1417" s="27"/>
      <c r="CS1417" s="27"/>
      <c r="CT1417" s="27"/>
    </row>
    <row r="1418" spans="89:98" x14ac:dyDescent="0.4">
      <c r="CK1418" s="31"/>
      <c r="CL1418" s="26"/>
      <c r="CM1418" s="32"/>
      <c r="CN1418" s="27"/>
      <c r="CO1418" s="27"/>
      <c r="CP1418" s="27"/>
      <c r="CQ1418" s="27"/>
      <c r="CR1418" s="27"/>
      <c r="CS1418" s="27"/>
      <c r="CT1418" s="27"/>
    </row>
    <row r="1419" spans="89:98" x14ac:dyDescent="0.4">
      <c r="CK1419" s="31"/>
      <c r="CL1419" s="26"/>
      <c r="CM1419" s="32"/>
      <c r="CN1419" s="32"/>
      <c r="CO1419" s="32"/>
      <c r="CP1419" s="32"/>
      <c r="CQ1419" s="32"/>
      <c r="CR1419" s="32"/>
      <c r="CS1419" s="32"/>
      <c r="CT1419" s="32"/>
    </row>
    <row r="1420" spans="89:98" x14ac:dyDescent="0.4">
      <c r="CK1420" s="31"/>
      <c r="CL1420" s="26"/>
      <c r="CM1420" s="32"/>
      <c r="CN1420" s="27"/>
      <c r="CO1420" s="27"/>
      <c r="CP1420" s="27"/>
      <c r="CQ1420" s="27"/>
      <c r="CR1420" s="27"/>
      <c r="CS1420" s="27"/>
      <c r="CT1420" s="27"/>
    </row>
    <row r="1421" spans="89:98" x14ac:dyDescent="0.4">
      <c r="CK1421" s="31"/>
      <c r="CL1421" s="26"/>
      <c r="CM1421" s="32"/>
      <c r="CN1421" s="27"/>
      <c r="CO1421" s="27"/>
      <c r="CP1421" s="27"/>
      <c r="CQ1421" s="27"/>
      <c r="CR1421" s="27"/>
      <c r="CS1421" s="27"/>
      <c r="CT1421" s="27"/>
    </row>
    <row r="1422" spans="89:98" x14ac:dyDescent="0.4">
      <c r="CK1422" s="31"/>
      <c r="CL1422" s="26"/>
      <c r="CM1422" s="32"/>
      <c r="CN1422" s="27"/>
      <c r="CO1422" s="27"/>
      <c r="CP1422" s="27"/>
      <c r="CQ1422" s="27"/>
      <c r="CR1422" s="27"/>
      <c r="CS1422" s="27"/>
      <c r="CT1422" s="27"/>
    </row>
    <row r="1423" spans="89:98" x14ac:dyDescent="0.4">
      <c r="CK1423" s="31"/>
      <c r="CL1423" s="26"/>
      <c r="CM1423" s="32"/>
      <c r="CN1423" s="27"/>
      <c r="CO1423" s="27"/>
      <c r="CP1423" s="27"/>
      <c r="CQ1423" s="27"/>
      <c r="CR1423" s="27"/>
      <c r="CS1423" s="27"/>
      <c r="CT1423" s="27"/>
    </row>
    <row r="1424" spans="89:98" x14ac:dyDescent="0.4">
      <c r="CK1424" s="31"/>
      <c r="CL1424" s="26"/>
      <c r="CM1424" s="32"/>
      <c r="CN1424" s="27"/>
      <c r="CO1424" s="27"/>
      <c r="CP1424" s="27"/>
      <c r="CQ1424" s="27"/>
      <c r="CR1424" s="27"/>
      <c r="CS1424" s="27"/>
      <c r="CT1424" s="27"/>
    </row>
    <row r="1425" spans="89:98" x14ac:dyDescent="0.4">
      <c r="CK1425" s="31"/>
      <c r="CL1425" s="26"/>
      <c r="CM1425" s="32"/>
      <c r="CN1425" s="27"/>
      <c r="CO1425" s="27"/>
      <c r="CP1425" s="27"/>
      <c r="CQ1425" s="27"/>
      <c r="CR1425" s="27"/>
      <c r="CS1425" s="27"/>
      <c r="CT1425" s="27"/>
    </row>
    <row r="1426" spans="89:98" x14ac:dyDescent="0.4">
      <c r="CK1426" s="31"/>
      <c r="CL1426" s="26"/>
      <c r="CM1426" s="32"/>
      <c r="CN1426" s="27"/>
      <c r="CO1426" s="27"/>
      <c r="CP1426" s="27"/>
      <c r="CQ1426" s="27"/>
      <c r="CR1426" s="27"/>
      <c r="CS1426" s="27"/>
      <c r="CT1426" s="27"/>
    </row>
    <row r="1427" spans="89:98" x14ac:dyDescent="0.4">
      <c r="CK1427" s="31"/>
      <c r="CL1427" s="26"/>
      <c r="CM1427" s="32"/>
      <c r="CN1427" s="27"/>
      <c r="CO1427" s="27"/>
      <c r="CP1427" s="27"/>
      <c r="CQ1427" s="27"/>
      <c r="CR1427" s="27"/>
      <c r="CS1427" s="27"/>
      <c r="CT1427" s="27"/>
    </row>
    <row r="1428" spans="89:98" x14ac:dyDescent="0.4">
      <c r="CK1428" s="31"/>
      <c r="CL1428" s="26"/>
      <c r="CM1428" s="32"/>
      <c r="CN1428" s="27"/>
      <c r="CO1428" s="27"/>
      <c r="CP1428" s="27"/>
      <c r="CQ1428" s="27"/>
      <c r="CR1428" s="27"/>
      <c r="CS1428" s="27"/>
      <c r="CT1428" s="27"/>
    </row>
    <row r="1429" spans="89:98" x14ac:dyDescent="0.4">
      <c r="CK1429" s="31"/>
      <c r="CL1429" s="26"/>
      <c r="CM1429" s="32"/>
      <c r="CN1429" s="27"/>
      <c r="CO1429" s="27"/>
      <c r="CP1429" s="27"/>
      <c r="CQ1429" s="27"/>
      <c r="CR1429" s="27"/>
      <c r="CS1429" s="27"/>
      <c r="CT1429" s="27"/>
    </row>
    <row r="1430" spans="89:98" x14ac:dyDescent="0.4">
      <c r="CK1430" s="31"/>
      <c r="CL1430" s="26"/>
      <c r="CM1430" s="32"/>
      <c r="CN1430" s="27"/>
      <c r="CO1430" s="27"/>
      <c r="CP1430" s="27"/>
      <c r="CQ1430" s="27"/>
      <c r="CR1430" s="27"/>
      <c r="CS1430" s="27"/>
      <c r="CT1430" s="27"/>
    </row>
    <row r="1431" spans="89:98" x14ac:dyDescent="0.4">
      <c r="CK1431" s="31"/>
      <c r="CL1431" s="26"/>
      <c r="CM1431" s="32"/>
      <c r="CN1431" s="27"/>
      <c r="CO1431" s="27"/>
      <c r="CP1431" s="27"/>
      <c r="CQ1431" s="27"/>
      <c r="CR1431" s="27"/>
      <c r="CS1431" s="27"/>
      <c r="CT1431" s="27"/>
    </row>
    <row r="1432" spans="89:98" x14ac:dyDescent="0.4">
      <c r="CK1432" s="31"/>
      <c r="CL1432" s="26"/>
      <c r="CM1432" s="32"/>
      <c r="CN1432" s="27"/>
      <c r="CO1432" s="27"/>
      <c r="CP1432" s="27"/>
      <c r="CQ1432" s="27"/>
      <c r="CR1432" s="27"/>
      <c r="CS1432" s="27"/>
      <c r="CT1432" s="27"/>
    </row>
    <row r="1433" spans="89:98" x14ac:dyDescent="0.4">
      <c r="CK1433" s="31"/>
      <c r="CL1433" s="26"/>
      <c r="CM1433" s="32"/>
      <c r="CN1433" s="27"/>
      <c r="CO1433" s="27"/>
      <c r="CP1433" s="27"/>
      <c r="CQ1433" s="27"/>
      <c r="CR1433" s="27"/>
      <c r="CS1433" s="27"/>
      <c r="CT1433" s="27"/>
    </row>
    <row r="1434" spans="89:98" x14ac:dyDescent="0.4">
      <c r="CK1434" s="31"/>
      <c r="CL1434" s="26"/>
      <c r="CM1434" s="32"/>
      <c r="CN1434" s="27"/>
      <c r="CO1434" s="27"/>
      <c r="CP1434" s="27"/>
      <c r="CQ1434" s="27"/>
      <c r="CR1434" s="27"/>
      <c r="CS1434" s="27"/>
      <c r="CT1434" s="27"/>
    </row>
    <row r="1435" spans="89:98" x14ac:dyDescent="0.4">
      <c r="CK1435" s="31"/>
      <c r="CL1435" s="26"/>
      <c r="CM1435" s="32"/>
      <c r="CN1435" s="27"/>
      <c r="CO1435" s="27"/>
      <c r="CP1435" s="27"/>
      <c r="CQ1435" s="27"/>
      <c r="CR1435" s="27"/>
      <c r="CS1435" s="27"/>
      <c r="CT1435" s="27"/>
    </row>
    <row r="1436" spans="89:98" x14ac:dyDescent="0.4">
      <c r="CK1436" s="31"/>
      <c r="CL1436" s="26"/>
      <c r="CM1436" s="32"/>
      <c r="CN1436" s="27"/>
      <c r="CO1436" s="27"/>
      <c r="CP1436" s="27"/>
      <c r="CQ1436" s="27"/>
      <c r="CR1436" s="27"/>
      <c r="CS1436" s="27"/>
      <c r="CT1436" s="27"/>
    </row>
    <row r="1437" spans="89:98" x14ac:dyDescent="0.4">
      <c r="CK1437" s="31"/>
      <c r="CL1437" s="26"/>
      <c r="CM1437" s="32"/>
      <c r="CN1437" s="27"/>
      <c r="CO1437" s="27"/>
      <c r="CP1437" s="27"/>
      <c r="CQ1437" s="27"/>
      <c r="CR1437" s="27"/>
      <c r="CS1437" s="27"/>
      <c r="CT1437" s="27"/>
    </row>
    <row r="1438" spans="89:98" x14ac:dyDescent="0.4">
      <c r="CK1438" s="31"/>
      <c r="CL1438" s="26"/>
      <c r="CM1438" s="32"/>
      <c r="CN1438" s="27"/>
      <c r="CO1438" s="27"/>
      <c r="CP1438" s="27"/>
      <c r="CQ1438" s="27"/>
      <c r="CR1438" s="27"/>
      <c r="CS1438" s="27"/>
      <c r="CT1438" s="27"/>
    </row>
    <row r="1439" spans="89:98" x14ac:dyDescent="0.4">
      <c r="CK1439" s="31"/>
      <c r="CL1439" s="26"/>
      <c r="CM1439" s="32"/>
      <c r="CN1439" s="27"/>
      <c r="CO1439" s="27"/>
      <c r="CP1439" s="27"/>
      <c r="CQ1439" s="27"/>
      <c r="CR1439" s="27"/>
      <c r="CS1439" s="27"/>
      <c r="CT1439" s="27"/>
    </row>
    <row r="1440" spans="89:98" x14ac:dyDescent="0.4">
      <c r="CK1440" s="31"/>
      <c r="CL1440" s="26"/>
      <c r="CM1440" s="32"/>
      <c r="CN1440" s="27"/>
      <c r="CO1440" s="27"/>
      <c r="CP1440" s="27"/>
      <c r="CQ1440" s="27"/>
      <c r="CR1440" s="27"/>
      <c r="CS1440" s="27"/>
      <c r="CT1440" s="27"/>
    </row>
    <row r="1441" spans="89:98" x14ac:dyDescent="0.4">
      <c r="CK1441" s="31"/>
      <c r="CL1441" s="26"/>
      <c r="CM1441" s="32"/>
      <c r="CN1441" s="27"/>
      <c r="CO1441" s="27"/>
      <c r="CP1441" s="27"/>
      <c r="CQ1441" s="27"/>
      <c r="CR1441" s="27"/>
      <c r="CS1441" s="27"/>
      <c r="CT1441" s="27"/>
    </row>
    <row r="1442" spans="89:98" x14ac:dyDescent="0.4">
      <c r="CK1442" s="31"/>
      <c r="CL1442" s="26"/>
      <c r="CM1442" s="32"/>
      <c r="CN1442" s="27"/>
      <c r="CO1442" s="27"/>
      <c r="CP1442" s="27"/>
      <c r="CQ1442" s="27"/>
      <c r="CR1442" s="27"/>
      <c r="CS1442" s="27"/>
      <c r="CT1442" s="27"/>
    </row>
    <row r="1443" spans="89:98" x14ac:dyDescent="0.4">
      <c r="CK1443" s="31"/>
      <c r="CL1443" s="26"/>
      <c r="CM1443" s="32"/>
      <c r="CN1443" s="32"/>
      <c r="CO1443" s="32"/>
      <c r="CP1443" s="32"/>
      <c r="CQ1443" s="32"/>
      <c r="CR1443" s="32"/>
      <c r="CS1443" s="32"/>
      <c r="CT1443" s="32"/>
    </row>
    <row r="1444" spans="89:98" x14ac:dyDescent="0.4">
      <c r="CK1444" s="31"/>
      <c r="CL1444" s="26"/>
      <c r="CM1444" s="32"/>
      <c r="CN1444" s="27"/>
      <c r="CO1444" s="27"/>
      <c r="CP1444" s="27"/>
      <c r="CQ1444" s="27"/>
      <c r="CR1444" s="27"/>
      <c r="CS1444" s="27"/>
      <c r="CT1444" s="27"/>
    </row>
    <row r="1445" spans="89:98" x14ac:dyDescent="0.4">
      <c r="CK1445" s="31"/>
      <c r="CL1445" s="26"/>
      <c r="CM1445" s="32"/>
      <c r="CN1445" s="27"/>
      <c r="CO1445" s="27"/>
      <c r="CP1445" s="27"/>
      <c r="CQ1445" s="27"/>
      <c r="CR1445" s="27"/>
      <c r="CS1445" s="27"/>
      <c r="CT1445" s="27"/>
    </row>
    <row r="1446" spans="89:98" x14ac:dyDescent="0.4">
      <c r="CK1446" s="31"/>
      <c r="CL1446" s="26"/>
      <c r="CM1446" s="32"/>
      <c r="CN1446" s="27"/>
      <c r="CO1446" s="27"/>
      <c r="CP1446" s="27"/>
      <c r="CQ1446" s="27"/>
      <c r="CR1446" s="27"/>
      <c r="CS1446" s="27"/>
      <c r="CT1446" s="27"/>
    </row>
    <row r="1447" spans="89:98" x14ac:dyDescent="0.4">
      <c r="CK1447" s="31"/>
      <c r="CL1447" s="26"/>
      <c r="CM1447" s="32"/>
      <c r="CN1447" s="27"/>
      <c r="CO1447" s="27"/>
      <c r="CP1447" s="27"/>
      <c r="CQ1447" s="27"/>
      <c r="CR1447" s="27"/>
      <c r="CS1447" s="27"/>
      <c r="CT1447" s="27"/>
    </row>
    <row r="1448" spans="89:98" x14ac:dyDescent="0.4">
      <c r="CK1448" s="31"/>
      <c r="CL1448" s="26"/>
      <c r="CM1448" s="32"/>
      <c r="CN1448" s="27"/>
      <c r="CO1448" s="27"/>
      <c r="CP1448" s="27"/>
      <c r="CQ1448" s="27"/>
      <c r="CR1448" s="27"/>
      <c r="CS1448" s="27"/>
      <c r="CT1448" s="27"/>
    </row>
    <row r="1449" spans="89:98" x14ac:dyDescent="0.4">
      <c r="CK1449" s="31"/>
      <c r="CL1449" s="26"/>
      <c r="CM1449" s="32"/>
      <c r="CN1449" s="27"/>
      <c r="CO1449" s="27"/>
      <c r="CP1449" s="27"/>
      <c r="CQ1449" s="27"/>
      <c r="CR1449" s="27"/>
      <c r="CS1449" s="27"/>
      <c r="CT1449" s="27"/>
    </row>
    <row r="1450" spans="89:98" x14ac:dyDescent="0.4">
      <c r="CK1450" s="31"/>
      <c r="CL1450" s="26"/>
      <c r="CM1450" s="32"/>
      <c r="CN1450" s="27"/>
      <c r="CO1450" s="27"/>
      <c r="CP1450" s="27"/>
      <c r="CQ1450" s="27"/>
      <c r="CR1450" s="27"/>
      <c r="CS1450" s="27"/>
      <c r="CT1450" s="27"/>
    </row>
    <row r="1451" spans="89:98" x14ac:dyDescent="0.4">
      <c r="CK1451" s="31"/>
      <c r="CL1451" s="26"/>
      <c r="CM1451" s="32"/>
      <c r="CN1451" s="27"/>
      <c r="CO1451" s="27"/>
      <c r="CP1451" s="27"/>
      <c r="CQ1451" s="27"/>
      <c r="CR1451" s="27"/>
      <c r="CS1451" s="27"/>
      <c r="CT1451" s="27"/>
    </row>
    <row r="1452" spans="89:98" x14ac:dyDescent="0.4">
      <c r="CK1452" s="31"/>
      <c r="CL1452" s="26"/>
      <c r="CM1452" s="32"/>
      <c r="CN1452" s="27"/>
      <c r="CO1452" s="27"/>
      <c r="CP1452" s="27"/>
      <c r="CQ1452" s="27"/>
      <c r="CR1452" s="27"/>
      <c r="CS1452" s="27"/>
      <c r="CT1452" s="27"/>
    </row>
    <row r="1453" spans="89:98" x14ac:dyDescent="0.4">
      <c r="CK1453" s="31"/>
      <c r="CL1453" s="26"/>
      <c r="CM1453" s="32"/>
      <c r="CN1453" s="27"/>
      <c r="CO1453" s="27"/>
      <c r="CP1453" s="27"/>
      <c r="CQ1453" s="27"/>
      <c r="CR1453" s="27"/>
      <c r="CS1453" s="27"/>
      <c r="CT1453" s="27"/>
    </row>
    <row r="1454" spans="89:98" x14ac:dyDescent="0.4">
      <c r="CK1454" s="31"/>
      <c r="CL1454" s="26"/>
      <c r="CM1454" s="32"/>
      <c r="CN1454" s="27"/>
      <c r="CO1454" s="27"/>
      <c r="CP1454" s="27"/>
      <c r="CQ1454" s="27"/>
      <c r="CR1454" s="27"/>
      <c r="CS1454" s="27"/>
      <c r="CT1454" s="27"/>
    </row>
    <row r="1455" spans="89:98" x14ac:dyDescent="0.4">
      <c r="CK1455" s="31"/>
      <c r="CL1455" s="26"/>
      <c r="CM1455" s="32"/>
      <c r="CN1455" s="27"/>
      <c r="CO1455" s="27"/>
      <c r="CP1455" s="27"/>
      <c r="CQ1455" s="27"/>
      <c r="CR1455" s="27"/>
      <c r="CS1455" s="27"/>
      <c r="CT1455" s="27"/>
    </row>
    <row r="1456" spans="89:98" x14ac:dyDescent="0.4">
      <c r="CK1456" s="31"/>
      <c r="CL1456" s="26"/>
      <c r="CM1456" s="32"/>
      <c r="CN1456" s="27"/>
      <c r="CO1456" s="27"/>
      <c r="CP1456" s="27"/>
      <c r="CQ1456" s="27"/>
      <c r="CR1456" s="27"/>
      <c r="CS1456" s="27"/>
      <c r="CT1456" s="27"/>
    </row>
    <row r="1457" spans="89:98" x14ac:dyDescent="0.4">
      <c r="CK1457" s="31"/>
      <c r="CL1457" s="26"/>
      <c r="CM1457" s="32"/>
      <c r="CN1457" s="27"/>
      <c r="CO1457" s="27"/>
      <c r="CP1457" s="27"/>
      <c r="CQ1457" s="27"/>
      <c r="CR1457" s="27"/>
      <c r="CS1457" s="27"/>
      <c r="CT1457" s="27"/>
    </row>
    <row r="1458" spans="89:98" x14ac:dyDescent="0.4">
      <c r="CK1458" s="31"/>
      <c r="CL1458" s="26"/>
      <c r="CM1458" s="32"/>
      <c r="CN1458" s="27"/>
      <c r="CO1458" s="27"/>
      <c r="CP1458" s="27"/>
      <c r="CQ1458" s="27"/>
      <c r="CR1458" s="27"/>
      <c r="CS1458" s="27"/>
      <c r="CT1458" s="27"/>
    </row>
    <row r="1459" spans="89:98" x14ac:dyDescent="0.4">
      <c r="CK1459" s="31"/>
      <c r="CL1459" s="26"/>
      <c r="CM1459" s="32"/>
      <c r="CN1459" s="32"/>
      <c r="CO1459" s="32"/>
      <c r="CP1459" s="32"/>
      <c r="CQ1459" s="32"/>
      <c r="CR1459" s="32"/>
      <c r="CS1459" s="32"/>
      <c r="CT1459" s="32"/>
    </row>
    <row r="1460" spans="89:98" x14ac:dyDescent="0.4">
      <c r="CK1460" s="31"/>
      <c r="CL1460" s="26"/>
      <c r="CM1460" s="32"/>
      <c r="CN1460" s="27"/>
      <c r="CO1460" s="27"/>
      <c r="CP1460" s="27"/>
      <c r="CQ1460" s="27"/>
      <c r="CR1460" s="27"/>
      <c r="CS1460" s="27"/>
      <c r="CT1460" s="27"/>
    </row>
    <row r="1461" spans="89:98" x14ac:dyDescent="0.4">
      <c r="CK1461" s="31"/>
      <c r="CL1461" s="26"/>
      <c r="CM1461" s="32"/>
      <c r="CN1461" s="27"/>
      <c r="CO1461" s="27"/>
      <c r="CP1461" s="27"/>
      <c r="CQ1461" s="27"/>
      <c r="CR1461" s="27"/>
      <c r="CS1461" s="27"/>
      <c r="CT1461" s="27"/>
    </row>
    <row r="1462" spans="89:98" x14ac:dyDescent="0.4">
      <c r="CK1462" s="31"/>
      <c r="CL1462" s="26"/>
      <c r="CM1462" s="32"/>
      <c r="CN1462" s="27"/>
      <c r="CO1462" s="27"/>
      <c r="CP1462" s="27"/>
      <c r="CQ1462" s="27"/>
      <c r="CR1462" s="27"/>
      <c r="CS1462" s="27"/>
      <c r="CT1462" s="27"/>
    </row>
    <row r="1463" spans="89:98" x14ac:dyDescent="0.4">
      <c r="CK1463" s="31"/>
      <c r="CL1463" s="26"/>
      <c r="CM1463" s="32"/>
      <c r="CN1463" s="27"/>
      <c r="CO1463" s="27"/>
      <c r="CP1463" s="27"/>
      <c r="CQ1463" s="27"/>
      <c r="CR1463" s="27"/>
      <c r="CS1463" s="27"/>
      <c r="CT1463" s="27"/>
    </row>
    <row r="1464" spans="89:98" x14ac:dyDescent="0.4">
      <c r="CK1464" s="31"/>
      <c r="CL1464" s="26"/>
      <c r="CM1464" s="32"/>
      <c r="CN1464" s="27"/>
      <c r="CO1464" s="27"/>
      <c r="CP1464" s="27"/>
      <c r="CQ1464" s="27"/>
      <c r="CR1464" s="27"/>
      <c r="CS1464" s="27"/>
      <c r="CT1464" s="27"/>
    </row>
    <row r="1465" spans="89:98" x14ac:dyDescent="0.4">
      <c r="CK1465" s="31"/>
      <c r="CL1465" s="26"/>
      <c r="CM1465" s="32"/>
      <c r="CN1465" s="27"/>
      <c r="CO1465" s="27"/>
      <c r="CP1465" s="27"/>
      <c r="CQ1465" s="27"/>
      <c r="CR1465" s="27"/>
      <c r="CS1465" s="27"/>
      <c r="CT1465" s="27"/>
    </row>
    <row r="1466" spans="89:98" x14ac:dyDescent="0.4">
      <c r="CK1466" s="31"/>
      <c r="CL1466" s="26"/>
      <c r="CM1466" s="32"/>
      <c r="CN1466" s="27"/>
      <c r="CO1466" s="27"/>
      <c r="CP1466" s="27"/>
      <c r="CQ1466" s="27"/>
      <c r="CR1466" s="27"/>
      <c r="CS1466" s="27"/>
      <c r="CT1466" s="27"/>
    </row>
    <row r="1467" spans="89:98" x14ac:dyDescent="0.4">
      <c r="CK1467" s="31"/>
      <c r="CL1467" s="26"/>
      <c r="CM1467" s="32"/>
      <c r="CN1467" s="27"/>
      <c r="CO1467" s="27"/>
      <c r="CP1467" s="27"/>
      <c r="CQ1467" s="27"/>
      <c r="CR1467" s="27"/>
      <c r="CS1467" s="27"/>
      <c r="CT1467" s="27"/>
    </row>
    <row r="1468" spans="89:98" x14ac:dyDescent="0.4">
      <c r="CK1468" s="31"/>
      <c r="CL1468" s="26"/>
      <c r="CM1468" s="32"/>
      <c r="CN1468" s="27"/>
      <c r="CO1468" s="27"/>
      <c r="CP1468" s="27"/>
      <c r="CQ1468" s="27"/>
      <c r="CR1468" s="27"/>
      <c r="CS1468" s="27"/>
      <c r="CT1468" s="27"/>
    </row>
    <row r="1469" spans="89:98" x14ac:dyDescent="0.4">
      <c r="CK1469" s="31"/>
      <c r="CL1469" s="26"/>
      <c r="CM1469" s="32"/>
      <c r="CN1469" s="27"/>
      <c r="CO1469" s="27"/>
      <c r="CP1469" s="27"/>
      <c r="CQ1469" s="27"/>
      <c r="CR1469" s="27"/>
      <c r="CS1469" s="27"/>
      <c r="CT1469" s="27"/>
    </row>
    <row r="1470" spans="89:98" x14ac:dyDescent="0.4">
      <c r="CK1470" s="31"/>
      <c r="CL1470" s="26"/>
      <c r="CM1470" s="32"/>
      <c r="CN1470" s="27"/>
      <c r="CO1470" s="27"/>
      <c r="CP1470" s="27"/>
      <c r="CQ1470" s="27"/>
      <c r="CR1470" s="27"/>
      <c r="CS1470" s="27"/>
      <c r="CT1470" s="27"/>
    </row>
    <row r="1471" spans="89:98" x14ac:dyDescent="0.4">
      <c r="CK1471" s="31"/>
      <c r="CL1471" s="26"/>
      <c r="CM1471" s="32"/>
      <c r="CN1471" s="27"/>
      <c r="CO1471" s="27"/>
      <c r="CP1471" s="27"/>
      <c r="CQ1471" s="27"/>
      <c r="CR1471" s="27"/>
      <c r="CS1471" s="27"/>
      <c r="CT1471" s="27"/>
    </row>
    <row r="1472" spans="89:98" x14ac:dyDescent="0.4">
      <c r="CK1472" s="31"/>
      <c r="CL1472" s="26"/>
      <c r="CM1472" s="32"/>
      <c r="CN1472" s="27"/>
      <c r="CO1472" s="27"/>
      <c r="CP1472" s="27"/>
      <c r="CQ1472" s="27"/>
      <c r="CR1472" s="27"/>
      <c r="CS1472" s="27"/>
      <c r="CT1472" s="27"/>
    </row>
    <row r="1473" spans="89:98" x14ac:dyDescent="0.4">
      <c r="CK1473" s="31"/>
      <c r="CL1473" s="26"/>
      <c r="CM1473" s="32"/>
      <c r="CN1473" s="27"/>
      <c r="CO1473" s="27"/>
      <c r="CP1473" s="27"/>
      <c r="CQ1473" s="27"/>
      <c r="CR1473" s="27"/>
      <c r="CS1473" s="27"/>
      <c r="CT1473" s="27"/>
    </row>
    <row r="1474" spans="89:98" x14ac:dyDescent="0.4">
      <c r="CK1474" s="31"/>
      <c r="CL1474" s="26"/>
      <c r="CM1474" s="32"/>
      <c r="CN1474" s="27"/>
      <c r="CO1474" s="27"/>
      <c r="CP1474" s="27"/>
      <c r="CQ1474" s="27"/>
      <c r="CR1474" s="27"/>
      <c r="CS1474" s="27"/>
      <c r="CT1474" s="27"/>
    </row>
    <row r="1475" spans="89:98" x14ac:dyDescent="0.4">
      <c r="CK1475" s="31"/>
      <c r="CL1475" s="26"/>
      <c r="CM1475" s="32"/>
      <c r="CN1475" s="27"/>
      <c r="CO1475" s="27"/>
      <c r="CP1475" s="27"/>
      <c r="CQ1475" s="27"/>
      <c r="CR1475" s="27"/>
      <c r="CS1475" s="27"/>
      <c r="CT1475" s="27"/>
    </row>
    <row r="1476" spans="89:98" x14ac:dyDescent="0.4">
      <c r="CK1476" s="31"/>
      <c r="CL1476" s="26"/>
      <c r="CM1476" s="32"/>
      <c r="CN1476" s="27"/>
      <c r="CO1476" s="27"/>
      <c r="CP1476" s="27"/>
      <c r="CQ1476" s="27"/>
      <c r="CR1476" s="27"/>
      <c r="CS1476" s="27"/>
      <c r="CT1476" s="27"/>
    </row>
    <row r="1477" spans="89:98" x14ac:dyDescent="0.4">
      <c r="CK1477" s="31"/>
      <c r="CL1477" s="26"/>
      <c r="CM1477" s="32"/>
      <c r="CN1477" s="27"/>
      <c r="CO1477" s="27"/>
      <c r="CP1477" s="27"/>
      <c r="CQ1477" s="27"/>
      <c r="CR1477" s="27"/>
      <c r="CS1477" s="27"/>
      <c r="CT1477" s="27"/>
    </row>
    <row r="1478" spans="89:98" x14ac:dyDescent="0.4">
      <c r="CK1478" s="31"/>
      <c r="CL1478" s="26"/>
      <c r="CM1478" s="32"/>
      <c r="CN1478" s="27"/>
      <c r="CO1478" s="27"/>
      <c r="CP1478" s="27"/>
      <c r="CQ1478" s="27"/>
      <c r="CR1478" s="27"/>
      <c r="CS1478" s="27"/>
      <c r="CT1478" s="27"/>
    </row>
    <row r="1479" spans="89:98" x14ac:dyDescent="0.4">
      <c r="CK1479" s="31"/>
      <c r="CL1479" s="26"/>
      <c r="CM1479" s="32"/>
      <c r="CN1479" s="27"/>
      <c r="CO1479" s="27"/>
      <c r="CP1479" s="27"/>
      <c r="CQ1479" s="27"/>
      <c r="CR1479" s="27"/>
      <c r="CS1479" s="27"/>
      <c r="CT1479" s="27"/>
    </row>
    <row r="1480" spans="89:98" x14ac:dyDescent="0.4">
      <c r="CK1480" s="31"/>
      <c r="CL1480" s="26"/>
      <c r="CM1480" s="32"/>
      <c r="CN1480" s="27"/>
      <c r="CO1480" s="27"/>
      <c r="CP1480" s="27"/>
      <c r="CQ1480" s="27"/>
      <c r="CR1480" s="27"/>
      <c r="CS1480" s="27"/>
      <c r="CT1480" s="27"/>
    </row>
    <row r="1481" spans="89:98" x14ac:dyDescent="0.4">
      <c r="CK1481" s="31"/>
      <c r="CL1481" s="26"/>
      <c r="CM1481" s="32"/>
      <c r="CN1481" s="27"/>
      <c r="CO1481" s="27"/>
      <c r="CP1481" s="27"/>
      <c r="CQ1481" s="27"/>
      <c r="CR1481" s="27"/>
      <c r="CS1481" s="27"/>
      <c r="CT1481" s="27"/>
    </row>
    <row r="1482" spans="89:98" x14ac:dyDescent="0.4">
      <c r="CK1482" s="31"/>
      <c r="CL1482" s="26"/>
      <c r="CM1482" s="32"/>
      <c r="CN1482" s="32"/>
      <c r="CO1482" s="32"/>
      <c r="CP1482" s="32"/>
      <c r="CQ1482" s="32"/>
      <c r="CR1482" s="32"/>
      <c r="CS1482" s="32"/>
      <c r="CT1482" s="32"/>
    </row>
    <row r="1483" spans="89:98" x14ac:dyDescent="0.4">
      <c r="CK1483" s="31"/>
      <c r="CL1483" s="26"/>
      <c r="CM1483" s="32"/>
      <c r="CN1483" s="27"/>
      <c r="CO1483" s="27"/>
      <c r="CP1483" s="27"/>
      <c r="CQ1483" s="27"/>
      <c r="CR1483" s="27"/>
      <c r="CS1483" s="27"/>
      <c r="CT1483" s="27"/>
    </row>
    <row r="1484" spans="89:98" x14ac:dyDescent="0.4">
      <c r="CK1484" s="31"/>
      <c r="CL1484" s="26"/>
      <c r="CM1484" s="32"/>
      <c r="CN1484" s="27"/>
      <c r="CO1484" s="27"/>
      <c r="CP1484" s="27"/>
      <c r="CQ1484" s="27"/>
      <c r="CR1484" s="27"/>
      <c r="CS1484" s="27"/>
      <c r="CT1484" s="27"/>
    </row>
    <row r="1485" spans="89:98" x14ac:dyDescent="0.4">
      <c r="CK1485" s="31"/>
      <c r="CL1485" s="26"/>
      <c r="CM1485" s="32"/>
      <c r="CN1485" s="27"/>
      <c r="CO1485" s="27"/>
      <c r="CP1485" s="27"/>
      <c r="CQ1485" s="27"/>
      <c r="CR1485" s="27"/>
      <c r="CS1485" s="27"/>
      <c r="CT1485" s="27"/>
    </row>
    <row r="1486" spans="89:98" x14ac:dyDescent="0.4">
      <c r="CK1486" s="31"/>
      <c r="CL1486" s="26"/>
      <c r="CM1486" s="32"/>
      <c r="CN1486" s="27"/>
      <c r="CO1486" s="27"/>
      <c r="CP1486" s="27"/>
      <c r="CQ1486" s="27"/>
      <c r="CR1486" s="27"/>
      <c r="CS1486" s="27"/>
      <c r="CT1486" s="27"/>
    </row>
    <row r="1487" spans="89:98" x14ac:dyDescent="0.4">
      <c r="CK1487" s="31"/>
      <c r="CL1487" s="26"/>
      <c r="CM1487" s="32"/>
      <c r="CN1487" s="27"/>
      <c r="CO1487" s="27"/>
      <c r="CP1487" s="27"/>
      <c r="CQ1487" s="27"/>
      <c r="CR1487" s="27"/>
      <c r="CS1487" s="27"/>
      <c r="CT1487" s="27"/>
    </row>
    <row r="1488" spans="89:98" x14ac:dyDescent="0.4">
      <c r="CK1488" s="31"/>
      <c r="CL1488" s="26"/>
      <c r="CM1488" s="32"/>
      <c r="CN1488" s="27"/>
      <c r="CO1488" s="27"/>
      <c r="CP1488" s="27"/>
      <c r="CQ1488" s="27"/>
      <c r="CR1488" s="27"/>
      <c r="CS1488" s="27"/>
      <c r="CT1488" s="27"/>
    </row>
    <row r="1489" spans="89:98" x14ac:dyDescent="0.4">
      <c r="CK1489" s="31"/>
      <c r="CL1489" s="26"/>
      <c r="CM1489" s="32"/>
      <c r="CN1489" s="27"/>
      <c r="CO1489" s="27"/>
      <c r="CP1489" s="27"/>
      <c r="CQ1489" s="27"/>
      <c r="CR1489" s="27"/>
      <c r="CS1489" s="27"/>
      <c r="CT1489" s="27"/>
    </row>
    <row r="1490" spans="89:98" x14ac:dyDescent="0.4">
      <c r="CK1490" s="31"/>
      <c r="CL1490" s="26"/>
      <c r="CM1490" s="32"/>
      <c r="CN1490" s="27"/>
      <c r="CO1490" s="27"/>
      <c r="CP1490" s="27"/>
      <c r="CQ1490" s="27"/>
      <c r="CR1490" s="27"/>
      <c r="CS1490" s="27"/>
      <c r="CT1490" s="27"/>
    </row>
    <row r="1491" spans="89:98" x14ac:dyDescent="0.4">
      <c r="CK1491" s="31"/>
      <c r="CL1491" s="26"/>
      <c r="CM1491" s="32"/>
      <c r="CN1491" s="27"/>
      <c r="CO1491" s="27"/>
      <c r="CP1491" s="27"/>
      <c r="CQ1491" s="27"/>
      <c r="CR1491" s="27"/>
      <c r="CS1491" s="27"/>
      <c r="CT1491" s="27"/>
    </row>
    <row r="1492" spans="89:98" x14ac:dyDescent="0.4">
      <c r="CK1492" s="31"/>
      <c r="CL1492" s="26"/>
      <c r="CM1492" s="32"/>
      <c r="CN1492" s="27"/>
      <c r="CO1492" s="27"/>
      <c r="CP1492" s="27"/>
      <c r="CQ1492" s="27"/>
      <c r="CR1492" s="27"/>
      <c r="CS1492" s="27"/>
      <c r="CT1492" s="27"/>
    </row>
    <row r="1493" spans="89:98" x14ac:dyDescent="0.4">
      <c r="CK1493" s="31"/>
      <c r="CL1493" s="26"/>
      <c r="CM1493" s="32"/>
      <c r="CN1493" s="27"/>
      <c r="CO1493" s="27"/>
      <c r="CP1493" s="27"/>
      <c r="CQ1493" s="27"/>
      <c r="CR1493" s="27"/>
      <c r="CS1493" s="27"/>
      <c r="CT1493" s="27"/>
    </row>
    <row r="1494" spans="89:98" x14ac:dyDescent="0.4">
      <c r="CK1494" s="31"/>
      <c r="CL1494" s="26"/>
      <c r="CM1494" s="32"/>
      <c r="CN1494" s="27"/>
      <c r="CO1494" s="27"/>
      <c r="CP1494" s="27"/>
      <c r="CQ1494" s="27"/>
      <c r="CR1494" s="27"/>
      <c r="CS1494" s="27"/>
      <c r="CT1494" s="27"/>
    </row>
    <row r="1495" spans="89:98" x14ac:dyDescent="0.4">
      <c r="CK1495" s="31"/>
      <c r="CL1495" s="26"/>
      <c r="CM1495" s="32"/>
      <c r="CN1495" s="27"/>
      <c r="CO1495" s="27"/>
      <c r="CP1495" s="27"/>
      <c r="CQ1495" s="27"/>
      <c r="CR1495" s="27"/>
      <c r="CS1495" s="27"/>
      <c r="CT1495" s="27"/>
    </row>
    <row r="1496" spans="89:98" x14ac:dyDescent="0.4">
      <c r="CK1496" s="31"/>
      <c r="CL1496" s="26"/>
      <c r="CM1496" s="32"/>
      <c r="CN1496" s="27"/>
      <c r="CO1496" s="27"/>
      <c r="CP1496" s="27"/>
      <c r="CQ1496" s="27"/>
      <c r="CR1496" s="27"/>
      <c r="CS1496" s="27"/>
      <c r="CT1496" s="27"/>
    </row>
    <row r="1497" spans="89:98" x14ac:dyDescent="0.4">
      <c r="CK1497" s="31"/>
      <c r="CL1497" s="26"/>
      <c r="CM1497" s="32"/>
      <c r="CN1497" s="27"/>
      <c r="CO1497" s="27"/>
      <c r="CP1497" s="27"/>
      <c r="CQ1497" s="27"/>
      <c r="CR1497" s="27"/>
      <c r="CS1497" s="27"/>
      <c r="CT1497" s="27"/>
    </row>
    <row r="1498" spans="89:98" x14ac:dyDescent="0.4">
      <c r="CK1498" s="31"/>
      <c r="CL1498" s="26"/>
      <c r="CM1498" s="32"/>
      <c r="CN1498" s="27"/>
      <c r="CO1498" s="27"/>
      <c r="CP1498" s="27"/>
      <c r="CQ1498" s="27"/>
      <c r="CR1498" s="27"/>
      <c r="CS1498" s="27"/>
      <c r="CT1498" s="27"/>
    </row>
    <row r="1499" spans="89:98" x14ac:dyDescent="0.4">
      <c r="CK1499" s="31"/>
      <c r="CL1499" s="26"/>
      <c r="CM1499" s="32"/>
      <c r="CN1499" s="27"/>
      <c r="CO1499" s="27"/>
      <c r="CP1499" s="27"/>
      <c r="CQ1499" s="27"/>
      <c r="CR1499" s="27"/>
      <c r="CS1499" s="27"/>
      <c r="CT1499" s="27"/>
    </row>
    <row r="1500" spans="89:98" x14ac:dyDescent="0.4">
      <c r="CK1500" s="31"/>
      <c r="CL1500" s="26"/>
      <c r="CM1500" s="32"/>
      <c r="CN1500" s="27"/>
      <c r="CO1500" s="27"/>
      <c r="CP1500" s="27"/>
      <c r="CQ1500" s="27"/>
      <c r="CR1500" s="27"/>
      <c r="CS1500" s="27"/>
      <c r="CT1500" s="27"/>
    </row>
    <row r="1501" spans="89:98" x14ac:dyDescent="0.4">
      <c r="CK1501" s="31"/>
      <c r="CL1501" s="26"/>
      <c r="CM1501" s="32"/>
      <c r="CN1501" s="27"/>
      <c r="CO1501" s="27"/>
      <c r="CP1501" s="27"/>
      <c r="CQ1501" s="27"/>
      <c r="CR1501" s="27"/>
      <c r="CS1501" s="27"/>
      <c r="CT1501" s="27"/>
    </row>
    <row r="1502" spans="89:98" x14ac:dyDescent="0.4">
      <c r="CK1502" s="31"/>
      <c r="CL1502" s="26"/>
      <c r="CM1502" s="32"/>
      <c r="CN1502" s="27"/>
      <c r="CO1502" s="27"/>
      <c r="CP1502" s="27"/>
      <c r="CQ1502" s="27"/>
      <c r="CR1502" s="27"/>
      <c r="CS1502" s="27"/>
      <c r="CT1502" s="27"/>
    </row>
    <row r="1503" spans="89:98" x14ac:dyDescent="0.4">
      <c r="CK1503" s="31"/>
      <c r="CL1503" s="26"/>
      <c r="CM1503" s="32"/>
      <c r="CN1503" s="27"/>
      <c r="CO1503" s="27"/>
      <c r="CP1503" s="27"/>
      <c r="CQ1503" s="27"/>
      <c r="CR1503" s="27"/>
      <c r="CS1503" s="27"/>
      <c r="CT1503" s="27"/>
    </row>
    <row r="1504" spans="89:98" x14ac:dyDescent="0.4">
      <c r="CK1504" s="31"/>
      <c r="CL1504" s="26"/>
      <c r="CM1504" s="32"/>
      <c r="CN1504" s="32"/>
      <c r="CO1504" s="32"/>
      <c r="CP1504" s="32"/>
      <c r="CQ1504" s="32"/>
      <c r="CR1504" s="32"/>
      <c r="CS1504" s="32"/>
      <c r="CT1504" s="32"/>
    </row>
    <row r="1505" spans="19:98" x14ac:dyDescent="0.4">
      <c r="CK1505" s="31"/>
      <c r="CL1505" s="26"/>
      <c r="CM1505" s="32"/>
      <c r="CN1505" s="27"/>
      <c r="CO1505" s="27"/>
      <c r="CP1505" s="27"/>
      <c r="CQ1505" s="27"/>
      <c r="CR1505" s="27"/>
      <c r="CS1505" s="27"/>
      <c r="CT1505" s="27"/>
    </row>
    <row r="1506" spans="19:98" x14ac:dyDescent="0.4">
      <c r="CK1506" s="31"/>
      <c r="CL1506" s="26"/>
      <c r="CM1506" s="32"/>
      <c r="CN1506" s="27"/>
      <c r="CO1506" s="27"/>
      <c r="CP1506" s="27"/>
      <c r="CQ1506" s="27"/>
      <c r="CR1506" s="27"/>
      <c r="CS1506" s="27"/>
      <c r="CT1506" s="27"/>
    </row>
    <row r="1507" spans="19:98" x14ac:dyDescent="0.4">
      <c r="CK1507" s="31"/>
      <c r="CL1507" s="26"/>
      <c r="CM1507" s="32"/>
      <c r="CN1507" s="27"/>
      <c r="CO1507" s="27"/>
      <c r="CP1507" s="27"/>
      <c r="CQ1507" s="27"/>
      <c r="CR1507" s="27"/>
      <c r="CS1507" s="27"/>
      <c r="CT1507" s="27"/>
    </row>
    <row r="1508" spans="19:98" x14ac:dyDescent="0.4">
      <c r="CK1508" s="31"/>
      <c r="CL1508" s="26"/>
      <c r="CM1508" s="32"/>
      <c r="CN1508" s="27"/>
      <c r="CO1508" s="27"/>
      <c r="CP1508" s="27"/>
      <c r="CQ1508" s="27"/>
      <c r="CR1508" s="27"/>
      <c r="CS1508" s="27"/>
      <c r="CT1508" s="27"/>
    </row>
    <row r="1509" spans="19:98" x14ac:dyDescent="0.4">
      <c r="CK1509" s="31"/>
      <c r="CL1509" s="26"/>
      <c r="CM1509" s="32"/>
      <c r="CN1509" s="27"/>
      <c r="CO1509" s="27"/>
      <c r="CP1509" s="27"/>
      <c r="CQ1509" s="27"/>
      <c r="CR1509" s="27"/>
      <c r="CS1509" s="27"/>
      <c r="CT1509" s="27"/>
    </row>
    <row r="1510" spans="19:98" x14ac:dyDescent="0.4">
      <c r="CK1510" s="31"/>
      <c r="CL1510" s="26"/>
      <c r="CM1510" s="32"/>
      <c r="CN1510" s="27"/>
      <c r="CO1510" s="27"/>
      <c r="CP1510" s="27"/>
      <c r="CQ1510" s="27"/>
      <c r="CR1510" s="27"/>
      <c r="CS1510" s="27"/>
      <c r="CT1510" s="27"/>
    </row>
    <row r="1511" spans="19:98" x14ac:dyDescent="0.4">
      <c r="S1511" s="30"/>
      <c r="X1511" s="63"/>
      <c r="AK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C1511" s="55"/>
      <c r="BD1511" s="27"/>
      <c r="CC1511" s="28"/>
      <c r="CK1511" s="31"/>
      <c r="CL1511" s="26"/>
      <c r="CM1511" s="32"/>
      <c r="CN1511" s="27"/>
      <c r="CO1511" s="27"/>
      <c r="CP1511" s="27"/>
      <c r="CQ1511" s="27"/>
      <c r="CR1511" s="27"/>
      <c r="CS1511" s="27"/>
      <c r="CT1511" s="27"/>
    </row>
    <row r="1512" spans="19:98" x14ac:dyDescent="0.4">
      <c r="S1512" s="30"/>
      <c r="X1512" s="63"/>
      <c r="AK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C1512" s="55"/>
      <c r="BD1512" s="27"/>
      <c r="CC1512" s="28"/>
      <c r="CK1512" s="31"/>
      <c r="CL1512" s="26"/>
      <c r="CM1512" s="32"/>
      <c r="CN1512" s="27"/>
      <c r="CO1512" s="27"/>
      <c r="CP1512" s="27"/>
      <c r="CQ1512" s="27"/>
      <c r="CR1512" s="27"/>
      <c r="CS1512" s="27"/>
      <c r="CT1512" s="27"/>
    </row>
    <row r="1513" spans="19:98" x14ac:dyDescent="0.4">
      <c r="S1513" s="30"/>
      <c r="X1513" s="63"/>
      <c r="AK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C1513" s="55"/>
      <c r="BD1513" s="27"/>
      <c r="CC1513" s="28"/>
      <c r="CK1513" s="31"/>
      <c r="CL1513" s="26"/>
      <c r="CM1513" s="32"/>
      <c r="CN1513" s="27"/>
      <c r="CO1513" s="27"/>
      <c r="CP1513" s="27"/>
      <c r="CQ1513" s="27"/>
      <c r="CR1513" s="27"/>
      <c r="CS1513" s="27"/>
      <c r="CT1513" s="27"/>
    </row>
    <row r="1514" spans="19:98" x14ac:dyDescent="0.4">
      <c r="S1514" s="30"/>
      <c r="X1514" s="63"/>
      <c r="AK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C1514" s="55"/>
      <c r="BD1514" s="27"/>
      <c r="CC1514" s="28"/>
      <c r="CK1514" s="31"/>
      <c r="CL1514" s="26"/>
      <c r="CM1514" s="32"/>
      <c r="CN1514" s="27"/>
      <c r="CO1514" s="27"/>
      <c r="CP1514" s="27"/>
      <c r="CQ1514" s="27"/>
      <c r="CR1514" s="27"/>
      <c r="CS1514" s="27"/>
      <c r="CT1514" s="27"/>
    </row>
    <row r="1515" spans="19:98" x14ac:dyDescent="0.4">
      <c r="S1515" s="30"/>
      <c r="X1515" s="63"/>
      <c r="AK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C1515" s="55"/>
      <c r="BD1515" s="27"/>
      <c r="CC1515" s="28"/>
      <c r="CK1515" s="31"/>
      <c r="CL1515" s="26"/>
      <c r="CM1515" s="32"/>
      <c r="CN1515" s="27"/>
      <c r="CO1515" s="27"/>
      <c r="CP1515" s="27"/>
      <c r="CQ1515" s="27"/>
      <c r="CR1515" s="27"/>
      <c r="CS1515" s="27"/>
      <c r="CT1515" s="27"/>
    </row>
    <row r="1516" spans="19:98" x14ac:dyDescent="0.4">
      <c r="S1516" s="30"/>
      <c r="X1516" s="63"/>
      <c r="AK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C1516" s="55"/>
      <c r="BD1516" s="27"/>
      <c r="CC1516" s="28"/>
      <c r="CK1516" s="31"/>
      <c r="CL1516" s="26"/>
      <c r="CM1516" s="32"/>
      <c r="CN1516" s="27"/>
      <c r="CO1516" s="27"/>
      <c r="CP1516" s="27"/>
      <c r="CQ1516" s="27"/>
      <c r="CR1516" s="27"/>
      <c r="CS1516" s="27"/>
      <c r="CT1516" s="27"/>
    </row>
    <row r="1517" spans="19:98" x14ac:dyDescent="0.4">
      <c r="S1517" s="30"/>
      <c r="X1517" s="63"/>
      <c r="AK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C1517" s="55"/>
      <c r="BD1517" s="27"/>
      <c r="CC1517" s="28"/>
      <c r="CK1517" s="31"/>
      <c r="CL1517" s="26"/>
      <c r="CM1517" s="32"/>
      <c r="CN1517" s="27"/>
      <c r="CO1517" s="27"/>
      <c r="CP1517" s="27"/>
      <c r="CQ1517" s="27"/>
      <c r="CR1517" s="27"/>
      <c r="CS1517" s="27"/>
      <c r="CT1517" s="27"/>
    </row>
    <row r="1518" spans="19:98" x14ac:dyDescent="0.4">
      <c r="S1518" s="30"/>
      <c r="X1518" s="63"/>
      <c r="AK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C1518" s="55"/>
      <c r="BD1518" s="27"/>
      <c r="CC1518" s="28"/>
      <c r="CK1518" s="31"/>
      <c r="CL1518" s="26"/>
      <c r="CM1518" s="32"/>
      <c r="CN1518" s="27"/>
      <c r="CO1518" s="27"/>
      <c r="CP1518" s="27"/>
      <c r="CQ1518" s="27"/>
      <c r="CR1518" s="27"/>
      <c r="CS1518" s="27"/>
      <c r="CT1518" s="27"/>
    </row>
    <row r="1519" spans="19:98" x14ac:dyDescent="0.4">
      <c r="S1519" s="30"/>
      <c r="AK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C1519" s="55"/>
      <c r="BD1519" s="27"/>
      <c r="CC1519" s="28"/>
      <c r="CK1519" s="31"/>
      <c r="CL1519" s="26"/>
      <c r="CM1519" s="32"/>
      <c r="CN1519" s="27"/>
      <c r="CO1519" s="27"/>
      <c r="CP1519" s="27"/>
      <c r="CQ1519" s="27"/>
      <c r="CR1519" s="27"/>
      <c r="CS1519" s="27"/>
      <c r="CT1519" s="27"/>
    </row>
    <row r="1520" spans="19:98" x14ac:dyDescent="0.4">
      <c r="S1520" s="30"/>
      <c r="AK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C1520" s="55"/>
      <c r="BD1520" s="27"/>
      <c r="CC1520" s="28"/>
      <c r="CK1520" s="31"/>
      <c r="CL1520" s="26"/>
      <c r="CM1520" s="32"/>
      <c r="CN1520" s="27"/>
      <c r="CO1520" s="27"/>
      <c r="CP1520" s="27"/>
      <c r="CQ1520" s="27"/>
      <c r="CR1520" s="27"/>
      <c r="CS1520" s="27"/>
      <c r="CT1520" s="27"/>
    </row>
    <row r="1521" spans="19:98" x14ac:dyDescent="0.4">
      <c r="S1521" s="30"/>
      <c r="AK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C1521" s="55"/>
      <c r="BD1521" s="27"/>
      <c r="CC1521" s="28"/>
      <c r="CK1521" s="31"/>
      <c r="CL1521" s="26"/>
      <c r="CM1521" s="32"/>
      <c r="CN1521" s="27"/>
      <c r="CO1521" s="27"/>
      <c r="CP1521" s="27"/>
      <c r="CQ1521" s="27"/>
      <c r="CR1521" s="27"/>
      <c r="CS1521" s="27"/>
      <c r="CT1521" s="27"/>
    </row>
    <row r="1522" spans="19:98" x14ac:dyDescent="0.4">
      <c r="S1522" s="30"/>
      <c r="AK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C1522" s="55"/>
      <c r="BD1522" s="27"/>
      <c r="CC1522" s="28"/>
      <c r="CK1522" s="31"/>
      <c r="CL1522" s="26"/>
      <c r="CM1522" s="32"/>
      <c r="CN1522" s="27"/>
      <c r="CO1522" s="27"/>
      <c r="CP1522" s="27"/>
      <c r="CQ1522" s="27"/>
      <c r="CR1522" s="27"/>
      <c r="CS1522" s="27"/>
      <c r="CT1522" s="27"/>
    </row>
    <row r="1523" spans="19:98" x14ac:dyDescent="0.4">
      <c r="S1523" s="30"/>
      <c r="AK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C1523" s="55"/>
      <c r="BD1523" s="27"/>
      <c r="CC1523" s="28"/>
      <c r="CK1523" s="31"/>
      <c r="CL1523" s="26"/>
      <c r="CM1523" s="32"/>
      <c r="CN1523" s="27"/>
      <c r="CO1523" s="27"/>
      <c r="CP1523" s="27"/>
      <c r="CQ1523" s="27"/>
      <c r="CR1523" s="27"/>
      <c r="CS1523" s="27"/>
      <c r="CT1523" s="27"/>
    </row>
    <row r="1524" spans="19:98" x14ac:dyDescent="0.4">
      <c r="S1524" s="30"/>
      <c r="AK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C1524" s="55"/>
      <c r="BD1524" s="27"/>
      <c r="CC1524" s="28"/>
      <c r="CK1524" s="31"/>
      <c r="CL1524" s="26"/>
      <c r="CM1524" s="32"/>
      <c r="CN1524" s="27"/>
      <c r="CO1524" s="27"/>
      <c r="CP1524" s="27"/>
      <c r="CQ1524" s="27"/>
      <c r="CR1524" s="27"/>
      <c r="CS1524" s="27"/>
      <c r="CT1524" s="27"/>
    </row>
    <row r="1525" spans="19:98" x14ac:dyDescent="0.4">
      <c r="S1525" s="30"/>
      <c r="AK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C1525" s="55"/>
      <c r="BD1525" s="27"/>
      <c r="CC1525" s="28"/>
      <c r="CK1525" s="31"/>
      <c r="CL1525" s="26"/>
      <c r="CM1525" s="32"/>
      <c r="CN1525" s="27"/>
      <c r="CO1525" s="27"/>
      <c r="CP1525" s="27"/>
      <c r="CQ1525" s="27"/>
      <c r="CR1525" s="27"/>
      <c r="CS1525" s="27"/>
      <c r="CT1525" s="27"/>
    </row>
    <row r="1526" spans="19:98" x14ac:dyDescent="0.4">
      <c r="S1526" s="30"/>
      <c r="AK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C1526" s="55"/>
      <c r="BD1526" s="27"/>
      <c r="CC1526" s="29"/>
      <c r="CK1526" s="31"/>
      <c r="CL1526" s="26"/>
      <c r="CM1526" s="32"/>
      <c r="CN1526" s="32"/>
      <c r="CO1526" s="32"/>
      <c r="CP1526" s="32"/>
      <c r="CQ1526" s="32"/>
      <c r="CR1526" s="32"/>
      <c r="CS1526" s="32"/>
      <c r="CT1526" s="32"/>
    </row>
    <row r="1527" spans="19:98" x14ac:dyDescent="0.4">
      <c r="S1527" s="30"/>
      <c r="AK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C1527" s="55"/>
      <c r="BD1527" s="27"/>
      <c r="CC1527" s="28"/>
      <c r="CK1527" s="31"/>
      <c r="CL1527" s="26"/>
      <c r="CM1527" s="32"/>
      <c r="CN1527" s="27"/>
      <c r="CO1527" s="27"/>
      <c r="CP1527" s="27"/>
      <c r="CQ1527" s="27"/>
      <c r="CR1527" s="27"/>
      <c r="CS1527" s="27"/>
      <c r="CT1527" s="27"/>
    </row>
    <row r="1528" spans="19:98" x14ac:dyDescent="0.4">
      <c r="S1528" s="30"/>
      <c r="AK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C1528" s="55"/>
      <c r="BD1528" s="27"/>
      <c r="CC1528" s="28"/>
      <c r="CK1528" s="31"/>
      <c r="CL1528" s="26"/>
      <c r="CM1528" s="32"/>
      <c r="CN1528" s="27"/>
      <c r="CO1528" s="27"/>
      <c r="CP1528" s="27"/>
      <c r="CQ1528" s="27"/>
      <c r="CR1528" s="27"/>
      <c r="CS1528" s="27"/>
      <c r="CT1528" s="27"/>
    </row>
    <row r="1529" spans="19:98" x14ac:dyDescent="0.4">
      <c r="S1529" s="30"/>
      <c r="AK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C1529" s="55"/>
      <c r="BD1529" s="27"/>
      <c r="CC1529" s="28"/>
      <c r="CK1529" s="31"/>
      <c r="CL1529" s="26"/>
      <c r="CM1529" s="32"/>
      <c r="CN1529" s="27"/>
      <c r="CO1529" s="27"/>
      <c r="CP1529" s="27"/>
      <c r="CQ1529" s="27"/>
      <c r="CR1529" s="27"/>
      <c r="CS1529" s="27"/>
      <c r="CT1529" s="27"/>
    </row>
    <row r="1530" spans="19:98" x14ac:dyDescent="0.4">
      <c r="S1530" s="30"/>
      <c r="AK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C1530" s="55"/>
      <c r="BD1530" s="27"/>
      <c r="CC1530" s="28"/>
      <c r="CK1530" s="31"/>
      <c r="CL1530" s="26"/>
      <c r="CM1530" s="32"/>
      <c r="CN1530" s="27"/>
      <c r="CO1530" s="27"/>
      <c r="CP1530" s="27"/>
      <c r="CQ1530" s="27"/>
      <c r="CR1530" s="27"/>
      <c r="CS1530" s="27"/>
      <c r="CT1530" s="27"/>
    </row>
    <row r="1531" spans="19:98" x14ac:dyDescent="0.4">
      <c r="S1531" s="30"/>
      <c r="AK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C1531" s="55"/>
      <c r="BD1531" s="27"/>
      <c r="CC1531" s="28"/>
      <c r="CK1531" s="31"/>
      <c r="CL1531" s="26"/>
      <c r="CM1531" s="32"/>
      <c r="CN1531" s="27"/>
      <c r="CO1531" s="27"/>
      <c r="CP1531" s="27"/>
      <c r="CQ1531" s="27"/>
      <c r="CR1531" s="27"/>
      <c r="CS1531" s="27"/>
      <c r="CT1531" s="27"/>
    </row>
    <row r="1532" spans="19:98" x14ac:dyDescent="0.4">
      <c r="S1532" s="30"/>
      <c r="AK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C1532" s="55"/>
      <c r="BD1532" s="27"/>
      <c r="CC1532" s="28"/>
      <c r="CK1532" s="31"/>
      <c r="CL1532" s="26"/>
      <c r="CM1532" s="32"/>
      <c r="CN1532" s="27"/>
      <c r="CO1532" s="27"/>
      <c r="CP1532" s="27"/>
      <c r="CQ1532" s="27"/>
      <c r="CR1532" s="27"/>
      <c r="CS1532" s="27"/>
      <c r="CT1532" s="27"/>
    </row>
    <row r="1533" spans="19:98" x14ac:dyDescent="0.4">
      <c r="S1533" s="30"/>
      <c r="AK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C1533" s="55"/>
      <c r="BD1533" s="27"/>
      <c r="CC1533" s="28"/>
      <c r="CK1533" s="31"/>
      <c r="CL1533" s="26"/>
      <c r="CM1533" s="32"/>
      <c r="CN1533" s="27"/>
      <c r="CO1533" s="27"/>
      <c r="CP1533" s="27"/>
      <c r="CQ1533" s="27"/>
      <c r="CR1533" s="27"/>
      <c r="CS1533" s="27"/>
      <c r="CT1533" s="27"/>
    </row>
    <row r="1534" spans="19:98" x14ac:dyDescent="0.4">
      <c r="S1534" s="30"/>
      <c r="AK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C1534" s="55"/>
      <c r="BD1534" s="27"/>
      <c r="CC1534" s="28"/>
      <c r="CK1534" s="31"/>
      <c r="CL1534" s="26"/>
      <c r="CM1534" s="32"/>
      <c r="CN1534" s="27"/>
      <c r="CO1534" s="27"/>
      <c r="CP1534" s="27"/>
      <c r="CQ1534" s="27"/>
      <c r="CR1534" s="27"/>
      <c r="CS1534" s="27"/>
      <c r="CT1534" s="27"/>
    </row>
    <row r="1535" spans="19:98" x14ac:dyDescent="0.4">
      <c r="S1535" s="30"/>
      <c r="AK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C1535" s="55"/>
      <c r="BD1535" s="27"/>
      <c r="CC1535" s="28"/>
      <c r="CK1535" s="31"/>
      <c r="CL1535" s="26"/>
      <c r="CM1535" s="32"/>
      <c r="CN1535" s="27"/>
      <c r="CO1535" s="27"/>
      <c r="CP1535" s="27"/>
      <c r="CQ1535" s="27"/>
      <c r="CR1535" s="27"/>
      <c r="CS1535" s="27"/>
      <c r="CT1535" s="27"/>
    </row>
    <row r="1536" spans="19:98" x14ac:dyDescent="0.4">
      <c r="S1536" s="30"/>
      <c r="AK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C1536" s="55"/>
      <c r="BD1536" s="27"/>
      <c r="CC1536" s="28"/>
      <c r="CK1536" s="31"/>
      <c r="CL1536" s="26"/>
      <c r="CM1536" s="32"/>
      <c r="CN1536" s="27"/>
      <c r="CO1536" s="27"/>
      <c r="CP1536" s="27"/>
      <c r="CQ1536" s="27"/>
      <c r="CR1536" s="27"/>
      <c r="CS1536" s="27"/>
      <c r="CT1536" s="27"/>
    </row>
    <row r="1537" spans="19:98" x14ac:dyDescent="0.4">
      <c r="S1537" s="30"/>
      <c r="AK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C1537" s="55"/>
      <c r="BD1537" s="27"/>
      <c r="CC1537" s="28"/>
      <c r="CK1537" s="31"/>
      <c r="CL1537" s="26"/>
      <c r="CM1537" s="32"/>
      <c r="CN1537" s="27"/>
      <c r="CO1537" s="27"/>
      <c r="CP1537" s="27"/>
      <c r="CQ1537" s="27"/>
      <c r="CR1537" s="27"/>
      <c r="CS1537" s="27"/>
      <c r="CT1537" s="27"/>
    </row>
    <row r="1538" spans="19:98" x14ac:dyDescent="0.4">
      <c r="S1538" s="30"/>
      <c r="AK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C1538" s="55"/>
      <c r="BD1538" s="27"/>
      <c r="CC1538" s="28"/>
      <c r="CK1538" s="31"/>
      <c r="CL1538" s="26"/>
      <c r="CM1538" s="32"/>
      <c r="CN1538" s="27"/>
      <c r="CO1538" s="27"/>
      <c r="CP1538" s="27"/>
      <c r="CQ1538" s="27"/>
      <c r="CR1538" s="27"/>
      <c r="CS1538" s="27"/>
      <c r="CT1538" s="27"/>
    </row>
    <row r="1539" spans="19:98" x14ac:dyDescent="0.4">
      <c r="S1539" s="30"/>
      <c r="AK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C1539" s="55"/>
      <c r="BD1539" s="27"/>
      <c r="CC1539" s="28"/>
      <c r="CK1539" s="31"/>
      <c r="CL1539" s="26"/>
      <c r="CM1539" s="32"/>
      <c r="CN1539" s="27"/>
      <c r="CO1539" s="27"/>
      <c r="CP1539" s="27"/>
      <c r="CQ1539" s="27"/>
      <c r="CR1539" s="27"/>
      <c r="CS1539" s="27"/>
      <c r="CT1539" s="27"/>
    </row>
    <row r="1540" spans="19:98" x14ac:dyDescent="0.4">
      <c r="S1540" s="30"/>
      <c r="AK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C1540" s="55"/>
      <c r="BD1540" s="27"/>
      <c r="CC1540" s="28"/>
      <c r="CK1540" s="31"/>
      <c r="CL1540" s="26"/>
      <c r="CM1540" s="32"/>
      <c r="CN1540" s="27"/>
      <c r="CO1540" s="27"/>
      <c r="CP1540" s="27"/>
      <c r="CQ1540" s="27"/>
      <c r="CR1540" s="27"/>
      <c r="CS1540" s="27"/>
      <c r="CT1540" s="27"/>
    </row>
    <row r="1541" spans="19:98" x14ac:dyDescent="0.4">
      <c r="S1541" s="30"/>
      <c r="AK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C1541" s="55"/>
      <c r="BD1541" s="27"/>
      <c r="CC1541" s="28"/>
      <c r="CK1541" s="31"/>
      <c r="CL1541" s="26"/>
      <c r="CM1541" s="32"/>
      <c r="CN1541" s="27"/>
      <c r="CO1541" s="27"/>
      <c r="CP1541" s="27"/>
      <c r="CQ1541" s="27"/>
      <c r="CR1541" s="27"/>
      <c r="CS1541" s="27"/>
      <c r="CT1541" s="27"/>
    </row>
    <row r="1542" spans="19:98" x14ac:dyDescent="0.4">
      <c r="S1542" s="30"/>
      <c r="AK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C1542" s="55"/>
      <c r="BD1542" s="27"/>
      <c r="CC1542" s="28"/>
      <c r="CK1542" s="31"/>
      <c r="CL1542" s="26"/>
      <c r="CM1542" s="32"/>
      <c r="CN1542" s="27"/>
      <c r="CO1542" s="27"/>
      <c r="CP1542" s="27"/>
      <c r="CQ1542" s="27"/>
      <c r="CR1542" s="27"/>
      <c r="CS1542" s="27"/>
      <c r="CT1542" s="27"/>
    </row>
    <row r="1543" spans="19:98" x14ac:dyDescent="0.4">
      <c r="S1543" s="30"/>
      <c r="AK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C1543" s="55"/>
      <c r="BD1543" s="27"/>
      <c r="CC1543" s="28"/>
      <c r="CK1543" s="31"/>
      <c r="CL1543" s="26"/>
      <c r="CM1543" s="32"/>
      <c r="CN1543" s="27"/>
      <c r="CO1543" s="27"/>
      <c r="CP1543" s="27"/>
      <c r="CQ1543" s="27"/>
      <c r="CR1543" s="27"/>
      <c r="CS1543" s="27"/>
      <c r="CT1543" s="27"/>
    </row>
    <row r="1544" spans="19:98" x14ac:dyDescent="0.4">
      <c r="S1544" s="30"/>
      <c r="AK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C1544" s="55"/>
      <c r="BD1544" s="27"/>
      <c r="CC1544" s="28"/>
      <c r="CK1544" s="31"/>
      <c r="CL1544" s="26"/>
      <c r="CM1544" s="32"/>
      <c r="CN1544" s="27"/>
      <c r="CO1544" s="27"/>
      <c r="CP1544" s="27"/>
      <c r="CQ1544" s="27"/>
      <c r="CR1544" s="27"/>
      <c r="CS1544" s="27"/>
      <c r="CT1544" s="27"/>
    </row>
    <row r="1545" spans="19:98" x14ac:dyDescent="0.4">
      <c r="S1545" s="30"/>
      <c r="AK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C1545" s="55"/>
      <c r="BD1545" s="27"/>
      <c r="CC1545" s="28"/>
      <c r="CK1545" s="31"/>
      <c r="CL1545" s="26"/>
      <c r="CM1545" s="32"/>
      <c r="CN1545" s="27"/>
      <c r="CO1545" s="27"/>
      <c r="CP1545" s="27"/>
      <c r="CQ1545" s="27"/>
      <c r="CR1545" s="27"/>
      <c r="CS1545" s="27"/>
      <c r="CT1545" s="27"/>
    </row>
    <row r="1546" spans="19:98" x14ac:dyDescent="0.4">
      <c r="S1546" s="30"/>
      <c r="AK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C1546" s="55"/>
      <c r="BD1546" s="27"/>
      <c r="CC1546" s="28"/>
      <c r="CK1546" s="31"/>
      <c r="CL1546" s="26"/>
      <c r="CM1546" s="32"/>
      <c r="CN1546" s="27"/>
      <c r="CO1546" s="27"/>
      <c r="CP1546" s="27"/>
      <c r="CQ1546" s="27"/>
      <c r="CR1546" s="27"/>
      <c r="CS1546" s="27"/>
      <c r="CT1546" s="27"/>
    </row>
    <row r="1547" spans="19:98" x14ac:dyDescent="0.4">
      <c r="S1547" s="30"/>
      <c r="AK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C1547" s="55"/>
      <c r="BD1547" s="27"/>
      <c r="CC1547" s="28"/>
      <c r="CK1547" s="31"/>
      <c r="CL1547" s="26"/>
      <c r="CM1547" s="32"/>
      <c r="CN1547" s="27"/>
      <c r="CO1547" s="27"/>
      <c r="CP1547" s="27"/>
      <c r="CQ1547" s="27"/>
      <c r="CR1547" s="27"/>
      <c r="CS1547" s="27"/>
      <c r="CT1547" s="27"/>
    </row>
    <row r="1548" spans="19:98" x14ac:dyDescent="0.4">
      <c r="S1548" s="30"/>
      <c r="AK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C1548" s="55"/>
      <c r="BD1548" s="27"/>
      <c r="CC1548" s="29"/>
      <c r="CK1548" s="31"/>
      <c r="CL1548" s="26"/>
      <c r="CM1548" s="32"/>
      <c r="CN1548" s="32"/>
      <c r="CO1548" s="32"/>
      <c r="CP1548" s="32"/>
      <c r="CQ1548" s="32"/>
      <c r="CR1548" s="32"/>
      <c r="CS1548" s="32"/>
      <c r="CT1548" s="32"/>
    </row>
    <row r="1549" spans="19:98" x14ac:dyDescent="0.4">
      <c r="S1549" s="30"/>
      <c r="AK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C1549" s="55"/>
      <c r="BD1549" s="27"/>
      <c r="CC1549" s="28"/>
      <c r="CK1549" s="31"/>
      <c r="CL1549" s="26"/>
      <c r="CM1549" s="32"/>
      <c r="CN1549" s="27"/>
      <c r="CO1549" s="27"/>
      <c r="CP1549" s="27"/>
      <c r="CQ1549" s="27"/>
      <c r="CR1549" s="27"/>
      <c r="CS1549" s="27"/>
      <c r="CT1549" s="27"/>
    </row>
    <row r="1550" spans="19:98" x14ac:dyDescent="0.4">
      <c r="S1550" s="30"/>
      <c r="AK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C1550" s="55"/>
      <c r="BD1550" s="27"/>
      <c r="CC1550" s="28"/>
      <c r="CK1550" s="31"/>
      <c r="CL1550" s="26"/>
      <c r="CM1550" s="32"/>
      <c r="CN1550" s="27"/>
      <c r="CO1550" s="27"/>
      <c r="CP1550" s="27"/>
      <c r="CQ1550" s="27"/>
      <c r="CR1550" s="27"/>
      <c r="CS1550" s="27"/>
      <c r="CT1550" s="27"/>
    </row>
    <row r="1551" spans="19:98" x14ac:dyDescent="0.4">
      <c r="S1551" s="30"/>
      <c r="AK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C1551" s="55"/>
      <c r="BD1551" s="27"/>
      <c r="CC1551" s="28"/>
      <c r="CK1551" s="31"/>
      <c r="CL1551" s="26"/>
      <c r="CM1551" s="32"/>
      <c r="CN1551" s="27"/>
      <c r="CO1551" s="27"/>
      <c r="CP1551" s="27"/>
      <c r="CQ1551" s="27"/>
      <c r="CR1551" s="27"/>
      <c r="CS1551" s="27"/>
      <c r="CT1551" s="27"/>
    </row>
    <row r="1552" spans="19:98" x14ac:dyDescent="0.4">
      <c r="S1552" s="30"/>
      <c r="AK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C1552" s="55"/>
      <c r="BD1552" s="27"/>
      <c r="CC1552" s="28"/>
      <c r="CK1552" s="31"/>
      <c r="CL1552" s="26"/>
      <c r="CM1552" s="32"/>
      <c r="CN1552" s="27"/>
      <c r="CO1552" s="27"/>
      <c r="CP1552" s="27"/>
      <c r="CQ1552" s="27"/>
      <c r="CR1552" s="27"/>
      <c r="CS1552" s="27"/>
      <c r="CT1552" s="27"/>
    </row>
    <row r="1553" spans="19:98" x14ac:dyDescent="0.4">
      <c r="S1553" s="30"/>
      <c r="AK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C1553" s="55"/>
      <c r="BD1553" s="27"/>
      <c r="CC1553" s="28"/>
      <c r="CK1553" s="31"/>
      <c r="CL1553" s="26"/>
      <c r="CM1553" s="32"/>
      <c r="CN1553" s="27"/>
      <c r="CO1553" s="27"/>
      <c r="CP1553" s="27"/>
      <c r="CQ1553" s="27"/>
      <c r="CR1553" s="27"/>
      <c r="CS1553" s="27"/>
      <c r="CT1553" s="27"/>
    </row>
    <row r="1554" spans="19:98" x14ac:dyDescent="0.4">
      <c r="S1554" s="30"/>
      <c r="AK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C1554" s="55"/>
      <c r="BD1554" s="27"/>
      <c r="CC1554" s="28"/>
      <c r="CK1554" s="31"/>
      <c r="CL1554" s="26"/>
      <c r="CM1554" s="32"/>
      <c r="CN1554" s="27"/>
      <c r="CO1554" s="27"/>
      <c r="CP1554" s="27"/>
      <c r="CQ1554" s="27"/>
      <c r="CR1554" s="27"/>
      <c r="CS1554" s="27"/>
      <c r="CT1554" s="27"/>
    </row>
    <row r="1555" spans="19:98" x14ac:dyDescent="0.4">
      <c r="S1555" s="30"/>
      <c r="AK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C1555" s="55"/>
      <c r="BD1555" s="27"/>
      <c r="CC1555" s="28"/>
      <c r="CK1555" s="31"/>
      <c r="CL1555" s="26"/>
      <c r="CM1555" s="32"/>
      <c r="CN1555" s="27"/>
      <c r="CO1555" s="27"/>
      <c r="CP1555" s="27"/>
      <c r="CQ1555" s="27"/>
      <c r="CR1555" s="27"/>
      <c r="CS1555" s="27"/>
      <c r="CT1555" s="27"/>
    </row>
    <row r="1556" spans="19:98" x14ac:dyDescent="0.4">
      <c r="S1556" s="30"/>
      <c r="AK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C1556" s="55"/>
      <c r="BD1556" s="27"/>
      <c r="CC1556" s="28"/>
      <c r="CK1556" s="31"/>
      <c r="CL1556" s="26"/>
      <c r="CM1556" s="32"/>
      <c r="CN1556" s="27"/>
      <c r="CO1556" s="27"/>
      <c r="CP1556" s="27"/>
      <c r="CQ1556" s="27"/>
      <c r="CR1556" s="27"/>
      <c r="CS1556" s="27"/>
      <c r="CT1556" s="27"/>
    </row>
    <row r="1557" spans="19:98" x14ac:dyDescent="0.4">
      <c r="S1557" s="30"/>
      <c r="AK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C1557" s="55"/>
      <c r="BD1557" s="27"/>
      <c r="CC1557" s="28"/>
      <c r="CK1557" s="31"/>
      <c r="CL1557" s="26"/>
      <c r="CM1557" s="32"/>
      <c r="CN1557" s="27"/>
      <c r="CO1557" s="27"/>
      <c r="CP1557" s="27"/>
      <c r="CQ1557" s="27"/>
      <c r="CR1557" s="27"/>
      <c r="CS1557" s="27"/>
      <c r="CT1557" s="27"/>
    </row>
    <row r="1558" spans="19:98" x14ac:dyDescent="0.4">
      <c r="S1558" s="30"/>
      <c r="AK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C1558" s="55"/>
      <c r="BD1558" s="27"/>
      <c r="CC1558" s="28"/>
      <c r="CK1558" s="31"/>
      <c r="CL1558" s="26"/>
      <c r="CM1558" s="32"/>
      <c r="CN1558" s="27"/>
      <c r="CO1558" s="27"/>
      <c r="CP1558" s="27"/>
      <c r="CQ1558" s="27"/>
      <c r="CR1558" s="27"/>
      <c r="CS1558" s="27"/>
      <c r="CT1558" s="27"/>
    </row>
    <row r="1559" spans="19:98" x14ac:dyDescent="0.4">
      <c r="S1559" s="30"/>
      <c r="AK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C1559" s="55"/>
      <c r="BD1559" s="27"/>
      <c r="CC1559" s="28"/>
      <c r="CK1559" s="31"/>
      <c r="CL1559" s="26"/>
      <c r="CM1559" s="32"/>
      <c r="CN1559" s="27"/>
      <c r="CO1559" s="27"/>
      <c r="CP1559" s="27"/>
      <c r="CQ1559" s="27"/>
      <c r="CR1559" s="27"/>
      <c r="CS1559" s="27"/>
      <c r="CT1559" s="27"/>
    </row>
    <row r="1560" spans="19:98" x14ac:dyDescent="0.4">
      <c r="S1560" s="30"/>
      <c r="AK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C1560" s="55"/>
      <c r="BD1560" s="27"/>
      <c r="CC1560" s="28"/>
      <c r="CK1560" s="31"/>
      <c r="CL1560" s="26"/>
      <c r="CM1560" s="32"/>
      <c r="CN1560" s="27"/>
      <c r="CO1560" s="27"/>
      <c r="CP1560" s="27"/>
      <c r="CQ1560" s="27"/>
      <c r="CR1560" s="27"/>
      <c r="CS1560" s="27"/>
      <c r="CT1560" s="27"/>
    </row>
    <row r="1561" spans="19:98" x14ac:dyDescent="0.4">
      <c r="S1561" s="30"/>
      <c r="AK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C1561" s="55"/>
      <c r="BD1561" s="27"/>
      <c r="CC1561" s="28"/>
      <c r="CK1561" s="31"/>
      <c r="CL1561" s="26"/>
      <c r="CM1561" s="32"/>
      <c r="CN1561" s="27"/>
      <c r="CO1561" s="27"/>
      <c r="CP1561" s="27"/>
      <c r="CQ1561" s="27"/>
      <c r="CR1561" s="27"/>
      <c r="CS1561" s="27"/>
      <c r="CT1561" s="27"/>
    </row>
    <row r="1562" spans="19:98" x14ac:dyDescent="0.4">
      <c r="S1562" s="30"/>
      <c r="AK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C1562" s="55"/>
      <c r="BD1562" s="27"/>
      <c r="CC1562" s="28"/>
      <c r="CK1562" s="31"/>
      <c r="CL1562" s="26"/>
      <c r="CM1562" s="32"/>
      <c r="CN1562" s="27"/>
      <c r="CO1562" s="27"/>
      <c r="CP1562" s="27"/>
      <c r="CQ1562" s="27"/>
      <c r="CR1562" s="27"/>
      <c r="CS1562" s="27"/>
      <c r="CT1562" s="27"/>
    </row>
    <row r="1563" spans="19:98" x14ac:dyDescent="0.4">
      <c r="S1563" s="30"/>
      <c r="AK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C1563" s="55"/>
      <c r="BD1563" s="27"/>
      <c r="CC1563" s="28"/>
      <c r="CK1563" s="31"/>
      <c r="CL1563" s="26"/>
      <c r="CM1563" s="32"/>
      <c r="CN1563" s="27"/>
      <c r="CO1563" s="27"/>
      <c r="CP1563" s="27"/>
      <c r="CQ1563" s="27"/>
      <c r="CR1563" s="27"/>
      <c r="CS1563" s="27"/>
      <c r="CT1563" s="27"/>
    </row>
    <row r="1564" spans="19:98" x14ac:dyDescent="0.4">
      <c r="S1564" s="30"/>
      <c r="AK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C1564" s="55"/>
      <c r="BD1564" s="27"/>
      <c r="CC1564" s="28"/>
      <c r="CK1564" s="31"/>
      <c r="CL1564" s="26"/>
      <c r="CM1564" s="32"/>
      <c r="CN1564" s="27"/>
      <c r="CO1564" s="27"/>
      <c r="CP1564" s="27"/>
      <c r="CQ1564" s="27"/>
      <c r="CR1564" s="27"/>
      <c r="CS1564" s="27"/>
      <c r="CT1564" s="27"/>
    </row>
    <row r="1565" spans="19:98" x14ac:dyDescent="0.4">
      <c r="S1565" s="30"/>
      <c r="AK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C1565" s="55"/>
      <c r="BD1565" s="27"/>
      <c r="CC1565" s="28"/>
      <c r="CK1565" s="31"/>
      <c r="CL1565" s="26"/>
      <c r="CM1565" s="32"/>
      <c r="CN1565" s="27"/>
      <c r="CO1565" s="27"/>
      <c r="CP1565" s="27"/>
      <c r="CQ1565" s="27"/>
      <c r="CR1565" s="27"/>
      <c r="CS1565" s="27"/>
      <c r="CT1565" s="27"/>
    </row>
    <row r="1566" spans="19:98" x14ac:dyDescent="0.4">
      <c r="S1566" s="30"/>
      <c r="AK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C1566" s="55"/>
      <c r="BD1566" s="27"/>
      <c r="CC1566" s="28"/>
      <c r="CK1566" s="31"/>
      <c r="CL1566" s="26"/>
      <c r="CM1566" s="32"/>
      <c r="CN1566" s="27"/>
      <c r="CO1566" s="27"/>
      <c r="CP1566" s="27"/>
      <c r="CQ1566" s="27"/>
      <c r="CR1566" s="27"/>
      <c r="CS1566" s="27"/>
      <c r="CT1566" s="27"/>
    </row>
    <row r="1567" spans="19:98" x14ac:dyDescent="0.4">
      <c r="S1567" s="30"/>
      <c r="AK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C1567" s="55"/>
      <c r="BD1567" s="27"/>
      <c r="CC1567" s="28"/>
      <c r="CK1567" s="31"/>
      <c r="CL1567" s="26"/>
      <c r="CM1567" s="32"/>
      <c r="CN1567" s="27"/>
      <c r="CO1567" s="27"/>
      <c r="CP1567" s="27"/>
      <c r="CQ1567" s="27"/>
      <c r="CR1567" s="27"/>
      <c r="CS1567" s="27"/>
      <c r="CT1567" s="27"/>
    </row>
    <row r="1568" spans="19:98" x14ac:dyDescent="0.4">
      <c r="S1568" s="30"/>
      <c r="AK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C1568" s="55"/>
      <c r="BD1568" s="27"/>
      <c r="CC1568" s="28"/>
      <c r="CK1568" s="31"/>
      <c r="CL1568" s="26"/>
      <c r="CM1568" s="32"/>
      <c r="CN1568" s="27"/>
      <c r="CO1568" s="27"/>
      <c r="CP1568" s="27"/>
      <c r="CQ1568" s="27"/>
      <c r="CR1568" s="27"/>
      <c r="CS1568" s="27"/>
      <c r="CT1568" s="27"/>
    </row>
    <row r="1569" spans="19:98" x14ac:dyDescent="0.4">
      <c r="S1569" s="30"/>
      <c r="AK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C1569" s="55"/>
      <c r="BD1569" s="27"/>
      <c r="CC1569" s="28"/>
      <c r="CK1569" s="31"/>
      <c r="CL1569" s="26"/>
      <c r="CM1569" s="32"/>
      <c r="CN1569" s="27"/>
      <c r="CO1569" s="27"/>
      <c r="CP1569" s="27"/>
      <c r="CQ1569" s="27"/>
      <c r="CR1569" s="27"/>
      <c r="CS1569" s="27"/>
      <c r="CT1569" s="27"/>
    </row>
    <row r="1570" spans="19:98" x14ac:dyDescent="0.4">
      <c r="S1570" s="30"/>
      <c r="AK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C1570" s="55"/>
      <c r="BD1570" s="27"/>
      <c r="CC1570" s="29"/>
      <c r="CK1570" s="31"/>
      <c r="CL1570" s="26"/>
      <c r="CM1570" s="32"/>
      <c r="CN1570" s="32"/>
      <c r="CO1570" s="32"/>
      <c r="CP1570" s="32"/>
      <c r="CQ1570" s="32"/>
      <c r="CR1570" s="32"/>
      <c r="CS1570" s="32"/>
      <c r="CT1570" s="32"/>
    </row>
    <row r="1571" spans="19:98" x14ac:dyDescent="0.4">
      <c r="S1571" s="30"/>
      <c r="AK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C1571" s="55"/>
      <c r="BD1571" s="27"/>
      <c r="CC1571" s="28"/>
      <c r="CK1571" s="31"/>
      <c r="CL1571" s="26"/>
      <c r="CM1571" s="32"/>
      <c r="CN1571" s="27"/>
      <c r="CO1571" s="27"/>
      <c r="CP1571" s="27"/>
      <c r="CQ1571" s="27"/>
      <c r="CR1571" s="27"/>
      <c r="CS1571" s="27"/>
      <c r="CT1571" s="27"/>
    </row>
    <row r="1572" spans="19:98" x14ac:dyDescent="0.4">
      <c r="S1572" s="30"/>
      <c r="AK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C1572" s="55"/>
      <c r="BD1572" s="27"/>
      <c r="CC1572" s="28"/>
      <c r="CK1572" s="31"/>
      <c r="CL1572" s="26"/>
      <c r="CM1572" s="32"/>
      <c r="CN1572" s="27"/>
      <c r="CO1572" s="27"/>
      <c r="CP1572" s="27"/>
      <c r="CQ1572" s="27"/>
      <c r="CR1572" s="27"/>
      <c r="CS1572" s="27"/>
      <c r="CT1572" s="27"/>
    </row>
    <row r="1573" spans="19:98" x14ac:dyDescent="0.4">
      <c r="S1573" s="30"/>
      <c r="AK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C1573" s="55"/>
      <c r="BD1573" s="27"/>
      <c r="CC1573" s="28"/>
      <c r="CK1573" s="31"/>
      <c r="CL1573" s="26"/>
      <c r="CM1573" s="32"/>
      <c r="CN1573" s="27"/>
      <c r="CO1573" s="27"/>
      <c r="CP1573" s="27"/>
      <c r="CQ1573" s="27"/>
      <c r="CR1573" s="27"/>
      <c r="CS1573" s="27"/>
      <c r="CT1573" s="27"/>
    </row>
    <row r="1574" spans="19:98" x14ac:dyDescent="0.4">
      <c r="S1574" s="30"/>
      <c r="AK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C1574" s="55"/>
      <c r="BD1574" s="27"/>
      <c r="CC1574" s="28"/>
      <c r="CK1574" s="31"/>
      <c r="CL1574" s="26"/>
      <c r="CM1574" s="32"/>
      <c r="CN1574" s="27"/>
      <c r="CO1574" s="27"/>
      <c r="CP1574" s="27"/>
      <c r="CQ1574" s="27"/>
      <c r="CR1574" s="27"/>
      <c r="CS1574" s="27"/>
      <c r="CT1574" s="27"/>
    </row>
    <row r="1575" spans="19:98" x14ac:dyDescent="0.4">
      <c r="S1575" s="30"/>
      <c r="AK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C1575" s="55"/>
      <c r="BD1575" s="27"/>
      <c r="CC1575" s="28"/>
      <c r="CK1575" s="31"/>
      <c r="CL1575" s="26"/>
      <c r="CM1575" s="32"/>
      <c r="CN1575" s="27"/>
      <c r="CO1575" s="27"/>
      <c r="CP1575" s="27"/>
      <c r="CQ1575" s="27"/>
      <c r="CR1575" s="27"/>
      <c r="CS1575" s="27"/>
      <c r="CT1575" s="27"/>
    </row>
    <row r="1576" spans="19:98" x14ac:dyDescent="0.4">
      <c r="S1576" s="30"/>
      <c r="AK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C1576" s="55"/>
      <c r="BD1576" s="27"/>
      <c r="CC1576" s="28"/>
      <c r="CK1576" s="31"/>
      <c r="CL1576" s="26"/>
      <c r="CM1576" s="32"/>
      <c r="CN1576" s="27"/>
      <c r="CO1576" s="27"/>
      <c r="CP1576" s="27"/>
      <c r="CQ1576" s="27"/>
      <c r="CR1576" s="27"/>
      <c r="CS1576" s="27"/>
      <c r="CT1576" s="27"/>
    </row>
    <row r="1577" spans="19:98" x14ac:dyDescent="0.4">
      <c r="S1577" s="30"/>
      <c r="AK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C1577" s="55"/>
      <c r="BD1577" s="27"/>
      <c r="CC1577" s="28"/>
      <c r="CK1577" s="31"/>
      <c r="CL1577" s="26"/>
      <c r="CM1577" s="32"/>
      <c r="CN1577" s="27"/>
      <c r="CO1577" s="27"/>
      <c r="CP1577" s="27"/>
      <c r="CQ1577" s="27"/>
      <c r="CR1577" s="27"/>
      <c r="CS1577" s="27"/>
      <c r="CT1577" s="27"/>
    </row>
    <row r="1578" spans="19:98" x14ac:dyDescent="0.4">
      <c r="S1578" s="30"/>
      <c r="AK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C1578" s="55"/>
      <c r="BD1578" s="27"/>
      <c r="CC1578" s="28"/>
      <c r="CK1578" s="31"/>
      <c r="CL1578" s="26"/>
      <c r="CM1578" s="32"/>
      <c r="CN1578" s="27"/>
      <c r="CO1578" s="27"/>
      <c r="CP1578" s="27"/>
      <c r="CQ1578" s="27"/>
      <c r="CR1578" s="27"/>
      <c r="CS1578" s="27"/>
      <c r="CT1578" s="27"/>
    </row>
    <row r="1579" spans="19:98" x14ac:dyDescent="0.4">
      <c r="S1579" s="30"/>
      <c r="AK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C1579" s="55"/>
      <c r="BD1579" s="27"/>
      <c r="CC1579" s="28"/>
      <c r="CK1579" s="31"/>
      <c r="CL1579" s="26"/>
      <c r="CM1579" s="32"/>
      <c r="CN1579" s="27"/>
      <c r="CO1579" s="27"/>
      <c r="CP1579" s="27"/>
      <c r="CQ1579" s="27"/>
      <c r="CR1579" s="27"/>
      <c r="CS1579" s="27"/>
      <c r="CT1579" s="27"/>
    </row>
    <row r="1580" spans="19:98" x14ac:dyDescent="0.4">
      <c r="S1580" s="30"/>
      <c r="AK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C1580" s="55"/>
      <c r="BD1580" s="27"/>
      <c r="CC1580" s="28"/>
      <c r="CK1580" s="31"/>
      <c r="CL1580" s="26"/>
      <c r="CM1580" s="32"/>
      <c r="CN1580" s="27"/>
      <c r="CO1580" s="27"/>
      <c r="CP1580" s="27"/>
      <c r="CQ1580" s="27"/>
      <c r="CR1580" s="27"/>
      <c r="CS1580" s="27"/>
      <c r="CT1580" s="27"/>
    </row>
    <row r="1581" spans="19:98" x14ac:dyDescent="0.4">
      <c r="S1581" s="30"/>
      <c r="AK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C1581" s="55"/>
      <c r="BD1581" s="27"/>
      <c r="CC1581" s="28"/>
      <c r="CK1581" s="31"/>
      <c r="CL1581" s="26"/>
      <c r="CM1581" s="32"/>
      <c r="CN1581" s="27"/>
      <c r="CO1581" s="27"/>
      <c r="CP1581" s="27"/>
      <c r="CQ1581" s="27"/>
      <c r="CR1581" s="27"/>
      <c r="CS1581" s="27"/>
      <c r="CT1581" s="27"/>
    </row>
    <row r="1582" spans="19:98" x14ac:dyDescent="0.4">
      <c r="S1582" s="30"/>
      <c r="AK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C1582" s="55"/>
      <c r="BD1582" s="27"/>
      <c r="CC1582" s="28"/>
      <c r="CK1582" s="31"/>
      <c r="CL1582" s="26"/>
      <c r="CM1582" s="32"/>
      <c r="CN1582" s="27"/>
      <c r="CO1582" s="27"/>
      <c r="CP1582" s="27"/>
      <c r="CQ1582" s="27"/>
      <c r="CR1582" s="27"/>
      <c r="CS1582" s="27"/>
      <c r="CT1582" s="27"/>
    </row>
    <row r="1583" spans="19:98" x14ac:dyDescent="0.4">
      <c r="S1583" s="30"/>
      <c r="AK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C1583" s="55"/>
      <c r="BD1583" s="27"/>
      <c r="CC1583" s="28"/>
      <c r="CK1583" s="31"/>
      <c r="CL1583" s="26"/>
      <c r="CM1583" s="32"/>
      <c r="CN1583" s="27"/>
      <c r="CO1583" s="27"/>
      <c r="CP1583" s="27"/>
      <c r="CQ1583" s="27"/>
      <c r="CR1583" s="27"/>
      <c r="CS1583" s="27"/>
      <c r="CT1583" s="27"/>
    </row>
    <row r="1584" spans="19:98" x14ac:dyDescent="0.4">
      <c r="S1584" s="30"/>
      <c r="AK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C1584" s="55"/>
      <c r="BD1584" s="27"/>
      <c r="CC1584" s="28"/>
      <c r="CK1584" s="31"/>
      <c r="CL1584" s="26"/>
      <c r="CM1584" s="32"/>
      <c r="CN1584" s="27"/>
      <c r="CO1584" s="27"/>
      <c r="CP1584" s="27"/>
      <c r="CQ1584" s="27"/>
      <c r="CR1584" s="27"/>
      <c r="CS1584" s="27"/>
      <c r="CT1584" s="27"/>
    </row>
    <row r="1585" spans="19:98" x14ac:dyDescent="0.4">
      <c r="S1585" s="30"/>
      <c r="AK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C1585" s="55"/>
      <c r="BD1585" s="27"/>
      <c r="CC1585" s="28"/>
      <c r="CK1585" s="31"/>
      <c r="CL1585" s="26"/>
      <c r="CM1585" s="32"/>
      <c r="CN1585" s="27"/>
      <c r="CO1585" s="27"/>
      <c r="CP1585" s="27"/>
      <c r="CQ1585" s="27"/>
      <c r="CR1585" s="27"/>
      <c r="CS1585" s="27"/>
      <c r="CT1585" s="27"/>
    </row>
    <row r="1586" spans="19:98" x14ac:dyDescent="0.4">
      <c r="S1586" s="30"/>
      <c r="AK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C1586" s="55"/>
      <c r="BD1586" s="27"/>
      <c r="CC1586" s="28"/>
      <c r="CK1586" s="31"/>
      <c r="CL1586" s="26"/>
      <c r="CM1586" s="32"/>
      <c r="CN1586" s="27"/>
      <c r="CO1586" s="27"/>
      <c r="CP1586" s="27"/>
      <c r="CQ1586" s="27"/>
      <c r="CR1586" s="27"/>
      <c r="CS1586" s="27"/>
      <c r="CT1586" s="27"/>
    </row>
    <row r="1587" spans="19:98" x14ac:dyDescent="0.4">
      <c r="S1587" s="30"/>
      <c r="AK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C1587" s="55"/>
      <c r="BD1587" s="27"/>
      <c r="CC1587" s="28"/>
      <c r="CK1587" s="31"/>
      <c r="CL1587" s="26"/>
      <c r="CM1587" s="32"/>
      <c r="CN1587" s="27"/>
      <c r="CO1587" s="27"/>
      <c r="CP1587" s="27"/>
      <c r="CQ1587" s="27"/>
      <c r="CR1587" s="27"/>
      <c r="CS1587" s="27"/>
      <c r="CT1587" s="27"/>
    </row>
    <row r="1588" spans="19:98" x14ac:dyDescent="0.4">
      <c r="S1588" s="30"/>
      <c r="AK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C1588" s="55"/>
      <c r="BD1588" s="27"/>
      <c r="CC1588" s="28"/>
      <c r="CK1588" s="31"/>
      <c r="CL1588" s="26"/>
      <c r="CM1588" s="32"/>
      <c r="CN1588" s="27"/>
      <c r="CO1588" s="27"/>
      <c r="CP1588" s="27"/>
      <c r="CQ1588" s="27"/>
      <c r="CR1588" s="27"/>
      <c r="CS1588" s="27"/>
      <c r="CT1588" s="27"/>
    </row>
    <row r="1589" spans="19:98" x14ac:dyDescent="0.4">
      <c r="S1589" s="30"/>
      <c r="AK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C1589" s="55"/>
      <c r="BD1589" s="27"/>
      <c r="CC1589" s="28"/>
      <c r="CK1589" s="31"/>
      <c r="CL1589" s="26"/>
      <c r="CM1589" s="32"/>
      <c r="CN1589" s="27"/>
      <c r="CO1589" s="27"/>
      <c r="CP1589" s="27"/>
      <c r="CQ1589" s="27"/>
      <c r="CR1589" s="27"/>
      <c r="CS1589" s="27"/>
      <c r="CT1589" s="27"/>
    </row>
    <row r="1590" spans="19:98" x14ac:dyDescent="0.4">
      <c r="S1590" s="30"/>
      <c r="AK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C1590" s="55"/>
      <c r="BD1590" s="27"/>
      <c r="CC1590" s="28"/>
      <c r="CK1590" s="31"/>
      <c r="CL1590" s="26"/>
      <c r="CM1590" s="32"/>
      <c r="CN1590" s="27"/>
      <c r="CO1590" s="27"/>
      <c r="CP1590" s="27"/>
      <c r="CQ1590" s="27"/>
      <c r="CR1590" s="27"/>
      <c r="CS1590" s="27"/>
      <c r="CT1590" s="27"/>
    </row>
    <row r="1591" spans="19:98" x14ac:dyDescent="0.4">
      <c r="S1591" s="30"/>
      <c r="AK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C1591" s="55"/>
      <c r="BD1591" s="27"/>
      <c r="CC1591" s="28"/>
      <c r="CK1591" s="31"/>
      <c r="CL1591" s="26"/>
      <c r="CM1591" s="32"/>
      <c r="CN1591" s="27"/>
      <c r="CO1591" s="27"/>
      <c r="CP1591" s="27"/>
      <c r="CQ1591" s="27"/>
      <c r="CR1591" s="27"/>
      <c r="CS1591" s="27"/>
      <c r="CT1591" s="27"/>
    </row>
    <row r="1592" spans="19:98" x14ac:dyDescent="0.4">
      <c r="S1592" s="30"/>
      <c r="AK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C1592" s="55"/>
      <c r="BD1592" s="27"/>
      <c r="CC1592" s="29"/>
      <c r="CK1592" s="31"/>
      <c r="CL1592" s="26"/>
      <c r="CM1592" s="32"/>
      <c r="CN1592" s="32"/>
      <c r="CO1592" s="32"/>
      <c r="CP1592" s="32"/>
      <c r="CQ1592" s="32"/>
      <c r="CR1592" s="32"/>
      <c r="CS1592" s="32"/>
      <c r="CT1592" s="32"/>
    </row>
    <row r="1593" spans="19:98" x14ac:dyDescent="0.4">
      <c r="S1593" s="30"/>
      <c r="AK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/>
      <c r="BC1593" s="55"/>
      <c r="BD1593" s="27"/>
      <c r="CC1593" s="28"/>
      <c r="CK1593" s="31"/>
      <c r="CL1593" s="26"/>
      <c r="CM1593" s="32"/>
      <c r="CN1593" s="27"/>
      <c r="CO1593" s="27"/>
      <c r="CP1593" s="27"/>
      <c r="CQ1593" s="27"/>
      <c r="CR1593" s="27"/>
      <c r="CS1593" s="27"/>
      <c r="CT1593" s="27"/>
    </row>
    <row r="1594" spans="19:98" x14ac:dyDescent="0.4">
      <c r="S1594" s="30"/>
      <c r="AK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C1594" s="55"/>
      <c r="BD1594" s="27"/>
      <c r="CC1594" s="28"/>
      <c r="CK1594" s="31"/>
      <c r="CL1594" s="26"/>
      <c r="CM1594" s="32"/>
      <c r="CN1594" s="27"/>
      <c r="CO1594" s="27"/>
      <c r="CP1594" s="27"/>
      <c r="CQ1594" s="27"/>
      <c r="CR1594" s="27"/>
      <c r="CS1594" s="27"/>
      <c r="CT1594" s="27"/>
    </row>
    <row r="1595" spans="19:98" x14ac:dyDescent="0.4">
      <c r="S1595" s="30"/>
      <c r="AK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C1595" s="55"/>
      <c r="BD1595" s="27"/>
      <c r="CC1595" s="28"/>
      <c r="CK1595" s="31"/>
      <c r="CL1595" s="26"/>
      <c r="CM1595" s="32"/>
      <c r="CN1595" s="27"/>
      <c r="CO1595" s="27"/>
      <c r="CP1595" s="27"/>
      <c r="CQ1595" s="27"/>
      <c r="CR1595" s="27"/>
      <c r="CS1595" s="27"/>
      <c r="CT1595" s="27"/>
    </row>
    <row r="1596" spans="19:98" x14ac:dyDescent="0.4">
      <c r="S1596" s="30"/>
      <c r="AK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C1596" s="55"/>
      <c r="BD1596" s="27"/>
      <c r="CC1596" s="28"/>
      <c r="CK1596" s="31"/>
      <c r="CL1596" s="26"/>
      <c r="CM1596" s="32"/>
      <c r="CN1596" s="27"/>
      <c r="CO1596" s="27"/>
      <c r="CP1596" s="27"/>
      <c r="CQ1596" s="27"/>
      <c r="CR1596" s="27"/>
      <c r="CS1596" s="27"/>
      <c r="CT1596" s="27"/>
    </row>
    <row r="1597" spans="19:98" x14ac:dyDescent="0.4">
      <c r="S1597" s="30"/>
      <c r="AK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C1597" s="55"/>
      <c r="BD1597" s="27"/>
      <c r="CC1597" s="28"/>
      <c r="CK1597" s="31"/>
      <c r="CL1597" s="26"/>
      <c r="CM1597" s="32"/>
      <c r="CN1597" s="27"/>
      <c r="CO1597" s="27"/>
      <c r="CP1597" s="27"/>
      <c r="CQ1597" s="27"/>
      <c r="CR1597" s="27"/>
      <c r="CS1597" s="27"/>
      <c r="CT1597" s="27"/>
    </row>
    <row r="1598" spans="19:98" x14ac:dyDescent="0.4">
      <c r="S1598" s="30"/>
      <c r="AK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C1598" s="55"/>
      <c r="BD1598" s="27"/>
      <c r="CC1598" s="28"/>
      <c r="CK1598" s="31"/>
      <c r="CL1598" s="26"/>
      <c r="CM1598" s="32"/>
      <c r="CN1598" s="27"/>
      <c r="CO1598" s="27"/>
      <c r="CP1598" s="27"/>
      <c r="CQ1598" s="27"/>
      <c r="CR1598" s="27"/>
      <c r="CS1598" s="27"/>
      <c r="CT1598" s="27"/>
    </row>
    <row r="1599" spans="19:98" x14ac:dyDescent="0.4">
      <c r="S1599" s="30"/>
      <c r="AK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C1599" s="55"/>
      <c r="BD1599" s="27"/>
      <c r="CC1599" s="28"/>
      <c r="CK1599" s="31"/>
      <c r="CL1599" s="26"/>
      <c r="CM1599" s="32"/>
      <c r="CN1599" s="27"/>
      <c r="CO1599" s="27"/>
      <c r="CP1599" s="27"/>
      <c r="CQ1599" s="27"/>
      <c r="CR1599" s="27"/>
      <c r="CS1599" s="27"/>
      <c r="CT1599" s="27"/>
    </row>
    <row r="1600" spans="19:98" x14ac:dyDescent="0.4">
      <c r="S1600" s="30"/>
      <c r="AK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C1600" s="55"/>
      <c r="BD1600" s="27"/>
      <c r="CC1600" s="28"/>
      <c r="CK1600" s="31"/>
      <c r="CL1600" s="26"/>
      <c r="CM1600" s="32"/>
      <c r="CN1600" s="27"/>
      <c r="CO1600" s="27"/>
      <c r="CP1600" s="27"/>
      <c r="CQ1600" s="27"/>
      <c r="CR1600" s="27"/>
      <c r="CS1600" s="27"/>
      <c r="CT1600" s="27"/>
    </row>
    <row r="1601" spans="19:98" x14ac:dyDescent="0.4">
      <c r="S1601" s="30"/>
      <c r="AK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C1601" s="55"/>
      <c r="BD1601" s="27"/>
      <c r="CC1601" s="28"/>
      <c r="CK1601" s="31"/>
      <c r="CL1601" s="26"/>
      <c r="CM1601" s="32"/>
      <c r="CN1601" s="27"/>
      <c r="CO1601" s="27"/>
      <c r="CP1601" s="27"/>
      <c r="CQ1601" s="27"/>
      <c r="CR1601" s="27"/>
      <c r="CS1601" s="27"/>
      <c r="CT1601" s="27"/>
    </row>
    <row r="1602" spans="19:98" x14ac:dyDescent="0.4">
      <c r="S1602" s="30"/>
      <c r="AK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C1602" s="55"/>
      <c r="BD1602" s="27"/>
      <c r="CC1602" s="28"/>
      <c r="CK1602" s="31"/>
      <c r="CL1602" s="26"/>
      <c r="CM1602" s="32"/>
      <c r="CN1602" s="27"/>
      <c r="CO1602" s="27"/>
      <c r="CP1602" s="27"/>
      <c r="CQ1602" s="27"/>
      <c r="CR1602" s="27"/>
      <c r="CS1602" s="27"/>
      <c r="CT1602" s="27"/>
    </row>
    <row r="1603" spans="19:98" x14ac:dyDescent="0.4">
      <c r="S1603" s="30"/>
      <c r="AK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C1603" s="55"/>
      <c r="BD1603" s="27"/>
      <c r="CC1603" s="28"/>
      <c r="CK1603" s="31"/>
      <c r="CL1603" s="26"/>
      <c r="CM1603" s="32"/>
      <c r="CN1603" s="27"/>
      <c r="CO1603" s="27"/>
      <c r="CP1603" s="27"/>
      <c r="CQ1603" s="27"/>
      <c r="CR1603" s="27"/>
      <c r="CS1603" s="27"/>
      <c r="CT1603" s="27"/>
    </row>
    <row r="1604" spans="19:98" x14ac:dyDescent="0.4">
      <c r="S1604" s="30"/>
      <c r="AK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C1604" s="55"/>
      <c r="BD1604" s="27"/>
      <c r="CC1604" s="28"/>
      <c r="CK1604" s="31"/>
      <c r="CL1604" s="26"/>
      <c r="CM1604" s="32"/>
      <c r="CN1604" s="27"/>
      <c r="CO1604" s="27"/>
      <c r="CP1604" s="27"/>
      <c r="CQ1604" s="27"/>
      <c r="CR1604" s="27"/>
      <c r="CS1604" s="27"/>
      <c r="CT1604" s="27"/>
    </row>
    <row r="1605" spans="19:98" x14ac:dyDescent="0.4">
      <c r="S1605" s="30"/>
      <c r="AK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C1605" s="55"/>
      <c r="BD1605" s="27"/>
      <c r="CC1605" s="28"/>
      <c r="CK1605" s="31"/>
      <c r="CL1605" s="26"/>
      <c r="CM1605" s="32"/>
      <c r="CN1605" s="27"/>
      <c r="CO1605" s="27"/>
      <c r="CP1605" s="27"/>
      <c r="CQ1605" s="27"/>
      <c r="CR1605" s="27"/>
      <c r="CS1605" s="27"/>
      <c r="CT1605" s="27"/>
    </row>
    <row r="1606" spans="19:98" x14ac:dyDescent="0.4">
      <c r="S1606" s="30"/>
      <c r="AK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C1606" s="55"/>
      <c r="BD1606" s="27"/>
      <c r="CC1606" s="28"/>
      <c r="CK1606" s="31"/>
      <c r="CL1606" s="26"/>
      <c r="CM1606" s="32"/>
      <c r="CN1606" s="27"/>
      <c r="CO1606" s="27"/>
      <c r="CP1606" s="27"/>
      <c r="CQ1606" s="27"/>
      <c r="CR1606" s="27"/>
      <c r="CS1606" s="27"/>
      <c r="CT1606" s="27"/>
    </row>
    <row r="1607" spans="19:98" x14ac:dyDescent="0.4">
      <c r="S1607" s="30"/>
      <c r="AK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C1607" s="55"/>
      <c r="BD1607" s="27"/>
      <c r="CC1607" s="28"/>
      <c r="CK1607" s="31"/>
      <c r="CL1607" s="26"/>
      <c r="CM1607" s="32"/>
      <c r="CN1607" s="27"/>
      <c r="CO1607" s="27"/>
      <c r="CP1607" s="27"/>
      <c r="CQ1607" s="27"/>
      <c r="CR1607" s="27"/>
      <c r="CS1607" s="27"/>
      <c r="CT1607" s="27"/>
    </row>
    <row r="1608" spans="19:98" x14ac:dyDescent="0.4">
      <c r="S1608" s="30"/>
      <c r="AK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C1608" s="55"/>
      <c r="BD1608" s="27"/>
      <c r="CC1608" s="28"/>
      <c r="CK1608" s="31"/>
      <c r="CL1608" s="26"/>
      <c r="CM1608" s="32"/>
      <c r="CN1608" s="27"/>
      <c r="CO1608" s="27"/>
      <c r="CP1608" s="27"/>
      <c r="CQ1608" s="27"/>
      <c r="CR1608" s="27"/>
      <c r="CS1608" s="27"/>
      <c r="CT1608" s="27"/>
    </row>
    <row r="1609" spans="19:98" x14ac:dyDescent="0.4">
      <c r="S1609" s="30"/>
      <c r="AK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C1609" s="55"/>
      <c r="BD1609" s="27"/>
      <c r="CC1609" s="28"/>
      <c r="CK1609" s="31"/>
      <c r="CL1609" s="26"/>
      <c r="CM1609" s="32"/>
      <c r="CN1609" s="27"/>
      <c r="CO1609" s="27"/>
      <c r="CP1609" s="27"/>
      <c r="CQ1609" s="27"/>
      <c r="CR1609" s="27"/>
      <c r="CS1609" s="27"/>
      <c r="CT1609" s="27"/>
    </row>
    <row r="1610" spans="19:98" x14ac:dyDescent="0.4">
      <c r="S1610" s="30"/>
      <c r="AK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C1610" s="55"/>
      <c r="BD1610" s="27"/>
      <c r="CC1610" s="28"/>
      <c r="CK1610" s="31"/>
      <c r="CL1610" s="26"/>
      <c r="CM1610" s="32"/>
      <c r="CN1610" s="27"/>
      <c r="CO1610" s="27"/>
      <c r="CP1610" s="27"/>
      <c r="CQ1610" s="27"/>
      <c r="CR1610" s="27"/>
      <c r="CS1610" s="27"/>
      <c r="CT1610" s="27"/>
    </row>
    <row r="1611" spans="19:98" x14ac:dyDescent="0.4">
      <c r="S1611" s="30"/>
      <c r="AK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C1611" s="55"/>
      <c r="BD1611" s="27"/>
      <c r="CC1611" s="28"/>
      <c r="CK1611" s="31"/>
      <c r="CL1611" s="26"/>
      <c r="CM1611" s="32"/>
      <c r="CN1611" s="27"/>
      <c r="CO1611" s="27"/>
      <c r="CP1611" s="27"/>
      <c r="CQ1611" s="27"/>
      <c r="CR1611" s="27"/>
      <c r="CS1611" s="27"/>
      <c r="CT1611" s="27"/>
    </row>
    <row r="1612" spans="19:98" x14ac:dyDescent="0.4">
      <c r="S1612" s="30"/>
      <c r="AK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C1612" s="55"/>
      <c r="BD1612" s="27"/>
      <c r="CC1612" s="28"/>
      <c r="CK1612" s="31"/>
      <c r="CL1612" s="26"/>
      <c r="CM1612" s="32"/>
      <c r="CN1612" s="27"/>
      <c r="CO1612" s="27"/>
      <c r="CP1612" s="27"/>
      <c r="CQ1612" s="27"/>
      <c r="CR1612" s="27"/>
      <c r="CS1612" s="27"/>
      <c r="CT1612" s="27"/>
    </row>
    <row r="1613" spans="19:98" x14ac:dyDescent="0.4">
      <c r="S1613" s="30"/>
      <c r="AK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C1613" s="55"/>
      <c r="BD1613" s="27"/>
      <c r="CC1613" s="28"/>
      <c r="CK1613" s="31"/>
      <c r="CL1613" s="26"/>
      <c r="CM1613" s="32"/>
      <c r="CN1613" s="27"/>
      <c r="CO1613" s="27"/>
      <c r="CP1613" s="27"/>
      <c r="CQ1613" s="27"/>
      <c r="CR1613" s="27"/>
      <c r="CS1613" s="27"/>
      <c r="CT1613" s="27"/>
    </row>
    <row r="1614" spans="19:98" x14ac:dyDescent="0.4">
      <c r="S1614" s="30"/>
      <c r="AK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C1614" s="55"/>
      <c r="BD1614" s="27"/>
      <c r="CC1614" s="29"/>
      <c r="CK1614" s="31"/>
      <c r="CL1614" s="26"/>
      <c r="CM1614" s="32"/>
      <c r="CN1614" s="32"/>
      <c r="CO1614" s="32"/>
      <c r="CP1614" s="32"/>
      <c r="CQ1614" s="32"/>
      <c r="CR1614" s="32"/>
      <c r="CS1614" s="32"/>
      <c r="CT1614" s="32"/>
    </row>
    <row r="1615" spans="19:98" x14ac:dyDescent="0.4">
      <c r="AK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C1615" s="55"/>
      <c r="BD1615" s="27"/>
      <c r="CC1615" s="28"/>
      <c r="CK1615" s="31"/>
      <c r="CL1615" s="26"/>
      <c r="CM1615" s="32"/>
      <c r="CN1615" s="27"/>
      <c r="CO1615" s="27"/>
      <c r="CP1615" s="27"/>
      <c r="CQ1615" s="27"/>
      <c r="CR1615" s="27"/>
      <c r="CS1615" s="27"/>
      <c r="CT1615" s="27"/>
    </row>
    <row r="1616" spans="19:98" x14ac:dyDescent="0.4">
      <c r="AK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C1616" s="55"/>
      <c r="BD1616" s="27"/>
      <c r="CC1616" s="28"/>
      <c r="CK1616" s="31"/>
      <c r="CL1616" s="26"/>
      <c r="CM1616" s="32"/>
      <c r="CN1616" s="27"/>
      <c r="CO1616" s="27"/>
      <c r="CP1616" s="27"/>
      <c r="CQ1616" s="27"/>
      <c r="CR1616" s="27"/>
      <c r="CS1616" s="27"/>
      <c r="CT1616" s="27"/>
    </row>
    <row r="1617" spans="37:98" x14ac:dyDescent="0.4">
      <c r="AK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C1617" s="55"/>
      <c r="BD1617" s="27"/>
      <c r="CC1617" s="28"/>
      <c r="CK1617" s="31"/>
      <c r="CL1617" s="26"/>
      <c r="CM1617" s="32"/>
      <c r="CN1617" s="27"/>
      <c r="CO1617" s="27"/>
      <c r="CP1617" s="27"/>
      <c r="CQ1617" s="27"/>
      <c r="CR1617" s="27"/>
      <c r="CS1617" s="27"/>
      <c r="CT1617" s="27"/>
    </row>
    <row r="1618" spans="37:98" x14ac:dyDescent="0.4">
      <c r="AK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C1618" s="55"/>
      <c r="BD1618" s="27"/>
      <c r="CC1618" s="28"/>
      <c r="CK1618" s="31"/>
      <c r="CL1618" s="26"/>
      <c r="CM1618" s="32"/>
      <c r="CN1618" s="27"/>
      <c r="CO1618" s="27"/>
      <c r="CP1618" s="27"/>
      <c r="CQ1618" s="27"/>
      <c r="CR1618" s="27"/>
      <c r="CS1618" s="27"/>
      <c r="CT1618" s="27"/>
    </row>
    <row r="1619" spans="37:98" x14ac:dyDescent="0.4">
      <c r="AK1619" s="27"/>
      <c r="AQ1619" s="27"/>
      <c r="AR1619" s="27"/>
      <c r="AS1619" s="27"/>
      <c r="AT1619" s="27"/>
      <c r="AU1619" s="27"/>
      <c r="AV1619" s="74"/>
      <c r="AW1619" s="74"/>
      <c r="AX1619" s="74"/>
      <c r="AY1619" s="74"/>
      <c r="AZ1619" s="74"/>
      <c r="BA1619" s="74"/>
      <c r="BB1619" s="74"/>
      <c r="BC1619" s="52"/>
      <c r="BD1619" s="74"/>
      <c r="BE1619" s="73"/>
      <c r="BF1619" s="290"/>
      <c r="BG1619" s="73"/>
      <c r="BH1619" s="73"/>
      <c r="CC1619" s="28"/>
      <c r="CK1619" s="31"/>
      <c r="CL1619" s="26"/>
      <c r="CM1619" s="32"/>
      <c r="CN1619" s="27"/>
      <c r="CO1619" s="27"/>
      <c r="CP1619" s="27"/>
      <c r="CQ1619" s="27"/>
      <c r="CR1619" s="27"/>
      <c r="CS1619" s="27"/>
      <c r="CT1619" s="27"/>
    </row>
    <row r="1620" spans="37:98" x14ac:dyDescent="0.4">
      <c r="AK1620" s="27"/>
      <c r="AQ1620" s="27"/>
      <c r="AR1620" s="27"/>
      <c r="AS1620" s="27"/>
      <c r="AT1620" s="27"/>
      <c r="AU1620" s="27"/>
      <c r="AV1620" s="74"/>
      <c r="AW1620" s="74"/>
      <c r="AX1620" s="74"/>
      <c r="AY1620" s="74"/>
      <c r="AZ1620" s="74"/>
      <c r="BA1620" s="74"/>
      <c r="BB1620" s="74"/>
      <c r="BC1620" s="52"/>
      <c r="BD1620" s="74"/>
      <c r="BE1620" s="73"/>
      <c r="BF1620" s="290"/>
      <c r="BG1620" s="73"/>
      <c r="BH1620" s="73"/>
      <c r="CC1620" s="28"/>
      <c r="CK1620" s="31"/>
      <c r="CL1620" s="26"/>
      <c r="CM1620" s="32"/>
      <c r="CN1620" s="27"/>
      <c r="CO1620" s="27"/>
      <c r="CP1620" s="27"/>
      <c r="CQ1620" s="27"/>
      <c r="CR1620" s="27"/>
      <c r="CS1620" s="27"/>
      <c r="CT1620" s="27"/>
    </row>
    <row r="1621" spans="37:98" x14ac:dyDescent="0.4">
      <c r="AK1621" s="27"/>
      <c r="AQ1621" s="27"/>
      <c r="AR1621" s="27"/>
      <c r="AS1621" s="27"/>
      <c r="AT1621" s="27"/>
      <c r="AU1621" s="27"/>
      <c r="AV1621" s="74"/>
      <c r="AW1621" s="74"/>
      <c r="AX1621" s="74"/>
      <c r="AY1621" s="74"/>
      <c r="AZ1621" s="74"/>
      <c r="BA1621" s="74"/>
      <c r="BB1621" s="74"/>
      <c r="BC1621" s="52"/>
      <c r="BD1621" s="74"/>
      <c r="BE1621" s="73"/>
      <c r="BF1621" s="290"/>
      <c r="BG1621" s="73"/>
      <c r="BH1621" s="73"/>
      <c r="CC1621" s="28"/>
      <c r="CK1621" s="31"/>
      <c r="CL1621" s="26"/>
      <c r="CM1621" s="32"/>
      <c r="CN1621" s="27"/>
      <c r="CO1621" s="27"/>
      <c r="CP1621" s="27"/>
      <c r="CQ1621" s="27"/>
      <c r="CR1621" s="27"/>
      <c r="CS1621" s="27"/>
      <c r="CT1621" s="27"/>
    </row>
    <row r="1622" spans="37:98" x14ac:dyDescent="0.4">
      <c r="AK1622" s="27"/>
      <c r="AQ1622" s="27"/>
      <c r="AR1622" s="27"/>
      <c r="AS1622" s="27"/>
      <c r="AT1622" s="27"/>
      <c r="AU1622" s="27"/>
      <c r="AV1622" s="74"/>
      <c r="AW1622" s="74"/>
      <c r="AX1622" s="74"/>
      <c r="AY1622" s="74"/>
      <c r="AZ1622" s="74"/>
      <c r="BA1622" s="74"/>
      <c r="BB1622" s="74"/>
      <c r="BC1622" s="52"/>
      <c r="BD1622" s="74"/>
      <c r="BE1622" s="73"/>
      <c r="BF1622" s="290"/>
      <c r="BG1622" s="73"/>
      <c r="BH1622" s="73"/>
      <c r="CC1622" s="28"/>
      <c r="CK1622" s="31"/>
      <c r="CL1622" s="26"/>
      <c r="CM1622" s="32"/>
      <c r="CN1622" s="27"/>
      <c r="CO1622" s="27"/>
      <c r="CP1622" s="27"/>
      <c r="CQ1622" s="27"/>
      <c r="CR1622" s="27"/>
      <c r="CS1622" s="27"/>
      <c r="CT1622" s="27"/>
    </row>
    <row r="1623" spans="37:98" x14ac:dyDescent="0.4">
      <c r="AK1623" s="27"/>
      <c r="AQ1623" s="27"/>
      <c r="AR1623" s="27"/>
      <c r="AS1623" s="27"/>
      <c r="AT1623" s="27"/>
      <c r="AU1623" s="27"/>
      <c r="AV1623" s="74">
        <v>119055</v>
      </c>
      <c r="AW1623" s="74">
        <v>117457</v>
      </c>
      <c r="AX1623" s="74">
        <v>115997</v>
      </c>
      <c r="AY1623" s="74">
        <v>114858</v>
      </c>
      <c r="AZ1623" s="74">
        <v>109183</v>
      </c>
      <c r="BA1623" s="74">
        <v>107344</v>
      </c>
      <c r="BB1623" s="74">
        <v>106100</v>
      </c>
      <c r="BC1623" s="52">
        <v>105051</v>
      </c>
      <c r="BD1623" s="74">
        <v>101381</v>
      </c>
      <c r="BE1623" s="73"/>
      <c r="BF1623" s="290"/>
      <c r="BG1623" s="73"/>
      <c r="BH1623" s="73"/>
      <c r="CC1623" s="28"/>
      <c r="CK1623" s="31"/>
      <c r="CL1623" s="26"/>
      <c r="CM1623" s="32"/>
      <c r="CN1623" s="27"/>
      <c r="CO1623" s="27"/>
      <c r="CP1623" s="27"/>
      <c r="CQ1623" s="27"/>
      <c r="CR1623" s="27"/>
      <c r="CS1623" s="27"/>
      <c r="CT1623" s="27"/>
    </row>
    <row r="1624" spans="37:98" x14ac:dyDescent="0.4">
      <c r="AK1624" s="27"/>
      <c r="AQ1624" s="27"/>
      <c r="AR1624" s="27"/>
      <c r="AS1624" s="27"/>
      <c r="AT1624" s="27"/>
      <c r="AU1624" s="27"/>
      <c r="AV1624" s="74"/>
      <c r="AW1624" s="74"/>
      <c r="AX1624" s="74"/>
      <c r="AY1624" s="74"/>
      <c r="AZ1624" s="74"/>
      <c r="BA1624" s="74"/>
      <c r="BB1624" s="74"/>
      <c r="BC1624" s="52"/>
      <c r="BD1624" s="74"/>
      <c r="BE1624" s="73"/>
      <c r="BF1624" s="290"/>
      <c r="BG1624" s="73"/>
      <c r="BH1624" s="73"/>
      <c r="CC1624" s="28"/>
      <c r="CK1624" s="31"/>
      <c r="CL1624" s="26"/>
      <c r="CM1624" s="32"/>
      <c r="CN1624" s="27"/>
      <c r="CO1624" s="27"/>
      <c r="CP1624" s="27"/>
      <c r="CQ1624" s="27"/>
      <c r="CR1624" s="27"/>
      <c r="CS1624" s="27"/>
      <c r="CT1624" s="27"/>
    </row>
    <row r="1625" spans="37:98" x14ac:dyDescent="0.4">
      <c r="AK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C1625" s="55"/>
      <c r="BD1625" s="27"/>
      <c r="CC1625" s="28"/>
      <c r="CK1625" s="31"/>
      <c r="CL1625" s="26"/>
      <c r="CM1625" s="32"/>
      <c r="CN1625" s="27"/>
      <c r="CO1625" s="27"/>
      <c r="CP1625" s="27"/>
      <c r="CQ1625" s="27"/>
      <c r="CR1625" s="27"/>
      <c r="CS1625" s="27"/>
      <c r="CT1625" s="27"/>
    </row>
    <row r="1626" spans="37:98" x14ac:dyDescent="0.4">
      <c r="AK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C1626" s="55"/>
      <c r="BD1626" s="27"/>
      <c r="CC1626" s="28"/>
      <c r="CK1626" s="31"/>
      <c r="CL1626" s="26"/>
      <c r="CM1626" s="32"/>
      <c r="CN1626" s="27"/>
      <c r="CO1626" s="27"/>
      <c r="CP1626" s="27"/>
      <c r="CQ1626" s="27"/>
      <c r="CR1626" s="27"/>
      <c r="CS1626" s="27"/>
      <c r="CT1626" s="27"/>
    </row>
    <row r="1627" spans="37:98" x14ac:dyDescent="0.4">
      <c r="AK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C1627" s="55"/>
      <c r="BD1627" s="27"/>
      <c r="CC1627" s="28"/>
      <c r="CK1627" s="31"/>
      <c r="CL1627" s="26"/>
      <c r="CM1627" s="32"/>
      <c r="CN1627" s="27"/>
      <c r="CO1627" s="27"/>
      <c r="CP1627" s="27"/>
      <c r="CQ1627" s="27"/>
      <c r="CR1627" s="27"/>
      <c r="CS1627" s="27"/>
      <c r="CT1627" s="27"/>
    </row>
    <row r="1628" spans="37:98" x14ac:dyDescent="0.4">
      <c r="AK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C1628" s="55"/>
      <c r="BD1628" s="27"/>
      <c r="CC1628" s="28"/>
      <c r="CK1628" s="31"/>
      <c r="CL1628" s="26"/>
      <c r="CM1628" s="32"/>
      <c r="CN1628" s="27"/>
      <c r="CO1628" s="27"/>
      <c r="CP1628" s="27"/>
      <c r="CQ1628" s="27"/>
      <c r="CR1628" s="27"/>
      <c r="CS1628" s="27"/>
      <c r="CT1628" s="27"/>
    </row>
    <row r="1629" spans="37:98" x14ac:dyDescent="0.4">
      <c r="AK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C1629" s="55"/>
      <c r="BD1629" s="27"/>
      <c r="CC1629" s="28"/>
      <c r="CK1629" s="31"/>
      <c r="CL1629" s="26"/>
      <c r="CM1629" s="32"/>
      <c r="CN1629" s="27"/>
      <c r="CO1629" s="27"/>
      <c r="CP1629" s="27"/>
      <c r="CQ1629" s="27"/>
      <c r="CR1629" s="27"/>
      <c r="CS1629" s="27"/>
      <c r="CT1629" s="27"/>
    </row>
    <row r="1630" spans="37:98" x14ac:dyDescent="0.4">
      <c r="AK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C1630" s="55"/>
      <c r="BD1630" s="27"/>
      <c r="CC1630" s="28"/>
      <c r="CK1630" s="31"/>
      <c r="CL1630" s="26"/>
      <c r="CM1630" s="32"/>
      <c r="CN1630" s="27"/>
      <c r="CO1630" s="27"/>
      <c r="CP1630" s="27"/>
      <c r="CQ1630" s="27"/>
      <c r="CR1630" s="27"/>
      <c r="CS1630" s="27"/>
      <c r="CT1630" s="27"/>
    </row>
    <row r="1631" spans="37:98" x14ac:dyDescent="0.4">
      <c r="AK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C1631" s="55"/>
      <c r="BD1631" s="27"/>
      <c r="CC1631" s="28"/>
      <c r="CK1631" s="31"/>
      <c r="CL1631" s="26"/>
      <c r="CM1631" s="32"/>
      <c r="CN1631" s="27"/>
      <c r="CO1631" s="27"/>
      <c r="CP1631" s="27"/>
      <c r="CQ1631" s="27"/>
      <c r="CR1631" s="27"/>
      <c r="CS1631" s="27"/>
      <c r="CT1631" s="27"/>
    </row>
    <row r="1632" spans="37:98" x14ac:dyDescent="0.4">
      <c r="AK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C1632" s="55"/>
      <c r="BD1632" s="27"/>
      <c r="CC1632" s="28"/>
      <c r="CK1632" s="31"/>
      <c r="CL1632" s="26"/>
      <c r="CM1632" s="32"/>
      <c r="CN1632" s="27"/>
      <c r="CO1632" s="27"/>
      <c r="CP1632" s="27"/>
      <c r="CQ1632" s="27"/>
      <c r="CR1632" s="27"/>
      <c r="CS1632" s="27"/>
      <c r="CT1632" s="27"/>
    </row>
    <row r="1633" spans="37:98" x14ac:dyDescent="0.4">
      <c r="AK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C1633" s="55"/>
      <c r="BD1633" s="27"/>
      <c r="CC1633" s="28"/>
      <c r="CK1633" s="31"/>
      <c r="CL1633" s="26"/>
      <c r="CM1633" s="32"/>
      <c r="CN1633" s="27"/>
      <c r="CO1633" s="27"/>
      <c r="CP1633" s="27"/>
      <c r="CQ1633" s="27"/>
      <c r="CR1633" s="27"/>
      <c r="CS1633" s="27"/>
      <c r="CT1633" s="27"/>
    </row>
    <row r="1634" spans="37:98" x14ac:dyDescent="0.4">
      <c r="AK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C1634" s="55"/>
      <c r="BD1634" s="27"/>
      <c r="CC1634" s="28"/>
      <c r="CK1634" s="31"/>
      <c r="CL1634" s="26"/>
      <c r="CM1634" s="32"/>
      <c r="CN1634" s="27"/>
      <c r="CO1634" s="27"/>
      <c r="CP1634" s="27"/>
      <c r="CQ1634" s="27"/>
      <c r="CR1634" s="27"/>
      <c r="CS1634" s="27"/>
      <c r="CT1634" s="27"/>
    </row>
    <row r="1635" spans="37:98" x14ac:dyDescent="0.4">
      <c r="AK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C1635" s="55"/>
      <c r="BD1635" s="27"/>
      <c r="CC1635" s="28"/>
      <c r="CK1635" s="31"/>
      <c r="CL1635" s="26"/>
      <c r="CM1635" s="32"/>
      <c r="CN1635" s="27"/>
      <c r="CO1635" s="27"/>
      <c r="CP1635" s="27"/>
      <c r="CQ1635" s="27"/>
      <c r="CR1635" s="27"/>
      <c r="CS1635" s="27"/>
      <c r="CT1635" s="27"/>
    </row>
    <row r="1636" spans="37:98" x14ac:dyDescent="0.4">
      <c r="AK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C1636" s="55"/>
      <c r="BD1636" s="27"/>
      <c r="CC1636" s="29"/>
      <c r="CK1636" s="31"/>
      <c r="CL1636" s="26"/>
      <c r="CM1636" s="32"/>
      <c r="CN1636" s="32"/>
      <c r="CO1636" s="32"/>
      <c r="CP1636" s="32"/>
      <c r="CQ1636" s="32"/>
      <c r="CR1636" s="32"/>
      <c r="CS1636" s="32"/>
      <c r="CT1636" s="32"/>
    </row>
    <row r="1637" spans="37:98" x14ac:dyDescent="0.4">
      <c r="AK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C1637" s="55"/>
      <c r="BD1637" s="27"/>
      <c r="CC1637" s="28"/>
      <c r="CK1637" s="31"/>
      <c r="CL1637" s="26"/>
      <c r="CM1637" s="32"/>
      <c r="CN1637" s="27"/>
      <c r="CO1637" s="27"/>
      <c r="CP1637" s="27"/>
      <c r="CQ1637" s="27"/>
      <c r="CR1637" s="27"/>
      <c r="CS1637" s="27"/>
      <c r="CT1637" s="27"/>
    </row>
    <row r="1638" spans="37:98" x14ac:dyDescent="0.4">
      <c r="AK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C1638" s="55"/>
      <c r="BD1638" s="27"/>
      <c r="CC1638" s="28"/>
      <c r="CK1638" s="31"/>
      <c r="CL1638" s="26"/>
      <c r="CM1638" s="32"/>
      <c r="CN1638" s="27"/>
      <c r="CO1638" s="27"/>
      <c r="CP1638" s="27"/>
      <c r="CQ1638" s="27"/>
      <c r="CR1638" s="27"/>
      <c r="CS1638" s="27"/>
      <c r="CT1638" s="27"/>
    </row>
    <row r="1639" spans="37:98" x14ac:dyDescent="0.4">
      <c r="AK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C1639" s="55"/>
      <c r="BD1639" s="27"/>
      <c r="CC1639" s="28"/>
      <c r="CK1639" s="31"/>
      <c r="CL1639" s="26"/>
      <c r="CM1639" s="32"/>
      <c r="CN1639" s="27"/>
      <c r="CO1639" s="27"/>
      <c r="CP1639" s="27"/>
      <c r="CQ1639" s="27"/>
      <c r="CR1639" s="27"/>
      <c r="CS1639" s="27"/>
      <c r="CT1639" s="27"/>
    </row>
    <row r="1640" spans="37:98" x14ac:dyDescent="0.4">
      <c r="AK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C1640" s="55"/>
      <c r="BD1640" s="27"/>
      <c r="CC1640" s="28"/>
      <c r="CK1640" s="31"/>
      <c r="CL1640" s="26"/>
      <c r="CM1640" s="32"/>
      <c r="CN1640" s="27"/>
      <c r="CO1640" s="27"/>
      <c r="CP1640" s="27"/>
      <c r="CQ1640" s="27"/>
      <c r="CR1640" s="27"/>
      <c r="CS1640" s="27"/>
      <c r="CT1640" s="27"/>
    </row>
    <row r="1641" spans="37:98" x14ac:dyDescent="0.4">
      <c r="AK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C1641" s="55"/>
      <c r="BD1641" s="27"/>
      <c r="CC1641" s="28"/>
      <c r="CK1641" s="31"/>
      <c r="CL1641" s="26"/>
      <c r="CM1641" s="32"/>
      <c r="CN1641" s="27"/>
      <c r="CO1641" s="27"/>
      <c r="CP1641" s="27"/>
      <c r="CQ1641" s="27"/>
      <c r="CR1641" s="27"/>
      <c r="CS1641" s="27"/>
      <c r="CT1641" s="27"/>
    </row>
    <row r="1642" spans="37:98" x14ac:dyDescent="0.4">
      <c r="AK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C1642" s="55"/>
      <c r="BD1642" s="27"/>
      <c r="CC1642" s="28"/>
      <c r="CK1642" s="31"/>
      <c r="CL1642" s="26"/>
      <c r="CM1642" s="32"/>
      <c r="CN1642" s="27"/>
      <c r="CO1642" s="27"/>
      <c r="CP1642" s="27"/>
      <c r="CQ1642" s="27"/>
      <c r="CR1642" s="27"/>
      <c r="CS1642" s="27"/>
      <c r="CT1642" s="27"/>
    </row>
    <row r="1643" spans="37:98" x14ac:dyDescent="0.4">
      <c r="AK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C1643" s="55"/>
      <c r="BD1643" s="27"/>
      <c r="CC1643" s="28"/>
      <c r="CK1643" s="31"/>
      <c r="CL1643" s="26"/>
      <c r="CM1643" s="32"/>
      <c r="CN1643" s="27"/>
      <c r="CO1643" s="27"/>
      <c r="CP1643" s="27"/>
      <c r="CQ1643" s="27"/>
      <c r="CR1643" s="27"/>
      <c r="CS1643" s="27"/>
      <c r="CT1643" s="27"/>
    </row>
    <row r="1644" spans="37:98" x14ac:dyDescent="0.4">
      <c r="AK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C1644" s="55"/>
      <c r="BD1644" s="27"/>
      <c r="CC1644" s="28"/>
      <c r="CK1644" s="31"/>
      <c r="CL1644" s="26"/>
      <c r="CM1644" s="32"/>
      <c r="CN1644" s="27"/>
      <c r="CO1644" s="27"/>
      <c r="CP1644" s="27"/>
      <c r="CQ1644" s="27"/>
      <c r="CR1644" s="27"/>
      <c r="CS1644" s="27"/>
      <c r="CT1644" s="27"/>
    </row>
    <row r="1645" spans="37:98" x14ac:dyDescent="0.4">
      <c r="AK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C1645" s="55"/>
      <c r="BD1645" s="27"/>
      <c r="CC1645" s="28"/>
      <c r="CK1645" s="31"/>
      <c r="CL1645" s="26"/>
      <c r="CM1645" s="32"/>
      <c r="CN1645" s="27"/>
      <c r="CO1645" s="27"/>
      <c r="CP1645" s="27"/>
      <c r="CQ1645" s="27"/>
      <c r="CR1645" s="27"/>
      <c r="CS1645" s="27"/>
      <c r="CT1645" s="27"/>
    </row>
    <row r="1646" spans="37:98" x14ac:dyDescent="0.4">
      <c r="AK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C1646" s="55"/>
      <c r="BD1646" s="27"/>
      <c r="CC1646" s="28"/>
      <c r="CK1646" s="31"/>
      <c r="CL1646" s="26"/>
      <c r="CM1646" s="32"/>
      <c r="CN1646" s="27"/>
      <c r="CO1646" s="27"/>
      <c r="CP1646" s="27"/>
      <c r="CQ1646" s="27"/>
      <c r="CR1646" s="27"/>
      <c r="CS1646" s="27"/>
      <c r="CT1646" s="27"/>
    </row>
    <row r="1647" spans="37:98" x14ac:dyDescent="0.4">
      <c r="AK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C1647" s="55"/>
      <c r="BD1647" s="27"/>
      <c r="CC1647" s="28"/>
      <c r="CK1647" s="31"/>
      <c r="CL1647" s="26"/>
      <c r="CM1647" s="32"/>
      <c r="CN1647" s="27"/>
      <c r="CO1647" s="27"/>
      <c r="CP1647" s="27"/>
      <c r="CQ1647" s="27"/>
      <c r="CR1647" s="27"/>
      <c r="CS1647" s="27"/>
      <c r="CT1647" s="27"/>
    </row>
    <row r="1648" spans="37:98" x14ac:dyDescent="0.4">
      <c r="AK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C1648" s="55"/>
      <c r="BD1648" s="27"/>
      <c r="CC1648" s="28"/>
      <c r="CK1648" s="31"/>
      <c r="CL1648" s="26"/>
      <c r="CM1648" s="32"/>
      <c r="CN1648" s="27"/>
      <c r="CO1648" s="27"/>
      <c r="CP1648" s="27"/>
      <c r="CQ1648" s="27"/>
      <c r="CR1648" s="27"/>
      <c r="CS1648" s="27"/>
      <c r="CT1648" s="27"/>
    </row>
    <row r="1649" spans="37:98" x14ac:dyDescent="0.4">
      <c r="AK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C1649" s="55"/>
      <c r="BD1649" s="27"/>
      <c r="CC1649" s="28"/>
      <c r="CK1649" s="31"/>
      <c r="CL1649" s="26"/>
      <c r="CM1649" s="32"/>
      <c r="CN1649" s="27"/>
      <c r="CO1649" s="27"/>
      <c r="CP1649" s="27"/>
      <c r="CQ1649" s="27"/>
      <c r="CR1649" s="27"/>
      <c r="CS1649" s="27"/>
      <c r="CT1649" s="27"/>
    </row>
    <row r="1650" spans="37:98" x14ac:dyDescent="0.4">
      <c r="AK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C1650" s="55"/>
      <c r="BD1650" s="27"/>
      <c r="CC1650" s="28"/>
      <c r="CK1650" s="31"/>
      <c r="CL1650" s="26"/>
      <c r="CM1650" s="32"/>
      <c r="CN1650" s="27"/>
      <c r="CO1650" s="27"/>
      <c r="CP1650" s="27"/>
      <c r="CQ1650" s="27"/>
      <c r="CR1650" s="27"/>
      <c r="CS1650" s="27"/>
      <c r="CT1650" s="27"/>
    </row>
    <row r="1651" spans="37:98" x14ac:dyDescent="0.4">
      <c r="AK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C1651" s="55"/>
      <c r="BD1651" s="27"/>
      <c r="CC1651" s="28"/>
      <c r="CK1651" s="31"/>
      <c r="CL1651" s="26"/>
      <c r="CM1651" s="32"/>
      <c r="CN1651" s="27"/>
      <c r="CO1651" s="27"/>
      <c r="CP1651" s="27"/>
      <c r="CQ1651" s="27"/>
      <c r="CR1651" s="27"/>
      <c r="CS1651" s="27"/>
      <c r="CT1651" s="27"/>
    </row>
    <row r="1652" spans="37:98" x14ac:dyDescent="0.4">
      <c r="AK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C1652" s="55"/>
      <c r="BD1652" s="27"/>
      <c r="CC1652" s="28"/>
      <c r="CK1652" s="31"/>
      <c r="CL1652" s="26"/>
      <c r="CM1652" s="32"/>
      <c r="CN1652" s="27"/>
      <c r="CO1652" s="27"/>
      <c r="CP1652" s="27"/>
      <c r="CQ1652" s="27"/>
      <c r="CR1652" s="27"/>
      <c r="CS1652" s="27"/>
      <c r="CT1652" s="27"/>
    </row>
    <row r="1653" spans="37:98" x14ac:dyDescent="0.4">
      <c r="AK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C1653" s="55"/>
      <c r="BD1653" s="27"/>
      <c r="CC1653" s="28"/>
      <c r="CK1653" s="31"/>
      <c r="CL1653" s="26"/>
      <c r="CM1653" s="32"/>
      <c r="CN1653" s="27"/>
      <c r="CO1653" s="27"/>
      <c r="CP1653" s="27"/>
      <c r="CQ1653" s="27"/>
      <c r="CR1653" s="27"/>
      <c r="CS1653" s="27"/>
      <c r="CT1653" s="27"/>
    </row>
    <row r="1654" spans="37:98" x14ac:dyDescent="0.4">
      <c r="AK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C1654" s="55"/>
      <c r="BD1654" s="27"/>
      <c r="CC1654" s="28"/>
      <c r="CK1654" s="31"/>
      <c r="CL1654" s="26"/>
      <c r="CM1654" s="32"/>
      <c r="CN1654" s="27"/>
      <c r="CO1654" s="27"/>
      <c r="CP1654" s="27"/>
      <c r="CQ1654" s="27"/>
      <c r="CR1654" s="27"/>
      <c r="CS1654" s="27"/>
      <c r="CT1654" s="27"/>
    </row>
    <row r="1655" spans="37:98" x14ac:dyDescent="0.4">
      <c r="AK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C1655" s="55"/>
      <c r="BD1655" s="27"/>
      <c r="CC1655" s="28"/>
      <c r="CK1655" s="31"/>
      <c r="CL1655" s="26"/>
      <c r="CM1655" s="32"/>
      <c r="CN1655" s="27"/>
      <c r="CO1655" s="27"/>
      <c r="CP1655" s="27"/>
      <c r="CQ1655" s="27"/>
      <c r="CR1655" s="27"/>
      <c r="CS1655" s="27"/>
      <c r="CT1655" s="27"/>
    </row>
    <row r="1656" spans="37:98" x14ac:dyDescent="0.4">
      <c r="AK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C1656" s="55"/>
      <c r="BD1656" s="27"/>
      <c r="CC1656" s="28"/>
      <c r="CK1656" s="31"/>
      <c r="CL1656" s="26"/>
      <c r="CM1656" s="32"/>
      <c r="CN1656" s="27"/>
      <c r="CO1656" s="27"/>
      <c r="CP1656" s="27"/>
      <c r="CQ1656" s="27"/>
      <c r="CR1656" s="27"/>
      <c r="CS1656" s="27"/>
      <c r="CT1656" s="27"/>
    </row>
    <row r="1657" spans="37:98" x14ac:dyDescent="0.4">
      <c r="AK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C1657" s="55"/>
      <c r="BD1657" s="27"/>
      <c r="CC1657" s="28"/>
      <c r="CK1657" s="31"/>
      <c r="CL1657" s="26"/>
      <c r="CM1657" s="32"/>
      <c r="CN1657" s="27"/>
      <c r="CO1657" s="27"/>
      <c r="CP1657" s="27"/>
      <c r="CQ1657" s="27"/>
      <c r="CR1657" s="27"/>
      <c r="CS1657" s="27"/>
      <c r="CT1657" s="27"/>
    </row>
    <row r="1658" spans="37:98" x14ac:dyDescent="0.4">
      <c r="AK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C1658" s="55"/>
      <c r="BD1658" s="27"/>
      <c r="CC1658" s="29"/>
      <c r="CK1658" s="31"/>
      <c r="CL1658" s="26"/>
      <c r="CM1658" s="32"/>
      <c r="CN1658" s="32"/>
      <c r="CO1658" s="32"/>
      <c r="CP1658" s="32"/>
      <c r="CQ1658" s="32"/>
      <c r="CR1658" s="32"/>
      <c r="CS1658" s="32"/>
      <c r="CT1658" s="32"/>
    </row>
    <row r="1659" spans="37:98" x14ac:dyDescent="0.4">
      <c r="AK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C1659" s="55"/>
      <c r="BD1659" s="27"/>
      <c r="CC1659" s="28"/>
      <c r="CK1659" s="31"/>
      <c r="CL1659" s="26"/>
      <c r="CM1659" s="32"/>
      <c r="CN1659" s="27"/>
      <c r="CO1659" s="27"/>
      <c r="CP1659" s="27"/>
      <c r="CQ1659" s="27"/>
      <c r="CR1659" s="27"/>
      <c r="CS1659" s="27"/>
      <c r="CT1659" s="27"/>
    </row>
    <row r="1660" spans="37:98" x14ac:dyDescent="0.4">
      <c r="AK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C1660" s="55"/>
      <c r="BD1660" s="27"/>
      <c r="CC1660" s="28"/>
      <c r="CK1660" s="31"/>
      <c r="CL1660" s="26"/>
      <c r="CM1660" s="32"/>
      <c r="CN1660" s="27"/>
      <c r="CO1660" s="27"/>
      <c r="CP1660" s="27"/>
      <c r="CQ1660" s="27"/>
      <c r="CR1660" s="27"/>
      <c r="CS1660" s="27"/>
      <c r="CT1660" s="27"/>
    </row>
    <row r="1661" spans="37:98" x14ac:dyDescent="0.4">
      <c r="AK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C1661" s="55"/>
      <c r="BD1661" s="27"/>
      <c r="CC1661" s="28"/>
      <c r="CK1661" s="31"/>
      <c r="CL1661" s="26"/>
      <c r="CM1661" s="32"/>
      <c r="CN1661" s="27"/>
      <c r="CO1661" s="27"/>
      <c r="CP1661" s="27"/>
      <c r="CQ1661" s="27"/>
      <c r="CR1661" s="27"/>
      <c r="CS1661" s="27"/>
      <c r="CT1661" s="27"/>
    </row>
    <row r="1662" spans="37:98" x14ac:dyDescent="0.4">
      <c r="AK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C1662" s="55"/>
      <c r="BD1662" s="27"/>
      <c r="CC1662" s="28"/>
      <c r="CK1662" s="31"/>
      <c r="CL1662" s="26"/>
      <c r="CM1662" s="32"/>
      <c r="CN1662" s="27"/>
      <c r="CO1662" s="27"/>
      <c r="CP1662" s="27"/>
      <c r="CQ1662" s="27"/>
      <c r="CR1662" s="27"/>
      <c r="CS1662" s="27"/>
      <c r="CT1662" s="27"/>
    </row>
    <row r="1663" spans="37:98" x14ac:dyDescent="0.4">
      <c r="AK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C1663" s="55"/>
      <c r="BD1663" s="27"/>
      <c r="CC1663" s="28"/>
      <c r="CK1663" s="31"/>
      <c r="CL1663" s="26"/>
      <c r="CM1663" s="32"/>
      <c r="CN1663" s="27"/>
      <c r="CO1663" s="27"/>
      <c r="CP1663" s="27"/>
      <c r="CQ1663" s="27"/>
      <c r="CR1663" s="27"/>
      <c r="CS1663" s="27"/>
      <c r="CT1663" s="27"/>
    </row>
    <row r="1664" spans="37:98" x14ac:dyDescent="0.4">
      <c r="AK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C1664" s="55"/>
      <c r="BD1664" s="27"/>
      <c r="CC1664" s="28"/>
      <c r="CK1664" s="31"/>
      <c r="CL1664" s="26"/>
      <c r="CM1664" s="32"/>
      <c r="CN1664" s="27"/>
      <c r="CO1664" s="27"/>
      <c r="CP1664" s="27"/>
      <c r="CQ1664" s="27"/>
      <c r="CR1664" s="27"/>
      <c r="CS1664" s="27"/>
      <c r="CT1664" s="27"/>
    </row>
    <row r="1665" spans="37:98" x14ac:dyDescent="0.4">
      <c r="AK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C1665" s="55"/>
      <c r="BD1665" s="27"/>
      <c r="CC1665" s="28"/>
      <c r="CK1665" s="31"/>
      <c r="CL1665" s="26"/>
      <c r="CM1665" s="32"/>
      <c r="CN1665" s="27"/>
      <c r="CO1665" s="27"/>
      <c r="CP1665" s="27"/>
      <c r="CQ1665" s="27"/>
      <c r="CR1665" s="27"/>
      <c r="CS1665" s="27"/>
      <c r="CT1665" s="27"/>
    </row>
    <row r="1666" spans="37:98" x14ac:dyDescent="0.4">
      <c r="AK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C1666" s="55"/>
      <c r="BD1666" s="27"/>
      <c r="CC1666" s="28"/>
      <c r="CK1666" s="31"/>
      <c r="CL1666" s="26"/>
      <c r="CM1666" s="32"/>
      <c r="CN1666" s="27"/>
      <c r="CO1666" s="27"/>
      <c r="CP1666" s="27"/>
      <c r="CQ1666" s="27"/>
      <c r="CR1666" s="27"/>
      <c r="CS1666" s="27"/>
      <c r="CT1666" s="27"/>
    </row>
    <row r="1667" spans="37:98" x14ac:dyDescent="0.4">
      <c r="AK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C1667" s="55"/>
      <c r="BD1667" s="27"/>
      <c r="CC1667" s="28"/>
      <c r="CK1667" s="31"/>
      <c r="CL1667" s="26"/>
      <c r="CM1667" s="32"/>
      <c r="CN1667" s="27"/>
      <c r="CO1667" s="27"/>
      <c r="CP1667" s="27"/>
      <c r="CQ1667" s="27"/>
      <c r="CR1667" s="27"/>
      <c r="CS1667" s="27"/>
      <c r="CT1667" s="27"/>
    </row>
    <row r="1668" spans="37:98" x14ac:dyDescent="0.4">
      <c r="AK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C1668" s="55"/>
      <c r="BD1668" s="27"/>
      <c r="CC1668" s="28"/>
      <c r="CK1668" s="31"/>
      <c r="CL1668" s="26"/>
      <c r="CM1668" s="32"/>
      <c r="CN1668" s="27"/>
      <c r="CO1668" s="27"/>
      <c r="CP1668" s="27"/>
      <c r="CQ1668" s="27"/>
      <c r="CR1668" s="27"/>
      <c r="CS1668" s="27"/>
      <c r="CT1668" s="27"/>
    </row>
    <row r="1669" spans="37:98" x14ac:dyDescent="0.4">
      <c r="AK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C1669" s="55"/>
      <c r="BD1669" s="27"/>
      <c r="CC1669" s="28"/>
      <c r="CK1669" s="31"/>
      <c r="CL1669" s="26"/>
      <c r="CM1669" s="32"/>
      <c r="CN1669" s="27"/>
      <c r="CO1669" s="27"/>
      <c r="CP1669" s="27"/>
      <c r="CQ1669" s="27"/>
      <c r="CR1669" s="27"/>
      <c r="CS1669" s="27"/>
      <c r="CT1669" s="27"/>
    </row>
    <row r="1670" spans="37:98" x14ac:dyDescent="0.4">
      <c r="AK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C1670" s="55"/>
      <c r="BD1670" s="27"/>
      <c r="CC1670" s="28"/>
      <c r="CK1670" s="31"/>
      <c r="CL1670" s="26"/>
      <c r="CM1670" s="32"/>
      <c r="CN1670" s="27"/>
      <c r="CO1670" s="27"/>
      <c r="CP1670" s="27"/>
      <c r="CQ1670" s="27"/>
      <c r="CR1670" s="27"/>
      <c r="CS1670" s="27"/>
      <c r="CT1670" s="27"/>
    </row>
    <row r="1671" spans="37:98" x14ac:dyDescent="0.4">
      <c r="AK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C1671" s="55"/>
      <c r="BD1671" s="27"/>
      <c r="CC1671" s="28"/>
      <c r="CK1671" s="31"/>
      <c r="CL1671" s="26"/>
      <c r="CM1671" s="32"/>
      <c r="CN1671" s="27"/>
      <c r="CO1671" s="27"/>
      <c r="CP1671" s="27"/>
      <c r="CQ1671" s="27"/>
      <c r="CR1671" s="27"/>
      <c r="CS1671" s="27"/>
      <c r="CT1671" s="27"/>
    </row>
    <row r="1672" spans="37:98" x14ac:dyDescent="0.4">
      <c r="AK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C1672" s="55"/>
      <c r="BD1672" s="27"/>
      <c r="CC1672" s="28"/>
      <c r="CK1672" s="31"/>
      <c r="CL1672" s="26"/>
      <c r="CM1672" s="32"/>
      <c r="CN1672" s="27"/>
      <c r="CO1672" s="27"/>
      <c r="CP1672" s="27"/>
      <c r="CQ1672" s="27"/>
      <c r="CR1672" s="27"/>
      <c r="CS1672" s="27"/>
      <c r="CT1672" s="27"/>
    </row>
    <row r="1673" spans="37:98" x14ac:dyDescent="0.4">
      <c r="AK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C1673" s="55"/>
      <c r="BD1673" s="27"/>
      <c r="CC1673" s="28"/>
      <c r="CK1673" s="31"/>
      <c r="CL1673" s="26"/>
      <c r="CM1673" s="32"/>
      <c r="CN1673" s="27"/>
      <c r="CO1673" s="27"/>
      <c r="CP1673" s="27"/>
      <c r="CQ1673" s="27"/>
      <c r="CR1673" s="27"/>
      <c r="CS1673" s="27"/>
      <c r="CT1673" s="27"/>
    </row>
    <row r="1674" spans="37:98" x14ac:dyDescent="0.4">
      <c r="AK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C1674" s="55"/>
      <c r="BD1674" s="27"/>
      <c r="CC1674" s="28"/>
      <c r="CK1674" s="31"/>
      <c r="CL1674" s="26"/>
      <c r="CM1674" s="32"/>
      <c r="CN1674" s="27"/>
      <c r="CO1674" s="27"/>
      <c r="CP1674" s="27"/>
      <c r="CQ1674" s="27"/>
      <c r="CR1674" s="27"/>
      <c r="CS1674" s="27"/>
      <c r="CT1674" s="27"/>
    </row>
    <row r="1675" spans="37:98" x14ac:dyDescent="0.4">
      <c r="AK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C1675" s="55"/>
      <c r="BD1675" s="27"/>
      <c r="CC1675" s="28"/>
      <c r="CK1675" s="31"/>
      <c r="CL1675" s="26"/>
      <c r="CM1675" s="32"/>
      <c r="CN1675" s="27"/>
      <c r="CO1675" s="27"/>
      <c r="CP1675" s="27"/>
      <c r="CQ1675" s="27"/>
      <c r="CR1675" s="27"/>
      <c r="CS1675" s="27"/>
      <c r="CT1675" s="27"/>
    </row>
    <row r="1676" spans="37:98" x14ac:dyDescent="0.4">
      <c r="AK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C1676" s="55"/>
      <c r="BD1676" s="27"/>
      <c r="CC1676" s="28"/>
      <c r="CK1676" s="31"/>
      <c r="CL1676" s="26"/>
      <c r="CM1676" s="32"/>
      <c r="CN1676" s="27"/>
      <c r="CO1676" s="27"/>
      <c r="CP1676" s="27"/>
      <c r="CQ1676" s="27"/>
      <c r="CR1676" s="27"/>
      <c r="CS1676" s="27"/>
      <c r="CT1676" s="27"/>
    </row>
    <row r="1677" spans="37:98" x14ac:dyDescent="0.4">
      <c r="AK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C1677" s="55"/>
      <c r="BD1677" s="27"/>
      <c r="CC1677" s="28"/>
      <c r="CK1677" s="31"/>
      <c r="CL1677" s="26"/>
      <c r="CM1677" s="32"/>
      <c r="CN1677" s="27"/>
      <c r="CO1677" s="27"/>
      <c r="CP1677" s="27"/>
      <c r="CQ1677" s="27"/>
      <c r="CR1677" s="27"/>
      <c r="CS1677" s="27"/>
      <c r="CT1677" s="27"/>
    </row>
    <row r="1678" spans="37:98" x14ac:dyDescent="0.4">
      <c r="AK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C1678" s="55"/>
      <c r="BD1678" s="27"/>
      <c r="CC1678" s="28"/>
      <c r="CK1678" s="31"/>
      <c r="CL1678" s="26"/>
      <c r="CM1678" s="32"/>
      <c r="CN1678" s="27"/>
      <c r="CO1678" s="27"/>
      <c r="CP1678" s="27"/>
      <c r="CQ1678" s="27"/>
      <c r="CR1678" s="27"/>
      <c r="CS1678" s="27"/>
      <c r="CT1678" s="27"/>
    </row>
    <row r="1679" spans="37:98" x14ac:dyDescent="0.4">
      <c r="AK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C1679" s="55"/>
      <c r="BD1679" s="27"/>
      <c r="CC1679" s="28"/>
      <c r="CK1679" s="31"/>
      <c r="CL1679" s="26"/>
      <c r="CM1679" s="32"/>
      <c r="CN1679" s="27"/>
      <c r="CO1679" s="27"/>
      <c r="CP1679" s="27"/>
      <c r="CQ1679" s="27"/>
      <c r="CR1679" s="27"/>
      <c r="CS1679" s="27"/>
      <c r="CT1679" s="27"/>
    </row>
    <row r="1680" spans="37:98" x14ac:dyDescent="0.4">
      <c r="AK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C1680" s="55"/>
      <c r="BD1680" s="27"/>
      <c r="CC1680" s="29"/>
      <c r="CK1680" s="31"/>
      <c r="CL1680" s="26"/>
      <c r="CM1680" s="32"/>
      <c r="CN1680" s="32"/>
      <c r="CO1680" s="32"/>
      <c r="CP1680" s="32"/>
      <c r="CQ1680" s="32"/>
      <c r="CR1680" s="32"/>
      <c r="CS1680" s="32"/>
      <c r="CT1680" s="32"/>
    </row>
    <row r="1681" spans="37:98" x14ac:dyDescent="0.4">
      <c r="AK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C1681" s="55"/>
      <c r="BD1681" s="27"/>
      <c r="CC1681" s="28"/>
      <c r="CK1681" s="31"/>
      <c r="CL1681" s="26"/>
      <c r="CM1681" s="32"/>
      <c r="CN1681" s="27"/>
      <c r="CO1681" s="27"/>
      <c r="CP1681" s="27"/>
      <c r="CQ1681" s="27"/>
      <c r="CR1681" s="27"/>
      <c r="CS1681" s="27"/>
      <c r="CT1681" s="27"/>
    </row>
    <row r="1682" spans="37:98" x14ac:dyDescent="0.4">
      <c r="AK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C1682" s="55"/>
      <c r="BD1682" s="27"/>
      <c r="CC1682" s="28"/>
      <c r="CK1682" s="31"/>
      <c r="CL1682" s="26"/>
      <c r="CM1682" s="32"/>
      <c r="CN1682" s="27"/>
      <c r="CO1682" s="27"/>
      <c r="CP1682" s="27"/>
      <c r="CQ1682" s="27"/>
      <c r="CR1682" s="27"/>
      <c r="CS1682" s="27"/>
      <c r="CT1682" s="27"/>
    </row>
    <row r="1683" spans="37:98" x14ac:dyDescent="0.4">
      <c r="AK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C1683" s="55"/>
      <c r="BD1683" s="27"/>
      <c r="CC1683" s="28"/>
      <c r="CK1683" s="31"/>
      <c r="CL1683" s="26"/>
      <c r="CM1683" s="32"/>
      <c r="CN1683" s="27"/>
      <c r="CO1683" s="27"/>
      <c r="CP1683" s="27"/>
      <c r="CQ1683" s="27"/>
      <c r="CR1683" s="27"/>
      <c r="CS1683" s="27"/>
      <c r="CT1683" s="27"/>
    </row>
    <row r="1684" spans="37:98" x14ac:dyDescent="0.4">
      <c r="AK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C1684" s="55"/>
      <c r="BD1684" s="27"/>
      <c r="CC1684" s="28"/>
      <c r="CK1684" s="31"/>
      <c r="CL1684" s="26"/>
      <c r="CM1684" s="32"/>
      <c r="CN1684" s="27"/>
      <c r="CO1684" s="27"/>
      <c r="CP1684" s="27"/>
      <c r="CQ1684" s="27"/>
      <c r="CR1684" s="27"/>
      <c r="CS1684" s="27"/>
      <c r="CT1684" s="27"/>
    </row>
    <row r="1685" spans="37:98" x14ac:dyDescent="0.4">
      <c r="AK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C1685" s="55"/>
      <c r="BD1685" s="27"/>
      <c r="CC1685" s="28"/>
      <c r="CK1685" s="31"/>
      <c r="CL1685" s="26"/>
      <c r="CM1685" s="32"/>
      <c r="CN1685" s="27"/>
      <c r="CO1685" s="27"/>
      <c r="CP1685" s="27"/>
      <c r="CQ1685" s="27"/>
      <c r="CR1685" s="27"/>
      <c r="CS1685" s="27"/>
      <c r="CT1685" s="27"/>
    </row>
    <row r="1686" spans="37:98" x14ac:dyDescent="0.4">
      <c r="AK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C1686" s="55"/>
      <c r="BD1686" s="27"/>
      <c r="CC1686" s="28"/>
      <c r="CK1686" s="31"/>
      <c r="CL1686" s="26"/>
      <c r="CM1686" s="32"/>
      <c r="CN1686" s="27"/>
      <c r="CO1686" s="27"/>
      <c r="CP1686" s="27"/>
      <c r="CQ1686" s="27"/>
      <c r="CR1686" s="27"/>
      <c r="CS1686" s="27"/>
      <c r="CT1686" s="27"/>
    </row>
    <row r="1687" spans="37:98" x14ac:dyDescent="0.4">
      <c r="AK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C1687" s="55"/>
      <c r="BD1687" s="27"/>
      <c r="CC1687" s="28"/>
      <c r="CK1687" s="31"/>
      <c r="CL1687" s="26"/>
      <c r="CM1687" s="32"/>
      <c r="CN1687" s="27"/>
      <c r="CO1687" s="27"/>
      <c r="CP1687" s="27"/>
      <c r="CQ1687" s="27"/>
      <c r="CR1687" s="27"/>
      <c r="CS1687" s="27"/>
      <c r="CT1687" s="27"/>
    </row>
    <row r="1688" spans="37:98" x14ac:dyDescent="0.4">
      <c r="AK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C1688" s="55"/>
      <c r="BD1688" s="27"/>
      <c r="CC1688" s="28"/>
      <c r="CK1688" s="31"/>
      <c r="CL1688" s="26"/>
      <c r="CM1688" s="32"/>
      <c r="CN1688" s="27"/>
      <c r="CO1688" s="27"/>
      <c r="CP1688" s="27"/>
      <c r="CQ1688" s="27"/>
      <c r="CR1688" s="27"/>
      <c r="CS1688" s="27"/>
      <c r="CT1688" s="27"/>
    </row>
    <row r="1689" spans="37:98" x14ac:dyDescent="0.4">
      <c r="AK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C1689" s="55"/>
      <c r="BD1689" s="27"/>
      <c r="CC1689" s="28"/>
      <c r="CK1689" s="31"/>
      <c r="CL1689" s="26"/>
      <c r="CM1689" s="32"/>
      <c r="CN1689" s="27"/>
      <c r="CO1689" s="27"/>
      <c r="CP1689" s="27"/>
      <c r="CQ1689" s="27"/>
      <c r="CR1689" s="27"/>
      <c r="CS1689" s="27"/>
      <c r="CT1689" s="27"/>
    </row>
    <row r="1690" spans="37:98" x14ac:dyDescent="0.4">
      <c r="AK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C1690" s="55"/>
      <c r="BD1690" s="27"/>
      <c r="CC1690" s="28"/>
      <c r="CK1690" s="31"/>
      <c r="CL1690" s="26"/>
      <c r="CM1690" s="32"/>
      <c r="CN1690" s="27"/>
      <c r="CO1690" s="27"/>
      <c r="CP1690" s="27"/>
      <c r="CQ1690" s="27"/>
      <c r="CR1690" s="27"/>
      <c r="CS1690" s="27"/>
      <c r="CT1690" s="27"/>
    </row>
    <row r="1691" spans="37:98" x14ac:dyDescent="0.4">
      <c r="AK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C1691" s="55"/>
      <c r="BD1691" s="27"/>
      <c r="CC1691" s="28"/>
      <c r="CK1691" s="31"/>
      <c r="CL1691" s="26"/>
      <c r="CM1691" s="32"/>
      <c r="CN1691" s="27"/>
      <c r="CO1691" s="27"/>
      <c r="CP1691" s="27"/>
      <c r="CQ1691" s="27"/>
      <c r="CR1691" s="27"/>
      <c r="CS1691" s="27"/>
      <c r="CT1691" s="27"/>
    </row>
    <row r="1692" spans="37:98" x14ac:dyDescent="0.4">
      <c r="AK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C1692" s="55"/>
      <c r="BD1692" s="27"/>
      <c r="CC1692" s="28"/>
      <c r="CK1692" s="31"/>
      <c r="CL1692" s="26"/>
      <c r="CM1692" s="32"/>
      <c r="CN1692" s="27"/>
      <c r="CO1692" s="27"/>
      <c r="CP1692" s="27"/>
      <c r="CQ1692" s="27"/>
      <c r="CR1692" s="27"/>
      <c r="CS1692" s="27"/>
      <c r="CT1692" s="27"/>
    </row>
    <row r="1693" spans="37:98" x14ac:dyDescent="0.4">
      <c r="AK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C1693" s="55"/>
      <c r="BD1693" s="27"/>
      <c r="CC1693" s="28"/>
      <c r="CK1693" s="31"/>
      <c r="CL1693" s="26"/>
      <c r="CM1693" s="32"/>
      <c r="CN1693" s="27"/>
      <c r="CO1693" s="27"/>
      <c r="CP1693" s="27"/>
      <c r="CQ1693" s="27"/>
      <c r="CR1693" s="27"/>
      <c r="CS1693" s="27"/>
      <c r="CT1693" s="27"/>
    </row>
    <row r="1694" spans="37:98" x14ac:dyDescent="0.4">
      <c r="AK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C1694" s="55"/>
      <c r="BD1694" s="27"/>
      <c r="CC1694" s="28"/>
      <c r="CK1694" s="31"/>
      <c r="CL1694" s="26"/>
      <c r="CM1694" s="32"/>
      <c r="CN1694" s="27"/>
      <c r="CO1694" s="27"/>
      <c r="CP1694" s="27"/>
      <c r="CQ1694" s="27"/>
      <c r="CR1694" s="27"/>
      <c r="CS1694" s="27"/>
      <c r="CT1694" s="27"/>
    </row>
    <row r="1695" spans="37:98" x14ac:dyDescent="0.4">
      <c r="AK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C1695" s="55"/>
      <c r="BD1695" s="27"/>
      <c r="CC1695" s="28"/>
      <c r="CK1695" s="31"/>
      <c r="CL1695" s="26"/>
      <c r="CM1695" s="32"/>
      <c r="CN1695" s="27"/>
      <c r="CO1695" s="27"/>
      <c r="CP1695" s="27"/>
      <c r="CQ1695" s="27"/>
      <c r="CR1695" s="27"/>
      <c r="CS1695" s="27"/>
      <c r="CT1695" s="27"/>
    </row>
    <row r="1696" spans="37:98" x14ac:dyDescent="0.4">
      <c r="AK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C1696" s="55"/>
      <c r="BD1696" s="27"/>
      <c r="CC1696" s="28"/>
      <c r="CK1696" s="31"/>
      <c r="CL1696" s="26"/>
      <c r="CM1696" s="32"/>
      <c r="CN1696" s="27"/>
      <c r="CO1696" s="27"/>
      <c r="CP1696" s="27"/>
      <c r="CQ1696" s="27"/>
      <c r="CR1696" s="27"/>
      <c r="CS1696" s="27"/>
      <c r="CT1696" s="27"/>
    </row>
    <row r="1697" spans="37:98" x14ac:dyDescent="0.4">
      <c r="AK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C1697" s="55"/>
      <c r="BD1697" s="27"/>
      <c r="CC1697" s="28"/>
      <c r="CK1697" s="31"/>
      <c r="CL1697" s="26"/>
      <c r="CM1697" s="32"/>
      <c r="CN1697" s="27"/>
      <c r="CO1697" s="27"/>
      <c r="CP1697" s="27"/>
      <c r="CQ1697" s="27"/>
      <c r="CR1697" s="27"/>
      <c r="CS1697" s="27"/>
      <c r="CT1697" s="27"/>
    </row>
    <row r="1698" spans="37:98" x14ac:dyDescent="0.4">
      <c r="AK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C1698" s="55"/>
      <c r="BD1698" s="27"/>
      <c r="CC1698" s="28"/>
      <c r="CK1698" s="31"/>
      <c r="CL1698" s="26"/>
      <c r="CM1698" s="32"/>
      <c r="CN1698" s="27"/>
      <c r="CO1698" s="27"/>
      <c r="CP1698" s="27"/>
      <c r="CQ1698" s="27"/>
      <c r="CR1698" s="27"/>
      <c r="CS1698" s="27"/>
      <c r="CT1698" s="27"/>
    </row>
    <row r="1699" spans="37:98" x14ac:dyDescent="0.4">
      <c r="AK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C1699" s="55"/>
      <c r="BD1699" s="27"/>
      <c r="CC1699" s="28"/>
      <c r="CK1699" s="31"/>
      <c r="CL1699" s="26"/>
      <c r="CM1699" s="32"/>
      <c r="CN1699" s="27"/>
      <c r="CO1699" s="27"/>
      <c r="CP1699" s="27"/>
      <c r="CQ1699" s="27"/>
      <c r="CR1699" s="27"/>
      <c r="CS1699" s="27"/>
      <c r="CT1699" s="27"/>
    </row>
    <row r="1700" spans="37:98" x14ac:dyDescent="0.4">
      <c r="AK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C1700" s="55"/>
      <c r="BD1700" s="27"/>
      <c r="CC1700" s="28"/>
      <c r="CK1700" s="31"/>
      <c r="CL1700" s="26"/>
      <c r="CM1700" s="32"/>
      <c r="CN1700" s="27"/>
      <c r="CO1700" s="27"/>
      <c r="CP1700" s="27"/>
      <c r="CQ1700" s="27"/>
      <c r="CR1700" s="27"/>
      <c r="CS1700" s="27"/>
      <c r="CT1700" s="27"/>
    </row>
    <row r="1701" spans="37:98" x14ac:dyDescent="0.4">
      <c r="AK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C1701" s="55"/>
      <c r="BD1701" s="27"/>
      <c r="CC1701" s="28"/>
      <c r="CK1701" s="31"/>
      <c r="CL1701" s="26"/>
      <c r="CM1701" s="32"/>
      <c r="CN1701" s="27"/>
      <c r="CO1701" s="27"/>
      <c r="CP1701" s="27"/>
      <c r="CQ1701" s="27"/>
      <c r="CR1701" s="27"/>
      <c r="CS1701" s="27"/>
      <c r="CT1701" s="27"/>
    </row>
    <row r="1702" spans="37:98" x14ac:dyDescent="0.4">
      <c r="AK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C1702" s="55"/>
      <c r="BD1702" s="27"/>
      <c r="CC1702" s="29"/>
      <c r="CK1702" s="31"/>
      <c r="CL1702" s="26"/>
      <c r="CM1702" s="32"/>
      <c r="CN1702" s="32"/>
      <c r="CO1702" s="32"/>
      <c r="CP1702" s="32"/>
      <c r="CQ1702" s="32"/>
      <c r="CR1702" s="32"/>
      <c r="CS1702" s="32"/>
      <c r="CT1702" s="32"/>
    </row>
    <row r="1703" spans="37:98" x14ac:dyDescent="0.4">
      <c r="AK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C1703" s="55"/>
      <c r="BD1703" s="27"/>
      <c r="CC1703" s="28"/>
      <c r="CK1703" s="31"/>
      <c r="CL1703" s="26"/>
      <c r="CM1703" s="32"/>
      <c r="CN1703" s="27"/>
      <c r="CO1703" s="27"/>
      <c r="CP1703" s="27"/>
      <c r="CQ1703" s="27"/>
      <c r="CR1703" s="27"/>
      <c r="CS1703" s="27"/>
      <c r="CT1703" s="27"/>
    </row>
    <row r="1704" spans="37:98" x14ac:dyDescent="0.4">
      <c r="AK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C1704" s="55"/>
      <c r="BD1704" s="27"/>
      <c r="CC1704" s="28"/>
      <c r="CK1704" s="31"/>
      <c r="CL1704" s="26"/>
      <c r="CM1704" s="32"/>
      <c r="CN1704" s="27"/>
      <c r="CO1704" s="27"/>
      <c r="CP1704" s="27"/>
      <c r="CQ1704" s="27"/>
      <c r="CR1704" s="27"/>
      <c r="CS1704" s="27"/>
      <c r="CT1704" s="27"/>
    </row>
    <row r="1705" spans="37:98" x14ac:dyDescent="0.4">
      <c r="AK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C1705" s="55"/>
      <c r="BD1705" s="27"/>
      <c r="CC1705" s="28"/>
      <c r="CK1705" s="31"/>
      <c r="CL1705" s="26"/>
      <c r="CM1705" s="32"/>
      <c r="CN1705" s="27"/>
      <c r="CO1705" s="27"/>
      <c r="CP1705" s="27"/>
      <c r="CQ1705" s="27"/>
      <c r="CR1705" s="27"/>
      <c r="CS1705" s="27"/>
      <c r="CT1705" s="27"/>
    </row>
    <row r="1706" spans="37:98" x14ac:dyDescent="0.4">
      <c r="AK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C1706" s="55"/>
      <c r="BD1706" s="27"/>
      <c r="CC1706" s="28"/>
      <c r="CK1706" s="31"/>
      <c r="CL1706" s="26"/>
      <c r="CM1706" s="32"/>
      <c r="CN1706" s="27"/>
      <c r="CO1706" s="27"/>
      <c r="CP1706" s="27"/>
      <c r="CQ1706" s="27"/>
      <c r="CR1706" s="27"/>
      <c r="CS1706" s="27"/>
      <c r="CT1706" s="27"/>
    </row>
    <row r="1707" spans="37:98" x14ac:dyDescent="0.4">
      <c r="AK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C1707" s="55"/>
      <c r="BD1707" s="27"/>
      <c r="CC1707" s="28"/>
      <c r="CK1707" s="31"/>
      <c r="CL1707" s="26"/>
      <c r="CM1707" s="32"/>
      <c r="CN1707" s="27"/>
      <c r="CO1707" s="27"/>
      <c r="CP1707" s="27"/>
      <c r="CQ1707" s="27"/>
      <c r="CR1707" s="27"/>
      <c r="CS1707" s="27"/>
      <c r="CT1707" s="27"/>
    </row>
    <row r="1708" spans="37:98" x14ac:dyDescent="0.4">
      <c r="AK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C1708" s="55"/>
      <c r="BD1708" s="27"/>
      <c r="CC1708" s="28"/>
      <c r="CK1708" s="31"/>
      <c r="CL1708" s="26"/>
      <c r="CM1708" s="32"/>
      <c r="CN1708" s="27"/>
      <c r="CO1708" s="27"/>
      <c r="CP1708" s="27"/>
      <c r="CQ1708" s="27"/>
      <c r="CR1708" s="27"/>
      <c r="CS1708" s="27"/>
      <c r="CT1708" s="27"/>
    </row>
    <row r="1709" spans="37:98" x14ac:dyDescent="0.4">
      <c r="AK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C1709" s="55"/>
      <c r="BD1709" s="27"/>
      <c r="CC1709" s="28"/>
      <c r="CK1709" s="31"/>
      <c r="CL1709" s="26"/>
      <c r="CM1709" s="32"/>
      <c r="CN1709" s="27"/>
      <c r="CO1709" s="27"/>
      <c r="CP1709" s="27"/>
      <c r="CQ1709" s="27"/>
      <c r="CR1709" s="27"/>
      <c r="CS1709" s="27"/>
      <c r="CT1709" s="27"/>
    </row>
    <row r="1710" spans="37:98" x14ac:dyDescent="0.4">
      <c r="AK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C1710" s="55"/>
      <c r="BD1710" s="27"/>
      <c r="CC1710" s="28"/>
      <c r="CK1710" s="31"/>
      <c r="CL1710" s="26"/>
      <c r="CM1710" s="32"/>
      <c r="CN1710" s="27"/>
      <c r="CO1710" s="27"/>
      <c r="CP1710" s="27"/>
      <c r="CQ1710" s="27"/>
      <c r="CR1710" s="27"/>
      <c r="CS1710" s="27"/>
      <c r="CT1710" s="27"/>
    </row>
    <row r="1711" spans="37:98" x14ac:dyDescent="0.4">
      <c r="AK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C1711" s="55"/>
      <c r="BD1711" s="27"/>
      <c r="CC1711" s="28"/>
      <c r="CK1711" s="31"/>
      <c r="CL1711" s="26"/>
      <c r="CM1711" s="32"/>
      <c r="CN1711" s="27"/>
      <c r="CO1711" s="27"/>
      <c r="CP1711" s="27"/>
      <c r="CQ1711" s="27"/>
      <c r="CR1711" s="27"/>
      <c r="CS1711" s="27"/>
      <c r="CT1711" s="27"/>
    </row>
    <row r="1712" spans="37:98" x14ac:dyDescent="0.4">
      <c r="AK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C1712" s="55"/>
      <c r="BD1712" s="27"/>
      <c r="CC1712" s="28"/>
      <c r="CK1712" s="31"/>
      <c r="CL1712" s="26"/>
      <c r="CM1712" s="32"/>
      <c r="CN1712" s="27"/>
      <c r="CO1712" s="27"/>
      <c r="CP1712" s="27"/>
      <c r="CQ1712" s="27"/>
      <c r="CR1712" s="27"/>
      <c r="CS1712" s="27"/>
      <c r="CT1712" s="27"/>
    </row>
    <row r="1713" spans="37:98" x14ac:dyDescent="0.4">
      <c r="AK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C1713" s="55"/>
      <c r="BD1713" s="27"/>
      <c r="CC1713" s="28"/>
      <c r="CK1713" s="31"/>
      <c r="CL1713" s="26"/>
      <c r="CM1713" s="32"/>
      <c r="CN1713" s="27"/>
      <c r="CO1713" s="27"/>
      <c r="CP1713" s="27"/>
      <c r="CQ1713" s="27"/>
      <c r="CR1713" s="27"/>
      <c r="CS1713" s="27"/>
      <c r="CT1713" s="27"/>
    </row>
    <row r="1714" spans="37:98" x14ac:dyDescent="0.4">
      <c r="AK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C1714" s="55"/>
      <c r="BD1714" s="27"/>
      <c r="CC1714" s="28"/>
      <c r="CK1714" s="31"/>
      <c r="CL1714" s="26"/>
      <c r="CM1714" s="32"/>
      <c r="CN1714" s="27"/>
      <c r="CO1714" s="27"/>
      <c r="CP1714" s="27"/>
      <c r="CQ1714" s="27"/>
      <c r="CR1714" s="27"/>
      <c r="CS1714" s="27"/>
      <c r="CT1714" s="27"/>
    </row>
    <row r="1715" spans="37:98" x14ac:dyDescent="0.4">
      <c r="AK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C1715" s="55"/>
      <c r="BD1715" s="27"/>
      <c r="CC1715" s="28"/>
      <c r="CK1715" s="31"/>
      <c r="CL1715" s="26"/>
      <c r="CM1715" s="32"/>
      <c r="CN1715" s="27"/>
      <c r="CO1715" s="27"/>
      <c r="CP1715" s="27"/>
      <c r="CQ1715" s="27"/>
      <c r="CR1715" s="27"/>
      <c r="CS1715" s="27"/>
      <c r="CT1715" s="27"/>
    </row>
    <row r="1716" spans="37:98" x14ac:dyDescent="0.4">
      <c r="AK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C1716" s="55"/>
      <c r="BD1716" s="27"/>
      <c r="CC1716" s="28"/>
      <c r="CK1716" s="31"/>
      <c r="CL1716" s="26"/>
      <c r="CM1716" s="32"/>
      <c r="CN1716" s="27"/>
      <c r="CO1716" s="27"/>
      <c r="CP1716" s="27"/>
      <c r="CQ1716" s="27"/>
      <c r="CR1716" s="27"/>
      <c r="CS1716" s="27"/>
      <c r="CT1716" s="27"/>
    </row>
    <row r="1717" spans="37:98" x14ac:dyDescent="0.4">
      <c r="AK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C1717" s="55"/>
      <c r="BD1717" s="27"/>
      <c r="CC1717" s="28"/>
      <c r="CK1717" s="31"/>
      <c r="CL1717" s="26"/>
      <c r="CM1717" s="32"/>
      <c r="CN1717" s="27"/>
      <c r="CO1717" s="27"/>
      <c r="CP1717" s="27"/>
      <c r="CQ1717" s="27"/>
      <c r="CR1717" s="27"/>
      <c r="CS1717" s="27"/>
      <c r="CT1717" s="27"/>
    </row>
    <row r="1718" spans="37:98" x14ac:dyDescent="0.4">
      <c r="AK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C1718" s="55"/>
      <c r="BD1718" s="27"/>
      <c r="CC1718" s="28"/>
      <c r="CK1718" s="31"/>
      <c r="CL1718" s="26"/>
      <c r="CM1718" s="32"/>
      <c r="CN1718" s="27"/>
      <c r="CO1718" s="27"/>
      <c r="CP1718" s="27"/>
      <c r="CQ1718" s="27"/>
      <c r="CR1718" s="27"/>
      <c r="CS1718" s="27"/>
      <c r="CT1718" s="27"/>
    </row>
    <row r="1719" spans="37:98" x14ac:dyDescent="0.4">
      <c r="AK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C1719" s="55"/>
      <c r="BD1719" s="27"/>
      <c r="CC1719" s="28"/>
      <c r="CK1719" s="31"/>
      <c r="CL1719" s="26"/>
      <c r="CM1719" s="32"/>
      <c r="CN1719" s="27"/>
      <c r="CO1719" s="27"/>
      <c r="CP1719" s="27"/>
      <c r="CQ1719" s="27"/>
      <c r="CR1719" s="27"/>
      <c r="CS1719" s="27"/>
      <c r="CT1719" s="27"/>
    </row>
    <row r="1720" spans="37:98" x14ac:dyDescent="0.4">
      <c r="AK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C1720" s="55"/>
      <c r="BD1720" s="27"/>
      <c r="CC1720" s="28"/>
      <c r="CK1720" s="31"/>
      <c r="CL1720" s="26"/>
      <c r="CM1720" s="32"/>
      <c r="CN1720" s="27"/>
      <c r="CO1720" s="27"/>
      <c r="CP1720" s="27"/>
      <c r="CQ1720" s="27"/>
      <c r="CR1720" s="27"/>
      <c r="CS1720" s="27"/>
      <c r="CT1720" s="27"/>
    </row>
    <row r="1721" spans="37:98" x14ac:dyDescent="0.4">
      <c r="AK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C1721" s="55"/>
      <c r="BD1721" s="27"/>
      <c r="CC1721" s="28"/>
      <c r="CK1721" s="31"/>
      <c r="CL1721" s="26"/>
      <c r="CM1721" s="32"/>
      <c r="CN1721" s="27"/>
      <c r="CO1721" s="27"/>
      <c r="CP1721" s="27"/>
      <c r="CQ1721" s="27"/>
      <c r="CR1721" s="27"/>
      <c r="CS1721" s="27"/>
      <c r="CT1721" s="27"/>
    </row>
    <row r="1722" spans="37:98" x14ac:dyDescent="0.4">
      <c r="AK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C1722" s="27"/>
      <c r="BD1722" s="27"/>
      <c r="CC1722" s="28"/>
      <c r="CK1722" s="31"/>
      <c r="CL1722" s="26"/>
      <c r="CM1722" s="32"/>
      <c r="CN1722" s="27"/>
      <c r="CO1722" s="27"/>
      <c r="CP1722" s="27"/>
      <c r="CQ1722" s="27"/>
      <c r="CR1722" s="27"/>
      <c r="CS1722" s="27"/>
      <c r="CT1722" s="27"/>
    </row>
    <row r="1723" spans="37:98" x14ac:dyDescent="0.4">
      <c r="AK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C1723" s="27"/>
      <c r="BD1723" s="27"/>
      <c r="CC1723" s="28"/>
      <c r="CK1723" s="31"/>
      <c r="CL1723" s="26"/>
      <c r="CM1723" s="32"/>
      <c r="CN1723" s="27"/>
      <c r="CO1723" s="27"/>
      <c r="CP1723" s="27"/>
      <c r="CQ1723" s="27"/>
      <c r="CR1723" s="27"/>
      <c r="CS1723" s="27"/>
      <c r="CT1723" s="27"/>
    </row>
    <row r="1724" spans="37:98" x14ac:dyDescent="0.4">
      <c r="AK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C1724" s="27"/>
      <c r="BD1724" s="27"/>
      <c r="CC1724" s="29"/>
      <c r="CK1724" s="31"/>
      <c r="CL1724" s="26"/>
      <c r="CM1724" s="32"/>
      <c r="CN1724" s="32"/>
      <c r="CO1724" s="32"/>
      <c r="CP1724" s="32"/>
      <c r="CQ1724" s="32"/>
      <c r="CR1724" s="32"/>
      <c r="CS1724" s="32"/>
      <c r="CT1724" s="32"/>
    </row>
    <row r="1725" spans="37:98" x14ac:dyDescent="0.4">
      <c r="AK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C1725" s="27"/>
      <c r="BD1725" s="27"/>
      <c r="CC1725" s="28"/>
      <c r="CK1725" s="31"/>
      <c r="CL1725" s="26"/>
      <c r="CM1725" s="32"/>
      <c r="CN1725" s="27"/>
      <c r="CO1725" s="27"/>
      <c r="CP1725" s="27"/>
      <c r="CQ1725" s="27"/>
      <c r="CR1725" s="27"/>
      <c r="CS1725" s="27"/>
      <c r="CT1725" s="27"/>
    </row>
    <row r="1726" spans="37:98" x14ac:dyDescent="0.4">
      <c r="AK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C1726" s="27"/>
      <c r="BD1726" s="27"/>
      <c r="CC1726" s="28"/>
      <c r="CK1726" s="31"/>
      <c r="CL1726" s="26"/>
      <c r="CM1726" s="32"/>
      <c r="CN1726" s="27"/>
      <c r="CO1726" s="27"/>
      <c r="CP1726" s="27"/>
      <c r="CQ1726" s="27"/>
      <c r="CR1726" s="27"/>
      <c r="CS1726" s="27"/>
      <c r="CT1726" s="27"/>
    </row>
    <row r="1727" spans="37:98" x14ac:dyDescent="0.4">
      <c r="AK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C1727" s="27"/>
      <c r="BD1727" s="27"/>
      <c r="CC1727" s="28"/>
      <c r="CK1727" s="31"/>
      <c r="CL1727" s="26"/>
      <c r="CM1727" s="32"/>
      <c r="CN1727" s="27"/>
      <c r="CO1727" s="27"/>
      <c r="CP1727" s="27"/>
      <c r="CQ1727" s="27"/>
      <c r="CR1727" s="27"/>
      <c r="CS1727" s="27"/>
      <c r="CT1727" s="27"/>
    </row>
    <row r="1728" spans="37:98" x14ac:dyDescent="0.4">
      <c r="AK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C1728" s="27"/>
      <c r="BD1728" s="27"/>
      <c r="CC1728" s="28"/>
      <c r="CK1728" s="31"/>
      <c r="CL1728" s="26"/>
      <c r="CM1728" s="32"/>
      <c r="CN1728" s="27"/>
      <c r="CO1728" s="27"/>
      <c r="CP1728" s="27"/>
      <c r="CQ1728" s="27"/>
      <c r="CR1728" s="27"/>
      <c r="CS1728" s="27"/>
      <c r="CT1728" s="27"/>
    </row>
    <row r="1729" spans="37:98" x14ac:dyDescent="0.4">
      <c r="AK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C1729" s="27"/>
      <c r="BD1729" s="27"/>
      <c r="CC1729" s="28"/>
      <c r="CK1729" s="31"/>
      <c r="CL1729" s="26"/>
      <c r="CM1729" s="32"/>
      <c r="CN1729" s="27"/>
      <c r="CO1729" s="27"/>
      <c r="CP1729" s="27"/>
      <c r="CQ1729" s="27"/>
      <c r="CR1729" s="27"/>
      <c r="CS1729" s="27"/>
      <c r="CT1729" s="27"/>
    </row>
    <row r="1730" spans="37:98" x14ac:dyDescent="0.4">
      <c r="AK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C1730" s="27"/>
      <c r="BD1730" s="27"/>
      <c r="CC1730" s="28"/>
      <c r="CK1730" s="31"/>
      <c r="CL1730" s="26"/>
      <c r="CM1730" s="32"/>
      <c r="CN1730" s="27"/>
      <c r="CO1730" s="27"/>
      <c r="CP1730" s="27"/>
      <c r="CQ1730" s="27"/>
      <c r="CR1730" s="27"/>
      <c r="CS1730" s="27"/>
      <c r="CT1730" s="27"/>
    </row>
    <row r="1731" spans="37:98" x14ac:dyDescent="0.4">
      <c r="AK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C1731" s="27"/>
      <c r="BD1731" s="27"/>
      <c r="CC1731" s="28"/>
      <c r="CK1731" s="31"/>
      <c r="CL1731" s="26"/>
      <c r="CM1731" s="32"/>
      <c r="CN1731" s="27"/>
      <c r="CO1731" s="27"/>
      <c r="CP1731" s="27"/>
      <c r="CQ1731" s="27"/>
      <c r="CR1731" s="27"/>
      <c r="CS1731" s="27"/>
      <c r="CT1731" s="27"/>
    </row>
    <row r="1732" spans="37:98" x14ac:dyDescent="0.4">
      <c r="AK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C1732" s="27"/>
      <c r="BD1732" s="27"/>
      <c r="CC1732" s="28"/>
      <c r="CK1732" s="31"/>
      <c r="CL1732" s="26"/>
      <c r="CM1732" s="32"/>
      <c r="CN1732" s="27"/>
      <c r="CO1732" s="27"/>
      <c r="CP1732" s="27"/>
      <c r="CQ1732" s="27"/>
      <c r="CR1732" s="27"/>
      <c r="CS1732" s="27"/>
      <c r="CT1732" s="27"/>
    </row>
    <row r="1733" spans="37:98" x14ac:dyDescent="0.4">
      <c r="AK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C1733" s="27"/>
      <c r="BD1733" s="27"/>
      <c r="CC1733" s="28"/>
      <c r="CK1733" s="31"/>
      <c r="CL1733" s="26"/>
      <c r="CM1733" s="32"/>
      <c r="CN1733" s="27"/>
      <c r="CO1733" s="27"/>
      <c r="CP1733" s="27"/>
      <c r="CQ1733" s="27"/>
      <c r="CR1733" s="27"/>
      <c r="CS1733" s="27"/>
      <c r="CT1733" s="27"/>
    </row>
    <row r="1734" spans="37:98" x14ac:dyDescent="0.4">
      <c r="AK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C1734" s="27"/>
      <c r="BD1734" s="27"/>
      <c r="CC1734" s="28"/>
      <c r="CK1734" s="31"/>
      <c r="CL1734" s="26"/>
      <c r="CM1734" s="32"/>
      <c r="CN1734" s="27"/>
      <c r="CO1734" s="27"/>
      <c r="CP1734" s="27"/>
      <c r="CQ1734" s="27"/>
      <c r="CR1734" s="27"/>
      <c r="CS1734" s="27"/>
      <c r="CT1734" s="27"/>
    </row>
    <row r="1735" spans="37:98" x14ac:dyDescent="0.4">
      <c r="AK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C1735" s="27"/>
      <c r="BD1735" s="27"/>
      <c r="CC1735" s="28"/>
      <c r="CK1735" s="31"/>
      <c r="CL1735" s="26"/>
      <c r="CM1735" s="32"/>
      <c r="CN1735" s="27"/>
      <c r="CO1735" s="27"/>
      <c r="CP1735" s="27"/>
      <c r="CQ1735" s="27"/>
      <c r="CR1735" s="27"/>
      <c r="CS1735" s="27"/>
      <c r="CT1735" s="27"/>
    </row>
    <row r="1736" spans="37:98" x14ac:dyDescent="0.4">
      <c r="AK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C1736" s="27"/>
      <c r="BD1736" s="27"/>
      <c r="CC1736" s="28"/>
      <c r="CK1736" s="31"/>
      <c r="CL1736" s="26"/>
      <c r="CM1736" s="32"/>
      <c r="CN1736" s="27"/>
      <c r="CO1736" s="27"/>
      <c r="CP1736" s="27"/>
      <c r="CQ1736" s="27"/>
      <c r="CR1736" s="27"/>
      <c r="CS1736" s="27"/>
      <c r="CT1736" s="27"/>
    </row>
    <row r="1737" spans="37:98" x14ac:dyDescent="0.4">
      <c r="AK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C1737" s="27"/>
      <c r="BD1737" s="27"/>
      <c r="CC1737" s="28"/>
      <c r="CK1737" s="31"/>
      <c r="CL1737" s="26"/>
      <c r="CM1737" s="32"/>
      <c r="CN1737" s="27"/>
      <c r="CO1737" s="27"/>
      <c r="CP1737" s="27"/>
      <c r="CQ1737" s="27"/>
      <c r="CR1737" s="27"/>
      <c r="CS1737" s="27"/>
      <c r="CT1737" s="27"/>
    </row>
    <row r="1738" spans="37:98" x14ac:dyDescent="0.4">
      <c r="AK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C1738" s="27"/>
      <c r="BD1738" s="27"/>
      <c r="CC1738" s="28"/>
      <c r="CK1738" s="31"/>
      <c r="CL1738" s="26"/>
      <c r="CM1738" s="32"/>
      <c r="CN1738" s="27"/>
      <c r="CO1738" s="27"/>
      <c r="CP1738" s="27"/>
      <c r="CQ1738" s="27"/>
      <c r="CR1738" s="27"/>
      <c r="CS1738" s="27"/>
      <c r="CT1738" s="27"/>
    </row>
    <row r="1739" spans="37:98" x14ac:dyDescent="0.4">
      <c r="AK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C1739" s="27"/>
      <c r="BD1739" s="27"/>
      <c r="CC1739" s="28"/>
      <c r="CK1739" s="31"/>
      <c r="CL1739" s="26"/>
      <c r="CM1739" s="32"/>
      <c r="CN1739" s="27"/>
      <c r="CO1739" s="27"/>
      <c r="CP1739" s="27"/>
      <c r="CQ1739" s="27"/>
      <c r="CR1739" s="27"/>
      <c r="CS1739" s="27"/>
      <c r="CT1739" s="27"/>
    </row>
    <row r="1740" spans="37:98" x14ac:dyDescent="0.4">
      <c r="AK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C1740" s="27"/>
      <c r="BD1740" s="27"/>
      <c r="CC1740" s="28"/>
      <c r="CK1740" s="31"/>
      <c r="CL1740" s="26"/>
      <c r="CM1740" s="32"/>
      <c r="CN1740" s="27"/>
      <c r="CO1740" s="27"/>
      <c r="CP1740" s="27"/>
      <c r="CQ1740" s="27"/>
      <c r="CR1740" s="27"/>
      <c r="CS1740" s="27"/>
      <c r="CT1740" s="27"/>
    </row>
    <row r="1741" spans="37:98" x14ac:dyDescent="0.4">
      <c r="AK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C1741" s="27"/>
      <c r="BD1741" s="27"/>
      <c r="CC1741" s="28"/>
      <c r="CK1741" s="31"/>
      <c r="CL1741" s="26"/>
      <c r="CM1741" s="32"/>
      <c r="CN1741" s="27"/>
      <c r="CO1741" s="27"/>
      <c r="CP1741" s="27"/>
      <c r="CQ1741" s="27"/>
      <c r="CR1741" s="27"/>
      <c r="CS1741" s="27"/>
      <c r="CT1741" s="27"/>
    </row>
    <row r="1742" spans="37:98" x14ac:dyDescent="0.4">
      <c r="AK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C1742" s="27"/>
      <c r="BD1742" s="27"/>
      <c r="CC1742" s="28"/>
      <c r="CK1742" s="31"/>
      <c r="CL1742" s="26"/>
      <c r="CM1742" s="32"/>
      <c r="CN1742" s="27"/>
      <c r="CO1742" s="27"/>
      <c r="CP1742" s="27"/>
      <c r="CQ1742" s="27"/>
      <c r="CR1742" s="27"/>
      <c r="CS1742" s="27"/>
      <c r="CT1742" s="27"/>
    </row>
    <row r="1743" spans="37:98" x14ac:dyDescent="0.4">
      <c r="AK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C1743" s="27"/>
      <c r="BD1743" s="27"/>
      <c r="CC1743" s="28"/>
      <c r="CK1743" s="31"/>
      <c r="CL1743" s="26"/>
      <c r="CM1743" s="32"/>
      <c r="CN1743" s="27"/>
      <c r="CO1743" s="27"/>
      <c r="CP1743" s="27"/>
      <c r="CQ1743" s="27"/>
      <c r="CR1743" s="27"/>
      <c r="CS1743" s="27"/>
      <c r="CT1743" s="27"/>
    </row>
    <row r="1744" spans="37:98" x14ac:dyDescent="0.4">
      <c r="AK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C1744" s="27"/>
      <c r="BD1744" s="27"/>
      <c r="CC1744" s="28"/>
      <c r="CK1744" s="31"/>
      <c r="CL1744" s="26"/>
      <c r="CM1744" s="32"/>
      <c r="CN1744" s="27"/>
      <c r="CO1744" s="27"/>
      <c r="CP1744" s="27"/>
      <c r="CQ1744" s="27"/>
      <c r="CR1744" s="27"/>
      <c r="CS1744" s="27"/>
      <c r="CT1744" s="27"/>
    </row>
    <row r="1745" spans="37:98" x14ac:dyDescent="0.4">
      <c r="AK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C1745" s="27"/>
      <c r="BD1745" s="27"/>
      <c r="CC1745" s="28"/>
      <c r="CK1745" s="31"/>
      <c r="CL1745" s="26"/>
      <c r="CM1745" s="32"/>
      <c r="CN1745" s="27"/>
      <c r="CO1745" s="27"/>
      <c r="CP1745" s="27"/>
      <c r="CQ1745" s="27"/>
      <c r="CR1745" s="27"/>
      <c r="CS1745" s="27"/>
      <c r="CT1745" s="27"/>
    </row>
    <row r="1746" spans="37:98" x14ac:dyDescent="0.4">
      <c r="AK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C1746" s="27"/>
      <c r="BD1746" s="27"/>
      <c r="CK1746" s="31"/>
      <c r="CL1746" s="26"/>
      <c r="CM1746" s="32"/>
      <c r="CN1746" s="32"/>
      <c r="CO1746" s="32"/>
      <c r="CP1746" s="32"/>
      <c r="CQ1746" s="32"/>
      <c r="CR1746" s="32"/>
      <c r="CS1746" s="32"/>
      <c r="CT1746" s="32"/>
    </row>
    <row r="1747" spans="37:98" x14ac:dyDescent="0.4">
      <c r="AK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C1747" s="27"/>
      <c r="BD1747" s="27"/>
      <c r="CK1747" s="31"/>
      <c r="CL1747" s="26"/>
    </row>
    <row r="1748" spans="37:98" x14ac:dyDescent="0.4">
      <c r="AK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C1748" s="27"/>
      <c r="BD1748" s="27"/>
      <c r="CK1748" s="31"/>
      <c r="CL1748" s="26"/>
    </row>
    <row r="1749" spans="37:98" x14ac:dyDescent="0.4">
      <c r="AK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C1749" s="27"/>
      <c r="BD1749" s="27"/>
      <c r="CK1749" s="31"/>
      <c r="CL1749" s="26"/>
    </row>
    <row r="1750" spans="37:98" x14ac:dyDescent="0.4">
      <c r="AK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C1750" s="27"/>
      <c r="BD1750" s="27"/>
      <c r="CK1750" s="31"/>
      <c r="CL1750" s="26"/>
    </row>
    <row r="1751" spans="37:98" x14ac:dyDescent="0.4">
      <c r="AK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C1751" s="27"/>
      <c r="BD1751" s="27"/>
      <c r="CK1751" s="31"/>
      <c r="CL1751" s="26"/>
    </row>
    <row r="1752" spans="37:98" x14ac:dyDescent="0.4">
      <c r="AK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C1752" s="27"/>
      <c r="BD1752" s="27"/>
      <c r="CK1752" s="31"/>
      <c r="CL1752" s="26"/>
    </row>
    <row r="1753" spans="37:98" x14ac:dyDescent="0.4">
      <c r="AK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C1753" s="27"/>
      <c r="BD1753" s="27"/>
      <c r="CK1753" s="31"/>
      <c r="CL1753" s="26"/>
    </row>
    <row r="1754" spans="37:98" x14ac:dyDescent="0.4">
      <c r="AK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C1754" s="27"/>
      <c r="BD1754" s="27"/>
      <c r="CK1754" s="31"/>
      <c r="CL1754" s="26"/>
    </row>
    <row r="1755" spans="37:98" x14ac:dyDescent="0.4">
      <c r="AK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C1755" s="27"/>
      <c r="BD1755" s="27"/>
      <c r="CK1755" s="31"/>
      <c r="CL1755" s="26"/>
    </row>
    <row r="1756" spans="37:98" x14ac:dyDescent="0.4">
      <c r="AK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C1756" s="27"/>
      <c r="BD1756" s="27"/>
      <c r="CK1756" s="31"/>
      <c r="CL1756" s="26"/>
    </row>
    <row r="1757" spans="37:98" x14ac:dyDescent="0.4">
      <c r="AK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C1757" s="27"/>
      <c r="BD1757" s="27"/>
      <c r="CK1757" s="31"/>
      <c r="CL1757" s="26"/>
    </row>
    <row r="1758" spans="37:98" x14ac:dyDescent="0.4">
      <c r="AK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C1758" s="27"/>
      <c r="BD1758" s="27"/>
      <c r="CK1758" s="31"/>
      <c r="CL1758" s="26"/>
    </row>
    <row r="1759" spans="37:98" x14ac:dyDescent="0.4">
      <c r="AK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C1759" s="27"/>
      <c r="BD1759" s="27"/>
      <c r="CK1759" s="31"/>
      <c r="CL1759" s="26"/>
    </row>
    <row r="1760" spans="37:98" x14ac:dyDescent="0.4">
      <c r="AK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C1760" s="27"/>
      <c r="BD1760" s="27"/>
      <c r="CK1760" s="31"/>
      <c r="CL1760" s="26"/>
    </row>
    <row r="1761" spans="37:90" x14ac:dyDescent="0.4">
      <c r="AK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C1761" s="27"/>
      <c r="BD1761" s="27"/>
      <c r="CK1761" s="31"/>
      <c r="CL1761" s="26"/>
    </row>
    <row r="1762" spans="37:90" x14ac:dyDescent="0.4">
      <c r="AK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C1762" s="27"/>
      <c r="BD1762" s="27"/>
      <c r="CK1762" s="31"/>
      <c r="CL1762" s="26"/>
    </row>
    <row r="1763" spans="37:90" x14ac:dyDescent="0.4">
      <c r="AK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C1763" s="27"/>
      <c r="BD1763" s="27"/>
      <c r="CK1763" s="31"/>
      <c r="CL1763" s="26"/>
    </row>
    <row r="1764" spans="37:90" x14ac:dyDescent="0.4">
      <c r="AK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C1764" s="27"/>
      <c r="BD1764" s="27"/>
      <c r="CK1764" s="31"/>
      <c r="CL1764" s="26"/>
    </row>
    <row r="1765" spans="37:90" x14ac:dyDescent="0.4">
      <c r="AK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C1765" s="27"/>
      <c r="BD1765" s="27"/>
      <c r="CK1765" s="31"/>
      <c r="CL1765" s="26"/>
    </row>
    <row r="1766" spans="37:90" x14ac:dyDescent="0.4">
      <c r="AK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C1766" s="27"/>
      <c r="BD1766" s="27"/>
      <c r="CK1766" s="31"/>
      <c r="CL1766" s="26"/>
    </row>
    <row r="1767" spans="37:90" x14ac:dyDescent="0.4">
      <c r="AK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C1767" s="27"/>
      <c r="BD1767" s="27"/>
      <c r="CK1767" s="31"/>
      <c r="CL1767" s="26"/>
    </row>
    <row r="1768" spans="37:90" x14ac:dyDescent="0.4">
      <c r="AK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C1768" s="27"/>
      <c r="BD1768" s="27"/>
      <c r="CK1768" s="31"/>
      <c r="CL1768" s="26"/>
    </row>
    <row r="1769" spans="37:90" x14ac:dyDescent="0.4">
      <c r="AK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C1769" s="27"/>
      <c r="BD1769" s="27"/>
      <c r="CK1769" s="31"/>
      <c r="CL1769" s="26"/>
    </row>
    <row r="1770" spans="37:90" x14ac:dyDescent="0.4">
      <c r="AK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C1770" s="27"/>
      <c r="BD1770" s="27"/>
      <c r="CK1770" s="31"/>
      <c r="CL1770" s="26"/>
    </row>
    <row r="1771" spans="37:90" x14ac:dyDescent="0.4">
      <c r="AK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C1771" s="27"/>
      <c r="BD1771" s="27"/>
      <c r="CK1771" s="31"/>
      <c r="CL1771" s="26"/>
    </row>
    <row r="1772" spans="37:90" x14ac:dyDescent="0.4">
      <c r="AK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C1772" s="27"/>
      <c r="BD1772" s="27"/>
      <c r="CK1772" s="31"/>
      <c r="CL1772" s="26"/>
    </row>
    <row r="1773" spans="37:90" x14ac:dyDescent="0.4">
      <c r="AK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C1773" s="27"/>
      <c r="BD1773" s="27"/>
      <c r="CK1773" s="31"/>
      <c r="CL1773" s="26"/>
    </row>
    <row r="1774" spans="37:90" x14ac:dyDescent="0.4">
      <c r="AK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C1774" s="27"/>
      <c r="BD1774" s="27"/>
      <c r="CK1774" s="31"/>
      <c r="CL1774" s="26"/>
    </row>
    <row r="1775" spans="37:90" x14ac:dyDescent="0.4">
      <c r="AK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C1775" s="27"/>
      <c r="BD1775" s="27"/>
      <c r="CK1775" s="31"/>
      <c r="CL1775" s="26"/>
    </row>
    <row r="1776" spans="37:90" x14ac:dyDescent="0.4">
      <c r="AK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C1776" s="27"/>
      <c r="BD1776" s="27"/>
      <c r="CK1776" s="31"/>
      <c r="CL1776" s="26"/>
    </row>
    <row r="1777" spans="37:90" x14ac:dyDescent="0.4">
      <c r="AK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C1777" s="27"/>
      <c r="BD1777" s="27"/>
      <c r="CK1777" s="31"/>
      <c r="CL1777" s="26"/>
    </row>
    <row r="1778" spans="37:90" x14ac:dyDescent="0.4">
      <c r="AK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C1778" s="27"/>
      <c r="BD1778" s="27"/>
      <c r="CK1778" s="31"/>
      <c r="CL1778" s="26"/>
    </row>
    <row r="1779" spans="37:90" x14ac:dyDescent="0.4">
      <c r="AK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C1779" s="27"/>
      <c r="BD1779" s="27"/>
      <c r="CK1779" s="31"/>
      <c r="CL1779" s="26"/>
    </row>
    <row r="1780" spans="37:90" x14ac:dyDescent="0.4">
      <c r="AK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C1780" s="27"/>
      <c r="BD1780" s="27"/>
      <c r="CK1780" s="31"/>
      <c r="CL1780" s="26"/>
    </row>
    <row r="1781" spans="37:90" x14ac:dyDescent="0.4">
      <c r="AK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C1781" s="27"/>
      <c r="BD1781" s="27"/>
      <c r="CK1781" s="31"/>
      <c r="CL1781" s="26"/>
    </row>
    <row r="1782" spans="37:90" x14ac:dyDescent="0.4">
      <c r="AK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C1782" s="27"/>
      <c r="BD1782" s="27"/>
      <c r="CK1782" s="31"/>
      <c r="CL1782" s="26"/>
    </row>
    <row r="1783" spans="37:90" x14ac:dyDescent="0.4">
      <c r="AK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C1783" s="27"/>
      <c r="BD1783" s="27"/>
      <c r="CK1783" s="31"/>
      <c r="CL1783" s="26"/>
    </row>
    <row r="1784" spans="37:90" x14ac:dyDescent="0.4">
      <c r="AK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C1784" s="27"/>
      <c r="BD1784" s="27"/>
      <c r="CK1784" s="31"/>
      <c r="CL1784" s="26"/>
    </row>
    <row r="1785" spans="37:90" x14ac:dyDescent="0.4">
      <c r="AK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C1785" s="27"/>
      <c r="BD1785" s="27"/>
      <c r="CK1785" s="31"/>
      <c r="CL1785" s="26"/>
    </row>
    <row r="1786" spans="37:90" x14ac:dyDescent="0.4">
      <c r="AK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C1786" s="27"/>
      <c r="BD1786" s="27"/>
      <c r="CK1786" s="31"/>
      <c r="CL1786" s="26"/>
    </row>
    <row r="1787" spans="37:90" x14ac:dyDescent="0.4">
      <c r="AK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C1787" s="27"/>
      <c r="BD1787" s="27"/>
      <c r="CK1787" s="31"/>
      <c r="CL1787" s="26"/>
    </row>
    <row r="1788" spans="37:90" x14ac:dyDescent="0.4">
      <c r="AK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C1788" s="27"/>
      <c r="BD1788" s="27"/>
      <c r="CK1788" s="31"/>
      <c r="CL1788" s="26"/>
    </row>
    <row r="1789" spans="37:90" x14ac:dyDescent="0.4">
      <c r="AK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C1789" s="27"/>
      <c r="BD1789" s="27"/>
      <c r="CK1789" s="31"/>
      <c r="CL1789" s="26"/>
    </row>
    <row r="1790" spans="37:90" x14ac:dyDescent="0.4">
      <c r="AK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C1790" s="27"/>
      <c r="BD1790" s="27"/>
      <c r="CK1790" s="31"/>
      <c r="CL1790" s="26"/>
    </row>
    <row r="1791" spans="37:90" x14ac:dyDescent="0.4">
      <c r="AK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C1791" s="27"/>
      <c r="BD1791" s="27"/>
      <c r="CK1791" s="31"/>
      <c r="CL1791" s="26"/>
    </row>
    <row r="1792" spans="37:90" x14ac:dyDescent="0.4">
      <c r="AK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C1792" s="27"/>
      <c r="BD1792" s="27"/>
      <c r="CK1792" s="31"/>
      <c r="CL1792" s="26"/>
    </row>
    <row r="1793" spans="37:90" x14ac:dyDescent="0.4">
      <c r="AK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C1793" s="27"/>
      <c r="BD1793" s="27"/>
      <c r="CK1793" s="31"/>
      <c r="CL1793" s="26"/>
    </row>
    <row r="1794" spans="37:90" x14ac:dyDescent="0.4">
      <c r="AK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C1794" s="27"/>
      <c r="BD1794" s="27"/>
      <c r="CK1794" s="31"/>
      <c r="CL1794" s="26"/>
    </row>
    <row r="1795" spans="37:90" x14ac:dyDescent="0.4">
      <c r="AK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C1795" s="27"/>
      <c r="BD1795" s="27"/>
      <c r="CK1795" s="31"/>
      <c r="CL1795" s="26"/>
    </row>
    <row r="1796" spans="37:90" x14ac:dyDescent="0.4">
      <c r="AK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C1796" s="27"/>
      <c r="BD1796" s="27"/>
      <c r="CK1796" s="31"/>
      <c r="CL1796" s="26"/>
    </row>
    <row r="1797" spans="37:90" x14ac:dyDescent="0.4">
      <c r="AK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C1797" s="27"/>
      <c r="BD1797" s="27"/>
      <c r="CK1797" s="31"/>
      <c r="CL1797" s="26"/>
    </row>
    <row r="1798" spans="37:90" x14ac:dyDescent="0.4">
      <c r="AK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C1798" s="27"/>
      <c r="BD1798" s="27"/>
      <c r="CK1798" s="31"/>
      <c r="CL1798" s="26"/>
    </row>
    <row r="1799" spans="37:90" x14ac:dyDescent="0.4">
      <c r="AK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C1799" s="27"/>
      <c r="BD1799" s="27"/>
      <c r="CK1799" s="31"/>
      <c r="CL1799" s="26"/>
    </row>
    <row r="1800" spans="37:90" x14ac:dyDescent="0.4">
      <c r="AK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C1800" s="27"/>
      <c r="BD1800" s="27"/>
      <c r="CK1800" s="31"/>
      <c r="CL1800" s="26"/>
    </row>
    <row r="1801" spans="37:90" x14ac:dyDescent="0.4">
      <c r="AK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C1801" s="27"/>
      <c r="BD1801" s="27"/>
      <c r="CK1801" s="31"/>
      <c r="CL1801" s="26"/>
    </row>
    <row r="1802" spans="37:90" x14ac:dyDescent="0.4">
      <c r="AK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C1802" s="27"/>
      <c r="BD1802" s="27"/>
      <c r="CK1802" s="31"/>
      <c r="CL1802" s="26"/>
    </row>
    <row r="1803" spans="37:90" x14ac:dyDescent="0.4">
      <c r="AK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C1803" s="27"/>
      <c r="BD1803" s="27"/>
      <c r="CK1803" s="31"/>
      <c r="CL1803" s="26"/>
    </row>
    <row r="1804" spans="37:90" x14ac:dyDescent="0.4">
      <c r="AK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C1804" s="27"/>
      <c r="BD1804" s="27"/>
      <c r="CK1804" s="31"/>
      <c r="CL1804" s="26"/>
    </row>
    <row r="1805" spans="37:90" x14ac:dyDescent="0.4">
      <c r="AK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C1805" s="27"/>
      <c r="BD1805" s="27"/>
      <c r="CK1805" s="31"/>
      <c r="CL1805" s="26"/>
    </row>
    <row r="1806" spans="37:90" x14ac:dyDescent="0.4">
      <c r="AK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C1806" s="27"/>
      <c r="BD1806" s="27"/>
      <c r="CK1806" s="31"/>
      <c r="CL1806" s="26"/>
    </row>
    <row r="1807" spans="37:90" x14ac:dyDescent="0.4">
      <c r="AK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C1807" s="27"/>
      <c r="BD1807" s="27"/>
      <c r="CK1807" s="31"/>
      <c r="CL1807" s="26"/>
    </row>
    <row r="1808" spans="37:90" x14ac:dyDescent="0.4">
      <c r="AK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C1808" s="27"/>
      <c r="BD1808" s="27"/>
      <c r="CK1808" s="31"/>
      <c r="CL1808" s="26"/>
    </row>
    <row r="1809" spans="37:90" x14ac:dyDescent="0.4">
      <c r="AK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C1809" s="27"/>
      <c r="BD1809" s="27"/>
      <c r="CK1809" s="31"/>
      <c r="CL1809" s="26"/>
    </row>
    <row r="1810" spans="37:90" x14ac:dyDescent="0.4">
      <c r="AK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C1810" s="27"/>
      <c r="BD1810" s="27"/>
      <c r="CK1810" s="31"/>
      <c r="CL1810" s="26"/>
    </row>
    <row r="1811" spans="37:90" x14ac:dyDescent="0.4">
      <c r="AK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C1811" s="27"/>
      <c r="BD1811" s="27"/>
      <c r="CK1811" s="31"/>
      <c r="CL1811" s="26"/>
    </row>
    <row r="1812" spans="37:90" x14ac:dyDescent="0.4">
      <c r="AK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C1812" s="27"/>
      <c r="BD1812" s="27"/>
      <c r="CK1812" s="31"/>
      <c r="CL1812" s="26"/>
    </row>
    <row r="1813" spans="37:90" x14ac:dyDescent="0.4">
      <c r="AK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C1813" s="27"/>
      <c r="BD1813" s="27"/>
      <c r="CK1813" s="31"/>
      <c r="CL1813" s="26"/>
    </row>
    <row r="1814" spans="37:90" x14ac:dyDescent="0.4">
      <c r="AK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C1814" s="27"/>
      <c r="BD1814" s="27"/>
      <c r="CK1814" s="31"/>
      <c r="CL1814" s="26"/>
    </row>
    <row r="1815" spans="37:90" x14ac:dyDescent="0.4">
      <c r="AK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C1815" s="27"/>
      <c r="BD1815" s="27"/>
      <c r="CK1815" s="31"/>
      <c r="CL1815" s="26"/>
    </row>
    <row r="1816" spans="37:90" x14ac:dyDescent="0.4">
      <c r="AK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C1816" s="27"/>
      <c r="BD1816" s="27"/>
      <c r="CK1816" s="31"/>
      <c r="CL1816" s="26"/>
    </row>
    <row r="1817" spans="37:90" x14ac:dyDescent="0.4">
      <c r="AK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C1817" s="27"/>
      <c r="BD1817" s="27"/>
      <c r="CK1817" s="31"/>
      <c r="CL1817" s="26"/>
    </row>
    <row r="1818" spans="37:90" x14ac:dyDescent="0.4">
      <c r="AK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C1818" s="27"/>
      <c r="BD1818" s="27"/>
      <c r="CK1818" s="31"/>
      <c r="CL1818" s="26"/>
    </row>
    <row r="1819" spans="37:90" x14ac:dyDescent="0.4">
      <c r="AK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C1819" s="27"/>
      <c r="BD1819" s="27"/>
      <c r="CK1819" s="31"/>
      <c r="CL1819" s="26"/>
    </row>
    <row r="1820" spans="37:90" x14ac:dyDescent="0.4">
      <c r="AK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C1820" s="27"/>
      <c r="BD1820" s="27"/>
      <c r="CK1820" s="31"/>
      <c r="CL1820" s="26"/>
    </row>
    <row r="1821" spans="37:90" x14ac:dyDescent="0.4">
      <c r="AK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C1821" s="27"/>
      <c r="BD1821" s="27"/>
      <c r="CK1821" s="31"/>
      <c r="CL1821" s="26"/>
    </row>
    <row r="1822" spans="37:90" x14ac:dyDescent="0.4">
      <c r="AK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C1822" s="27"/>
      <c r="BD1822" s="27"/>
      <c r="CK1822" s="31"/>
      <c r="CL1822" s="26"/>
    </row>
    <row r="1823" spans="37:90" x14ac:dyDescent="0.4">
      <c r="AK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C1823" s="27"/>
      <c r="BD1823" s="27"/>
      <c r="CK1823" s="31"/>
      <c r="CL1823" s="26"/>
    </row>
    <row r="1824" spans="37:90" x14ac:dyDescent="0.4">
      <c r="AK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C1824" s="27"/>
      <c r="BD1824" s="27"/>
      <c r="CK1824" s="31"/>
      <c r="CL1824" s="26"/>
    </row>
    <row r="1825" spans="37:90" x14ac:dyDescent="0.4">
      <c r="AK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C1825" s="27"/>
      <c r="BD1825" s="27"/>
      <c r="CK1825" s="31"/>
      <c r="CL1825" s="26"/>
    </row>
    <row r="1826" spans="37:90" x14ac:dyDescent="0.4">
      <c r="AK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C1826" s="27"/>
      <c r="BD1826" s="27"/>
      <c r="CK1826" s="31"/>
      <c r="CL1826" s="26"/>
    </row>
    <row r="1827" spans="37:90" x14ac:dyDescent="0.4">
      <c r="AK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C1827" s="27"/>
      <c r="BD1827" s="27"/>
      <c r="CK1827" s="31"/>
      <c r="CL1827" s="26"/>
    </row>
    <row r="1828" spans="37:90" x14ac:dyDescent="0.4">
      <c r="AK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C1828" s="27"/>
      <c r="BD1828" s="27"/>
      <c r="CK1828" s="31"/>
      <c r="CL1828" s="26"/>
    </row>
    <row r="1829" spans="37:90" x14ac:dyDescent="0.4">
      <c r="AK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C1829" s="27"/>
      <c r="BD1829" s="27"/>
      <c r="CK1829" s="31"/>
      <c r="CL1829" s="26"/>
    </row>
    <row r="1830" spans="37:90" x14ac:dyDescent="0.4">
      <c r="AK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C1830" s="27"/>
      <c r="BD1830" s="27"/>
      <c r="CK1830" s="31"/>
      <c r="CL1830" s="26"/>
    </row>
    <row r="1831" spans="37:90" x14ac:dyDescent="0.4">
      <c r="AK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C1831" s="27"/>
      <c r="BD1831" s="27"/>
      <c r="CK1831" s="31"/>
      <c r="CL1831" s="26"/>
    </row>
    <row r="1832" spans="37:90" x14ac:dyDescent="0.4">
      <c r="AK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C1832" s="27"/>
      <c r="BD1832" s="27"/>
      <c r="CK1832" s="31"/>
      <c r="CL1832" s="26"/>
    </row>
    <row r="1833" spans="37:90" x14ac:dyDescent="0.4">
      <c r="AK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C1833" s="27"/>
      <c r="BD1833" s="27"/>
      <c r="CK1833" s="31"/>
      <c r="CL1833" s="26"/>
    </row>
    <row r="1834" spans="37:90" x14ac:dyDescent="0.4">
      <c r="AK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C1834" s="27"/>
      <c r="BD1834" s="27"/>
      <c r="CK1834" s="31"/>
      <c r="CL1834" s="26"/>
    </row>
    <row r="1835" spans="37:90" x14ac:dyDescent="0.4">
      <c r="AK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C1835" s="27"/>
      <c r="BD1835" s="27"/>
      <c r="CK1835" s="31"/>
      <c r="CL1835" s="26"/>
    </row>
    <row r="1836" spans="37:90" x14ac:dyDescent="0.4">
      <c r="AK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C1836" s="27"/>
      <c r="BD1836" s="27"/>
      <c r="CK1836" s="31"/>
      <c r="CL1836" s="26"/>
    </row>
    <row r="1837" spans="37:90" x14ac:dyDescent="0.4">
      <c r="AK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C1837" s="27"/>
      <c r="BD1837" s="27"/>
      <c r="CK1837" s="31"/>
      <c r="CL1837" s="26"/>
    </row>
    <row r="1838" spans="37:90" x14ac:dyDescent="0.4">
      <c r="AK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C1838" s="27"/>
      <c r="BD1838" s="27"/>
      <c r="CK1838" s="31"/>
      <c r="CL1838" s="26"/>
    </row>
    <row r="1839" spans="37:90" x14ac:dyDescent="0.4">
      <c r="AK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C1839" s="27"/>
      <c r="BD1839" s="27"/>
      <c r="CK1839" s="31"/>
      <c r="CL1839" s="26"/>
    </row>
    <row r="1840" spans="37:90" x14ac:dyDescent="0.4">
      <c r="AK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C1840" s="27"/>
      <c r="BD1840" s="27"/>
      <c r="CK1840" s="31"/>
      <c r="CL1840" s="26"/>
    </row>
    <row r="1841" spans="37:90" x14ac:dyDescent="0.4">
      <c r="AK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C1841" s="27"/>
      <c r="BD1841" s="27"/>
      <c r="CK1841" s="31"/>
      <c r="CL1841" s="26"/>
    </row>
    <row r="1842" spans="37:90" x14ac:dyDescent="0.4">
      <c r="AK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C1842" s="27"/>
      <c r="BD1842" s="27"/>
      <c r="CK1842" s="31"/>
      <c r="CL1842" s="26"/>
    </row>
    <row r="1843" spans="37:90" x14ac:dyDescent="0.4">
      <c r="AK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C1843" s="27"/>
      <c r="BD1843" s="27"/>
      <c r="CK1843" s="31"/>
      <c r="CL1843" s="26"/>
    </row>
    <row r="1844" spans="37:90" x14ac:dyDescent="0.4">
      <c r="AK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C1844" s="27"/>
      <c r="BD1844" s="27"/>
      <c r="CK1844" s="31"/>
      <c r="CL1844" s="26"/>
    </row>
    <row r="1845" spans="37:90" x14ac:dyDescent="0.4">
      <c r="AK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C1845" s="27"/>
      <c r="BD1845" s="27"/>
      <c r="CK1845" s="31"/>
      <c r="CL1845" s="26"/>
    </row>
    <row r="1846" spans="37:90" x14ac:dyDescent="0.4">
      <c r="AK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C1846" s="27"/>
      <c r="BD1846" s="27"/>
      <c r="CK1846" s="31"/>
      <c r="CL1846" s="26"/>
    </row>
    <row r="1847" spans="37:90" x14ac:dyDescent="0.4">
      <c r="AK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C1847" s="27"/>
      <c r="BD1847" s="27"/>
      <c r="CK1847" s="31"/>
      <c r="CL1847" s="26"/>
    </row>
    <row r="1848" spans="37:90" x14ac:dyDescent="0.4">
      <c r="AK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C1848" s="27"/>
      <c r="BD1848" s="27"/>
      <c r="CK1848" s="31"/>
      <c r="CL1848" s="26"/>
    </row>
    <row r="1849" spans="37:90" x14ac:dyDescent="0.4">
      <c r="AK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C1849" s="27"/>
      <c r="BD1849" s="27"/>
      <c r="CK1849" s="31"/>
      <c r="CL1849" s="26"/>
    </row>
    <row r="1850" spans="37:90" x14ac:dyDescent="0.4">
      <c r="AK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C1850" s="27"/>
      <c r="BD1850" s="27"/>
      <c r="CK1850" s="31"/>
      <c r="CL1850" s="26"/>
    </row>
    <row r="1851" spans="37:90" x14ac:dyDescent="0.4">
      <c r="AK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C1851" s="27"/>
      <c r="BD1851" s="27"/>
      <c r="CK1851" s="31"/>
      <c r="CL1851" s="26"/>
    </row>
    <row r="1852" spans="37:90" x14ac:dyDescent="0.4">
      <c r="AK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C1852" s="27"/>
      <c r="BD1852" s="27"/>
      <c r="CK1852" s="31"/>
      <c r="CL1852" s="26"/>
    </row>
    <row r="1853" spans="37:90" x14ac:dyDescent="0.4">
      <c r="AK1853" s="27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C1853" s="27"/>
      <c r="BD1853" s="27"/>
      <c r="CK1853" s="31"/>
      <c r="CL1853" s="26"/>
    </row>
    <row r="1854" spans="37:90" x14ac:dyDescent="0.4">
      <c r="AK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C1854" s="27"/>
      <c r="BD1854" s="27"/>
      <c r="CK1854" s="31"/>
      <c r="CL1854" s="26"/>
    </row>
    <row r="1855" spans="37:90" x14ac:dyDescent="0.4">
      <c r="AK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C1855" s="27"/>
      <c r="BD1855" s="27"/>
      <c r="CK1855" s="31"/>
      <c r="CL1855" s="26"/>
    </row>
    <row r="1856" spans="37:90" x14ac:dyDescent="0.4">
      <c r="AK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C1856" s="27"/>
      <c r="BD1856" s="27"/>
      <c r="CK1856" s="31"/>
      <c r="CL1856" s="26"/>
    </row>
    <row r="1857" spans="37:90" x14ac:dyDescent="0.4">
      <c r="AK1857" s="27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27"/>
      <c r="BA1857" s="27"/>
      <c r="BC1857" s="27"/>
      <c r="BD1857" s="27"/>
      <c r="CK1857" s="31"/>
      <c r="CL1857" s="26"/>
    </row>
    <row r="1858" spans="37:90" x14ac:dyDescent="0.4">
      <c r="AK1858" s="27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27"/>
      <c r="BA1858" s="27"/>
      <c r="BC1858" s="27"/>
      <c r="BD1858" s="27"/>
      <c r="CK1858" s="31"/>
      <c r="CL1858" s="26"/>
    </row>
    <row r="1859" spans="37:90" x14ac:dyDescent="0.4">
      <c r="AK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C1859" s="27"/>
      <c r="BD1859" s="27"/>
      <c r="CK1859" s="31"/>
      <c r="CL1859" s="26"/>
    </row>
    <row r="1860" spans="37:90" x14ac:dyDescent="0.4">
      <c r="AK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C1860" s="27"/>
      <c r="BD1860" s="27"/>
      <c r="CK1860" s="31"/>
      <c r="CL1860" s="26"/>
    </row>
    <row r="1861" spans="37:90" x14ac:dyDescent="0.4">
      <c r="AK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C1861" s="27"/>
      <c r="BD1861" s="27"/>
      <c r="CK1861" s="31"/>
      <c r="CL1861" s="26"/>
    </row>
    <row r="1862" spans="37:90" x14ac:dyDescent="0.4">
      <c r="AK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C1862" s="27"/>
      <c r="BD1862" s="27"/>
      <c r="CK1862" s="31"/>
      <c r="CL1862" s="26"/>
    </row>
    <row r="1863" spans="37:90" x14ac:dyDescent="0.4">
      <c r="AK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C1863" s="27"/>
      <c r="BD1863" s="27"/>
      <c r="CK1863" s="31"/>
      <c r="CL1863" s="26"/>
    </row>
    <row r="1864" spans="37:90" x14ac:dyDescent="0.4">
      <c r="AK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C1864" s="27"/>
      <c r="BD1864" s="27"/>
      <c r="CK1864" s="31"/>
      <c r="CL1864" s="26"/>
    </row>
    <row r="1865" spans="37:90" x14ac:dyDescent="0.4">
      <c r="AK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C1865" s="27"/>
      <c r="BD1865" s="27"/>
      <c r="CK1865" s="31"/>
      <c r="CL1865" s="26"/>
    </row>
    <row r="1866" spans="37:90" x14ac:dyDescent="0.4">
      <c r="AK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C1866" s="27"/>
      <c r="BD1866" s="27"/>
      <c r="CK1866" s="31"/>
      <c r="CL1866" s="26"/>
    </row>
    <row r="1867" spans="37:90" x14ac:dyDescent="0.4">
      <c r="AK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C1867" s="27"/>
      <c r="BD1867" s="27"/>
      <c r="CK1867" s="31"/>
      <c r="CL1867" s="26"/>
    </row>
    <row r="1868" spans="37:90" x14ac:dyDescent="0.4">
      <c r="AK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C1868" s="27"/>
      <c r="BD1868" s="27"/>
      <c r="CK1868" s="31"/>
      <c r="CL1868" s="26"/>
    </row>
    <row r="1869" spans="37:90" x14ac:dyDescent="0.4">
      <c r="AK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C1869" s="27"/>
      <c r="BD1869" s="27"/>
      <c r="CK1869" s="31"/>
      <c r="CL1869" s="26"/>
    </row>
    <row r="1870" spans="37:90" x14ac:dyDescent="0.4">
      <c r="AK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C1870" s="27"/>
      <c r="BD1870" s="27"/>
      <c r="CK1870" s="31"/>
      <c r="CL1870" s="26"/>
    </row>
    <row r="1871" spans="37:90" x14ac:dyDescent="0.4">
      <c r="AK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C1871" s="27"/>
      <c r="BD1871" s="27"/>
      <c r="CK1871" s="31"/>
      <c r="CL1871" s="26"/>
    </row>
    <row r="1872" spans="37:90" x14ac:dyDescent="0.4">
      <c r="AK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C1872" s="27"/>
      <c r="BD1872" s="27"/>
      <c r="CK1872" s="31"/>
      <c r="CL1872" s="26"/>
    </row>
    <row r="1873" spans="37:90" x14ac:dyDescent="0.4">
      <c r="AK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C1873" s="27"/>
      <c r="BD1873" s="27"/>
      <c r="CK1873" s="31"/>
      <c r="CL1873" s="26"/>
    </row>
    <row r="1874" spans="37:90" x14ac:dyDescent="0.4">
      <c r="AK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C1874" s="27"/>
      <c r="BD1874" s="27"/>
      <c r="CK1874" s="31"/>
      <c r="CL1874" s="26"/>
    </row>
    <row r="1875" spans="37:90" x14ac:dyDescent="0.4">
      <c r="AK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C1875" s="27"/>
      <c r="BD1875" s="27"/>
      <c r="CK1875" s="31"/>
      <c r="CL1875" s="26"/>
    </row>
    <row r="1876" spans="37:90" x14ac:dyDescent="0.4">
      <c r="AK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C1876" s="27"/>
      <c r="BD1876" s="27"/>
      <c r="CK1876" s="31"/>
      <c r="CL1876" s="26"/>
    </row>
    <row r="1877" spans="37:90" x14ac:dyDescent="0.4">
      <c r="AK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C1877" s="27"/>
      <c r="BD1877" s="27"/>
      <c r="CK1877" s="31"/>
      <c r="CL1877" s="26"/>
    </row>
    <row r="1878" spans="37:90" x14ac:dyDescent="0.4">
      <c r="AK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C1878" s="27"/>
      <c r="BD1878" s="27"/>
      <c r="CK1878" s="31"/>
      <c r="CL1878" s="26"/>
    </row>
    <row r="1879" spans="37:90" x14ac:dyDescent="0.4">
      <c r="AK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C1879" s="27"/>
      <c r="BD1879" s="27"/>
      <c r="CK1879" s="31"/>
      <c r="CL1879" s="26"/>
    </row>
    <row r="1880" spans="37:90" x14ac:dyDescent="0.4">
      <c r="AK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CK1880" s="31"/>
      <c r="CL1880" s="26"/>
    </row>
    <row r="1881" spans="37:90" x14ac:dyDescent="0.4">
      <c r="AK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CK1881" s="31"/>
      <c r="CL1881" s="26"/>
    </row>
    <row r="1882" spans="37:90" x14ac:dyDescent="0.4">
      <c r="AK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CK1882" s="31"/>
      <c r="CL1882" s="26"/>
    </row>
    <row r="1883" spans="37:90" x14ac:dyDescent="0.4">
      <c r="AK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CK1883" s="31"/>
      <c r="CL1883" s="26"/>
    </row>
    <row r="1884" spans="37:90" x14ac:dyDescent="0.4">
      <c r="AK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CK1884" s="31"/>
      <c r="CL1884" s="26"/>
    </row>
    <row r="1885" spans="37:90" x14ac:dyDescent="0.4">
      <c r="AK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CK1885" s="31"/>
      <c r="CL1885" s="26"/>
    </row>
    <row r="1886" spans="37:90" x14ac:dyDescent="0.4">
      <c r="AK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CK1886" s="31"/>
      <c r="CL1886" s="26"/>
    </row>
    <row r="1887" spans="37:90" x14ac:dyDescent="0.4">
      <c r="AK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CK1887" s="31"/>
      <c r="CL1887" s="26"/>
    </row>
    <row r="1888" spans="37:90" x14ac:dyDescent="0.4">
      <c r="AK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CK1888" s="31"/>
      <c r="CL1888" s="26"/>
    </row>
    <row r="1889" spans="37:90" x14ac:dyDescent="0.4">
      <c r="AK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CK1889" s="31"/>
      <c r="CL1889" s="26"/>
    </row>
    <row r="1890" spans="37:90" x14ac:dyDescent="0.4"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CK1890" s="31"/>
      <c r="CL1890" s="26"/>
    </row>
    <row r="1891" spans="37:90" x14ac:dyDescent="0.4"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CK1891" s="31"/>
      <c r="CL1891" s="26"/>
    </row>
    <row r="1892" spans="37:90" x14ac:dyDescent="0.4"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CK1892" s="31"/>
      <c r="CL1892" s="26"/>
    </row>
    <row r="1893" spans="37:90" x14ac:dyDescent="0.4"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CK1893" s="31"/>
      <c r="CL1893" s="26"/>
    </row>
    <row r="1894" spans="37:90" x14ac:dyDescent="0.4"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CK1894" s="31"/>
      <c r="CL1894" s="26"/>
    </row>
    <row r="1895" spans="37:90" x14ac:dyDescent="0.4"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CK1895" s="31"/>
      <c r="CL1895" s="26"/>
    </row>
    <row r="1896" spans="37:90" x14ac:dyDescent="0.4">
      <c r="AQ1896" s="27"/>
      <c r="CK1896" s="31"/>
      <c r="CL1896" s="26"/>
    </row>
    <row r="1897" spans="37:90" x14ac:dyDescent="0.4">
      <c r="AQ1897" s="27"/>
      <c r="CK1897" s="31"/>
      <c r="CL1897" s="26"/>
    </row>
    <row r="1898" spans="37:90" x14ac:dyDescent="0.4">
      <c r="AQ1898" s="27"/>
      <c r="CK1898" s="31"/>
      <c r="CL1898" s="26"/>
    </row>
    <row r="1899" spans="37:90" x14ac:dyDescent="0.4">
      <c r="AQ1899" s="27"/>
      <c r="CK1899" s="31"/>
      <c r="CL1899" s="26"/>
    </row>
    <row r="1900" spans="37:90" x14ac:dyDescent="0.4">
      <c r="AQ1900" s="27"/>
      <c r="CK1900" s="31"/>
      <c r="CL1900" s="26"/>
    </row>
    <row r="1901" spans="37:90" x14ac:dyDescent="0.4">
      <c r="AQ1901" s="27"/>
      <c r="CK1901" s="31"/>
      <c r="CL1901" s="26"/>
    </row>
    <row r="1902" spans="37:90" x14ac:dyDescent="0.4">
      <c r="AQ1902" s="27"/>
      <c r="CK1902" s="31"/>
      <c r="CL1902" s="26"/>
    </row>
    <row r="1903" spans="37:90" x14ac:dyDescent="0.4">
      <c r="AQ1903" s="27"/>
      <c r="CK1903" s="31"/>
      <c r="CL1903" s="26"/>
    </row>
    <row r="1904" spans="37:90" x14ac:dyDescent="0.4">
      <c r="AQ1904" s="27"/>
      <c r="CK1904" s="31"/>
      <c r="CL1904" s="26"/>
    </row>
    <row r="1905" spans="43:90" x14ac:dyDescent="0.4">
      <c r="AQ1905" s="27"/>
      <c r="CK1905" s="31"/>
      <c r="CL1905" s="26"/>
    </row>
    <row r="1906" spans="43:90" x14ac:dyDescent="0.4">
      <c r="AQ1906" s="27"/>
      <c r="CK1906" s="31"/>
      <c r="CL1906" s="26"/>
    </row>
    <row r="1907" spans="43:90" x14ac:dyDescent="0.4">
      <c r="AQ1907" s="27"/>
      <c r="CK1907" s="31"/>
      <c r="CL1907" s="26"/>
    </row>
    <row r="1908" spans="43:90" x14ac:dyDescent="0.4">
      <c r="AQ1908" s="27"/>
      <c r="CK1908" s="31"/>
      <c r="CL1908" s="26"/>
    </row>
    <row r="1909" spans="43:90" x14ac:dyDescent="0.4">
      <c r="AQ1909" s="27"/>
      <c r="CK1909" s="31"/>
      <c r="CL1909" s="26"/>
    </row>
    <row r="1910" spans="43:90" x14ac:dyDescent="0.4">
      <c r="AQ1910" s="27"/>
      <c r="CK1910" s="31"/>
      <c r="CL1910" s="26"/>
    </row>
    <row r="1911" spans="43:90" x14ac:dyDescent="0.4">
      <c r="AQ1911" s="27"/>
      <c r="CK1911" s="31"/>
      <c r="CL1911" s="26"/>
    </row>
    <row r="1912" spans="43:90" x14ac:dyDescent="0.4">
      <c r="AQ1912" s="27"/>
      <c r="CK1912" s="31"/>
      <c r="CL1912" s="26"/>
    </row>
    <row r="1913" spans="43:90" x14ac:dyDescent="0.4">
      <c r="AQ1913" s="27"/>
      <c r="CK1913" s="31"/>
      <c r="CL1913" s="26"/>
    </row>
    <row r="1914" spans="43:90" x14ac:dyDescent="0.4">
      <c r="AQ1914" s="27"/>
      <c r="CK1914" s="31"/>
      <c r="CL1914" s="26"/>
    </row>
    <row r="1915" spans="43:90" x14ac:dyDescent="0.4">
      <c r="AQ1915" s="27"/>
      <c r="CK1915" s="31"/>
      <c r="CL1915" s="26"/>
    </row>
    <row r="1916" spans="43:90" x14ac:dyDescent="0.4">
      <c r="AQ1916" s="27"/>
      <c r="CK1916" s="31"/>
      <c r="CL1916" s="26"/>
    </row>
    <row r="1917" spans="43:90" x14ac:dyDescent="0.4">
      <c r="AQ1917" s="27"/>
      <c r="CK1917" s="31"/>
      <c r="CL1917" s="26"/>
    </row>
    <row r="1918" spans="43:90" x14ac:dyDescent="0.4">
      <c r="AQ1918" s="27"/>
      <c r="CK1918" s="31"/>
      <c r="CL1918" s="26"/>
    </row>
    <row r="1919" spans="43:90" x14ac:dyDescent="0.4">
      <c r="AQ1919" s="27"/>
      <c r="CK1919" s="31"/>
      <c r="CL1919" s="26"/>
    </row>
    <row r="1920" spans="43:90" x14ac:dyDescent="0.4">
      <c r="AQ1920" s="27"/>
      <c r="CK1920" s="31"/>
      <c r="CL1920" s="26"/>
    </row>
    <row r="1921" spans="43:90" x14ac:dyDescent="0.4">
      <c r="AQ1921" s="27"/>
      <c r="CK1921" s="31"/>
      <c r="CL1921" s="26"/>
    </row>
    <row r="1922" spans="43:90" x14ac:dyDescent="0.4">
      <c r="AQ1922" s="27"/>
      <c r="CK1922" s="31"/>
      <c r="CL1922" s="26"/>
    </row>
    <row r="1923" spans="43:90" x14ac:dyDescent="0.4">
      <c r="AQ1923" s="27"/>
      <c r="CK1923" s="31"/>
      <c r="CL1923" s="26"/>
    </row>
    <row r="1924" spans="43:90" x14ac:dyDescent="0.4">
      <c r="AQ1924" s="27"/>
      <c r="CK1924" s="31"/>
      <c r="CL1924" s="26"/>
    </row>
    <row r="1925" spans="43:90" x14ac:dyDescent="0.4">
      <c r="AQ1925" s="27"/>
      <c r="CK1925" s="31"/>
      <c r="CL1925" s="26"/>
    </row>
    <row r="1926" spans="43:90" x14ac:dyDescent="0.4">
      <c r="AQ1926" s="27"/>
      <c r="CK1926" s="31"/>
      <c r="CL1926" s="26"/>
    </row>
    <row r="1927" spans="43:90" x14ac:dyDescent="0.4">
      <c r="AQ1927" s="27"/>
      <c r="CK1927" s="31"/>
      <c r="CL1927" s="26"/>
    </row>
    <row r="1928" spans="43:90" x14ac:dyDescent="0.4">
      <c r="AQ1928" s="27"/>
      <c r="CK1928" s="31"/>
      <c r="CL1928" s="26"/>
    </row>
    <row r="1929" spans="43:90" x14ac:dyDescent="0.4">
      <c r="AQ1929" s="27"/>
      <c r="CK1929" s="31"/>
      <c r="CL1929" s="26"/>
    </row>
    <row r="1930" spans="43:90" x14ac:dyDescent="0.4">
      <c r="AQ1930" s="27"/>
      <c r="CK1930" s="31"/>
      <c r="CL1930" s="26"/>
    </row>
    <row r="1931" spans="43:90" x14ac:dyDescent="0.4">
      <c r="AQ1931" s="27"/>
      <c r="CK1931" s="31"/>
      <c r="CL1931" s="26"/>
    </row>
    <row r="1932" spans="43:90" x14ac:dyDescent="0.4">
      <c r="AQ1932" s="27"/>
      <c r="CK1932" s="31"/>
      <c r="CL1932" s="26"/>
    </row>
    <row r="1933" spans="43:90" x14ac:dyDescent="0.4">
      <c r="AQ1933" s="27"/>
      <c r="CK1933" s="31"/>
      <c r="CL1933" s="26"/>
    </row>
    <row r="1934" spans="43:90" x14ac:dyDescent="0.4">
      <c r="AQ1934" s="27"/>
      <c r="CK1934" s="31"/>
      <c r="CL1934" s="26"/>
    </row>
    <row r="1935" spans="43:90" x14ac:dyDescent="0.4">
      <c r="AQ1935" s="27"/>
      <c r="CK1935" s="31"/>
      <c r="CL1935" s="26"/>
    </row>
    <row r="1936" spans="43:90" x14ac:dyDescent="0.4">
      <c r="AQ1936" s="27"/>
      <c r="CK1936" s="31"/>
      <c r="CL1936" s="26"/>
    </row>
    <row r="1937" spans="43:90" x14ac:dyDescent="0.4">
      <c r="AQ1937" s="27"/>
      <c r="CK1937" s="31"/>
      <c r="CL1937" s="26"/>
    </row>
    <row r="1938" spans="43:90" x14ac:dyDescent="0.4">
      <c r="AQ1938" s="27"/>
      <c r="CK1938" s="31"/>
      <c r="CL1938" s="26"/>
    </row>
    <row r="1939" spans="43:90" x14ac:dyDescent="0.4">
      <c r="CK1939" s="31"/>
      <c r="CL1939" s="26"/>
    </row>
    <row r="1940" spans="43:90" x14ac:dyDescent="0.4">
      <c r="CK1940" s="31"/>
      <c r="CL1940" s="26"/>
    </row>
    <row r="1941" spans="43:90" x14ac:dyDescent="0.4">
      <c r="CK1941" s="31"/>
      <c r="CL1941" s="26"/>
    </row>
    <row r="1942" spans="43:90" x14ac:dyDescent="0.4">
      <c r="CK1942" s="31"/>
      <c r="CL1942" s="26"/>
    </row>
    <row r="1943" spans="43:90" x14ac:dyDescent="0.4">
      <c r="CK1943" s="31"/>
      <c r="CL1943" s="26"/>
    </row>
    <row r="1944" spans="43:90" x14ac:dyDescent="0.4">
      <c r="CK1944" s="31"/>
      <c r="CL1944" s="26"/>
    </row>
    <row r="1945" spans="43:90" x14ac:dyDescent="0.4">
      <c r="CK1945" s="31"/>
      <c r="CL1945" s="26"/>
    </row>
    <row r="1946" spans="43:90" x14ac:dyDescent="0.4">
      <c r="CK1946" s="31"/>
      <c r="CL1946" s="26"/>
    </row>
    <row r="1947" spans="43:90" x14ac:dyDescent="0.4">
      <c r="CK1947" s="31"/>
      <c r="CL1947" s="26"/>
    </row>
    <row r="1948" spans="43:90" x14ac:dyDescent="0.4">
      <c r="CK1948" s="31"/>
      <c r="CL1948" s="26"/>
    </row>
  </sheetData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3:V204"/>
  <sheetViews>
    <sheetView zoomScale="75" zoomScaleNormal="75" workbookViewId="0">
      <selection activeCell="D32" sqref="D32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4" width="22" style="1" customWidth="1"/>
    <col min="5" max="5" width="17.5546875" style="1" customWidth="1"/>
    <col min="6" max="6" width="17.6640625" style="1" customWidth="1"/>
    <col min="7" max="22" width="17.5546875" style="1" customWidth="1"/>
    <col min="23" max="16384" width="9.33203125" style="1"/>
  </cols>
  <sheetData>
    <row r="3" spans="1:22" ht="39.6" x14ac:dyDescent="0.25">
      <c r="D3" s="9" t="s">
        <v>263</v>
      </c>
      <c r="E3" s="9" t="s">
        <v>263</v>
      </c>
      <c r="F3" s="9" t="s">
        <v>263</v>
      </c>
      <c r="G3" s="9" t="s">
        <v>263</v>
      </c>
      <c r="H3" s="9" t="s">
        <v>263</v>
      </c>
      <c r="I3" s="9" t="s">
        <v>263</v>
      </c>
      <c r="J3" s="9" t="s">
        <v>263</v>
      </c>
      <c r="K3" s="9" t="s">
        <v>263</v>
      </c>
      <c r="L3" s="9" t="s">
        <v>263</v>
      </c>
      <c r="M3" s="9" t="s">
        <v>263</v>
      </c>
      <c r="N3" s="9" t="s">
        <v>263</v>
      </c>
      <c r="O3" s="9" t="s">
        <v>263</v>
      </c>
      <c r="P3" s="9" t="s">
        <v>263</v>
      </c>
      <c r="Q3" s="9" t="s">
        <v>263</v>
      </c>
      <c r="R3" s="9" t="s">
        <v>263</v>
      </c>
      <c r="S3" s="9" t="s">
        <v>263</v>
      </c>
      <c r="T3" s="9" t="s">
        <v>263</v>
      </c>
      <c r="U3" s="9" t="s">
        <v>263</v>
      </c>
      <c r="V3" s="9" t="s">
        <v>263</v>
      </c>
    </row>
    <row r="4" spans="1:22" x14ac:dyDescent="0.25">
      <c r="B4" s="2"/>
      <c r="C4" s="2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x14ac:dyDescent="0.25">
      <c r="A5" s="3" t="s">
        <v>264</v>
      </c>
      <c r="B5" s="4" t="s">
        <v>265</v>
      </c>
      <c r="C5" s="5" t="s">
        <v>64</v>
      </c>
      <c r="D5" s="10" t="s">
        <v>177</v>
      </c>
      <c r="E5" s="10" t="s">
        <v>176</v>
      </c>
      <c r="F5" s="10" t="s">
        <v>175</v>
      </c>
      <c r="G5" s="10" t="s">
        <v>174</v>
      </c>
      <c r="H5" s="10" t="s">
        <v>173</v>
      </c>
      <c r="I5" s="10" t="s">
        <v>172</v>
      </c>
      <c r="J5" s="10" t="s">
        <v>171</v>
      </c>
      <c r="K5" s="10" t="s">
        <v>170</v>
      </c>
      <c r="L5" s="10" t="s">
        <v>169</v>
      </c>
      <c r="M5" s="10" t="s">
        <v>168</v>
      </c>
      <c r="N5" s="10" t="s">
        <v>167</v>
      </c>
      <c r="O5" s="10" t="s">
        <v>166</v>
      </c>
      <c r="P5" s="10" t="s">
        <v>165</v>
      </c>
      <c r="Q5" s="10" t="s">
        <v>164</v>
      </c>
      <c r="R5" s="10" t="s">
        <v>163</v>
      </c>
      <c r="S5" s="10" t="s">
        <v>162</v>
      </c>
      <c r="T5" s="10" t="s">
        <v>161</v>
      </c>
      <c r="U5" s="10" t="s">
        <v>160</v>
      </c>
      <c r="V5" s="10" t="s">
        <v>159</v>
      </c>
    </row>
    <row r="6" spans="1:22" x14ac:dyDescent="0.25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x14ac:dyDescent="0.25">
      <c r="B7" s="6" t="s">
        <v>266</v>
      </c>
      <c r="C7" s="7">
        <v>4058513</v>
      </c>
      <c r="D7" s="8" t="s">
        <v>267</v>
      </c>
      <c r="E7" s="8" t="s">
        <v>267</v>
      </c>
      <c r="F7" s="8" t="s">
        <v>267</v>
      </c>
      <c r="G7" s="8" t="s">
        <v>267</v>
      </c>
      <c r="H7" s="8">
        <v>5788.5391492541639</v>
      </c>
      <c r="I7" s="8">
        <v>6180.502694283271</v>
      </c>
      <c r="J7" s="8">
        <v>6052.0821283570458</v>
      </c>
      <c r="K7" s="8">
        <v>5998.7213535615956</v>
      </c>
      <c r="L7" s="8">
        <v>5813.3183420667365</v>
      </c>
      <c r="M7" s="8">
        <v>5639.3911542192964</v>
      </c>
      <c r="N7" s="8">
        <v>5449.7771623321778</v>
      </c>
      <c r="O7" s="8">
        <v>5207.0864079998419</v>
      </c>
      <c r="P7" s="8">
        <v>4853.6640271800379</v>
      </c>
      <c r="Q7" s="8">
        <v>4819.7039229200454</v>
      </c>
      <c r="R7" s="8">
        <v>4575.0476060272913</v>
      </c>
      <c r="S7" s="8">
        <v>4384.80843761093</v>
      </c>
      <c r="T7" s="8">
        <v>4346.4356228584402</v>
      </c>
      <c r="U7" s="8">
        <v>4502.7157139084738</v>
      </c>
      <c r="V7" s="8">
        <v>3644.3162486936203</v>
      </c>
    </row>
    <row r="8" spans="1:22" x14ac:dyDescent="0.25">
      <c r="B8" s="6" t="s">
        <v>148</v>
      </c>
      <c r="C8" s="7">
        <v>4054707</v>
      </c>
      <c r="D8" s="8">
        <v>82311.656882204843</v>
      </c>
      <c r="E8" s="8">
        <v>77621.683353847358</v>
      </c>
      <c r="F8" s="8">
        <v>71549.79422868455</v>
      </c>
      <c r="G8" s="8">
        <v>68571.037389188976</v>
      </c>
      <c r="H8" s="8">
        <v>66250.575188707677</v>
      </c>
      <c r="I8" s="8">
        <v>65194.362989429668</v>
      </c>
      <c r="J8" s="8">
        <v>59681.009160966263</v>
      </c>
      <c r="K8" s="8">
        <v>58448.356257342151</v>
      </c>
      <c r="L8" s="8">
        <v>61019.268278164054</v>
      </c>
      <c r="M8" s="8">
        <v>57144.011407196085</v>
      </c>
      <c r="N8" s="8">
        <v>58525.836594776476</v>
      </c>
      <c r="O8" s="8">
        <v>61005.110244989701</v>
      </c>
      <c r="P8" s="8">
        <v>59435.214788812809</v>
      </c>
      <c r="Q8" s="8">
        <v>54610.978620473994</v>
      </c>
      <c r="R8" s="8">
        <v>56282.414463482943</v>
      </c>
      <c r="S8" s="8">
        <v>65146.641191404371</v>
      </c>
      <c r="T8" s="8">
        <v>69488.661869120464</v>
      </c>
      <c r="U8" s="8">
        <v>71776.325745732305</v>
      </c>
      <c r="V8" s="8">
        <v>67793.800102712397</v>
      </c>
    </row>
    <row r="9" spans="1:22" x14ac:dyDescent="0.25">
      <c r="B9" s="6" t="s">
        <v>179</v>
      </c>
      <c r="C9" s="7">
        <v>4057075</v>
      </c>
      <c r="D9" s="8">
        <v>27974.960463701049</v>
      </c>
      <c r="E9" s="8">
        <v>28665.853369891134</v>
      </c>
      <c r="F9" s="8">
        <v>28425.392228873563</v>
      </c>
      <c r="G9" s="8">
        <v>26872.00507433536</v>
      </c>
      <c r="H9" s="8">
        <v>25770.019486053014</v>
      </c>
      <c r="I9" s="8">
        <v>25904.354962581656</v>
      </c>
      <c r="J9" s="8">
        <v>24501.992278303231</v>
      </c>
      <c r="K9" s="8">
        <v>23318.097564163283</v>
      </c>
      <c r="L9" s="8">
        <v>22783.294618705757</v>
      </c>
      <c r="M9" s="8">
        <v>22717.156668028249</v>
      </c>
      <c r="N9" s="8">
        <v>20699.183593636113</v>
      </c>
      <c r="O9" s="8">
        <v>20202.713299159044</v>
      </c>
      <c r="P9" s="8">
        <v>18782.995856106085</v>
      </c>
      <c r="Q9" s="8">
        <v>17331.203797770282</v>
      </c>
      <c r="R9" s="8">
        <v>16673.67666870388</v>
      </c>
      <c r="S9" s="8">
        <v>15636.189322591681</v>
      </c>
      <c r="T9" s="8">
        <v>16200.970301581736</v>
      </c>
      <c r="U9" s="8">
        <v>16894.96793159896</v>
      </c>
      <c r="V9" s="8">
        <v>15826.632302827655</v>
      </c>
    </row>
    <row r="10" spans="1:22" x14ac:dyDescent="0.25">
      <c r="A10" s="1" t="s">
        <v>268</v>
      </c>
      <c r="B10" s="6" t="s">
        <v>181</v>
      </c>
      <c r="C10" s="7">
        <v>4007784</v>
      </c>
      <c r="D10" s="8">
        <v>97613.497409951407</v>
      </c>
      <c r="E10" s="8">
        <v>91499.463972828875</v>
      </c>
      <c r="F10" s="8">
        <v>92559.102092208152</v>
      </c>
      <c r="G10" s="8">
        <v>89958.634166663251</v>
      </c>
      <c r="H10" s="8">
        <v>81993.977569285445</v>
      </c>
      <c r="I10" s="8">
        <v>82583.869731804851</v>
      </c>
      <c r="J10" s="8">
        <v>74971.414300718054</v>
      </c>
      <c r="K10" s="8">
        <v>70741.963792666967</v>
      </c>
      <c r="L10" s="8">
        <v>63893.299510141856</v>
      </c>
      <c r="M10" s="8">
        <v>62189.538251120946</v>
      </c>
      <c r="N10" s="8">
        <v>55770.300548758933</v>
      </c>
      <c r="O10" s="8">
        <v>55068.902293098516</v>
      </c>
      <c r="P10" s="8">
        <v>52919.823410469005</v>
      </c>
      <c r="Q10" s="8">
        <v>53553.805704717786</v>
      </c>
      <c r="R10" s="8">
        <v>54499.533796756485</v>
      </c>
      <c r="S10" s="8">
        <v>49841.86531905859</v>
      </c>
      <c r="T10" s="8">
        <v>46839.927463550332</v>
      </c>
      <c r="U10" s="8">
        <v>43201.859225662985</v>
      </c>
      <c r="V10" s="8">
        <v>36822.846217273691</v>
      </c>
    </row>
    <row r="11" spans="1:22" x14ac:dyDescent="0.25">
      <c r="A11" s="1" t="s">
        <v>268</v>
      </c>
      <c r="B11" s="6" t="s">
        <v>269</v>
      </c>
      <c r="C11" s="7">
        <v>4058656</v>
      </c>
      <c r="D11" s="8" t="s">
        <v>267</v>
      </c>
      <c r="E11" s="8" t="s">
        <v>267</v>
      </c>
      <c r="F11" s="8">
        <v>-68912.953395502511</v>
      </c>
      <c r="G11" s="8">
        <v>394115.66802899091</v>
      </c>
      <c r="H11" s="8">
        <v>41493.096558094789</v>
      </c>
      <c r="I11" s="8">
        <v>36808.18148743581</v>
      </c>
      <c r="J11" s="8">
        <v>38455.821953417086</v>
      </c>
      <c r="K11" s="8">
        <v>37500.612272639002</v>
      </c>
      <c r="L11" s="8">
        <v>35580.748394652939</v>
      </c>
      <c r="M11" s="8">
        <v>37650.359818657838</v>
      </c>
      <c r="N11" s="8">
        <v>36043.234684307812</v>
      </c>
      <c r="O11" s="8">
        <v>34915.437069681946</v>
      </c>
      <c r="P11" s="8">
        <v>31970.225425485034</v>
      </c>
      <c r="Q11" s="8">
        <v>29724.150730033394</v>
      </c>
      <c r="R11" s="8">
        <v>27366.256704427775</v>
      </c>
      <c r="S11" s="8">
        <v>25207.825564029034</v>
      </c>
      <c r="T11" s="8">
        <v>25345.561160100748</v>
      </c>
      <c r="U11" s="8">
        <v>18192.628559065175</v>
      </c>
      <c r="V11" s="8">
        <v>17014.945123298708</v>
      </c>
    </row>
    <row r="12" spans="1:22" x14ac:dyDescent="0.25">
      <c r="A12" s="1" t="s">
        <v>268</v>
      </c>
      <c r="B12" s="6" t="s">
        <v>186</v>
      </c>
      <c r="C12" s="7">
        <v>4057110</v>
      </c>
      <c r="D12" s="8">
        <v>6316.4267603490844</v>
      </c>
      <c r="E12" s="8">
        <v>5550.8039337216997</v>
      </c>
      <c r="F12" s="8">
        <v>5169.9679584946898</v>
      </c>
      <c r="G12" s="8">
        <v>5275.506860945422</v>
      </c>
      <c r="H12" s="8">
        <v>5336.991271977362</v>
      </c>
      <c r="I12" s="8">
        <v>4974.0093831415288</v>
      </c>
      <c r="J12" s="8">
        <v>5705.7942234833481</v>
      </c>
      <c r="K12" s="8">
        <v>4825.9965335007028</v>
      </c>
      <c r="L12" s="8">
        <v>3713.808881639</v>
      </c>
      <c r="M12" s="8">
        <v>3689.6609006826088</v>
      </c>
      <c r="N12" s="8">
        <v>3632.8982756353257</v>
      </c>
      <c r="O12" s="8">
        <v>3281.6767716305308</v>
      </c>
      <c r="P12" s="8">
        <v>3456.5619686629871</v>
      </c>
      <c r="Q12" s="8">
        <v>3246.3019385040448</v>
      </c>
      <c r="R12" s="8">
        <v>3097.5659466271604</v>
      </c>
      <c r="S12" s="8">
        <v>3041.058535493924</v>
      </c>
      <c r="T12" s="8">
        <v>3042.3379951114734</v>
      </c>
      <c r="U12" s="8">
        <v>3071.7901839654742</v>
      </c>
      <c r="V12" s="8">
        <v>3109.1114184763969</v>
      </c>
    </row>
    <row r="13" spans="1:22" x14ac:dyDescent="0.25">
      <c r="B13" s="6" t="s">
        <v>188</v>
      </c>
      <c r="C13" s="7">
        <v>4058516</v>
      </c>
      <c r="D13" s="8">
        <v>14319.025296046017</v>
      </c>
      <c r="E13" s="8">
        <v>13876.030263034538</v>
      </c>
      <c r="F13" s="8">
        <v>13706.657012895954</v>
      </c>
      <c r="G13" s="8">
        <v>14418.510979358207</v>
      </c>
      <c r="H13" s="8">
        <v>11987.861328271578</v>
      </c>
      <c r="I13" s="8">
        <v>10902.244467678827</v>
      </c>
      <c r="J13" s="8">
        <v>9892.2026216182639</v>
      </c>
      <c r="K13" s="8">
        <v>10681.722252101341</v>
      </c>
      <c r="L13" s="8">
        <v>10265.820404773485</v>
      </c>
      <c r="M13" s="8">
        <v>9569.287539562838</v>
      </c>
      <c r="N13" s="8">
        <v>8739.1160143126126</v>
      </c>
      <c r="O13" s="8">
        <v>8981.9195396377472</v>
      </c>
      <c r="P13" s="8">
        <v>8610.090797554356</v>
      </c>
      <c r="Q13" s="8">
        <v>9465.3921147019773</v>
      </c>
      <c r="R13" s="8">
        <v>9781.1791531573144</v>
      </c>
      <c r="S13" s="8">
        <v>9770.3134732770995</v>
      </c>
      <c r="T13" s="8">
        <v>8779.939894970048</v>
      </c>
      <c r="U13" s="8">
        <v>7779.1706362206651</v>
      </c>
      <c r="V13" s="8">
        <v>7907.7270228073367</v>
      </c>
    </row>
    <row r="14" spans="1:22" x14ac:dyDescent="0.25">
      <c r="B14" s="6" t="s">
        <v>190</v>
      </c>
      <c r="C14" s="7">
        <v>4058793</v>
      </c>
      <c r="D14" s="8">
        <v>369.55714928415188</v>
      </c>
      <c r="E14" s="8" t="s">
        <v>267</v>
      </c>
      <c r="F14" s="8">
        <v>388.22007731561581</v>
      </c>
      <c r="G14" s="8">
        <v>336.69365941473939</v>
      </c>
      <c r="H14" s="8">
        <v>335.69612530334604</v>
      </c>
      <c r="I14" s="8">
        <v>379.30064563295048</v>
      </c>
      <c r="J14" s="8">
        <v>310.39871495196576</v>
      </c>
      <c r="K14" s="8">
        <v>319.63122605974127</v>
      </c>
      <c r="L14" s="8">
        <v>349.83340447168922</v>
      </c>
      <c r="M14" s="8">
        <v>371.48257582712938</v>
      </c>
      <c r="N14" s="8">
        <v>356.69351114804113</v>
      </c>
      <c r="O14" s="8">
        <v>343.59380139919244</v>
      </c>
      <c r="P14" s="8">
        <v>324.0143888387704</v>
      </c>
      <c r="Q14" s="8">
        <v>314.41990659111622</v>
      </c>
      <c r="R14" s="8">
        <v>391.40797931382116</v>
      </c>
      <c r="S14" s="8">
        <v>391.12473505935804</v>
      </c>
      <c r="T14" s="8">
        <v>362.92232194645453</v>
      </c>
      <c r="U14" s="8">
        <v>389.36101945422627</v>
      </c>
      <c r="V14" s="8">
        <v>322.39391666592877</v>
      </c>
    </row>
    <row r="15" spans="1:22" x14ac:dyDescent="0.25">
      <c r="A15" s="1" t="s">
        <v>268</v>
      </c>
      <c r="B15" s="6" t="s">
        <v>192</v>
      </c>
      <c r="C15" s="7">
        <v>4057111</v>
      </c>
      <c r="D15" s="8">
        <v>93296.329716244523</v>
      </c>
      <c r="E15" s="8">
        <v>76508.145246526648</v>
      </c>
      <c r="F15" s="8">
        <v>106975.1197434819</v>
      </c>
      <c r="G15" s="8">
        <v>182044.14521314992</v>
      </c>
      <c r="H15" s="8">
        <v>74726.142015534642</v>
      </c>
      <c r="I15" s="8">
        <v>73469.788829246812</v>
      </c>
      <c r="J15" s="8">
        <v>63080.933254042786</v>
      </c>
      <c r="K15" s="8">
        <v>69294.100166773147</v>
      </c>
      <c r="L15" s="8">
        <v>68025.816273212113</v>
      </c>
      <c r="M15" s="8">
        <v>55368.13265334582</v>
      </c>
      <c r="N15" s="8">
        <v>63731.618385797934</v>
      </c>
      <c r="O15" s="8">
        <v>60317.766891114254</v>
      </c>
      <c r="P15" s="8">
        <v>62815.012135447134</v>
      </c>
      <c r="Q15" s="8">
        <v>61066.144356486991</v>
      </c>
      <c r="R15" s="8">
        <v>51194.205229452702</v>
      </c>
      <c r="S15" s="8">
        <v>47097.487617277686</v>
      </c>
      <c r="T15" s="8">
        <v>48453.794659181673</v>
      </c>
      <c r="U15" s="8">
        <v>45264.797693218294</v>
      </c>
      <c r="V15" s="8">
        <v>40824.852168058707</v>
      </c>
    </row>
    <row r="16" spans="1:22" x14ac:dyDescent="0.25">
      <c r="A16" s="1" t="s">
        <v>268</v>
      </c>
      <c r="B16" s="6" t="s">
        <v>193</v>
      </c>
      <c r="C16" s="7">
        <v>4018679</v>
      </c>
      <c r="D16" s="8">
        <v>190626.12035171376</v>
      </c>
      <c r="E16" s="8">
        <v>190825.51746889242</v>
      </c>
      <c r="F16" s="8">
        <v>213371.62226758851</v>
      </c>
      <c r="G16" s="8">
        <v>214774.65654699094</v>
      </c>
      <c r="H16" s="8">
        <v>192392.50797218413</v>
      </c>
      <c r="I16" s="8">
        <v>151716.460721329</v>
      </c>
      <c r="J16" s="8">
        <v>132682.29468839936</v>
      </c>
      <c r="K16" s="8">
        <v>143030.64439020155</v>
      </c>
      <c r="L16" s="8">
        <v>124359.05136076805</v>
      </c>
      <c r="M16" s="8">
        <v>121442.44215790022</v>
      </c>
      <c r="N16" s="8">
        <v>119796.28094493873</v>
      </c>
      <c r="O16" s="8">
        <v>119787.65350599085</v>
      </c>
      <c r="P16" s="8">
        <v>113271.99019170445</v>
      </c>
      <c r="Q16" s="8">
        <v>111753.58962826726</v>
      </c>
      <c r="R16" s="8">
        <v>97995.693608426343</v>
      </c>
      <c r="S16" s="8">
        <v>103240.59698508766</v>
      </c>
      <c r="T16" s="8">
        <v>107316.34059753396</v>
      </c>
      <c r="U16" s="8">
        <v>102600.76066327511</v>
      </c>
      <c r="V16" s="8">
        <v>106693.82261261409</v>
      </c>
    </row>
    <row r="17" spans="1:22" x14ac:dyDescent="0.25">
      <c r="B17" s="6" t="s">
        <v>195</v>
      </c>
      <c r="C17" s="7">
        <v>4057112</v>
      </c>
      <c r="D17" s="8">
        <v>24247.879940624462</v>
      </c>
      <c r="E17" s="8">
        <v>22975.710343798259</v>
      </c>
      <c r="F17" s="8">
        <v>22926.441436848672</v>
      </c>
      <c r="G17" s="8">
        <v>21690.932886911934</v>
      </c>
      <c r="H17" s="8">
        <v>21516.265551134897</v>
      </c>
      <c r="I17" s="8">
        <v>19967.978313702592</v>
      </c>
      <c r="J17" s="8">
        <v>18946.90271693371</v>
      </c>
      <c r="K17" s="8">
        <v>19174.89792721784</v>
      </c>
      <c r="L17" s="8">
        <v>17583.084935264596</v>
      </c>
      <c r="M17" s="8">
        <v>17140.97371521889</v>
      </c>
      <c r="N17" s="8">
        <v>16336.902951387066</v>
      </c>
      <c r="O17" s="8">
        <v>16441.375957097538</v>
      </c>
      <c r="P17" s="8">
        <v>14905.646992074699</v>
      </c>
      <c r="Q17" s="8">
        <v>14292.48753196144</v>
      </c>
      <c r="R17" s="8">
        <v>15327.093637510823</v>
      </c>
      <c r="S17" s="8">
        <v>16145.720866568639</v>
      </c>
      <c r="T17" s="8">
        <v>14720.760992803727</v>
      </c>
      <c r="U17" s="8">
        <v>13843.805791863038</v>
      </c>
      <c r="V17" s="8">
        <v>15335.717558184726</v>
      </c>
    </row>
    <row r="18" spans="1:22" x14ac:dyDescent="0.25">
      <c r="A18" s="1" t="s">
        <v>268</v>
      </c>
      <c r="B18" s="6" t="s">
        <v>196</v>
      </c>
      <c r="C18" s="7">
        <v>4057076</v>
      </c>
      <c r="D18" s="8">
        <v>17039.617857770394</v>
      </c>
      <c r="E18" s="8" t="s">
        <v>267</v>
      </c>
      <c r="F18" s="8">
        <v>15791.30565927831</v>
      </c>
      <c r="G18" s="8">
        <v>14215.607213268248</v>
      </c>
      <c r="H18" s="8">
        <v>14763.719502983</v>
      </c>
      <c r="I18" s="8">
        <v>13486.558108553112</v>
      </c>
      <c r="J18" s="8">
        <v>14166.783364681485</v>
      </c>
      <c r="K18" s="8">
        <v>14691.301987625618</v>
      </c>
      <c r="L18" s="8">
        <v>14451.438658423232</v>
      </c>
      <c r="M18" s="8">
        <v>13681.900192801932</v>
      </c>
      <c r="N18" s="8">
        <v>13750.100596054281</v>
      </c>
      <c r="O18" s="8">
        <v>12820.685218056511</v>
      </c>
      <c r="P18" s="8">
        <v>10880.157355897276</v>
      </c>
      <c r="Q18" s="8">
        <v>9822.3257407589626</v>
      </c>
      <c r="R18" s="8">
        <v>8715.5998550258519</v>
      </c>
      <c r="S18" s="8">
        <v>6216.7600738173915</v>
      </c>
      <c r="T18" s="8">
        <v>5599.9993822991601</v>
      </c>
      <c r="U18" s="8">
        <v>4965.684114743367</v>
      </c>
      <c r="V18" s="8">
        <v>4380.6216469587262</v>
      </c>
    </row>
    <row r="19" spans="1:22" x14ac:dyDescent="0.25">
      <c r="B19" s="6" t="s">
        <v>270</v>
      </c>
      <c r="C19" s="7">
        <v>4059166</v>
      </c>
      <c r="D19" s="8" t="s">
        <v>267</v>
      </c>
      <c r="E19" s="8">
        <v>6160.9226637514294</v>
      </c>
      <c r="F19" s="8">
        <v>5620.2312550295437</v>
      </c>
      <c r="G19" s="8">
        <v>4603.1413206605757</v>
      </c>
      <c r="H19" s="8">
        <v>4067.5852153764654</v>
      </c>
      <c r="I19" s="8">
        <v>4120.8006058482779</v>
      </c>
      <c r="J19" s="8">
        <v>4273.0174301285233</v>
      </c>
      <c r="K19" s="8">
        <v>4136.1639936824495</v>
      </c>
      <c r="L19" s="8">
        <v>4316.1062467503743</v>
      </c>
      <c r="M19" s="8">
        <v>4279.346904533737</v>
      </c>
      <c r="N19" s="8">
        <v>3798.2735102937927</v>
      </c>
      <c r="O19" s="8">
        <v>3762.2426148491227</v>
      </c>
      <c r="P19" s="8">
        <v>3860.5803600584259</v>
      </c>
      <c r="Q19" s="8">
        <v>3547.3136556763034</v>
      </c>
      <c r="R19" s="8">
        <v>3616.0284534002981</v>
      </c>
      <c r="S19" s="8">
        <v>3742.2877833572002</v>
      </c>
      <c r="T19" s="8">
        <v>4185.0770764483059</v>
      </c>
      <c r="U19" s="8">
        <v>4352.0559288218101</v>
      </c>
      <c r="V19" s="8">
        <v>3964.4179792799591</v>
      </c>
    </row>
    <row r="20" spans="1:22" x14ac:dyDescent="0.25">
      <c r="B20" s="6" t="s">
        <v>271</v>
      </c>
      <c r="C20" s="7">
        <v>4059227</v>
      </c>
      <c r="D20" s="8" t="s">
        <v>267</v>
      </c>
      <c r="E20" s="8">
        <v>1586.19361656811</v>
      </c>
      <c r="F20" s="8">
        <v>2268.3715205180902</v>
      </c>
      <c r="G20" s="8">
        <v>1889.0411644067083</v>
      </c>
      <c r="H20" s="8">
        <v>1798.8896092399875</v>
      </c>
      <c r="I20" s="8">
        <v>1679.3687253827441</v>
      </c>
      <c r="J20" s="8">
        <v>1691.9781321765211</v>
      </c>
      <c r="K20" s="8">
        <v>1661.208196993073</v>
      </c>
      <c r="L20" s="8">
        <v>1551.3114419592525</v>
      </c>
      <c r="M20" s="8">
        <v>1381.5339455946612</v>
      </c>
      <c r="N20" s="8">
        <v>1512.4504321847073</v>
      </c>
      <c r="O20" s="8">
        <v>1553.8299970329306</v>
      </c>
      <c r="P20" s="8">
        <v>1450.7652343268335</v>
      </c>
      <c r="Q20" s="8">
        <v>1486.8089960207637</v>
      </c>
      <c r="R20" s="8">
        <v>1447.616315107743</v>
      </c>
      <c r="S20" s="8">
        <v>1357.8788592046269</v>
      </c>
      <c r="T20" s="8">
        <v>1258.2032077315384</v>
      </c>
      <c r="U20" s="8" t="s">
        <v>267</v>
      </c>
      <c r="V20" s="8">
        <v>1156.4513782382612</v>
      </c>
    </row>
    <row r="21" spans="1:22" x14ac:dyDescent="0.25">
      <c r="A21" s="1" t="s">
        <v>268</v>
      </c>
      <c r="B21" s="6" t="s">
        <v>197</v>
      </c>
      <c r="C21" s="7">
        <v>4057114</v>
      </c>
      <c r="D21" s="8" t="s">
        <v>267</v>
      </c>
      <c r="E21" s="8">
        <v>11301.535771974532</v>
      </c>
      <c r="F21" s="8">
        <v>19236.025816726495</v>
      </c>
      <c r="G21" s="8">
        <v>38409.184834861066</v>
      </c>
      <c r="H21" s="8">
        <v>11882.023200725536</v>
      </c>
      <c r="I21" s="8">
        <v>11487.015952919062</v>
      </c>
      <c r="J21" s="8">
        <v>10744.200366256906</v>
      </c>
      <c r="K21" s="8">
        <v>10814.407376252071</v>
      </c>
      <c r="L21" s="8">
        <v>10460.506545021377</v>
      </c>
      <c r="M21" s="8">
        <v>8384.0890162192154</v>
      </c>
      <c r="N21" s="8">
        <v>10654.301479713831</v>
      </c>
      <c r="O21" s="8">
        <v>10761.044173848548</v>
      </c>
      <c r="P21" s="8">
        <v>11162.441092217234</v>
      </c>
      <c r="Q21" s="8">
        <v>9942.8555052792763</v>
      </c>
      <c r="R21" s="8">
        <v>8659.7867179072291</v>
      </c>
      <c r="S21" s="8">
        <v>8812.1784266913746</v>
      </c>
      <c r="T21" s="8">
        <v>7994.33991280585</v>
      </c>
      <c r="U21" s="8">
        <v>9633.9267908357033</v>
      </c>
      <c r="V21" s="8">
        <v>9124.1491081380955</v>
      </c>
    </row>
    <row r="22" spans="1:22" x14ac:dyDescent="0.25">
      <c r="B22" s="6" t="s">
        <v>198</v>
      </c>
      <c r="C22" s="7">
        <v>4059355</v>
      </c>
      <c r="D22" s="8">
        <v>20535.01216012827</v>
      </c>
      <c r="E22" s="8">
        <v>18565.88580238758</v>
      </c>
      <c r="F22" s="8">
        <v>19082.827967727819</v>
      </c>
      <c r="G22" s="8">
        <v>16461.631404846739</v>
      </c>
      <c r="H22" s="8">
        <v>17908.976896463082</v>
      </c>
      <c r="I22" s="8">
        <v>15091.395736535351</v>
      </c>
      <c r="J22" s="8">
        <v>13488.956706700192</v>
      </c>
      <c r="K22" s="8">
        <v>13275.035210369491</v>
      </c>
      <c r="L22" s="8">
        <v>12830.418791516619</v>
      </c>
      <c r="M22" s="8">
        <v>12374.56672014634</v>
      </c>
      <c r="N22" s="8">
        <v>11846.609034720803</v>
      </c>
      <c r="O22" s="8">
        <v>12082.387581424464</v>
      </c>
      <c r="P22" s="8">
        <v>11701.246745093305</v>
      </c>
      <c r="Q22" s="8">
        <v>10229.445274352172</v>
      </c>
      <c r="R22" s="8">
        <v>9162.5988619010477</v>
      </c>
      <c r="S22" s="8">
        <v>9924.2400097521058</v>
      </c>
      <c r="T22" s="8">
        <v>10683.830243822675</v>
      </c>
      <c r="U22" s="8">
        <v>9890.8518779825426</v>
      </c>
      <c r="V22" s="8">
        <v>9565.2658576273097</v>
      </c>
    </row>
    <row r="23" spans="1:22" x14ac:dyDescent="0.25">
      <c r="B23" s="6" t="s">
        <v>200</v>
      </c>
      <c r="C23" s="7">
        <v>4088325</v>
      </c>
      <c r="D23" s="8">
        <v>18714.971467142848</v>
      </c>
      <c r="E23" s="8">
        <v>4734.0903339342522</v>
      </c>
      <c r="F23" s="8">
        <v>4247.7567483600315</v>
      </c>
      <c r="G23" s="8">
        <v>5458.8267704417294</v>
      </c>
      <c r="H23" s="8">
        <v>5856.3101794986287</v>
      </c>
      <c r="I23" s="8">
        <v>5347.0945751826512</v>
      </c>
      <c r="J23" s="8">
        <v>4786.9114993028243</v>
      </c>
      <c r="K23" s="8">
        <v>4582.3217983813502</v>
      </c>
      <c r="L23" s="8">
        <v>6743.2155906801063</v>
      </c>
      <c r="M23" s="8">
        <v>3801.358971622321</v>
      </c>
      <c r="N23" s="8">
        <v>3739.2431116265225</v>
      </c>
      <c r="O23" s="8">
        <v>3640.6603340527267</v>
      </c>
      <c r="P23" s="8">
        <v>3641.5845614927307</v>
      </c>
      <c r="Q23" s="8">
        <v>3296.1447671949059</v>
      </c>
      <c r="R23" s="8">
        <v>3080.2837756403401</v>
      </c>
      <c r="S23" s="8">
        <v>3157.6096215471598</v>
      </c>
      <c r="T23" s="8">
        <v>3099.5316322556978</v>
      </c>
      <c r="U23" s="8">
        <v>2834.6657903603973</v>
      </c>
      <c r="V23" s="8">
        <v>2504.0832677629037</v>
      </c>
    </row>
    <row r="24" spans="1:22" x14ac:dyDescent="0.25">
      <c r="B24" s="6" t="s">
        <v>272</v>
      </c>
      <c r="C24" s="7">
        <v>4088326</v>
      </c>
      <c r="D24" s="8" t="s">
        <v>267</v>
      </c>
      <c r="E24" s="8">
        <v>111746.04510556188</v>
      </c>
      <c r="F24" s="8">
        <v>112759.89839455052</v>
      </c>
      <c r="G24" s="8">
        <v>105521.73982836951</v>
      </c>
      <c r="H24" s="8">
        <v>116928.7846151376</v>
      </c>
      <c r="I24" s="8">
        <v>99213.333220233792</v>
      </c>
      <c r="J24" s="8">
        <v>95430.912215290373</v>
      </c>
      <c r="K24" s="8">
        <v>93591.00324091065</v>
      </c>
      <c r="L24" s="8">
        <v>87418.094901473058</v>
      </c>
      <c r="M24" s="8">
        <v>84538.11413485698</v>
      </c>
      <c r="N24" s="8">
        <v>82485.395465911919</v>
      </c>
      <c r="O24" s="8">
        <v>83541.750748643972</v>
      </c>
      <c r="P24" s="8">
        <v>81822.849920530716</v>
      </c>
      <c r="Q24" s="8">
        <v>82368.070967827356</v>
      </c>
      <c r="R24" s="8">
        <v>76275.195710382555</v>
      </c>
      <c r="S24" s="8">
        <v>69014.67574565929</v>
      </c>
      <c r="T24" s="8">
        <v>75719.674643034377</v>
      </c>
      <c r="U24" s="8">
        <v>65201.170067297913</v>
      </c>
      <c r="V24" s="8">
        <v>66173.664292655754</v>
      </c>
    </row>
    <row r="25" spans="1:22" x14ac:dyDescent="0.25">
      <c r="A25" s="1" t="s">
        <v>268</v>
      </c>
      <c r="B25" s="6" t="s">
        <v>273</v>
      </c>
      <c r="C25" s="7">
        <v>4059358</v>
      </c>
      <c r="D25" s="8" t="s">
        <v>267</v>
      </c>
      <c r="E25" s="8">
        <v>63664.537888363258</v>
      </c>
      <c r="F25" s="8">
        <v>62813.969167172865</v>
      </c>
      <c r="G25" s="8">
        <v>54931.821195497803</v>
      </c>
      <c r="H25" s="8">
        <v>67555.289331251261</v>
      </c>
      <c r="I25" s="8">
        <v>56483.94824461337</v>
      </c>
      <c r="J25" s="8">
        <v>52794.27576277007</v>
      </c>
      <c r="K25" s="8">
        <v>50519.7831899148</v>
      </c>
      <c r="L25" s="8">
        <v>44556.20402769983</v>
      </c>
      <c r="M25" s="8">
        <v>40072.391081958034</v>
      </c>
      <c r="N25" s="8">
        <v>44206.778314120529</v>
      </c>
      <c r="O25" s="8">
        <v>42598.281591184612</v>
      </c>
      <c r="P25" s="8">
        <v>38701.887149596521</v>
      </c>
      <c r="Q25" s="8">
        <v>36578.102811325858</v>
      </c>
      <c r="R25" s="8">
        <v>35770.221545336266</v>
      </c>
      <c r="S25" s="8">
        <v>31859.388937346219</v>
      </c>
      <c r="T25" s="8">
        <v>33229.816503901529</v>
      </c>
      <c r="U25" s="8">
        <v>29986.6918777385</v>
      </c>
      <c r="V25" s="8">
        <v>28617.864331582743</v>
      </c>
    </row>
    <row r="26" spans="1:22" x14ac:dyDescent="0.25">
      <c r="B26" s="6" t="s">
        <v>274</v>
      </c>
      <c r="C26" s="7">
        <v>4059359</v>
      </c>
      <c r="D26" s="8" t="s">
        <v>267</v>
      </c>
      <c r="E26" s="8">
        <v>36494.358135151779</v>
      </c>
      <c r="F26" s="8">
        <v>39666.024729817946</v>
      </c>
      <c r="G26" s="8">
        <v>37469.395020073862</v>
      </c>
      <c r="H26" s="8">
        <v>38475.961422145338</v>
      </c>
      <c r="I26" s="8">
        <v>32242.636110287545</v>
      </c>
      <c r="J26" s="8">
        <v>30769.357909328064</v>
      </c>
      <c r="K26" s="8">
        <v>27348.822507100602</v>
      </c>
      <c r="L26" s="8">
        <v>24659.330239445164</v>
      </c>
      <c r="M26" s="8">
        <v>21516.205310237568</v>
      </c>
      <c r="N26" s="8">
        <v>21663.089377429638</v>
      </c>
      <c r="O26" s="8">
        <v>20162.700659833972</v>
      </c>
      <c r="P26" s="8">
        <v>19512.57202675577</v>
      </c>
      <c r="Q26" s="8">
        <v>18601.987773646735</v>
      </c>
      <c r="R26" s="8">
        <v>21462.456052960824</v>
      </c>
      <c r="S26" s="8">
        <v>19045.637393829504</v>
      </c>
      <c r="T26" s="8">
        <v>19240.583463655817</v>
      </c>
      <c r="U26" s="8">
        <v>16455.579427835295</v>
      </c>
      <c r="V26" s="8">
        <v>16060.25115488848</v>
      </c>
    </row>
    <row r="27" spans="1:22" x14ac:dyDescent="0.25">
      <c r="A27" s="1" t="s">
        <v>268</v>
      </c>
      <c r="B27" s="6" t="s">
        <v>202</v>
      </c>
      <c r="C27" s="7">
        <v>4059402</v>
      </c>
      <c r="D27" s="8">
        <v>28913.812754069393</v>
      </c>
      <c r="E27" s="8" t="s">
        <v>267</v>
      </c>
      <c r="F27" s="8">
        <v>6631801.9749223841</v>
      </c>
      <c r="G27" s="8">
        <v>25752.298428012698</v>
      </c>
      <c r="H27" s="8">
        <v>30113.503213589251</v>
      </c>
      <c r="I27" s="8">
        <v>24408.390786746953</v>
      </c>
      <c r="J27" s="8">
        <v>24707.796273217318</v>
      </c>
      <c r="K27" s="8">
        <v>21883.939382583692</v>
      </c>
      <c r="L27" s="8">
        <v>21397.565465530948</v>
      </c>
      <c r="M27" s="8">
        <v>18266.561074802838</v>
      </c>
      <c r="N27" s="8">
        <v>19156.283756168454</v>
      </c>
      <c r="O27" s="8">
        <v>17808.42383381008</v>
      </c>
      <c r="P27" s="8">
        <v>25356.899063755111</v>
      </c>
      <c r="Q27" s="8">
        <v>18730.648159127104</v>
      </c>
      <c r="R27" s="8">
        <v>17669.463235382074</v>
      </c>
      <c r="S27" s="8">
        <v>16681.487311645436</v>
      </c>
      <c r="T27" s="8">
        <v>16398.18378990272</v>
      </c>
      <c r="U27" s="8">
        <v>16434.491736383858</v>
      </c>
      <c r="V27" s="8">
        <v>14970.361216145189</v>
      </c>
    </row>
    <row r="28" spans="1:22" x14ac:dyDescent="0.25">
      <c r="A28" s="1" t="s">
        <v>268</v>
      </c>
      <c r="B28" s="6" t="s">
        <v>204</v>
      </c>
      <c r="C28" s="7">
        <v>4057080</v>
      </c>
      <c r="D28" s="8">
        <v>132600.11101561776</v>
      </c>
      <c r="E28" s="8">
        <v>132051.58497180408</v>
      </c>
      <c r="F28" s="8">
        <v>139778.84443068921</v>
      </c>
      <c r="G28" s="8">
        <v>151597.08864638535</v>
      </c>
      <c r="H28" s="8">
        <v>149376.08595545925</v>
      </c>
      <c r="I28" s="8">
        <v>139222.50442893512</v>
      </c>
      <c r="J28" s="8">
        <v>146038.09545015765</v>
      </c>
      <c r="K28" s="8">
        <v>135183.09782483571</v>
      </c>
      <c r="L28" s="8">
        <v>113890.16012322962</v>
      </c>
      <c r="M28" s="8">
        <v>109599.99298994782</v>
      </c>
      <c r="N28" s="8">
        <v>117334.51076646303</v>
      </c>
      <c r="O28" s="8">
        <v>109839.17599763915</v>
      </c>
      <c r="P28" s="8">
        <v>97782.663292966579</v>
      </c>
      <c r="Q28" s="8">
        <v>90665.546732827643</v>
      </c>
      <c r="R28" s="8">
        <v>78490.775650091135</v>
      </c>
      <c r="S28" s="8">
        <v>73972.106776327477</v>
      </c>
      <c r="T28" s="8">
        <v>68711.047060469995</v>
      </c>
      <c r="U28" s="8">
        <v>61522.071778329351</v>
      </c>
      <c r="V28" s="8">
        <v>58078.936935953541</v>
      </c>
    </row>
    <row r="29" spans="1:22" x14ac:dyDescent="0.25">
      <c r="B29" s="6" t="s">
        <v>205</v>
      </c>
      <c r="C29" s="7">
        <v>4057081</v>
      </c>
      <c r="D29" s="8">
        <v>108824.34945213952</v>
      </c>
      <c r="E29" s="8">
        <v>104019.6138718424</v>
      </c>
      <c r="F29" s="8">
        <v>114700.57730108232</v>
      </c>
      <c r="G29" s="8">
        <v>114322.44571808956</v>
      </c>
      <c r="H29" s="8">
        <v>106858.4565753466</v>
      </c>
      <c r="I29" s="8">
        <v>111819.22825536168</v>
      </c>
      <c r="J29" s="8">
        <v>113048.56167988709</v>
      </c>
      <c r="K29" s="8">
        <v>109347.33676154299</v>
      </c>
      <c r="L29" s="8">
        <v>110877.57693443171</v>
      </c>
      <c r="M29" s="8">
        <v>110647.19852325744</v>
      </c>
      <c r="N29" s="8">
        <v>107757.50586358148</v>
      </c>
      <c r="O29" s="8">
        <v>106779.14164816841</v>
      </c>
      <c r="P29" s="8">
        <v>110453.24097685704</v>
      </c>
      <c r="Q29" s="8">
        <v>109238.41661394139</v>
      </c>
      <c r="R29" s="8">
        <v>101899.5695421228</v>
      </c>
      <c r="S29" s="8">
        <v>101324.71397236465</v>
      </c>
      <c r="T29" s="8">
        <v>105575.7339739138</v>
      </c>
      <c r="U29" s="8">
        <v>91667.35283122379</v>
      </c>
      <c r="V29" s="8">
        <v>91564.583108391074</v>
      </c>
    </row>
    <row r="30" spans="1:22" x14ac:dyDescent="0.25">
      <c r="A30" s="1" t="s">
        <v>268</v>
      </c>
      <c r="B30" s="6" t="s">
        <v>207</v>
      </c>
      <c r="C30" s="7">
        <v>4059459</v>
      </c>
      <c r="D30" s="8">
        <v>3382.7416396897574</v>
      </c>
      <c r="E30" s="8">
        <v>2816.0264601751242</v>
      </c>
      <c r="F30" s="8">
        <v>2862.2052792562249</v>
      </c>
      <c r="G30" s="8">
        <v>2843.0428550716942</v>
      </c>
      <c r="H30" s="8">
        <v>2819.7500745346247</v>
      </c>
      <c r="I30" s="8">
        <v>2515.3910202612187</v>
      </c>
      <c r="J30" s="8">
        <v>2625.6756584550667</v>
      </c>
      <c r="K30" s="8">
        <v>2560.0428994144359</v>
      </c>
      <c r="L30" s="8">
        <v>2219.9375483313474</v>
      </c>
      <c r="M30" s="8">
        <v>2278.6274292024723</v>
      </c>
      <c r="N30" s="8">
        <v>2118.6355273628774</v>
      </c>
      <c r="O30" s="8">
        <v>2127.5832288076867</v>
      </c>
      <c r="P30" s="8">
        <v>2019.4924785226083</v>
      </c>
      <c r="Q30" s="8">
        <v>1841.0861245779301</v>
      </c>
      <c r="R30" s="8">
        <v>1713.6087540880446</v>
      </c>
      <c r="S30" s="8">
        <v>1621.0375810447977</v>
      </c>
      <c r="T30" s="8">
        <v>1111.6450131313147</v>
      </c>
      <c r="U30" s="8">
        <v>1077.7043382577167</v>
      </c>
      <c r="V30" s="8">
        <v>1141.4071479749086</v>
      </c>
    </row>
    <row r="31" spans="1:22" x14ac:dyDescent="0.25">
      <c r="B31" s="6" t="s">
        <v>208</v>
      </c>
      <c r="C31" s="7">
        <v>4057118</v>
      </c>
      <c r="D31" s="8">
        <v>3577.1665484297696</v>
      </c>
      <c r="E31" s="8">
        <v>2504.2658081777927</v>
      </c>
      <c r="F31" s="8">
        <v>2530.9203422545406</v>
      </c>
      <c r="G31" s="8">
        <v>3803.3084572968282</v>
      </c>
      <c r="H31" s="8">
        <v>3761.7955584156584</v>
      </c>
      <c r="I31" s="8">
        <v>3835.420392129357</v>
      </c>
      <c r="J31" s="8">
        <v>3850.7580208572981</v>
      </c>
      <c r="K31" s="8">
        <v>3699.6541205845365</v>
      </c>
      <c r="L31" s="8">
        <v>3639.1716092944903</v>
      </c>
      <c r="M31" s="8">
        <v>3593.3008416124089</v>
      </c>
      <c r="N31" s="8">
        <v>3452.4116378390017</v>
      </c>
      <c r="O31" s="8">
        <v>3706.0702635766138</v>
      </c>
      <c r="P31" s="8">
        <v>3948.8017119965525</v>
      </c>
      <c r="Q31" s="8">
        <v>3716.8762775798655</v>
      </c>
      <c r="R31" s="8">
        <v>3421.642050850312</v>
      </c>
      <c r="S31" s="8">
        <v>3241.831597828033</v>
      </c>
      <c r="T31" s="8">
        <v>3189.0305908644023</v>
      </c>
      <c r="U31" s="8">
        <v>3050.8507059750482</v>
      </c>
      <c r="V31" s="8">
        <v>2961.0836139029711</v>
      </c>
    </row>
    <row r="32" spans="1:22" x14ac:dyDescent="0.25">
      <c r="B32" s="6" t="s">
        <v>210</v>
      </c>
      <c r="C32" s="7">
        <v>4057126</v>
      </c>
      <c r="D32" s="8">
        <v>152313.30507658049</v>
      </c>
      <c r="E32" s="8">
        <v>138859.76142642426</v>
      </c>
      <c r="F32" s="8">
        <v>142058.0451875625</v>
      </c>
      <c r="G32" s="8">
        <v>135833.4358846673</v>
      </c>
      <c r="H32" s="8">
        <v>134306.38591823226</v>
      </c>
      <c r="I32" s="8">
        <v>119612.89137064264</v>
      </c>
      <c r="J32" s="8">
        <v>119838.09021499062</v>
      </c>
      <c r="K32" s="8">
        <v>125970.19649661025</v>
      </c>
      <c r="L32" s="8">
        <v>118720.24703085063</v>
      </c>
      <c r="M32" s="8">
        <v>108349.33947576159</v>
      </c>
      <c r="N32" s="8">
        <v>106893.42240257739</v>
      </c>
      <c r="O32" s="8">
        <v>104694.38790479938</v>
      </c>
      <c r="P32" s="8">
        <v>97983.402139575235</v>
      </c>
      <c r="Q32" s="8">
        <v>101662.61973125041</v>
      </c>
      <c r="R32" s="8">
        <v>105347.80068459222</v>
      </c>
      <c r="S32" s="8">
        <v>100515.0921945108</v>
      </c>
      <c r="T32" s="8">
        <v>108802.75649349975</v>
      </c>
      <c r="U32" s="8">
        <v>98067.10555946338</v>
      </c>
      <c r="V32" s="8">
        <v>92822.642859697648</v>
      </c>
    </row>
    <row r="33" spans="1:22" x14ac:dyDescent="0.25">
      <c r="B33" s="6" t="s">
        <v>275</v>
      </c>
      <c r="C33" s="7">
        <v>4057103</v>
      </c>
      <c r="D33" s="8" t="s">
        <v>267</v>
      </c>
      <c r="E33" s="8" t="s">
        <v>267</v>
      </c>
      <c r="F33" s="8">
        <v>8307.0387687740968</v>
      </c>
      <c r="G33" s="8">
        <v>9183.6822280463803</v>
      </c>
      <c r="H33" s="8">
        <v>8855.0692277668732</v>
      </c>
      <c r="I33" s="8" t="s">
        <v>267</v>
      </c>
      <c r="J33" s="8">
        <v>8183.8058701351765</v>
      </c>
      <c r="K33" s="8">
        <v>8387.6115035938001</v>
      </c>
      <c r="L33" s="8">
        <v>7949.5922812763529</v>
      </c>
      <c r="M33" s="8">
        <v>8725.1870113893074</v>
      </c>
      <c r="N33" s="8">
        <v>8044.7412150773516</v>
      </c>
      <c r="O33" s="8">
        <v>7986.2800905253989</v>
      </c>
      <c r="P33" s="8">
        <v>7547.8049282529673</v>
      </c>
      <c r="Q33" s="8">
        <v>7620.0668604947632</v>
      </c>
      <c r="R33" s="8">
        <v>9566.8102821247903</v>
      </c>
      <c r="S33" s="8">
        <v>8024.5921760518086</v>
      </c>
      <c r="T33" s="8">
        <v>7586.4925903982639</v>
      </c>
      <c r="U33" s="8">
        <v>5877.0044689373726</v>
      </c>
      <c r="V33" s="8">
        <v>5833.3296309643556</v>
      </c>
    </row>
    <row r="34" spans="1:22" x14ac:dyDescent="0.25">
      <c r="B34" s="6" t="s">
        <v>211</v>
      </c>
      <c r="C34" s="7">
        <v>4057079</v>
      </c>
      <c r="D34" s="8">
        <v>35560.634030984511</v>
      </c>
      <c r="E34" s="8">
        <v>28927.718020136715</v>
      </c>
      <c r="F34" s="8">
        <v>32104.16031100625</v>
      </c>
      <c r="G34" s="8">
        <v>33767.489722012659</v>
      </c>
      <c r="H34" s="8">
        <v>31218.589340158771</v>
      </c>
      <c r="I34" s="8">
        <v>30968.328792320583</v>
      </c>
      <c r="J34" s="8">
        <v>33254.784623951644</v>
      </c>
      <c r="K34" s="8">
        <v>31611.211887846977</v>
      </c>
      <c r="L34" s="8">
        <v>35622.457004582269</v>
      </c>
      <c r="M34" s="8">
        <v>34291.315462757273</v>
      </c>
      <c r="N34" s="8">
        <v>35680.335704280871</v>
      </c>
      <c r="O34" s="8">
        <v>35034.066735605171</v>
      </c>
      <c r="P34" s="8">
        <v>26932.066112140848</v>
      </c>
      <c r="Q34" s="8">
        <v>27790.953446091095</v>
      </c>
      <c r="R34" s="8">
        <v>33427.237756925402</v>
      </c>
      <c r="S34" s="8">
        <v>33833.204842769846</v>
      </c>
      <c r="T34" s="8">
        <v>31194.887542907843</v>
      </c>
      <c r="U34" s="8">
        <v>28828.133765959861</v>
      </c>
      <c r="V34" s="8">
        <v>25734.36956371761</v>
      </c>
    </row>
    <row r="35" spans="1:22" x14ac:dyDescent="0.25">
      <c r="B35" s="6" t="s">
        <v>276</v>
      </c>
      <c r="C35" s="7">
        <v>4081251</v>
      </c>
      <c r="D35" s="8" t="s">
        <v>267</v>
      </c>
      <c r="E35" s="8" t="s">
        <v>267</v>
      </c>
      <c r="F35" s="8">
        <v>236.07193674014283</v>
      </c>
      <c r="G35" s="8">
        <v>248.54376085933623</v>
      </c>
      <c r="H35" s="8">
        <v>221.11993932483773</v>
      </c>
      <c r="I35" s="8">
        <v>228.43600207135302</v>
      </c>
      <c r="J35" s="8" t="s">
        <v>267</v>
      </c>
      <c r="K35" s="8">
        <v>200.57640963900042</v>
      </c>
      <c r="L35" s="8">
        <v>174.72799393821128</v>
      </c>
      <c r="M35" s="8">
        <v>186.37196213241052</v>
      </c>
      <c r="N35" s="8">
        <v>174.85626009365384</v>
      </c>
      <c r="O35" s="8">
        <v>182.54685783901485</v>
      </c>
      <c r="P35" s="8">
        <v>159.82179431750367</v>
      </c>
      <c r="Q35" s="8">
        <v>157.97632747043059</v>
      </c>
      <c r="R35" s="8">
        <v>153.77632063216711</v>
      </c>
      <c r="S35" s="8">
        <v>155.92770325463752</v>
      </c>
      <c r="T35" s="8">
        <v>154.66193524630785</v>
      </c>
      <c r="U35" s="8">
        <v>155.79325753683727</v>
      </c>
      <c r="V35" s="8" t="s">
        <v>267</v>
      </c>
    </row>
    <row r="36" spans="1:22" x14ac:dyDescent="0.25">
      <c r="B36" s="6" t="s">
        <v>277</v>
      </c>
      <c r="C36" s="7">
        <v>4060572</v>
      </c>
      <c r="D36" s="8" t="s">
        <v>267</v>
      </c>
      <c r="E36" s="8">
        <v>11382.775210630596</v>
      </c>
      <c r="F36" s="8">
        <v>13833.168847827665</v>
      </c>
      <c r="G36" s="8">
        <v>10825.671564843353</v>
      </c>
      <c r="H36" s="8">
        <v>11611.590075494936</v>
      </c>
      <c r="I36" s="8">
        <v>11529.178241884896</v>
      </c>
      <c r="J36" s="8">
        <v>11545.82811562558</v>
      </c>
      <c r="K36" s="8">
        <v>12024.175129968595</v>
      </c>
      <c r="L36" s="8">
        <v>9732.767400680008</v>
      </c>
      <c r="M36" s="8">
        <v>9293.1610006920982</v>
      </c>
      <c r="N36" s="8">
        <v>9146.50427068522</v>
      </c>
      <c r="O36" s="8">
        <v>10370.171852248352</v>
      </c>
      <c r="P36" s="8">
        <v>9458.0738949193073</v>
      </c>
      <c r="Q36" s="8">
        <v>10778.72793930009</v>
      </c>
      <c r="R36" s="8">
        <v>9297.8310457947355</v>
      </c>
      <c r="S36" s="8">
        <v>9658.8733673461338</v>
      </c>
      <c r="T36" s="8">
        <v>12065.428212778965</v>
      </c>
      <c r="U36" s="8">
        <v>10250.6411226696</v>
      </c>
      <c r="V36" s="8">
        <v>8773.3933220564231</v>
      </c>
    </row>
    <row r="37" spans="1:22" x14ac:dyDescent="0.25">
      <c r="B37" s="6" t="s">
        <v>278</v>
      </c>
      <c r="C37" s="7">
        <v>4083318</v>
      </c>
      <c r="D37" s="8" t="s">
        <v>267</v>
      </c>
      <c r="E37" s="8">
        <v>643.16399750056564</v>
      </c>
      <c r="F37" s="8">
        <v>653.00291960517927</v>
      </c>
      <c r="G37" s="8">
        <v>519.17736362867629</v>
      </c>
      <c r="H37" s="8">
        <v>463.40890154979962</v>
      </c>
      <c r="I37" s="8">
        <v>549.34374921421079</v>
      </c>
      <c r="J37" s="8">
        <v>482.36912829491558</v>
      </c>
      <c r="K37" s="8">
        <v>522.15709610186138</v>
      </c>
      <c r="L37" s="8">
        <v>608.19425148753066</v>
      </c>
      <c r="M37" s="8">
        <v>592.79385995014707</v>
      </c>
      <c r="N37" s="8">
        <v>614.3095431931348</v>
      </c>
      <c r="O37" s="8">
        <v>656.78022299064889</v>
      </c>
      <c r="P37" s="8">
        <v>611.91966682415148</v>
      </c>
      <c r="Q37" s="8">
        <v>685.53347649894249</v>
      </c>
      <c r="R37" s="8">
        <v>579.75916026482992</v>
      </c>
      <c r="S37" s="8">
        <v>560.09101064612685</v>
      </c>
      <c r="T37" s="8">
        <v>556.64890528211595</v>
      </c>
      <c r="U37" s="8">
        <v>545.17877744413329</v>
      </c>
      <c r="V37" s="8">
        <v>545.2890562653206</v>
      </c>
    </row>
    <row r="38" spans="1:22" x14ac:dyDescent="0.25">
      <c r="B38" s="6" t="s">
        <v>279</v>
      </c>
      <c r="C38" s="7">
        <v>4057125</v>
      </c>
      <c r="D38" s="8" t="s">
        <v>267</v>
      </c>
      <c r="E38" s="8">
        <v>45305.659034454002</v>
      </c>
      <c r="F38" s="8">
        <v>54655.40925110122</v>
      </c>
      <c r="G38" s="8">
        <v>45605.514572439868</v>
      </c>
      <c r="H38" s="8">
        <v>44354.215833440445</v>
      </c>
      <c r="I38" s="8">
        <v>41010.639643182789</v>
      </c>
      <c r="J38" s="8">
        <v>41299.678901160005</v>
      </c>
      <c r="K38" s="8">
        <v>42321.690182520819</v>
      </c>
      <c r="L38" s="8">
        <v>40290.811660603526</v>
      </c>
      <c r="M38" s="8">
        <v>36942.307063257991</v>
      </c>
      <c r="N38" s="8">
        <v>37226.140581690335</v>
      </c>
      <c r="O38" s="8">
        <v>36066.984513698197</v>
      </c>
      <c r="P38" s="8">
        <v>36658.926777326284</v>
      </c>
      <c r="Q38" s="8">
        <v>36149.465397046006</v>
      </c>
      <c r="R38" s="8">
        <v>35359.484739821011</v>
      </c>
      <c r="S38" s="8">
        <v>32373.14562977913</v>
      </c>
      <c r="T38" s="8">
        <v>33149.696554499773</v>
      </c>
      <c r="U38" s="8">
        <v>32275.504326638653</v>
      </c>
      <c r="V38" s="8">
        <v>30592.284679917371</v>
      </c>
    </row>
    <row r="39" spans="1:22" x14ac:dyDescent="0.25">
      <c r="B39" s="6" t="s">
        <v>280</v>
      </c>
      <c r="C39" s="7">
        <v>4087741</v>
      </c>
      <c r="D39" s="8" t="s">
        <v>267</v>
      </c>
      <c r="E39" s="8" t="s">
        <v>267</v>
      </c>
      <c r="F39" s="8" t="s">
        <v>267</v>
      </c>
      <c r="G39" s="8">
        <v>53544.742016824195</v>
      </c>
      <c r="H39" s="8">
        <v>50233.459357645697</v>
      </c>
      <c r="I39" s="8">
        <v>55052.484858405005</v>
      </c>
      <c r="J39" s="8">
        <v>53371.073737599734</v>
      </c>
      <c r="K39" s="8">
        <v>54572.468049816889</v>
      </c>
      <c r="L39" s="8">
        <v>51584.265947661741</v>
      </c>
      <c r="M39" s="8">
        <v>48014.887983225919</v>
      </c>
      <c r="N39" s="8">
        <v>47185.16866867616</v>
      </c>
      <c r="O39" s="8">
        <v>45476.467975307001</v>
      </c>
      <c r="P39" s="8">
        <v>46667.247750902505</v>
      </c>
      <c r="Q39" s="8">
        <v>45842.820977477735</v>
      </c>
      <c r="R39" s="8">
        <v>43860.667985862056</v>
      </c>
      <c r="S39" s="8">
        <v>43944.023269855272</v>
      </c>
      <c r="T39" s="8">
        <v>42918.364724045707</v>
      </c>
      <c r="U39" s="8">
        <v>39264.296497959076</v>
      </c>
      <c r="V39" s="8">
        <v>35775.114098231301</v>
      </c>
    </row>
    <row r="40" spans="1:22" x14ac:dyDescent="0.25">
      <c r="B40" s="6" t="s">
        <v>281</v>
      </c>
      <c r="C40" s="7">
        <v>4059875</v>
      </c>
      <c r="D40" s="8" t="s">
        <v>267</v>
      </c>
      <c r="E40" s="8">
        <v>10675.948226066368</v>
      </c>
      <c r="F40" s="8">
        <v>10551.819863030662</v>
      </c>
      <c r="G40" s="8">
        <v>11691.408334274731</v>
      </c>
      <c r="H40" s="8">
        <v>11215.426713835104</v>
      </c>
      <c r="I40" s="8">
        <v>10943.063297124267</v>
      </c>
      <c r="J40" s="8">
        <v>11654.535338997852</v>
      </c>
      <c r="K40" s="8">
        <v>11576.783635673664</v>
      </c>
      <c r="L40" s="8">
        <v>7211.053939310651</v>
      </c>
      <c r="M40" s="8">
        <v>6550.1811337779118</v>
      </c>
      <c r="N40" s="8">
        <v>9201.3544638591538</v>
      </c>
      <c r="O40" s="8">
        <v>9607.336213965782</v>
      </c>
      <c r="P40" s="8">
        <v>8412.8231104241058</v>
      </c>
      <c r="Q40" s="8">
        <v>7830.0588793265151</v>
      </c>
      <c r="R40" s="8">
        <v>6879.6189054078932</v>
      </c>
      <c r="S40" s="8">
        <v>6633.6686605831746</v>
      </c>
      <c r="T40" s="8">
        <v>5669.60209451639</v>
      </c>
      <c r="U40" s="8">
        <v>5789.8040741773993</v>
      </c>
      <c r="V40" s="8">
        <v>5232.5583501454803</v>
      </c>
    </row>
    <row r="41" spans="1:22" x14ac:dyDescent="0.25">
      <c r="B41" s="6" t="s">
        <v>212</v>
      </c>
      <c r="C41" s="7">
        <v>4057090</v>
      </c>
      <c r="D41" s="8">
        <v>29404.177856915558</v>
      </c>
      <c r="E41" s="8">
        <v>30270.858614376044</v>
      </c>
      <c r="F41" s="8">
        <v>30095.559873891547</v>
      </c>
      <c r="G41" s="8">
        <v>27867.457434070646</v>
      </c>
      <c r="H41" s="8">
        <v>25321.460239262091</v>
      </c>
      <c r="I41" s="8">
        <v>24034.199941655468</v>
      </c>
      <c r="J41" s="8">
        <v>25045.778547787264</v>
      </c>
      <c r="K41" s="8">
        <v>23148.112502807264</v>
      </c>
      <c r="L41" s="8">
        <v>22338.644698979504</v>
      </c>
      <c r="M41" s="8">
        <v>20593.252658355923</v>
      </c>
      <c r="N41" s="8">
        <v>21335.238953880023</v>
      </c>
      <c r="O41" s="8">
        <v>19817.252089175588</v>
      </c>
      <c r="P41" s="8">
        <v>20766.496132246513</v>
      </c>
      <c r="Q41" s="8">
        <v>19467.730833496753</v>
      </c>
      <c r="R41" s="8">
        <v>17677.630636025351</v>
      </c>
      <c r="S41" s="8">
        <v>17238.250345341658</v>
      </c>
      <c r="T41" s="8">
        <v>17986.637902296035</v>
      </c>
      <c r="U41" s="8">
        <v>17341.361836883279</v>
      </c>
      <c r="V41" s="8">
        <v>16215.576749478581</v>
      </c>
    </row>
    <row r="42" spans="1:22" x14ac:dyDescent="0.25">
      <c r="B42" s="6" t="s">
        <v>213</v>
      </c>
      <c r="C42" s="7">
        <v>4008754</v>
      </c>
      <c r="D42" s="8">
        <v>17923.407695417431</v>
      </c>
      <c r="E42" s="8">
        <v>16863.034662261791</v>
      </c>
      <c r="F42" s="8">
        <v>16335.394915648687</v>
      </c>
      <c r="G42" s="8">
        <v>14706.131845461503</v>
      </c>
      <c r="H42" s="8">
        <v>14769.824568999353</v>
      </c>
      <c r="I42" s="8">
        <v>14360.171588439667</v>
      </c>
      <c r="J42" s="8">
        <v>14005.674182040924</v>
      </c>
      <c r="K42" s="8">
        <v>13887.749478179361</v>
      </c>
      <c r="L42" s="8">
        <v>14221.391040906536</v>
      </c>
      <c r="M42" s="8">
        <v>14773.152873564637</v>
      </c>
      <c r="N42" s="8">
        <v>13984.036121772966</v>
      </c>
      <c r="O42" s="8">
        <v>13584.779786399962</v>
      </c>
      <c r="P42" s="8">
        <v>12072.858683316259</v>
      </c>
      <c r="Q42" s="8">
        <v>12371.819194316275</v>
      </c>
      <c r="R42" s="8">
        <v>11656.771732028126</v>
      </c>
      <c r="S42" s="8">
        <v>11360.205791449089</v>
      </c>
      <c r="T42" s="8">
        <v>10422.09279407416</v>
      </c>
      <c r="U42" s="8">
        <v>10815.879678416652</v>
      </c>
      <c r="V42" s="8">
        <v>9928.5577776570917</v>
      </c>
    </row>
    <row r="43" spans="1:22" x14ac:dyDescent="0.25">
      <c r="B43" s="6" t="s">
        <v>282</v>
      </c>
      <c r="C43" s="7">
        <v>4061474</v>
      </c>
      <c r="D43" s="8" t="s">
        <v>267</v>
      </c>
      <c r="E43" s="8">
        <v>1600.5527182579851</v>
      </c>
      <c r="F43" s="8">
        <v>1567.6245492402909</v>
      </c>
      <c r="G43" s="8">
        <v>1544.5674079960829</v>
      </c>
      <c r="H43" s="8">
        <v>1474.9629787166923</v>
      </c>
      <c r="I43" s="8">
        <v>1491.1346407350366</v>
      </c>
      <c r="J43" s="8">
        <v>1441.737594506496</v>
      </c>
      <c r="K43" s="8">
        <v>1452.9481485464898</v>
      </c>
      <c r="L43" s="8">
        <v>1459.9350713353379</v>
      </c>
      <c r="M43" s="8">
        <v>1375.7408179055117</v>
      </c>
      <c r="N43" s="8">
        <v>1290.5497400188667</v>
      </c>
      <c r="O43" s="8">
        <v>1243.7144301419892</v>
      </c>
      <c r="P43" s="8">
        <v>1204.6365838362099</v>
      </c>
      <c r="Q43" s="8">
        <v>1184.8191001935179</v>
      </c>
      <c r="R43" s="8">
        <v>1161.2373426280774</v>
      </c>
      <c r="S43" s="8">
        <v>1071.1079432603019</v>
      </c>
      <c r="T43" s="8">
        <v>999.40201637621055</v>
      </c>
      <c r="U43" s="8">
        <v>968.81354744833448</v>
      </c>
      <c r="V43" s="8">
        <v>1121.0274761510807</v>
      </c>
    </row>
    <row r="44" spans="1:22" x14ac:dyDescent="0.25">
      <c r="B44" s="6" t="s">
        <v>283</v>
      </c>
      <c r="C44" s="7">
        <v>4076679</v>
      </c>
      <c r="D44" s="8" t="s">
        <v>267</v>
      </c>
      <c r="E44" s="8">
        <v>1150.1362182062107</v>
      </c>
      <c r="F44" s="8">
        <v>1123.5744757401271</v>
      </c>
      <c r="G44" s="8">
        <v>1065.3331937534128</v>
      </c>
      <c r="H44" s="8">
        <v>987.68698309989566</v>
      </c>
      <c r="I44" s="8">
        <v>960.04232567005636</v>
      </c>
      <c r="J44" s="8">
        <v>1002.7764055706177</v>
      </c>
      <c r="K44" s="8">
        <v>961.97040795152066</v>
      </c>
      <c r="L44" s="8">
        <v>940.9312313201973</v>
      </c>
      <c r="M44" s="8">
        <v>923.44697480853426</v>
      </c>
      <c r="N44" s="8">
        <v>906.70475250805941</v>
      </c>
      <c r="O44" s="8">
        <v>876.90549340339282</v>
      </c>
      <c r="P44" s="8">
        <v>905.63657989048352</v>
      </c>
      <c r="Q44" s="8">
        <v>692.91884832255084</v>
      </c>
      <c r="R44" s="8">
        <v>571.00094446620017</v>
      </c>
      <c r="S44" s="8">
        <v>559.12896011781038</v>
      </c>
      <c r="T44" s="8">
        <v>570.73868509652027</v>
      </c>
      <c r="U44" s="8">
        <v>493.9516414483403</v>
      </c>
      <c r="V44" s="8">
        <v>502.95232310874093</v>
      </c>
    </row>
    <row r="45" spans="1:22" x14ac:dyDescent="0.25">
      <c r="B45" s="6" t="s">
        <v>215</v>
      </c>
      <c r="C45" s="7">
        <v>4061634</v>
      </c>
      <c r="D45" s="8">
        <v>22612.428286168732</v>
      </c>
      <c r="E45" s="8">
        <v>28622.795985642188</v>
      </c>
      <c r="F45" s="8">
        <v>28404.912946926677</v>
      </c>
      <c r="G45" s="8">
        <v>28321.855585047429</v>
      </c>
      <c r="H45" s="8">
        <v>25427.765915720975</v>
      </c>
      <c r="I45" s="8">
        <v>24930.057352994634</v>
      </c>
      <c r="J45" s="8">
        <v>26525.671827148006</v>
      </c>
      <c r="K45" s="8">
        <v>24070.297402937969</v>
      </c>
      <c r="L45" s="8">
        <v>24167.487427380493</v>
      </c>
      <c r="M45" s="8">
        <v>23333.752708710697</v>
      </c>
      <c r="N45" s="8">
        <v>23572.922745313786</v>
      </c>
      <c r="O45" s="8">
        <v>22388.331472164828</v>
      </c>
      <c r="P45" s="8">
        <v>21723.059065277001</v>
      </c>
      <c r="Q45" s="8">
        <v>21696.453749073775</v>
      </c>
      <c r="R45" s="8">
        <v>21279.504651490384</v>
      </c>
      <c r="S45" s="8">
        <v>19578.568464778393</v>
      </c>
      <c r="T45" s="8">
        <v>18769.828791956479</v>
      </c>
      <c r="U45" s="8">
        <v>18736.705090680451</v>
      </c>
      <c r="V45" s="8">
        <v>19782.970747107356</v>
      </c>
    </row>
    <row r="46" spans="1:22" x14ac:dyDescent="0.25">
      <c r="B46" s="6" t="s">
        <v>216</v>
      </c>
      <c r="C46" s="7">
        <v>4061687</v>
      </c>
      <c r="D46" s="8">
        <v>70848.419922666741</v>
      </c>
      <c r="E46" s="8">
        <v>85772.629881233472</v>
      </c>
      <c r="F46" s="8">
        <v>81778.789440765991</v>
      </c>
      <c r="G46" s="8">
        <v>82065.946569371619</v>
      </c>
      <c r="H46" s="8">
        <v>82918.365639424243</v>
      </c>
      <c r="I46" s="8">
        <v>81311.941241804627</v>
      </c>
      <c r="J46" s="8">
        <v>83719.991389992079</v>
      </c>
      <c r="K46" s="8">
        <v>82248.839151750057</v>
      </c>
      <c r="L46" s="8">
        <v>78873.083559726889</v>
      </c>
      <c r="M46" s="8">
        <v>75270.925039561829</v>
      </c>
      <c r="N46" s="8">
        <v>75160.351402953835</v>
      </c>
      <c r="O46" s="8">
        <v>74609.391093335405</v>
      </c>
      <c r="P46" s="8">
        <v>73179.388002868116</v>
      </c>
      <c r="Q46" s="8">
        <v>78282.179322125361</v>
      </c>
      <c r="R46" s="8">
        <v>79049.444214847972</v>
      </c>
      <c r="S46" s="8">
        <v>79587.267063006031</v>
      </c>
      <c r="T46" s="8">
        <v>81900.523692741204</v>
      </c>
      <c r="U46" s="8">
        <v>78635.857707008021</v>
      </c>
      <c r="V46" s="8">
        <v>77457.268242950027</v>
      </c>
    </row>
    <row r="47" spans="1:22" x14ac:dyDescent="0.25">
      <c r="A47" s="1" t="s">
        <v>268</v>
      </c>
      <c r="B47" s="6" t="s">
        <v>217</v>
      </c>
      <c r="C47" s="7">
        <v>4061755</v>
      </c>
      <c r="D47" s="8">
        <v>44702.96625875427</v>
      </c>
      <c r="E47" s="8">
        <v>56772.532396469564</v>
      </c>
      <c r="F47" s="8">
        <v>59035.025587897428</v>
      </c>
      <c r="G47" s="8">
        <v>64369.223821553016</v>
      </c>
      <c r="H47" s="8">
        <v>57278.321985684808</v>
      </c>
      <c r="I47" s="8">
        <v>53805.595754100235</v>
      </c>
      <c r="J47" s="8">
        <v>54056.383793694418</v>
      </c>
      <c r="K47" s="8">
        <v>53782.709430029819</v>
      </c>
      <c r="L47" s="8">
        <v>46363.346695503147</v>
      </c>
      <c r="M47" s="8">
        <v>42477.713210836744</v>
      </c>
      <c r="N47" s="8">
        <v>43145.493623284121</v>
      </c>
      <c r="O47" s="8">
        <v>42327.98517830253</v>
      </c>
      <c r="P47" s="8">
        <v>42409.044467067964</v>
      </c>
      <c r="Q47" s="8">
        <v>39111.738669383827</v>
      </c>
      <c r="R47" s="8">
        <v>40731.88348343064</v>
      </c>
      <c r="S47" s="8">
        <v>33465.531109782722</v>
      </c>
      <c r="T47" s="8">
        <v>30125.502698628941</v>
      </c>
      <c r="U47" s="8">
        <v>29959.626555087398</v>
      </c>
      <c r="V47" s="8">
        <v>28723.935319972839</v>
      </c>
    </row>
    <row r="48" spans="1:22" x14ac:dyDescent="0.25">
      <c r="A48" s="1" t="s">
        <v>268</v>
      </c>
      <c r="B48" s="6" t="s">
        <v>219</v>
      </c>
      <c r="C48" s="7">
        <v>4004389</v>
      </c>
      <c r="D48" s="8">
        <v>37450.337729208717</v>
      </c>
      <c r="E48" s="8">
        <v>35353.425080059547</v>
      </c>
      <c r="F48" s="8">
        <v>35900.768473504344</v>
      </c>
      <c r="G48" s="8">
        <v>38116.509935167553</v>
      </c>
      <c r="H48" s="8">
        <v>34157.610818352863</v>
      </c>
      <c r="I48" s="8">
        <v>36901.742106000733</v>
      </c>
      <c r="J48" s="8">
        <v>32941.724118960781</v>
      </c>
      <c r="K48" s="8">
        <v>32932.47249775564</v>
      </c>
      <c r="L48" s="8">
        <v>34781.393269766566</v>
      </c>
      <c r="M48" s="8">
        <v>33777.018674359446</v>
      </c>
      <c r="N48" s="8">
        <v>35834.166209675255</v>
      </c>
      <c r="O48" s="8">
        <v>27798.46521047701</v>
      </c>
      <c r="P48" s="8">
        <v>24106.468372736996</v>
      </c>
      <c r="Q48" s="8">
        <v>18461.18990733126</v>
      </c>
      <c r="R48" s="8">
        <v>18562.49925443601</v>
      </c>
      <c r="S48" s="8">
        <v>17794.728842877343</v>
      </c>
      <c r="T48" s="8">
        <v>19297.46800562353</v>
      </c>
      <c r="U48" s="8">
        <v>19608.150257914411</v>
      </c>
      <c r="V48" s="8">
        <v>16584.750485671466</v>
      </c>
    </row>
    <row r="49" spans="1:22" x14ac:dyDescent="0.25">
      <c r="A49" s="1" t="s">
        <v>268</v>
      </c>
      <c r="B49" s="6" t="s">
        <v>220</v>
      </c>
      <c r="C49" s="7">
        <v>4057014</v>
      </c>
      <c r="D49" s="8">
        <v>68012.028024318875</v>
      </c>
      <c r="E49" s="8">
        <v>58929.906502001904</v>
      </c>
      <c r="F49" s="8">
        <v>57214.058242494357</v>
      </c>
      <c r="G49" s="8">
        <v>56815.364485002305</v>
      </c>
      <c r="H49" s="8">
        <v>58972.61271110837</v>
      </c>
      <c r="I49" s="8">
        <v>57585.141320553004</v>
      </c>
      <c r="J49" s="8">
        <v>53265.028989085979</v>
      </c>
      <c r="K49" s="8">
        <v>58852.195422929566</v>
      </c>
      <c r="L49" s="8">
        <v>56187.921364873182</v>
      </c>
      <c r="M49" s="8">
        <v>62205.307567235352</v>
      </c>
      <c r="N49" s="8">
        <v>61126.427342686664</v>
      </c>
      <c r="O49" s="8">
        <v>61082.737792133747</v>
      </c>
      <c r="P49" s="8">
        <v>49328.988182943453</v>
      </c>
      <c r="Q49" s="8">
        <v>41060.856287976232</v>
      </c>
      <c r="R49" s="8">
        <v>37162.287193302844</v>
      </c>
      <c r="S49" s="8">
        <v>38953.903642193036</v>
      </c>
      <c r="T49" s="8">
        <v>36445.944642605893</v>
      </c>
      <c r="U49" s="8">
        <v>39789.832194550661</v>
      </c>
      <c r="V49" s="8">
        <v>48212.980793537972</v>
      </c>
    </row>
    <row r="50" spans="1:22" x14ac:dyDescent="0.25">
      <c r="B50" s="6" t="s">
        <v>221</v>
      </c>
      <c r="C50" s="7">
        <v>4057130</v>
      </c>
      <c r="D50" s="8">
        <v>16104.580314140641</v>
      </c>
      <c r="E50" s="8">
        <v>14566.847653664079</v>
      </c>
      <c r="F50" s="8">
        <v>15728.230746896625</v>
      </c>
      <c r="G50" s="8">
        <v>17033.83902273218</v>
      </c>
      <c r="H50" s="8">
        <v>16619.858035695579</v>
      </c>
      <c r="I50" s="8">
        <v>18325.01919332103</v>
      </c>
      <c r="J50" s="8">
        <v>22061.793265834429</v>
      </c>
      <c r="K50" s="8">
        <v>24911.709117123566</v>
      </c>
      <c r="L50" s="8">
        <v>18781.019658696114</v>
      </c>
      <c r="M50" s="8">
        <v>16891.467955283602</v>
      </c>
      <c r="N50" s="8">
        <v>18074.186524216544</v>
      </c>
      <c r="O50" s="8">
        <v>19317.156288614809</v>
      </c>
      <c r="P50" s="8">
        <v>17094.090313365698</v>
      </c>
      <c r="Q50" s="8">
        <v>16162.11949267045</v>
      </c>
      <c r="R50" s="8">
        <v>13715.707748635125</v>
      </c>
      <c r="S50" s="8">
        <v>8158.5105712471286</v>
      </c>
      <c r="T50" s="8">
        <v>17887.113512207841</v>
      </c>
      <c r="U50" s="8">
        <v>11761.704547543502</v>
      </c>
      <c r="V50" s="8">
        <v>10825.348222134584</v>
      </c>
    </row>
    <row r="51" spans="1:22" x14ac:dyDescent="0.25">
      <c r="B51" s="6" t="s">
        <v>223</v>
      </c>
      <c r="C51" s="7">
        <v>4057131</v>
      </c>
      <c r="D51" s="8">
        <v>139113.88806601489</v>
      </c>
      <c r="E51" s="8">
        <v>114243.80814133145</v>
      </c>
      <c r="F51" s="8">
        <v>108080.99902040682</v>
      </c>
      <c r="G51" s="8">
        <v>89526.937494975733</v>
      </c>
      <c r="H51" s="8">
        <v>89915.426275135251</v>
      </c>
      <c r="I51" s="8">
        <v>90403.351230088912</v>
      </c>
      <c r="J51" s="8">
        <v>91111.757839461323</v>
      </c>
      <c r="K51" s="8">
        <v>88050.747616550449</v>
      </c>
      <c r="L51" s="8">
        <v>91947.353295889945</v>
      </c>
      <c r="M51" s="8">
        <v>84205.961880325092</v>
      </c>
      <c r="N51" s="8">
        <v>84659.048029339086</v>
      </c>
      <c r="O51" s="8">
        <v>85135.003723387475</v>
      </c>
      <c r="P51" s="8">
        <v>77318.023482481367</v>
      </c>
      <c r="Q51" s="8">
        <v>72149.571579223761</v>
      </c>
      <c r="R51" s="8">
        <v>67648.578433905044</v>
      </c>
      <c r="S51" s="8">
        <v>72860.734558007287</v>
      </c>
      <c r="T51" s="8">
        <v>68307.586646397118</v>
      </c>
      <c r="U51" s="8">
        <v>64527.2722849407</v>
      </c>
      <c r="V51" s="8">
        <v>55341.321921270886</v>
      </c>
    </row>
    <row r="52" spans="1:22" x14ac:dyDescent="0.25">
      <c r="B52" s="6" t="s">
        <v>224</v>
      </c>
      <c r="C52" s="7">
        <v>4012860</v>
      </c>
      <c r="D52" s="8">
        <v>73969.422788119467</v>
      </c>
      <c r="E52" s="8">
        <v>71808.601458848716</v>
      </c>
      <c r="F52" s="8">
        <v>75638.079796177262</v>
      </c>
      <c r="G52" s="8">
        <v>62540.781337337976</v>
      </c>
      <c r="H52" s="8">
        <v>68576.73338614589</v>
      </c>
      <c r="I52" s="8">
        <v>60165.521599705586</v>
      </c>
      <c r="J52" s="8">
        <v>57577.594027725972</v>
      </c>
      <c r="K52" s="8">
        <v>67458.197059734492</v>
      </c>
      <c r="L52" s="8">
        <v>68476.141857405091</v>
      </c>
      <c r="M52" s="8">
        <v>67311.612741434088</v>
      </c>
      <c r="N52" s="8">
        <v>79700.076581267931</v>
      </c>
      <c r="O52" s="8">
        <v>69623.825830962989</v>
      </c>
      <c r="P52" s="8">
        <v>65460.433223629181</v>
      </c>
      <c r="Q52" s="8">
        <v>58336.005173820064</v>
      </c>
      <c r="R52" s="8">
        <v>57300.331631253488</v>
      </c>
      <c r="S52" s="8">
        <v>55777.59994864391</v>
      </c>
      <c r="T52" s="8">
        <v>57117.807367375484</v>
      </c>
      <c r="U52" s="8">
        <v>55225.789681167189</v>
      </c>
      <c r="V52" s="8">
        <v>49556.899901528697</v>
      </c>
    </row>
    <row r="53" spans="1:22" x14ac:dyDescent="0.25">
      <c r="B53" s="6" t="s">
        <v>227</v>
      </c>
      <c r="C53" s="7">
        <v>4061925</v>
      </c>
      <c r="D53" s="8">
        <v>7598.5709439966058</v>
      </c>
      <c r="E53" s="8">
        <v>7525.8301536081408</v>
      </c>
      <c r="F53" s="8">
        <v>7797.4245513948399</v>
      </c>
      <c r="G53" s="8">
        <v>7357.6494811998728</v>
      </c>
      <c r="H53" s="8">
        <v>7311.955921537975</v>
      </c>
      <c r="I53" s="8">
        <v>7865.1831091705653</v>
      </c>
      <c r="J53" s="8">
        <v>8107.1662210837012</v>
      </c>
      <c r="K53" s="8">
        <v>7839.9174294723143</v>
      </c>
      <c r="L53" s="8">
        <v>7479.0731696101775</v>
      </c>
      <c r="M53" s="8">
        <v>7214.0322747699292</v>
      </c>
      <c r="N53" s="8">
        <v>6862.3872328165926</v>
      </c>
      <c r="O53" s="8">
        <v>6506.5934302235391</v>
      </c>
      <c r="P53" s="8">
        <v>6074.3033029610115</v>
      </c>
      <c r="Q53" s="8">
        <v>5524.1275789528063</v>
      </c>
      <c r="R53" s="8">
        <v>5312.4845523249087</v>
      </c>
      <c r="S53" s="8">
        <v>4900.6011282137024</v>
      </c>
      <c r="T53" s="8">
        <v>5019.49758134064</v>
      </c>
      <c r="U53" s="8">
        <v>5054.4588218450399</v>
      </c>
      <c r="V53" s="8">
        <v>4773.6729135680307</v>
      </c>
    </row>
    <row r="54" spans="1:22" x14ac:dyDescent="0.25">
      <c r="B54" s="6" t="s">
        <v>284</v>
      </c>
      <c r="C54" s="7">
        <v>4057132</v>
      </c>
      <c r="D54" s="8" t="s">
        <v>267</v>
      </c>
      <c r="E54" s="8" t="s">
        <v>267</v>
      </c>
      <c r="F54" s="8" t="s">
        <v>267</v>
      </c>
      <c r="G54" s="8" t="s">
        <v>267</v>
      </c>
      <c r="H54" s="8">
        <v>49126.786866331895</v>
      </c>
      <c r="I54" s="8">
        <v>45558.118937225219</v>
      </c>
      <c r="J54" s="8">
        <v>47542.554805620181</v>
      </c>
      <c r="K54" s="8">
        <v>41443.161322070453</v>
      </c>
      <c r="L54" s="8">
        <v>41773.035093288672</v>
      </c>
      <c r="M54" s="8">
        <v>38943.076159816395</v>
      </c>
      <c r="N54" s="8">
        <v>37587.092586342391</v>
      </c>
      <c r="O54" s="8">
        <v>37452.917478508432</v>
      </c>
      <c r="P54" s="8">
        <v>40232.78346666888</v>
      </c>
      <c r="Q54" s="8">
        <v>35880.016230463909</v>
      </c>
      <c r="R54" s="8">
        <v>37802.217475574995</v>
      </c>
      <c r="S54" s="8">
        <v>35890.053426425322</v>
      </c>
      <c r="T54" s="8">
        <v>35201.976482072219</v>
      </c>
      <c r="U54" s="8">
        <v>32003.999238875163</v>
      </c>
      <c r="V54" s="8" t="s">
        <v>267</v>
      </c>
    </row>
    <row r="55" spans="1:22" x14ac:dyDescent="0.25">
      <c r="A55" s="1" t="s">
        <v>268</v>
      </c>
      <c r="B55" s="6" t="s">
        <v>285</v>
      </c>
      <c r="C55" s="7">
        <v>4057115</v>
      </c>
      <c r="D55" s="8" t="s">
        <v>267</v>
      </c>
      <c r="E55" s="8">
        <v>17901.230534103983</v>
      </c>
      <c r="F55" s="8">
        <v>17994.514335114422</v>
      </c>
      <c r="G55" s="8">
        <v>16731.106331329003</v>
      </c>
      <c r="H55" s="8">
        <v>15953.529120459283</v>
      </c>
      <c r="I55" s="8">
        <v>16996.101127728558</v>
      </c>
      <c r="J55" s="8">
        <v>19600.649368380971</v>
      </c>
      <c r="K55" s="8">
        <v>21702.741381567761</v>
      </c>
      <c r="L55" s="8">
        <v>22040.046172173541</v>
      </c>
      <c r="M55" s="8">
        <v>20296.827988698322</v>
      </c>
      <c r="N55" s="8">
        <v>20207.940905481588</v>
      </c>
      <c r="O55" s="8">
        <v>18780.685077643982</v>
      </c>
      <c r="P55" s="8">
        <v>14647.002569497547</v>
      </c>
      <c r="Q55" s="8">
        <v>15563.230165774146</v>
      </c>
      <c r="R55" s="8">
        <v>16366.249591655987</v>
      </c>
      <c r="S55" s="8">
        <v>16348.132792417127</v>
      </c>
      <c r="T55" s="8">
        <v>16537.788888113661</v>
      </c>
      <c r="U55" s="8">
        <v>15616.67773711775</v>
      </c>
      <c r="V55" s="8">
        <v>17109.402436472046</v>
      </c>
    </row>
    <row r="56" spans="1:22" x14ac:dyDescent="0.25">
      <c r="B56" s="6" t="s">
        <v>228</v>
      </c>
      <c r="C56" s="7">
        <v>4064479</v>
      </c>
      <c r="D56" s="8">
        <v>2968.2976580963509</v>
      </c>
      <c r="E56" s="8">
        <v>2736.6087986368393</v>
      </c>
      <c r="F56" s="8">
        <v>3121.4905335265867</v>
      </c>
      <c r="G56" s="8">
        <v>2862.0642531867579</v>
      </c>
      <c r="H56" s="8">
        <v>2866.6461369921954</v>
      </c>
      <c r="I56" s="8">
        <v>2722.0352833311454</v>
      </c>
      <c r="J56" s="8">
        <v>2581.6172103352251</v>
      </c>
      <c r="K56" s="8">
        <v>2504.3902594031438</v>
      </c>
      <c r="L56" s="8">
        <v>2433.7929033673936</v>
      </c>
      <c r="M56" s="8">
        <v>2499.4769650877074</v>
      </c>
      <c r="N56" s="8">
        <v>2493.6866904985886</v>
      </c>
      <c r="O56" s="8">
        <v>2535.7097869551044</v>
      </c>
      <c r="P56" s="8">
        <v>2638.3753376151399</v>
      </c>
      <c r="Q56" s="8">
        <v>2459.3484700560334</v>
      </c>
      <c r="R56" s="8">
        <v>2391.9366242890437</v>
      </c>
      <c r="S56" s="8">
        <v>2404.1167453138851</v>
      </c>
      <c r="T56" s="8">
        <v>2287.8651870755562</v>
      </c>
      <c r="U56" s="8">
        <v>2352.5789273083901</v>
      </c>
      <c r="V56" s="8">
        <v>2306.3834881960743</v>
      </c>
    </row>
    <row r="57" spans="1:22" x14ac:dyDescent="0.25">
      <c r="B57" s="6" t="s">
        <v>286</v>
      </c>
      <c r="C57" s="7">
        <v>4062025</v>
      </c>
      <c r="D57" s="8" t="s">
        <v>267</v>
      </c>
      <c r="E57" s="8">
        <v>3861.5084286041506</v>
      </c>
      <c r="F57" s="8">
        <v>3939.2119455110133</v>
      </c>
      <c r="G57" s="8">
        <v>2999.4525185563125</v>
      </c>
      <c r="H57" s="8">
        <v>3120.8197202009692</v>
      </c>
      <c r="I57" s="8">
        <v>3175.5307135734438</v>
      </c>
      <c r="J57" s="8">
        <v>2580.1597531445009</v>
      </c>
      <c r="K57" s="8">
        <v>2610.6835430121978</v>
      </c>
      <c r="L57" s="8">
        <v>2607.1679940245244</v>
      </c>
      <c r="M57" s="8">
        <v>2654.2867044077989</v>
      </c>
      <c r="N57" s="8">
        <v>2513.1545114989995</v>
      </c>
      <c r="O57" s="8">
        <v>2254.7193331867979</v>
      </c>
      <c r="P57" s="8">
        <v>2345.251179423105</v>
      </c>
      <c r="Q57" s="8">
        <v>2207.8779067504565</v>
      </c>
      <c r="R57" s="8">
        <v>2174.3372323202152</v>
      </c>
      <c r="S57" s="8">
        <v>2061.4433300320761</v>
      </c>
      <c r="T57" s="8">
        <v>2052.5992763881841</v>
      </c>
      <c r="U57" s="8">
        <v>2023.9119987822019</v>
      </c>
      <c r="V57" s="8">
        <v>1958.05761907333</v>
      </c>
    </row>
    <row r="58" spans="1:22" x14ac:dyDescent="0.25">
      <c r="B58" s="6" t="s">
        <v>287</v>
      </c>
      <c r="C58" s="7">
        <v>4064481</v>
      </c>
      <c r="D58" s="8" t="s">
        <v>267</v>
      </c>
      <c r="E58" s="8" t="s">
        <v>267</v>
      </c>
      <c r="F58" s="8" t="s">
        <v>267</v>
      </c>
      <c r="G58" s="8">
        <v>59521.223176468819</v>
      </c>
      <c r="H58" s="8">
        <v>61764.564413127082</v>
      </c>
      <c r="I58" s="8">
        <v>62898.558120891917</v>
      </c>
      <c r="J58" s="8">
        <v>64845.686609072451</v>
      </c>
      <c r="K58" s="8">
        <v>63681.796884337818</v>
      </c>
      <c r="L58" s="8">
        <v>61438.612979751808</v>
      </c>
      <c r="M58" s="8">
        <v>57154.266792759954</v>
      </c>
      <c r="N58" s="8">
        <v>61551.753565405998</v>
      </c>
      <c r="O58" s="8">
        <v>58262.05992273266</v>
      </c>
      <c r="P58" s="8">
        <v>58042.636141902789</v>
      </c>
      <c r="Q58" s="8">
        <v>53264.537271105888</v>
      </c>
      <c r="R58" s="8">
        <v>54637.395669303834</v>
      </c>
      <c r="S58" s="8">
        <v>54596.54917240471</v>
      </c>
      <c r="T58" s="8">
        <v>50816.220701447564</v>
      </c>
      <c r="U58" s="8">
        <v>47639.285317626069</v>
      </c>
      <c r="V58" s="8">
        <v>39339.490897684176</v>
      </c>
    </row>
    <row r="59" spans="1:22" x14ac:dyDescent="0.25">
      <c r="A59" s="1" t="s">
        <v>268</v>
      </c>
      <c r="B59" s="6" t="s">
        <v>229</v>
      </c>
      <c r="C59" s="7">
        <v>4057093</v>
      </c>
      <c r="D59" s="8">
        <v>25743.716423818496</v>
      </c>
      <c r="E59" s="8">
        <v>26644.044325130879</v>
      </c>
      <c r="F59" s="8">
        <v>28289.400041649918</v>
      </c>
      <c r="G59" s="8">
        <v>27804.851620678553</v>
      </c>
      <c r="H59" s="8">
        <v>25457.337846467075</v>
      </c>
      <c r="I59" s="8">
        <v>20598.545051648096</v>
      </c>
      <c r="J59" s="8">
        <v>22408.090118226301</v>
      </c>
      <c r="K59" s="8">
        <v>23446.334188854056</v>
      </c>
      <c r="L59" s="8">
        <v>23476.236138471206</v>
      </c>
      <c r="M59" s="8">
        <v>23662.631386722103</v>
      </c>
      <c r="N59" s="8">
        <v>23367.041227479305</v>
      </c>
      <c r="O59" s="8">
        <v>21971.480532592574</v>
      </c>
      <c r="P59" s="8">
        <v>20132.788260648049</v>
      </c>
      <c r="Q59" s="8">
        <v>18943.461785304688</v>
      </c>
      <c r="R59" s="8">
        <v>18938.125283413814</v>
      </c>
      <c r="S59" s="8">
        <v>16486.183717010565</v>
      </c>
      <c r="T59" s="8">
        <v>16115.466828067429</v>
      </c>
      <c r="U59" s="8">
        <v>16803.610059825973</v>
      </c>
      <c r="V59" s="8">
        <v>12072.763748503467</v>
      </c>
    </row>
    <row r="60" spans="1:22" x14ac:dyDescent="0.25">
      <c r="B60" s="6" t="s">
        <v>230</v>
      </c>
      <c r="C60" s="7">
        <v>4004218</v>
      </c>
      <c r="D60" s="8">
        <v>476245.32590278739</v>
      </c>
      <c r="E60" s="8">
        <v>421550.71411270759</v>
      </c>
      <c r="F60" s="8">
        <v>422458.99195655232</v>
      </c>
      <c r="G60" s="8">
        <v>345557.33900176245</v>
      </c>
      <c r="H60" s="8">
        <v>330916.043893828</v>
      </c>
      <c r="I60" s="8">
        <v>335216.14992524328</v>
      </c>
      <c r="J60" s="8">
        <v>294789.49262681877</v>
      </c>
      <c r="K60" s="8">
        <v>262813.24157941324</v>
      </c>
      <c r="L60" s="8">
        <v>300043.673205734</v>
      </c>
      <c r="M60" s="8">
        <v>270546.26669629122</v>
      </c>
      <c r="N60" s="8">
        <v>245175.33098587193</v>
      </c>
      <c r="O60" s="8">
        <v>248399.20723831697</v>
      </c>
      <c r="P60" s="8">
        <v>238093.55942394232</v>
      </c>
      <c r="Q60" s="8">
        <v>199324.87270142633</v>
      </c>
      <c r="R60" s="8">
        <v>196476.84044190843</v>
      </c>
      <c r="S60" s="8">
        <v>195708.5494301529</v>
      </c>
      <c r="T60" s="8">
        <v>215708.0005698051</v>
      </c>
      <c r="U60" s="8">
        <v>172696.34960420371</v>
      </c>
      <c r="V60" s="8">
        <v>173877.15618745427</v>
      </c>
    </row>
    <row r="61" spans="1:22" x14ac:dyDescent="0.25">
      <c r="A61" s="1" t="s">
        <v>268</v>
      </c>
      <c r="B61" s="6" t="s">
        <v>288</v>
      </c>
      <c r="C61" s="7">
        <v>4062222</v>
      </c>
      <c r="D61" s="8" t="s">
        <v>267</v>
      </c>
      <c r="E61" s="8">
        <v>48491.927155280486</v>
      </c>
      <c r="F61" s="8">
        <v>47108.544366276787</v>
      </c>
      <c r="G61" s="8">
        <v>48010.510198660151</v>
      </c>
      <c r="H61" s="8">
        <v>47171.685205167014</v>
      </c>
      <c r="I61" s="8">
        <v>45614.229529781333</v>
      </c>
      <c r="J61" s="8">
        <v>44127.762201698824</v>
      </c>
      <c r="K61" s="8">
        <v>43046.151355032285</v>
      </c>
      <c r="L61" s="8">
        <v>40058.284908905451</v>
      </c>
      <c r="M61" s="8">
        <v>39491.006583722155</v>
      </c>
      <c r="N61" s="8">
        <v>38992.261648231724</v>
      </c>
      <c r="O61" s="8">
        <v>39249.312059544995</v>
      </c>
      <c r="P61" s="8">
        <v>38060.993820590185</v>
      </c>
      <c r="Q61" s="8">
        <v>37373.427628583719</v>
      </c>
      <c r="R61" s="8">
        <v>37448.241248289647</v>
      </c>
      <c r="S61" s="8">
        <v>35619.669329851989</v>
      </c>
      <c r="T61" s="8">
        <v>34668.815003688956</v>
      </c>
      <c r="U61" s="8">
        <v>33461.129595896607</v>
      </c>
      <c r="V61" s="8">
        <v>34196.462912836272</v>
      </c>
    </row>
    <row r="62" spans="1:22" x14ac:dyDescent="0.25">
      <c r="B62" s="6" t="s">
        <v>233</v>
      </c>
      <c r="C62" s="7">
        <v>4057135</v>
      </c>
      <c r="D62" s="8">
        <v>127782.05061886803</v>
      </c>
      <c r="E62" s="8">
        <v>108314.16272068916</v>
      </c>
      <c r="F62" s="8">
        <v>128836.84035805496</v>
      </c>
      <c r="G62" s="8">
        <v>137354.20216691581</v>
      </c>
      <c r="H62" s="8">
        <v>124827.45666933454</v>
      </c>
      <c r="I62" s="8">
        <v>153902.12940365064</v>
      </c>
      <c r="J62" s="8">
        <v>133235.14975086332</v>
      </c>
      <c r="K62" s="8">
        <v>160921.62275994557</v>
      </c>
      <c r="L62" s="8">
        <v>138974.0076375358</v>
      </c>
      <c r="M62" s="8">
        <v>111863.37422452439</v>
      </c>
      <c r="N62" s="8">
        <v>103349.14587868258</v>
      </c>
      <c r="O62" s="8">
        <v>109369.67656118533</v>
      </c>
      <c r="P62" s="8">
        <v>106341.60850569638</v>
      </c>
      <c r="Q62" s="8">
        <v>106917.00431375243</v>
      </c>
      <c r="R62" s="8">
        <v>111088.57815179335</v>
      </c>
      <c r="S62" s="8">
        <v>93063.124150521369</v>
      </c>
      <c r="T62" s="8">
        <v>102825.17628040782</v>
      </c>
      <c r="U62" s="8">
        <v>82432.621796345367</v>
      </c>
      <c r="V62" s="8">
        <v>72488.925776643897</v>
      </c>
    </row>
    <row r="63" spans="1:22" x14ac:dyDescent="0.25">
      <c r="B63" s="6" t="s">
        <v>234</v>
      </c>
      <c r="C63" s="7">
        <v>4063341</v>
      </c>
      <c r="D63" s="8">
        <v>45991.431038048526</v>
      </c>
      <c r="E63" s="8">
        <v>42445.656639748879</v>
      </c>
      <c r="F63" s="8">
        <v>42221.048351104422</v>
      </c>
      <c r="G63" s="8">
        <v>39082.779872590072</v>
      </c>
      <c r="H63" s="8">
        <v>35069.038711156834</v>
      </c>
      <c r="I63" s="8">
        <v>35605.765951955444</v>
      </c>
      <c r="J63" s="8">
        <v>32988.470061060958</v>
      </c>
      <c r="K63" s="8">
        <v>31734.670799491338</v>
      </c>
      <c r="L63" s="8">
        <v>31498.845400426508</v>
      </c>
      <c r="M63" s="8">
        <v>28996.13897955589</v>
      </c>
      <c r="N63" s="8">
        <v>30267.994801800101</v>
      </c>
      <c r="O63" s="8">
        <v>30317.849999375052</v>
      </c>
      <c r="P63" s="8">
        <v>29007.987022348712</v>
      </c>
      <c r="Q63" s="8">
        <v>25222.138380751185</v>
      </c>
      <c r="R63" s="8">
        <v>25713.725465201464</v>
      </c>
      <c r="S63" s="8">
        <v>25572.637831802076</v>
      </c>
      <c r="T63" s="8">
        <v>24466.010083575813</v>
      </c>
      <c r="U63" s="8">
        <v>23530.377459861564</v>
      </c>
      <c r="V63" s="8">
        <v>23916.968463817149</v>
      </c>
    </row>
    <row r="64" spans="1:22" x14ac:dyDescent="0.25">
      <c r="A64" s="1" t="s">
        <v>268</v>
      </c>
      <c r="B64" s="6" t="s">
        <v>289</v>
      </c>
      <c r="C64" s="7">
        <v>4083575</v>
      </c>
      <c r="D64" s="8" t="s">
        <v>267</v>
      </c>
      <c r="E64" s="8">
        <v>77258.946719434141</v>
      </c>
      <c r="F64" s="8">
        <v>87116.12728898885</v>
      </c>
      <c r="G64" s="8">
        <v>93198.522816407305</v>
      </c>
      <c r="H64" s="8">
        <v>92525.077495472709</v>
      </c>
      <c r="I64" s="8">
        <v>100204.00603433576</v>
      </c>
      <c r="J64" s="8">
        <v>92550.723969412284</v>
      </c>
      <c r="K64" s="8">
        <v>81081.525968652859</v>
      </c>
      <c r="L64" s="8">
        <v>73977.785782717008</v>
      </c>
      <c r="M64" s="8">
        <v>78358.159717923263</v>
      </c>
      <c r="N64" s="8">
        <v>73615.040728478431</v>
      </c>
      <c r="O64" s="8">
        <v>76908.267059591642</v>
      </c>
      <c r="P64" s="8">
        <v>71078.467469871277</v>
      </c>
      <c r="Q64" s="8">
        <v>68754.500213424151</v>
      </c>
      <c r="R64" s="8">
        <v>68279.303419862903</v>
      </c>
      <c r="S64" s="8">
        <v>57719.807898377716</v>
      </c>
      <c r="T64" s="8">
        <v>56789.969818210193</v>
      </c>
      <c r="U64" s="8">
        <v>58641.321214880503</v>
      </c>
      <c r="V64" s="8">
        <v>56128.984438837426</v>
      </c>
    </row>
    <row r="65" spans="1:22" x14ac:dyDescent="0.25">
      <c r="B65" s="6" t="s">
        <v>290</v>
      </c>
      <c r="C65" s="7">
        <v>4062303</v>
      </c>
      <c r="D65" s="8" t="s">
        <v>267</v>
      </c>
      <c r="E65" s="8">
        <v>163.09147551715211</v>
      </c>
      <c r="F65" s="8">
        <v>132.51177643580147</v>
      </c>
      <c r="G65" s="8">
        <v>125.57482653582163</v>
      </c>
      <c r="H65" s="8">
        <v>126.18870137261837</v>
      </c>
      <c r="I65" s="8" t="s">
        <v>267</v>
      </c>
      <c r="J65" s="8">
        <v>216.0782851892439</v>
      </c>
      <c r="K65" s="8">
        <v>287.15129392823906</v>
      </c>
      <c r="L65" s="8">
        <v>198.92273135569334</v>
      </c>
      <c r="M65" s="8">
        <v>147.86453542250717</v>
      </c>
      <c r="N65" s="8">
        <v>130.30051602149112</v>
      </c>
      <c r="O65" s="8">
        <v>100.48252959651039</v>
      </c>
      <c r="P65" s="8">
        <v>86.186234735218264</v>
      </c>
      <c r="Q65" s="8">
        <v>140.51215520812835</v>
      </c>
      <c r="R65" s="8">
        <v>149.90686325983461</v>
      </c>
      <c r="S65" s="8">
        <v>120.90580796978486</v>
      </c>
      <c r="T65" s="8">
        <v>110.28570321568213</v>
      </c>
      <c r="U65" s="8">
        <v>90.270890409873161</v>
      </c>
      <c r="V65" s="8">
        <v>77.413985483346707</v>
      </c>
    </row>
    <row r="66" spans="1:22" x14ac:dyDescent="0.25">
      <c r="B66" s="6" t="s">
        <v>291</v>
      </c>
      <c r="C66" s="7">
        <v>4083581</v>
      </c>
      <c r="D66" s="8" t="s">
        <v>267</v>
      </c>
      <c r="E66" s="8">
        <v>947.19770244376798</v>
      </c>
      <c r="F66" s="8">
        <v>953.46333814677678</v>
      </c>
      <c r="G66" s="8">
        <v>945.90150722516137</v>
      </c>
      <c r="H66" s="8">
        <v>901.05427239323569</v>
      </c>
      <c r="I66" s="8">
        <v>878.54852883956892</v>
      </c>
      <c r="J66" s="8">
        <v>921.32809250915318</v>
      </c>
      <c r="K66" s="8">
        <v>686.76643982167082</v>
      </c>
      <c r="L66" s="8">
        <v>722.06771846916149</v>
      </c>
      <c r="M66" s="8">
        <v>473.9036692875876</v>
      </c>
      <c r="N66" s="8">
        <v>683.91732114353943</v>
      </c>
      <c r="O66" s="8">
        <v>656.30739475502207</v>
      </c>
      <c r="P66" s="8">
        <v>656.43005242123854</v>
      </c>
      <c r="Q66" s="8">
        <v>648.79009836038574</v>
      </c>
      <c r="R66" s="8">
        <v>645.53165550936887</v>
      </c>
      <c r="S66" s="8">
        <v>720.72805957284447</v>
      </c>
      <c r="T66" s="8">
        <v>716.20894988103248</v>
      </c>
      <c r="U66" s="8">
        <v>717.80172700157914</v>
      </c>
      <c r="V66" s="8">
        <v>562.96374511703266</v>
      </c>
    </row>
    <row r="67" spans="1:22" x14ac:dyDescent="0.25">
      <c r="B67" s="6" t="s">
        <v>236</v>
      </c>
      <c r="C67" s="7">
        <v>4057139</v>
      </c>
      <c r="D67" s="8">
        <v>37372.865186583505</v>
      </c>
      <c r="E67" s="8">
        <v>32569.617479102817</v>
      </c>
      <c r="F67" s="8">
        <v>31776.752368060166</v>
      </c>
      <c r="G67" s="8">
        <v>30775.87661577035</v>
      </c>
      <c r="H67" s="8">
        <v>29703.456950388951</v>
      </c>
      <c r="I67" s="8">
        <v>32440.106448677569</v>
      </c>
      <c r="J67" s="8">
        <v>30986.344948207829</v>
      </c>
      <c r="K67" s="8">
        <v>29456.292253012794</v>
      </c>
      <c r="L67" s="8">
        <v>29259.49249169325</v>
      </c>
      <c r="M67" s="8">
        <v>28991.516246552466</v>
      </c>
      <c r="N67" s="8">
        <v>27594.905154207478</v>
      </c>
      <c r="O67" s="8">
        <v>28207.661375676704</v>
      </c>
      <c r="P67" s="8">
        <v>27946.350497040828</v>
      </c>
      <c r="Q67" s="8">
        <v>29738.445051089788</v>
      </c>
      <c r="R67" s="8">
        <v>28293.976870594048</v>
      </c>
      <c r="S67" s="8">
        <v>26900.303399489418</v>
      </c>
      <c r="T67" s="8">
        <v>27097.323287755265</v>
      </c>
      <c r="U67" s="8">
        <v>26675.655261990243</v>
      </c>
      <c r="V67" s="8">
        <v>24472.760877185789</v>
      </c>
    </row>
    <row r="68" spans="1:22" x14ac:dyDescent="0.25">
      <c r="A68" s="1" t="s">
        <v>268</v>
      </c>
      <c r="B68" s="6" t="s">
        <v>238</v>
      </c>
      <c r="C68" s="7">
        <v>4057095</v>
      </c>
      <c r="D68" s="8">
        <v>78732.083915932992</v>
      </c>
      <c r="E68" s="8" t="s">
        <v>267</v>
      </c>
      <c r="F68" s="8">
        <v>100280.91321692055</v>
      </c>
      <c r="G68" s="8">
        <v>112702.82116461902</v>
      </c>
      <c r="H68" s="8">
        <v>110377.920821899</v>
      </c>
      <c r="I68" s="8">
        <v>110569.86613627597</v>
      </c>
      <c r="J68" s="8">
        <v>107183.36932932511</v>
      </c>
      <c r="K68" s="8">
        <v>105362.98046965661</v>
      </c>
      <c r="L68" s="8">
        <v>123190.98794614014</v>
      </c>
      <c r="M68" s="8">
        <v>120409.38801234731</v>
      </c>
      <c r="N68" s="8">
        <v>112022.20995702814</v>
      </c>
      <c r="O68" s="8">
        <v>114778.31352530076</v>
      </c>
      <c r="P68" s="8">
        <v>115867.49645117712</v>
      </c>
      <c r="Q68" s="8">
        <v>102521.00475926603</v>
      </c>
      <c r="R68" s="8">
        <v>107569.43884202618</v>
      </c>
      <c r="S68" s="8">
        <v>106786.7688979649</v>
      </c>
      <c r="T68" s="8">
        <v>118419.82794573229</v>
      </c>
      <c r="U68" s="8">
        <v>115582.20476454418</v>
      </c>
      <c r="V68" s="8">
        <v>112933.41418052034</v>
      </c>
    </row>
    <row r="69" spans="1:22" x14ac:dyDescent="0.25">
      <c r="B69" s="6" t="s">
        <v>239</v>
      </c>
      <c r="C69" s="7">
        <v>4062485</v>
      </c>
      <c r="D69" s="8">
        <v>56521.185671384694</v>
      </c>
      <c r="E69" s="8">
        <v>55415.354671556692</v>
      </c>
      <c r="F69" s="8">
        <v>55165.422305825727</v>
      </c>
      <c r="G69" s="8">
        <v>56161.598646500046</v>
      </c>
      <c r="H69" s="8">
        <v>57034.913531540733</v>
      </c>
      <c r="I69" s="8">
        <v>52118.769135927461</v>
      </c>
      <c r="J69" s="8">
        <v>47658.008707612207</v>
      </c>
      <c r="K69" s="8">
        <v>50041.924708629333</v>
      </c>
      <c r="L69" s="8">
        <v>49499.123490012826</v>
      </c>
      <c r="M69" s="8">
        <v>49455.197310477233</v>
      </c>
      <c r="N69" s="8">
        <v>49530.455168260625</v>
      </c>
      <c r="O69" s="8">
        <v>48293.572472294953</v>
      </c>
      <c r="P69" s="8">
        <v>50419.576170937267</v>
      </c>
      <c r="Q69" s="8">
        <v>47580.387288703183</v>
      </c>
      <c r="R69" s="8">
        <v>41983.390814877821</v>
      </c>
      <c r="S69" s="8">
        <v>38645.970497647279</v>
      </c>
      <c r="T69" s="8">
        <v>36812.328311604149</v>
      </c>
      <c r="U69" s="8">
        <v>29285.790448583073</v>
      </c>
      <c r="V69" s="8">
        <v>27426.594718679469</v>
      </c>
    </row>
    <row r="70" spans="1:22" x14ac:dyDescent="0.25">
      <c r="B70" s="6" t="s">
        <v>240</v>
      </c>
      <c r="C70" s="7">
        <v>4057140</v>
      </c>
      <c r="D70" s="8">
        <v>46318.310113393214</v>
      </c>
      <c r="E70" s="8">
        <v>42555.324452538393</v>
      </c>
      <c r="F70" s="8">
        <v>49969.194560959957</v>
      </c>
      <c r="G70" s="8">
        <v>44495.271406249842</v>
      </c>
      <c r="H70" s="8">
        <v>44155.087796901942</v>
      </c>
      <c r="I70" s="8">
        <v>49842.600182397393</v>
      </c>
      <c r="J70" s="8">
        <v>51846.644693590046</v>
      </c>
      <c r="K70" s="8">
        <v>51640.880172767131</v>
      </c>
      <c r="L70" s="8">
        <v>51306.774178427455</v>
      </c>
      <c r="M70" s="8">
        <v>50686.796149408685</v>
      </c>
      <c r="N70" s="8">
        <v>47705.903929846296</v>
      </c>
      <c r="O70" s="8">
        <v>46723.778410027815</v>
      </c>
      <c r="P70" s="8">
        <v>44753.948582870224</v>
      </c>
      <c r="Q70" s="8">
        <v>43050.29255494431</v>
      </c>
      <c r="R70" s="8">
        <v>44663.039698294117</v>
      </c>
      <c r="S70" s="8">
        <v>42436.26928527133</v>
      </c>
      <c r="T70" s="8">
        <v>39519.039650879458</v>
      </c>
      <c r="U70" s="8">
        <v>38594.186062693007</v>
      </c>
      <c r="V70" s="8">
        <v>45353.597419136539</v>
      </c>
    </row>
    <row r="71" spans="1:22" x14ac:dyDescent="0.25">
      <c r="A71" s="1" t="s">
        <v>268</v>
      </c>
      <c r="B71" s="6" t="s">
        <v>243</v>
      </c>
      <c r="C71" s="7">
        <v>4057096</v>
      </c>
      <c r="D71" s="8">
        <v>30836.281825580678</v>
      </c>
      <c r="E71" s="8">
        <v>30594.627489133334</v>
      </c>
      <c r="F71" s="8">
        <v>29157.391305276218</v>
      </c>
      <c r="G71" s="8">
        <v>31606.737606217204</v>
      </c>
      <c r="H71" s="8">
        <v>29187.325427550655</v>
      </c>
      <c r="I71" s="8">
        <v>29351.934835500797</v>
      </c>
      <c r="J71" s="8">
        <v>29570.99715815932</v>
      </c>
      <c r="K71" s="8">
        <v>26923.615199322128</v>
      </c>
      <c r="L71" s="8">
        <v>26490.933150494533</v>
      </c>
      <c r="M71" s="8">
        <v>25582.794746891821</v>
      </c>
      <c r="N71" s="8">
        <v>25506.533852812139</v>
      </c>
      <c r="O71" s="8">
        <v>22827.250276313236</v>
      </c>
      <c r="P71" s="8">
        <v>22462.096371369928</v>
      </c>
      <c r="Q71" s="8">
        <v>18161.188678995128</v>
      </c>
      <c r="R71" s="8">
        <v>19355.042196651841</v>
      </c>
      <c r="S71" s="8">
        <v>18823.587771424191</v>
      </c>
      <c r="T71" s="8">
        <v>21875.042092597625</v>
      </c>
      <c r="U71" s="8">
        <v>21414.38729345335</v>
      </c>
      <c r="V71" s="8" t="s">
        <v>267</v>
      </c>
    </row>
    <row r="72" spans="1:22" x14ac:dyDescent="0.25">
      <c r="B72" s="6" t="s">
        <v>292</v>
      </c>
      <c r="C72" s="7">
        <v>4057097</v>
      </c>
      <c r="D72" s="8" t="s">
        <v>267</v>
      </c>
      <c r="E72" s="8" t="s">
        <v>267</v>
      </c>
      <c r="F72" s="8" t="s">
        <v>267</v>
      </c>
      <c r="G72" s="8">
        <v>58867.080534861765</v>
      </c>
      <c r="H72" s="8">
        <v>57268.845180088974</v>
      </c>
      <c r="I72" s="8">
        <v>51270.051506212571</v>
      </c>
      <c r="J72" s="8">
        <v>50762.042668799259</v>
      </c>
      <c r="K72" s="8">
        <v>50133.768199695522</v>
      </c>
      <c r="L72" s="8">
        <v>54814.708239021966</v>
      </c>
      <c r="M72" s="8">
        <v>56691.683520193634</v>
      </c>
      <c r="N72" s="8">
        <v>54483.399070651205</v>
      </c>
      <c r="O72" s="8">
        <v>49472.391434869875</v>
      </c>
      <c r="P72" s="8">
        <v>57229.966083312996</v>
      </c>
      <c r="Q72" s="8">
        <v>44700.954192390513</v>
      </c>
      <c r="R72" s="8">
        <v>49792.037085190888</v>
      </c>
      <c r="S72" s="8">
        <v>45435.933817665806</v>
      </c>
      <c r="T72" s="8">
        <v>38191.987426139363</v>
      </c>
      <c r="U72" s="8">
        <v>36348.217839364523</v>
      </c>
      <c r="V72" s="8">
        <v>40714.570127818202</v>
      </c>
    </row>
    <row r="73" spans="1:22" x14ac:dyDescent="0.25">
      <c r="B73" s="6" t="s">
        <v>293</v>
      </c>
      <c r="C73" s="7">
        <v>4057098</v>
      </c>
      <c r="D73" s="8" t="s">
        <v>267</v>
      </c>
      <c r="E73" s="8" t="s">
        <v>267</v>
      </c>
      <c r="F73" s="8">
        <v>6963.1095094730899</v>
      </c>
      <c r="G73" s="8">
        <v>6728.3083081110653</v>
      </c>
      <c r="H73" s="8">
        <v>6641.8119555726262</v>
      </c>
      <c r="I73" s="8">
        <v>6728.1945580937763</v>
      </c>
      <c r="J73" s="8">
        <v>6832.5358340489283</v>
      </c>
      <c r="K73" s="8">
        <v>7132.1759473139091</v>
      </c>
      <c r="L73" s="8">
        <v>7681.9570367555507</v>
      </c>
      <c r="M73" s="8">
        <v>7985.3307683775229</v>
      </c>
      <c r="N73" s="8">
        <v>8324.2659838597465</v>
      </c>
      <c r="O73" s="8">
        <v>8200.4649175680734</v>
      </c>
      <c r="P73" s="8">
        <v>8089.0543055076178</v>
      </c>
      <c r="Q73" s="8">
        <v>7313.16963337379</v>
      </c>
      <c r="R73" s="8">
        <v>7733.2924296438978</v>
      </c>
      <c r="S73" s="8">
        <v>7042.8649368737779</v>
      </c>
      <c r="T73" s="8">
        <v>6770.1072313172253</v>
      </c>
      <c r="U73" s="8">
        <v>6570.6077621992854</v>
      </c>
      <c r="V73" s="8">
        <v>6306.8936536536121</v>
      </c>
    </row>
    <row r="74" spans="1:22" x14ac:dyDescent="0.25">
      <c r="A74" s="1" t="s">
        <v>268</v>
      </c>
      <c r="B74" s="6" t="s">
        <v>244</v>
      </c>
      <c r="C74" s="7">
        <v>4063023</v>
      </c>
      <c r="D74" s="8">
        <v>34574.510450574562</v>
      </c>
      <c r="E74" s="8" t="s">
        <v>267</v>
      </c>
      <c r="F74" s="8">
        <v>32510.614303611354</v>
      </c>
      <c r="G74" s="8">
        <v>34009.76470657553</v>
      </c>
      <c r="H74" s="8">
        <v>31446.956585819382</v>
      </c>
      <c r="I74" s="8">
        <v>29360.481672562935</v>
      </c>
      <c r="J74" s="8">
        <v>26551.324088750946</v>
      </c>
      <c r="K74" s="8">
        <v>25078.813155402575</v>
      </c>
      <c r="L74" s="8">
        <v>24119.711213013023</v>
      </c>
      <c r="M74" s="8">
        <v>23749.22718317786</v>
      </c>
      <c r="N74" s="8">
        <v>22054.841254643583</v>
      </c>
      <c r="O74" s="8">
        <v>20706.557306919542</v>
      </c>
      <c r="P74" s="8">
        <v>19278.155667304527</v>
      </c>
      <c r="Q74" s="8">
        <v>17334.708784259605</v>
      </c>
      <c r="R74" s="8">
        <v>16840.51978834199</v>
      </c>
      <c r="S74" s="8">
        <v>15718.729242144082</v>
      </c>
      <c r="T74" s="8">
        <v>16913.703072802837</v>
      </c>
      <c r="U74" s="8">
        <v>16394.03843593394</v>
      </c>
      <c r="V74" s="8">
        <v>16207.042841773762</v>
      </c>
    </row>
    <row r="75" spans="1:22" x14ac:dyDescent="0.25">
      <c r="B75" s="6" t="s">
        <v>245</v>
      </c>
      <c r="C75" s="7">
        <v>4057146</v>
      </c>
      <c r="D75" s="8">
        <v>842491.74473216664</v>
      </c>
      <c r="E75" s="8" t="s">
        <v>267</v>
      </c>
      <c r="F75" s="8">
        <v>390454.18876962253</v>
      </c>
      <c r="G75" s="8">
        <v>365021.44782177889</v>
      </c>
      <c r="H75" s="8">
        <v>353436.48538048775</v>
      </c>
      <c r="I75" s="8">
        <v>333336.84980707971</v>
      </c>
      <c r="J75" s="8">
        <v>329477.68537948874</v>
      </c>
      <c r="K75" s="8">
        <v>325151.92945943767</v>
      </c>
      <c r="L75" s="8">
        <v>342855.63172203489</v>
      </c>
      <c r="M75" s="8">
        <v>332448.70543668472</v>
      </c>
      <c r="N75" s="8">
        <v>340529.74706638954</v>
      </c>
      <c r="O75" s="8">
        <v>319774.51322437549</v>
      </c>
      <c r="P75" s="8">
        <v>339606.26198429655</v>
      </c>
      <c r="Q75" s="8">
        <v>283641.88649414602</v>
      </c>
      <c r="R75" s="8">
        <v>305008.39263993909</v>
      </c>
      <c r="S75" s="8">
        <v>291385.33278508368</v>
      </c>
      <c r="T75" s="8">
        <v>280114.03470691532</v>
      </c>
      <c r="U75" s="8">
        <v>272951.65671141096</v>
      </c>
      <c r="V75" s="8">
        <v>270865.7879340318</v>
      </c>
    </row>
    <row r="76" spans="1:22" x14ac:dyDescent="0.25">
      <c r="A76" s="1" t="s">
        <v>268</v>
      </c>
      <c r="B76" s="6" t="s">
        <v>247</v>
      </c>
      <c r="C76" s="7">
        <v>4063060</v>
      </c>
      <c r="D76" s="8">
        <v>23349.998241640002</v>
      </c>
      <c r="E76" s="8" t="s">
        <v>267</v>
      </c>
      <c r="F76" s="8">
        <v>22004.515553041456</v>
      </c>
      <c r="G76" s="8">
        <v>24724.924755787975</v>
      </c>
      <c r="H76" s="8">
        <v>26472.130414093761</v>
      </c>
      <c r="I76" s="8">
        <v>22670.999405857019</v>
      </c>
      <c r="J76" s="8">
        <v>24327.971143364772</v>
      </c>
      <c r="K76" s="8">
        <v>24481.773885588635</v>
      </c>
      <c r="L76" s="8">
        <v>22354.797738245295</v>
      </c>
      <c r="M76" s="8">
        <v>22392.395419090866</v>
      </c>
      <c r="N76" s="8">
        <v>20628.136247997336</v>
      </c>
      <c r="O76" s="8">
        <v>19376.118294045609</v>
      </c>
      <c r="P76" s="8">
        <v>21985.0094955288</v>
      </c>
      <c r="Q76" s="8">
        <v>18740.557178305695</v>
      </c>
      <c r="R76" s="8">
        <v>18421.396064993696</v>
      </c>
      <c r="S76" s="8">
        <v>17332.909498127203</v>
      </c>
      <c r="T76" s="8">
        <v>16966.167671511615</v>
      </c>
      <c r="U76" s="8">
        <v>16337.957017161254</v>
      </c>
      <c r="V76" s="8">
        <v>16132.660314715411</v>
      </c>
    </row>
    <row r="77" spans="1:22" x14ac:dyDescent="0.25">
      <c r="B77" s="6" t="s">
        <v>248</v>
      </c>
      <c r="C77" s="7">
        <v>4057100</v>
      </c>
      <c r="D77" s="8">
        <v>10132.577223992314</v>
      </c>
      <c r="E77" s="8">
        <v>11627.627009256586</v>
      </c>
      <c r="F77" s="8">
        <v>13990.307944488486</v>
      </c>
      <c r="G77" s="8">
        <v>10548.48795955728</v>
      </c>
      <c r="H77" s="8">
        <v>9966.6128451146342</v>
      </c>
      <c r="I77" s="8">
        <v>8743.9487194526482</v>
      </c>
      <c r="J77" s="8">
        <v>8668.5818518813721</v>
      </c>
      <c r="K77" s="8">
        <v>9078.7539370913564</v>
      </c>
      <c r="L77" s="8">
        <v>9730.2025496140704</v>
      </c>
      <c r="M77" s="8">
        <v>7910.6379025588967</v>
      </c>
      <c r="N77" s="8">
        <v>8582.8965210708011</v>
      </c>
      <c r="O77" s="8">
        <v>8900.7405034214189</v>
      </c>
      <c r="P77" s="8">
        <v>7588.0488369707928</v>
      </c>
      <c r="Q77" s="8">
        <v>7048.922127048053</v>
      </c>
      <c r="R77" s="8">
        <v>6706.5096520008301</v>
      </c>
      <c r="S77" s="8">
        <v>5964.5204064844684</v>
      </c>
      <c r="T77" s="8">
        <v>6525.1436522031454</v>
      </c>
      <c r="U77" s="8">
        <v>5881.2659814697126</v>
      </c>
      <c r="V77" s="8">
        <v>5372.8985408134558</v>
      </c>
    </row>
    <row r="78" spans="1:22" x14ac:dyDescent="0.25">
      <c r="B78" s="6" t="s">
        <v>294</v>
      </c>
      <c r="C78" s="7">
        <v>4064035</v>
      </c>
      <c r="D78" s="8" t="s">
        <v>267</v>
      </c>
      <c r="E78" s="8" t="s">
        <v>267</v>
      </c>
      <c r="F78" s="8">
        <v>2251.989177013284</v>
      </c>
      <c r="G78" s="8">
        <v>2261.3874189103117</v>
      </c>
      <c r="H78" s="8">
        <v>2105.5465987403959</v>
      </c>
      <c r="I78" s="8">
        <v>2059.7643274044785</v>
      </c>
      <c r="J78" s="8">
        <v>2090.8668497408053</v>
      </c>
      <c r="K78" s="8">
        <v>2076.7968431607492</v>
      </c>
      <c r="L78" s="8">
        <v>1840.5951469074278</v>
      </c>
      <c r="M78" s="8">
        <v>1670.2170549756918</v>
      </c>
      <c r="N78" s="8">
        <v>1680.364173376601</v>
      </c>
      <c r="O78" s="8">
        <v>1646.5708619391021</v>
      </c>
      <c r="P78" s="8">
        <v>1577.0619937455035</v>
      </c>
      <c r="Q78" s="8">
        <v>1487.111786798268</v>
      </c>
      <c r="R78" s="8">
        <v>1410.2277036673559</v>
      </c>
      <c r="S78" s="8">
        <v>1403.6741284573325</v>
      </c>
      <c r="T78" s="8">
        <v>1397.8406341242614</v>
      </c>
      <c r="U78" s="8">
        <v>1287.7504490045342</v>
      </c>
      <c r="V78" s="8">
        <v>1222.8481940826427</v>
      </c>
    </row>
    <row r="79" spans="1:22" x14ac:dyDescent="0.25">
      <c r="B79" s="6" t="s">
        <v>295</v>
      </c>
      <c r="C79" s="7">
        <v>4060957</v>
      </c>
      <c r="D79" s="8" t="s">
        <v>267</v>
      </c>
      <c r="E79" s="8">
        <v>58423.298700807332</v>
      </c>
      <c r="F79" s="8">
        <v>61036.419423646359</v>
      </c>
      <c r="G79" s="8">
        <v>70124.512329238962</v>
      </c>
      <c r="H79" s="8">
        <v>55587.44239465284</v>
      </c>
      <c r="I79" s="8">
        <v>56117.694386849289</v>
      </c>
      <c r="J79" s="8">
        <v>55511.095013083286</v>
      </c>
      <c r="K79" s="8">
        <v>61233.616881613474</v>
      </c>
      <c r="L79" s="8">
        <v>66211.321465802874</v>
      </c>
      <c r="M79" s="8">
        <v>61708.16328317509</v>
      </c>
      <c r="N79" s="8">
        <v>63556.347316832216</v>
      </c>
      <c r="O79" s="8">
        <v>62028.909327072004</v>
      </c>
      <c r="P79" s="8">
        <v>62517.803964547114</v>
      </c>
      <c r="Q79" s="8">
        <v>60410.364958182618</v>
      </c>
      <c r="R79" s="8">
        <v>57201.018717718216</v>
      </c>
      <c r="S79" s="8">
        <v>54377.245356056133</v>
      </c>
      <c r="T79" s="8">
        <v>51273.000458044517</v>
      </c>
      <c r="U79" s="8">
        <v>49368.011299512953</v>
      </c>
      <c r="V79" s="8">
        <v>48825.269899530271</v>
      </c>
    </row>
    <row r="80" spans="1:22" x14ac:dyDescent="0.25">
      <c r="B80" s="6" t="s">
        <v>250</v>
      </c>
      <c r="C80" s="7">
        <v>4063179</v>
      </c>
      <c r="D80" s="8">
        <v>442.96540952827968</v>
      </c>
      <c r="E80" s="8">
        <v>404.65343708141523</v>
      </c>
      <c r="F80" s="8">
        <v>427.26194463761101</v>
      </c>
      <c r="G80" s="8">
        <v>464.25302302415827</v>
      </c>
      <c r="H80" s="8">
        <v>340.91464113955521</v>
      </c>
      <c r="I80" s="8">
        <v>352.54891182243318</v>
      </c>
      <c r="J80" s="8">
        <v>374.38762073845709</v>
      </c>
      <c r="K80" s="8">
        <v>316.35515587842258</v>
      </c>
      <c r="L80" s="8">
        <v>301.07589240416377</v>
      </c>
      <c r="M80" s="8">
        <v>297.50942790862143</v>
      </c>
      <c r="N80" s="8">
        <v>274.50565264834597</v>
      </c>
      <c r="O80" s="8">
        <v>299.83456977406388</v>
      </c>
      <c r="P80" s="8">
        <v>303.30976820238368</v>
      </c>
      <c r="Q80" s="8">
        <v>313.2776739860077</v>
      </c>
      <c r="R80" s="8">
        <v>314.50094467618726</v>
      </c>
      <c r="S80" s="8">
        <v>294.08100107715359</v>
      </c>
      <c r="T80" s="8">
        <v>263.08957716416728</v>
      </c>
      <c r="U80" s="8">
        <v>283.92807354755394</v>
      </c>
      <c r="V80" s="8">
        <v>297.72266244837522</v>
      </c>
    </row>
    <row r="81" spans="1:22" x14ac:dyDescent="0.25">
      <c r="A81" s="1" t="s">
        <v>268</v>
      </c>
      <c r="B81" s="6" t="s">
        <v>251</v>
      </c>
      <c r="C81" s="7">
        <v>4063183</v>
      </c>
      <c r="D81" s="8">
        <v>3578.194154465094</v>
      </c>
      <c r="E81" s="8">
        <v>3625.2895969231431</v>
      </c>
      <c r="F81" s="8">
        <v>4021.7937134548392</v>
      </c>
      <c r="G81" s="8">
        <v>3450.2757797063036</v>
      </c>
      <c r="H81" s="8">
        <v>3451.6752516023721</v>
      </c>
      <c r="I81" s="8">
        <v>2884.9848998582529</v>
      </c>
      <c r="J81" s="8">
        <v>2935.5606901592691</v>
      </c>
      <c r="K81" s="8">
        <v>2731.1089743870057</v>
      </c>
      <c r="L81" s="8">
        <v>2641.0400699098532</v>
      </c>
      <c r="M81" s="8">
        <v>2625.7623630045978</v>
      </c>
      <c r="N81" s="8">
        <v>2902.5576366865143</v>
      </c>
      <c r="O81" s="8">
        <v>3042.3826098550239</v>
      </c>
      <c r="P81" s="8">
        <v>2844.0477732678492</v>
      </c>
      <c r="Q81" s="8">
        <v>2364.537472897724</v>
      </c>
      <c r="R81" s="8">
        <v>2220.3464244936977</v>
      </c>
      <c r="S81" s="8">
        <v>1831.3221798897846</v>
      </c>
      <c r="T81" s="8">
        <v>1902.9459375134886</v>
      </c>
      <c r="U81" s="8">
        <v>1883.1984048662632</v>
      </c>
      <c r="V81" s="8">
        <v>1758.0052516021694</v>
      </c>
    </row>
    <row r="82" spans="1:22" x14ac:dyDescent="0.25">
      <c r="B82" s="6" t="s">
        <v>252</v>
      </c>
      <c r="C82" s="7">
        <v>4063281</v>
      </c>
      <c r="D82" s="8">
        <v>1627.5865850867478</v>
      </c>
      <c r="E82" s="8">
        <v>1485.6332152052296</v>
      </c>
      <c r="F82" s="8">
        <v>1452.8549370943911</v>
      </c>
      <c r="G82" s="8">
        <v>1439.1617637630518</v>
      </c>
      <c r="H82" s="8">
        <v>1383.0778572526083</v>
      </c>
      <c r="I82" s="8">
        <v>1400.6314451372921</v>
      </c>
      <c r="J82" s="8">
        <v>1605.1418520042516</v>
      </c>
      <c r="K82" s="8">
        <v>1464.4265597298224</v>
      </c>
      <c r="L82" s="8">
        <v>1547.7991506599569</v>
      </c>
      <c r="M82" s="8">
        <v>1598.5986349579066</v>
      </c>
      <c r="N82" s="8">
        <v>1619.2926589918366</v>
      </c>
      <c r="O82" s="8">
        <v>1568.1777202576584</v>
      </c>
      <c r="P82" s="8">
        <v>1550.9284016796626</v>
      </c>
      <c r="Q82" s="8">
        <v>1615.5188599493317</v>
      </c>
      <c r="R82" s="8">
        <v>1591.4363480371192</v>
      </c>
      <c r="S82" s="8">
        <v>1621.2258941285252</v>
      </c>
      <c r="T82" s="8">
        <v>1537.4452186554706</v>
      </c>
      <c r="U82" s="8">
        <v>1387.230690759362</v>
      </c>
      <c r="V82" s="8">
        <v>1291.8816417845337</v>
      </c>
    </row>
    <row r="83" spans="1:22" x14ac:dyDescent="0.25">
      <c r="B83" s="6" t="s">
        <v>253</v>
      </c>
      <c r="C83" s="7">
        <v>4059746</v>
      </c>
      <c r="D83" s="8">
        <v>39674.062971542</v>
      </c>
      <c r="E83" s="8">
        <v>44123.555517447683</v>
      </c>
      <c r="F83" s="8">
        <v>61020.989286347278</v>
      </c>
      <c r="G83" s="8">
        <v>49433.836429002302</v>
      </c>
      <c r="H83" s="8">
        <v>52483.983598102386</v>
      </c>
      <c r="I83" s="8">
        <v>52139.14993054614</v>
      </c>
      <c r="J83" s="8">
        <v>51575.147147367468</v>
      </c>
      <c r="K83" s="8">
        <v>54232.6483570071</v>
      </c>
      <c r="L83" s="8">
        <v>53787.378632157721</v>
      </c>
      <c r="M83" s="8">
        <v>57417.203838511479</v>
      </c>
      <c r="N83" s="8">
        <v>56965.937046217638</v>
      </c>
      <c r="O83" s="8">
        <v>63587.528138708694</v>
      </c>
      <c r="P83" s="8">
        <v>62209.956168217257</v>
      </c>
      <c r="Q83" s="8">
        <v>65992.14568423164</v>
      </c>
      <c r="R83" s="8">
        <v>60021.416821556013</v>
      </c>
      <c r="S83" s="8">
        <v>58497.879170367589</v>
      </c>
      <c r="T83" s="8">
        <v>55033.466797274566</v>
      </c>
      <c r="U83" s="8">
        <v>48343.436546285091</v>
      </c>
      <c r="V83" s="8">
        <v>47635.324250655103</v>
      </c>
    </row>
    <row r="84" spans="1:22" x14ac:dyDescent="0.25">
      <c r="A84" s="1" t="s">
        <v>268</v>
      </c>
      <c r="B84" s="6" t="s">
        <v>296</v>
      </c>
      <c r="C84" s="7">
        <v>4062279</v>
      </c>
      <c r="D84" s="8" t="s">
        <v>267</v>
      </c>
      <c r="E84" s="8" t="s">
        <v>267</v>
      </c>
      <c r="F84" s="8" t="s">
        <v>267</v>
      </c>
      <c r="G84" s="8" t="s">
        <v>267</v>
      </c>
      <c r="H84" s="8">
        <v>21876.578430608402</v>
      </c>
      <c r="I84" s="8">
        <v>19879.401269356509</v>
      </c>
      <c r="J84" s="8">
        <v>21266.925299113456</v>
      </c>
      <c r="K84" s="8">
        <v>18746.618447772198</v>
      </c>
      <c r="L84" s="8">
        <v>17835.022395487649</v>
      </c>
      <c r="M84" s="8">
        <v>15543.41463734703</v>
      </c>
      <c r="N84" s="8">
        <v>16352.741113027869</v>
      </c>
      <c r="O84" s="8">
        <v>16166.167562467221</v>
      </c>
      <c r="P84" s="8">
        <v>16778.605391168883</v>
      </c>
      <c r="Q84" s="8">
        <v>14727.233617533941</v>
      </c>
      <c r="R84" s="8">
        <v>13340.016950120904</v>
      </c>
      <c r="S84" s="8">
        <v>11953.006965576529</v>
      </c>
      <c r="T84" s="8">
        <v>11617.772106336339</v>
      </c>
      <c r="U84" s="8">
        <v>10382.942377929639</v>
      </c>
      <c r="V84" s="8">
        <v>10550.757237778435</v>
      </c>
    </row>
    <row r="85" spans="1:22" x14ac:dyDescent="0.25">
      <c r="A85" s="1" t="s">
        <v>268</v>
      </c>
      <c r="B85" s="6" t="s">
        <v>297</v>
      </c>
      <c r="C85" s="7">
        <v>4063729</v>
      </c>
      <c r="D85" s="8" t="s">
        <v>267</v>
      </c>
      <c r="E85" s="8" t="s">
        <v>267</v>
      </c>
      <c r="F85" s="8" t="s">
        <v>267</v>
      </c>
      <c r="G85" s="8" t="s">
        <v>267</v>
      </c>
      <c r="H85" s="8">
        <v>4436.0127037306165</v>
      </c>
      <c r="I85" s="8">
        <v>5218.4447263613501</v>
      </c>
      <c r="J85" s="8">
        <v>6046.4588380289888</v>
      </c>
      <c r="K85" s="8">
        <v>5286.3354347112027</v>
      </c>
      <c r="L85" s="8">
        <v>5094.9228801644495</v>
      </c>
      <c r="M85" s="8">
        <v>4459.6793510402076</v>
      </c>
      <c r="N85" s="8">
        <v>4228.0664433791026</v>
      </c>
      <c r="O85" s="8">
        <v>3926.5413950050406</v>
      </c>
      <c r="P85" s="8">
        <v>4000.6986926777081</v>
      </c>
      <c r="Q85" s="8">
        <v>3269.1872310609187</v>
      </c>
      <c r="R85" s="8">
        <v>2874.7865501308384</v>
      </c>
      <c r="S85" s="8">
        <v>3172.2419729540457</v>
      </c>
      <c r="T85" s="8">
        <v>2960.0882783710099</v>
      </c>
      <c r="U85" s="8">
        <v>3051.8579869877708</v>
      </c>
      <c r="V85" s="8">
        <v>2855.0920701354976</v>
      </c>
    </row>
    <row r="86" spans="1:22" x14ac:dyDescent="0.25">
      <c r="B86" s="6" t="s">
        <v>254</v>
      </c>
      <c r="C86" s="7">
        <v>4063762</v>
      </c>
      <c r="D86" s="8">
        <v>22737.240898306332</v>
      </c>
      <c r="E86" s="8">
        <v>21673.535024730652</v>
      </c>
      <c r="F86" s="8">
        <v>20255.566574890752</v>
      </c>
      <c r="G86" s="8">
        <v>20728.936278382709</v>
      </c>
      <c r="H86" s="8">
        <v>19019.263701582451</v>
      </c>
      <c r="I86" s="8">
        <v>19338.564840497755</v>
      </c>
      <c r="J86" s="8">
        <v>18108.964301396169</v>
      </c>
      <c r="K86" s="8">
        <v>17309.633529067698</v>
      </c>
      <c r="L86" s="8">
        <v>15794.811761924662</v>
      </c>
      <c r="M86" s="8">
        <v>14306.280284408629</v>
      </c>
      <c r="N86" s="8">
        <v>14197.167540529112</v>
      </c>
      <c r="O86" s="8">
        <v>14781.329526203406</v>
      </c>
      <c r="P86" s="8">
        <v>13868.824728763382</v>
      </c>
      <c r="Q86" s="8">
        <v>13292.39528010719</v>
      </c>
      <c r="R86" s="8">
        <v>14210.051658451292</v>
      </c>
      <c r="S86" s="8">
        <v>16666.619401222215</v>
      </c>
      <c r="T86" s="8">
        <v>17465.8674014684</v>
      </c>
      <c r="U86" s="8">
        <v>16605.268560230274</v>
      </c>
      <c r="V86" s="8">
        <v>14654.497498111143</v>
      </c>
    </row>
    <row r="87" spans="1:22" x14ac:dyDescent="0.25">
      <c r="B87" s="6" t="s">
        <v>256</v>
      </c>
      <c r="C87" s="7">
        <v>4058284</v>
      </c>
      <c r="D87" s="8">
        <v>121404.69105240492</v>
      </c>
      <c r="E87" s="8">
        <v>122213.75106239493</v>
      </c>
      <c r="F87" s="8">
        <v>127636.60855201456</v>
      </c>
      <c r="G87" s="8">
        <v>116068.48150952866</v>
      </c>
      <c r="H87" s="8">
        <v>108202.62001644187</v>
      </c>
      <c r="I87" s="8">
        <v>108580.68587000036</v>
      </c>
      <c r="J87" s="8">
        <v>107621.18954352815</v>
      </c>
      <c r="K87" s="8">
        <v>96962.351257019211</v>
      </c>
      <c r="L87" s="8">
        <v>98651.856147134269</v>
      </c>
      <c r="M87" s="8">
        <v>93039.094920760122</v>
      </c>
      <c r="N87" s="8">
        <v>93789.33635418347</v>
      </c>
      <c r="O87" s="8">
        <v>86787.990106345998</v>
      </c>
      <c r="P87" s="8">
        <v>82336.604763888026</v>
      </c>
      <c r="Q87" s="8">
        <v>80446.400946603288</v>
      </c>
      <c r="R87" s="8">
        <v>81767.656372917074</v>
      </c>
      <c r="S87" s="8">
        <v>78034.766388958175</v>
      </c>
      <c r="T87" s="8">
        <v>77726.347590161648</v>
      </c>
      <c r="U87" s="8">
        <v>75015.407903935513</v>
      </c>
      <c r="V87" s="8">
        <v>71665.614105675166</v>
      </c>
    </row>
    <row r="88" spans="1:22" x14ac:dyDescent="0.25">
      <c r="B88" s="6" t="s">
        <v>258</v>
      </c>
      <c r="C88" s="7">
        <v>4008752</v>
      </c>
      <c r="D88" s="8">
        <v>28284.923588245212</v>
      </c>
      <c r="E88" s="8">
        <v>31117.178481389019</v>
      </c>
      <c r="F88" s="8">
        <v>32398.991040669644</v>
      </c>
      <c r="G88" s="8">
        <v>28997.248915172193</v>
      </c>
      <c r="H88" s="8">
        <v>28372.660488100752</v>
      </c>
      <c r="I88" s="8">
        <v>29453.666069882729</v>
      </c>
      <c r="J88" s="8">
        <v>29547.537879615404</v>
      </c>
      <c r="K88" s="8">
        <v>29978.546517369425</v>
      </c>
      <c r="L88" s="8">
        <v>28282.8393480343</v>
      </c>
      <c r="M88" s="8">
        <v>28804.610188444065</v>
      </c>
      <c r="N88" s="8">
        <v>32471.442668192594</v>
      </c>
      <c r="O88" s="8">
        <v>30655.385987143243</v>
      </c>
      <c r="P88" s="8">
        <v>31038.397949798102</v>
      </c>
      <c r="Q88" s="8">
        <v>31767.599234353911</v>
      </c>
      <c r="R88" s="8">
        <v>29917.211014585188</v>
      </c>
      <c r="S88" s="8">
        <v>31364.869478587156</v>
      </c>
      <c r="T88" s="8">
        <v>33367.832109677693</v>
      </c>
      <c r="U88" s="8">
        <v>30287.252180951356</v>
      </c>
      <c r="V88" s="8">
        <v>23951.422052857797</v>
      </c>
    </row>
    <row r="89" spans="1:22" x14ac:dyDescent="0.25">
      <c r="B89" s="6" t="s">
        <v>259</v>
      </c>
      <c r="C89" s="7">
        <v>4008669</v>
      </c>
      <c r="D89" s="8">
        <v>12147.217675840495</v>
      </c>
      <c r="E89" s="8">
        <v>11908.289974921527</v>
      </c>
      <c r="F89" s="8">
        <v>12354.321258063899</v>
      </c>
      <c r="G89" s="8">
        <v>12310.585611699657</v>
      </c>
      <c r="H89" s="8">
        <v>11834.48054413148</v>
      </c>
      <c r="I89" s="8">
        <v>11571.493549309196</v>
      </c>
      <c r="J89" s="8">
        <v>11680.247909899137</v>
      </c>
      <c r="K89" s="8">
        <v>10689.028583694484</v>
      </c>
      <c r="L89" s="8">
        <v>9552.8849298259447</v>
      </c>
      <c r="M89" s="8">
        <v>8866.9588875377649</v>
      </c>
      <c r="N89" s="8">
        <v>9179.0850602837381</v>
      </c>
      <c r="O89" s="8">
        <v>8736.6409130018692</v>
      </c>
      <c r="P89" s="8">
        <v>8271.472908744985</v>
      </c>
      <c r="Q89" s="8">
        <v>7645.6798606609336</v>
      </c>
      <c r="R89" s="8">
        <v>7498.8348460240086</v>
      </c>
      <c r="S89" s="8">
        <v>9275.8279611023318</v>
      </c>
      <c r="T89" s="8">
        <v>8067.5425623243082</v>
      </c>
      <c r="U89" s="8">
        <v>9427.210217984577</v>
      </c>
      <c r="V89" s="8">
        <v>9063.4761872169784</v>
      </c>
    </row>
    <row r="90" spans="1:22" x14ac:dyDescent="0.25">
      <c r="B90" s="6" t="s">
        <v>298</v>
      </c>
      <c r="C90" s="7">
        <v>4076892</v>
      </c>
      <c r="D90" s="8" t="s">
        <v>267</v>
      </c>
      <c r="E90" s="8">
        <v>996.90144657552048</v>
      </c>
      <c r="F90" s="8">
        <v>990.06369822861586</v>
      </c>
      <c r="G90" s="8">
        <v>933.94198823439115</v>
      </c>
      <c r="H90" s="8">
        <v>851.19314161626255</v>
      </c>
      <c r="I90" s="8">
        <v>929.94339444260549</v>
      </c>
      <c r="J90" s="8">
        <v>907.24788104582319</v>
      </c>
      <c r="K90" s="8">
        <v>960.55240080598048</v>
      </c>
      <c r="L90" s="8">
        <v>928.85024785443716</v>
      </c>
      <c r="M90" s="8">
        <v>864.53685420623356</v>
      </c>
      <c r="N90" s="8">
        <v>849.30062034361572</v>
      </c>
      <c r="O90" s="8">
        <v>827.03177510632941</v>
      </c>
      <c r="P90" s="8">
        <v>742.79475754195016</v>
      </c>
      <c r="Q90" s="8">
        <v>744.53058924060883</v>
      </c>
      <c r="R90" s="8">
        <v>644.28770115429472</v>
      </c>
      <c r="S90" s="8">
        <v>522.57219822142054</v>
      </c>
      <c r="T90" s="8">
        <v>564.24853002602788</v>
      </c>
      <c r="U90" s="8">
        <v>523.31928219622864</v>
      </c>
      <c r="V90" s="8">
        <v>534.68373615843655</v>
      </c>
    </row>
    <row r="91" spans="1:22" x14ac:dyDescent="0.25">
      <c r="A91" s="1" t="s">
        <v>268</v>
      </c>
      <c r="B91" s="6" t="s">
        <v>261</v>
      </c>
      <c r="C91" s="7">
        <v>4064141</v>
      </c>
      <c r="D91" s="8">
        <v>37083.103177765493</v>
      </c>
      <c r="E91" s="8" t="s">
        <v>267</v>
      </c>
      <c r="F91" s="8" t="s">
        <v>267</v>
      </c>
      <c r="G91" s="8">
        <v>32818.821917094734</v>
      </c>
      <c r="H91" s="8">
        <v>32248.095654620898</v>
      </c>
      <c r="I91" s="8">
        <v>30387.502992497026</v>
      </c>
      <c r="J91" s="8">
        <v>31900.780219457771</v>
      </c>
      <c r="K91" s="8">
        <v>32547.237847510016</v>
      </c>
      <c r="L91" s="8">
        <v>32430.899449424294</v>
      </c>
      <c r="M91" s="8">
        <v>32158.369578901482</v>
      </c>
      <c r="N91" s="8">
        <v>32267.303393300001</v>
      </c>
      <c r="O91" s="8">
        <v>30726.286782521151</v>
      </c>
      <c r="P91" s="8">
        <v>29150.460904251362</v>
      </c>
      <c r="Q91" s="8">
        <v>26558.330714454718</v>
      </c>
      <c r="R91" s="8">
        <v>25279.701612801415</v>
      </c>
      <c r="S91" s="8">
        <v>25095.715676010917</v>
      </c>
      <c r="T91" s="8">
        <v>25302.443898977537</v>
      </c>
      <c r="U91" s="8">
        <v>23894.892477881745</v>
      </c>
      <c r="V91" s="8">
        <v>22404.231680720815</v>
      </c>
    </row>
    <row r="92" spans="1:22" x14ac:dyDescent="0.25">
      <c r="B92" s="6"/>
      <c r="C92" s="7"/>
      <c r="D92" s="7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</row>
    <row r="93" spans="1:22" x14ac:dyDescent="0.25">
      <c r="B93" s="6"/>
      <c r="C93" s="7"/>
      <c r="D93" s="7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</row>
    <row r="94" spans="1:22" x14ac:dyDescent="0.25">
      <c r="B94" s="6"/>
      <c r="C94" s="7"/>
      <c r="D94" s="7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</row>
    <row r="95" spans="1:22" x14ac:dyDescent="0.25">
      <c r="B95" s="6"/>
      <c r="C95" s="7"/>
      <c r="D95" s="7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</row>
    <row r="96" spans="1:22" x14ac:dyDescent="0.25">
      <c r="B96" s="6"/>
      <c r="C96" s="7"/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</row>
    <row r="97" spans="2:22" x14ac:dyDescent="0.25">
      <c r="B97" s="6"/>
      <c r="C97" s="7"/>
      <c r="D97" s="7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</row>
    <row r="98" spans="2:22" x14ac:dyDescent="0.25">
      <c r="B98" s="7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</row>
    <row r="99" spans="2:22" x14ac:dyDescent="0.25">
      <c r="B99" s="6"/>
      <c r="C99" s="7"/>
      <c r="D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2:22" x14ac:dyDescent="0.25">
      <c r="B100" s="6"/>
      <c r="C100" s="7"/>
      <c r="D100" s="7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2:22" x14ac:dyDescent="0.25">
      <c r="B101" s="6"/>
      <c r="C101" s="7"/>
      <c r="D101" s="7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2:22" x14ac:dyDescent="0.25">
      <c r="B102" s="6"/>
      <c r="C102" s="7"/>
      <c r="D102" s="7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2:22" x14ac:dyDescent="0.25">
      <c r="B103" s="6"/>
      <c r="C103" s="7"/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</row>
    <row r="104" spans="2:22" x14ac:dyDescent="0.25">
      <c r="B104" s="6"/>
      <c r="C104" s="7"/>
      <c r="D104" s="7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</row>
    <row r="105" spans="2:22" x14ac:dyDescent="0.25">
      <c r="B105" s="6"/>
      <c r="C105" s="7"/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</row>
    <row r="106" spans="2:22" x14ac:dyDescent="0.25">
      <c r="B106" s="6"/>
      <c r="C106" s="7"/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</row>
    <row r="107" spans="2:22" x14ac:dyDescent="0.25">
      <c r="B107" s="6"/>
      <c r="C107" s="7"/>
      <c r="D107" s="7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5">
      <c r="B108" s="6"/>
      <c r="C108" s="7"/>
      <c r="D108" s="7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5">
      <c r="B109" s="6"/>
      <c r="C109" s="7"/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5">
      <c r="B110" s="6"/>
      <c r="C110" s="7"/>
      <c r="D110" s="7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x14ac:dyDescent="0.25">
      <c r="B111" s="6"/>
      <c r="C111" s="7"/>
      <c r="D111" s="7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</row>
    <row r="112" spans="2:22" x14ac:dyDescent="0.25">
      <c r="B112" s="6"/>
      <c r="C112" s="7"/>
      <c r="D112" s="7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2:22" x14ac:dyDescent="0.25">
      <c r="B113" s="6"/>
      <c r="C113" s="7"/>
      <c r="D113" s="7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</row>
    <row r="114" spans="2:22" x14ac:dyDescent="0.25">
      <c r="B114" s="6"/>
      <c r="C114" s="7"/>
      <c r="D114" s="7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</row>
    <row r="115" spans="2:22" x14ac:dyDescent="0.25">
      <c r="B115" s="6"/>
      <c r="C115" s="7"/>
      <c r="D115" s="7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</row>
    <row r="116" spans="2:22" x14ac:dyDescent="0.25">
      <c r="B116" s="6"/>
      <c r="C116" s="7"/>
      <c r="D116" s="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2:22" x14ac:dyDescent="0.25">
      <c r="B117" s="6"/>
      <c r="C117" s="7"/>
      <c r="D117" s="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2:22" x14ac:dyDescent="0.25">
      <c r="B118" s="6"/>
      <c r="C118" s="7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</row>
    <row r="119" spans="2:22" x14ac:dyDescent="0.25">
      <c r="B119" s="6"/>
      <c r="C119" s="7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  <row r="120" spans="2:22" x14ac:dyDescent="0.25">
      <c r="B120" s="6"/>
      <c r="C120" s="7"/>
      <c r="D120" s="7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</row>
    <row r="121" spans="2:22" x14ac:dyDescent="0.25">
      <c r="B121" s="6"/>
      <c r="C121" s="7"/>
      <c r="D121" s="7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</row>
    <row r="122" spans="2:22" x14ac:dyDescent="0.25">
      <c r="B122" s="6"/>
      <c r="C122" s="7"/>
      <c r="D122" s="7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</row>
    <row r="123" spans="2:22" x14ac:dyDescent="0.25">
      <c r="B123" s="6"/>
      <c r="C123" s="7"/>
      <c r="D123" s="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</row>
    <row r="124" spans="2:22" x14ac:dyDescent="0.25">
      <c r="B124" s="6"/>
      <c r="C124" s="7"/>
      <c r="D124" s="7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</row>
    <row r="125" spans="2:22" x14ac:dyDescent="0.25">
      <c r="B125" s="6"/>
      <c r="C125" s="7"/>
      <c r="D125" s="7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</row>
    <row r="126" spans="2:22" x14ac:dyDescent="0.25">
      <c r="B126" s="6"/>
      <c r="C126" s="7"/>
      <c r="D126" s="7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</row>
    <row r="127" spans="2:22" x14ac:dyDescent="0.25">
      <c r="B127" s="6"/>
      <c r="C127" s="7"/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</row>
    <row r="128" spans="2:22" x14ac:dyDescent="0.25">
      <c r="B128" s="6"/>
      <c r="C128" s="7"/>
      <c r="D128" s="7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</row>
    <row r="129" spans="2:22" x14ac:dyDescent="0.25">
      <c r="B129" s="6"/>
      <c r="C129" s="7"/>
      <c r="D129" s="7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</row>
    <row r="130" spans="2:22" x14ac:dyDescent="0.25">
      <c r="B130" s="6"/>
      <c r="C130" s="7"/>
      <c r="D130" s="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</row>
    <row r="131" spans="2:22" x14ac:dyDescent="0.25">
      <c r="B131" s="6"/>
      <c r="C131" s="7"/>
      <c r="D131" s="7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</row>
    <row r="132" spans="2:22" x14ac:dyDescent="0.25">
      <c r="B132" s="6"/>
      <c r="C132" s="7"/>
      <c r="D132" s="7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</row>
    <row r="133" spans="2:22" x14ac:dyDescent="0.25">
      <c r="B133" s="6"/>
      <c r="C133" s="7"/>
      <c r="D133" s="7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</row>
    <row r="134" spans="2:22" x14ac:dyDescent="0.25">
      <c r="B134" s="6"/>
      <c r="C134" s="7"/>
      <c r="D134" s="7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</row>
    <row r="135" spans="2:22" x14ac:dyDescent="0.25">
      <c r="B135" s="6"/>
      <c r="C135" s="7"/>
      <c r="D135" s="7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</row>
    <row r="136" spans="2:22" x14ac:dyDescent="0.25">
      <c r="B136" s="6"/>
      <c r="C136" s="7"/>
      <c r="D136" s="7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</row>
    <row r="137" spans="2:22" x14ac:dyDescent="0.25">
      <c r="B137" s="6"/>
      <c r="C137" s="7"/>
      <c r="D137" s="7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</row>
    <row r="138" spans="2:22" x14ac:dyDescent="0.25">
      <c r="B138" s="6"/>
      <c r="C138" s="7"/>
      <c r="D138" s="7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</row>
    <row r="139" spans="2:22" x14ac:dyDescent="0.25">
      <c r="B139" s="6"/>
      <c r="C139" s="7"/>
      <c r="D139" s="7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</row>
    <row r="140" spans="2:22" x14ac:dyDescent="0.25">
      <c r="B140" s="6"/>
      <c r="C140" s="7"/>
      <c r="D140" s="7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</row>
    <row r="141" spans="2:22" x14ac:dyDescent="0.25">
      <c r="B141" s="6"/>
      <c r="C141" s="7"/>
      <c r="D141" s="7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</row>
    <row r="142" spans="2:22" x14ac:dyDescent="0.25">
      <c r="B142" s="6"/>
      <c r="C142" s="7"/>
      <c r="D142" s="7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</row>
    <row r="143" spans="2:22" x14ac:dyDescent="0.25">
      <c r="B143" s="6"/>
      <c r="C143" s="7"/>
      <c r="D143" s="7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</row>
    <row r="144" spans="2:22" x14ac:dyDescent="0.25">
      <c r="B144" s="6"/>
      <c r="C144" s="7"/>
      <c r="D144" s="7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</row>
    <row r="145" spans="2:22" x14ac:dyDescent="0.25">
      <c r="B145" s="6"/>
      <c r="C145" s="7"/>
      <c r="D145" s="7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</row>
    <row r="146" spans="2:22" x14ac:dyDescent="0.25">
      <c r="B146" s="6"/>
      <c r="C146" s="7"/>
      <c r="D146" s="7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</row>
    <row r="147" spans="2:22" x14ac:dyDescent="0.25">
      <c r="B147" s="6"/>
      <c r="C147" s="7"/>
      <c r="D147" s="7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</row>
    <row r="148" spans="2:22" x14ac:dyDescent="0.25">
      <c r="B148" s="6"/>
      <c r="C148" s="7"/>
      <c r="D148" s="7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</row>
    <row r="149" spans="2:22" x14ac:dyDescent="0.25">
      <c r="B149" s="6"/>
      <c r="C149" s="7"/>
      <c r="D149" s="7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</row>
    <row r="150" spans="2:22" x14ac:dyDescent="0.25">
      <c r="B150" s="6"/>
      <c r="C150" s="7"/>
      <c r="D150" s="7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</row>
    <row r="151" spans="2:22" x14ac:dyDescent="0.25">
      <c r="B151" s="6"/>
      <c r="C151" s="7"/>
      <c r="D151" s="7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</row>
    <row r="152" spans="2:22" x14ac:dyDescent="0.25">
      <c r="B152" s="6"/>
      <c r="C152" s="7"/>
      <c r="D152" s="7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</row>
    <row r="153" spans="2:22" x14ac:dyDescent="0.25">
      <c r="B153" s="6"/>
      <c r="C153" s="7"/>
      <c r="D153" s="7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</row>
    <row r="154" spans="2:22" x14ac:dyDescent="0.25">
      <c r="B154" s="6"/>
      <c r="C154" s="7"/>
      <c r="D154" s="7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</row>
    <row r="155" spans="2:22" x14ac:dyDescent="0.25">
      <c r="B155" s="6"/>
      <c r="C155" s="7"/>
      <c r="D155" s="7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</row>
    <row r="156" spans="2:22" x14ac:dyDescent="0.25">
      <c r="B156" s="6"/>
      <c r="C156" s="7"/>
      <c r="D156" s="7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</row>
    <row r="157" spans="2:22" x14ac:dyDescent="0.25">
      <c r="B157" s="6"/>
      <c r="C157" s="7"/>
      <c r="D157" s="7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</row>
    <row r="158" spans="2:22" x14ac:dyDescent="0.25">
      <c r="B158" s="6"/>
      <c r="C158" s="7"/>
      <c r="D158" s="7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59" spans="2:22" x14ac:dyDescent="0.25">
      <c r="B159" s="6"/>
      <c r="C159" s="7"/>
      <c r="D159" s="7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</row>
    <row r="160" spans="2:22" x14ac:dyDescent="0.25">
      <c r="B160" s="6"/>
      <c r="C160" s="7"/>
      <c r="D160" s="7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</row>
    <row r="161" spans="2:22" x14ac:dyDescent="0.25">
      <c r="B161" s="6"/>
      <c r="C161" s="7"/>
      <c r="D161" s="7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</row>
    <row r="162" spans="2:22" x14ac:dyDescent="0.25">
      <c r="B162" s="6"/>
      <c r="C162" s="7"/>
      <c r="D162" s="7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</row>
    <row r="163" spans="2:22" x14ac:dyDescent="0.25">
      <c r="B163" s="6"/>
      <c r="C163" s="7"/>
      <c r="D163" s="7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</row>
    <row r="164" spans="2:22" x14ac:dyDescent="0.25">
      <c r="B164" s="6"/>
      <c r="C164" s="7"/>
      <c r="D164" s="7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</row>
    <row r="165" spans="2:22" x14ac:dyDescent="0.25">
      <c r="B165" s="6"/>
      <c r="C165" s="7"/>
      <c r="D165" s="7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</row>
    <row r="166" spans="2:22" x14ac:dyDescent="0.25">
      <c r="B166" s="6"/>
      <c r="C166" s="7"/>
      <c r="D166" s="7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</row>
    <row r="167" spans="2:22" x14ac:dyDescent="0.25">
      <c r="B167" s="6"/>
      <c r="C167" s="7"/>
      <c r="D167" s="7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</row>
    <row r="168" spans="2:22" x14ac:dyDescent="0.25">
      <c r="B168" s="6"/>
      <c r="C168" s="7"/>
      <c r="D168" s="7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</row>
    <row r="169" spans="2:22" x14ac:dyDescent="0.25">
      <c r="B169" s="6"/>
      <c r="C169" s="7"/>
      <c r="D169" s="7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</row>
    <row r="170" spans="2:22" x14ac:dyDescent="0.25">
      <c r="B170" s="6"/>
      <c r="C170" s="7"/>
      <c r="D170" s="7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</row>
    <row r="171" spans="2:22" x14ac:dyDescent="0.25">
      <c r="B171" s="6"/>
      <c r="C171" s="7"/>
      <c r="D171" s="7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</row>
    <row r="172" spans="2:22" x14ac:dyDescent="0.25">
      <c r="B172" s="6"/>
      <c r="C172" s="7"/>
      <c r="D172" s="7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</row>
    <row r="173" spans="2:22" x14ac:dyDescent="0.25">
      <c r="B173" s="6"/>
      <c r="C173" s="7"/>
      <c r="D173" s="7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</row>
    <row r="174" spans="2:22" x14ac:dyDescent="0.25">
      <c r="B174" s="6"/>
      <c r="C174" s="7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</row>
    <row r="175" spans="2:22" x14ac:dyDescent="0.25">
      <c r="B175" s="6"/>
      <c r="C175" s="7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</row>
    <row r="176" spans="2:22" x14ac:dyDescent="0.25">
      <c r="B176" s="6"/>
      <c r="C176" s="7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</row>
    <row r="177" spans="2:22" x14ac:dyDescent="0.25">
      <c r="B177" s="6"/>
      <c r="C177" s="7"/>
      <c r="D177" s="7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</row>
    <row r="178" spans="2:22" x14ac:dyDescent="0.25">
      <c r="B178" s="6"/>
      <c r="C178" s="7"/>
      <c r="D178" s="7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</row>
    <row r="179" spans="2:22" x14ac:dyDescent="0.25">
      <c r="B179" s="6"/>
      <c r="C179" s="7"/>
      <c r="D179" s="7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</row>
    <row r="180" spans="2:22" x14ac:dyDescent="0.25">
      <c r="B180" s="6"/>
      <c r="C180" s="7"/>
      <c r="D180" s="7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</row>
    <row r="181" spans="2:22" x14ac:dyDescent="0.25">
      <c r="B181" s="6"/>
      <c r="C181" s="7"/>
      <c r="D181" s="7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</row>
    <row r="182" spans="2:22" x14ac:dyDescent="0.25">
      <c r="B182" s="6"/>
      <c r="C182" s="7"/>
      <c r="D182" s="7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</row>
    <row r="183" spans="2:22" x14ac:dyDescent="0.25">
      <c r="B183" s="6"/>
      <c r="C183" s="7"/>
      <c r="D183" s="7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</row>
    <row r="184" spans="2:22" x14ac:dyDescent="0.25">
      <c r="B184" s="6"/>
      <c r="C184" s="7"/>
      <c r="D184" s="7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</row>
    <row r="185" spans="2:22" x14ac:dyDescent="0.25">
      <c r="B185" s="6"/>
      <c r="C185" s="7"/>
      <c r="D185" s="7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</row>
    <row r="186" spans="2:22" x14ac:dyDescent="0.25">
      <c r="B186" s="6"/>
      <c r="C186" s="7"/>
      <c r="D186" s="7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</row>
    <row r="187" spans="2:22" x14ac:dyDescent="0.25">
      <c r="B187" s="6"/>
      <c r="C187" s="7"/>
      <c r="D187" s="7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</row>
    <row r="188" spans="2:22" x14ac:dyDescent="0.25">
      <c r="B188" s="6"/>
      <c r="C188" s="7"/>
      <c r="D188" s="7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</row>
    <row r="189" spans="2:22" x14ac:dyDescent="0.25">
      <c r="B189" s="6"/>
      <c r="C189" s="7"/>
      <c r="D189" s="7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</row>
    <row r="190" spans="2:22" x14ac:dyDescent="0.25">
      <c r="B190" s="6"/>
      <c r="C190" s="7"/>
      <c r="D190" s="7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</row>
    <row r="191" spans="2:22" x14ac:dyDescent="0.25">
      <c r="B191" s="6"/>
      <c r="C191" s="7"/>
      <c r="D191" s="7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</row>
    <row r="192" spans="2:22" x14ac:dyDescent="0.25">
      <c r="B192" s="6"/>
      <c r="C192" s="7"/>
      <c r="D192" s="7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</row>
    <row r="193" spans="2:22" x14ac:dyDescent="0.25">
      <c r="B193" s="6"/>
      <c r="C193" s="7"/>
      <c r="D193" s="7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</row>
    <row r="194" spans="2:22" x14ac:dyDescent="0.25">
      <c r="B194" s="6"/>
      <c r="C194" s="7"/>
      <c r="D194" s="7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</row>
    <row r="195" spans="2:22" x14ac:dyDescent="0.25">
      <c r="B195" s="6"/>
      <c r="C195" s="7"/>
      <c r="D195" s="7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</row>
    <row r="196" spans="2:22" x14ac:dyDescent="0.25">
      <c r="B196" s="6"/>
      <c r="C196" s="7"/>
      <c r="D196" s="7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</row>
    <row r="197" spans="2:22" x14ac:dyDescent="0.25">
      <c r="B197" s="6"/>
      <c r="C197" s="7"/>
      <c r="D197" s="7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</row>
    <row r="198" spans="2:22" x14ac:dyDescent="0.25">
      <c r="B198" s="6"/>
      <c r="C198" s="7"/>
      <c r="D198" s="7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</row>
    <row r="199" spans="2:22" x14ac:dyDescent="0.25">
      <c r="B199" s="6"/>
      <c r="C199" s="7"/>
      <c r="D199" s="7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</row>
    <row r="200" spans="2:22" x14ac:dyDescent="0.25">
      <c r="B200" s="6"/>
      <c r="C200" s="7"/>
      <c r="D200" s="7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</row>
    <row r="201" spans="2:22" x14ac:dyDescent="0.25">
      <c r="B201" s="6"/>
      <c r="C201" s="7"/>
      <c r="D201" s="7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</row>
    <row r="202" spans="2:22" x14ac:dyDescent="0.25">
      <c r="B202" s="6"/>
      <c r="C202" s="7"/>
      <c r="D202" s="7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</row>
    <row r="203" spans="2:22" x14ac:dyDescent="0.25">
      <c r="B203" s="6"/>
      <c r="C203" s="7"/>
      <c r="D203" s="7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</row>
    <row r="204" spans="2:22" x14ac:dyDescent="0.25">
      <c r="B204" s="6"/>
      <c r="C204" s="7"/>
      <c r="D204" s="7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</row>
  </sheetData>
  <conditionalFormatting sqref="D7:D91">
    <cfRule type="cellIs" dxfId="8" priority="1" operator="equal">
      <formula>"NA"</formula>
    </cfRule>
  </conditionalFormatting>
  <conditionalFormatting sqref="E7:V97 C98:T98 E99:V204">
    <cfRule type="cellIs" dxfId="7" priority="2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U204"/>
  <sheetViews>
    <sheetView topLeftCell="B1" zoomScale="75" zoomScaleNormal="75" workbookViewId="0">
      <selection activeCell="B1" sqref="B1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4" width="22" style="1" customWidth="1"/>
    <col min="5" max="5" width="17.5546875" style="1" customWidth="1"/>
    <col min="6" max="6" width="17.6640625" style="1" customWidth="1"/>
    <col min="7" max="21" width="17.5546875" style="1" customWidth="1"/>
    <col min="22" max="16384" width="9.33203125" style="1"/>
  </cols>
  <sheetData>
    <row r="1" spans="1:21" x14ac:dyDescent="0.25">
      <c r="A1" s="1" t="s">
        <v>299</v>
      </c>
    </row>
    <row r="3" spans="1:21" ht="39.6" x14ac:dyDescent="0.25">
      <c r="D3" s="9" t="s">
        <v>300</v>
      </c>
      <c r="E3" s="9" t="s">
        <v>300</v>
      </c>
      <c r="F3" s="9" t="s">
        <v>300</v>
      </c>
      <c r="G3" s="9" t="s">
        <v>300</v>
      </c>
      <c r="H3" s="9" t="s">
        <v>300</v>
      </c>
      <c r="I3" s="9" t="s">
        <v>300</v>
      </c>
      <c r="J3" s="9" t="s">
        <v>300</v>
      </c>
      <c r="K3" s="9" t="s">
        <v>300</v>
      </c>
      <c r="L3" s="9" t="s">
        <v>300</v>
      </c>
      <c r="M3" s="9" t="s">
        <v>300</v>
      </c>
      <c r="N3" s="9" t="s">
        <v>300</v>
      </c>
      <c r="O3" s="9" t="s">
        <v>300</v>
      </c>
      <c r="P3" s="9" t="s">
        <v>300</v>
      </c>
      <c r="Q3" s="9" t="s">
        <v>300</v>
      </c>
      <c r="R3" s="9" t="s">
        <v>300</v>
      </c>
      <c r="S3" s="9" t="s">
        <v>300</v>
      </c>
      <c r="T3" s="9" t="s">
        <v>300</v>
      </c>
      <c r="U3" s="9" t="s">
        <v>300</v>
      </c>
    </row>
    <row r="4" spans="1:21" x14ac:dyDescent="0.25">
      <c r="B4" s="2"/>
      <c r="C4" s="2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</row>
    <row r="5" spans="1:21" x14ac:dyDescent="0.25">
      <c r="A5" s="3" t="s">
        <v>264</v>
      </c>
      <c r="B5" s="4" t="s">
        <v>265</v>
      </c>
      <c r="C5" s="5" t="s">
        <v>64</v>
      </c>
      <c r="D5" s="10" t="s">
        <v>177</v>
      </c>
      <c r="E5" s="10" t="s">
        <v>176</v>
      </c>
      <c r="F5" s="10" t="s">
        <v>175</v>
      </c>
      <c r="G5" s="10" t="s">
        <v>174</v>
      </c>
      <c r="H5" s="10" t="s">
        <v>173</v>
      </c>
      <c r="I5" s="10" t="s">
        <v>172</v>
      </c>
      <c r="J5" s="10" t="s">
        <v>171</v>
      </c>
      <c r="K5" s="10" t="s">
        <v>170</v>
      </c>
      <c r="L5" s="10" t="s">
        <v>169</v>
      </c>
      <c r="M5" s="10" t="s">
        <v>168</v>
      </c>
      <c r="N5" s="10" t="s">
        <v>167</v>
      </c>
      <c r="O5" s="10" t="s">
        <v>166</v>
      </c>
      <c r="P5" s="10" t="s">
        <v>165</v>
      </c>
      <c r="Q5" s="10" t="s">
        <v>164</v>
      </c>
      <c r="R5" s="10" t="s">
        <v>163</v>
      </c>
      <c r="S5" s="10" t="s">
        <v>162</v>
      </c>
      <c r="T5" s="10" t="s">
        <v>161</v>
      </c>
      <c r="U5" s="10" t="s">
        <v>160</v>
      </c>
    </row>
    <row r="6" spans="1:21" x14ac:dyDescent="0.25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x14ac:dyDescent="0.25">
      <c r="B7" s="6" t="s">
        <v>266</v>
      </c>
      <c r="C7" s="7">
        <v>4058513</v>
      </c>
      <c r="D7" s="8" t="s">
        <v>267</v>
      </c>
      <c r="E7" s="8" t="s">
        <v>267</v>
      </c>
      <c r="F7" s="8" t="s">
        <v>267</v>
      </c>
      <c r="G7" s="8" t="s">
        <v>267</v>
      </c>
      <c r="H7" s="8">
        <v>8382.8858380998263</v>
      </c>
      <c r="I7" s="8">
        <v>8950.522259993817</v>
      </c>
      <c r="J7" s="8">
        <v>8764.5452948794955</v>
      </c>
      <c r="K7" s="8">
        <v>8687.2689265577137</v>
      </c>
      <c r="L7" s="8">
        <v>8418.7707374072488</v>
      </c>
      <c r="M7" s="8">
        <v>8166.8916842864473</v>
      </c>
      <c r="N7" s="8">
        <v>7892.295209025343</v>
      </c>
      <c r="O7" s="8">
        <v>7540.8336683717853</v>
      </c>
      <c r="P7" s="8">
        <v>7029.0120507493857</v>
      </c>
      <c r="Q7" s="8">
        <v>6979.8314769083736</v>
      </c>
      <c r="R7" s="8">
        <v>6625.5234345508843</v>
      </c>
      <c r="S7" s="8">
        <v>6350.0215869085669</v>
      </c>
      <c r="T7" s="8">
        <v>6294.4505840937854</v>
      </c>
      <c r="U7" s="8">
        <v>6520.7733450289143</v>
      </c>
    </row>
    <row r="8" spans="1:21" x14ac:dyDescent="0.25">
      <c r="B8" s="6" t="s">
        <v>148</v>
      </c>
      <c r="C8" s="7">
        <v>4054707</v>
      </c>
      <c r="D8" s="8">
        <v>116029.68500262612</v>
      </c>
      <c r="E8" s="8">
        <v>112410.69522701181</v>
      </c>
      <c r="F8" s="8">
        <v>103617.46570132086</v>
      </c>
      <c r="G8" s="8">
        <v>99303.669442696992</v>
      </c>
      <c r="H8" s="8">
        <v>95943.206773844373</v>
      </c>
      <c r="I8" s="8">
        <v>94413.614236062742</v>
      </c>
      <c r="J8" s="8">
        <v>86429.248139996111</v>
      </c>
      <c r="K8" s="8">
        <v>84644.136507743504</v>
      </c>
      <c r="L8" s="8">
        <v>88367.297294023301</v>
      </c>
      <c r="M8" s="8">
        <v>82755.201546718541</v>
      </c>
      <c r="N8" s="8">
        <v>84756.342507679277</v>
      </c>
      <c r="O8" s="8">
        <v>88346.793817631013</v>
      </c>
      <c r="P8" s="8">
        <v>86073.291981061731</v>
      </c>
      <c r="Q8" s="8">
        <v>79086.896966280299</v>
      </c>
      <c r="R8" s="8">
        <v>81507.448248110624</v>
      </c>
      <c r="S8" s="8">
        <v>94344.504159319738</v>
      </c>
      <c r="T8" s="8">
        <v>100632.56107824939</v>
      </c>
      <c r="U8" s="8">
        <v>103945.52564825716</v>
      </c>
    </row>
    <row r="9" spans="1:21" x14ac:dyDescent="0.25">
      <c r="B9" s="6" t="s">
        <v>179</v>
      </c>
      <c r="C9" s="7">
        <v>4057075</v>
      </c>
      <c r="D9" s="8">
        <v>39434.582822325581</v>
      </c>
      <c r="E9" s="8">
        <v>41513.509722477887</v>
      </c>
      <c r="F9" s="8">
        <v>41165.277078338433</v>
      </c>
      <c r="G9" s="8">
        <v>38915.682345867404</v>
      </c>
      <c r="H9" s="8">
        <v>37319.801391517729</v>
      </c>
      <c r="I9" s="8">
        <v>37514.344251937262</v>
      </c>
      <c r="J9" s="8">
        <v>35483.461159882507</v>
      </c>
      <c r="K9" s="8">
        <v>33768.96049277659</v>
      </c>
      <c r="L9" s="8">
        <v>32994.465940342299</v>
      </c>
      <c r="M9" s="8">
        <v>32898.68583489603</v>
      </c>
      <c r="N9" s="8">
        <v>29976.28391779606</v>
      </c>
      <c r="O9" s="8">
        <v>29257.302203533083</v>
      </c>
      <c r="P9" s="8">
        <v>27201.286179350995</v>
      </c>
      <c r="Q9" s="8">
        <v>25098.820121527559</v>
      </c>
      <c r="R9" s="8">
        <v>24146.598029511933</v>
      </c>
      <c r="S9" s="8">
        <v>22644.122576434565</v>
      </c>
      <c r="T9" s="8">
        <v>23462.030920548277</v>
      </c>
      <c r="U9" s="8">
        <v>24467.06910969067</v>
      </c>
    </row>
    <row r="10" spans="1:21" x14ac:dyDescent="0.25">
      <c r="A10" s="1" t="s">
        <v>268</v>
      </c>
      <c r="B10" s="6" t="s">
        <v>181</v>
      </c>
      <c r="C10" s="7">
        <v>4007784</v>
      </c>
      <c r="D10" s="8">
        <v>137599.74936101586</v>
      </c>
      <c r="E10" s="8">
        <v>132508.31357517588</v>
      </c>
      <c r="F10" s="8">
        <v>134042.86748513771</v>
      </c>
      <c r="G10" s="8">
        <v>130276.90422853749</v>
      </c>
      <c r="H10" s="8">
        <v>118742.59388287981</v>
      </c>
      <c r="I10" s="8">
        <v>119596.86791086616</v>
      </c>
      <c r="J10" s="8">
        <v>108572.61063610177</v>
      </c>
      <c r="K10" s="8">
        <v>102447.57634805454</v>
      </c>
      <c r="L10" s="8">
        <v>92529.431312916073</v>
      </c>
      <c r="M10" s="8">
        <v>90062.066791145538</v>
      </c>
      <c r="N10" s="8">
        <v>80765.811649904848</v>
      </c>
      <c r="O10" s="8">
        <v>79750.055972584931</v>
      </c>
      <c r="P10" s="8">
        <v>76637.788357969999</v>
      </c>
      <c r="Q10" s="8">
        <v>77555.913131601177</v>
      </c>
      <c r="R10" s="8">
        <v>78925.504046515489</v>
      </c>
      <c r="S10" s="8">
        <v>72180.330158335346</v>
      </c>
      <c r="T10" s="8">
        <v>67832.963458908547</v>
      </c>
      <c r="U10" s="8">
        <v>62564.361153030353</v>
      </c>
    </row>
    <row r="11" spans="1:21" x14ac:dyDescent="0.25">
      <c r="A11" s="1" t="s">
        <v>268</v>
      </c>
      <c r="B11" s="6" t="s">
        <v>269</v>
      </c>
      <c r="C11" s="7">
        <v>4058656</v>
      </c>
      <c r="D11" s="8" t="s">
        <v>267</v>
      </c>
      <c r="E11" s="8" t="s">
        <v>267</v>
      </c>
      <c r="F11" s="8">
        <v>-99798.827680939998</v>
      </c>
      <c r="G11" s="8">
        <v>570753.09795895033</v>
      </c>
      <c r="H11" s="8">
        <v>60089.753657549089</v>
      </c>
      <c r="I11" s="8">
        <v>53305.121613799696</v>
      </c>
      <c r="J11" s="8">
        <v>55691.21274533058</v>
      </c>
      <c r="K11" s="8">
        <v>54307.890719005125</v>
      </c>
      <c r="L11" s="8">
        <v>51527.569242571393</v>
      </c>
      <c r="M11" s="8">
        <v>54524.753134623978</v>
      </c>
      <c r="N11" s="8">
        <v>52197.335770515274</v>
      </c>
      <c r="O11" s="8">
        <v>50564.074180998672</v>
      </c>
      <c r="P11" s="8">
        <v>46298.857630545499</v>
      </c>
      <c r="Q11" s="8">
        <v>43046.121962645266</v>
      </c>
      <c r="R11" s="8">
        <v>39631.451019712047</v>
      </c>
      <c r="S11" s="8">
        <v>36505.639589086481</v>
      </c>
      <c r="T11" s="8">
        <v>36705.106457659109</v>
      </c>
      <c r="U11" s="8">
        <v>26346.324067834619</v>
      </c>
    </row>
    <row r="12" spans="1:21" x14ac:dyDescent="0.25">
      <c r="A12" s="1" t="s">
        <v>268</v>
      </c>
      <c r="B12" s="6" t="s">
        <v>186</v>
      </c>
      <c r="C12" s="7">
        <v>4057110</v>
      </c>
      <c r="D12" s="8">
        <v>8903.8786862752168</v>
      </c>
      <c r="E12" s="8">
        <v>8038.6008431954597</v>
      </c>
      <c r="F12" s="8">
        <v>7487.0792207182603</v>
      </c>
      <c r="G12" s="8">
        <v>7639.919263414843</v>
      </c>
      <c r="H12" s="8">
        <v>7728.9601742930172</v>
      </c>
      <c r="I12" s="8">
        <v>7203.2946035935947</v>
      </c>
      <c r="J12" s="8">
        <v>8263.055730963355</v>
      </c>
      <c r="K12" s="8">
        <v>6988.9443523267028</v>
      </c>
      <c r="L12" s="8">
        <v>5378.2889044314843</v>
      </c>
      <c r="M12" s="8">
        <v>5343.3181177859242</v>
      </c>
      <c r="N12" s="8">
        <v>5261.1152349215063</v>
      </c>
      <c r="O12" s="8">
        <v>4752.4808979943246</v>
      </c>
      <c r="P12" s="8">
        <v>5005.7473273464657</v>
      </c>
      <c r="Q12" s="8">
        <v>4701.2515325197273</v>
      </c>
      <c r="R12" s="8">
        <v>4485.8540362306812</v>
      </c>
      <c r="S12" s="8">
        <v>4404.0207507811865</v>
      </c>
      <c r="T12" s="8">
        <v>4405.8736472774926</v>
      </c>
      <c r="U12" s="8">
        <v>4448.5259176481695</v>
      </c>
    </row>
    <row r="13" spans="1:21" x14ac:dyDescent="0.25">
      <c r="B13" s="6" t="s">
        <v>188</v>
      </c>
      <c r="C13" s="7">
        <v>4058516</v>
      </c>
      <c r="D13" s="8">
        <v>20184.650116113062</v>
      </c>
      <c r="E13" s="8">
        <v>20095.083505831426</v>
      </c>
      <c r="F13" s="8">
        <v>19849.799405071291</v>
      </c>
      <c r="G13" s="8">
        <v>20880.696904489683</v>
      </c>
      <c r="H13" s="8">
        <v>17360.662226983575</v>
      </c>
      <c r="I13" s="8">
        <v>15788.486247585051</v>
      </c>
      <c r="J13" s="8">
        <v>14325.757004694766</v>
      </c>
      <c r="K13" s="8">
        <v>15469.128891560415</v>
      </c>
      <c r="L13" s="8">
        <v>14866.825336879703</v>
      </c>
      <c r="M13" s="8">
        <v>13858.11565366062</v>
      </c>
      <c r="N13" s="8">
        <v>12655.872230445535</v>
      </c>
      <c r="O13" s="8">
        <v>13007.497084559385</v>
      </c>
      <c r="P13" s="8">
        <v>12469.019617993239</v>
      </c>
      <c r="Q13" s="8">
        <v>13707.655673473442</v>
      </c>
      <c r="R13" s="8">
        <v>14164.97428603976</v>
      </c>
      <c r="S13" s="8">
        <v>14149.238752144149</v>
      </c>
      <c r="T13" s="8">
        <v>12714.992834486642</v>
      </c>
      <c r="U13" s="8">
        <v>11265.692029903366</v>
      </c>
    </row>
    <row r="14" spans="1:21" x14ac:dyDescent="0.25">
      <c r="B14" s="6" t="s">
        <v>190</v>
      </c>
      <c r="C14" s="7">
        <v>4058793</v>
      </c>
      <c r="D14" s="8">
        <v>520.942005617419</v>
      </c>
      <c r="E14" s="8" t="s">
        <v>267</v>
      </c>
      <c r="F14" s="8">
        <v>562.21518146152926</v>
      </c>
      <c r="G14" s="8">
        <v>487.59530453369939</v>
      </c>
      <c r="H14" s="8">
        <v>486.15068882672989</v>
      </c>
      <c r="I14" s="8">
        <v>549.2981784649877</v>
      </c>
      <c r="J14" s="8">
        <v>449.51531373342846</v>
      </c>
      <c r="K14" s="8">
        <v>462.88571421270024</v>
      </c>
      <c r="L14" s="8">
        <v>506.62410954201306</v>
      </c>
      <c r="M14" s="8">
        <v>537.97615317214024</v>
      </c>
      <c r="N14" s="8">
        <v>516.55882530055703</v>
      </c>
      <c r="O14" s="8">
        <v>497.58799889593797</v>
      </c>
      <c r="P14" s="8">
        <v>469.23335257861572</v>
      </c>
      <c r="Q14" s="8">
        <v>455.33875028191636</v>
      </c>
      <c r="R14" s="8">
        <v>566.83185897289218</v>
      </c>
      <c r="S14" s="8">
        <v>566.42166838970024</v>
      </c>
      <c r="T14" s="8">
        <v>525.57930671804058</v>
      </c>
      <c r="U14" s="8">
        <v>563.86747877683388</v>
      </c>
    </row>
    <row r="15" spans="1:21" x14ac:dyDescent="0.25">
      <c r="A15" s="1" t="s">
        <v>268</v>
      </c>
      <c r="B15" s="6" t="s">
        <v>192</v>
      </c>
      <c r="C15" s="7">
        <v>4057111</v>
      </c>
      <c r="D15" s="8">
        <v>131514.10333494714</v>
      </c>
      <c r="E15" s="8">
        <v>110798.08406738167</v>
      </c>
      <c r="F15" s="8">
        <v>154919.95358487166</v>
      </c>
      <c r="G15" s="8">
        <v>263633.92342486454</v>
      </c>
      <c r="H15" s="8">
        <v>108217.41055661241</v>
      </c>
      <c r="I15" s="8">
        <v>106397.97648846057</v>
      </c>
      <c r="J15" s="8">
        <v>91352.973244997411</v>
      </c>
      <c r="K15" s="8">
        <v>100350.79939413707</v>
      </c>
      <c r="L15" s="8">
        <v>98514.087433504872</v>
      </c>
      <c r="M15" s="8">
        <v>80183.397422745067</v>
      </c>
      <c r="N15" s="8">
        <v>92295.286846997522</v>
      </c>
      <c r="O15" s="8">
        <v>87351.392263189264</v>
      </c>
      <c r="P15" s="8">
        <v>90967.869798057029</v>
      </c>
      <c r="Q15" s="8">
        <v>88435.182610678661</v>
      </c>
      <c r="R15" s="8">
        <v>74138.770930840226</v>
      </c>
      <c r="S15" s="8">
        <v>68205.95866710681</v>
      </c>
      <c r="T15" s="8">
        <v>70170.144586995928</v>
      </c>
      <c r="U15" s="8">
        <v>65551.881357807579</v>
      </c>
    </row>
    <row r="16" spans="1:21" x14ac:dyDescent="0.25">
      <c r="A16" s="1" t="s">
        <v>268</v>
      </c>
      <c r="B16" s="6" t="s">
        <v>193</v>
      </c>
      <c r="C16" s="7">
        <v>4018679</v>
      </c>
      <c r="D16" s="8">
        <v>268713.92868856038</v>
      </c>
      <c r="E16" s="8">
        <v>276350.99058527779</v>
      </c>
      <c r="F16" s="8">
        <v>309001.9613652986</v>
      </c>
      <c r="G16" s="8">
        <v>311033.81705252954</v>
      </c>
      <c r="H16" s="8">
        <v>278620.28550749901</v>
      </c>
      <c r="I16" s="8">
        <v>219713.77185059342</v>
      </c>
      <c r="J16" s="8">
        <v>192148.74434308393</v>
      </c>
      <c r="K16" s="8">
        <v>207135.0875164076</v>
      </c>
      <c r="L16" s="8">
        <v>180095.13343725645</v>
      </c>
      <c r="M16" s="8">
        <v>175871.33856404692</v>
      </c>
      <c r="N16" s="8">
        <v>173487.38966717507</v>
      </c>
      <c r="O16" s="8">
        <v>173474.89552419516</v>
      </c>
      <c r="P16" s="8">
        <v>164038.99808706794</v>
      </c>
      <c r="Q16" s="8">
        <v>161840.07047310501</v>
      </c>
      <c r="R16" s="8">
        <v>141916.06741585102</v>
      </c>
      <c r="S16" s="8">
        <v>149511.66711808008</v>
      </c>
      <c r="T16" s="8">
        <v>155414.10511280352</v>
      </c>
      <c r="U16" s="8">
        <v>148585.06461915505</v>
      </c>
    </row>
    <row r="17" spans="1:21" x14ac:dyDescent="0.25">
      <c r="B17" s="6" t="s">
        <v>195</v>
      </c>
      <c r="C17" s="7">
        <v>4057112</v>
      </c>
      <c r="D17" s="8">
        <v>34180.746422326047</v>
      </c>
      <c r="E17" s="8">
        <v>33273.119848576374</v>
      </c>
      <c r="F17" s="8">
        <v>33201.7692691509</v>
      </c>
      <c r="G17" s="8">
        <v>31412.52212767645</v>
      </c>
      <c r="H17" s="8">
        <v>31159.571202113028</v>
      </c>
      <c r="I17" s="8">
        <v>28917.362102144467</v>
      </c>
      <c r="J17" s="8">
        <v>27438.653927408177</v>
      </c>
      <c r="K17" s="8">
        <v>27768.833575530909</v>
      </c>
      <c r="L17" s="8">
        <v>25463.591053526463</v>
      </c>
      <c r="M17" s="8">
        <v>24823.331431914725</v>
      </c>
      <c r="N17" s="8">
        <v>23658.886786183273</v>
      </c>
      <c r="O17" s="8">
        <v>23810.183211317912</v>
      </c>
      <c r="P17" s="8">
        <v>21586.160835359995</v>
      </c>
      <c r="Q17" s="8">
        <v>20698.191414726007</v>
      </c>
      <c r="R17" s="8">
        <v>22196.494293326912</v>
      </c>
      <c r="S17" s="8">
        <v>23382.019419478274</v>
      </c>
      <c r="T17" s="8">
        <v>21318.41137647428</v>
      </c>
      <c r="U17" s="8">
        <v>20048.416452874102</v>
      </c>
    </row>
    <row r="18" spans="1:21" x14ac:dyDescent="0.25">
      <c r="A18" s="1" t="s">
        <v>268</v>
      </c>
      <c r="B18" s="6" t="s">
        <v>196</v>
      </c>
      <c r="C18" s="7">
        <v>4057076</v>
      </c>
      <c r="D18" s="8">
        <v>24019.702281435373</v>
      </c>
      <c r="E18" s="8" t="s">
        <v>267</v>
      </c>
      <c r="F18" s="8">
        <v>22868.76000369215</v>
      </c>
      <c r="G18" s="8">
        <v>20586.854353995441</v>
      </c>
      <c r="H18" s="8">
        <v>21380.623322756805</v>
      </c>
      <c r="I18" s="8">
        <v>19531.05508277805</v>
      </c>
      <c r="J18" s="8">
        <v>20516.148302204769</v>
      </c>
      <c r="K18" s="8">
        <v>21275.74923479318</v>
      </c>
      <c r="L18" s="8">
        <v>20928.382333817957</v>
      </c>
      <c r="M18" s="8">
        <v>19813.946905638975</v>
      </c>
      <c r="N18" s="8">
        <v>19912.71382762662</v>
      </c>
      <c r="O18" s="8">
        <v>18566.746769438272</v>
      </c>
      <c r="P18" s="8">
        <v>15756.499984421926</v>
      </c>
      <c r="Q18" s="8">
        <v>14224.562230009429</v>
      </c>
      <c r="R18" s="8">
        <v>12621.816439585611</v>
      </c>
      <c r="S18" s="8">
        <v>9003.0297175036012</v>
      </c>
      <c r="T18" s="8">
        <v>8109.8450411779668</v>
      </c>
      <c r="U18" s="8">
        <v>7191.2380600074075</v>
      </c>
    </row>
    <row r="19" spans="1:21" x14ac:dyDescent="0.25">
      <c r="B19" s="6" t="s">
        <v>270</v>
      </c>
      <c r="C19" s="7">
        <v>4059166</v>
      </c>
      <c r="D19" s="8" t="s">
        <v>267</v>
      </c>
      <c r="E19" s="8">
        <v>8922.1667187384573</v>
      </c>
      <c r="F19" s="8">
        <v>8139.1445716841436</v>
      </c>
      <c r="G19" s="8">
        <v>6666.2083805219791</v>
      </c>
      <c r="H19" s="8">
        <v>5890.623111987944</v>
      </c>
      <c r="I19" s="8">
        <v>5967.6889366550504</v>
      </c>
      <c r="J19" s="8">
        <v>6188.1273283939763</v>
      </c>
      <c r="K19" s="8">
        <v>5989.9379917239648</v>
      </c>
      <c r="L19" s="8">
        <v>6250.5279827432423</v>
      </c>
      <c r="M19" s="8">
        <v>6197.2935895154769</v>
      </c>
      <c r="N19" s="8">
        <v>5500.6094625401474</v>
      </c>
      <c r="O19" s="8">
        <v>5448.4299962932801</v>
      </c>
      <c r="P19" s="8">
        <v>5590.8414183136283</v>
      </c>
      <c r="Q19" s="8">
        <v>5137.1727202187958</v>
      </c>
      <c r="R19" s="8">
        <v>5236.6845814770186</v>
      </c>
      <c r="S19" s="8">
        <v>5419.5316732445608</v>
      </c>
      <c r="T19" s="8">
        <v>6060.7732712726101</v>
      </c>
      <c r="U19" s="8">
        <v>6302.5898368571015</v>
      </c>
    </row>
    <row r="20" spans="1:21" x14ac:dyDescent="0.25">
      <c r="B20" s="6" t="s">
        <v>271</v>
      </c>
      <c r="C20" s="7">
        <v>4059227</v>
      </c>
      <c r="D20" s="8" t="s">
        <v>267</v>
      </c>
      <c r="E20" s="8">
        <v>2297.1046168922294</v>
      </c>
      <c r="F20" s="8">
        <v>3285.0256350689383</v>
      </c>
      <c r="G20" s="8">
        <v>2735.68443028203</v>
      </c>
      <c r="H20" s="8">
        <v>2605.1281404127367</v>
      </c>
      <c r="I20" s="8">
        <v>2432.0395771656249</v>
      </c>
      <c r="J20" s="8">
        <v>2450.3003533153396</v>
      </c>
      <c r="K20" s="8">
        <v>2405.7397401385579</v>
      </c>
      <c r="L20" s="8">
        <v>2246.588712967075</v>
      </c>
      <c r="M20" s="8">
        <v>2000.7191881688962</v>
      </c>
      <c r="N20" s="8">
        <v>2190.3107125781053</v>
      </c>
      <c r="O20" s="8">
        <v>2250.2360511149618</v>
      </c>
      <c r="P20" s="8">
        <v>2100.9790248741729</v>
      </c>
      <c r="Q20" s="8">
        <v>2153.1771238530537</v>
      </c>
      <c r="R20" s="8">
        <v>2096.4188017079478</v>
      </c>
      <c r="S20" s="8">
        <v>1966.4622049154275</v>
      </c>
      <c r="T20" s="8">
        <v>1822.1132447386985</v>
      </c>
      <c r="U20" s="8" t="s">
        <v>267</v>
      </c>
    </row>
    <row r="21" spans="1:21" x14ac:dyDescent="0.25">
      <c r="A21" s="1" t="s">
        <v>268</v>
      </c>
      <c r="B21" s="6" t="s">
        <v>197</v>
      </c>
      <c r="C21" s="7">
        <v>4057114</v>
      </c>
      <c r="D21" s="8" t="s">
        <v>267</v>
      </c>
      <c r="E21" s="8">
        <v>16366.734633533715</v>
      </c>
      <c r="F21" s="8">
        <v>27857.358176654332</v>
      </c>
      <c r="G21" s="8">
        <v>55623.673487049251</v>
      </c>
      <c r="H21" s="8">
        <v>17207.388850461444</v>
      </c>
      <c r="I21" s="8">
        <v>16635.344578460565</v>
      </c>
      <c r="J21" s="8">
        <v>15559.608870159738</v>
      </c>
      <c r="K21" s="8">
        <v>15661.281733493423</v>
      </c>
      <c r="L21" s="8">
        <v>15148.767230313842</v>
      </c>
      <c r="M21" s="8">
        <v>12141.726827309809</v>
      </c>
      <c r="N21" s="8">
        <v>15429.418491649474</v>
      </c>
      <c r="O21" s="8">
        <v>15584.001849541737</v>
      </c>
      <c r="P21" s="8">
        <v>16165.299557942539</v>
      </c>
      <c r="Q21" s="8">
        <v>14399.111840889582</v>
      </c>
      <c r="R21" s="8">
        <v>12540.988592581778</v>
      </c>
      <c r="S21" s="8">
        <v>12761.68024974627</v>
      </c>
      <c r="T21" s="8">
        <v>11577.297330476054</v>
      </c>
      <c r="U21" s="8">
        <v>13951.725362450528</v>
      </c>
    </row>
    <row r="22" spans="1:21" x14ac:dyDescent="0.25">
      <c r="B22" s="6" t="s">
        <v>198</v>
      </c>
      <c r="C22" s="7">
        <v>4059355</v>
      </c>
      <c r="D22" s="8">
        <v>28946.944852229008</v>
      </c>
      <c r="E22" s="8">
        <v>26886.870271002088</v>
      </c>
      <c r="F22" s="8">
        <v>27635.499077892979</v>
      </c>
      <c r="G22" s="8">
        <v>23839.516882854536</v>
      </c>
      <c r="H22" s="8">
        <v>25935.543481564087</v>
      </c>
      <c r="I22" s="8">
        <v>21855.159710418935</v>
      </c>
      <c r="J22" s="8">
        <v>19534.528700891358</v>
      </c>
      <c r="K22" s="8">
        <v>19224.730419180371</v>
      </c>
      <c r="L22" s="8">
        <v>18580.842801789258</v>
      </c>
      <c r="M22" s="8">
        <v>17920.683861022531</v>
      </c>
      <c r="N22" s="8">
        <v>17156.102523632777</v>
      </c>
      <c r="O22" s="8">
        <v>17497.553896617708</v>
      </c>
      <c r="P22" s="8">
        <v>16945.590778321508</v>
      </c>
      <c r="Q22" s="8">
        <v>14814.147354092431</v>
      </c>
      <c r="R22" s="8">
        <v>13269.154489439103</v>
      </c>
      <c r="S22" s="8">
        <v>14372.153126471279</v>
      </c>
      <c r="T22" s="8">
        <v>15472.181657291447</v>
      </c>
      <c r="U22" s="8">
        <v>14323.80087562613</v>
      </c>
    </row>
    <row r="23" spans="1:21" x14ac:dyDescent="0.25">
      <c r="B23" s="6" t="s">
        <v>200</v>
      </c>
      <c r="C23" s="7">
        <v>4088325</v>
      </c>
      <c r="D23" s="8">
        <v>26381.345321153171</v>
      </c>
      <c r="E23" s="8">
        <v>6855.8470096442315</v>
      </c>
      <c r="F23" s="8">
        <v>6151.5451431486517</v>
      </c>
      <c r="G23" s="8">
        <v>7905.4007318016202</v>
      </c>
      <c r="H23" s="8">
        <v>8481.0309477762403</v>
      </c>
      <c r="I23" s="8">
        <v>7743.5916443710175</v>
      </c>
      <c r="J23" s="8">
        <v>6932.341922730754</v>
      </c>
      <c r="K23" s="8">
        <v>6636.0578237112841</v>
      </c>
      <c r="L23" s="8">
        <v>9765.4356342480023</v>
      </c>
      <c r="M23" s="8">
        <v>5505.0777868285404</v>
      </c>
      <c r="N23" s="8">
        <v>5415.1224199123017</v>
      </c>
      <c r="O23" s="8">
        <v>5272.3561452624363</v>
      </c>
      <c r="P23" s="8">
        <v>5273.6945992174369</v>
      </c>
      <c r="Q23" s="8">
        <v>4773.4332578203648</v>
      </c>
      <c r="R23" s="8">
        <v>4460.8262247774746</v>
      </c>
      <c r="S23" s="8">
        <v>4572.808492126378</v>
      </c>
      <c r="T23" s="8">
        <v>4488.700716160236</v>
      </c>
      <c r="U23" s="8">
        <v>4105.1255069804574</v>
      </c>
    </row>
    <row r="24" spans="1:21" x14ac:dyDescent="0.25">
      <c r="B24" s="6" t="s">
        <v>272</v>
      </c>
      <c r="C24" s="7">
        <v>4088326</v>
      </c>
      <c r="D24" s="8" t="s">
        <v>267</v>
      </c>
      <c r="E24" s="8">
        <v>161829.14459510517</v>
      </c>
      <c r="F24" s="8">
        <v>163297.39351923464</v>
      </c>
      <c r="G24" s="8">
        <v>152815.18801386497</v>
      </c>
      <c r="H24" s="8">
        <v>169334.71940718545</v>
      </c>
      <c r="I24" s="8">
        <v>143679.436997457</v>
      </c>
      <c r="J24" s="8">
        <v>138201.78492350376</v>
      </c>
      <c r="K24" s="8">
        <v>135537.25308100809</v>
      </c>
      <c r="L24" s="8">
        <v>126597.72886526064</v>
      </c>
      <c r="M24" s="8">
        <v>122426.97880899189</v>
      </c>
      <c r="N24" s="8">
        <v>119454.2587813974</v>
      </c>
      <c r="O24" s="8">
        <v>120984.05853074475</v>
      </c>
      <c r="P24" s="8">
        <v>118494.76908524704</v>
      </c>
      <c r="Q24" s="8">
        <v>119284.35099497739</v>
      </c>
      <c r="R24" s="8">
        <v>110460.72963007329</v>
      </c>
      <c r="S24" s="8">
        <v>99946.140643081322</v>
      </c>
      <c r="T24" s="8">
        <v>109656.23136752992</v>
      </c>
      <c r="U24" s="8">
        <v>94423.472156202741</v>
      </c>
    </row>
    <row r="25" spans="1:21" x14ac:dyDescent="0.25">
      <c r="A25" s="1" t="s">
        <v>268</v>
      </c>
      <c r="B25" s="6" t="s">
        <v>273</v>
      </c>
      <c r="C25" s="7">
        <v>4059358</v>
      </c>
      <c r="D25" s="8" t="s">
        <v>267</v>
      </c>
      <c r="E25" s="8">
        <v>92198.141757803416</v>
      </c>
      <c r="F25" s="8">
        <v>90966.35938519628</v>
      </c>
      <c r="G25" s="8">
        <v>79551.53694004174</v>
      </c>
      <c r="H25" s="8">
        <v>97832.676539235254</v>
      </c>
      <c r="I25" s="8">
        <v>81799.306804505584</v>
      </c>
      <c r="J25" s="8">
        <v>76455.971915035916</v>
      </c>
      <c r="K25" s="8">
        <v>73162.081852927848</v>
      </c>
      <c r="L25" s="8">
        <v>64525.705383096007</v>
      </c>
      <c r="M25" s="8">
        <v>58032.306776922531</v>
      </c>
      <c r="N25" s="8">
        <v>64019.671686112328</v>
      </c>
      <c r="O25" s="8">
        <v>61690.268005553851</v>
      </c>
      <c r="P25" s="8">
        <v>56047.561108037546</v>
      </c>
      <c r="Q25" s="8">
        <v>52971.924718023431</v>
      </c>
      <c r="R25" s="8">
        <v>51801.961753463904</v>
      </c>
      <c r="S25" s="8">
        <v>46138.345694320058</v>
      </c>
      <c r="T25" s="8">
        <v>48122.980771254501</v>
      </c>
      <c r="U25" s="8">
        <v>43426.330580444657</v>
      </c>
    </row>
    <row r="26" spans="1:21" x14ac:dyDescent="0.25">
      <c r="B26" s="6" t="s">
        <v>274</v>
      </c>
      <c r="C26" s="7">
        <v>4059359</v>
      </c>
      <c r="D26" s="8" t="s">
        <v>267</v>
      </c>
      <c r="E26" s="8">
        <v>52850.646785575416</v>
      </c>
      <c r="F26" s="8">
        <v>57443.812400258539</v>
      </c>
      <c r="G26" s="8">
        <v>54262.68230671229</v>
      </c>
      <c r="H26" s="8">
        <v>55720.378457582978</v>
      </c>
      <c r="I26" s="8">
        <v>46693.359181437198</v>
      </c>
      <c r="J26" s="8">
        <v>44559.777176036798</v>
      </c>
      <c r="K26" s="8">
        <v>39606.203045723407</v>
      </c>
      <c r="L26" s="8">
        <v>35711.315914293591</v>
      </c>
      <c r="M26" s="8">
        <v>31159.483962042246</v>
      </c>
      <c r="N26" s="8">
        <v>31372.199525495864</v>
      </c>
      <c r="O26" s="8">
        <v>29199.356428460225</v>
      </c>
      <c r="P26" s="8">
        <v>28257.848740483947</v>
      </c>
      <c r="Q26" s="8">
        <v>26939.152668303457</v>
      </c>
      <c r="R26" s="8">
        <v>31081.644998529035</v>
      </c>
      <c r="S26" s="8">
        <v>27581.640180647173</v>
      </c>
      <c r="T26" s="8">
        <v>27863.958500659017</v>
      </c>
      <c r="U26" s="8">
        <v>23830.752489788585</v>
      </c>
    </row>
    <row r="27" spans="1:21" x14ac:dyDescent="0.25">
      <c r="A27" s="1" t="s">
        <v>268</v>
      </c>
      <c r="B27" s="6" t="s">
        <v>202</v>
      </c>
      <c r="C27" s="7">
        <v>4059402</v>
      </c>
      <c r="D27" s="8">
        <v>40758.0252075436</v>
      </c>
      <c r="E27" s="8" t="s">
        <v>267</v>
      </c>
      <c r="F27" s="8">
        <v>9604087.9094378054</v>
      </c>
      <c r="G27" s="8">
        <v>37294.137989638271</v>
      </c>
      <c r="H27" s="8">
        <v>43609.977079846969</v>
      </c>
      <c r="I27" s="8">
        <v>35347.908717761908</v>
      </c>
      <c r="J27" s="8">
        <v>35781.50378340212</v>
      </c>
      <c r="K27" s="8">
        <v>31692.031582050022</v>
      </c>
      <c r="L27" s="8">
        <v>30987.671308040655</v>
      </c>
      <c r="M27" s="8">
        <v>26453.392159311934</v>
      </c>
      <c r="N27" s="8">
        <v>27741.876779203816</v>
      </c>
      <c r="O27" s="8">
        <v>25789.923866121044</v>
      </c>
      <c r="P27" s="8">
        <v>36721.525859778929</v>
      </c>
      <c r="Q27" s="8">
        <v>27125.476936924297</v>
      </c>
      <c r="R27" s="8">
        <v>25588.682965337623</v>
      </c>
      <c r="S27" s="8">
        <v>24157.909299318173</v>
      </c>
      <c r="T27" s="8">
        <v>23747.632886035764</v>
      </c>
      <c r="U27" s="8">
        <v>23800.213573929435</v>
      </c>
    </row>
    <row r="28" spans="1:21" x14ac:dyDescent="0.25">
      <c r="A28" s="1" t="s">
        <v>268</v>
      </c>
      <c r="B28" s="6" t="s">
        <v>204</v>
      </c>
      <c r="C28" s="7">
        <v>4057080</v>
      </c>
      <c r="D28" s="8">
        <v>186918.22878105156</v>
      </c>
      <c r="E28" s="8">
        <v>191235.35887312822</v>
      </c>
      <c r="F28" s="8">
        <v>202425.87382257925</v>
      </c>
      <c r="G28" s="8">
        <v>219540.89879044687</v>
      </c>
      <c r="H28" s="8">
        <v>216324.47206790411</v>
      </c>
      <c r="I28" s="8">
        <v>201620.18959006027</v>
      </c>
      <c r="J28" s="8">
        <v>211490.43836559949</v>
      </c>
      <c r="K28" s="8">
        <v>195770.37437024011</v>
      </c>
      <c r="L28" s="8">
        <v>164934.22360613337</v>
      </c>
      <c r="M28" s="8">
        <v>158721.26030445073</v>
      </c>
      <c r="N28" s="8">
        <v>169922.28665349682</v>
      </c>
      <c r="O28" s="8">
        <v>159067.64197281143</v>
      </c>
      <c r="P28" s="8">
        <v>141607.55973049079</v>
      </c>
      <c r="Q28" s="8">
        <v>131300.64565739833</v>
      </c>
      <c r="R28" s="8">
        <v>113669.30319602285</v>
      </c>
      <c r="S28" s="8">
        <v>107125.42669588438</v>
      </c>
      <c r="T28" s="8">
        <v>99506.429596911374</v>
      </c>
      <c r="U28" s="8">
        <v>89095.450673002488</v>
      </c>
    </row>
    <row r="29" spans="1:21" x14ac:dyDescent="0.25">
      <c r="B29" s="6" t="s">
        <v>205</v>
      </c>
      <c r="C29" s="7">
        <v>4057081</v>
      </c>
      <c r="D29" s="8">
        <v>153402.99862530513</v>
      </c>
      <c r="E29" s="8">
        <v>150639.8290703852</v>
      </c>
      <c r="F29" s="8">
        <v>166107.85904471367</v>
      </c>
      <c r="G29" s="8">
        <v>165560.25388730245</v>
      </c>
      <c r="H29" s="8">
        <v>154751.00352773763</v>
      </c>
      <c r="I29" s="8">
        <v>161935.12746474223</v>
      </c>
      <c r="J29" s="8">
        <v>163715.43187126672</v>
      </c>
      <c r="K29" s="8">
        <v>158355.36689604638</v>
      </c>
      <c r="L29" s="8">
        <v>160571.44047582915</v>
      </c>
      <c r="M29" s="8">
        <v>160237.80950769695</v>
      </c>
      <c r="N29" s="8">
        <v>156052.99481634604</v>
      </c>
      <c r="O29" s="8">
        <v>154636.14069919862</v>
      </c>
      <c r="P29" s="8">
        <v>159956.92275423656</v>
      </c>
      <c r="Q29" s="8">
        <v>158197.63017884188</v>
      </c>
      <c r="R29" s="8">
        <v>147569.60891129024</v>
      </c>
      <c r="S29" s="8">
        <v>146737.11067807034</v>
      </c>
      <c r="T29" s="8">
        <v>152893.38162132844</v>
      </c>
      <c r="U29" s="8">
        <v>132751.44799944502</v>
      </c>
    </row>
    <row r="30" spans="1:21" x14ac:dyDescent="0.25">
      <c r="A30" s="1" t="s">
        <v>268</v>
      </c>
      <c r="B30" s="6" t="s">
        <v>207</v>
      </c>
      <c r="C30" s="7">
        <v>4059459</v>
      </c>
      <c r="D30" s="8">
        <v>4768.4430342614651</v>
      </c>
      <c r="E30" s="8">
        <v>4078.1322755255187</v>
      </c>
      <c r="F30" s="8">
        <v>4145.0078305686275</v>
      </c>
      <c r="G30" s="8">
        <v>4117.2570613022808</v>
      </c>
      <c r="H30" s="8">
        <v>4083.5247645933046</v>
      </c>
      <c r="I30" s="8">
        <v>3642.7560075754427</v>
      </c>
      <c r="J30" s="8">
        <v>3802.4687620092254</v>
      </c>
      <c r="K30" s="8">
        <v>3707.4202684099355</v>
      </c>
      <c r="L30" s="8">
        <v>3214.8841971243605</v>
      </c>
      <c r="M30" s="8">
        <v>3299.8781063834372</v>
      </c>
      <c r="N30" s="8">
        <v>3068.1799501543978</v>
      </c>
      <c r="O30" s="8">
        <v>3081.1378930465876</v>
      </c>
      <c r="P30" s="8">
        <v>2924.6022980664411</v>
      </c>
      <c r="Q30" s="8">
        <v>2666.2365758440105</v>
      </c>
      <c r="R30" s="8">
        <v>2481.6255338861183</v>
      </c>
      <c r="S30" s="8">
        <v>2347.565185409333</v>
      </c>
      <c r="T30" s="8">
        <v>1609.8696056626816</v>
      </c>
      <c r="U30" s="8">
        <v>1560.7171692020775</v>
      </c>
    </row>
    <row r="31" spans="1:21" x14ac:dyDescent="0.25">
      <c r="B31" s="6" t="s">
        <v>208</v>
      </c>
      <c r="C31" s="7">
        <v>4057118</v>
      </c>
      <c r="D31" s="8">
        <v>5042.5118815214828</v>
      </c>
      <c r="E31" s="8">
        <v>3626.644622575649</v>
      </c>
      <c r="F31" s="8">
        <v>3665.2453662990301</v>
      </c>
      <c r="G31" s="8">
        <v>5507.9010061989256</v>
      </c>
      <c r="H31" s="8">
        <v>5447.7825750789998</v>
      </c>
      <c r="I31" s="8">
        <v>5554.405085518536</v>
      </c>
      <c r="J31" s="8">
        <v>5576.6168365904905</v>
      </c>
      <c r="K31" s="8">
        <v>5357.7901666799316</v>
      </c>
      <c r="L31" s="8">
        <v>5270.2001937570803</v>
      </c>
      <c r="M31" s="8">
        <v>5203.7707546758174</v>
      </c>
      <c r="N31" s="8">
        <v>4999.736873138464</v>
      </c>
      <c r="O31" s="8">
        <v>5367.0819401026693</v>
      </c>
      <c r="P31" s="8">
        <v>5718.6024133956826</v>
      </c>
      <c r="Q31" s="8">
        <v>5382.7310666643916</v>
      </c>
      <c r="R31" s="8">
        <v>4955.1767642127252</v>
      </c>
      <c r="S31" s="8">
        <v>4694.7776442763952</v>
      </c>
      <c r="T31" s="8">
        <v>4618.3119243252986</v>
      </c>
      <c r="U31" s="8">
        <v>4418.20164256302</v>
      </c>
    </row>
    <row r="32" spans="1:21" x14ac:dyDescent="0.25">
      <c r="B32" s="6" t="s">
        <v>210</v>
      </c>
      <c r="C32" s="7">
        <v>4057126</v>
      </c>
      <c r="D32" s="8">
        <v>214706.70715614362</v>
      </c>
      <c r="E32" s="8">
        <v>201094.86997137719</v>
      </c>
      <c r="F32" s="8">
        <v>205726.58221451283</v>
      </c>
      <c r="G32" s="8">
        <v>196712.18534727077</v>
      </c>
      <c r="H32" s="8">
        <v>194500.73178228136</v>
      </c>
      <c r="I32" s="8">
        <v>173221.80731114658</v>
      </c>
      <c r="J32" s="8">
        <v>173547.9372991047</v>
      </c>
      <c r="K32" s="8">
        <v>182428.37251435855</v>
      </c>
      <c r="L32" s="8">
        <v>171929.09158416279</v>
      </c>
      <c r="M32" s="8">
        <v>156910.0804260539</v>
      </c>
      <c r="N32" s="8">
        <v>154801.64057628348</v>
      </c>
      <c r="O32" s="8">
        <v>151617.02790051163</v>
      </c>
      <c r="P32" s="8">
        <v>141898.26707322494</v>
      </c>
      <c r="Q32" s="8">
        <v>147226.46132902702</v>
      </c>
      <c r="R32" s="8">
        <v>152563.29164632474</v>
      </c>
      <c r="S32" s="8">
        <v>145564.62712724859</v>
      </c>
      <c r="T32" s="8">
        <v>157566.71295435604</v>
      </c>
      <c r="U32" s="8">
        <v>142019.48525886529</v>
      </c>
    </row>
    <row r="33" spans="1:21" x14ac:dyDescent="0.25">
      <c r="B33" s="6" t="s">
        <v>275</v>
      </c>
      <c r="C33" s="7">
        <v>4057103</v>
      </c>
      <c r="D33" s="8" t="s">
        <v>267</v>
      </c>
      <c r="E33" s="8" t="s">
        <v>267</v>
      </c>
      <c r="F33" s="8">
        <v>12030.14367800814</v>
      </c>
      <c r="G33" s="8">
        <v>13299.687141447155</v>
      </c>
      <c r="H33" s="8">
        <v>12823.794140600212</v>
      </c>
      <c r="I33" s="8" t="s">
        <v>267</v>
      </c>
      <c r="J33" s="8">
        <v>11851.679424048434</v>
      </c>
      <c r="K33" s="8">
        <v>12146.828046938097</v>
      </c>
      <c r="L33" s="8">
        <v>11512.494402316632</v>
      </c>
      <c r="M33" s="8">
        <v>12635.700432633706</v>
      </c>
      <c r="N33" s="8">
        <v>11650.287829829937</v>
      </c>
      <c r="O33" s="8">
        <v>11565.62520244681</v>
      </c>
      <c r="P33" s="8">
        <v>10930.631271612689</v>
      </c>
      <c r="Q33" s="8">
        <v>11035.28004616603</v>
      </c>
      <c r="R33" s="8">
        <v>13854.528122202459</v>
      </c>
      <c r="S33" s="8">
        <v>11621.108257999573</v>
      </c>
      <c r="T33" s="8">
        <v>10986.658232257638</v>
      </c>
      <c r="U33" s="8">
        <v>8511.0001440436499</v>
      </c>
    </row>
    <row r="34" spans="1:21" x14ac:dyDescent="0.25">
      <c r="B34" s="6" t="s">
        <v>211</v>
      </c>
      <c r="C34" s="7">
        <v>4057079</v>
      </c>
      <c r="D34" s="8">
        <v>50127.64074247214</v>
      </c>
      <c r="E34" s="8">
        <v>41892.738645603589</v>
      </c>
      <c r="F34" s="8">
        <v>46492.820360366204</v>
      </c>
      <c r="G34" s="8">
        <v>48901.632014584204</v>
      </c>
      <c r="H34" s="8">
        <v>45210.348192737147</v>
      </c>
      <c r="I34" s="8">
        <v>44847.924177244713</v>
      </c>
      <c r="J34" s="8">
        <v>48159.139272488632</v>
      </c>
      <c r="K34" s="8">
        <v>45778.938973566226</v>
      </c>
      <c r="L34" s="8">
        <v>51587.971099842842</v>
      </c>
      <c r="M34" s="8">
        <v>49660.229524335162</v>
      </c>
      <c r="N34" s="8">
        <v>51671.790267256358</v>
      </c>
      <c r="O34" s="8">
        <v>50735.872094220787</v>
      </c>
      <c r="P34" s="8">
        <v>39002.661946464228</v>
      </c>
      <c r="Q34" s="8">
        <v>40246.491224050187</v>
      </c>
      <c r="R34" s="8">
        <v>48408.883618836873</v>
      </c>
      <c r="S34" s="8">
        <v>48996.799783332099</v>
      </c>
      <c r="T34" s="8">
        <v>45176.023563432711</v>
      </c>
      <c r="U34" s="8">
        <v>41748.522045782462</v>
      </c>
    </row>
    <row r="35" spans="1:21" x14ac:dyDescent="0.25">
      <c r="B35" s="6" t="s">
        <v>276</v>
      </c>
      <c r="C35" s="7">
        <v>4081251</v>
      </c>
      <c r="D35" s="8" t="s">
        <v>267</v>
      </c>
      <c r="E35" s="8" t="s">
        <v>267</v>
      </c>
      <c r="F35" s="8">
        <v>341.87625655546015</v>
      </c>
      <c r="G35" s="8">
        <v>359.93778729547932</v>
      </c>
      <c r="H35" s="8">
        <v>320.22297165019762</v>
      </c>
      <c r="I35" s="8">
        <v>330.81799695918511</v>
      </c>
      <c r="J35" s="8" t="s">
        <v>267</v>
      </c>
      <c r="K35" s="8">
        <v>290.47210366303403</v>
      </c>
      <c r="L35" s="8">
        <v>253.03876991018524</v>
      </c>
      <c r="M35" s="8">
        <v>269.90141064865452</v>
      </c>
      <c r="N35" s="8">
        <v>253.22452326007934</v>
      </c>
      <c r="O35" s="8">
        <v>264.36194520088384</v>
      </c>
      <c r="P35" s="8">
        <v>231.45180876534798</v>
      </c>
      <c r="Q35" s="8">
        <v>228.77922808512494</v>
      </c>
      <c r="R35" s="8">
        <v>222.69683373024904</v>
      </c>
      <c r="S35" s="8">
        <v>225.81243759043289</v>
      </c>
      <c r="T35" s="8">
        <v>223.97936910151822</v>
      </c>
      <c r="U35" s="8">
        <v>225.61773508006181</v>
      </c>
    </row>
    <row r="36" spans="1:21" x14ac:dyDescent="0.25">
      <c r="B36" s="6" t="s">
        <v>277</v>
      </c>
      <c r="C36" s="7">
        <v>4060572</v>
      </c>
      <c r="D36" s="8" t="s">
        <v>267</v>
      </c>
      <c r="E36" s="8">
        <v>16484.384514141821</v>
      </c>
      <c r="F36" s="8">
        <v>20033.01217120378</v>
      </c>
      <c r="G36" s="8">
        <v>15677.594382433821</v>
      </c>
      <c r="H36" s="8">
        <v>16815.751175187059</v>
      </c>
      <c r="I36" s="8">
        <v>16696.403447712422</v>
      </c>
      <c r="J36" s="8">
        <v>16720.515574656387</v>
      </c>
      <c r="K36" s="8">
        <v>17413.251394323437</v>
      </c>
      <c r="L36" s="8">
        <v>14094.865026384519</v>
      </c>
      <c r="M36" s="8">
        <v>13458.232852052324</v>
      </c>
      <c r="N36" s="8">
        <v>13245.846515303596</v>
      </c>
      <c r="O36" s="8">
        <v>15017.945722985236</v>
      </c>
      <c r="P36" s="8">
        <v>13697.057524373227</v>
      </c>
      <c r="Q36" s="8">
        <v>15609.61124478736</v>
      </c>
      <c r="R36" s="8">
        <v>13464.995949605052</v>
      </c>
      <c r="S36" s="8">
        <v>13987.852664615415</v>
      </c>
      <c r="T36" s="8">
        <v>17472.993563245895</v>
      </c>
      <c r="U36" s="8">
        <v>14844.842901294454</v>
      </c>
    </row>
    <row r="37" spans="1:21" x14ac:dyDescent="0.25">
      <c r="B37" s="6" t="s">
        <v>278</v>
      </c>
      <c r="C37" s="7">
        <v>4083318</v>
      </c>
      <c r="D37" s="8" t="s">
        <v>267</v>
      </c>
      <c r="E37" s="8">
        <v>931.4215948453683</v>
      </c>
      <c r="F37" s="8">
        <v>945.67019171001255</v>
      </c>
      <c r="G37" s="8">
        <v>751.86579149000033</v>
      </c>
      <c r="H37" s="8">
        <v>671.10264228786377</v>
      </c>
      <c r="I37" s="8">
        <v>795.55235212148852</v>
      </c>
      <c r="J37" s="8">
        <v>698.56059189666507</v>
      </c>
      <c r="K37" s="8">
        <v>756.18100064842986</v>
      </c>
      <c r="L37" s="8">
        <v>880.77887117088289</v>
      </c>
      <c r="M37" s="8">
        <v>858.47622782838096</v>
      </c>
      <c r="N37" s="8">
        <v>889.63495573953685</v>
      </c>
      <c r="O37" s="8">
        <v>951.14043251512805</v>
      </c>
      <c r="P37" s="8">
        <v>886.17396838991488</v>
      </c>
      <c r="Q37" s="8">
        <v>992.78051396210685</v>
      </c>
      <c r="R37" s="8">
        <v>839.59954813796071</v>
      </c>
      <c r="S37" s="8">
        <v>811.11639398645104</v>
      </c>
      <c r="T37" s="8">
        <v>806.13158252276207</v>
      </c>
      <c r="U37" s="8">
        <v>789.5206950889941</v>
      </c>
    </row>
    <row r="38" spans="1:21" x14ac:dyDescent="0.25">
      <c r="B38" s="6" t="s">
        <v>279</v>
      </c>
      <c r="C38" s="7">
        <v>4057125</v>
      </c>
      <c r="D38" s="8" t="s">
        <v>267</v>
      </c>
      <c r="E38" s="8">
        <v>65611.056211762698</v>
      </c>
      <c r="F38" s="8">
        <v>79151.240817925631</v>
      </c>
      <c r="G38" s="8">
        <v>66045.303036055382</v>
      </c>
      <c r="H38" s="8">
        <v>64233.188751617658</v>
      </c>
      <c r="I38" s="8">
        <v>59391.065934234604</v>
      </c>
      <c r="J38" s="8">
        <v>59809.648764872327</v>
      </c>
      <c r="K38" s="8">
        <v>61289.711985659524</v>
      </c>
      <c r="L38" s="8">
        <v>58348.620570138002</v>
      </c>
      <c r="M38" s="8">
        <v>53499.36049879223</v>
      </c>
      <c r="N38" s="8">
        <v>53910.40444627095</v>
      </c>
      <c r="O38" s="8">
        <v>52231.729959328812</v>
      </c>
      <c r="P38" s="8">
        <v>53088.97291662659</v>
      </c>
      <c r="Q38" s="8">
        <v>52351.177683720452</v>
      </c>
      <c r="R38" s="8">
        <v>51207.138144024575</v>
      </c>
      <c r="S38" s="8">
        <v>46882.361341476862</v>
      </c>
      <c r="T38" s="8">
        <v>48006.952120178386</v>
      </c>
      <c r="U38" s="8">
        <v>46740.958497649612</v>
      </c>
    </row>
    <row r="39" spans="1:21" x14ac:dyDescent="0.25">
      <c r="B39" s="6" t="s">
        <v>280</v>
      </c>
      <c r="C39" s="7">
        <v>4087741</v>
      </c>
      <c r="D39" s="8" t="s">
        <v>267</v>
      </c>
      <c r="E39" s="8" t="s">
        <v>267</v>
      </c>
      <c r="F39" s="8" t="s">
        <v>267</v>
      </c>
      <c r="G39" s="8">
        <v>77542.787218667858</v>
      </c>
      <c r="H39" s="8">
        <v>72747.431465887043</v>
      </c>
      <c r="I39" s="8">
        <v>79726.280460794878</v>
      </c>
      <c r="J39" s="8">
        <v>77291.283113590587</v>
      </c>
      <c r="K39" s="8">
        <v>79031.12646718639</v>
      </c>
      <c r="L39" s="8">
        <v>74703.651704099728</v>
      </c>
      <c r="M39" s="8">
        <v>69534.525743752718</v>
      </c>
      <c r="N39" s="8">
        <v>68332.937206093222</v>
      </c>
      <c r="O39" s="8">
        <v>65858.419460827339</v>
      </c>
      <c r="P39" s="8">
        <v>67582.89098287301</v>
      </c>
      <c r="Q39" s="8">
        <v>66388.967033272827</v>
      </c>
      <c r="R39" s="8">
        <v>63518.439286301764</v>
      </c>
      <c r="S39" s="8">
        <v>63639.153306143475</v>
      </c>
      <c r="T39" s="8">
        <v>62153.808165219452</v>
      </c>
      <c r="U39" s="8">
        <v>56862.034888043141</v>
      </c>
    </row>
    <row r="40" spans="1:21" x14ac:dyDescent="0.25">
      <c r="B40" s="6" t="s">
        <v>281</v>
      </c>
      <c r="C40" s="7">
        <v>4059875</v>
      </c>
      <c r="D40" s="8" t="s">
        <v>267</v>
      </c>
      <c r="E40" s="8">
        <v>15460.767023422468</v>
      </c>
      <c r="F40" s="8">
        <v>15281.005969766538</v>
      </c>
      <c r="G40" s="8">
        <v>16931.342921894538</v>
      </c>
      <c r="H40" s="8">
        <v>16242.032634394238</v>
      </c>
      <c r="I40" s="8">
        <v>15847.599536527749</v>
      </c>
      <c r="J40" s="8">
        <v>16877.943937808082</v>
      </c>
      <c r="K40" s="8">
        <v>16765.344949379636</v>
      </c>
      <c r="L40" s="8">
        <v>10442.952943215379</v>
      </c>
      <c r="M40" s="8">
        <v>9485.8856867903269</v>
      </c>
      <c r="N40" s="8">
        <v>13325.279839622404</v>
      </c>
      <c r="O40" s="8">
        <v>13913.217240708191</v>
      </c>
      <c r="P40" s="8">
        <v>12183.339162506993</v>
      </c>
      <c r="Q40" s="8">
        <v>11339.387710533385</v>
      </c>
      <c r="R40" s="8">
        <v>9962.9731105987958</v>
      </c>
      <c r="S40" s="8">
        <v>9606.7912189234194</v>
      </c>
      <c r="T40" s="8">
        <v>8210.6427684619448</v>
      </c>
      <c r="U40" s="8">
        <v>8384.7176856440601</v>
      </c>
    </row>
    <row r="41" spans="1:21" x14ac:dyDescent="0.25">
      <c r="B41" s="6" t="s">
        <v>212</v>
      </c>
      <c r="C41" s="7">
        <v>4057090</v>
      </c>
      <c r="D41" s="8">
        <v>41449.262762158076</v>
      </c>
      <c r="E41" s="8">
        <v>43837.857090121077</v>
      </c>
      <c r="F41" s="8">
        <v>43583.991772611131</v>
      </c>
      <c r="G41" s="8">
        <v>40357.283287618513</v>
      </c>
      <c r="H41" s="8">
        <v>36670.203822853655</v>
      </c>
      <c r="I41" s="8">
        <v>34806.010484860053</v>
      </c>
      <c r="J41" s="8">
        <v>36270.965243360668</v>
      </c>
      <c r="K41" s="8">
        <v>33522.790375103024</v>
      </c>
      <c r="L41" s="8">
        <v>32350.529807429437</v>
      </c>
      <c r="M41" s="8">
        <v>29822.876138340784</v>
      </c>
      <c r="N41" s="8">
        <v>30897.410878183491</v>
      </c>
      <c r="O41" s="8">
        <v>28699.082377253868</v>
      </c>
      <c r="P41" s="8">
        <v>30073.765045951917</v>
      </c>
      <c r="Q41" s="8">
        <v>28192.910317465256</v>
      </c>
      <c r="R41" s="8">
        <v>25600.5108869291</v>
      </c>
      <c r="S41" s="8">
        <v>24964.20616110081</v>
      </c>
      <c r="T41" s="8">
        <v>26048.011123085274</v>
      </c>
      <c r="U41" s="8">
        <v>25113.530859423179</v>
      </c>
    </row>
    <row r="42" spans="1:21" x14ac:dyDescent="0.25">
      <c r="B42" s="6" t="s">
        <v>213</v>
      </c>
      <c r="C42" s="7">
        <v>4008754</v>
      </c>
      <c r="D42" s="8">
        <v>25265.526510407704</v>
      </c>
      <c r="E42" s="8">
        <v>24420.823771378451</v>
      </c>
      <c r="F42" s="8">
        <v>23656.702868771878</v>
      </c>
      <c r="G42" s="8">
        <v>21297.225638774915</v>
      </c>
      <c r="H42" s="8">
        <v>21389.464598617527</v>
      </c>
      <c r="I42" s="8">
        <v>20796.210570144445</v>
      </c>
      <c r="J42" s="8">
        <v>20282.832114696663</v>
      </c>
      <c r="K42" s="8">
        <v>20112.055118208595</v>
      </c>
      <c r="L42" s="8">
        <v>20595.23041668567</v>
      </c>
      <c r="M42" s="8">
        <v>21394.284605269604</v>
      </c>
      <c r="N42" s="8">
        <v>20251.496161996474</v>
      </c>
      <c r="O42" s="8">
        <v>19673.298417579175</v>
      </c>
      <c r="P42" s="8">
        <v>17483.754272404363</v>
      </c>
      <c r="Q42" s="8">
        <v>17916.704930453558</v>
      </c>
      <c r="R42" s="8">
        <v>16881.182652616517</v>
      </c>
      <c r="S42" s="8">
        <v>16451.69977978096</v>
      </c>
      <c r="T42" s="8">
        <v>15093.13694424327</v>
      </c>
      <c r="U42" s="8">
        <v>15663.413902015847</v>
      </c>
    </row>
    <row r="43" spans="1:21" x14ac:dyDescent="0.25">
      <c r="B43" s="6" t="s">
        <v>282</v>
      </c>
      <c r="C43" s="7">
        <v>4061474</v>
      </c>
      <c r="D43" s="8" t="s">
        <v>267</v>
      </c>
      <c r="E43" s="8">
        <v>2317.8992780494227</v>
      </c>
      <c r="F43" s="8">
        <v>2270.2131391781754</v>
      </c>
      <c r="G43" s="8">
        <v>2236.8220921766115</v>
      </c>
      <c r="H43" s="8">
        <v>2136.0218782659213</v>
      </c>
      <c r="I43" s="8">
        <v>2159.4414653183094</v>
      </c>
      <c r="J43" s="8">
        <v>2087.9053162837899</v>
      </c>
      <c r="K43" s="8">
        <v>2104.1402923763721</v>
      </c>
      <c r="L43" s="8">
        <v>2114.2586615517935</v>
      </c>
      <c r="M43" s="8">
        <v>1992.3296572680067</v>
      </c>
      <c r="N43" s="8">
        <v>1868.9570649896198</v>
      </c>
      <c r="O43" s="8">
        <v>1801.1307886586594</v>
      </c>
      <c r="P43" s="8">
        <v>1744.5387684729849</v>
      </c>
      <c r="Q43" s="8">
        <v>1715.8393507629912</v>
      </c>
      <c r="R43" s="8">
        <v>1681.6885613434697</v>
      </c>
      <c r="S43" s="8">
        <v>1551.1643572091816</v>
      </c>
      <c r="T43" s="8">
        <v>1447.320782261274</v>
      </c>
      <c r="U43" s="8">
        <v>1403.0229661157812</v>
      </c>
    </row>
    <row r="44" spans="1:21" x14ac:dyDescent="0.25">
      <c r="B44" s="6" t="s">
        <v>283</v>
      </c>
      <c r="C44" s="7">
        <v>4076679</v>
      </c>
      <c r="D44" s="8" t="s">
        <v>267</v>
      </c>
      <c r="E44" s="8">
        <v>1665.6120597765689</v>
      </c>
      <c r="F44" s="8">
        <v>1627.1456956365118</v>
      </c>
      <c r="G44" s="8">
        <v>1542.8014413487765</v>
      </c>
      <c r="H44" s="8">
        <v>1430.3552260107749</v>
      </c>
      <c r="I44" s="8">
        <v>1390.320598742584</v>
      </c>
      <c r="J44" s="8">
        <v>1452.2075280637412</v>
      </c>
      <c r="K44" s="8">
        <v>1393.1128220022404</v>
      </c>
      <c r="L44" s="8">
        <v>1362.6441646639332</v>
      </c>
      <c r="M44" s="8">
        <v>1337.323695626385</v>
      </c>
      <c r="N44" s="8">
        <v>1313.077830719511</v>
      </c>
      <c r="O44" s="8">
        <v>1269.9229378020873</v>
      </c>
      <c r="P44" s="8">
        <v>1311.530917262136</v>
      </c>
      <c r="Q44" s="8">
        <v>1003.475911759875</v>
      </c>
      <c r="R44" s="8">
        <v>826.91601585247611</v>
      </c>
      <c r="S44" s="8">
        <v>809.72316513519593</v>
      </c>
      <c r="T44" s="8">
        <v>826.53621530188605</v>
      </c>
      <c r="U44" s="8">
        <v>715.33423425787441</v>
      </c>
    </row>
    <row r="45" spans="1:21" x14ac:dyDescent="0.25">
      <c r="B45" s="6" t="s">
        <v>215</v>
      </c>
      <c r="C45" s="7">
        <v>4061634</v>
      </c>
      <c r="D45" s="8">
        <v>31875.350716647496</v>
      </c>
      <c r="E45" s="8">
        <v>41451.154588075347</v>
      </c>
      <c r="F45" s="8">
        <v>41135.619253077093</v>
      </c>
      <c r="G45" s="8">
        <v>41015.336680100598</v>
      </c>
      <c r="H45" s="8">
        <v>36824.154297527668</v>
      </c>
      <c r="I45" s="8">
        <v>36103.379339563144</v>
      </c>
      <c r="J45" s="8">
        <v>38414.127117812313</v>
      </c>
      <c r="K45" s="8">
        <v>34858.286350872884</v>
      </c>
      <c r="L45" s="8">
        <v>34999.035658858265</v>
      </c>
      <c r="M45" s="8">
        <v>33791.632066058912</v>
      </c>
      <c r="N45" s="8">
        <v>34137.994949861153</v>
      </c>
      <c r="O45" s="8">
        <v>32422.485535210908</v>
      </c>
      <c r="P45" s="8">
        <v>31459.046834291501</v>
      </c>
      <c r="Q45" s="8">
        <v>31420.517367241609</v>
      </c>
      <c r="R45" s="8">
        <v>30816.697198591519</v>
      </c>
      <c r="S45" s="8">
        <v>28353.423909175021</v>
      </c>
      <c r="T45" s="8">
        <v>27182.217811194012</v>
      </c>
      <c r="U45" s="8">
        <v>27134.248505092306</v>
      </c>
    </row>
    <row r="46" spans="1:21" x14ac:dyDescent="0.25">
      <c r="B46" s="6" t="s">
        <v>216</v>
      </c>
      <c r="C46" s="7">
        <v>4061687</v>
      </c>
      <c r="D46" s="8">
        <v>99870.664228337468</v>
      </c>
      <c r="E46" s="8">
        <v>124214.78818548095</v>
      </c>
      <c r="F46" s="8">
        <v>118430.96128118526</v>
      </c>
      <c r="G46" s="8">
        <v>118846.81843695964</v>
      </c>
      <c r="H46" s="8">
        <v>120081.28046031678</v>
      </c>
      <c r="I46" s="8">
        <v>117754.87789387329</v>
      </c>
      <c r="J46" s="8">
        <v>121242.1842701765</v>
      </c>
      <c r="K46" s="8">
        <v>119111.68105586604</v>
      </c>
      <c r="L46" s="8">
        <v>114222.95645444334</v>
      </c>
      <c r="M46" s="8">
        <v>109006.35812683713</v>
      </c>
      <c r="N46" s="8">
        <v>108846.22684872222</v>
      </c>
      <c r="O46" s="8">
        <v>108048.33341520358</v>
      </c>
      <c r="P46" s="8">
        <v>105977.42185247158</v>
      </c>
      <c r="Q46" s="8">
        <v>113367.21675270851</v>
      </c>
      <c r="R46" s="8">
        <v>114478.35962268537</v>
      </c>
      <c r="S46" s="8">
        <v>115257.22755827004</v>
      </c>
      <c r="T46" s="8">
        <v>118607.25521486733</v>
      </c>
      <c r="U46" s="8">
        <v>113879.40911202892</v>
      </c>
    </row>
    <row r="47" spans="1:21" x14ac:dyDescent="0.25">
      <c r="A47" s="1" t="s">
        <v>268</v>
      </c>
      <c r="B47" s="6" t="s">
        <v>217</v>
      </c>
      <c r="C47" s="7">
        <v>4061755</v>
      </c>
      <c r="D47" s="8">
        <v>63015.024726195785</v>
      </c>
      <c r="E47" s="8">
        <v>82217.230556477967</v>
      </c>
      <c r="F47" s="8">
        <v>85493.743273103813</v>
      </c>
      <c r="G47" s="8">
        <v>93218.658606239303</v>
      </c>
      <c r="H47" s="8">
        <v>82949.708350125962</v>
      </c>
      <c r="I47" s="8">
        <v>77920.552151001175</v>
      </c>
      <c r="J47" s="8">
        <v>78283.740073078152</v>
      </c>
      <c r="K47" s="8">
        <v>77887.408479171514</v>
      </c>
      <c r="L47" s="8">
        <v>67142.785493767165</v>
      </c>
      <c r="M47" s="8">
        <v>61515.662471742959</v>
      </c>
      <c r="N47" s="8">
        <v>62482.733233143408</v>
      </c>
      <c r="O47" s="8">
        <v>61298.828315294471</v>
      </c>
      <c r="P47" s="8">
        <v>61416.217305213584</v>
      </c>
      <c r="Q47" s="8">
        <v>56641.102658394222</v>
      </c>
      <c r="R47" s="8">
        <v>58987.374950444595</v>
      </c>
      <c r="S47" s="8">
        <v>48464.339545986004</v>
      </c>
      <c r="T47" s="8">
        <v>43627.354575379097</v>
      </c>
      <c r="U47" s="8">
        <v>43387.134938140895</v>
      </c>
    </row>
    <row r="48" spans="1:21" x14ac:dyDescent="0.25">
      <c r="A48" s="1" t="s">
        <v>268</v>
      </c>
      <c r="B48" s="6" t="s">
        <v>219</v>
      </c>
      <c r="C48" s="7">
        <v>4004389</v>
      </c>
      <c r="D48" s="8">
        <v>52791.439931535184</v>
      </c>
      <c r="E48" s="8">
        <v>51198.362624901652</v>
      </c>
      <c r="F48" s="8">
        <v>51991.018088254117</v>
      </c>
      <c r="G48" s="8">
        <v>55199.82556816213</v>
      </c>
      <c r="H48" s="8">
        <v>49466.600226654708</v>
      </c>
      <c r="I48" s="8">
        <v>53440.614864194809</v>
      </c>
      <c r="J48" s="8">
        <v>47705.769189625069</v>
      </c>
      <c r="K48" s="8">
        <v>47692.371114155547</v>
      </c>
      <c r="L48" s="8">
        <v>50369.95372279283</v>
      </c>
      <c r="M48" s="8">
        <v>48915.431717345149</v>
      </c>
      <c r="N48" s="8">
        <v>51894.565570642619</v>
      </c>
      <c r="O48" s="8">
        <v>40257.369661885052</v>
      </c>
      <c r="P48" s="8">
        <v>34910.66867094714</v>
      </c>
      <c r="Q48" s="8">
        <v>26735.251060464674</v>
      </c>
      <c r="R48" s="8">
        <v>26881.96591704831</v>
      </c>
      <c r="S48" s="8">
        <v>25770.090961378959</v>
      </c>
      <c r="T48" s="8">
        <v>27946.33794199516</v>
      </c>
      <c r="U48" s="8">
        <v>28396.263870752806</v>
      </c>
    </row>
    <row r="49" spans="1:21" x14ac:dyDescent="0.25">
      <c r="A49" s="1" t="s">
        <v>268</v>
      </c>
      <c r="B49" s="6" t="s">
        <v>220</v>
      </c>
      <c r="C49" s="7">
        <v>4057014</v>
      </c>
      <c r="D49" s="8">
        <v>95872.376853557929</v>
      </c>
      <c r="E49" s="8">
        <v>85341.511203190094</v>
      </c>
      <c r="F49" s="8">
        <v>82856.642447174614</v>
      </c>
      <c r="G49" s="8">
        <v>82279.259420604008</v>
      </c>
      <c r="H49" s="8">
        <v>85403.357770395844</v>
      </c>
      <c r="I49" s="8">
        <v>83394.040052962111</v>
      </c>
      <c r="J49" s="8">
        <v>77137.71051131573</v>
      </c>
      <c r="K49" s="8">
        <v>85228.971046265884</v>
      </c>
      <c r="L49" s="8">
        <v>81370.604592447344</v>
      </c>
      <c r="M49" s="8">
        <v>90084.903706181183</v>
      </c>
      <c r="N49" s="8">
        <v>88522.483634004515</v>
      </c>
      <c r="O49" s="8">
        <v>88459.21300472143</v>
      </c>
      <c r="P49" s="8">
        <v>71437.588273005123</v>
      </c>
      <c r="Q49" s="8">
        <v>59463.789015071001</v>
      </c>
      <c r="R49" s="8">
        <v>53817.932813718005</v>
      </c>
      <c r="S49" s="8">
        <v>56412.528059505275</v>
      </c>
      <c r="T49" s="8">
        <v>52780.535005975871</v>
      </c>
      <c r="U49" s="8">
        <v>57623.108733236208</v>
      </c>
    </row>
    <row r="50" spans="1:21" x14ac:dyDescent="0.25">
      <c r="B50" s="6" t="s">
        <v>221</v>
      </c>
      <c r="C50" s="7">
        <v>4057130</v>
      </c>
      <c r="D50" s="8">
        <v>22701.637310294638</v>
      </c>
      <c r="E50" s="8">
        <v>21095.516114353668</v>
      </c>
      <c r="F50" s="8">
        <v>22777.415749794869</v>
      </c>
      <c r="G50" s="8">
        <v>24668.180387193584</v>
      </c>
      <c r="H50" s="8">
        <v>24068.658596981826</v>
      </c>
      <c r="I50" s="8">
        <v>26538.050433396726</v>
      </c>
      <c r="J50" s="8">
        <v>31949.59722352033</v>
      </c>
      <c r="K50" s="8">
        <v>36076.807667044093</v>
      </c>
      <c r="L50" s="8">
        <v>27198.424276398593</v>
      </c>
      <c r="M50" s="8">
        <v>24462.000490280625</v>
      </c>
      <c r="N50" s="8">
        <v>26174.797879453181</v>
      </c>
      <c r="O50" s="8">
        <v>27974.850253030549</v>
      </c>
      <c r="P50" s="8">
        <v>24755.435509419724</v>
      </c>
      <c r="Q50" s="8">
        <v>23405.767692914567</v>
      </c>
      <c r="R50" s="8">
        <v>19862.906560865864</v>
      </c>
      <c r="S50" s="8">
        <v>11815.047106748405</v>
      </c>
      <c r="T50" s="8">
        <v>25903.881217645598</v>
      </c>
      <c r="U50" s="8">
        <v>17033.14496822928</v>
      </c>
    </row>
    <row r="51" spans="1:21" x14ac:dyDescent="0.25">
      <c r="B51" s="6" t="s">
        <v>223</v>
      </c>
      <c r="C51" s="7">
        <v>4057131</v>
      </c>
      <c r="D51" s="8">
        <v>196100.30004486439</v>
      </c>
      <c r="E51" s="8">
        <v>165446.37198868339</v>
      </c>
      <c r="F51" s="8">
        <v>156521.47332761652</v>
      </c>
      <c r="G51" s="8">
        <v>129651.72681811774</v>
      </c>
      <c r="H51" s="8">
        <v>130214.33113148401</v>
      </c>
      <c r="I51" s="8">
        <v>130920.9375980678</v>
      </c>
      <c r="J51" s="8">
        <v>131946.84268054261</v>
      </c>
      <c r="K51" s="8">
        <v>127513.92815992053</v>
      </c>
      <c r="L51" s="8">
        <v>133156.94096915462</v>
      </c>
      <c r="M51" s="8">
        <v>121945.96030694597</v>
      </c>
      <c r="N51" s="8">
        <v>122602.11367553778</v>
      </c>
      <c r="O51" s="8">
        <v>123291.38641678118</v>
      </c>
      <c r="P51" s="8">
        <v>111970.93901743327</v>
      </c>
      <c r="Q51" s="8">
        <v>104486.05532785834</v>
      </c>
      <c r="R51" s="8">
        <v>97967.776583878833</v>
      </c>
      <c r="S51" s="8">
        <v>105515.95214805925</v>
      </c>
      <c r="T51" s="8">
        <v>98922.143561323071</v>
      </c>
      <c r="U51" s="8">
        <v>93447.542300605739</v>
      </c>
    </row>
    <row r="52" spans="1:21" x14ac:dyDescent="0.25">
      <c r="B52" s="6" t="s">
        <v>224</v>
      </c>
      <c r="C52" s="7">
        <v>4012860</v>
      </c>
      <c r="D52" s="8">
        <v>104270.15019530093</v>
      </c>
      <c r="E52" s="8">
        <v>103992.26690912139</v>
      </c>
      <c r="F52" s="8">
        <v>109538.06678946562</v>
      </c>
      <c r="G52" s="8">
        <v>90570.732383147028</v>
      </c>
      <c r="H52" s="8">
        <v>99311.918310156107</v>
      </c>
      <c r="I52" s="8">
        <v>87130.912645731441</v>
      </c>
      <c r="J52" s="8">
        <v>83383.110163308709</v>
      </c>
      <c r="K52" s="8">
        <v>97692.068795744068</v>
      </c>
      <c r="L52" s="8">
        <v>99166.242988633443</v>
      </c>
      <c r="M52" s="8">
        <v>97479.787324670979</v>
      </c>
      <c r="N52" s="8">
        <v>115420.59681062493</v>
      </c>
      <c r="O52" s="8">
        <v>100828.30374014312</v>
      </c>
      <c r="P52" s="8">
        <v>94798.933630248488</v>
      </c>
      <c r="Q52" s="8">
        <v>84481.431154515682</v>
      </c>
      <c r="R52" s="8">
        <v>82981.582427744157</v>
      </c>
      <c r="S52" s="8">
        <v>80776.382544278138</v>
      </c>
      <c r="T52" s="8">
        <v>82717.253202818785</v>
      </c>
      <c r="U52" s="8">
        <v>79977.258213030465</v>
      </c>
    </row>
    <row r="53" spans="1:21" x14ac:dyDescent="0.25">
      <c r="B53" s="6" t="s">
        <v>227</v>
      </c>
      <c r="C53" s="7">
        <v>4061925</v>
      </c>
      <c r="D53" s="8">
        <v>10711.238559609676</v>
      </c>
      <c r="E53" s="8">
        <v>10898.807693605224</v>
      </c>
      <c r="F53" s="8">
        <v>11292.127108436638</v>
      </c>
      <c r="G53" s="8">
        <v>10655.250668141378</v>
      </c>
      <c r="H53" s="8">
        <v>10589.077859371235</v>
      </c>
      <c r="I53" s="8">
        <v>11390.254155648781</v>
      </c>
      <c r="J53" s="8">
        <v>11740.690897909964</v>
      </c>
      <c r="K53" s="8">
        <v>11353.66473246768</v>
      </c>
      <c r="L53" s="8">
        <v>10831.09484777619</v>
      </c>
      <c r="M53" s="8">
        <v>10447.266129236748</v>
      </c>
      <c r="N53" s="8">
        <v>9938.018430254102</v>
      </c>
      <c r="O53" s="8">
        <v>9422.7625509835452</v>
      </c>
      <c r="P53" s="8">
        <v>8796.7257060489574</v>
      </c>
      <c r="Q53" s="8">
        <v>7999.9684990343085</v>
      </c>
      <c r="R53" s="8">
        <v>7693.4698670124135</v>
      </c>
      <c r="S53" s="8">
        <v>7096.9857396873394</v>
      </c>
      <c r="T53" s="8">
        <v>7269.170010609394</v>
      </c>
      <c r="U53" s="8">
        <v>7319.8004167187655</v>
      </c>
    </row>
    <row r="54" spans="1:21" x14ac:dyDescent="0.25">
      <c r="B54" s="6" t="s">
        <v>284</v>
      </c>
      <c r="C54" s="7">
        <v>4057132</v>
      </c>
      <c r="D54" s="8" t="s">
        <v>267</v>
      </c>
      <c r="E54" s="8" t="s">
        <v>267</v>
      </c>
      <c r="F54" s="8" t="s">
        <v>267</v>
      </c>
      <c r="G54" s="8" t="s">
        <v>267</v>
      </c>
      <c r="H54" s="8">
        <v>71144.763000555089</v>
      </c>
      <c r="I54" s="8">
        <v>65976.66530398099</v>
      </c>
      <c r="J54" s="8">
        <v>68850.499082911017</v>
      </c>
      <c r="K54" s="8">
        <v>60017.438109170274</v>
      </c>
      <c r="L54" s="8">
        <v>60495.156941816</v>
      </c>
      <c r="M54" s="8">
        <v>56396.847842729141</v>
      </c>
      <c r="N54" s="8">
        <v>54433.130365542194</v>
      </c>
      <c r="O54" s="8">
        <v>54238.819748945301</v>
      </c>
      <c r="P54" s="8">
        <v>58264.58490714903</v>
      </c>
      <c r="Q54" s="8">
        <v>51960.964964347208</v>
      </c>
      <c r="R54" s="8">
        <v>54744.671384937938</v>
      </c>
      <c r="S54" s="8">
        <v>51975.50069878895</v>
      </c>
      <c r="T54" s="8">
        <v>50979.036768319755</v>
      </c>
      <c r="U54" s="8">
        <v>46347.76842041262</v>
      </c>
    </row>
    <row r="55" spans="1:21" x14ac:dyDescent="0.25">
      <c r="A55" s="1" t="s">
        <v>268</v>
      </c>
      <c r="B55" s="6" t="s">
        <v>285</v>
      </c>
      <c r="C55" s="7">
        <v>4057115</v>
      </c>
      <c r="D55" s="8" t="s">
        <v>267</v>
      </c>
      <c r="E55" s="8">
        <v>25924.325302047197</v>
      </c>
      <c r="F55" s="8">
        <v>26059.417668921022</v>
      </c>
      <c r="G55" s="8">
        <v>24229.766907374495</v>
      </c>
      <c r="H55" s="8">
        <v>23103.689874645297</v>
      </c>
      <c r="I55" s="8">
        <v>24613.528866761815</v>
      </c>
      <c r="J55" s="8">
        <v>28385.401181735466</v>
      </c>
      <c r="K55" s="8">
        <v>31429.623033460663</v>
      </c>
      <c r="L55" s="8">
        <v>31918.103370102552</v>
      </c>
      <c r="M55" s="8">
        <v>29393.597852185238</v>
      </c>
      <c r="N55" s="8">
        <v>29264.872753870306</v>
      </c>
      <c r="O55" s="8">
        <v>27197.939740543981</v>
      </c>
      <c r="P55" s="8">
        <v>21211.595403353735</v>
      </c>
      <c r="Q55" s="8">
        <v>22538.464090471964</v>
      </c>
      <c r="R55" s="8">
        <v>23701.386202489004</v>
      </c>
      <c r="S55" s="8">
        <v>23675.149693439787</v>
      </c>
      <c r="T55" s="8">
        <v>23949.807142880833</v>
      </c>
      <c r="U55" s="8">
        <v>22615.866156406832</v>
      </c>
    </row>
    <row r="56" spans="1:21" x14ac:dyDescent="0.25">
      <c r="B56" s="6" t="s">
        <v>228</v>
      </c>
      <c r="C56" s="7">
        <v>4064479</v>
      </c>
      <c r="D56" s="8">
        <v>4184.2268192442534</v>
      </c>
      <c r="E56" s="8">
        <v>3963.1206684449871</v>
      </c>
      <c r="F56" s="8">
        <v>4520.5013065575022</v>
      </c>
      <c r="G56" s="8">
        <v>4144.8035984800026</v>
      </c>
      <c r="H56" s="8">
        <v>4151.439022008125</v>
      </c>
      <c r="I56" s="8">
        <v>3942.0154963251489</v>
      </c>
      <c r="J56" s="8">
        <v>3738.6639001486878</v>
      </c>
      <c r="K56" s="8">
        <v>3626.8248511942397</v>
      </c>
      <c r="L56" s="8">
        <v>3524.5866938872041</v>
      </c>
      <c r="M56" s="8">
        <v>3619.709483348694</v>
      </c>
      <c r="N56" s="8">
        <v>3611.3240842695345</v>
      </c>
      <c r="O56" s="8">
        <v>3672.1813767703243</v>
      </c>
      <c r="P56" s="8">
        <v>3820.86026940589</v>
      </c>
      <c r="Q56" s="8">
        <v>3561.5959275738101</v>
      </c>
      <c r="R56" s="8">
        <v>3463.9709841071881</v>
      </c>
      <c r="S56" s="8">
        <v>3481.6100742839626</v>
      </c>
      <c r="T56" s="8">
        <v>3313.2561051588359</v>
      </c>
      <c r="U56" s="8">
        <v>3406.9736878753993</v>
      </c>
    </row>
    <row r="57" spans="1:21" x14ac:dyDescent="0.25">
      <c r="B57" s="6" t="s">
        <v>286</v>
      </c>
      <c r="C57" s="7">
        <v>4062025</v>
      </c>
      <c r="D57" s="8" t="s">
        <v>267</v>
      </c>
      <c r="E57" s="8">
        <v>5592.1854349071309</v>
      </c>
      <c r="F57" s="8">
        <v>5704.7146404033083</v>
      </c>
      <c r="G57" s="8">
        <v>4343.7674673234806</v>
      </c>
      <c r="H57" s="8">
        <v>4519.5298435713612</v>
      </c>
      <c r="I57" s="8">
        <v>4598.7615805787173</v>
      </c>
      <c r="J57" s="8">
        <v>3736.5532299210658</v>
      </c>
      <c r="K57" s="8">
        <v>3780.7573787070373</v>
      </c>
      <c r="L57" s="8">
        <v>3775.6662071589076</v>
      </c>
      <c r="M57" s="8">
        <v>3843.9029003550436</v>
      </c>
      <c r="N57" s="8">
        <v>3639.5171251655329</v>
      </c>
      <c r="O57" s="8">
        <v>3265.2547179363623</v>
      </c>
      <c r="P57" s="8">
        <v>3396.3617403029903</v>
      </c>
      <c r="Q57" s="8">
        <v>3197.419583684883</v>
      </c>
      <c r="R57" s="8">
        <v>3148.8464225760358</v>
      </c>
      <c r="S57" s="8">
        <v>2985.3549663904105</v>
      </c>
      <c r="T57" s="8">
        <v>2972.5471248726881</v>
      </c>
      <c r="U57" s="8">
        <v>2931.0025888548548</v>
      </c>
    </row>
    <row r="58" spans="1:21" x14ac:dyDescent="0.25">
      <c r="B58" s="6" t="s">
        <v>287</v>
      </c>
      <c r="C58" s="7">
        <v>4064481</v>
      </c>
      <c r="D58" s="8" t="s">
        <v>267</v>
      </c>
      <c r="E58" s="8" t="s">
        <v>267</v>
      </c>
      <c r="F58" s="8" t="s">
        <v>267</v>
      </c>
      <c r="G58" s="8">
        <v>86197.848190538571</v>
      </c>
      <c r="H58" s="8">
        <v>89446.625299566309</v>
      </c>
      <c r="I58" s="8">
        <v>91088.859989218705</v>
      </c>
      <c r="J58" s="8">
        <v>93908.665713540788</v>
      </c>
      <c r="K58" s="8">
        <v>92223.136007510388</v>
      </c>
      <c r="L58" s="8">
        <v>88974.586744708824</v>
      </c>
      <c r="M58" s="8">
        <v>82770.053260456843</v>
      </c>
      <c r="N58" s="8">
        <v>89138.435444482602</v>
      </c>
      <c r="O58" s="8">
        <v>84374.344619873315</v>
      </c>
      <c r="P58" s="8">
        <v>84056.578002522525</v>
      </c>
      <c r="Q58" s="8">
        <v>77136.998411840323</v>
      </c>
      <c r="R58" s="8">
        <v>79125.153787010029</v>
      </c>
      <c r="S58" s="8">
        <v>79066.000430426822</v>
      </c>
      <c r="T58" s="8">
        <v>73591.378736517159</v>
      </c>
      <c r="U58" s="8">
        <v>68990.582931063051</v>
      </c>
    </row>
    <row r="59" spans="1:21" x14ac:dyDescent="0.25">
      <c r="A59" s="1" t="s">
        <v>268</v>
      </c>
      <c r="B59" s="6" t="s">
        <v>229</v>
      </c>
      <c r="C59" s="7">
        <v>4057093</v>
      </c>
      <c r="D59" s="8">
        <v>36289.335199840541</v>
      </c>
      <c r="E59" s="8">
        <v>38585.552603824442</v>
      </c>
      <c r="F59" s="8">
        <v>40968.334991401658</v>
      </c>
      <c r="G59" s="8">
        <v>40266.618376673767</v>
      </c>
      <c r="H59" s="8">
        <v>36866.979976522802</v>
      </c>
      <c r="I59" s="8">
        <v>29830.54051231057</v>
      </c>
      <c r="J59" s="8">
        <v>32451.099745113952</v>
      </c>
      <c r="K59" s="8">
        <v>33954.671076626488</v>
      </c>
      <c r="L59" s="8">
        <v>33997.974684585926</v>
      </c>
      <c r="M59" s="8">
        <v>34267.909817883403</v>
      </c>
      <c r="N59" s="8">
        <v>33839.840058673537</v>
      </c>
      <c r="O59" s="8">
        <v>31818.807517694335</v>
      </c>
      <c r="P59" s="8">
        <v>29156.037687573487</v>
      </c>
      <c r="Q59" s="8">
        <v>27433.670815731974</v>
      </c>
      <c r="R59" s="8">
        <v>27425.942564272918</v>
      </c>
      <c r="S59" s="8">
        <v>23875.073216607118</v>
      </c>
      <c r="T59" s="8">
        <v>23338.205921053581</v>
      </c>
      <c r="U59" s="8">
        <v>24334.765848066636</v>
      </c>
    </row>
    <row r="60" spans="1:21" x14ac:dyDescent="0.25">
      <c r="B60" s="6" t="s">
        <v>230</v>
      </c>
      <c r="C60" s="7">
        <v>4004218</v>
      </c>
      <c r="D60" s="8">
        <v>671333.7726581461</v>
      </c>
      <c r="E60" s="8">
        <v>610484.16884795646</v>
      </c>
      <c r="F60" s="8">
        <v>611799.52480874443</v>
      </c>
      <c r="G60" s="8">
        <v>500431.56808269583</v>
      </c>
      <c r="H60" s="8">
        <v>479228.23814969225</v>
      </c>
      <c r="I60" s="8">
        <v>485455.59483220225</v>
      </c>
      <c r="J60" s="8">
        <v>426910.24440603418</v>
      </c>
      <c r="K60" s="8">
        <v>380602.66054951696</v>
      </c>
      <c r="L60" s="8">
        <v>434519.27922986925</v>
      </c>
      <c r="M60" s="8">
        <v>391801.52524861792</v>
      </c>
      <c r="N60" s="8">
        <v>355059.6717027853</v>
      </c>
      <c r="O60" s="8">
        <v>359728.44665335119</v>
      </c>
      <c r="P60" s="8">
        <v>344803.94378863496</v>
      </c>
      <c r="Q60" s="8">
        <v>288659.64442257083</v>
      </c>
      <c r="R60" s="8">
        <v>284535.1617717382</v>
      </c>
      <c r="S60" s="8">
        <v>283422.53288974916</v>
      </c>
      <c r="T60" s="8">
        <v>312385.47352218168</v>
      </c>
      <c r="U60" s="8">
        <v>250096.56945572305</v>
      </c>
    </row>
    <row r="61" spans="1:21" x14ac:dyDescent="0.25">
      <c r="A61" s="1" t="s">
        <v>268</v>
      </c>
      <c r="B61" s="6" t="s">
        <v>288</v>
      </c>
      <c r="C61" s="7">
        <v>4062222</v>
      </c>
      <c r="D61" s="8" t="s">
        <v>267</v>
      </c>
      <c r="E61" s="8">
        <v>70225.367563514854</v>
      </c>
      <c r="F61" s="8">
        <v>68221.970904773363</v>
      </c>
      <c r="G61" s="8">
        <v>69528.185894044116</v>
      </c>
      <c r="H61" s="8">
        <v>68313.410632568382</v>
      </c>
      <c r="I61" s="8">
        <v>66057.923922015325</v>
      </c>
      <c r="J61" s="8">
        <v>63905.241597151638</v>
      </c>
      <c r="K61" s="8">
        <v>62338.867074138456</v>
      </c>
      <c r="L61" s="8">
        <v>58011.878403672687</v>
      </c>
      <c r="M61" s="8">
        <v>57190.353435831239</v>
      </c>
      <c r="N61" s="8">
        <v>56468.077616536582</v>
      </c>
      <c r="O61" s="8">
        <v>56840.334622512506</v>
      </c>
      <c r="P61" s="8">
        <v>55119.427865274192</v>
      </c>
      <c r="Q61" s="8">
        <v>54123.703599598295</v>
      </c>
      <c r="R61" s="8">
        <v>54232.047694189183</v>
      </c>
      <c r="S61" s="8">
        <v>51583.934026167575</v>
      </c>
      <c r="T61" s="8">
        <v>50206.919366792761</v>
      </c>
      <c r="U61" s="8">
        <v>48457.965331789514</v>
      </c>
    </row>
    <row r="62" spans="1:21" x14ac:dyDescent="0.25">
      <c r="B62" s="6" t="s">
        <v>233</v>
      </c>
      <c r="C62" s="7">
        <v>4057135</v>
      </c>
      <c r="D62" s="8">
        <v>180126.50508924772</v>
      </c>
      <c r="E62" s="8">
        <v>156859.13791459746</v>
      </c>
      <c r="F62" s="8">
        <v>186579.80824094889</v>
      </c>
      <c r="G62" s="8">
        <v>198914.53896392783</v>
      </c>
      <c r="H62" s="8">
        <v>180773.47181010456</v>
      </c>
      <c r="I62" s="8">
        <v>222879.02832919447</v>
      </c>
      <c r="J62" s="8">
        <v>192949.3817326139</v>
      </c>
      <c r="K62" s="8">
        <v>233044.56576962146</v>
      </c>
      <c r="L62" s="8">
        <v>201260.3198233156</v>
      </c>
      <c r="M62" s="8">
        <v>161999.05907341951</v>
      </c>
      <c r="N62" s="8">
        <v>149668.86619014226</v>
      </c>
      <c r="O62" s="8">
        <v>158387.71909842751</v>
      </c>
      <c r="P62" s="8">
        <v>154002.5109889805</v>
      </c>
      <c r="Q62" s="8">
        <v>154835.79158815838</v>
      </c>
      <c r="R62" s="8">
        <v>160877.00964816008</v>
      </c>
      <c r="S62" s="8">
        <v>134772.78556391038</v>
      </c>
      <c r="T62" s="8">
        <v>148910.06034781874</v>
      </c>
      <c r="U62" s="8">
        <v>119377.83265110318</v>
      </c>
    </row>
    <row r="63" spans="1:21" x14ac:dyDescent="0.25">
      <c r="B63" s="6" t="s">
        <v>234</v>
      </c>
      <c r="C63" s="7">
        <v>4063341</v>
      </c>
      <c r="D63" s="8">
        <v>64831.294354839498</v>
      </c>
      <c r="E63" s="8">
        <v>61469.23856946615</v>
      </c>
      <c r="F63" s="8">
        <v>61143.96381646736</v>
      </c>
      <c r="G63" s="8">
        <v>56599.164911879714</v>
      </c>
      <c r="H63" s="8">
        <v>50786.518046683625</v>
      </c>
      <c r="I63" s="8">
        <v>51563.799338180586</v>
      </c>
      <c r="J63" s="8">
        <v>47773.466044723769</v>
      </c>
      <c r="K63" s="8">
        <v>45957.730536571216</v>
      </c>
      <c r="L63" s="8">
        <v>45616.211312616491</v>
      </c>
      <c r="M63" s="8">
        <v>41991.824974115007</v>
      </c>
      <c r="N63" s="8">
        <v>43833.70975462471</v>
      </c>
      <c r="O63" s="8">
        <v>43905.909392379697</v>
      </c>
      <c r="P63" s="8">
        <v>42008.983152988163</v>
      </c>
      <c r="Q63" s="8">
        <v>36526.367220965563</v>
      </c>
      <c r="R63" s="8">
        <v>37238.277135051918</v>
      </c>
      <c r="S63" s="8">
        <v>37033.955890354613</v>
      </c>
      <c r="T63" s="8">
        <v>35431.35222137026</v>
      </c>
      <c r="U63" s="8">
        <v>34076.381430163136</v>
      </c>
    </row>
    <row r="64" spans="1:21" x14ac:dyDescent="0.25">
      <c r="A64" s="1" t="s">
        <v>268</v>
      </c>
      <c r="B64" s="6" t="s">
        <v>289</v>
      </c>
      <c r="C64" s="7">
        <v>4083575</v>
      </c>
      <c r="D64" s="8" t="s">
        <v>267</v>
      </c>
      <c r="E64" s="8">
        <v>111885.38483052354</v>
      </c>
      <c r="F64" s="8">
        <v>126160.42336261325</v>
      </c>
      <c r="G64" s="8">
        <v>134968.86812109564</v>
      </c>
      <c r="H64" s="8">
        <v>133993.59351414672</v>
      </c>
      <c r="I64" s="8">
        <v>145114.11626443508</v>
      </c>
      <c r="J64" s="8">
        <v>134030.73439851182</v>
      </c>
      <c r="K64" s="8">
        <v>117421.19354271283</v>
      </c>
      <c r="L64" s="8">
        <v>107133.65095782849</v>
      </c>
      <c r="M64" s="8">
        <v>113477.2505570043</v>
      </c>
      <c r="N64" s="8">
        <v>106608.32836786049</v>
      </c>
      <c r="O64" s="8">
        <v>111377.5351851459</v>
      </c>
      <c r="P64" s="8">
        <v>102934.89652286377</v>
      </c>
      <c r="Q64" s="8">
        <v>99569.357878318464</v>
      </c>
      <c r="R64" s="8">
        <v>98881.184166723484</v>
      </c>
      <c r="S64" s="8">
        <v>83589.062409899547</v>
      </c>
      <c r="T64" s="8">
        <v>82242.483200019517</v>
      </c>
      <c r="U64" s="8">
        <v>84923.585807141644</v>
      </c>
    </row>
    <row r="65" spans="1:21" x14ac:dyDescent="0.25">
      <c r="B65" s="6" t="s">
        <v>290</v>
      </c>
      <c r="C65" s="7">
        <v>4062303</v>
      </c>
      <c r="D65" s="8" t="s">
        <v>267</v>
      </c>
      <c r="E65" s="8">
        <v>236.18691783464845</v>
      </c>
      <c r="F65" s="8">
        <v>191.90180206490575</v>
      </c>
      <c r="G65" s="8">
        <v>181.85580296621407</v>
      </c>
      <c r="H65" s="8">
        <v>182.74480838589966</v>
      </c>
      <c r="I65" s="8" t="s">
        <v>267</v>
      </c>
      <c r="J65" s="8">
        <v>312.9217148107561</v>
      </c>
      <c r="K65" s="8">
        <v>415.84870607176094</v>
      </c>
      <c r="L65" s="8">
        <v>288.07726864430663</v>
      </c>
      <c r="M65" s="8">
        <v>214.13546457749283</v>
      </c>
      <c r="N65" s="8">
        <v>188.69948397850888</v>
      </c>
      <c r="O65" s="8">
        <v>145.5174704034896</v>
      </c>
      <c r="P65" s="8">
        <v>124.81376526478174</v>
      </c>
      <c r="Q65" s="8">
        <v>203.48784479187165</v>
      </c>
      <c r="R65" s="8">
        <v>217.09313674016539</v>
      </c>
      <c r="S65" s="8">
        <v>175.09419203021514</v>
      </c>
      <c r="T65" s="8">
        <v>159.71429678431787</v>
      </c>
      <c r="U65" s="8">
        <v>130.72910959012682</v>
      </c>
    </row>
    <row r="66" spans="1:21" x14ac:dyDescent="0.25">
      <c r="B66" s="6" t="s">
        <v>291</v>
      </c>
      <c r="C66" s="7">
        <v>4083581</v>
      </c>
      <c r="D66" s="8" t="s">
        <v>267</v>
      </c>
      <c r="E66" s="8">
        <v>1371.7191852662231</v>
      </c>
      <c r="F66" s="8">
        <v>1380.792996023504</v>
      </c>
      <c r="G66" s="8">
        <v>1369.8420524938083</v>
      </c>
      <c r="H66" s="8">
        <v>1304.894880149137</v>
      </c>
      <c r="I66" s="8">
        <v>1272.3023599903595</v>
      </c>
      <c r="J66" s="8">
        <v>1334.2551583042577</v>
      </c>
      <c r="K66" s="8">
        <v>994.56607513920073</v>
      </c>
      <c r="L66" s="8">
        <v>1045.6889199901325</v>
      </c>
      <c r="M66" s="8">
        <v>686.30102612441181</v>
      </c>
      <c r="N66" s="8">
        <v>990.44001915130082</v>
      </c>
      <c r="O66" s="8">
        <v>950.45568891780783</v>
      </c>
      <c r="P66" s="8">
        <v>950.63332012778119</v>
      </c>
      <c r="Q66" s="8">
        <v>939.56923970107994</v>
      </c>
      <c r="R66" s="8">
        <v>934.85040585963202</v>
      </c>
      <c r="S66" s="8">
        <v>1043.7488436944982</v>
      </c>
      <c r="T66" s="8">
        <v>1037.2043288074919</v>
      </c>
      <c r="U66" s="8">
        <v>1039.5109675677741</v>
      </c>
    </row>
    <row r="67" spans="1:21" x14ac:dyDescent="0.25">
      <c r="B67" s="6" t="s">
        <v>236</v>
      </c>
      <c r="C67" s="7">
        <v>4057139</v>
      </c>
      <c r="D67" s="8">
        <v>52682.231648557477</v>
      </c>
      <c r="E67" s="8">
        <v>47166.889275177207</v>
      </c>
      <c r="F67" s="8">
        <v>46018.672507611722</v>
      </c>
      <c r="G67" s="8">
        <v>44569.217480491643</v>
      </c>
      <c r="H67" s="8">
        <v>43016.153504655216</v>
      </c>
      <c r="I67" s="8">
        <v>46979.33311379762</v>
      </c>
      <c r="J67" s="8">
        <v>44874.014935923202</v>
      </c>
      <c r="K67" s="8">
        <v>42658.212858856903</v>
      </c>
      <c r="L67" s="8">
        <v>42373.210047341054</v>
      </c>
      <c r="M67" s="8">
        <v>41985.130393318628</v>
      </c>
      <c r="N67" s="8">
        <v>39962.576680632686</v>
      </c>
      <c r="O67" s="8">
        <v>40849.962136395523</v>
      </c>
      <c r="P67" s="8">
        <v>40471.53517799094</v>
      </c>
      <c r="Q67" s="8">
        <v>43066.822809345816</v>
      </c>
      <c r="R67" s="8">
        <v>40974.963094546489</v>
      </c>
      <c r="S67" s="8">
        <v>38956.66360608855</v>
      </c>
      <c r="T67" s="8">
        <v>39241.9852025367</v>
      </c>
      <c r="U67" s="8">
        <v>38631.331144505391</v>
      </c>
    </row>
    <row r="68" spans="1:21" x14ac:dyDescent="0.25">
      <c r="A68" s="1" t="s">
        <v>268</v>
      </c>
      <c r="B68" s="6" t="s">
        <v>238</v>
      </c>
      <c r="C68" s="7">
        <v>4057095</v>
      </c>
      <c r="D68" s="8">
        <v>110983.78094173687</v>
      </c>
      <c r="E68" s="8" t="s">
        <v>267</v>
      </c>
      <c r="F68" s="8">
        <v>145225.49222909816</v>
      </c>
      <c r="G68" s="8">
        <v>163214.73502973781</v>
      </c>
      <c r="H68" s="8">
        <v>159847.84510199286</v>
      </c>
      <c r="I68" s="8">
        <v>160125.81776765024</v>
      </c>
      <c r="J68" s="8">
        <v>155221.53788083006</v>
      </c>
      <c r="K68" s="8">
        <v>152585.27481029072</v>
      </c>
      <c r="L68" s="8">
        <v>178403.55944872284</v>
      </c>
      <c r="M68" s="8">
        <v>174375.28321338704</v>
      </c>
      <c r="N68" s="8">
        <v>162229.08288050757</v>
      </c>
      <c r="O68" s="8">
        <v>166220.43561650591</v>
      </c>
      <c r="P68" s="8">
        <v>167797.77592448425</v>
      </c>
      <c r="Q68" s="8">
        <v>148469.56317380181</v>
      </c>
      <c r="R68" s="8">
        <v>155780.63864305965</v>
      </c>
      <c r="S68" s="8">
        <v>154647.18638147769</v>
      </c>
      <c r="T68" s="8">
        <v>171494.0286383662</v>
      </c>
      <c r="U68" s="8">
        <v>167384.62027710277</v>
      </c>
    </row>
    <row r="69" spans="1:21" x14ac:dyDescent="0.25">
      <c r="B69" s="6" t="s">
        <v>239</v>
      </c>
      <c r="C69" s="7">
        <v>4062485</v>
      </c>
      <c r="D69" s="8">
        <v>79674.442452433854</v>
      </c>
      <c r="E69" s="8">
        <v>80251.78372497081</v>
      </c>
      <c r="F69" s="8">
        <v>79889.834978465602</v>
      </c>
      <c r="G69" s="8">
        <v>81332.48437983742</v>
      </c>
      <c r="H69" s="8">
        <v>82597.207446097178</v>
      </c>
      <c r="I69" s="8">
        <v>75477.712152133361</v>
      </c>
      <c r="J69" s="8">
        <v>69017.69789680987</v>
      </c>
      <c r="K69" s="8">
        <v>72470.05352037352</v>
      </c>
      <c r="L69" s="8">
        <v>71683.975974533649</v>
      </c>
      <c r="M69" s="8">
        <v>71620.362662287487</v>
      </c>
      <c r="N69" s="8">
        <v>71729.350096586757</v>
      </c>
      <c r="O69" s="8">
        <v>69938.112935007332</v>
      </c>
      <c r="P69" s="8">
        <v>73016.963373358914</v>
      </c>
      <c r="Q69" s="8">
        <v>68905.28758454835</v>
      </c>
      <c r="R69" s="8">
        <v>60799.791315706367</v>
      </c>
      <c r="S69" s="8">
        <v>55966.583352225054</v>
      </c>
      <c r="T69" s="8">
        <v>53311.126989715376</v>
      </c>
      <c r="U69" s="8">
        <v>42411.294400698338</v>
      </c>
    </row>
    <row r="70" spans="1:21" x14ac:dyDescent="0.25">
      <c r="B70" s="6" t="s">
        <v>240</v>
      </c>
      <c r="C70" s="7">
        <v>4057140</v>
      </c>
      <c r="D70" s="8">
        <v>65292.075702012131</v>
      </c>
      <c r="E70" s="8">
        <v>61628.05804550735</v>
      </c>
      <c r="F70" s="8">
        <v>72364.726682430453</v>
      </c>
      <c r="G70" s="8">
        <v>64437.463566592574</v>
      </c>
      <c r="H70" s="8">
        <v>63944.814162722927</v>
      </c>
      <c r="I70" s="8">
        <v>72181.394377703473</v>
      </c>
      <c r="J70" s="8">
        <v>75083.625133793845</v>
      </c>
      <c r="K70" s="8">
        <v>74785.639676130988</v>
      </c>
      <c r="L70" s="8">
        <v>74301.791793935161</v>
      </c>
      <c r="M70" s="8">
        <v>73403.947811992984</v>
      </c>
      <c r="N70" s="8">
        <v>69087.059124198364</v>
      </c>
      <c r="O70" s="8">
        <v>67664.757935757138</v>
      </c>
      <c r="P70" s="8">
        <v>64812.076432571041</v>
      </c>
      <c r="Q70" s="8">
        <v>62344.864305080519</v>
      </c>
      <c r="R70" s="8">
        <v>64680.423388267329</v>
      </c>
      <c r="S70" s="8">
        <v>61455.64392686668</v>
      </c>
      <c r="T70" s="8">
        <v>57230.950552929724</v>
      </c>
      <c r="U70" s="8">
        <v>55891.589818412984</v>
      </c>
    </row>
    <row r="71" spans="1:21" x14ac:dyDescent="0.25">
      <c r="A71" s="1" t="s">
        <v>268</v>
      </c>
      <c r="B71" s="6" t="s">
        <v>243</v>
      </c>
      <c r="C71" s="7">
        <v>4057096</v>
      </c>
      <c r="D71" s="8">
        <v>43468.011730035418</v>
      </c>
      <c r="E71" s="8">
        <v>44306.734892454013</v>
      </c>
      <c r="F71" s="8">
        <v>42225.348459538058</v>
      </c>
      <c r="G71" s="8">
        <v>45772.459378085776</v>
      </c>
      <c r="H71" s="8">
        <v>42268.698659514273</v>
      </c>
      <c r="I71" s="8">
        <v>42507.083827022565</v>
      </c>
      <c r="J71" s="8">
        <v>42824.326985430154</v>
      </c>
      <c r="K71" s="8">
        <v>38990.423446289933</v>
      </c>
      <c r="L71" s="8">
        <v>38363.819025728269</v>
      </c>
      <c r="M71" s="8">
        <v>37048.665000454617</v>
      </c>
      <c r="N71" s="8">
        <v>36938.224982256972</v>
      </c>
      <c r="O71" s="8">
        <v>33058.121942342317</v>
      </c>
      <c r="P71" s="8">
        <v>32529.310886642623</v>
      </c>
      <c r="Q71" s="8">
        <v>26300.793249333601</v>
      </c>
      <c r="R71" s="8">
        <v>28029.716123979721</v>
      </c>
      <c r="S71" s="8">
        <v>27260.070854255599</v>
      </c>
      <c r="T71" s="8">
        <v>31679.14664436565</v>
      </c>
      <c r="U71" s="8">
        <v>31012.032456756358</v>
      </c>
    </row>
    <row r="72" spans="1:21" x14ac:dyDescent="0.25">
      <c r="B72" s="6" t="s">
        <v>292</v>
      </c>
      <c r="C72" s="7">
        <v>4057097</v>
      </c>
      <c r="D72" s="8" t="s">
        <v>267</v>
      </c>
      <c r="E72" s="8" t="s">
        <v>267</v>
      </c>
      <c r="F72" s="8" t="s">
        <v>267</v>
      </c>
      <c r="G72" s="8">
        <v>85250.527468499116</v>
      </c>
      <c r="H72" s="8">
        <v>82935.984165600064</v>
      </c>
      <c r="I72" s="8">
        <v>74248.610505718942</v>
      </c>
      <c r="J72" s="8">
        <v>73512.918826181733</v>
      </c>
      <c r="K72" s="8">
        <v>72603.060049435284</v>
      </c>
      <c r="L72" s="8">
        <v>79381.935505381698</v>
      </c>
      <c r="M72" s="8">
        <v>82100.146283143273</v>
      </c>
      <c r="N72" s="8">
        <v>78902.137949563883</v>
      </c>
      <c r="O72" s="8">
        <v>71645.262965827482</v>
      </c>
      <c r="P72" s="8">
        <v>82879.679971854843</v>
      </c>
      <c r="Q72" s="8">
        <v>64735.330657169594</v>
      </c>
      <c r="R72" s="8">
        <v>72108.169569064572</v>
      </c>
      <c r="S72" s="8">
        <v>65799.718429826549</v>
      </c>
      <c r="T72" s="8">
        <v>55309.13107234006</v>
      </c>
      <c r="U72" s="8">
        <v>52639.008342033318</v>
      </c>
    </row>
    <row r="73" spans="1:21" x14ac:dyDescent="0.25">
      <c r="B73" s="6" t="s">
        <v>293</v>
      </c>
      <c r="C73" s="7">
        <v>4057098</v>
      </c>
      <c r="D73" s="8" t="s">
        <v>267</v>
      </c>
      <c r="E73" s="8" t="s">
        <v>267</v>
      </c>
      <c r="F73" s="8">
        <v>10083.883099179026</v>
      </c>
      <c r="G73" s="8">
        <v>9743.8471047917101</v>
      </c>
      <c r="H73" s="8">
        <v>9618.5842310258486</v>
      </c>
      <c r="I73" s="8">
        <v>9743.6823735211037</v>
      </c>
      <c r="J73" s="8">
        <v>9894.7880293663111</v>
      </c>
      <c r="K73" s="8">
        <v>10328.722878427368</v>
      </c>
      <c r="L73" s="8">
        <v>11124.908580882067</v>
      </c>
      <c r="M73" s="8">
        <v>11564.250406667765</v>
      </c>
      <c r="N73" s="8">
        <v>12055.091903052107</v>
      </c>
      <c r="O73" s="8">
        <v>11875.804836212132</v>
      </c>
      <c r="P73" s="8">
        <v>11714.461461316592</v>
      </c>
      <c r="Q73" s="8">
        <v>10590.835540799595</v>
      </c>
      <c r="R73" s="8">
        <v>11199.251817913202</v>
      </c>
      <c r="S73" s="8">
        <v>10199.383854314277</v>
      </c>
      <c r="T73" s="8">
        <v>9804.3797525561968</v>
      </c>
      <c r="U73" s="8">
        <v>9515.4672599124024</v>
      </c>
    </row>
    <row r="74" spans="1:21" x14ac:dyDescent="0.25">
      <c r="A74" s="1" t="s">
        <v>268</v>
      </c>
      <c r="B74" s="6" t="s">
        <v>244</v>
      </c>
      <c r="C74" s="7">
        <v>4063023</v>
      </c>
      <c r="D74" s="8">
        <v>48737.562924303907</v>
      </c>
      <c r="E74" s="8" t="s">
        <v>267</v>
      </c>
      <c r="F74" s="8">
        <v>47081.441656792522</v>
      </c>
      <c r="G74" s="8">
        <v>49252.491442956496</v>
      </c>
      <c r="H74" s="8">
        <v>45541.066617571647</v>
      </c>
      <c r="I74" s="8">
        <v>42519.461243417507</v>
      </c>
      <c r="J74" s="8">
        <v>38451.276383794946</v>
      </c>
      <c r="K74" s="8">
        <v>36318.805525201256</v>
      </c>
      <c r="L74" s="8">
        <v>34929.846777088213</v>
      </c>
      <c r="M74" s="8">
        <v>34393.316705015095</v>
      </c>
      <c r="N74" s="8">
        <v>31939.5294128594</v>
      </c>
      <c r="O74" s="8">
        <v>29986.962431850134</v>
      </c>
      <c r="P74" s="8">
        <v>27918.370069061995</v>
      </c>
      <c r="Q74" s="8">
        <v>25103.895996605275</v>
      </c>
      <c r="R74" s="8">
        <v>24388.218028744188</v>
      </c>
      <c r="S74" s="8">
        <v>22763.655796276893</v>
      </c>
      <c r="T74" s="8">
        <v>24494.201093395572</v>
      </c>
      <c r="U74" s="8">
        <v>23741.629639243645</v>
      </c>
    </row>
    <row r="75" spans="1:21" x14ac:dyDescent="0.25">
      <c r="B75" s="6" t="s">
        <v>245</v>
      </c>
      <c r="C75" s="7">
        <v>4057146</v>
      </c>
      <c r="D75" s="8">
        <v>1187608.8449838976</v>
      </c>
      <c r="E75" s="8" t="s">
        <v>267</v>
      </c>
      <c r="F75" s="8">
        <v>565450.59212139202</v>
      </c>
      <c r="G75" s="8">
        <v>528619.23304814287</v>
      </c>
      <c r="H75" s="8">
        <v>511842.04366063885</v>
      </c>
      <c r="I75" s="8">
        <v>482734.01725625683</v>
      </c>
      <c r="J75" s="8">
        <v>477145.22637261578</v>
      </c>
      <c r="K75" s="8">
        <v>470880.72386062267</v>
      </c>
      <c r="L75" s="8">
        <v>496518.9913323361</v>
      </c>
      <c r="M75" s="8">
        <v>481447.81832543825</v>
      </c>
      <c r="N75" s="8">
        <v>493150.67593563092</v>
      </c>
      <c r="O75" s="8">
        <v>463093.22078944131</v>
      </c>
      <c r="P75" s="8">
        <v>491813.29705353925</v>
      </c>
      <c r="Q75" s="8">
        <v>410766.42864030035</v>
      </c>
      <c r="R75" s="8">
        <v>441709.1202522798</v>
      </c>
      <c r="S75" s="8">
        <v>421980.38514584652</v>
      </c>
      <c r="T75" s="8">
        <v>405657.44034056639</v>
      </c>
      <c r="U75" s="8">
        <v>395284.97925539478</v>
      </c>
    </row>
    <row r="76" spans="1:21" x14ac:dyDescent="0.25">
      <c r="A76" s="1" t="s">
        <v>268</v>
      </c>
      <c r="B76" s="6" t="s">
        <v>247</v>
      </c>
      <c r="C76" s="7">
        <v>4063060</v>
      </c>
      <c r="D76" s="8">
        <v>32915.057762311815</v>
      </c>
      <c r="E76" s="8" t="s">
        <v>267</v>
      </c>
      <c r="F76" s="8">
        <v>31866.648397395031</v>
      </c>
      <c r="G76" s="8">
        <v>35806.309025323688</v>
      </c>
      <c r="H76" s="8">
        <v>38336.589151553228</v>
      </c>
      <c r="I76" s="8">
        <v>32831.841498284688</v>
      </c>
      <c r="J76" s="8">
        <v>35231.446053827021</v>
      </c>
      <c r="K76" s="8">
        <v>35454.181150956916</v>
      </c>
      <c r="L76" s="8">
        <v>32373.922425257879</v>
      </c>
      <c r="M76" s="8">
        <v>32428.370889400398</v>
      </c>
      <c r="N76" s="8">
        <v>29873.394091497375</v>
      </c>
      <c r="O76" s="8">
        <v>28060.238249477898</v>
      </c>
      <c r="P76" s="8">
        <v>31838.399982887706</v>
      </c>
      <c r="Q76" s="8">
        <v>27139.827047444385</v>
      </c>
      <c r="R76" s="8">
        <v>26677.622144295365</v>
      </c>
      <c r="S76" s="8">
        <v>25101.290294225266</v>
      </c>
      <c r="T76" s="8">
        <v>24570.179631361247</v>
      </c>
      <c r="U76" s="8">
        <v>23660.413270296627</v>
      </c>
    </row>
    <row r="77" spans="1:21" x14ac:dyDescent="0.25">
      <c r="B77" s="6" t="s">
        <v>248</v>
      </c>
      <c r="C77" s="7">
        <v>4057100</v>
      </c>
      <c r="D77" s="8">
        <v>14283.271508519287</v>
      </c>
      <c r="E77" s="8">
        <v>16838.975650559987</v>
      </c>
      <c r="F77" s="8">
        <v>20260.578932703444</v>
      </c>
      <c r="G77" s="8">
        <v>15276.180751223352</v>
      </c>
      <c r="H77" s="8">
        <v>14433.516906230188</v>
      </c>
      <c r="I77" s="8">
        <v>12662.870890113121</v>
      </c>
      <c r="J77" s="8">
        <v>12553.72558928077</v>
      </c>
      <c r="K77" s="8">
        <v>13147.731378242855</v>
      </c>
      <c r="L77" s="8">
        <v>14091.15064299294</v>
      </c>
      <c r="M77" s="8">
        <v>11456.081186259413</v>
      </c>
      <c r="N77" s="8">
        <v>12429.637226454826</v>
      </c>
      <c r="O77" s="8">
        <v>12889.934677965635</v>
      </c>
      <c r="P77" s="8">
        <v>10988.911967961423</v>
      </c>
      <c r="Q77" s="8">
        <v>10208.1557970137</v>
      </c>
      <c r="R77" s="8">
        <v>9712.2785793167386</v>
      </c>
      <c r="S77" s="8">
        <v>8637.739567334258</v>
      </c>
      <c r="T77" s="8">
        <v>9449.62673711356</v>
      </c>
      <c r="U77" s="8">
        <v>8517.1716101312286</v>
      </c>
    </row>
    <row r="78" spans="1:21" x14ac:dyDescent="0.25">
      <c r="B78" s="6" t="s">
        <v>294</v>
      </c>
      <c r="C78" s="7">
        <v>4064035</v>
      </c>
      <c r="D78" s="8" t="s">
        <v>267</v>
      </c>
      <c r="E78" s="8" t="s">
        <v>267</v>
      </c>
      <c r="F78" s="8">
        <v>3261.300941874279</v>
      </c>
      <c r="G78" s="8">
        <v>3274.9113514906294</v>
      </c>
      <c r="H78" s="8">
        <v>3049.2247368343951</v>
      </c>
      <c r="I78" s="8">
        <v>2982.9234569912151</v>
      </c>
      <c r="J78" s="8">
        <v>3027.965718484078</v>
      </c>
      <c r="K78" s="8">
        <v>3007.5897210414209</v>
      </c>
      <c r="L78" s="8">
        <v>2665.5255484751433</v>
      </c>
      <c r="M78" s="8">
        <v>2418.7862491199603</v>
      </c>
      <c r="N78" s="8">
        <v>2433.4811717847688</v>
      </c>
      <c r="O78" s="8">
        <v>2384.5421451033294</v>
      </c>
      <c r="P78" s="8">
        <v>2283.8803214932145</v>
      </c>
      <c r="Q78" s="8">
        <v>2153.6156214523962</v>
      </c>
      <c r="R78" s="8">
        <v>2042.2731091129131</v>
      </c>
      <c r="S78" s="8">
        <v>2032.7823081697932</v>
      </c>
      <c r="T78" s="8">
        <v>2024.3343188290562</v>
      </c>
      <c r="U78" s="8">
        <v>1864.903168765424</v>
      </c>
    </row>
    <row r="79" spans="1:21" x14ac:dyDescent="0.25">
      <c r="B79" s="6" t="s">
        <v>295</v>
      </c>
      <c r="C79" s="7">
        <v>4060957</v>
      </c>
      <c r="D79" s="8" t="s">
        <v>267</v>
      </c>
      <c r="E79" s="8">
        <v>84607.848485775117</v>
      </c>
      <c r="F79" s="8">
        <v>88392.135356073792</v>
      </c>
      <c r="G79" s="8">
        <v>101553.39130498515</v>
      </c>
      <c r="H79" s="8">
        <v>80500.998889567127</v>
      </c>
      <c r="I79" s="8">
        <v>81268.902811678534</v>
      </c>
      <c r="J79" s="8">
        <v>80390.433621330507</v>
      </c>
      <c r="K79" s="8">
        <v>88677.714106614818</v>
      </c>
      <c r="L79" s="8">
        <v>95886.360051494092</v>
      </c>
      <c r="M79" s="8">
        <v>89364.94592911785</v>
      </c>
      <c r="N79" s="8">
        <v>92041.461603015079</v>
      </c>
      <c r="O79" s="8">
        <v>89829.446107778029</v>
      </c>
      <c r="P79" s="8">
        <v>90537.456855764613</v>
      </c>
      <c r="Q79" s="8">
        <v>87485.491559237533</v>
      </c>
      <c r="R79" s="8">
        <v>82837.758779851487</v>
      </c>
      <c r="S79" s="8">
        <v>78748.407544051239</v>
      </c>
      <c r="T79" s="8">
        <v>74252.881138759811</v>
      </c>
      <c r="U79" s="8">
        <v>71494.101034310588</v>
      </c>
    </row>
    <row r="80" spans="1:21" x14ac:dyDescent="0.25">
      <c r="B80" s="6" t="s">
        <v>250</v>
      </c>
      <c r="C80" s="7">
        <v>4063179</v>
      </c>
      <c r="D80" s="8">
        <v>624.42111945552688</v>
      </c>
      <c r="E80" s="8">
        <v>586.01375573062955</v>
      </c>
      <c r="F80" s="8">
        <v>618.75509735873709</v>
      </c>
      <c r="G80" s="8">
        <v>672.32508784287893</v>
      </c>
      <c r="H80" s="8">
        <v>493.70807444187153</v>
      </c>
      <c r="I80" s="8">
        <v>510.55667137270223</v>
      </c>
      <c r="J80" s="8">
        <v>542.18320079128785</v>
      </c>
      <c r="K80" s="8">
        <v>458.14135270464408</v>
      </c>
      <c r="L80" s="8">
        <v>436.01412542114821</v>
      </c>
      <c r="M80" s="8">
        <v>430.84921870791993</v>
      </c>
      <c r="N80" s="8">
        <v>397.53545561848125</v>
      </c>
      <c r="O80" s="8">
        <v>434.21645840567714</v>
      </c>
      <c r="P80" s="8">
        <v>439.24919480741721</v>
      </c>
      <c r="Q80" s="8">
        <v>453.6845841300966</v>
      </c>
      <c r="R80" s="8">
        <v>455.45610856492578</v>
      </c>
      <c r="S80" s="8">
        <v>425.88421631415076</v>
      </c>
      <c r="T80" s="8">
        <v>381.00284608860864</v>
      </c>
      <c r="U80" s="8">
        <v>411.18088094600341</v>
      </c>
    </row>
    <row r="81" spans="1:21" x14ac:dyDescent="0.25">
      <c r="A81" s="1" t="s">
        <v>268</v>
      </c>
      <c r="B81" s="6" t="s">
        <v>251</v>
      </c>
      <c r="C81" s="7">
        <v>4063183</v>
      </c>
      <c r="D81" s="8">
        <v>5043.9604346074211</v>
      </c>
      <c r="E81" s="8">
        <v>5250.0964470411091</v>
      </c>
      <c r="F81" s="8">
        <v>5824.3084645326217</v>
      </c>
      <c r="G81" s="8">
        <v>4996.6437516390451</v>
      </c>
      <c r="H81" s="8">
        <v>4998.6704483298472</v>
      </c>
      <c r="I81" s="8">
        <v>4177.9969758466086</v>
      </c>
      <c r="J81" s="8">
        <v>4251.2401664570962</v>
      </c>
      <c r="K81" s="8">
        <v>3955.1558957057537</v>
      </c>
      <c r="L81" s="8">
        <v>3824.7192994719749</v>
      </c>
      <c r="M81" s="8">
        <v>3802.5943263911226</v>
      </c>
      <c r="N81" s="8">
        <v>4203.4455809084347</v>
      </c>
      <c r="O81" s="8">
        <v>4405.9382577590368</v>
      </c>
      <c r="P81" s="8">
        <v>4118.7123705431422</v>
      </c>
      <c r="Q81" s="8">
        <v>3424.2918954369761</v>
      </c>
      <c r="R81" s="8">
        <v>3215.4763261749767</v>
      </c>
      <c r="S81" s="8">
        <v>2652.0965602822616</v>
      </c>
      <c r="T81" s="8">
        <v>2755.8211387940282</v>
      </c>
      <c r="U81" s="8">
        <v>2727.2230231905132</v>
      </c>
    </row>
    <row r="82" spans="1:21" x14ac:dyDescent="0.25">
      <c r="B82" s="6" t="s">
        <v>252</v>
      </c>
      <c r="C82" s="7">
        <v>4063281</v>
      </c>
      <c r="D82" s="8">
        <v>2294.3088006644521</v>
      </c>
      <c r="E82" s="8">
        <v>2151.4743736265959</v>
      </c>
      <c r="F82" s="8">
        <v>2104.0053047842357</v>
      </c>
      <c r="G82" s="8">
        <v>2084.1750322684629</v>
      </c>
      <c r="H82" s="8">
        <v>2002.9550606125244</v>
      </c>
      <c r="I82" s="8">
        <v>2028.3759344275206</v>
      </c>
      <c r="J82" s="8">
        <v>2324.5452008459679</v>
      </c>
      <c r="K82" s="8">
        <v>2120.7631756413221</v>
      </c>
      <c r="L82" s="8">
        <v>2241.5022591601696</v>
      </c>
      <c r="M82" s="8">
        <v>2315.0694004584925</v>
      </c>
      <c r="N82" s="8">
        <v>2345.0382123701615</v>
      </c>
      <c r="O82" s="8">
        <v>2271.0142341294177</v>
      </c>
      <c r="P82" s="8">
        <v>2246.0339991001729</v>
      </c>
      <c r="Q82" s="8">
        <v>2339.5730465081797</v>
      </c>
      <c r="R82" s="8">
        <v>2304.6970712665216</v>
      </c>
      <c r="S82" s="8">
        <v>2347.8378979266026</v>
      </c>
      <c r="T82" s="8">
        <v>2226.507831769929</v>
      </c>
      <c r="U82" s="8">
        <v>2008.969139172611</v>
      </c>
    </row>
    <row r="83" spans="1:21" x14ac:dyDescent="0.25">
      <c r="B83" s="6" t="s">
        <v>253</v>
      </c>
      <c r="C83" s="7">
        <v>4059746</v>
      </c>
      <c r="D83" s="8">
        <v>55926.088767113433</v>
      </c>
      <c r="E83" s="8">
        <v>63899.149532655741</v>
      </c>
      <c r="F83" s="8">
        <v>88369.789635312613</v>
      </c>
      <c r="G83" s="8">
        <v>71589.428116249444</v>
      </c>
      <c r="H83" s="8">
        <v>76006.610906014947</v>
      </c>
      <c r="I83" s="8">
        <v>75507.227349348541</v>
      </c>
      <c r="J83" s="8">
        <v>74690.445978116652</v>
      </c>
      <c r="K83" s="8">
        <v>78539.004082434141</v>
      </c>
      <c r="L83" s="8">
        <v>77894.170355939365</v>
      </c>
      <c r="M83" s="8">
        <v>83150.835212570993</v>
      </c>
      <c r="N83" s="8">
        <v>82497.316612318944</v>
      </c>
      <c r="O83" s="8">
        <v>92086.617256866419</v>
      </c>
      <c r="P83" s="8">
        <v>90091.635748641856</v>
      </c>
      <c r="Q83" s="8">
        <v>95568.952583389691</v>
      </c>
      <c r="R83" s="8">
        <v>86922.222011910955</v>
      </c>
      <c r="S83" s="8">
        <v>84715.854935408628</v>
      </c>
      <c r="T83" s="8">
        <v>79698.738756194158</v>
      </c>
      <c r="U83" s="8">
        <v>70010.325427469419</v>
      </c>
    </row>
    <row r="84" spans="1:21" x14ac:dyDescent="0.25">
      <c r="A84" s="1" t="s">
        <v>268</v>
      </c>
      <c r="B84" s="6" t="s">
        <v>296</v>
      </c>
      <c r="C84" s="7">
        <v>4062279</v>
      </c>
      <c r="D84" s="8" t="s">
        <v>267</v>
      </c>
      <c r="E84" s="8" t="s">
        <v>267</v>
      </c>
      <c r="F84" s="8" t="s">
        <v>267</v>
      </c>
      <c r="G84" s="8" t="s">
        <v>267</v>
      </c>
      <c r="H84" s="8">
        <v>31681.37154875361</v>
      </c>
      <c r="I84" s="8">
        <v>28789.08599802151</v>
      </c>
      <c r="J84" s="8">
        <v>30798.479946850792</v>
      </c>
      <c r="K84" s="8">
        <v>27148.604897720856</v>
      </c>
      <c r="L84" s="8">
        <v>25828.443551356206</v>
      </c>
      <c r="M84" s="8">
        <v>22509.767504279313</v>
      </c>
      <c r="N84" s="8">
        <v>23681.823402399699</v>
      </c>
      <c r="O84" s="8">
        <v>23411.630054055437</v>
      </c>
      <c r="P84" s="8">
        <v>24298.554417623276</v>
      </c>
      <c r="Q84" s="8">
        <v>21327.784946003168</v>
      </c>
      <c r="R84" s="8">
        <v>19318.836115255239</v>
      </c>
      <c r="S84" s="8">
        <v>17310.186599904166</v>
      </c>
      <c r="T84" s="8">
        <v>16824.703910489501</v>
      </c>
      <c r="U84" s="8">
        <v>15036.439829376925</v>
      </c>
    </row>
    <row r="85" spans="1:21" x14ac:dyDescent="0.25">
      <c r="A85" s="1" t="s">
        <v>268</v>
      </c>
      <c r="B85" s="6" t="s">
        <v>297</v>
      </c>
      <c r="C85" s="7">
        <v>4063729</v>
      </c>
      <c r="D85" s="8" t="s">
        <v>267</v>
      </c>
      <c r="E85" s="8" t="s">
        <v>267</v>
      </c>
      <c r="F85" s="8" t="s">
        <v>267</v>
      </c>
      <c r="G85" s="8" t="s">
        <v>267</v>
      </c>
      <c r="H85" s="8">
        <v>6424.1749278875823</v>
      </c>
      <c r="I85" s="8">
        <v>7557.2826348004901</v>
      </c>
      <c r="J85" s="8">
        <v>8756.4017201987117</v>
      </c>
      <c r="K85" s="8">
        <v>7655.6010607262897</v>
      </c>
      <c r="L85" s="8">
        <v>7378.3999308088678</v>
      </c>
      <c r="M85" s="8">
        <v>6458.4486535118504</v>
      </c>
      <c r="N85" s="8">
        <v>6123.0299038945886</v>
      </c>
      <c r="O85" s="8">
        <v>5686.3653167382636</v>
      </c>
      <c r="P85" s="8">
        <v>5793.7589344409371</v>
      </c>
      <c r="Q85" s="8">
        <v>4734.3937105251234</v>
      </c>
      <c r="R85" s="8">
        <v>4163.2278606523287</v>
      </c>
      <c r="S85" s="8">
        <v>4593.9988699098103</v>
      </c>
      <c r="T85" s="8">
        <v>4286.7606953092582</v>
      </c>
      <c r="U85" s="8">
        <v>4419.6603736035831</v>
      </c>
    </row>
    <row r="86" spans="1:21" x14ac:dyDescent="0.25">
      <c r="B86" s="6" t="s">
        <v>254</v>
      </c>
      <c r="C86" s="7">
        <v>4063762</v>
      </c>
      <c r="D86" s="8">
        <v>32051.291386769171</v>
      </c>
      <c r="E86" s="8">
        <v>31387.32677376553</v>
      </c>
      <c r="F86" s="8">
        <v>29333.843618422823</v>
      </c>
      <c r="G86" s="8">
        <v>30019.3713623441</v>
      </c>
      <c r="H86" s="8">
        <v>27543.446148347204</v>
      </c>
      <c r="I86" s="8">
        <v>28005.853834722984</v>
      </c>
      <c r="J86" s="8">
        <v>26225.162596402057</v>
      </c>
      <c r="K86" s="8">
        <v>25067.582343675753</v>
      </c>
      <c r="L86" s="8">
        <v>22873.837495173713</v>
      </c>
      <c r="M86" s="8">
        <v>20718.16589640034</v>
      </c>
      <c r="N86" s="8">
        <v>20560.150263813375</v>
      </c>
      <c r="O86" s="8">
        <v>21406.125925478591</v>
      </c>
      <c r="P86" s="8">
        <v>20084.648546398636</v>
      </c>
      <c r="Q86" s="8">
        <v>19249.871042574323</v>
      </c>
      <c r="R86" s="8">
        <v>20578.808872985977</v>
      </c>
      <c r="S86" s="8">
        <v>24136.377788082737</v>
      </c>
      <c r="T86" s="8">
        <v>25293.838171374198</v>
      </c>
      <c r="U86" s="8">
        <v>24047.530311569921</v>
      </c>
    </row>
    <row r="87" spans="1:21" x14ac:dyDescent="0.25">
      <c r="B87" s="6" t="s">
        <v>256</v>
      </c>
      <c r="C87" s="7">
        <v>4058284</v>
      </c>
      <c r="D87" s="8">
        <v>171136.73317025753</v>
      </c>
      <c r="E87" s="8">
        <v>176988.33791838697</v>
      </c>
      <c r="F87" s="8">
        <v>184841.64841342322</v>
      </c>
      <c r="G87" s="8">
        <v>168088.83982780809</v>
      </c>
      <c r="H87" s="8">
        <v>156697.60324554396</v>
      </c>
      <c r="I87" s="8">
        <v>157245.11321445779</v>
      </c>
      <c r="J87" s="8">
        <v>155855.58332453226</v>
      </c>
      <c r="K87" s="8">
        <v>140419.59468928483</v>
      </c>
      <c r="L87" s="8">
        <v>142866.31332615728</v>
      </c>
      <c r="M87" s="8">
        <v>134737.98675117502</v>
      </c>
      <c r="N87" s="8">
        <v>135824.47647254294</v>
      </c>
      <c r="O87" s="8">
        <v>125685.21943457468</v>
      </c>
      <c r="P87" s="8">
        <v>119238.78205459702</v>
      </c>
      <c r="Q87" s="8">
        <v>116501.41388579398</v>
      </c>
      <c r="R87" s="8">
        <v>118414.83851956976</v>
      </c>
      <c r="S87" s="8">
        <v>113008.91661512075</v>
      </c>
      <c r="T87" s="8">
        <v>112562.26858977774</v>
      </c>
      <c r="U87" s="8">
        <v>108636.32159043233</v>
      </c>
    </row>
    <row r="88" spans="1:21" x14ac:dyDescent="0.25">
      <c r="B88" s="6" t="s">
        <v>258</v>
      </c>
      <c r="C88" s="7">
        <v>4008752</v>
      </c>
      <c r="D88" s="8">
        <v>39871.518793068557</v>
      </c>
      <c r="E88" s="8">
        <v>45063.486328302832</v>
      </c>
      <c r="F88" s="8">
        <v>46919.790323703215</v>
      </c>
      <c r="G88" s="8">
        <v>41993.432368194786</v>
      </c>
      <c r="H88" s="8">
        <v>41088.911668768778</v>
      </c>
      <c r="I88" s="8">
        <v>42654.409655181225</v>
      </c>
      <c r="J88" s="8">
        <v>42790.353568509723</v>
      </c>
      <c r="K88" s="8">
        <v>43414.534577286773</v>
      </c>
      <c r="L88" s="8">
        <v>40958.833881677703</v>
      </c>
      <c r="M88" s="8">
        <v>41714.455511941364</v>
      </c>
      <c r="N88" s="8">
        <v>47024.713812453847</v>
      </c>
      <c r="O88" s="8">
        <v>44394.724545694429</v>
      </c>
      <c r="P88" s="8">
        <v>44949.397404385541</v>
      </c>
      <c r="Q88" s="8">
        <v>46005.417060435502</v>
      </c>
      <c r="R88" s="8">
        <v>43325.709313363492</v>
      </c>
      <c r="S88" s="8">
        <v>45422.189154542612</v>
      </c>
      <c r="T88" s="8">
        <v>48322.853146177775</v>
      </c>
      <c r="U88" s="8">
        <v>43861.598036418014</v>
      </c>
    </row>
    <row r="89" spans="1:21" x14ac:dyDescent="0.25">
      <c r="B89" s="6" t="s">
        <v>259</v>
      </c>
      <c r="C89" s="7">
        <v>4008669</v>
      </c>
      <c r="D89" s="8">
        <v>17123.186362329376</v>
      </c>
      <c r="E89" s="8">
        <v>17245.428045453933</v>
      </c>
      <c r="F89" s="8">
        <v>17891.364650596435</v>
      </c>
      <c r="G89" s="8">
        <v>17828.027265969053</v>
      </c>
      <c r="H89" s="8">
        <v>17138.538203969867</v>
      </c>
      <c r="I89" s="8">
        <v>16757.683916272043</v>
      </c>
      <c r="J89" s="8">
        <v>16915.180542918941</v>
      </c>
      <c r="K89" s="8">
        <v>15479.709824341791</v>
      </c>
      <c r="L89" s="8">
        <v>13834.36161117669</v>
      </c>
      <c r="M89" s="8">
        <v>12841.012588630592</v>
      </c>
      <c r="N89" s="8">
        <v>13293.029583894353</v>
      </c>
      <c r="O89" s="8">
        <v>12652.287821462425</v>
      </c>
      <c r="P89" s="8">
        <v>11978.637669899636</v>
      </c>
      <c r="Q89" s="8">
        <v>11072.372454255194</v>
      </c>
      <c r="R89" s="8">
        <v>10859.713446195441</v>
      </c>
      <c r="S89" s="8">
        <v>13433.13137336111</v>
      </c>
      <c r="T89" s="8">
        <v>11683.308439347753</v>
      </c>
      <c r="U89" s="8">
        <v>13652.361155632041</v>
      </c>
    </row>
    <row r="90" spans="1:21" x14ac:dyDescent="0.25">
      <c r="B90" s="6" t="s">
        <v>298</v>
      </c>
      <c r="C90" s="7">
        <v>4076892</v>
      </c>
      <c r="D90" s="8" t="s">
        <v>267</v>
      </c>
      <c r="E90" s="8">
        <v>1443.6994901478597</v>
      </c>
      <c r="F90" s="8">
        <v>1433.7971534263152</v>
      </c>
      <c r="G90" s="8">
        <v>1352.5224352651451</v>
      </c>
      <c r="H90" s="8">
        <v>1232.6866500094502</v>
      </c>
      <c r="I90" s="8">
        <v>1346.731724620337</v>
      </c>
      <c r="J90" s="8">
        <v>1313.8643822846107</v>
      </c>
      <c r="K90" s="8">
        <v>1391.0592828082963</v>
      </c>
      <c r="L90" s="8">
        <v>1345.1486441890499</v>
      </c>
      <c r="M90" s="8">
        <v>1252.0108381014586</v>
      </c>
      <c r="N90" s="8">
        <v>1229.945925732442</v>
      </c>
      <c r="O90" s="8">
        <v>1197.6964785822854</v>
      </c>
      <c r="P90" s="8">
        <v>1075.7055438444272</v>
      </c>
      <c r="Q90" s="8">
        <v>1078.2193523527251</v>
      </c>
      <c r="R90" s="8">
        <v>933.04892761485996</v>
      </c>
      <c r="S90" s="8">
        <v>756.78214604793277</v>
      </c>
      <c r="T90" s="8">
        <v>817.13725856605549</v>
      </c>
      <c r="U90" s="8">
        <v>757.864063179494</v>
      </c>
    </row>
    <row r="91" spans="1:21" x14ac:dyDescent="0.25">
      <c r="A91" s="1" t="s">
        <v>268</v>
      </c>
      <c r="B91" s="6" t="s">
        <v>261</v>
      </c>
      <c r="C91" s="7">
        <v>4064141</v>
      </c>
      <c r="D91" s="8">
        <v>52273.77194938028</v>
      </c>
      <c r="E91" s="8" t="s">
        <v>267</v>
      </c>
      <c r="F91" s="8" t="s">
        <v>267</v>
      </c>
      <c r="G91" s="8">
        <v>47527.783846358136</v>
      </c>
      <c r="H91" s="8">
        <v>46701.265621334118</v>
      </c>
      <c r="I91" s="8">
        <v>44006.779935804923</v>
      </c>
      <c r="J91" s="8">
        <v>46198.288001642693</v>
      </c>
      <c r="K91" s="8">
        <v>47134.479388692227</v>
      </c>
      <c r="L91" s="8">
        <v>46965.999659248628</v>
      </c>
      <c r="M91" s="8">
        <v>46571.325505173118</v>
      </c>
      <c r="N91" s="8">
        <v>46729.082014452186</v>
      </c>
      <c r="O91" s="8">
        <v>44497.402139843565</v>
      </c>
      <c r="P91" s="8">
        <v>42215.311944433706</v>
      </c>
      <c r="Q91" s="8">
        <v>38461.423286471167</v>
      </c>
      <c r="R91" s="8">
        <v>36609.729532303019</v>
      </c>
      <c r="S91" s="8">
        <v>36343.283531997513</v>
      </c>
      <c r="T91" s="8">
        <v>36642.664610359177</v>
      </c>
      <c r="U91" s="8">
        <v>34604.267258270527</v>
      </c>
    </row>
    <row r="92" spans="1:21" x14ac:dyDescent="0.25">
      <c r="B92" s="6"/>
      <c r="C92" s="7"/>
      <c r="D92" s="7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x14ac:dyDescent="0.25">
      <c r="B93" s="6"/>
      <c r="C93" s="7"/>
      <c r="D93" s="7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x14ac:dyDescent="0.25">
      <c r="B94" s="6"/>
      <c r="C94" s="7"/>
      <c r="D94" s="7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x14ac:dyDescent="0.25">
      <c r="B95" s="6"/>
      <c r="C95" s="7"/>
      <c r="D95" s="7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x14ac:dyDescent="0.25">
      <c r="B96" s="6"/>
      <c r="C96" s="7"/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2:21" x14ac:dyDescent="0.25">
      <c r="B97" s="6"/>
      <c r="C97" s="7"/>
      <c r="D97" s="7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2:21" x14ac:dyDescent="0.25">
      <c r="B98" s="7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</row>
    <row r="99" spans="2:21" x14ac:dyDescent="0.25">
      <c r="B99" s="6"/>
      <c r="C99" s="7"/>
      <c r="D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2:21" x14ac:dyDescent="0.25">
      <c r="B100" s="6"/>
      <c r="C100" s="7"/>
      <c r="D100" s="7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2:21" x14ac:dyDescent="0.25">
      <c r="B101" s="6"/>
      <c r="C101" s="7"/>
      <c r="D101" s="7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2:21" x14ac:dyDescent="0.25">
      <c r="B102" s="6"/>
      <c r="C102" s="7"/>
      <c r="D102" s="7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2:21" x14ac:dyDescent="0.25">
      <c r="B103" s="6"/>
      <c r="C103" s="7"/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2:21" x14ac:dyDescent="0.25">
      <c r="B104" s="6"/>
      <c r="C104" s="7"/>
      <c r="D104" s="7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2:21" x14ac:dyDescent="0.25">
      <c r="B105" s="6"/>
      <c r="C105" s="7"/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2:21" x14ac:dyDescent="0.25">
      <c r="B106" s="6"/>
      <c r="C106" s="7"/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2:21" x14ac:dyDescent="0.25">
      <c r="B107" s="6"/>
      <c r="C107" s="7"/>
      <c r="D107" s="7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2:21" x14ac:dyDescent="0.25">
      <c r="B108" s="6"/>
      <c r="C108" s="7"/>
      <c r="D108" s="7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2:21" x14ac:dyDescent="0.25">
      <c r="B109" s="6"/>
      <c r="C109" s="7"/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2:21" x14ac:dyDescent="0.25">
      <c r="B110" s="6"/>
      <c r="C110" s="7"/>
      <c r="D110" s="7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2:21" x14ac:dyDescent="0.25">
      <c r="B111" s="6"/>
      <c r="C111" s="7"/>
      <c r="D111" s="7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2:21" x14ac:dyDescent="0.25">
      <c r="B112" s="6"/>
      <c r="C112" s="7"/>
      <c r="D112" s="7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2:21" x14ac:dyDescent="0.25">
      <c r="B113" s="6"/>
      <c r="C113" s="7"/>
      <c r="D113" s="7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2:21" x14ac:dyDescent="0.25">
      <c r="B114" s="6"/>
      <c r="C114" s="7"/>
      <c r="D114" s="7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2:21" x14ac:dyDescent="0.25">
      <c r="B115" s="6"/>
      <c r="C115" s="7"/>
      <c r="D115" s="7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2:21" x14ac:dyDescent="0.25">
      <c r="B116" s="6"/>
      <c r="C116" s="7"/>
      <c r="D116" s="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2:21" x14ac:dyDescent="0.25">
      <c r="B117" s="6"/>
      <c r="C117" s="7"/>
      <c r="D117" s="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2:21" x14ac:dyDescent="0.25">
      <c r="B118" s="6"/>
      <c r="C118" s="7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2:21" x14ac:dyDescent="0.25">
      <c r="B119" s="6"/>
      <c r="C119" s="7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2:21" x14ac:dyDescent="0.25">
      <c r="B120" s="6"/>
      <c r="C120" s="7"/>
      <c r="D120" s="7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2:21" x14ac:dyDescent="0.25">
      <c r="B121" s="6"/>
      <c r="C121" s="7"/>
      <c r="D121" s="7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2:21" x14ac:dyDescent="0.25">
      <c r="B122" s="6"/>
      <c r="C122" s="7"/>
      <c r="D122" s="7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2:21" x14ac:dyDescent="0.25">
      <c r="B123" s="6"/>
      <c r="C123" s="7"/>
      <c r="D123" s="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2:21" x14ac:dyDescent="0.25">
      <c r="B124" s="6"/>
      <c r="C124" s="7"/>
      <c r="D124" s="7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2:21" x14ac:dyDescent="0.25">
      <c r="B125" s="6"/>
      <c r="C125" s="7"/>
      <c r="D125" s="7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2:21" x14ac:dyDescent="0.25">
      <c r="B126" s="6"/>
      <c r="C126" s="7"/>
      <c r="D126" s="7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2:21" x14ac:dyDescent="0.25">
      <c r="B127" s="6"/>
      <c r="C127" s="7"/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2:21" x14ac:dyDescent="0.25">
      <c r="B128" s="6"/>
      <c r="C128" s="7"/>
      <c r="D128" s="7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2:21" x14ac:dyDescent="0.25">
      <c r="B129" s="6"/>
      <c r="C129" s="7"/>
      <c r="D129" s="7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2:21" x14ac:dyDescent="0.25">
      <c r="B130" s="6"/>
      <c r="C130" s="7"/>
      <c r="D130" s="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2:21" x14ac:dyDescent="0.25">
      <c r="B131" s="6"/>
      <c r="C131" s="7"/>
      <c r="D131" s="7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2:21" x14ac:dyDescent="0.25">
      <c r="B132" s="6"/>
      <c r="C132" s="7"/>
      <c r="D132" s="7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2:21" x14ac:dyDescent="0.25">
      <c r="B133" s="6"/>
      <c r="C133" s="7"/>
      <c r="D133" s="7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2:21" x14ac:dyDescent="0.25">
      <c r="B134" s="6"/>
      <c r="C134" s="7"/>
      <c r="D134" s="7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2:21" x14ac:dyDescent="0.25">
      <c r="B135" s="6"/>
      <c r="C135" s="7"/>
      <c r="D135" s="7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2:21" x14ac:dyDescent="0.25">
      <c r="B136" s="6"/>
      <c r="C136" s="7"/>
      <c r="D136" s="7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2:21" x14ac:dyDescent="0.25">
      <c r="B137" s="6"/>
      <c r="C137" s="7"/>
      <c r="D137" s="7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2:21" x14ac:dyDescent="0.25">
      <c r="B138" s="6"/>
      <c r="C138" s="7"/>
      <c r="D138" s="7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2:21" x14ac:dyDescent="0.25">
      <c r="B139" s="6"/>
      <c r="C139" s="7"/>
      <c r="D139" s="7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2:21" x14ac:dyDescent="0.25">
      <c r="B140" s="6"/>
      <c r="C140" s="7"/>
      <c r="D140" s="7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2:21" x14ac:dyDescent="0.25">
      <c r="B141" s="6"/>
      <c r="C141" s="7"/>
      <c r="D141" s="7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2:21" x14ac:dyDescent="0.25">
      <c r="B142" s="6"/>
      <c r="C142" s="7"/>
      <c r="D142" s="7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2:21" x14ac:dyDescent="0.25">
      <c r="B143" s="6"/>
      <c r="C143" s="7"/>
      <c r="D143" s="7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2:21" x14ac:dyDescent="0.25">
      <c r="B144" s="6"/>
      <c r="C144" s="7"/>
      <c r="D144" s="7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2:21" x14ac:dyDescent="0.25">
      <c r="B145" s="6"/>
      <c r="C145" s="7"/>
      <c r="D145" s="7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2:21" x14ac:dyDescent="0.25">
      <c r="B146" s="6"/>
      <c r="C146" s="7"/>
      <c r="D146" s="7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2:21" x14ac:dyDescent="0.25">
      <c r="B147" s="6"/>
      <c r="C147" s="7"/>
      <c r="D147" s="7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2:21" x14ac:dyDescent="0.25">
      <c r="B148" s="6"/>
      <c r="C148" s="7"/>
      <c r="D148" s="7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2:21" x14ac:dyDescent="0.25">
      <c r="B149" s="6"/>
      <c r="C149" s="7"/>
      <c r="D149" s="7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2:21" x14ac:dyDescent="0.25">
      <c r="B150" s="6"/>
      <c r="C150" s="7"/>
      <c r="D150" s="7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2:21" x14ac:dyDescent="0.25">
      <c r="B151" s="6"/>
      <c r="C151" s="7"/>
      <c r="D151" s="7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2:21" x14ac:dyDescent="0.25">
      <c r="B152" s="6"/>
      <c r="C152" s="7"/>
      <c r="D152" s="7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2:21" x14ac:dyDescent="0.25">
      <c r="B153" s="6"/>
      <c r="C153" s="7"/>
      <c r="D153" s="7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2:21" x14ac:dyDescent="0.25">
      <c r="B154" s="6"/>
      <c r="C154" s="7"/>
      <c r="D154" s="7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2:21" x14ac:dyDescent="0.25">
      <c r="B155" s="6"/>
      <c r="C155" s="7"/>
      <c r="D155" s="7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2:21" x14ac:dyDescent="0.25">
      <c r="B156" s="6"/>
      <c r="C156" s="7"/>
      <c r="D156" s="7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2:21" x14ac:dyDescent="0.25">
      <c r="B157" s="6"/>
      <c r="C157" s="7"/>
      <c r="D157" s="7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2:21" x14ac:dyDescent="0.25">
      <c r="B158" s="6"/>
      <c r="C158" s="7"/>
      <c r="D158" s="7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2:21" x14ac:dyDescent="0.25">
      <c r="B159" s="6"/>
      <c r="C159" s="7"/>
      <c r="D159" s="7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2:21" x14ac:dyDescent="0.25">
      <c r="B160" s="6"/>
      <c r="C160" s="7"/>
      <c r="D160" s="7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2:21" x14ac:dyDescent="0.25">
      <c r="B161" s="6"/>
      <c r="C161" s="7"/>
      <c r="D161" s="7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2:21" x14ac:dyDescent="0.25">
      <c r="B162" s="6"/>
      <c r="C162" s="7"/>
      <c r="D162" s="7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2:21" x14ac:dyDescent="0.25">
      <c r="B163" s="6"/>
      <c r="C163" s="7"/>
      <c r="D163" s="7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2:21" x14ac:dyDescent="0.25">
      <c r="B164" s="6"/>
      <c r="C164" s="7"/>
      <c r="D164" s="7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2:21" x14ac:dyDescent="0.25">
      <c r="B165" s="6"/>
      <c r="C165" s="7"/>
      <c r="D165" s="7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2:21" x14ac:dyDescent="0.25">
      <c r="B166" s="6"/>
      <c r="C166" s="7"/>
      <c r="D166" s="7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2:21" x14ac:dyDescent="0.25">
      <c r="B167" s="6"/>
      <c r="C167" s="7"/>
      <c r="D167" s="7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2:21" x14ac:dyDescent="0.25">
      <c r="B168" s="6"/>
      <c r="C168" s="7"/>
      <c r="D168" s="7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2:21" x14ac:dyDescent="0.25">
      <c r="B169" s="6"/>
      <c r="C169" s="7"/>
      <c r="D169" s="7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2:21" x14ac:dyDescent="0.25">
      <c r="B170" s="6"/>
      <c r="C170" s="7"/>
      <c r="D170" s="7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2:21" x14ac:dyDescent="0.25">
      <c r="B171" s="6"/>
      <c r="C171" s="7"/>
      <c r="D171" s="7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2:21" x14ac:dyDescent="0.25">
      <c r="B172" s="6"/>
      <c r="C172" s="7"/>
      <c r="D172" s="7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2:21" x14ac:dyDescent="0.25">
      <c r="B173" s="6"/>
      <c r="C173" s="7"/>
      <c r="D173" s="7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2:21" x14ac:dyDescent="0.25">
      <c r="B174" s="6"/>
      <c r="C174" s="7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2:21" x14ac:dyDescent="0.25">
      <c r="B175" s="6"/>
      <c r="C175" s="7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2:21" x14ac:dyDescent="0.25">
      <c r="B176" s="6"/>
      <c r="C176" s="7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2:21" x14ac:dyDescent="0.25">
      <c r="B177" s="6"/>
      <c r="C177" s="7"/>
      <c r="D177" s="7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2:21" x14ac:dyDescent="0.25">
      <c r="B178" s="6"/>
      <c r="C178" s="7"/>
      <c r="D178" s="7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2:21" x14ac:dyDescent="0.25">
      <c r="B179" s="6"/>
      <c r="C179" s="7"/>
      <c r="D179" s="7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2:21" x14ac:dyDescent="0.25">
      <c r="B180" s="6"/>
      <c r="C180" s="7"/>
      <c r="D180" s="7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2:21" x14ac:dyDescent="0.25">
      <c r="B181" s="6"/>
      <c r="C181" s="7"/>
      <c r="D181" s="7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2:21" x14ac:dyDescent="0.25">
      <c r="B182" s="6"/>
      <c r="C182" s="7"/>
      <c r="D182" s="7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2:21" x14ac:dyDescent="0.25">
      <c r="B183" s="6"/>
      <c r="C183" s="7"/>
      <c r="D183" s="7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2:21" x14ac:dyDescent="0.25">
      <c r="B184" s="6"/>
      <c r="C184" s="7"/>
      <c r="D184" s="7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2:21" x14ac:dyDescent="0.25">
      <c r="B185" s="6"/>
      <c r="C185" s="7"/>
      <c r="D185" s="7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2:21" x14ac:dyDescent="0.25">
      <c r="B186" s="6"/>
      <c r="C186" s="7"/>
      <c r="D186" s="7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2:21" x14ac:dyDescent="0.25">
      <c r="B187" s="6"/>
      <c r="C187" s="7"/>
      <c r="D187" s="7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2:21" x14ac:dyDescent="0.25">
      <c r="B188" s="6"/>
      <c r="C188" s="7"/>
      <c r="D188" s="7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2:21" x14ac:dyDescent="0.25">
      <c r="B189" s="6"/>
      <c r="C189" s="7"/>
      <c r="D189" s="7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2:21" x14ac:dyDescent="0.25">
      <c r="B190" s="6"/>
      <c r="C190" s="7"/>
      <c r="D190" s="7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2:21" x14ac:dyDescent="0.25">
      <c r="B191" s="6"/>
      <c r="C191" s="7"/>
      <c r="D191" s="7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2:21" x14ac:dyDescent="0.25">
      <c r="B192" s="6"/>
      <c r="C192" s="7"/>
      <c r="D192" s="7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2:21" x14ac:dyDescent="0.25">
      <c r="B193" s="6"/>
      <c r="C193" s="7"/>
      <c r="D193" s="7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2:21" x14ac:dyDescent="0.25">
      <c r="B194" s="6"/>
      <c r="C194" s="7"/>
      <c r="D194" s="7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2:21" x14ac:dyDescent="0.25">
      <c r="B195" s="6"/>
      <c r="C195" s="7"/>
      <c r="D195" s="7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2:21" x14ac:dyDescent="0.25">
      <c r="B196" s="6"/>
      <c r="C196" s="7"/>
      <c r="D196" s="7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2:21" x14ac:dyDescent="0.25">
      <c r="B197" s="6"/>
      <c r="C197" s="7"/>
      <c r="D197" s="7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2:21" x14ac:dyDescent="0.25">
      <c r="B198" s="6"/>
      <c r="C198" s="7"/>
      <c r="D198" s="7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2:21" x14ac:dyDescent="0.25">
      <c r="B199" s="6"/>
      <c r="C199" s="7"/>
      <c r="D199" s="7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2:21" x14ac:dyDescent="0.25">
      <c r="B200" s="6"/>
      <c r="C200" s="7"/>
      <c r="D200" s="7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2:21" x14ac:dyDescent="0.25">
      <c r="B201" s="6"/>
      <c r="C201" s="7"/>
      <c r="D201" s="7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2:21" x14ac:dyDescent="0.25">
      <c r="B202" s="6"/>
      <c r="C202" s="7"/>
      <c r="D202" s="7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2:21" x14ac:dyDescent="0.25">
      <c r="B203" s="6"/>
      <c r="C203" s="7"/>
      <c r="D203" s="7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2:21" x14ac:dyDescent="0.25">
      <c r="B204" s="6"/>
      <c r="C204" s="7"/>
      <c r="D204" s="7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</sheetData>
  <conditionalFormatting sqref="D7:E91 E7:U97 C98:T98 E99:U204">
    <cfRule type="cellIs" dxfId="6" priority="1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3:AA204"/>
  <sheetViews>
    <sheetView zoomScale="75" zoomScaleNormal="75" workbookViewId="0">
      <selection activeCell="E52" sqref="E52"/>
    </sheetView>
  </sheetViews>
  <sheetFormatPr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4" width="22" style="1" customWidth="1"/>
    <col min="5" max="18" width="19" style="1" customWidth="1"/>
    <col min="19" max="27" width="17.5546875" style="1" customWidth="1"/>
    <col min="28" max="256" width="9.33203125" style="1"/>
    <col min="257" max="257" width="14.33203125" style="1" bestFit="1" customWidth="1"/>
    <col min="258" max="259" width="63.6640625" style="1" bestFit="1" customWidth="1"/>
    <col min="260" max="260" width="22" style="1" bestFit="1" customWidth="1"/>
    <col min="261" max="274" width="19" style="1" customWidth="1"/>
    <col min="275" max="283" width="17.5546875" style="1" customWidth="1"/>
    <col min="284" max="512" width="9.33203125" style="1"/>
    <col min="513" max="513" width="14.33203125" style="1" bestFit="1" customWidth="1"/>
    <col min="514" max="515" width="63.6640625" style="1" bestFit="1" customWidth="1"/>
    <col min="516" max="516" width="22" style="1" bestFit="1" customWidth="1"/>
    <col min="517" max="530" width="19" style="1" customWidth="1"/>
    <col min="531" max="539" width="17.5546875" style="1" customWidth="1"/>
    <col min="540" max="768" width="9.33203125" style="1"/>
    <col min="769" max="769" width="14.33203125" style="1" bestFit="1" customWidth="1"/>
    <col min="770" max="771" width="63.6640625" style="1" bestFit="1" customWidth="1"/>
    <col min="772" max="772" width="22" style="1" bestFit="1" customWidth="1"/>
    <col min="773" max="786" width="19" style="1" customWidth="1"/>
    <col min="787" max="795" width="17.5546875" style="1" customWidth="1"/>
    <col min="796" max="1024" width="9.33203125" style="1"/>
    <col min="1025" max="1025" width="14.33203125" style="1" bestFit="1" customWidth="1"/>
    <col min="1026" max="1027" width="63.6640625" style="1" bestFit="1" customWidth="1"/>
    <col min="1028" max="1028" width="22" style="1" bestFit="1" customWidth="1"/>
    <col min="1029" max="1042" width="19" style="1" customWidth="1"/>
    <col min="1043" max="1051" width="17.5546875" style="1" customWidth="1"/>
    <col min="1052" max="1280" width="9.33203125" style="1"/>
    <col min="1281" max="1281" width="14.33203125" style="1" bestFit="1" customWidth="1"/>
    <col min="1282" max="1283" width="63.6640625" style="1" bestFit="1" customWidth="1"/>
    <col min="1284" max="1284" width="22" style="1" bestFit="1" customWidth="1"/>
    <col min="1285" max="1298" width="19" style="1" customWidth="1"/>
    <col min="1299" max="1307" width="17.5546875" style="1" customWidth="1"/>
    <col min="1308" max="1536" width="9.33203125" style="1"/>
    <col min="1537" max="1537" width="14.33203125" style="1" bestFit="1" customWidth="1"/>
    <col min="1538" max="1539" width="63.6640625" style="1" bestFit="1" customWidth="1"/>
    <col min="1540" max="1540" width="22" style="1" bestFit="1" customWidth="1"/>
    <col min="1541" max="1554" width="19" style="1" customWidth="1"/>
    <col min="1555" max="1563" width="17.5546875" style="1" customWidth="1"/>
    <col min="1564" max="1792" width="9.33203125" style="1"/>
    <col min="1793" max="1793" width="14.33203125" style="1" bestFit="1" customWidth="1"/>
    <col min="1794" max="1795" width="63.6640625" style="1" bestFit="1" customWidth="1"/>
    <col min="1796" max="1796" width="22" style="1" bestFit="1" customWidth="1"/>
    <col min="1797" max="1810" width="19" style="1" customWidth="1"/>
    <col min="1811" max="1819" width="17.5546875" style="1" customWidth="1"/>
    <col min="1820" max="2048" width="9.33203125" style="1"/>
    <col min="2049" max="2049" width="14.33203125" style="1" bestFit="1" customWidth="1"/>
    <col min="2050" max="2051" width="63.6640625" style="1" bestFit="1" customWidth="1"/>
    <col min="2052" max="2052" width="22" style="1" bestFit="1" customWidth="1"/>
    <col min="2053" max="2066" width="19" style="1" customWidth="1"/>
    <col min="2067" max="2075" width="17.5546875" style="1" customWidth="1"/>
    <col min="2076" max="2304" width="9.33203125" style="1"/>
    <col min="2305" max="2305" width="14.33203125" style="1" bestFit="1" customWidth="1"/>
    <col min="2306" max="2307" width="63.6640625" style="1" bestFit="1" customWidth="1"/>
    <col min="2308" max="2308" width="22" style="1" bestFit="1" customWidth="1"/>
    <col min="2309" max="2322" width="19" style="1" customWidth="1"/>
    <col min="2323" max="2331" width="17.5546875" style="1" customWidth="1"/>
    <col min="2332" max="2560" width="9.33203125" style="1"/>
    <col min="2561" max="2561" width="14.33203125" style="1" bestFit="1" customWidth="1"/>
    <col min="2562" max="2563" width="63.6640625" style="1" bestFit="1" customWidth="1"/>
    <col min="2564" max="2564" width="22" style="1" bestFit="1" customWidth="1"/>
    <col min="2565" max="2578" width="19" style="1" customWidth="1"/>
    <col min="2579" max="2587" width="17.5546875" style="1" customWidth="1"/>
    <col min="2588" max="2816" width="9.33203125" style="1"/>
    <col min="2817" max="2817" width="14.33203125" style="1" bestFit="1" customWidth="1"/>
    <col min="2818" max="2819" width="63.6640625" style="1" bestFit="1" customWidth="1"/>
    <col min="2820" max="2820" width="22" style="1" bestFit="1" customWidth="1"/>
    <col min="2821" max="2834" width="19" style="1" customWidth="1"/>
    <col min="2835" max="2843" width="17.5546875" style="1" customWidth="1"/>
    <col min="2844" max="3072" width="9.33203125" style="1"/>
    <col min="3073" max="3073" width="14.33203125" style="1" bestFit="1" customWidth="1"/>
    <col min="3074" max="3075" width="63.6640625" style="1" bestFit="1" customWidth="1"/>
    <col min="3076" max="3076" width="22" style="1" bestFit="1" customWidth="1"/>
    <col min="3077" max="3090" width="19" style="1" customWidth="1"/>
    <col min="3091" max="3099" width="17.5546875" style="1" customWidth="1"/>
    <col min="3100" max="3328" width="9.33203125" style="1"/>
    <col min="3329" max="3329" width="14.33203125" style="1" bestFit="1" customWidth="1"/>
    <col min="3330" max="3331" width="63.6640625" style="1" bestFit="1" customWidth="1"/>
    <col min="3332" max="3332" width="22" style="1" bestFit="1" customWidth="1"/>
    <col min="3333" max="3346" width="19" style="1" customWidth="1"/>
    <col min="3347" max="3355" width="17.5546875" style="1" customWidth="1"/>
    <col min="3356" max="3584" width="9.33203125" style="1"/>
    <col min="3585" max="3585" width="14.33203125" style="1" bestFit="1" customWidth="1"/>
    <col min="3586" max="3587" width="63.6640625" style="1" bestFit="1" customWidth="1"/>
    <col min="3588" max="3588" width="22" style="1" bestFit="1" customWidth="1"/>
    <col min="3589" max="3602" width="19" style="1" customWidth="1"/>
    <col min="3603" max="3611" width="17.5546875" style="1" customWidth="1"/>
    <col min="3612" max="3840" width="9.33203125" style="1"/>
    <col min="3841" max="3841" width="14.33203125" style="1" bestFit="1" customWidth="1"/>
    <col min="3842" max="3843" width="63.6640625" style="1" bestFit="1" customWidth="1"/>
    <col min="3844" max="3844" width="22" style="1" bestFit="1" customWidth="1"/>
    <col min="3845" max="3858" width="19" style="1" customWidth="1"/>
    <col min="3859" max="3867" width="17.5546875" style="1" customWidth="1"/>
    <col min="3868" max="4096" width="9.33203125" style="1"/>
    <col min="4097" max="4097" width="14.33203125" style="1" bestFit="1" customWidth="1"/>
    <col min="4098" max="4099" width="63.6640625" style="1" bestFit="1" customWidth="1"/>
    <col min="4100" max="4100" width="22" style="1" bestFit="1" customWidth="1"/>
    <col min="4101" max="4114" width="19" style="1" customWidth="1"/>
    <col min="4115" max="4123" width="17.5546875" style="1" customWidth="1"/>
    <col min="4124" max="4352" width="9.33203125" style="1"/>
    <col min="4353" max="4353" width="14.33203125" style="1" bestFit="1" customWidth="1"/>
    <col min="4354" max="4355" width="63.6640625" style="1" bestFit="1" customWidth="1"/>
    <col min="4356" max="4356" width="22" style="1" bestFit="1" customWidth="1"/>
    <col min="4357" max="4370" width="19" style="1" customWidth="1"/>
    <col min="4371" max="4379" width="17.5546875" style="1" customWidth="1"/>
    <col min="4380" max="4608" width="9.33203125" style="1"/>
    <col min="4609" max="4609" width="14.33203125" style="1" bestFit="1" customWidth="1"/>
    <col min="4610" max="4611" width="63.6640625" style="1" bestFit="1" customWidth="1"/>
    <col min="4612" max="4612" width="22" style="1" bestFit="1" customWidth="1"/>
    <col min="4613" max="4626" width="19" style="1" customWidth="1"/>
    <col min="4627" max="4635" width="17.5546875" style="1" customWidth="1"/>
    <col min="4636" max="4864" width="9.33203125" style="1"/>
    <col min="4865" max="4865" width="14.33203125" style="1" bestFit="1" customWidth="1"/>
    <col min="4866" max="4867" width="63.6640625" style="1" bestFit="1" customWidth="1"/>
    <col min="4868" max="4868" width="22" style="1" bestFit="1" customWidth="1"/>
    <col min="4869" max="4882" width="19" style="1" customWidth="1"/>
    <col min="4883" max="4891" width="17.5546875" style="1" customWidth="1"/>
    <col min="4892" max="5120" width="9.33203125" style="1"/>
    <col min="5121" max="5121" width="14.33203125" style="1" bestFit="1" customWidth="1"/>
    <col min="5122" max="5123" width="63.6640625" style="1" bestFit="1" customWidth="1"/>
    <col min="5124" max="5124" width="22" style="1" bestFit="1" customWidth="1"/>
    <col min="5125" max="5138" width="19" style="1" customWidth="1"/>
    <col min="5139" max="5147" width="17.5546875" style="1" customWidth="1"/>
    <col min="5148" max="5376" width="9.33203125" style="1"/>
    <col min="5377" max="5377" width="14.33203125" style="1" bestFit="1" customWidth="1"/>
    <col min="5378" max="5379" width="63.6640625" style="1" bestFit="1" customWidth="1"/>
    <col min="5380" max="5380" width="22" style="1" bestFit="1" customWidth="1"/>
    <col min="5381" max="5394" width="19" style="1" customWidth="1"/>
    <col min="5395" max="5403" width="17.5546875" style="1" customWidth="1"/>
    <col min="5404" max="5632" width="9.33203125" style="1"/>
    <col min="5633" max="5633" width="14.33203125" style="1" bestFit="1" customWidth="1"/>
    <col min="5634" max="5635" width="63.6640625" style="1" bestFit="1" customWidth="1"/>
    <col min="5636" max="5636" width="22" style="1" bestFit="1" customWidth="1"/>
    <col min="5637" max="5650" width="19" style="1" customWidth="1"/>
    <col min="5651" max="5659" width="17.5546875" style="1" customWidth="1"/>
    <col min="5660" max="5888" width="9.33203125" style="1"/>
    <col min="5889" max="5889" width="14.33203125" style="1" bestFit="1" customWidth="1"/>
    <col min="5890" max="5891" width="63.6640625" style="1" bestFit="1" customWidth="1"/>
    <col min="5892" max="5892" width="22" style="1" bestFit="1" customWidth="1"/>
    <col min="5893" max="5906" width="19" style="1" customWidth="1"/>
    <col min="5907" max="5915" width="17.5546875" style="1" customWidth="1"/>
    <col min="5916" max="6144" width="9.33203125" style="1"/>
    <col min="6145" max="6145" width="14.33203125" style="1" bestFit="1" customWidth="1"/>
    <col min="6146" max="6147" width="63.6640625" style="1" bestFit="1" customWidth="1"/>
    <col min="6148" max="6148" width="22" style="1" bestFit="1" customWidth="1"/>
    <col min="6149" max="6162" width="19" style="1" customWidth="1"/>
    <col min="6163" max="6171" width="17.5546875" style="1" customWidth="1"/>
    <col min="6172" max="6400" width="9.33203125" style="1"/>
    <col min="6401" max="6401" width="14.33203125" style="1" bestFit="1" customWidth="1"/>
    <col min="6402" max="6403" width="63.6640625" style="1" bestFit="1" customWidth="1"/>
    <col min="6404" max="6404" width="22" style="1" bestFit="1" customWidth="1"/>
    <col min="6405" max="6418" width="19" style="1" customWidth="1"/>
    <col min="6419" max="6427" width="17.5546875" style="1" customWidth="1"/>
    <col min="6428" max="6656" width="9.33203125" style="1"/>
    <col min="6657" max="6657" width="14.33203125" style="1" bestFit="1" customWidth="1"/>
    <col min="6658" max="6659" width="63.6640625" style="1" bestFit="1" customWidth="1"/>
    <col min="6660" max="6660" width="22" style="1" bestFit="1" customWidth="1"/>
    <col min="6661" max="6674" width="19" style="1" customWidth="1"/>
    <col min="6675" max="6683" width="17.5546875" style="1" customWidth="1"/>
    <col min="6684" max="6912" width="9.33203125" style="1"/>
    <col min="6913" max="6913" width="14.33203125" style="1" bestFit="1" customWidth="1"/>
    <col min="6914" max="6915" width="63.6640625" style="1" bestFit="1" customWidth="1"/>
    <col min="6916" max="6916" width="22" style="1" bestFit="1" customWidth="1"/>
    <col min="6917" max="6930" width="19" style="1" customWidth="1"/>
    <col min="6931" max="6939" width="17.5546875" style="1" customWidth="1"/>
    <col min="6940" max="7168" width="9.33203125" style="1"/>
    <col min="7169" max="7169" width="14.33203125" style="1" bestFit="1" customWidth="1"/>
    <col min="7170" max="7171" width="63.6640625" style="1" bestFit="1" customWidth="1"/>
    <col min="7172" max="7172" width="22" style="1" bestFit="1" customWidth="1"/>
    <col min="7173" max="7186" width="19" style="1" customWidth="1"/>
    <col min="7187" max="7195" width="17.5546875" style="1" customWidth="1"/>
    <col min="7196" max="7424" width="9.33203125" style="1"/>
    <col min="7425" max="7425" width="14.33203125" style="1" bestFit="1" customWidth="1"/>
    <col min="7426" max="7427" width="63.6640625" style="1" bestFit="1" customWidth="1"/>
    <col min="7428" max="7428" width="22" style="1" bestFit="1" customWidth="1"/>
    <col min="7429" max="7442" width="19" style="1" customWidth="1"/>
    <col min="7443" max="7451" width="17.5546875" style="1" customWidth="1"/>
    <col min="7452" max="7680" width="9.33203125" style="1"/>
    <col min="7681" max="7681" width="14.33203125" style="1" bestFit="1" customWidth="1"/>
    <col min="7682" max="7683" width="63.6640625" style="1" bestFit="1" customWidth="1"/>
    <col min="7684" max="7684" width="22" style="1" bestFit="1" customWidth="1"/>
    <col min="7685" max="7698" width="19" style="1" customWidth="1"/>
    <col min="7699" max="7707" width="17.5546875" style="1" customWidth="1"/>
    <col min="7708" max="7936" width="9.33203125" style="1"/>
    <col min="7937" max="7937" width="14.33203125" style="1" bestFit="1" customWidth="1"/>
    <col min="7938" max="7939" width="63.6640625" style="1" bestFit="1" customWidth="1"/>
    <col min="7940" max="7940" width="22" style="1" bestFit="1" customWidth="1"/>
    <col min="7941" max="7954" width="19" style="1" customWidth="1"/>
    <col min="7955" max="7963" width="17.5546875" style="1" customWidth="1"/>
    <col min="7964" max="8192" width="9.33203125" style="1"/>
    <col min="8193" max="8193" width="14.33203125" style="1" bestFit="1" customWidth="1"/>
    <col min="8194" max="8195" width="63.6640625" style="1" bestFit="1" customWidth="1"/>
    <col min="8196" max="8196" width="22" style="1" bestFit="1" customWidth="1"/>
    <col min="8197" max="8210" width="19" style="1" customWidth="1"/>
    <col min="8211" max="8219" width="17.5546875" style="1" customWidth="1"/>
    <col min="8220" max="8448" width="9.33203125" style="1"/>
    <col min="8449" max="8449" width="14.33203125" style="1" bestFit="1" customWidth="1"/>
    <col min="8450" max="8451" width="63.6640625" style="1" bestFit="1" customWidth="1"/>
    <col min="8452" max="8452" width="22" style="1" bestFit="1" customWidth="1"/>
    <col min="8453" max="8466" width="19" style="1" customWidth="1"/>
    <col min="8467" max="8475" width="17.5546875" style="1" customWidth="1"/>
    <col min="8476" max="8704" width="9.33203125" style="1"/>
    <col min="8705" max="8705" width="14.33203125" style="1" bestFit="1" customWidth="1"/>
    <col min="8706" max="8707" width="63.6640625" style="1" bestFit="1" customWidth="1"/>
    <col min="8708" max="8708" width="22" style="1" bestFit="1" customWidth="1"/>
    <col min="8709" max="8722" width="19" style="1" customWidth="1"/>
    <col min="8723" max="8731" width="17.5546875" style="1" customWidth="1"/>
    <col min="8732" max="8960" width="9.33203125" style="1"/>
    <col min="8961" max="8961" width="14.33203125" style="1" bestFit="1" customWidth="1"/>
    <col min="8962" max="8963" width="63.6640625" style="1" bestFit="1" customWidth="1"/>
    <col min="8964" max="8964" width="22" style="1" bestFit="1" customWidth="1"/>
    <col min="8965" max="8978" width="19" style="1" customWidth="1"/>
    <col min="8979" max="8987" width="17.5546875" style="1" customWidth="1"/>
    <col min="8988" max="9216" width="9.33203125" style="1"/>
    <col min="9217" max="9217" width="14.33203125" style="1" bestFit="1" customWidth="1"/>
    <col min="9218" max="9219" width="63.6640625" style="1" bestFit="1" customWidth="1"/>
    <col min="9220" max="9220" width="22" style="1" bestFit="1" customWidth="1"/>
    <col min="9221" max="9234" width="19" style="1" customWidth="1"/>
    <col min="9235" max="9243" width="17.5546875" style="1" customWidth="1"/>
    <col min="9244" max="9472" width="9.33203125" style="1"/>
    <col min="9473" max="9473" width="14.33203125" style="1" bestFit="1" customWidth="1"/>
    <col min="9474" max="9475" width="63.6640625" style="1" bestFit="1" customWidth="1"/>
    <col min="9476" max="9476" width="22" style="1" bestFit="1" customWidth="1"/>
    <col min="9477" max="9490" width="19" style="1" customWidth="1"/>
    <col min="9491" max="9499" width="17.5546875" style="1" customWidth="1"/>
    <col min="9500" max="9728" width="9.33203125" style="1"/>
    <col min="9729" max="9729" width="14.33203125" style="1" bestFit="1" customWidth="1"/>
    <col min="9730" max="9731" width="63.6640625" style="1" bestFit="1" customWidth="1"/>
    <col min="9732" max="9732" width="22" style="1" bestFit="1" customWidth="1"/>
    <col min="9733" max="9746" width="19" style="1" customWidth="1"/>
    <col min="9747" max="9755" width="17.5546875" style="1" customWidth="1"/>
    <col min="9756" max="9984" width="9.33203125" style="1"/>
    <col min="9985" max="9985" width="14.33203125" style="1" bestFit="1" customWidth="1"/>
    <col min="9986" max="9987" width="63.6640625" style="1" bestFit="1" customWidth="1"/>
    <col min="9988" max="9988" width="22" style="1" bestFit="1" customWidth="1"/>
    <col min="9989" max="10002" width="19" style="1" customWidth="1"/>
    <col min="10003" max="10011" width="17.5546875" style="1" customWidth="1"/>
    <col min="10012" max="10240" width="9.33203125" style="1"/>
    <col min="10241" max="10241" width="14.33203125" style="1" bestFit="1" customWidth="1"/>
    <col min="10242" max="10243" width="63.6640625" style="1" bestFit="1" customWidth="1"/>
    <col min="10244" max="10244" width="22" style="1" bestFit="1" customWidth="1"/>
    <col min="10245" max="10258" width="19" style="1" customWidth="1"/>
    <col min="10259" max="10267" width="17.5546875" style="1" customWidth="1"/>
    <col min="10268" max="10496" width="9.33203125" style="1"/>
    <col min="10497" max="10497" width="14.33203125" style="1" bestFit="1" customWidth="1"/>
    <col min="10498" max="10499" width="63.6640625" style="1" bestFit="1" customWidth="1"/>
    <col min="10500" max="10500" width="22" style="1" bestFit="1" customWidth="1"/>
    <col min="10501" max="10514" width="19" style="1" customWidth="1"/>
    <col min="10515" max="10523" width="17.5546875" style="1" customWidth="1"/>
    <col min="10524" max="10752" width="9.33203125" style="1"/>
    <col min="10753" max="10753" width="14.33203125" style="1" bestFit="1" customWidth="1"/>
    <col min="10754" max="10755" width="63.6640625" style="1" bestFit="1" customWidth="1"/>
    <col min="10756" max="10756" width="22" style="1" bestFit="1" customWidth="1"/>
    <col min="10757" max="10770" width="19" style="1" customWidth="1"/>
    <col min="10771" max="10779" width="17.5546875" style="1" customWidth="1"/>
    <col min="10780" max="11008" width="9.33203125" style="1"/>
    <col min="11009" max="11009" width="14.33203125" style="1" bestFit="1" customWidth="1"/>
    <col min="11010" max="11011" width="63.6640625" style="1" bestFit="1" customWidth="1"/>
    <col min="11012" max="11012" width="22" style="1" bestFit="1" customWidth="1"/>
    <col min="11013" max="11026" width="19" style="1" customWidth="1"/>
    <col min="11027" max="11035" width="17.5546875" style="1" customWidth="1"/>
    <col min="11036" max="11264" width="9.33203125" style="1"/>
    <col min="11265" max="11265" width="14.33203125" style="1" bestFit="1" customWidth="1"/>
    <col min="11266" max="11267" width="63.6640625" style="1" bestFit="1" customWidth="1"/>
    <col min="11268" max="11268" width="22" style="1" bestFit="1" customWidth="1"/>
    <col min="11269" max="11282" width="19" style="1" customWidth="1"/>
    <col min="11283" max="11291" width="17.5546875" style="1" customWidth="1"/>
    <col min="11292" max="11520" width="9.33203125" style="1"/>
    <col min="11521" max="11521" width="14.33203125" style="1" bestFit="1" customWidth="1"/>
    <col min="11522" max="11523" width="63.6640625" style="1" bestFit="1" customWidth="1"/>
    <col min="11524" max="11524" width="22" style="1" bestFit="1" customWidth="1"/>
    <col min="11525" max="11538" width="19" style="1" customWidth="1"/>
    <col min="11539" max="11547" width="17.5546875" style="1" customWidth="1"/>
    <col min="11548" max="11776" width="9.33203125" style="1"/>
    <col min="11777" max="11777" width="14.33203125" style="1" bestFit="1" customWidth="1"/>
    <col min="11778" max="11779" width="63.6640625" style="1" bestFit="1" customWidth="1"/>
    <col min="11780" max="11780" width="22" style="1" bestFit="1" customWidth="1"/>
    <col min="11781" max="11794" width="19" style="1" customWidth="1"/>
    <col min="11795" max="11803" width="17.5546875" style="1" customWidth="1"/>
    <col min="11804" max="12032" width="9.33203125" style="1"/>
    <col min="12033" max="12033" width="14.33203125" style="1" bestFit="1" customWidth="1"/>
    <col min="12034" max="12035" width="63.6640625" style="1" bestFit="1" customWidth="1"/>
    <col min="12036" max="12036" width="22" style="1" bestFit="1" customWidth="1"/>
    <col min="12037" max="12050" width="19" style="1" customWidth="1"/>
    <col min="12051" max="12059" width="17.5546875" style="1" customWidth="1"/>
    <col min="12060" max="12288" width="9.33203125" style="1"/>
    <col min="12289" max="12289" width="14.33203125" style="1" bestFit="1" customWidth="1"/>
    <col min="12290" max="12291" width="63.6640625" style="1" bestFit="1" customWidth="1"/>
    <col min="12292" max="12292" width="22" style="1" bestFit="1" customWidth="1"/>
    <col min="12293" max="12306" width="19" style="1" customWidth="1"/>
    <col min="12307" max="12315" width="17.5546875" style="1" customWidth="1"/>
    <col min="12316" max="12544" width="9.33203125" style="1"/>
    <col min="12545" max="12545" width="14.33203125" style="1" bestFit="1" customWidth="1"/>
    <col min="12546" max="12547" width="63.6640625" style="1" bestFit="1" customWidth="1"/>
    <col min="12548" max="12548" width="22" style="1" bestFit="1" customWidth="1"/>
    <col min="12549" max="12562" width="19" style="1" customWidth="1"/>
    <col min="12563" max="12571" width="17.5546875" style="1" customWidth="1"/>
    <col min="12572" max="12800" width="9.33203125" style="1"/>
    <col min="12801" max="12801" width="14.33203125" style="1" bestFit="1" customWidth="1"/>
    <col min="12802" max="12803" width="63.6640625" style="1" bestFit="1" customWidth="1"/>
    <col min="12804" max="12804" width="22" style="1" bestFit="1" customWidth="1"/>
    <col min="12805" max="12818" width="19" style="1" customWidth="1"/>
    <col min="12819" max="12827" width="17.5546875" style="1" customWidth="1"/>
    <col min="12828" max="13056" width="9.33203125" style="1"/>
    <col min="13057" max="13057" width="14.33203125" style="1" bestFit="1" customWidth="1"/>
    <col min="13058" max="13059" width="63.6640625" style="1" bestFit="1" customWidth="1"/>
    <col min="13060" max="13060" width="22" style="1" bestFit="1" customWidth="1"/>
    <col min="13061" max="13074" width="19" style="1" customWidth="1"/>
    <col min="13075" max="13083" width="17.5546875" style="1" customWidth="1"/>
    <col min="13084" max="13312" width="9.33203125" style="1"/>
    <col min="13313" max="13313" width="14.33203125" style="1" bestFit="1" customWidth="1"/>
    <col min="13314" max="13315" width="63.6640625" style="1" bestFit="1" customWidth="1"/>
    <col min="13316" max="13316" width="22" style="1" bestFit="1" customWidth="1"/>
    <col min="13317" max="13330" width="19" style="1" customWidth="1"/>
    <col min="13331" max="13339" width="17.5546875" style="1" customWidth="1"/>
    <col min="13340" max="13568" width="9.33203125" style="1"/>
    <col min="13569" max="13569" width="14.33203125" style="1" bestFit="1" customWidth="1"/>
    <col min="13570" max="13571" width="63.6640625" style="1" bestFit="1" customWidth="1"/>
    <col min="13572" max="13572" width="22" style="1" bestFit="1" customWidth="1"/>
    <col min="13573" max="13586" width="19" style="1" customWidth="1"/>
    <col min="13587" max="13595" width="17.5546875" style="1" customWidth="1"/>
    <col min="13596" max="13824" width="9.33203125" style="1"/>
    <col min="13825" max="13825" width="14.33203125" style="1" bestFit="1" customWidth="1"/>
    <col min="13826" max="13827" width="63.6640625" style="1" bestFit="1" customWidth="1"/>
    <col min="13828" max="13828" width="22" style="1" bestFit="1" customWidth="1"/>
    <col min="13829" max="13842" width="19" style="1" customWidth="1"/>
    <col min="13843" max="13851" width="17.5546875" style="1" customWidth="1"/>
    <col min="13852" max="14080" width="9.33203125" style="1"/>
    <col min="14081" max="14081" width="14.33203125" style="1" bestFit="1" customWidth="1"/>
    <col min="14082" max="14083" width="63.6640625" style="1" bestFit="1" customWidth="1"/>
    <col min="14084" max="14084" width="22" style="1" bestFit="1" customWidth="1"/>
    <col min="14085" max="14098" width="19" style="1" customWidth="1"/>
    <col min="14099" max="14107" width="17.5546875" style="1" customWidth="1"/>
    <col min="14108" max="14336" width="9.33203125" style="1"/>
    <col min="14337" max="14337" width="14.33203125" style="1" bestFit="1" customWidth="1"/>
    <col min="14338" max="14339" width="63.6640625" style="1" bestFit="1" customWidth="1"/>
    <col min="14340" max="14340" width="22" style="1" bestFit="1" customWidth="1"/>
    <col min="14341" max="14354" width="19" style="1" customWidth="1"/>
    <col min="14355" max="14363" width="17.5546875" style="1" customWidth="1"/>
    <col min="14364" max="14592" width="9.33203125" style="1"/>
    <col min="14593" max="14593" width="14.33203125" style="1" bestFit="1" customWidth="1"/>
    <col min="14594" max="14595" width="63.6640625" style="1" bestFit="1" customWidth="1"/>
    <col min="14596" max="14596" width="22" style="1" bestFit="1" customWidth="1"/>
    <col min="14597" max="14610" width="19" style="1" customWidth="1"/>
    <col min="14611" max="14619" width="17.5546875" style="1" customWidth="1"/>
    <col min="14620" max="14848" width="9.33203125" style="1"/>
    <col min="14849" max="14849" width="14.33203125" style="1" bestFit="1" customWidth="1"/>
    <col min="14850" max="14851" width="63.6640625" style="1" bestFit="1" customWidth="1"/>
    <col min="14852" max="14852" width="22" style="1" bestFit="1" customWidth="1"/>
    <col min="14853" max="14866" width="19" style="1" customWidth="1"/>
    <col min="14867" max="14875" width="17.5546875" style="1" customWidth="1"/>
    <col min="14876" max="15104" width="9.33203125" style="1"/>
    <col min="15105" max="15105" width="14.33203125" style="1" bestFit="1" customWidth="1"/>
    <col min="15106" max="15107" width="63.6640625" style="1" bestFit="1" customWidth="1"/>
    <col min="15108" max="15108" width="22" style="1" bestFit="1" customWidth="1"/>
    <col min="15109" max="15122" width="19" style="1" customWidth="1"/>
    <col min="15123" max="15131" width="17.5546875" style="1" customWidth="1"/>
    <col min="15132" max="15360" width="9.33203125" style="1"/>
    <col min="15361" max="15361" width="14.33203125" style="1" bestFit="1" customWidth="1"/>
    <col min="15362" max="15363" width="63.6640625" style="1" bestFit="1" customWidth="1"/>
    <col min="15364" max="15364" width="22" style="1" bestFit="1" customWidth="1"/>
    <col min="15365" max="15378" width="19" style="1" customWidth="1"/>
    <col min="15379" max="15387" width="17.5546875" style="1" customWidth="1"/>
    <col min="15388" max="15616" width="9.33203125" style="1"/>
    <col min="15617" max="15617" width="14.33203125" style="1" bestFit="1" customWidth="1"/>
    <col min="15618" max="15619" width="63.6640625" style="1" bestFit="1" customWidth="1"/>
    <col min="15620" max="15620" width="22" style="1" bestFit="1" customWidth="1"/>
    <col min="15621" max="15634" width="19" style="1" customWidth="1"/>
    <col min="15635" max="15643" width="17.5546875" style="1" customWidth="1"/>
    <col min="15644" max="15872" width="9.33203125" style="1"/>
    <col min="15873" max="15873" width="14.33203125" style="1" bestFit="1" customWidth="1"/>
    <col min="15874" max="15875" width="63.6640625" style="1" bestFit="1" customWidth="1"/>
    <col min="15876" max="15876" width="22" style="1" bestFit="1" customWidth="1"/>
    <col min="15877" max="15890" width="19" style="1" customWidth="1"/>
    <col min="15891" max="15899" width="17.5546875" style="1" customWidth="1"/>
    <col min="15900" max="16128" width="9.33203125" style="1"/>
    <col min="16129" max="16129" width="14.33203125" style="1" bestFit="1" customWidth="1"/>
    <col min="16130" max="16131" width="63.6640625" style="1" bestFit="1" customWidth="1"/>
    <col min="16132" max="16132" width="22" style="1" bestFit="1" customWidth="1"/>
    <col min="16133" max="16146" width="19" style="1" customWidth="1"/>
    <col min="16147" max="16155" width="17.5546875" style="1" customWidth="1"/>
    <col min="16156" max="16383" width="9.33203125" style="1"/>
    <col min="16384" max="16384" width="9.33203125" style="1" customWidth="1"/>
  </cols>
  <sheetData>
    <row r="3" spans="1:27" ht="39.6" x14ac:dyDescent="0.25">
      <c r="D3" s="9" t="s">
        <v>301</v>
      </c>
      <c r="E3" s="9" t="s">
        <v>301</v>
      </c>
      <c r="F3" s="9" t="s">
        <v>301</v>
      </c>
      <c r="G3" s="9" t="s">
        <v>301</v>
      </c>
      <c r="H3" s="9" t="s">
        <v>301</v>
      </c>
      <c r="I3" s="9" t="s">
        <v>301</v>
      </c>
      <c r="J3" s="9" t="s">
        <v>301</v>
      </c>
      <c r="K3" s="9" t="s">
        <v>301</v>
      </c>
      <c r="L3" s="9" t="s">
        <v>301</v>
      </c>
      <c r="M3" s="9" t="s">
        <v>301</v>
      </c>
      <c r="N3" s="9" t="s">
        <v>301</v>
      </c>
      <c r="O3" s="9" t="s">
        <v>301</v>
      </c>
      <c r="P3" s="9" t="s">
        <v>301</v>
      </c>
      <c r="Q3" s="9" t="s">
        <v>301</v>
      </c>
      <c r="R3" s="9" t="s">
        <v>301</v>
      </c>
      <c r="S3" s="9" t="s">
        <v>301</v>
      </c>
      <c r="T3" s="9" t="s">
        <v>301</v>
      </c>
      <c r="U3" s="9" t="s">
        <v>301</v>
      </c>
      <c r="V3" s="9" t="s">
        <v>301</v>
      </c>
      <c r="W3" s="9" t="s">
        <v>301</v>
      </c>
      <c r="X3" s="9" t="s">
        <v>301</v>
      </c>
      <c r="Y3" s="9" t="s">
        <v>301</v>
      </c>
      <c r="Z3" s="9" t="s">
        <v>301</v>
      </c>
      <c r="AA3" s="9" t="s">
        <v>301</v>
      </c>
    </row>
    <row r="4" spans="1:27" ht="26.4" x14ac:dyDescent="0.25">
      <c r="B4" s="2"/>
      <c r="C4" s="2"/>
      <c r="D4" s="9" t="s">
        <v>302</v>
      </c>
      <c r="E4" s="9" t="s">
        <v>302</v>
      </c>
      <c r="F4" s="9" t="s">
        <v>302</v>
      </c>
      <c r="G4" s="9" t="s">
        <v>302</v>
      </c>
      <c r="H4" s="9" t="s">
        <v>302</v>
      </c>
      <c r="I4" s="9" t="s">
        <v>302</v>
      </c>
      <c r="J4" s="9" t="s">
        <v>302</v>
      </c>
      <c r="K4" s="9" t="s">
        <v>302</v>
      </c>
      <c r="L4" s="9" t="s">
        <v>302</v>
      </c>
      <c r="M4" s="9" t="s">
        <v>302</v>
      </c>
      <c r="N4" s="9" t="s">
        <v>302</v>
      </c>
      <c r="O4" s="9" t="s">
        <v>302</v>
      </c>
      <c r="P4" s="9" t="s">
        <v>302</v>
      </c>
      <c r="Q4" s="9" t="s">
        <v>302</v>
      </c>
      <c r="R4" s="9" t="s">
        <v>302</v>
      </c>
      <c r="S4" s="9" t="s">
        <v>302</v>
      </c>
      <c r="T4" s="9" t="s">
        <v>302</v>
      </c>
      <c r="U4" s="9" t="s">
        <v>302</v>
      </c>
      <c r="V4" s="9" t="s">
        <v>302</v>
      </c>
      <c r="W4" s="9" t="s">
        <v>302</v>
      </c>
      <c r="X4" s="9" t="s">
        <v>302</v>
      </c>
      <c r="Y4" s="9" t="s">
        <v>302</v>
      </c>
      <c r="Z4" s="9" t="s">
        <v>302</v>
      </c>
      <c r="AA4" s="9" t="s">
        <v>302</v>
      </c>
    </row>
    <row r="5" spans="1:27" x14ac:dyDescent="0.25">
      <c r="A5" s="3" t="s">
        <v>264</v>
      </c>
      <c r="B5" s="4" t="s">
        <v>265</v>
      </c>
      <c r="C5" s="5" t="s">
        <v>64</v>
      </c>
      <c r="D5" s="9" t="s">
        <v>177</v>
      </c>
      <c r="E5" s="9" t="s">
        <v>176</v>
      </c>
      <c r="F5" s="9" t="s">
        <v>175</v>
      </c>
      <c r="G5" s="9" t="s">
        <v>174</v>
      </c>
      <c r="H5" s="9" t="s">
        <v>173</v>
      </c>
      <c r="I5" s="9" t="s">
        <v>172</v>
      </c>
      <c r="J5" s="9" t="s">
        <v>171</v>
      </c>
      <c r="K5" s="9" t="s">
        <v>170</v>
      </c>
      <c r="L5" s="9" t="s">
        <v>169</v>
      </c>
      <c r="M5" s="9" t="s">
        <v>168</v>
      </c>
      <c r="N5" s="9" t="s">
        <v>167</v>
      </c>
      <c r="O5" s="9" t="s">
        <v>166</v>
      </c>
      <c r="P5" s="9" t="s">
        <v>165</v>
      </c>
      <c r="Q5" s="9" t="s">
        <v>164</v>
      </c>
      <c r="R5" s="9" t="s">
        <v>163</v>
      </c>
      <c r="S5" s="9" t="s">
        <v>162</v>
      </c>
      <c r="T5" s="9" t="s">
        <v>161</v>
      </c>
      <c r="U5" s="9" t="s">
        <v>160</v>
      </c>
      <c r="V5" s="9" t="s">
        <v>159</v>
      </c>
      <c r="W5" s="9" t="s">
        <v>158</v>
      </c>
      <c r="X5" s="9" t="s">
        <v>157</v>
      </c>
      <c r="Y5" s="9" t="s">
        <v>156</v>
      </c>
      <c r="Z5" s="9" t="s">
        <v>155</v>
      </c>
      <c r="AA5" s="9" t="s">
        <v>150</v>
      </c>
    </row>
    <row r="6" spans="1:27" x14ac:dyDescent="0.25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B7" s="6" t="s">
        <v>266</v>
      </c>
      <c r="C7" s="7">
        <v>4058513</v>
      </c>
      <c r="D7" s="151" t="s">
        <v>267</v>
      </c>
      <c r="E7" s="151" t="s">
        <v>267</v>
      </c>
      <c r="F7" s="151">
        <v>57817</v>
      </c>
      <c r="G7" s="151">
        <v>57592</v>
      </c>
      <c r="H7" s="151">
        <v>57614</v>
      </c>
      <c r="I7" s="151">
        <v>57777</v>
      </c>
      <c r="J7" s="151">
        <v>57956</v>
      </c>
      <c r="K7" s="151">
        <v>58188</v>
      </c>
      <c r="L7" s="151">
        <v>58473</v>
      </c>
      <c r="M7" s="151">
        <v>58844</v>
      </c>
      <c r="N7" s="151">
        <v>59271</v>
      </c>
      <c r="O7" s="151">
        <v>59503</v>
      </c>
      <c r="P7" s="151">
        <v>59667</v>
      </c>
      <c r="Q7" s="151">
        <v>60122</v>
      </c>
      <c r="R7" s="151">
        <v>60052</v>
      </c>
      <c r="S7" s="151">
        <v>60270</v>
      </c>
      <c r="T7" s="151">
        <v>61360</v>
      </c>
      <c r="U7" s="151">
        <v>61906</v>
      </c>
      <c r="V7" s="151">
        <v>62053</v>
      </c>
      <c r="W7" s="151">
        <v>62081</v>
      </c>
      <c r="X7" s="151">
        <v>62224</v>
      </c>
      <c r="Y7" s="151">
        <v>63148</v>
      </c>
      <c r="Z7" s="151">
        <v>61696</v>
      </c>
      <c r="AA7" s="151">
        <v>60974</v>
      </c>
    </row>
    <row r="8" spans="1:27" x14ac:dyDescent="0.25">
      <c r="B8" s="6" t="s">
        <v>148</v>
      </c>
      <c r="C8" s="7">
        <v>4054707</v>
      </c>
      <c r="D8" s="151">
        <v>1695226</v>
      </c>
      <c r="E8" s="151">
        <v>1689129</v>
      </c>
      <c r="F8" s="151">
        <v>1610603</v>
      </c>
      <c r="G8" s="151">
        <v>1595069</v>
      </c>
      <c r="H8" s="151">
        <v>1577838</v>
      </c>
      <c r="I8" s="151">
        <v>1565727</v>
      </c>
      <c r="J8" s="151">
        <v>1550319</v>
      </c>
      <c r="K8" s="151">
        <v>1532531</v>
      </c>
      <c r="L8" s="151">
        <v>1518436</v>
      </c>
      <c r="M8" s="151">
        <v>1510998</v>
      </c>
      <c r="N8" s="151">
        <v>1510957</v>
      </c>
      <c r="O8" s="151">
        <v>1512949</v>
      </c>
      <c r="P8" s="151">
        <v>1514629</v>
      </c>
      <c r="Q8" s="151">
        <v>1557230</v>
      </c>
      <c r="R8" s="151">
        <v>1558679</v>
      </c>
      <c r="S8" s="151">
        <v>1493579</v>
      </c>
      <c r="T8" s="151">
        <v>1546746</v>
      </c>
      <c r="U8" s="151">
        <v>1532615</v>
      </c>
      <c r="V8" s="151">
        <v>1527668</v>
      </c>
      <c r="W8" s="151">
        <v>1519499</v>
      </c>
      <c r="X8" s="151">
        <v>1533343</v>
      </c>
      <c r="Y8" s="151">
        <v>1478549</v>
      </c>
      <c r="Z8" s="151">
        <v>1638195</v>
      </c>
      <c r="AA8" s="151">
        <v>1467712</v>
      </c>
    </row>
    <row r="9" spans="1:27" x14ac:dyDescent="0.25">
      <c r="B9" s="6" t="s">
        <v>179</v>
      </c>
      <c r="C9" s="7">
        <v>4057075</v>
      </c>
      <c r="D9" s="151">
        <v>368491</v>
      </c>
      <c r="E9" s="151" t="s">
        <v>267</v>
      </c>
      <c r="F9" s="151">
        <v>357592</v>
      </c>
      <c r="G9" s="151">
        <v>350734</v>
      </c>
      <c r="H9" s="151">
        <v>343018</v>
      </c>
      <c r="I9" s="151">
        <v>336207</v>
      </c>
      <c r="J9" s="151">
        <v>332960</v>
      </c>
      <c r="K9" s="151">
        <v>326436</v>
      </c>
      <c r="L9" s="151">
        <v>323097</v>
      </c>
      <c r="M9" s="151">
        <v>320741</v>
      </c>
      <c r="N9" s="151">
        <v>318487</v>
      </c>
      <c r="O9" s="151">
        <v>316572</v>
      </c>
      <c r="P9" s="151">
        <v>314325</v>
      </c>
      <c r="Q9" s="151">
        <v>311232</v>
      </c>
      <c r="R9" s="151">
        <v>306180</v>
      </c>
      <c r="S9" s="151">
        <v>299224</v>
      </c>
      <c r="T9" s="151">
        <v>291118</v>
      </c>
      <c r="U9" s="151">
        <v>282317</v>
      </c>
      <c r="V9" s="151">
        <v>274404</v>
      </c>
      <c r="W9" s="151">
        <v>267704</v>
      </c>
      <c r="X9" s="151">
        <v>262290</v>
      </c>
      <c r="Y9" s="151">
        <v>255245</v>
      </c>
      <c r="Z9" s="151">
        <v>246307</v>
      </c>
      <c r="AA9" s="151">
        <v>236733</v>
      </c>
    </row>
    <row r="10" spans="1:27" x14ac:dyDescent="0.25">
      <c r="A10" s="1" t="s">
        <v>268</v>
      </c>
      <c r="B10" s="6" t="s">
        <v>181</v>
      </c>
      <c r="C10" s="7">
        <v>4007784</v>
      </c>
      <c r="D10" s="151">
        <v>552071</v>
      </c>
      <c r="E10" s="151" t="s">
        <v>267</v>
      </c>
      <c r="F10" s="151">
        <v>683808</v>
      </c>
      <c r="G10" s="151">
        <v>678043</v>
      </c>
      <c r="H10" s="151">
        <v>673937</v>
      </c>
      <c r="I10" s="151">
        <v>667902</v>
      </c>
      <c r="J10" s="151">
        <v>661548</v>
      </c>
      <c r="K10" s="151">
        <v>653826</v>
      </c>
      <c r="L10" s="151">
        <v>655693</v>
      </c>
      <c r="M10" s="151">
        <v>655055</v>
      </c>
      <c r="N10" s="151">
        <v>653154</v>
      </c>
      <c r="O10" s="151">
        <v>652594</v>
      </c>
      <c r="P10" s="151">
        <v>650861</v>
      </c>
      <c r="Q10" s="151">
        <v>648934</v>
      </c>
      <c r="R10" s="151">
        <v>646186</v>
      </c>
      <c r="S10" s="151">
        <v>640579</v>
      </c>
      <c r="T10" s="151">
        <v>634057</v>
      </c>
      <c r="U10" s="151">
        <v>624862</v>
      </c>
      <c r="V10" s="151">
        <v>617586</v>
      </c>
      <c r="W10" s="151">
        <v>609349</v>
      </c>
      <c r="X10" s="151">
        <v>598535</v>
      </c>
      <c r="Y10" s="151">
        <v>595260</v>
      </c>
      <c r="Z10" s="151">
        <v>583866</v>
      </c>
      <c r="AA10" s="151">
        <v>573428</v>
      </c>
    </row>
    <row r="11" spans="1:27" x14ac:dyDescent="0.25">
      <c r="A11" s="1" t="s">
        <v>268</v>
      </c>
      <c r="B11" s="6" t="s">
        <v>269</v>
      </c>
      <c r="C11" s="7">
        <v>4058656</v>
      </c>
      <c r="D11" s="151">
        <v>333061</v>
      </c>
      <c r="E11" s="151">
        <v>329963</v>
      </c>
      <c r="F11" s="151">
        <v>324877</v>
      </c>
      <c r="G11" s="151">
        <v>321449</v>
      </c>
      <c r="H11" s="151">
        <v>317603</v>
      </c>
      <c r="I11" s="151">
        <v>313891</v>
      </c>
      <c r="J11" s="151">
        <v>309995</v>
      </c>
      <c r="K11" s="151">
        <v>306691</v>
      </c>
      <c r="L11" s="151">
        <v>302798</v>
      </c>
      <c r="M11" s="151">
        <v>298392</v>
      </c>
      <c r="N11" s="151">
        <v>294808</v>
      </c>
      <c r="O11" s="151">
        <v>292515</v>
      </c>
      <c r="P11" s="151">
        <v>289947</v>
      </c>
      <c r="Q11" s="151">
        <v>287171</v>
      </c>
      <c r="R11" s="151">
        <v>285948</v>
      </c>
      <c r="S11" s="151">
        <v>284259</v>
      </c>
      <c r="T11" s="151">
        <v>284324</v>
      </c>
      <c r="U11" s="151">
        <v>287028</v>
      </c>
      <c r="V11" s="151">
        <v>280458</v>
      </c>
      <c r="W11" s="151">
        <v>278676</v>
      </c>
      <c r="X11" s="151">
        <v>276635</v>
      </c>
      <c r="Y11" s="151">
        <v>283602</v>
      </c>
      <c r="Z11" s="151">
        <v>248709</v>
      </c>
      <c r="AA11" s="151">
        <v>249302</v>
      </c>
    </row>
    <row r="12" spans="1:27" x14ac:dyDescent="0.25">
      <c r="A12" s="1" t="s">
        <v>268</v>
      </c>
      <c r="B12" s="6" t="s">
        <v>186</v>
      </c>
      <c r="C12" s="7">
        <v>4057110</v>
      </c>
      <c r="D12" s="151">
        <v>39647</v>
      </c>
      <c r="E12" s="151" t="s">
        <v>267</v>
      </c>
      <c r="F12" s="151">
        <v>40246</v>
      </c>
      <c r="G12" s="151">
        <v>40209</v>
      </c>
      <c r="H12" s="151">
        <v>39960</v>
      </c>
      <c r="I12" s="151">
        <v>39624</v>
      </c>
      <c r="J12" s="151">
        <v>39408</v>
      </c>
      <c r="K12" s="151">
        <v>38849</v>
      </c>
      <c r="L12" s="151">
        <v>37660</v>
      </c>
      <c r="M12" s="151">
        <v>36666</v>
      </c>
      <c r="N12" s="151">
        <v>36244</v>
      </c>
      <c r="O12" s="151">
        <v>35947</v>
      </c>
      <c r="P12" s="151">
        <v>35903</v>
      </c>
      <c r="Q12" s="151">
        <v>35633</v>
      </c>
      <c r="R12" s="151">
        <v>35468</v>
      </c>
      <c r="S12" s="151">
        <v>35293</v>
      </c>
      <c r="T12" s="151">
        <v>35229</v>
      </c>
      <c r="U12" s="151">
        <v>35231</v>
      </c>
      <c r="V12" s="151">
        <v>34508</v>
      </c>
      <c r="W12" s="151">
        <v>34469</v>
      </c>
      <c r="X12" s="151">
        <v>33903</v>
      </c>
      <c r="Y12" s="151">
        <v>34005</v>
      </c>
      <c r="Z12" s="151">
        <v>33944</v>
      </c>
      <c r="AA12" s="151">
        <v>32854</v>
      </c>
    </row>
    <row r="13" spans="1:27" x14ac:dyDescent="0.25">
      <c r="B13" s="6" t="s">
        <v>188</v>
      </c>
      <c r="C13" s="7">
        <v>4058516</v>
      </c>
      <c r="D13" s="151">
        <v>178849</v>
      </c>
      <c r="E13" s="151" t="s">
        <v>267</v>
      </c>
      <c r="F13" s="151">
        <v>171116</v>
      </c>
      <c r="G13" s="151">
        <v>168379</v>
      </c>
      <c r="H13" s="151">
        <v>166734</v>
      </c>
      <c r="I13" s="151">
        <v>164243</v>
      </c>
      <c r="J13" s="151">
        <v>161313</v>
      </c>
      <c r="K13" s="151">
        <v>158441</v>
      </c>
      <c r="L13" s="151">
        <v>156230</v>
      </c>
      <c r="M13" s="151">
        <v>154246</v>
      </c>
      <c r="N13" s="151">
        <v>153397</v>
      </c>
      <c r="O13" s="151">
        <v>153564</v>
      </c>
      <c r="P13" s="151">
        <v>154166</v>
      </c>
      <c r="Q13" s="151">
        <v>151574</v>
      </c>
      <c r="R13" s="151">
        <v>150530</v>
      </c>
      <c r="S13" s="151">
        <v>147945</v>
      </c>
      <c r="T13" s="151">
        <v>144867</v>
      </c>
      <c r="U13" s="151">
        <v>141596</v>
      </c>
      <c r="V13" s="151">
        <v>120059</v>
      </c>
      <c r="W13" s="151">
        <v>117277</v>
      </c>
      <c r="X13" s="151">
        <v>114211</v>
      </c>
      <c r="Y13" s="151">
        <v>112401</v>
      </c>
      <c r="Z13" s="151">
        <v>109707</v>
      </c>
      <c r="AA13" s="151">
        <v>107197</v>
      </c>
    </row>
    <row r="14" spans="1:27" x14ac:dyDescent="0.25">
      <c r="B14" s="6" t="s">
        <v>190</v>
      </c>
      <c r="C14" s="7">
        <v>4058793</v>
      </c>
      <c r="D14" s="151">
        <v>3452</v>
      </c>
      <c r="E14" s="151">
        <v>3411</v>
      </c>
      <c r="F14" s="151">
        <v>3309</v>
      </c>
      <c r="G14" s="151">
        <v>3303</v>
      </c>
      <c r="H14" s="151">
        <v>3312</v>
      </c>
      <c r="I14" s="151">
        <v>3286</v>
      </c>
      <c r="J14" s="151">
        <v>3480</v>
      </c>
      <c r="K14" s="151">
        <v>3390</v>
      </c>
      <c r="L14" s="151">
        <v>3425</v>
      </c>
      <c r="M14" s="151">
        <v>3414</v>
      </c>
      <c r="N14" s="151">
        <v>3435</v>
      </c>
      <c r="O14" s="151">
        <v>3497</v>
      </c>
      <c r="P14" s="151">
        <v>3497</v>
      </c>
      <c r="Q14" s="151">
        <v>3571</v>
      </c>
      <c r="R14" s="151">
        <v>3675</v>
      </c>
      <c r="S14" s="151">
        <v>3735</v>
      </c>
      <c r="T14" s="151">
        <v>3886</v>
      </c>
      <c r="U14" s="151">
        <v>3980</v>
      </c>
      <c r="V14" s="151">
        <v>4136</v>
      </c>
      <c r="W14" s="151">
        <v>4175</v>
      </c>
      <c r="X14" s="151">
        <v>4236</v>
      </c>
      <c r="Y14" s="151">
        <v>4288</v>
      </c>
      <c r="Z14" s="151">
        <v>4194</v>
      </c>
      <c r="AA14" s="151">
        <v>4192</v>
      </c>
    </row>
    <row r="15" spans="1:27" x14ac:dyDescent="0.25">
      <c r="A15" s="1" t="s">
        <v>268</v>
      </c>
      <c r="B15" s="6" t="s">
        <v>192</v>
      </c>
      <c r="C15" s="7">
        <v>4057111</v>
      </c>
      <c r="D15" s="151">
        <v>982427</v>
      </c>
      <c r="E15" s="151">
        <v>753502</v>
      </c>
      <c r="F15" s="151">
        <v>745101</v>
      </c>
      <c r="G15" s="151">
        <v>736982</v>
      </c>
      <c r="H15" s="151">
        <v>729879</v>
      </c>
      <c r="I15" s="151">
        <v>720846</v>
      </c>
      <c r="J15" s="151">
        <v>687914</v>
      </c>
      <c r="K15" s="151">
        <v>689126</v>
      </c>
      <c r="L15" s="151">
        <v>677121</v>
      </c>
      <c r="M15" s="151">
        <v>669091</v>
      </c>
      <c r="N15" s="151">
        <v>661562</v>
      </c>
      <c r="O15" s="151">
        <v>655822</v>
      </c>
      <c r="P15" s="151">
        <v>625542</v>
      </c>
      <c r="Q15" s="151">
        <v>595064</v>
      </c>
      <c r="R15" s="151">
        <v>589025</v>
      </c>
      <c r="S15" s="151">
        <v>580827</v>
      </c>
      <c r="T15" s="151">
        <v>583896</v>
      </c>
      <c r="U15" s="151">
        <v>587513</v>
      </c>
      <c r="V15" s="151">
        <v>565136</v>
      </c>
      <c r="W15" s="151">
        <v>553551</v>
      </c>
      <c r="X15" s="151">
        <v>549389</v>
      </c>
      <c r="Y15" s="151">
        <v>542792</v>
      </c>
      <c r="Z15" s="151">
        <v>536252</v>
      </c>
      <c r="AA15" s="151">
        <v>535211</v>
      </c>
    </row>
    <row r="16" spans="1:27" x14ac:dyDescent="0.25">
      <c r="A16" s="1" t="s">
        <v>268</v>
      </c>
      <c r="B16" s="6" t="s">
        <v>193</v>
      </c>
      <c r="C16" s="7">
        <v>4018679</v>
      </c>
      <c r="D16" s="151">
        <v>1265768</v>
      </c>
      <c r="E16" s="151">
        <v>1264031</v>
      </c>
      <c r="F16" s="151">
        <v>1267039</v>
      </c>
      <c r="G16" s="151">
        <v>1257521</v>
      </c>
      <c r="H16" s="151">
        <v>1251815</v>
      </c>
      <c r="I16" s="151">
        <v>1247333</v>
      </c>
      <c r="J16" s="151">
        <v>1235381</v>
      </c>
      <c r="K16" s="151">
        <v>1218949</v>
      </c>
      <c r="L16" s="151">
        <v>1216209</v>
      </c>
      <c r="M16" s="151">
        <v>1213845</v>
      </c>
      <c r="N16" s="151">
        <v>1210737</v>
      </c>
      <c r="O16" s="151">
        <v>1203688</v>
      </c>
      <c r="P16" s="151">
        <v>1198190</v>
      </c>
      <c r="Q16" s="151">
        <v>1191622</v>
      </c>
      <c r="R16" s="151">
        <v>1181854</v>
      </c>
      <c r="S16" s="151">
        <v>1176645</v>
      </c>
      <c r="T16" s="151">
        <v>1165944</v>
      </c>
      <c r="U16" s="151">
        <v>1155008</v>
      </c>
      <c r="V16" s="151">
        <v>1190085</v>
      </c>
      <c r="W16" s="151">
        <v>1245106</v>
      </c>
      <c r="X16" s="151">
        <v>1248264</v>
      </c>
      <c r="Y16" s="151">
        <v>1191711</v>
      </c>
      <c r="Z16" s="151">
        <v>1179802</v>
      </c>
      <c r="AA16" s="151">
        <v>1172083</v>
      </c>
    </row>
    <row r="17" spans="1:27" x14ac:dyDescent="0.25">
      <c r="B17" s="6" t="s">
        <v>195</v>
      </c>
      <c r="C17" s="7">
        <v>4057112</v>
      </c>
      <c r="D17" s="151">
        <v>306630</v>
      </c>
      <c r="E17" s="151">
        <v>300824</v>
      </c>
      <c r="F17" s="151">
        <v>295014</v>
      </c>
      <c r="G17" s="151">
        <v>289442</v>
      </c>
      <c r="H17" s="151">
        <v>283470</v>
      </c>
      <c r="I17" s="151">
        <v>278353</v>
      </c>
      <c r="J17" s="151">
        <v>273600</v>
      </c>
      <c r="K17" s="151">
        <v>269377</v>
      </c>
      <c r="L17" s="151">
        <v>265900</v>
      </c>
      <c r="M17" s="151">
        <v>262447</v>
      </c>
      <c r="N17" s="151">
        <v>260399</v>
      </c>
      <c r="O17" s="151">
        <v>257287</v>
      </c>
      <c r="P17" s="151">
        <v>254210</v>
      </c>
      <c r="Q17" s="151">
        <v>251742</v>
      </c>
      <c r="R17" s="151">
        <v>245969</v>
      </c>
      <c r="S17" s="151">
        <v>237842</v>
      </c>
      <c r="T17" s="151">
        <v>228224</v>
      </c>
      <c r="U17" s="151">
        <v>217336</v>
      </c>
      <c r="V17" s="151">
        <v>212428</v>
      </c>
      <c r="W17" s="151">
        <v>204735</v>
      </c>
      <c r="X17" s="151">
        <v>199028</v>
      </c>
      <c r="Y17" s="151">
        <v>193160</v>
      </c>
      <c r="Z17" s="151">
        <v>185267</v>
      </c>
      <c r="AA17" s="151">
        <v>168569</v>
      </c>
    </row>
    <row r="18" spans="1:27" x14ac:dyDescent="0.25">
      <c r="A18" s="1" t="s">
        <v>268</v>
      </c>
      <c r="B18" s="6" t="s">
        <v>196</v>
      </c>
      <c r="C18" s="7">
        <v>4057076</v>
      </c>
      <c r="D18" s="151">
        <v>83780</v>
      </c>
      <c r="E18" s="151" t="s">
        <v>267</v>
      </c>
      <c r="F18" s="151">
        <v>83755</v>
      </c>
      <c r="G18" s="151">
        <v>82462</v>
      </c>
      <c r="H18" s="151">
        <v>81141</v>
      </c>
      <c r="I18" s="151">
        <v>82692</v>
      </c>
      <c r="J18" s="151">
        <v>79096</v>
      </c>
      <c r="K18" s="151">
        <v>77835</v>
      </c>
      <c r="L18" s="151">
        <v>76708</v>
      </c>
      <c r="M18" s="151">
        <v>75700</v>
      </c>
      <c r="N18" s="151">
        <v>75395</v>
      </c>
      <c r="O18" s="151">
        <v>74932</v>
      </c>
      <c r="P18" s="151">
        <v>74349</v>
      </c>
      <c r="Q18" s="151">
        <v>74159</v>
      </c>
      <c r="R18" s="151">
        <v>73210</v>
      </c>
      <c r="S18" s="151">
        <v>72023</v>
      </c>
      <c r="T18" s="151">
        <v>70714</v>
      </c>
      <c r="U18" s="151">
        <v>69081</v>
      </c>
      <c r="V18" s="151">
        <v>67914</v>
      </c>
      <c r="W18" s="151">
        <v>66757</v>
      </c>
      <c r="X18" s="151">
        <v>65784</v>
      </c>
      <c r="Y18" s="151">
        <v>63852</v>
      </c>
      <c r="Z18" s="151">
        <v>62605</v>
      </c>
      <c r="AA18" s="151">
        <v>62104</v>
      </c>
    </row>
    <row r="19" spans="1:27" x14ac:dyDescent="0.25">
      <c r="B19" s="6" t="s">
        <v>270</v>
      </c>
      <c r="C19" s="7">
        <v>4059166</v>
      </c>
      <c r="D19" s="151" t="s">
        <v>267</v>
      </c>
      <c r="E19" s="151" t="s">
        <v>267</v>
      </c>
      <c r="F19" s="151">
        <v>66942</v>
      </c>
      <c r="G19" s="151">
        <v>66031</v>
      </c>
      <c r="H19" s="151">
        <v>65449</v>
      </c>
      <c r="I19" s="151">
        <v>64564</v>
      </c>
      <c r="J19" s="151">
        <v>63887</v>
      </c>
      <c r="K19" s="151">
        <v>63259</v>
      </c>
      <c r="L19" s="151">
        <v>63427</v>
      </c>
      <c r="M19" s="151">
        <v>63123</v>
      </c>
      <c r="N19" s="151">
        <v>62096</v>
      </c>
      <c r="O19" s="151">
        <v>61747</v>
      </c>
      <c r="P19" s="151">
        <v>61557</v>
      </c>
      <c r="Q19" s="151">
        <v>61322</v>
      </c>
      <c r="R19" s="151">
        <v>61365</v>
      </c>
      <c r="S19" s="151">
        <v>62239</v>
      </c>
      <c r="T19" s="151">
        <v>62055</v>
      </c>
      <c r="U19" s="151">
        <v>60818</v>
      </c>
      <c r="V19" s="151">
        <v>60609</v>
      </c>
      <c r="W19" s="151">
        <v>60000</v>
      </c>
      <c r="X19" s="151">
        <v>59010</v>
      </c>
      <c r="Y19" s="151">
        <v>56480</v>
      </c>
      <c r="Z19" s="151">
        <v>56559</v>
      </c>
      <c r="AA19" s="151">
        <v>55834</v>
      </c>
    </row>
    <row r="20" spans="1:27" x14ac:dyDescent="0.25">
      <c r="B20" s="6" t="s">
        <v>271</v>
      </c>
      <c r="C20" s="7">
        <v>4059227</v>
      </c>
      <c r="D20" s="151">
        <v>17865</v>
      </c>
      <c r="E20" s="151">
        <v>17930</v>
      </c>
      <c r="F20" s="151">
        <v>17794</v>
      </c>
      <c r="G20" s="151">
        <v>17849</v>
      </c>
      <c r="H20" s="151">
        <v>17475</v>
      </c>
      <c r="I20" s="151">
        <v>17359</v>
      </c>
      <c r="J20" s="151">
        <v>17299</v>
      </c>
      <c r="K20" s="151">
        <v>17265</v>
      </c>
      <c r="L20" s="151">
        <v>17203</v>
      </c>
      <c r="M20" s="151">
        <v>17114</v>
      </c>
      <c r="N20" s="151">
        <v>17185</v>
      </c>
      <c r="O20" s="151">
        <v>17170</v>
      </c>
      <c r="P20" s="151">
        <v>17090</v>
      </c>
      <c r="Q20" s="151">
        <v>17089</v>
      </c>
      <c r="R20" s="151">
        <v>17143</v>
      </c>
      <c r="S20" s="151">
        <v>17147</v>
      </c>
      <c r="T20" s="151">
        <v>16935</v>
      </c>
      <c r="U20" s="151">
        <v>16573</v>
      </c>
      <c r="V20" s="151">
        <v>16575</v>
      </c>
      <c r="W20" s="151">
        <v>16211</v>
      </c>
      <c r="X20" s="151">
        <v>15920</v>
      </c>
      <c r="Y20" s="151">
        <v>15536</v>
      </c>
      <c r="Z20" s="151">
        <v>15130</v>
      </c>
      <c r="AA20" s="151">
        <v>14680</v>
      </c>
    </row>
    <row r="21" spans="1:27" x14ac:dyDescent="0.25">
      <c r="A21" s="1" t="s">
        <v>268</v>
      </c>
      <c r="B21" s="6" t="s">
        <v>197</v>
      </c>
      <c r="C21" s="7">
        <v>4057114</v>
      </c>
      <c r="D21" s="151" t="s">
        <v>267</v>
      </c>
      <c r="E21" s="151">
        <v>216387</v>
      </c>
      <c r="F21" s="151">
        <v>217017</v>
      </c>
      <c r="G21" s="151">
        <v>214328</v>
      </c>
      <c r="H21" s="151">
        <v>212589</v>
      </c>
      <c r="I21" s="151">
        <v>211032</v>
      </c>
      <c r="J21" s="151">
        <v>204122</v>
      </c>
      <c r="K21" s="151">
        <v>203896</v>
      </c>
      <c r="L21" s="151">
        <v>200942</v>
      </c>
      <c r="M21" s="151">
        <v>198159</v>
      </c>
      <c r="N21" s="151">
        <v>195488</v>
      </c>
      <c r="O21" s="151">
        <v>200331</v>
      </c>
      <c r="P21" s="151">
        <v>195997</v>
      </c>
      <c r="Q21" s="151">
        <v>189261</v>
      </c>
      <c r="R21" s="151">
        <v>186719</v>
      </c>
      <c r="S21" s="151">
        <v>182815</v>
      </c>
      <c r="T21" s="151">
        <v>183569</v>
      </c>
      <c r="U21" s="151">
        <v>181999</v>
      </c>
      <c r="V21" s="151">
        <v>175810</v>
      </c>
      <c r="W21" s="151">
        <v>168558</v>
      </c>
      <c r="X21" s="151">
        <v>165342</v>
      </c>
      <c r="Y21" s="151">
        <v>160712</v>
      </c>
      <c r="Z21" s="151">
        <v>157101</v>
      </c>
      <c r="AA21" s="151">
        <v>139490</v>
      </c>
    </row>
    <row r="22" spans="1:27" x14ac:dyDescent="0.25">
      <c r="B22" s="6" t="s">
        <v>198</v>
      </c>
      <c r="C22" s="7">
        <v>4059355</v>
      </c>
      <c r="D22" s="151">
        <v>120776</v>
      </c>
      <c r="E22" s="151" t="s">
        <v>267</v>
      </c>
      <c r="F22" s="151">
        <v>136798</v>
      </c>
      <c r="G22" s="151">
        <v>136313</v>
      </c>
      <c r="H22" s="151">
        <v>135734</v>
      </c>
      <c r="I22" s="151">
        <v>135426</v>
      </c>
      <c r="J22" s="151">
        <v>134859</v>
      </c>
      <c r="K22" s="151">
        <v>134955</v>
      </c>
      <c r="L22" s="151">
        <v>134796</v>
      </c>
      <c r="M22" s="151">
        <v>133632</v>
      </c>
      <c r="N22" s="151">
        <v>134272</v>
      </c>
      <c r="O22" s="151">
        <v>134869</v>
      </c>
      <c r="P22" s="151">
        <v>135605</v>
      </c>
      <c r="Q22" s="151">
        <v>137538</v>
      </c>
      <c r="R22" s="151">
        <v>138697</v>
      </c>
      <c r="S22" s="151">
        <v>138819</v>
      </c>
      <c r="T22" s="151">
        <v>141506</v>
      </c>
      <c r="U22" s="151">
        <v>142057</v>
      </c>
      <c r="V22" s="151">
        <v>142857</v>
      </c>
      <c r="W22" s="151">
        <v>143179</v>
      </c>
      <c r="X22" s="151">
        <v>142162</v>
      </c>
      <c r="Y22" s="151">
        <v>143182</v>
      </c>
      <c r="Z22" s="151">
        <v>141815</v>
      </c>
      <c r="AA22" s="151">
        <v>140078</v>
      </c>
    </row>
    <row r="23" spans="1:27" x14ac:dyDescent="0.25">
      <c r="B23" s="6" t="s">
        <v>200</v>
      </c>
      <c r="C23" s="7">
        <v>4088325</v>
      </c>
      <c r="D23" s="151">
        <v>34479</v>
      </c>
      <c r="E23" s="151">
        <v>33974</v>
      </c>
      <c r="F23" s="151">
        <v>33701</v>
      </c>
      <c r="G23" s="151">
        <v>33476</v>
      </c>
      <c r="H23" s="151">
        <v>33267</v>
      </c>
      <c r="I23" s="151">
        <v>33244</v>
      </c>
      <c r="J23" s="151">
        <v>33047</v>
      </c>
      <c r="K23" s="151">
        <v>33127</v>
      </c>
      <c r="L23" s="151">
        <v>32966</v>
      </c>
      <c r="M23" s="151">
        <v>32849</v>
      </c>
      <c r="N23" s="151">
        <v>32579</v>
      </c>
      <c r="O23" s="151">
        <v>32698</v>
      </c>
      <c r="P23" s="151">
        <v>32688</v>
      </c>
      <c r="Q23" s="151">
        <v>32742</v>
      </c>
      <c r="R23" s="151">
        <v>32952</v>
      </c>
      <c r="S23" s="151">
        <v>32323</v>
      </c>
      <c r="T23" s="151">
        <v>32794</v>
      </c>
      <c r="U23" s="151">
        <v>32391</v>
      </c>
      <c r="V23" s="151">
        <v>32119</v>
      </c>
      <c r="W23" s="151">
        <v>32074</v>
      </c>
      <c r="X23" s="151">
        <v>31856</v>
      </c>
      <c r="Y23" s="151">
        <v>32156</v>
      </c>
      <c r="Z23" s="151">
        <v>31935</v>
      </c>
      <c r="AA23" s="151">
        <v>31751</v>
      </c>
    </row>
    <row r="24" spans="1:27" x14ac:dyDescent="0.25">
      <c r="B24" s="6" t="s">
        <v>272</v>
      </c>
      <c r="C24" s="7">
        <v>4088326</v>
      </c>
      <c r="D24" s="151">
        <v>1477356</v>
      </c>
      <c r="E24" s="151">
        <v>1473203</v>
      </c>
      <c r="F24" s="151">
        <v>1461631</v>
      </c>
      <c r="G24" s="151">
        <v>1452721</v>
      </c>
      <c r="H24" s="151">
        <v>1442554</v>
      </c>
      <c r="I24" s="151">
        <v>1433604</v>
      </c>
      <c r="J24" s="151">
        <v>1427440</v>
      </c>
      <c r="K24" s="151">
        <v>1423447</v>
      </c>
      <c r="L24" s="151">
        <v>1399714</v>
      </c>
      <c r="M24" s="151">
        <v>1393943</v>
      </c>
      <c r="N24" s="151">
        <v>1400364</v>
      </c>
      <c r="O24" s="151">
        <v>1404000</v>
      </c>
      <c r="P24" s="151">
        <v>1402972</v>
      </c>
      <c r="Q24" s="151">
        <v>1411356</v>
      </c>
      <c r="R24" s="151">
        <v>1415489</v>
      </c>
      <c r="S24" s="151">
        <v>1405613</v>
      </c>
      <c r="T24" s="151">
        <v>1427655</v>
      </c>
      <c r="U24" s="151">
        <v>1414686</v>
      </c>
      <c r="V24" s="151">
        <v>1401002</v>
      </c>
      <c r="W24" s="151">
        <v>1393169</v>
      </c>
      <c r="X24" s="151">
        <v>1377511</v>
      </c>
      <c r="Y24" s="151">
        <v>1365431</v>
      </c>
      <c r="Z24" s="151">
        <v>1347672</v>
      </c>
      <c r="AA24" s="151">
        <v>1326773</v>
      </c>
    </row>
    <row r="25" spans="1:27" x14ac:dyDescent="0.25">
      <c r="A25" s="1" t="s">
        <v>268</v>
      </c>
      <c r="B25" s="6" t="s">
        <v>273</v>
      </c>
      <c r="C25" s="7">
        <v>4059358</v>
      </c>
      <c r="D25" s="151">
        <v>441668</v>
      </c>
      <c r="E25" s="151">
        <v>438623</v>
      </c>
      <c r="F25" s="151">
        <v>434891</v>
      </c>
      <c r="G25" s="151">
        <v>431519</v>
      </c>
      <c r="H25" s="151">
        <v>430058</v>
      </c>
      <c r="I25" s="151">
        <v>424621</v>
      </c>
      <c r="J25" s="151">
        <v>422363</v>
      </c>
      <c r="K25" s="151">
        <v>420450</v>
      </c>
      <c r="L25" s="151">
        <v>418153</v>
      </c>
      <c r="M25" s="151">
        <v>416035</v>
      </c>
      <c r="N25" s="151">
        <v>414805</v>
      </c>
      <c r="O25" s="151">
        <v>413805</v>
      </c>
      <c r="P25" s="151">
        <v>413010</v>
      </c>
      <c r="Q25" s="151">
        <v>412675</v>
      </c>
      <c r="R25" s="151">
        <v>411214</v>
      </c>
      <c r="S25" s="151">
        <v>407032</v>
      </c>
      <c r="T25" s="151">
        <v>410336</v>
      </c>
      <c r="U25" s="151">
        <v>406378</v>
      </c>
      <c r="V25" s="151">
        <v>403442</v>
      </c>
      <c r="W25" s="151">
        <v>400547</v>
      </c>
      <c r="X25" s="151">
        <v>396128</v>
      </c>
      <c r="Y25" s="151">
        <v>393872</v>
      </c>
      <c r="Z25" s="151">
        <v>389575</v>
      </c>
      <c r="AA25" s="151">
        <v>386039</v>
      </c>
    </row>
    <row r="26" spans="1:27" x14ac:dyDescent="0.25">
      <c r="B26" s="6" t="s">
        <v>274</v>
      </c>
      <c r="C26" s="7">
        <v>4059359</v>
      </c>
      <c r="D26" s="151" t="s">
        <v>267</v>
      </c>
      <c r="E26" s="151" t="s">
        <v>267</v>
      </c>
      <c r="F26" s="151">
        <v>274302</v>
      </c>
      <c r="G26" s="151">
        <v>269812</v>
      </c>
      <c r="H26" s="151">
        <v>265534</v>
      </c>
      <c r="I26" s="151">
        <v>261526</v>
      </c>
      <c r="J26" s="151">
        <v>257535</v>
      </c>
      <c r="K26" s="151">
        <v>254662</v>
      </c>
      <c r="L26" s="151">
        <v>251203</v>
      </c>
      <c r="M26" s="151">
        <v>245303</v>
      </c>
      <c r="N26" s="151">
        <v>242816</v>
      </c>
      <c r="O26" s="151">
        <v>240699</v>
      </c>
      <c r="P26" s="151">
        <v>238523</v>
      </c>
      <c r="Q26" s="151">
        <v>236837</v>
      </c>
      <c r="R26" s="151">
        <v>235086</v>
      </c>
      <c r="S26" s="151">
        <v>229356</v>
      </c>
      <c r="T26" s="151">
        <v>229329</v>
      </c>
      <c r="U26" s="151">
        <v>218703</v>
      </c>
      <c r="V26" s="151">
        <v>211294</v>
      </c>
      <c r="W26" s="151">
        <v>205608</v>
      </c>
      <c r="X26" s="151">
        <v>197968</v>
      </c>
      <c r="Y26" s="151">
        <v>194000</v>
      </c>
      <c r="Z26" s="151">
        <v>185711</v>
      </c>
      <c r="AA26" s="151">
        <v>175890</v>
      </c>
    </row>
    <row r="27" spans="1:27" x14ac:dyDescent="0.25">
      <c r="A27" s="1" t="s">
        <v>268</v>
      </c>
      <c r="B27" s="6" t="s">
        <v>202</v>
      </c>
      <c r="C27" s="7">
        <v>4059402</v>
      </c>
      <c r="D27" s="151">
        <v>184299</v>
      </c>
      <c r="E27" s="151">
        <v>182528</v>
      </c>
      <c r="F27" s="151">
        <v>179819</v>
      </c>
      <c r="G27" s="151">
        <v>178148</v>
      </c>
      <c r="H27" s="151">
        <v>176280</v>
      </c>
      <c r="I27" s="151">
        <v>174444</v>
      </c>
      <c r="J27" s="151">
        <v>170935</v>
      </c>
      <c r="K27" s="151">
        <v>168263</v>
      </c>
      <c r="L27" s="151">
        <v>166135</v>
      </c>
      <c r="M27" s="151">
        <v>163074</v>
      </c>
      <c r="N27" s="151">
        <v>160281</v>
      </c>
      <c r="O27" s="151">
        <v>158763</v>
      </c>
      <c r="P27" s="151">
        <v>157010</v>
      </c>
      <c r="Q27" s="151">
        <v>156594</v>
      </c>
      <c r="R27" s="151">
        <v>153528</v>
      </c>
      <c r="S27" s="151">
        <v>153873</v>
      </c>
      <c r="T27" s="151">
        <v>152980</v>
      </c>
      <c r="U27" s="151">
        <v>151127</v>
      </c>
      <c r="V27" s="151">
        <v>150946</v>
      </c>
      <c r="W27" s="151">
        <v>148133</v>
      </c>
      <c r="X27" s="151">
        <v>146941</v>
      </c>
      <c r="Y27" s="151">
        <v>155641</v>
      </c>
      <c r="Z27" s="151">
        <v>142667</v>
      </c>
      <c r="AA27" s="151">
        <v>141364</v>
      </c>
    </row>
    <row r="28" spans="1:27" x14ac:dyDescent="0.25">
      <c r="A28" s="1" t="s">
        <v>268</v>
      </c>
      <c r="B28" s="6" t="s">
        <v>204</v>
      </c>
      <c r="C28" s="7">
        <v>4057080</v>
      </c>
      <c r="D28" s="151">
        <v>1146234</v>
      </c>
      <c r="E28" s="151">
        <v>1146234</v>
      </c>
      <c r="F28" s="151">
        <v>1084969</v>
      </c>
      <c r="G28" s="151">
        <v>1083189</v>
      </c>
      <c r="H28" s="151">
        <v>1077472</v>
      </c>
      <c r="I28" s="151">
        <v>1077272</v>
      </c>
      <c r="J28" s="151">
        <v>1076804</v>
      </c>
      <c r="K28" s="151">
        <v>1077211</v>
      </c>
      <c r="L28" s="151">
        <v>1069775</v>
      </c>
      <c r="M28" s="151">
        <v>1067771</v>
      </c>
      <c r="N28" s="151">
        <v>1065516</v>
      </c>
      <c r="O28" s="151">
        <v>1062611</v>
      </c>
      <c r="P28" s="151">
        <v>1058827</v>
      </c>
      <c r="Q28" s="151">
        <v>1061113</v>
      </c>
      <c r="R28" s="151">
        <v>1060346</v>
      </c>
      <c r="S28" s="151">
        <v>1148510</v>
      </c>
      <c r="T28" s="151">
        <v>1054926</v>
      </c>
      <c r="U28" s="151">
        <v>1041458</v>
      </c>
      <c r="V28" s="151">
        <v>1051147</v>
      </c>
      <c r="W28" s="151">
        <v>1048776</v>
      </c>
      <c r="X28" s="151">
        <v>1048357</v>
      </c>
      <c r="Y28" s="151">
        <v>1048357</v>
      </c>
      <c r="Z28" s="151">
        <v>1043048</v>
      </c>
      <c r="AA28" s="151">
        <v>1037951</v>
      </c>
    </row>
    <row r="29" spans="1:27" x14ac:dyDescent="0.25">
      <c r="B29" s="6" t="s">
        <v>205</v>
      </c>
      <c r="C29" s="7">
        <v>4057081</v>
      </c>
      <c r="D29" s="151">
        <v>1805614</v>
      </c>
      <c r="E29" s="151">
        <v>1797430</v>
      </c>
      <c r="F29" s="151">
        <v>1782070</v>
      </c>
      <c r="G29" s="151">
        <v>1775605</v>
      </c>
      <c r="H29" s="151">
        <v>1763786</v>
      </c>
      <c r="I29" s="151">
        <v>1749632</v>
      </c>
      <c r="J29" s="151">
        <v>1735485</v>
      </c>
      <c r="K29" s="151">
        <v>1725834</v>
      </c>
      <c r="L29" s="151">
        <v>1718462</v>
      </c>
      <c r="M29" s="151">
        <v>1710755</v>
      </c>
      <c r="N29" s="151">
        <v>1707978</v>
      </c>
      <c r="O29" s="151">
        <v>1704346</v>
      </c>
      <c r="P29" s="151">
        <v>1702271</v>
      </c>
      <c r="Q29" s="151">
        <v>1706266</v>
      </c>
      <c r="R29" s="151">
        <v>1708656</v>
      </c>
      <c r="S29" s="151">
        <v>1707708</v>
      </c>
      <c r="T29" s="151">
        <v>1696524</v>
      </c>
      <c r="U29" s="151">
        <v>1690874</v>
      </c>
      <c r="V29" s="151">
        <v>1670989</v>
      </c>
      <c r="W29" s="151">
        <v>1652309</v>
      </c>
      <c r="X29" s="151">
        <v>1617294</v>
      </c>
      <c r="Y29" s="151">
        <v>1594484</v>
      </c>
      <c r="Z29" s="151">
        <v>1567712</v>
      </c>
      <c r="AA29" s="151">
        <v>1542448</v>
      </c>
    </row>
    <row r="30" spans="1:27" x14ac:dyDescent="0.25">
      <c r="A30" s="1" t="s">
        <v>268</v>
      </c>
      <c r="B30" s="6" t="s">
        <v>207</v>
      </c>
      <c r="C30" s="7">
        <v>4059459</v>
      </c>
      <c r="D30" s="151">
        <v>15129</v>
      </c>
      <c r="E30" s="151">
        <v>14996</v>
      </c>
      <c r="F30" s="151">
        <v>14918</v>
      </c>
      <c r="G30" s="151">
        <v>14942</v>
      </c>
      <c r="H30" s="151">
        <v>14911</v>
      </c>
      <c r="I30" s="151">
        <v>14705</v>
      </c>
      <c r="J30" s="151">
        <v>14821</v>
      </c>
      <c r="K30" s="151">
        <v>14853</v>
      </c>
      <c r="L30" s="151">
        <v>14897</v>
      </c>
      <c r="M30" s="151">
        <v>14890</v>
      </c>
      <c r="N30" s="151">
        <v>14782</v>
      </c>
      <c r="O30" s="151">
        <v>14703</v>
      </c>
      <c r="P30" s="151">
        <v>14591</v>
      </c>
      <c r="Q30" s="151">
        <v>14589</v>
      </c>
      <c r="R30" s="151">
        <v>14541</v>
      </c>
      <c r="S30" s="151">
        <v>14389</v>
      </c>
      <c r="T30" s="151">
        <v>18025</v>
      </c>
      <c r="U30" s="151">
        <v>17982</v>
      </c>
      <c r="V30" s="151">
        <v>18100</v>
      </c>
      <c r="W30" s="151">
        <v>14509</v>
      </c>
      <c r="X30" s="151">
        <v>18138</v>
      </c>
      <c r="Y30" s="151">
        <v>15234</v>
      </c>
      <c r="Z30" s="151">
        <v>14418</v>
      </c>
      <c r="AA30" s="151">
        <v>13880</v>
      </c>
    </row>
    <row r="31" spans="1:27" x14ac:dyDescent="0.25">
      <c r="B31" s="6" t="s">
        <v>208</v>
      </c>
      <c r="C31" s="7">
        <v>4057118</v>
      </c>
      <c r="D31" s="151">
        <v>39548</v>
      </c>
      <c r="E31" s="151" t="s">
        <v>267</v>
      </c>
      <c r="F31" s="151">
        <v>35359</v>
      </c>
      <c r="G31" s="151">
        <v>35073</v>
      </c>
      <c r="H31" s="151">
        <v>34892</v>
      </c>
      <c r="I31" s="151">
        <v>33988</v>
      </c>
      <c r="J31" s="151">
        <v>34784</v>
      </c>
      <c r="K31" s="151">
        <v>34670</v>
      </c>
      <c r="L31" s="151">
        <v>34906</v>
      </c>
      <c r="M31" s="151">
        <v>35020</v>
      </c>
      <c r="N31" s="151">
        <v>35487</v>
      </c>
      <c r="O31" s="151">
        <v>35841</v>
      </c>
      <c r="P31" s="151">
        <v>35933</v>
      </c>
      <c r="Q31" s="151">
        <v>36353</v>
      </c>
      <c r="R31" s="151">
        <v>37053</v>
      </c>
      <c r="S31" s="151">
        <v>37387</v>
      </c>
      <c r="T31" s="151">
        <v>38408</v>
      </c>
      <c r="U31" s="151">
        <v>38862</v>
      </c>
      <c r="V31" s="151">
        <v>39190</v>
      </c>
      <c r="W31" s="151">
        <v>39123</v>
      </c>
      <c r="X31" s="151">
        <v>39001</v>
      </c>
      <c r="Y31" s="151">
        <v>38960</v>
      </c>
      <c r="Z31" s="151">
        <v>37963</v>
      </c>
      <c r="AA31" s="151">
        <v>37165</v>
      </c>
    </row>
    <row r="32" spans="1:27" x14ac:dyDescent="0.25">
      <c r="B32" s="6" t="s">
        <v>210</v>
      </c>
      <c r="C32" s="7">
        <v>4057126</v>
      </c>
      <c r="D32" s="151">
        <v>1311708</v>
      </c>
      <c r="E32" s="151">
        <v>1297879</v>
      </c>
      <c r="F32" s="151">
        <v>1282616</v>
      </c>
      <c r="G32" s="151">
        <v>1269747</v>
      </c>
      <c r="H32" s="151">
        <v>1258833</v>
      </c>
      <c r="I32" s="151">
        <v>1248445</v>
      </c>
      <c r="J32" s="151">
        <v>1237630</v>
      </c>
      <c r="K32" s="151">
        <v>1230912</v>
      </c>
      <c r="L32" s="151">
        <v>1224805</v>
      </c>
      <c r="M32" s="151">
        <v>1219332</v>
      </c>
      <c r="N32" s="151">
        <v>1216332</v>
      </c>
      <c r="O32" s="151">
        <v>1217422</v>
      </c>
      <c r="P32" s="151">
        <v>1227402</v>
      </c>
      <c r="Q32" s="151">
        <v>1241847</v>
      </c>
      <c r="R32" s="151">
        <v>1252143</v>
      </c>
      <c r="S32" s="151">
        <v>1260160</v>
      </c>
      <c r="T32" s="151">
        <v>1260591</v>
      </c>
      <c r="U32" s="151">
        <v>1250238</v>
      </c>
      <c r="V32" s="151">
        <v>1254062</v>
      </c>
      <c r="W32" s="151">
        <v>1252052</v>
      </c>
      <c r="X32" s="151">
        <v>1209335</v>
      </c>
      <c r="Y32" s="151">
        <v>1206421</v>
      </c>
      <c r="Z32" s="151">
        <v>1195781</v>
      </c>
      <c r="AA32" s="151">
        <v>1177240</v>
      </c>
    </row>
    <row r="33" spans="1:27" x14ac:dyDescent="0.25">
      <c r="B33" s="6" t="s">
        <v>275</v>
      </c>
      <c r="C33" s="7">
        <v>4057103</v>
      </c>
      <c r="D33" s="151" t="s">
        <v>267</v>
      </c>
      <c r="E33" s="151" t="s">
        <v>267</v>
      </c>
      <c r="F33" s="151">
        <v>70226</v>
      </c>
      <c r="G33" s="151">
        <v>99379</v>
      </c>
      <c r="H33" s="151">
        <v>98448</v>
      </c>
      <c r="I33" s="151">
        <v>97812</v>
      </c>
      <c r="J33" s="151">
        <v>96986</v>
      </c>
      <c r="K33" s="151">
        <v>96502</v>
      </c>
      <c r="L33" s="151">
        <v>95949</v>
      </c>
      <c r="M33" s="151">
        <v>95590</v>
      </c>
      <c r="N33" s="151">
        <v>95003</v>
      </c>
      <c r="O33" s="151">
        <v>95007</v>
      </c>
      <c r="P33" s="151">
        <v>95090</v>
      </c>
      <c r="Q33" s="151">
        <v>95386</v>
      </c>
      <c r="R33" s="151">
        <v>94782</v>
      </c>
      <c r="S33" s="151">
        <v>93625</v>
      </c>
      <c r="T33" s="151">
        <v>92402</v>
      </c>
      <c r="U33" s="151">
        <v>90613</v>
      </c>
      <c r="V33" s="151">
        <v>88817</v>
      </c>
      <c r="W33" s="151">
        <v>87081</v>
      </c>
      <c r="X33" s="151">
        <v>85568</v>
      </c>
      <c r="Y33" s="151">
        <v>83362</v>
      </c>
      <c r="Z33" s="151">
        <v>81233</v>
      </c>
      <c r="AA33" s="151">
        <v>78989</v>
      </c>
    </row>
    <row r="34" spans="1:27" x14ac:dyDescent="0.25">
      <c r="B34" s="6" t="s">
        <v>211</v>
      </c>
      <c r="C34" s="7">
        <v>4057079</v>
      </c>
      <c r="D34" s="151">
        <v>443103</v>
      </c>
      <c r="E34" s="151">
        <v>439337</v>
      </c>
      <c r="F34" s="151">
        <v>434779</v>
      </c>
      <c r="G34" s="151">
        <v>431666</v>
      </c>
      <c r="H34" s="151">
        <v>428037</v>
      </c>
      <c r="I34" s="151">
        <v>424793</v>
      </c>
      <c r="J34" s="151">
        <v>422871</v>
      </c>
      <c r="K34" s="151">
        <v>421664</v>
      </c>
      <c r="L34" s="151">
        <v>419089</v>
      </c>
      <c r="M34" s="151">
        <v>418328</v>
      </c>
      <c r="N34" s="151">
        <v>417466</v>
      </c>
      <c r="O34" s="151">
        <v>418137</v>
      </c>
      <c r="P34" s="151">
        <v>420435</v>
      </c>
      <c r="Q34" s="151">
        <v>424306</v>
      </c>
      <c r="R34" s="151">
        <v>423570</v>
      </c>
      <c r="S34" s="151">
        <v>421167</v>
      </c>
      <c r="T34" s="151">
        <v>418167</v>
      </c>
      <c r="U34" s="151">
        <v>414231</v>
      </c>
      <c r="V34" s="151">
        <v>409932</v>
      </c>
      <c r="W34" s="151">
        <v>405745</v>
      </c>
      <c r="X34" s="151">
        <v>403688</v>
      </c>
      <c r="Y34" s="151">
        <v>393674</v>
      </c>
      <c r="Z34" s="151">
        <v>384716</v>
      </c>
      <c r="AA34" s="151">
        <v>377204</v>
      </c>
    </row>
    <row r="35" spans="1:27" x14ac:dyDescent="0.25">
      <c r="B35" s="6" t="s">
        <v>276</v>
      </c>
      <c r="C35" s="7">
        <v>4081251</v>
      </c>
      <c r="D35" s="151" t="s">
        <v>267</v>
      </c>
      <c r="E35" s="151" t="s">
        <v>267</v>
      </c>
      <c r="F35" s="151">
        <v>1272</v>
      </c>
      <c r="G35" s="151">
        <v>1257</v>
      </c>
      <c r="H35" s="151">
        <v>1245</v>
      </c>
      <c r="I35" s="151">
        <v>1237</v>
      </c>
      <c r="J35" s="151">
        <v>1219</v>
      </c>
      <c r="K35" s="151">
        <v>1205</v>
      </c>
      <c r="L35" s="151">
        <v>1202</v>
      </c>
      <c r="M35" s="151">
        <v>1202</v>
      </c>
      <c r="N35" s="151">
        <v>1200</v>
      </c>
      <c r="O35" s="151">
        <v>1190</v>
      </c>
      <c r="P35" s="151">
        <v>1197</v>
      </c>
      <c r="Q35" s="151">
        <v>1200</v>
      </c>
      <c r="R35" s="151">
        <v>1187</v>
      </c>
      <c r="S35" s="151">
        <v>1186</v>
      </c>
      <c r="T35" s="151">
        <v>1196</v>
      </c>
      <c r="U35" s="151">
        <v>1168</v>
      </c>
      <c r="V35" s="151">
        <v>1168</v>
      </c>
      <c r="W35" s="151">
        <v>1164</v>
      </c>
      <c r="X35" s="151">
        <v>1164</v>
      </c>
      <c r="Y35" s="151">
        <v>1171</v>
      </c>
      <c r="Z35" s="151">
        <v>1149</v>
      </c>
      <c r="AA35" s="151">
        <v>1133</v>
      </c>
    </row>
    <row r="36" spans="1:27" x14ac:dyDescent="0.25">
      <c r="B36" s="6" t="s">
        <v>277</v>
      </c>
      <c r="C36" s="7">
        <v>4060572</v>
      </c>
      <c r="D36" s="151">
        <v>111656</v>
      </c>
      <c r="E36" s="151" t="s">
        <v>267</v>
      </c>
      <c r="F36" s="151">
        <v>111086</v>
      </c>
      <c r="G36" s="151">
        <v>111464</v>
      </c>
      <c r="H36" s="151">
        <v>111607</v>
      </c>
      <c r="I36" s="151">
        <v>112342</v>
      </c>
      <c r="J36" s="151">
        <v>112023</v>
      </c>
      <c r="K36" s="151">
        <v>112648</v>
      </c>
      <c r="L36" s="151">
        <v>113268</v>
      </c>
      <c r="M36" s="151">
        <v>113310</v>
      </c>
      <c r="N36" s="151">
        <v>113485</v>
      </c>
      <c r="O36" s="151">
        <v>113472</v>
      </c>
      <c r="P36" s="151">
        <v>113704</v>
      </c>
      <c r="Q36" s="151">
        <v>114156</v>
      </c>
      <c r="R36" s="151">
        <v>114601</v>
      </c>
      <c r="S36" s="151">
        <v>115104</v>
      </c>
      <c r="T36" s="151">
        <v>115518</v>
      </c>
      <c r="U36" s="151">
        <v>115758</v>
      </c>
      <c r="V36" s="151">
        <v>115829</v>
      </c>
      <c r="W36" s="151">
        <v>116185</v>
      </c>
      <c r="X36" s="151">
        <v>116803</v>
      </c>
      <c r="Y36" s="151">
        <v>115374</v>
      </c>
      <c r="Z36" s="151">
        <v>115542</v>
      </c>
      <c r="AA36" s="151">
        <v>114186</v>
      </c>
    </row>
    <row r="37" spans="1:27" x14ac:dyDescent="0.25">
      <c r="B37" s="6" t="s">
        <v>278</v>
      </c>
      <c r="C37" s="7">
        <v>4083318</v>
      </c>
      <c r="D37" s="151">
        <v>9413</v>
      </c>
      <c r="E37" s="151">
        <v>9427</v>
      </c>
      <c r="F37" s="151">
        <v>9368</v>
      </c>
      <c r="G37" s="151">
        <v>9413</v>
      </c>
      <c r="H37" s="151">
        <v>9461</v>
      </c>
      <c r="I37" s="151">
        <v>9530</v>
      </c>
      <c r="J37" s="151">
        <v>9538</v>
      </c>
      <c r="K37" s="151">
        <v>9572</v>
      </c>
      <c r="L37" s="151">
        <v>9599</v>
      </c>
      <c r="M37" s="151">
        <v>9647</v>
      </c>
      <c r="N37" s="151">
        <v>9694</v>
      </c>
      <c r="O37" s="151">
        <v>9727</v>
      </c>
      <c r="P37" s="151">
        <v>9723</v>
      </c>
      <c r="Q37" s="151">
        <v>9745</v>
      </c>
      <c r="R37" s="151">
        <v>9817</v>
      </c>
      <c r="S37" s="151">
        <v>9937</v>
      </c>
      <c r="T37" s="151">
        <v>10018</v>
      </c>
      <c r="U37" s="151">
        <v>10134</v>
      </c>
      <c r="V37" s="151">
        <v>10242</v>
      </c>
      <c r="W37" s="151">
        <v>10309</v>
      </c>
      <c r="X37" s="151">
        <v>10253</v>
      </c>
      <c r="Y37" s="151">
        <v>10863</v>
      </c>
      <c r="Z37" s="151">
        <v>11021</v>
      </c>
      <c r="AA37" s="151">
        <v>10347</v>
      </c>
    </row>
    <row r="38" spans="1:27" x14ac:dyDescent="0.25">
      <c r="B38" s="6" t="s">
        <v>279</v>
      </c>
      <c r="C38" s="7">
        <v>4057125</v>
      </c>
      <c r="D38" s="151">
        <v>633975</v>
      </c>
      <c r="E38" s="151">
        <v>625662</v>
      </c>
      <c r="F38" s="151">
        <v>615854</v>
      </c>
      <c r="G38" s="151">
        <v>608071</v>
      </c>
      <c r="H38" s="151">
        <v>601796</v>
      </c>
      <c r="I38" s="151">
        <v>596121</v>
      </c>
      <c r="J38" s="151">
        <v>588102</v>
      </c>
      <c r="K38" s="151">
        <v>583493</v>
      </c>
      <c r="L38" s="151">
        <v>579322</v>
      </c>
      <c r="M38" s="151">
        <v>573589</v>
      </c>
      <c r="N38" s="151">
        <v>570003</v>
      </c>
      <c r="O38" s="151">
        <v>570115</v>
      </c>
      <c r="P38" s="151">
        <v>567583</v>
      </c>
      <c r="Q38" s="151">
        <v>568291</v>
      </c>
      <c r="R38" s="151">
        <v>568632</v>
      </c>
      <c r="S38" s="151">
        <v>554289</v>
      </c>
      <c r="T38" s="151">
        <v>550107</v>
      </c>
      <c r="U38" s="151">
        <v>542472</v>
      </c>
      <c r="V38" s="151">
        <v>536221</v>
      </c>
      <c r="W38" s="151">
        <v>532687</v>
      </c>
      <c r="X38" s="151">
        <v>521702</v>
      </c>
      <c r="Y38" s="151">
        <v>563212</v>
      </c>
      <c r="Z38" s="151">
        <v>500215</v>
      </c>
      <c r="AA38" s="151">
        <v>488802</v>
      </c>
    </row>
    <row r="39" spans="1:27" x14ac:dyDescent="0.25">
      <c r="B39" s="6" t="s">
        <v>280</v>
      </c>
      <c r="C39" s="7">
        <v>4087741</v>
      </c>
      <c r="D39" s="151" t="s">
        <v>267</v>
      </c>
      <c r="E39" s="151" t="s">
        <v>267</v>
      </c>
      <c r="F39" s="151">
        <v>639887</v>
      </c>
      <c r="G39" s="151">
        <v>639409</v>
      </c>
      <c r="H39" s="151">
        <v>638119</v>
      </c>
      <c r="I39" s="151">
        <v>636643</v>
      </c>
      <c r="J39" s="151">
        <v>634980</v>
      </c>
      <c r="K39" s="151">
        <v>634130</v>
      </c>
      <c r="L39" s="151">
        <v>632638</v>
      </c>
      <c r="M39" s="151">
        <v>632796</v>
      </c>
      <c r="N39" s="151">
        <v>632020</v>
      </c>
      <c r="O39" s="151">
        <v>632170</v>
      </c>
      <c r="P39" s="151">
        <v>632447</v>
      </c>
      <c r="Q39" s="151">
        <v>643537</v>
      </c>
      <c r="R39" s="151">
        <v>642227</v>
      </c>
      <c r="S39" s="151">
        <v>643547</v>
      </c>
      <c r="T39" s="151">
        <v>642219</v>
      </c>
      <c r="U39" s="151">
        <v>643647</v>
      </c>
      <c r="V39" s="151">
        <v>642237</v>
      </c>
      <c r="W39" s="151">
        <v>638502</v>
      </c>
      <c r="X39" s="151">
        <v>635070</v>
      </c>
      <c r="Y39" s="151">
        <v>669256</v>
      </c>
      <c r="Z39" s="151">
        <v>663147</v>
      </c>
      <c r="AA39" s="151">
        <v>658199</v>
      </c>
    </row>
    <row r="40" spans="1:27" x14ac:dyDescent="0.25">
      <c r="B40" s="6" t="s">
        <v>281</v>
      </c>
      <c r="C40" s="7">
        <v>4059875</v>
      </c>
      <c r="D40" s="151" t="s">
        <v>267</v>
      </c>
      <c r="E40" s="151">
        <v>97621</v>
      </c>
      <c r="F40" s="151">
        <v>95557</v>
      </c>
      <c r="G40" s="151">
        <v>94027</v>
      </c>
      <c r="H40" s="151">
        <v>92815</v>
      </c>
      <c r="I40" s="151">
        <v>90950</v>
      </c>
      <c r="J40" s="151">
        <v>90334</v>
      </c>
      <c r="K40" s="151">
        <v>87021</v>
      </c>
      <c r="L40" s="151">
        <v>86697</v>
      </c>
      <c r="M40" s="151">
        <v>88700</v>
      </c>
      <c r="N40" s="151">
        <v>85070</v>
      </c>
      <c r="O40" s="151">
        <v>85070</v>
      </c>
      <c r="P40" s="151">
        <v>87466</v>
      </c>
      <c r="Q40" s="151">
        <v>87440</v>
      </c>
      <c r="R40" s="151">
        <v>84396</v>
      </c>
      <c r="S40" s="151">
        <v>84081</v>
      </c>
      <c r="T40" s="151">
        <v>83873</v>
      </c>
      <c r="U40" s="151">
        <v>77630</v>
      </c>
      <c r="V40" s="151">
        <v>77494</v>
      </c>
      <c r="W40" s="151">
        <v>77110</v>
      </c>
      <c r="X40" s="151">
        <v>74959</v>
      </c>
      <c r="Y40" s="151">
        <v>72993</v>
      </c>
      <c r="Z40" s="151">
        <v>73050</v>
      </c>
      <c r="AA40" s="151">
        <v>71111</v>
      </c>
    </row>
    <row r="41" spans="1:27" x14ac:dyDescent="0.25">
      <c r="B41" s="6" t="s">
        <v>212</v>
      </c>
      <c r="C41" s="7">
        <v>4057090</v>
      </c>
      <c r="D41" s="151">
        <v>331919</v>
      </c>
      <c r="E41" s="151" t="s">
        <v>267</v>
      </c>
      <c r="F41" s="151">
        <v>327941</v>
      </c>
      <c r="G41" s="151">
        <v>325786</v>
      </c>
      <c r="H41" s="151">
        <v>324488</v>
      </c>
      <c r="I41" s="151">
        <v>322525</v>
      </c>
      <c r="J41" s="151">
        <v>321006</v>
      </c>
      <c r="K41" s="151">
        <v>319939</v>
      </c>
      <c r="L41" s="151">
        <v>319070</v>
      </c>
      <c r="M41" s="151">
        <v>318029</v>
      </c>
      <c r="N41" s="151">
        <v>318661</v>
      </c>
      <c r="O41" s="151">
        <v>320567</v>
      </c>
      <c r="P41" s="151">
        <v>316003</v>
      </c>
      <c r="Q41" s="151">
        <v>313842</v>
      </c>
      <c r="R41" s="151">
        <v>325562</v>
      </c>
      <c r="S41" s="151">
        <v>323170</v>
      </c>
      <c r="T41" s="151">
        <v>320305</v>
      </c>
      <c r="U41" s="151">
        <v>316311</v>
      </c>
      <c r="V41" s="151">
        <v>312151</v>
      </c>
      <c r="W41" s="151">
        <v>308344</v>
      </c>
      <c r="X41" s="151">
        <v>303153</v>
      </c>
      <c r="Y41" s="151">
        <v>297754</v>
      </c>
      <c r="Z41" s="151">
        <v>293218</v>
      </c>
      <c r="AA41" s="151">
        <v>286879</v>
      </c>
    </row>
    <row r="42" spans="1:27" x14ac:dyDescent="0.25">
      <c r="B42" s="6" t="s">
        <v>213</v>
      </c>
      <c r="C42" s="7">
        <v>4008754</v>
      </c>
      <c r="D42" s="151">
        <v>167774</v>
      </c>
      <c r="E42" s="151">
        <v>165866</v>
      </c>
      <c r="F42" s="151">
        <v>162825</v>
      </c>
      <c r="G42" s="151">
        <v>159665</v>
      </c>
      <c r="H42" s="151">
        <v>156581</v>
      </c>
      <c r="I42" s="151">
        <v>154240</v>
      </c>
      <c r="J42" s="151">
        <v>151080</v>
      </c>
      <c r="K42" s="151">
        <v>148124</v>
      </c>
      <c r="L42" s="151">
        <v>146426</v>
      </c>
      <c r="M42" s="151">
        <v>145080</v>
      </c>
      <c r="N42" s="151">
        <v>144051</v>
      </c>
      <c r="O42" s="151">
        <v>143155</v>
      </c>
      <c r="P42" s="151">
        <v>142383</v>
      </c>
      <c r="Q42" s="151">
        <v>141488</v>
      </c>
      <c r="R42" s="151">
        <v>139131</v>
      </c>
      <c r="S42" s="151">
        <v>137439</v>
      </c>
      <c r="T42" s="151">
        <v>134495</v>
      </c>
      <c r="U42" s="151">
        <v>131674</v>
      </c>
      <c r="V42" s="151">
        <v>128815</v>
      </c>
      <c r="W42" s="151">
        <v>124416</v>
      </c>
      <c r="X42" s="151">
        <v>117091</v>
      </c>
      <c r="Y42" s="151">
        <v>113784</v>
      </c>
      <c r="Z42" s="151">
        <v>111491</v>
      </c>
      <c r="AA42" s="151">
        <v>108415</v>
      </c>
    </row>
    <row r="43" spans="1:27" x14ac:dyDescent="0.25">
      <c r="B43" s="6" t="s">
        <v>282</v>
      </c>
      <c r="C43" s="7">
        <v>4061474</v>
      </c>
      <c r="D43" s="151" t="s">
        <v>267</v>
      </c>
      <c r="E43" s="151">
        <v>14831</v>
      </c>
      <c r="F43" s="151">
        <v>14406</v>
      </c>
      <c r="G43" s="151">
        <v>14228</v>
      </c>
      <c r="H43" s="151">
        <v>14088</v>
      </c>
      <c r="I43" s="151">
        <v>13959</v>
      </c>
      <c r="J43" s="151">
        <v>13898</v>
      </c>
      <c r="K43" s="151">
        <v>13774</v>
      </c>
      <c r="L43" s="151">
        <v>13690</v>
      </c>
      <c r="M43" s="151">
        <v>13696</v>
      </c>
      <c r="N43" s="151">
        <v>13796</v>
      </c>
      <c r="O43" s="151">
        <v>13888</v>
      </c>
      <c r="P43" s="151">
        <v>14002</v>
      </c>
      <c r="Q43" s="151">
        <v>14184</v>
      </c>
      <c r="R43" s="151">
        <v>14360</v>
      </c>
      <c r="S43" s="151">
        <v>14777</v>
      </c>
      <c r="T43" s="151">
        <v>15070</v>
      </c>
      <c r="U43" s="151">
        <v>15196</v>
      </c>
      <c r="V43" s="151">
        <v>15449</v>
      </c>
      <c r="W43" s="151">
        <v>12137</v>
      </c>
      <c r="X43" s="151">
        <v>12044</v>
      </c>
      <c r="Y43" s="151">
        <v>12490</v>
      </c>
      <c r="Z43" s="151">
        <v>12323</v>
      </c>
      <c r="AA43" s="151">
        <v>11979</v>
      </c>
    </row>
    <row r="44" spans="1:27" x14ac:dyDescent="0.25">
      <c r="B44" s="6" t="s">
        <v>283</v>
      </c>
      <c r="C44" s="7">
        <v>4076679</v>
      </c>
      <c r="D44" s="151">
        <v>18294</v>
      </c>
      <c r="E44" s="151">
        <v>17948</v>
      </c>
      <c r="F44" s="151">
        <v>17435</v>
      </c>
      <c r="G44" s="151">
        <v>17000</v>
      </c>
      <c r="H44" s="151">
        <v>16685</v>
      </c>
      <c r="I44" s="151">
        <v>16330</v>
      </c>
      <c r="J44" s="151">
        <v>15950</v>
      </c>
      <c r="K44" s="151">
        <v>15565</v>
      </c>
      <c r="L44" s="151">
        <v>15332</v>
      </c>
      <c r="M44" s="151">
        <v>15076</v>
      </c>
      <c r="N44" s="151">
        <v>14791</v>
      </c>
      <c r="O44" s="151">
        <v>14601</v>
      </c>
      <c r="P44" s="151">
        <v>14374</v>
      </c>
      <c r="Q44" s="151">
        <v>14208</v>
      </c>
      <c r="R44" s="151">
        <v>13969</v>
      </c>
      <c r="S44" s="151">
        <v>13637</v>
      </c>
      <c r="T44" s="151">
        <v>13277</v>
      </c>
      <c r="U44" s="151">
        <v>12854</v>
      </c>
      <c r="V44" s="151">
        <v>12420</v>
      </c>
      <c r="W44" s="151">
        <v>11914</v>
      </c>
      <c r="X44" s="151">
        <v>11421</v>
      </c>
      <c r="Y44" s="151">
        <v>11180</v>
      </c>
      <c r="Z44" s="151">
        <v>10669</v>
      </c>
      <c r="AA44" s="151">
        <v>10625</v>
      </c>
    </row>
    <row r="45" spans="1:27" x14ac:dyDescent="0.25">
      <c r="B45" s="6" t="s">
        <v>215</v>
      </c>
      <c r="C45" s="7">
        <v>4061634</v>
      </c>
      <c r="D45" s="151">
        <v>216034</v>
      </c>
      <c r="E45" s="151" t="s">
        <v>267</v>
      </c>
      <c r="F45" s="151">
        <v>215520</v>
      </c>
      <c r="G45" s="151">
        <v>216334</v>
      </c>
      <c r="H45" s="151">
        <v>216598</v>
      </c>
      <c r="I45" s="151">
        <v>216955</v>
      </c>
      <c r="J45" s="151">
        <v>217741</v>
      </c>
      <c r="K45" s="151">
        <v>218297</v>
      </c>
      <c r="L45" s="151">
        <v>218789</v>
      </c>
      <c r="M45" s="151">
        <v>218828</v>
      </c>
      <c r="N45" s="151">
        <v>220575</v>
      </c>
      <c r="O45" s="151">
        <v>217480</v>
      </c>
      <c r="P45" s="151">
        <v>216812</v>
      </c>
      <c r="Q45" s="151">
        <v>219696</v>
      </c>
      <c r="R45" s="151">
        <v>218981</v>
      </c>
      <c r="S45" s="151">
        <v>221898</v>
      </c>
      <c r="T45" s="151">
        <v>221844</v>
      </c>
      <c r="U45" s="151">
        <v>202850</v>
      </c>
      <c r="V45" s="151">
        <v>204788</v>
      </c>
      <c r="W45" s="151">
        <v>205740</v>
      </c>
      <c r="X45" s="151">
        <v>206630</v>
      </c>
      <c r="Y45" s="151">
        <v>211411</v>
      </c>
      <c r="Z45" s="151">
        <v>201549</v>
      </c>
      <c r="AA45" s="151">
        <v>203573</v>
      </c>
    </row>
    <row r="46" spans="1:27" x14ac:dyDescent="0.25">
      <c r="B46" s="6" t="s">
        <v>216</v>
      </c>
      <c r="C46" s="7">
        <v>4061687</v>
      </c>
      <c r="D46" s="151">
        <v>754417</v>
      </c>
      <c r="E46" s="151">
        <v>749424</v>
      </c>
      <c r="F46" s="151">
        <v>743657</v>
      </c>
      <c r="G46" s="151">
        <v>751327</v>
      </c>
      <c r="H46" s="151">
        <v>744863</v>
      </c>
      <c r="I46" s="151">
        <v>742533</v>
      </c>
      <c r="J46" s="151">
        <v>740655</v>
      </c>
      <c r="K46" s="151">
        <v>738407</v>
      </c>
      <c r="L46" s="151">
        <v>735658</v>
      </c>
      <c r="M46" s="151">
        <v>733125</v>
      </c>
      <c r="N46" s="151">
        <v>732045</v>
      </c>
      <c r="O46" s="151">
        <v>729323</v>
      </c>
      <c r="P46" s="151">
        <v>727440</v>
      </c>
      <c r="Q46" s="151">
        <v>727735</v>
      </c>
      <c r="R46" s="151">
        <v>725371</v>
      </c>
      <c r="S46" s="151">
        <v>719244</v>
      </c>
      <c r="T46" s="151">
        <v>733212</v>
      </c>
      <c r="U46" s="151">
        <v>734567</v>
      </c>
      <c r="V46" s="151">
        <v>735360</v>
      </c>
      <c r="W46" s="151">
        <v>736698</v>
      </c>
      <c r="X46" s="151">
        <v>732604</v>
      </c>
      <c r="Y46" s="151">
        <v>736113</v>
      </c>
      <c r="Z46" s="151">
        <v>745094</v>
      </c>
      <c r="AA46" s="151">
        <v>735546</v>
      </c>
    </row>
    <row r="47" spans="1:27" x14ac:dyDescent="0.25">
      <c r="A47" s="1" t="s">
        <v>268</v>
      </c>
      <c r="B47" s="6" t="s">
        <v>217</v>
      </c>
      <c r="C47" s="7">
        <v>4061755</v>
      </c>
      <c r="D47" s="151">
        <v>555777</v>
      </c>
      <c r="E47" s="151">
        <v>555777</v>
      </c>
      <c r="F47" s="151">
        <v>547424</v>
      </c>
      <c r="G47" s="151">
        <v>536848</v>
      </c>
      <c r="H47" s="151">
        <v>529545</v>
      </c>
      <c r="I47" s="151">
        <v>520615</v>
      </c>
      <c r="J47" s="151">
        <v>512655</v>
      </c>
      <c r="K47" s="151">
        <v>504661</v>
      </c>
      <c r="L47" s="151">
        <v>498723</v>
      </c>
      <c r="M47" s="151">
        <v>497073</v>
      </c>
      <c r="N47" s="151">
        <v>495383</v>
      </c>
      <c r="O47" s="151">
        <v>490817</v>
      </c>
      <c r="P47" s="151">
        <v>487197</v>
      </c>
      <c r="Q47" s="151">
        <v>483281</v>
      </c>
      <c r="R47" s="151">
        <v>477806</v>
      </c>
      <c r="S47" s="151">
        <v>474392</v>
      </c>
      <c r="T47" s="151">
        <v>465738</v>
      </c>
      <c r="U47" s="151">
        <v>453983</v>
      </c>
      <c r="V47" s="151">
        <v>446837</v>
      </c>
      <c r="W47" s="151">
        <v>437308</v>
      </c>
      <c r="X47" s="151">
        <v>424076</v>
      </c>
      <c r="Y47" s="151">
        <v>414353</v>
      </c>
      <c r="Z47" s="151">
        <v>399805</v>
      </c>
      <c r="AA47" s="151">
        <v>388074</v>
      </c>
    </row>
    <row r="48" spans="1:27" x14ac:dyDescent="0.25">
      <c r="A48" s="1" t="s">
        <v>268</v>
      </c>
      <c r="B48" s="6" t="s">
        <v>219</v>
      </c>
      <c r="C48" s="7">
        <v>4004389</v>
      </c>
      <c r="D48" s="151">
        <v>271554</v>
      </c>
      <c r="E48" s="151">
        <v>270211</v>
      </c>
      <c r="F48" s="151">
        <v>268814</v>
      </c>
      <c r="G48" s="151">
        <v>266359</v>
      </c>
      <c r="H48" s="151">
        <v>266359</v>
      </c>
      <c r="I48" s="151">
        <v>264832</v>
      </c>
      <c r="J48" s="151">
        <v>263517</v>
      </c>
      <c r="K48" s="151">
        <v>262669</v>
      </c>
      <c r="L48" s="151">
        <v>261612</v>
      </c>
      <c r="M48" s="151">
        <v>260146</v>
      </c>
      <c r="N48" s="151">
        <v>259849</v>
      </c>
      <c r="O48" s="151">
        <v>259089</v>
      </c>
      <c r="P48" s="151">
        <v>257842</v>
      </c>
      <c r="Q48" s="151">
        <v>255921</v>
      </c>
      <c r="R48" s="151">
        <v>254919</v>
      </c>
      <c r="S48" s="151">
        <v>256212</v>
      </c>
      <c r="T48" s="151">
        <v>254413</v>
      </c>
      <c r="U48" s="151">
        <v>253468</v>
      </c>
      <c r="V48" s="151">
        <v>252691</v>
      </c>
      <c r="W48" s="151">
        <v>251533</v>
      </c>
      <c r="X48" s="151">
        <v>249639</v>
      </c>
      <c r="Y48" s="151">
        <v>246475</v>
      </c>
      <c r="Z48" s="151">
        <v>243879</v>
      </c>
      <c r="AA48" s="151">
        <v>242508</v>
      </c>
    </row>
    <row r="49" spans="1:27" x14ac:dyDescent="0.25">
      <c r="A49" s="1" t="s">
        <v>268</v>
      </c>
      <c r="B49" s="6" t="s">
        <v>220</v>
      </c>
      <c r="C49" s="7">
        <v>4057014</v>
      </c>
      <c r="D49" s="151">
        <v>633711</v>
      </c>
      <c r="E49" s="151">
        <v>628906</v>
      </c>
      <c r="F49" s="151">
        <v>623887</v>
      </c>
      <c r="G49" s="151">
        <v>620035</v>
      </c>
      <c r="H49" s="151">
        <v>612808</v>
      </c>
      <c r="I49" s="151">
        <v>608871</v>
      </c>
      <c r="J49" s="151">
        <v>602956</v>
      </c>
      <c r="K49" s="151">
        <v>597730</v>
      </c>
      <c r="L49" s="151">
        <v>593902</v>
      </c>
      <c r="M49" s="151">
        <v>589223</v>
      </c>
      <c r="N49" s="151">
        <v>585749</v>
      </c>
      <c r="O49" s="151">
        <v>582927</v>
      </c>
      <c r="P49" s="151">
        <v>579682</v>
      </c>
      <c r="Q49" s="151">
        <v>575796</v>
      </c>
      <c r="R49" s="151">
        <v>570901</v>
      </c>
      <c r="S49" s="151">
        <v>567461</v>
      </c>
      <c r="T49" s="151">
        <v>566446</v>
      </c>
      <c r="U49" s="151">
        <v>560566</v>
      </c>
      <c r="V49" s="151">
        <v>556869</v>
      </c>
      <c r="W49" s="151">
        <v>551436</v>
      </c>
      <c r="X49" s="151">
        <v>548021</v>
      </c>
      <c r="Y49" s="151">
        <v>544080</v>
      </c>
      <c r="Z49" s="151">
        <v>538554</v>
      </c>
      <c r="AA49" s="151">
        <v>530634</v>
      </c>
    </row>
    <row r="50" spans="1:27" x14ac:dyDescent="0.25">
      <c r="B50" s="6" t="s">
        <v>221</v>
      </c>
      <c r="C50" s="7">
        <v>4057130</v>
      </c>
      <c r="D50" s="151">
        <v>163669</v>
      </c>
      <c r="E50" s="151">
        <v>163392</v>
      </c>
      <c r="F50" s="151">
        <v>163031</v>
      </c>
      <c r="G50" s="151">
        <v>162631</v>
      </c>
      <c r="H50" s="151">
        <v>160127</v>
      </c>
      <c r="I50" s="151">
        <v>159659</v>
      </c>
      <c r="J50" s="151">
        <v>158735</v>
      </c>
      <c r="K50" s="151">
        <v>158889</v>
      </c>
      <c r="L50" s="151">
        <v>158530</v>
      </c>
      <c r="M50" s="151">
        <v>158298</v>
      </c>
      <c r="N50" s="151">
        <v>158243</v>
      </c>
      <c r="O50" s="151">
        <v>157852</v>
      </c>
      <c r="P50" s="151">
        <v>158001</v>
      </c>
      <c r="Q50" s="151">
        <v>158254</v>
      </c>
      <c r="R50" s="151">
        <v>157881</v>
      </c>
      <c r="S50" s="151">
        <v>156512</v>
      </c>
      <c r="T50" s="151">
        <v>155511</v>
      </c>
      <c r="U50" s="151">
        <v>153856</v>
      </c>
      <c r="V50" s="151">
        <v>152638</v>
      </c>
      <c r="W50" s="151">
        <v>151548</v>
      </c>
      <c r="X50" s="151">
        <v>150213</v>
      </c>
      <c r="Y50" s="151">
        <v>149033</v>
      </c>
      <c r="Z50" s="151">
        <v>146606</v>
      </c>
      <c r="AA50" s="151">
        <v>143698</v>
      </c>
    </row>
    <row r="51" spans="1:27" x14ac:dyDescent="0.25">
      <c r="B51" s="6" t="s">
        <v>223</v>
      </c>
      <c r="C51" s="7">
        <v>4057131</v>
      </c>
      <c r="D51" s="151">
        <v>2252860</v>
      </c>
      <c r="E51" s="151">
        <v>2246468</v>
      </c>
      <c r="F51" s="151">
        <v>2236279</v>
      </c>
      <c r="G51" s="151">
        <v>2226874</v>
      </c>
      <c r="H51" s="151">
        <v>2217563</v>
      </c>
      <c r="I51" s="151">
        <v>2207781</v>
      </c>
      <c r="J51" s="151">
        <v>2198261</v>
      </c>
      <c r="K51" s="151">
        <v>2195078</v>
      </c>
      <c r="L51" s="151">
        <v>2195334</v>
      </c>
      <c r="M51" s="151">
        <v>2187879</v>
      </c>
      <c r="N51" s="151">
        <v>2184888</v>
      </c>
      <c r="O51" s="151">
        <v>2177018</v>
      </c>
      <c r="P51" s="151">
        <v>2172724</v>
      </c>
      <c r="Q51" s="151">
        <v>2173443</v>
      </c>
      <c r="R51" s="151">
        <v>2162713</v>
      </c>
      <c r="S51" s="151">
        <v>2145015</v>
      </c>
      <c r="T51" s="151">
        <v>2106684</v>
      </c>
      <c r="U51" s="151">
        <v>2092607</v>
      </c>
      <c r="V51" s="151">
        <v>2056612</v>
      </c>
      <c r="W51" s="151">
        <v>2023255</v>
      </c>
      <c r="X51" s="151">
        <v>1991684</v>
      </c>
      <c r="Y51" s="151">
        <v>1962235</v>
      </c>
      <c r="Z51" s="151">
        <v>1929041</v>
      </c>
      <c r="AA51" s="151">
        <v>1898034</v>
      </c>
    </row>
    <row r="52" spans="1:27" x14ac:dyDescent="0.25">
      <c r="B52" s="6" t="s">
        <v>224</v>
      </c>
      <c r="C52" s="7">
        <v>4012860</v>
      </c>
      <c r="D52" s="151">
        <v>853000</v>
      </c>
      <c r="E52" s="151" t="s">
        <v>267</v>
      </c>
      <c r="F52" s="151">
        <v>833358</v>
      </c>
      <c r="G52" s="151">
        <v>827654</v>
      </c>
      <c r="H52" s="151">
        <v>820527</v>
      </c>
      <c r="I52" s="151">
        <v>819908</v>
      </c>
      <c r="J52" s="151">
        <v>811816</v>
      </c>
      <c r="K52" s="151">
        <v>807211</v>
      </c>
      <c r="L52" s="151">
        <v>803137</v>
      </c>
      <c r="M52" s="151">
        <v>797972</v>
      </c>
      <c r="N52" s="151">
        <v>794981</v>
      </c>
      <c r="O52" s="151">
        <v>795019</v>
      </c>
      <c r="P52" s="151">
        <v>718305</v>
      </c>
      <c r="Q52" s="151">
        <v>719821</v>
      </c>
      <c r="R52" s="151">
        <v>720785</v>
      </c>
      <c r="S52" s="151">
        <v>710473</v>
      </c>
      <c r="T52" s="151">
        <v>764604</v>
      </c>
      <c r="U52" s="151">
        <v>654096</v>
      </c>
      <c r="V52" s="151">
        <v>715066</v>
      </c>
      <c r="W52" s="151">
        <v>735439</v>
      </c>
      <c r="X52" s="151">
        <v>702194</v>
      </c>
      <c r="Y52" s="151">
        <v>698076</v>
      </c>
      <c r="Z52" s="151">
        <v>691549</v>
      </c>
      <c r="AA52" s="151">
        <v>659531</v>
      </c>
    </row>
    <row r="53" spans="1:27" x14ac:dyDescent="0.25">
      <c r="B53" s="6" t="s">
        <v>227</v>
      </c>
      <c r="C53" s="7">
        <v>4061925</v>
      </c>
      <c r="D53" s="151">
        <v>119016</v>
      </c>
      <c r="E53" s="151" t="s">
        <v>267</v>
      </c>
      <c r="F53" s="151">
        <v>638400</v>
      </c>
      <c r="G53" s="151">
        <v>631487</v>
      </c>
      <c r="H53" s="151">
        <v>113861</v>
      </c>
      <c r="I53" s="151">
        <v>112785</v>
      </c>
      <c r="J53" s="151">
        <v>111568</v>
      </c>
      <c r="K53" s="151">
        <v>110218</v>
      </c>
      <c r="L53" s="151">
        <v>108776</v>
      </c>
      <c r="M53" s="151">
        <v>107347</v>
      </c>
      <c r="N53" s="151">
        <v>106104</v>
      </c>
      <c r="O53" s="151">
        <v>105947</v>
      </c>
      <c r="P53" s="151">
        <v>106532</v>
      </c>
      <c r="Q53" s="151">
        <v>103837</v>
      </c>
      <c r="R53" s="151">
        <v>96092</v>
      </c>
      <c r="S53" s="151">
        <v>574343</v>
      </c>
      <c r="T53" s="151">
        <v>550045</v>
      </c>
      <c r="U53" s="151">
        <v>542522</v>
      </c>
      <c r="V53" s="151">
        <v>529022</v>
      </c>
      <c r="W53" s="151">
        <v>522217</v>
      </c>
      <c r="X53" s="151">
        <v>505720</v>
      </c>
      <c r="Y53" s="151">
        <v>493419</v>
      </c>
      <c r="Z53" s="151">
        <v>474425</v>
      </c>
      <c r="AA53" s="151">
        <v>459034</v>
      </c>
    </row>
    <row r="54" spans="1:27" x14ac:dyDescent="0.25">
      <c r="B54" s="6" t="s">
        <v>284</v>
      </c>
      <c r="C54" s="7">
        <v>4057132</v>
      </c>
      <c r="D54" s="151" t="s">
        <v>267</v>
      </c>
      <c r="E54" s="151" t="s">
        <v>267</v>
      </c>
      <c r="F54" s="151" t="s">
        <v>267</v>
      </c>
      <c r="G54" s="151" t="s">
        <v>267</v>
      </c>
      <c r="H54" s="151">
        <v>731332</v>
      </c>
      <c r="I54" s="151">
        <v>718954</v>
      </c>
      <c r="J54" s="151">
        <v>708021</v>
      </c>
      <c r="K54" s="151">
        <v>699760</v>
      </c>
      <c r="L54" s="151">
        <v>690408</v>
      </c>
      <c r="M54" s="151">
        <v>682744</v>
      </c>
      <c r="N54" s="151">
        <v>676771</v>
      </c>
      <c r="O54" s="151">
        <v>670896</v>
      </c>
      <c r="P54" s="151">
        <v>665068</v>
      </c>
      <c r="Q54" s="151">
        <v>662341</v>
      </c>
      <c r="R54" s="151">
        <v>642046</v>
      </c>
      <c r="S54" s="151" t="s">
        <v>267</v>
      </c>
      <c r="T54" s="151" t="s">
        <v>267</v>
      </c>
      <c r="U54" s="151" t="s">
        <v>267</v>
      </c>
      <c r="V54" s="151" t="s">
        <v>267</v>
      </c>
      <c r="W54" s="151" t="s">
        <v>267</v>
      </c>
      <c r="X54" s="151" t="s">
        <v>267</v>
      </c>
      <c r="Y54" s="151" t="s">
        <v>267</v>
      </c>
      <c r="Z54" s="151" t="s">
        <v>267</v>
      </c>
      <c r="AA54" s="151" t="s">
        <v>267</v>
      </c>
    </row>
    <row r="55" spans="1:27" x14ac:dyDescent="0.25">
      <c r="A55" s="1" t="s">
        <v>268</v>
      </c>
      <c r="B55" s="6" t="s">
        <v>285</v>
      </c>
      <c r="C55" s="7">
        <v>4057115</v>
      </c>
      <c r="D55" s="151">
        <v>302223</v>
      </c>
      <c r="E55" s="151">
        <v>300873</v>
      </c>
      <c r="F55" s="151">
        <v>298219</v>
      </c>
      <c r="G55" s="151">
        <v>295134</v>
      </c>
      <c r="H55" s="151">
        <v>291249</v>
      </c>
      <c r="I55" s="151">
        <v>287777</v>
      </c>
      <c r="J55" s="151">
        <v>283909</v>
      </c>
      <c r="K55" s="151">
        <v>280368</v>
      </c>
      <c r="L55" s="151">
        <v>276415</v>
      </c>
      <c r="M55" s="151">
        <v>272804</v>
      </c>
      <c r="N55" s="151">
        <v>270253</v>
      </c>
      <c r="O55" s="151">
        <v>268311</v>
      </c>
      <c r="P55" s="151">
        <v>266726</v>
      </c>
      <c r="Q55" s="151">
        <v>260425</v>
      </c>
      <c r="R55" s="151">
        <v>259381</v>
      </c>
      <c r="S55" s="151">
        <v>257051</v>
      </c>
      <c r="T55" s="151">
        <v>254409</v>
      </c>
      <c r="U55" s="151">
        <v>252576</v>
      </c>
      <c r="V55" s="151">
        <v>250038</v>
      </c>
      <c r="W55" s="151">
        <v>248736</v>
      </c>
      <c r="X55" s="151">
        <v>246666</v>
      </c>
      <c r="Y55" s="151">
        <v>243854</v>
      </c>
      <c r="Z55" s="151">
        <v>240120</v>
      </c>
      <c r="AA55" s="151">
        <v>237086</v>
      </c>
    </row>
    <row r="56" spans="1:27" x14ac:dyDescent="0.25">
      <c r="B56" s="6" t="s">
        <v>228</v>
      </c>
      <c r="C56" s="7">
        <v>4064479</v>
      </c>
      <c r="D56" s="151">
        <v>50956</v>
      </c>
      <c r="E56" s="151">
        <v>50617</v>
      </c>
      <c r="F56" s="151">
        <v>49971</v>
      </c>
      <c r="G56" s="151">
        <v>49684</v>
      </c>
      <c r="H56" s="151">
        <v>49432</v>
      </c>
      <c r="I56" s="151">
        <v>49119</v>
      </c>
      <c r="J56" s="151">
        <v>48729</v>
      </c>
      <c r="K56" s="151">
        <v>48326</v>
      </c>
      <c r="L56" s="151">
        <v>48643</v>
      </c>
      <c r="M56" s="151">
        <v>47533</v>
      </c>
      <c r="N56" s="151">
        <v>47024</v>
      </c>
      <c r="O56" s="151">
        <v>46498</v>
      </c>
      <c r="P56" s="151">
        <v>46415</v>
      </c>
      <c r="Q56" s="151">
        <v>46449</v>
      </c>
      <c r="R56" s="151">
        <v>46385</v>
      </c>
      <c r="S56" s="151">
        <v>46191</v>
      </c>
      <c r="T56" s="151">
        <v>45783</v>
      </c>
      <c r="U56" s="151">
        <v>45198</v>
      </c>
      <c r="V56" s="151">
        <v>44645</v>
      </c>
      <c r="W56" s="151">
        <v>43978</v>
      </c>
      <c r="X56" s="151">
        <v>44172</v>
      </c>
      <c r="Y56" s="151">
        <v>43764</v>
      </c>
      <c r="Z56" s="151">
        <v>42950</v>
      </c>
      <c r="AA56" s="151">
        <v>42288</v>
      </c>
    </row>
    <row r="57" spans="1:27" x14ac:dyDescent="0.25">
      <c r="B57" s="6" t="s">
        <v>286</v>
      </c>
      <c r="C57" s="7">
        <v>4062025</v>
      </c>
      <c r="D57" s="151">
        <v>29462</v>
      </c>
      <c r="E57" s="151">
        <v>28460</v>
      </c>
      <c r="F57" s="151">
        <v>28460</v>
      </c>
      <c r="G57" s="151">
        <v>24102</v>
      </c>
      <c r="H57" s="151">
        <v>24006</v>
      </c>
      <c r="I57" s="151">
        <v>24177</v>
      </c>
      <c r="J57" s="151">
        <v>23987</v>
      </c>
      <c r="K57" s="151">
        <v>23985</v>
      </c>
      <c r="L57" s="151">
        <v>23804</v>
      </c>
      <c r="M57" s="151">
        <v>23629</v>
      </c>
      <c r="N57" s="151">
        <v>23676</v>
      </c>
      <c r="O57" s="151">
        <v>23656</v>
      </c>
      <c r="P57" s="151">
        <v>23661</v>
      </c>
      <c r="Q57" s="151">
        <v>24003</v>
      </c>
      <c r="R57" s="151">
        <v>24398</v>
      </c>
      <c r="S57" s="151">
        <v>24465</v>
      </c>
      <c r="T57" s="151">
        <v>24728</v>
      </c>
      <c r="U57" s="151">
        <v>24876</v>
      </c>
      <c r="V57" s="151">
        <v>24984</v>
      </c>
      <c r="W57" s="151">
        <v>24997</v>
      </c>
      <c r="X57" s="151">
        <v>24912</v>
      </c>
      <c r="Y57" s="151">
        <v>24910</v>
      </c>
      <c r="Z57" s="151">
        <v>25021</v>
      </c>
      <c r="AA57" s="151">
        <v>24689</v>
      </c>
    </row>
    <row r="58" spans="1:27" x14ac:dyDescent="0.25">
      <c r="B58" s="6" t="s">
        <v>287</v>
      </c>
      <c r="C58" s="7">
        <v>4064481</v>
      </c>
      <c r="D58" s="151" t="s">
        <v>267</v>
      </c>
      <c r="E58" s="151" t="s">
        <v>267</v>
      </c>
      <c r="F58" s="151">
        <v>888181</v>
      </c>
      <c r="G58" s="151">
        <v>881042</v>
      </c>
      <c r="H58" s="151">
        <v>875705</v>
      </c>
      <c r="I58" s="151">
        <v>869878</v>
      </c>
      <c r="J58" s="151">
        <v>872105</v>
      </c>
      <c r="K58" s="151">
        <v>866616</v>
      </c>
      <c r="L58" s="151">
        <v>859979</v>
      </c>
      <c r="M58" s="151">
        <v>854247</v>
      </c>
      <c r="N58" s="151">
        <v>849322</v>
      </c>
      <c r="O58" s="151">
        <v>840361</v>
      </c>
      <c r="P58" s="151">
        <v>848684</v>
      </c>
      <c r="Q58" s="151">
        <v>847444</v>
      </c>
      <c r="R58" s="151">
        <v>843946</v>
      </c>
      <c r="S58" s="151">
        <v>788292</v>
      </c>
      <c r="T58" s="151">
        <v>787860</v>
      </c>
      <c r="U58" s="151">
        <v>782094</v>
      </c>
      <c r="V58" s="151">
        <v>780547</v>
      </c>
      <c r="W58" s="151">
        <v>778820</v>
      </c>
      <c r="X58" s="151">
        <v>769332</v>
      </c>
      <c r="Y58" s="151">
        <v>757724</v>
      </c>
      <c r="Z58" s="151">
        <v>731912</v>
      </c>
      <c r="AA58" s="151">
        <v>749617</v>
      </c>
    </row>
    <row r="59" spans="1:27" x14ac:dyDescent="0.25">
      <c r="A59" s="1" t="s">
        <v>268</v>
      </c>
      <c r="B59" s="6" t="s">
        <v>229</v>
      </c>
      <c r="C59" s="7">
        <v>4057093</v>
      </c>
      <c r="D59" s="151">
        <v>139917</v>
      </c>
      <c r="E59" s="151">
        <v>138601</v>
      </c>
      <c r="F59" s="151">
        <v>137208</v>
      </c>
      <c r="G59" s="151">
        <v>136118</v>
      </c>
      <c r="H59" s="151">
        <v>135077</v>
      </c>
      <c r="I59" s="151">
        <v>131857</v>
      </c>
      <c r="J59" s="151">
        <v>132603</v>
      </c>
      <c r="K59" s="151">
        <v>131494</v>
      </c>
      <c r="L59" s="151">
        <v>130711</v>
      </c>
      <c r="M59" s="151">
        <v>129871</v>
      </c>
      <c r="N59" s="151">
        <v>129054</v>
      </c>
      <c r="O59" s="151">
        <v>128301</v>
      </c>
      <c r="P59" s="151">
        <v>127654</v>
      </c>
      <c r="Q59" s="151">
        <v>126553</v>
      </c>
      <c r="R59" s="151">
        <v>125545</v>
      </c>
      <c r="S59" s="151">
        <v>125223</v>
      </c>
      <c r="T59" s="151">
        <v>124098</v>
      </c>
      <c r="U59" s="151">
        <v>123577</v>
      </c>
      <c r="V59" s="151">
        <v>122101</v>
      </c>
      <c r="W59" s="151">
        <v>121182</v>
      </c>
      <c r="X59" s="151">
        <v>119694</v>
      </c>
      <c r="Y59" s="151">
        <v>118698</v>
      </c>
      <c r="Z59" s="151">
        <v>114015</v>
      </c>
      <c r="AA59" s="151">
        <v>115758</v>
      </c>
    </row>
    <row r="60" spans="1:27" x14ac:dyDescent="0.25">
      <c r="B60" s="6" t="s">
        <v>230</v>
      </c>
      <c r="C60" s="7">
        <v>4004218</v>
      </c>
      <c r="D60" s="151">
        <v>4564044</v>
      </c>
      <c r="E60" s="151" t="s">
        <v>267</v>
      </c>
      <c r="F60" s="151">
        <v>4517926</v>
      </c>
      <c r="G60" s="151">
        <v>4472557</v>
      </c>
      <c r="H60" s="151">
        <v>4494485</v>
      </c>
      <c r="I60" s="151">
        <v>4453482</v>
      </c>
      <c r="J60" s="151">
        <v>4450370</v>
      </c>
      <c r="K60" s="151">
        <v>4395852</v>
      </c>
      <c r="L60" s="151">
        <v>4409573</v>
      </c>
      <c r="M60" s="151">
        <v>4371553</v>
      </c>
      <c r="N60" s="151">
        <v>4346996</v>
      </c>
      <c r="O60" s="151">
        <v>4305935</v>
      </c>
      <c r="P60" s="151">
        <v>4309570</v>
      </c>
      <c r="Q60" s="151">
        <v>4356537</v>
      </c>
      <c r="R60" s="151">
        <v>4305091</v>
      </c>
      <c r="S60" s="151">
        <v>4251192</v>
      </c>
      <c r="T60" s="151">
        <v>4128646</v>
      </c>
      <c r="U60" s="151">
        <v>4030373</v>
      </c>
      <c r="V60" s="151">
        <v>3954719</v>
      </c>
      <c r="W60" s="151">
        <v>3938727</v>
      </c>
      <c r="X60" s="151">
        <v>3907394</v>
      </c>
      <c r="Y60" s="151">
        <v>3746752</v>
      </c>
      <c r="Z60" s="151">
        <v>3798199</v>
      </c>
      <c r="AA60" s="151">
        <v>3737058</v>
      </c>
    </row>
    <row r="61" spans="1:27" x14ac:dyDescent="0.25">
      <c r="A61" s="1" t="s">
        <v>268</v>
      </c>
      <c r="B61" s="6" t="s">
        <v>288</v>
      </c>
      <c r="C61" s="7">
        <v>4062222</v>
      </c>
      <c r="D61" s="151">
        <v>540428</v>
      </c>
      <c r="E61" s="151">
        <v>534968</v>
      </c>
      <c r="F61" s="151">
        <v>529814</v>
      </c>
      <c r="G61" s="151">
        <v>522124</v>
      </c>
      <c r="H61" s="151">
        <v>519470</v>
      </c>
      <c r="I61" s="151">
        <v>514158</v>
      </c>
      <c r="J61" s="151">
        <v>508729</v>
      </c>
      <c r="K61" s="151">
        <v>503824</v>
      </c>
      <c r="L61" s="151">
        <v>499343</v>
      </c>
      <c r="M61" s="151">
        <v>495440</v>
      </c>
      <c r="N61" s="151">
        <v>492060</v>
      </c>
      <c r="O61" s="151">
        <v>488588</v>
      </c>
      <c r="P61" s="151">
        <v>486057</v>
      </c>
      <c r="Q61" s="151">
        <v>483457</v>
      </c>
      <c r="R61" s="151">
        <v>478105</v>
      </c>
      <c r="S61" s="151">
        <v>475558</v>
      </c>
      <c r="T61" s="151">
        <v>471988</v>
      </c>
      <c r="U61" s="151">
        <v>464619</v>
      </c>
      <c r="V61" s="151">
        <v>456725</v>
      </c>
      <c r="W61" s="151">
        <v>449108</v>
      </c>
      <c r="X61" s="151">
        <v>438470</v>
      </c>
      <c r="Y61" s="151">
        <v>430862</v>
      </c>
      <c r="Z61" s="151">
        <v>425682</v>
      </c>
      <c r="AA61" s="151">
        <v>416087</v>
      </c>
    </row>
    <row r="62" spans="1:27" x14ac:dyDescent="0.25">
      <c r="B62" s="6" t="s">
        <v>233</v>
      </c>
      <c r="C62" s="7">
        <v>4057135</v>
      </c>
      <c r="D62" s="151">
        <v>877348</v>
      </c>
      <c r="E62" s="151">
        <v>871024</v>
      </c>
      <c r="F62" s="151">
        <v>866093</v>
      </c>
      <c r="G62" s="151">
        <v>863314</v>
      </c>
      <c r="H62" s="151">
        <v>846660</v>
      </c>
      <c r="I62" s="151">
        <v>845561</v>
      </c>
      <c r="J62" s="151">
        <v>834929</v>
      </c>
      <c r="K62" s="151">
        <v>831069</v>
      </c>
      <c r="L62" s="151">
        <v>830829</v>
      </c>
      <c r="M62" s="151">
        <v>830791</v>
      </c>
      <c r="N62" s="151">
        <v>827576</v>
      </c>
      <c r="O62" s="151">
        <v>819154</v>
      </c>
      <c r="P62" s="151">
        <v>821902</v>
      </c>
      <c r="Q62" s="151">
        <v>829776</v>
      </c>
      <c r="R62" s="151">
        <v>830184</v>
      </c>
      <c r="S62" s="151">
        <v>818012</v>
      </c>
      <c r="T62" s="151">
        <v>816428</v>
      </c>
      <c r="U62" s="151">
        <v>812705</v>
      </c>
      <c r="V62" s="151">
        <v>818730</v>
      </c>
      <c r="W62" s="151">
        <v>837212</v>
      </c>
      <c r="X62" s="151">
        <v>845637</v>
      </c>
      <c r="Y62" s="151">
        <v>840561</v>
      </c>
      <c r="Z62" s="151">
        <v>836928</v>
      </c>
      <c r="AA62" s="151">
        <v>832509</v>
      </c>
    </row>
    <row r="63" spans="1:27" x14ac:dyDescent="0.25">
      <c r="B63" s="6" t="s">
        <v>234</v>
      </c>
      <c r="C63" s="7">
        <v>4063341</v>
      </c>
      <c r="D63" s="151">
        <v>436564</v>
      </c>
      <c r="E63" s="151">
        <v>416346</v>
      </c>
      <c r="F63" s="151">
        <v>398492</v>
      </c>
      <c r="G63" s="151">
        <v>386352</v>
      </c>
      <c r="H63" s="151">
        <v>373615</v>
      </c>
      <c r="I63" s="151">
        <v>370273</v>
      </c>
      <c r="J63" s="151">
        <v>361178</v>
      </c>
      <c r="K63" s="151">
        <v>353903</v>
      </c>
      <c r="L63" s="151">
        <v>347367</v>
      </c>
      <c r="M63" s="151">
        <v>342909</v>
      </c>
      <c r="N63" s="151">
        <v>338840</v>
      </c>
      <c r="O63" s="151">
        <v>336019</v>
      </c>
      <c r="P63" s="151">
        <v>334447</v>
      </c>
      <c r="Q63" s="151">
        <v>335137</v>
      </c>
      <c r="R63" s="151">
        <v>334343</v>
      </c>
      <c r="S63" s="151">
        <v>328082</v>
      </c>
      <c r="T63" s="151">
        <v>318404</v>
      </c>
      <c r="U63" s="151">
        <v>307395</v>
      </c>
      <c r="V63" s="151">
        <v>291911</v>
      </c>
      <c r="W63" s="151">
        <v>277160</v>
      </c>
      <c r="X63" s="151">
        <v>266326</v>
      </c>
      <c r="Y63" s="151">
        <v>255640</v>
      </c>
      <c r="Z63" s="151">
        <v>246789</v>
      </c>
      <c r="AA63" s="151">
        <v>237335</v>
      </c>
    </row>
    <row r="64" spans="1:27" x14ac:dyDescent="0.25">
      <c r="A64" s="1" t="s">
        <v>268</v>
      </c>
      <c r="B64" s="6" t="s">
        <v>289</v>
      </c>
      <c r="C64" s="7">
        <v>4083575</v>
      </c>
      <c r="D64" s="151">
        <v>545067</v>
      </c>
      <c r="E64" s="151">
        <v>540293</v>
      </c>
      <c r="F64" s="151">
        <v>529964</v>
      </c>
      <c r="G64" s="151">
        <v>519260</v>
      </c>
      <c r="H64" s="151">
        <v>504541</v>
      </c>
      <c r="I64" s="151">
        <v>502666</v>
      </c>
      <c r="J64" s="151">
        <v>503634</v>
      </c>
      <c r="K64" s="151">
        <v>501305</v>
      </c>
      <c r="L64" s="151">
        <v>506467</v>
      </c>
      <c r="M64" s="151">
        <v>508069</v>
      </c>
      <c r="N64" s="151">
        <v>507874</v>
      </c>
      <c r="O64" s="151">
        <v>508393</v>
      </c>
      <c r="P64" s="151">
        <v>510086</v>
      </c>
      <c r="Q64" s="151">
        <v>510188</v>
      </c>
      <c r="R64" s="151">
        <v>510236</v>
      </c>
      <c r="S64" s="151">
        <v>502804</v>
      </c>
      <c r="T64" s="151">
        <v>506431</v>
      </c>
      <c r="U64" s="151">
        <v>514067</v>
      </c>
      <c r="V64" s="151">
        <v>515020</v>
      </c>
      <c r="W64" s="151">
        <v>520899</v>
      </c>
      <c r="X64" s="151">
        <v>524892</v>
      </c>
      <c r="Y64" s="151">
        <v>519567</v>
      </c>
      <c r="Z64" s="151">
        <v>523730</v>
      </c>
      <c r="AA64" s="151">
        <v>514968</v>
      </c>
    </row>
    <row r="65" spans="1:27" x14ac:dyDescent="0.25">
      <c r="B65" s="6" t="s">
        <v>290</v>
      </c>
      <c r="C65" s="7">
        <v>4062303</v>
      </c>
      <c r="D65" s="151">
        <v>1277</v>
      </c>
      <c r="E65" s="151">
        <v>1253</v>
      </c>
      <c r="F65" s="151">
        <v>1244</v>
      </c>
      <c r="G65" s="151">
        <v>1230</v>
      </c>
      <c r="H65" s="151">
        <v>1215</v>
      </c>
      <c r="I65" s="151">
        <v>1217</v>
      </c>
      <c r="J65" s="151">
        <v>1202</v>
      </c>
      <c r="K65" s="151">
        <v>1200</v>
      </c>
      <c r="L65" s="151">
        <v>1197</v>
      </c>
      <c r="M65" s="151">
        <v>1192</v>
      </c>
      <c r="N65" s="151">
        <v>1195</v>
      </c>
      <c r="O65" s="151">
        <v>1193</v>
      </c>
      <c r="P65" s="151">
        <v>1190</v>
      </c>
      <c r="Q65" s="151">
        <v>1182</v>
      </c>
      <c r="R65" s="151">
        <v>1169</v>
      </c>
      <c r="S65" s="151">
        <v>1166</v>
      </c>
      <c r="T65" s="151">
        <v>1154</v>
      </c>
      <c r="U65" s="151">
        <v>1152</v>
      </c>
      <c r="V65" s="151">
        <v>1146</v>
      </c>
      <c r="W65" s="151">
        <v>1134</v>
      </c>
      <c r="X65" s="151">
        <v>1131</v>
      </c>
      <c r="Y65" s="151">
        <v>1034</v>
      </c>
      <c r="Z65" s="151">
        <v>1035</v>
      </c>
      <c r="AA65" s="151">
        <v>1025</v>
      </c>
    </row>
    <row r="66" spans="1:27" x14ac:dyDescent="0.25">
      <c r="B66" s="6" t="s">
        <v>291</v>
      </c>
      <c r="C66" s="7">
        <v>4083581</v>
      </c>
      <c r="D66" s="151">
        <v>8782</v>
      </c>
      <c r="E66" s="151">
        <v>7726</v>
      </c>
      <c r="F66" s="151">
        <v>7676</v>
      </c>
      <c r="G66" s="151">
        <v>7615</v>
      </c>
      <c r="H66" s="151">
        <v>7456</v>
      </c>
      <c r="I66" s="151">
        <v>7448</v>
      </c>
      <c r="J66" s="151">
        <v>7353</v>
      </c>
      <c r="K66" s="151">
        <v>7392</v>
      </c>
      <c r="L66" s="151">
        <v>7274</v>
      </c>
      <c r="M66" s="151">
        <v>7115</v>
      </c>
      <c r="N66" s="151">
        <v>7109</v>
      </c>
      <c r="O66" s="151">
        <v>7140</v>
      </c>
      <c r="P66" s="151">
        <v>7126</v>
      </c>
      <c r="Q66" s="151">
        <v>7103</v>
      </c>
      <c r="R66" s="151">
        <v>7150</v>
      </c>
      <c r="S66" s="151">
        <v>7155</v>
      </c>
      <c r="T66" s="151">
        <v>7166</v>
      </c>
      <c r="U66" s="151">
        <v>7116</v>
      </c>
      <c r="V66" s="151">
        <v>6989</v>
      </c>
      <c r="W66" s="151">
        <v>6944</v>
      </c>
      <c r="X66" s="151">
        <v>6884</v>
      </c>
      <c r="Y66" s="151">
        <v>6805</v>
      </c>
      <c r="Z66" s="151">
        <v>6652</v>
      </c>
      <c r="AA66" s="151">
        <v>6515</v>
      </c>
    </row>
    <row r="67" spans="1:27" x14ac:dyDescent="0.25">
      <c r="B67" s="6" t="s">
        <v>236</v>
      </c>
      <c r="C67" s="7">
        <v>4057139</v>
      </c>
      <c r="D67" s="151">
        <v>558453</v>
      </c>
      <c r="E67" s="151" t="s">
        <v>267</v>
      </c>
      <c r="F67" s="151">
        <v>582332</v>
      </c>
      <c r="G67" s="151">
        <v>567655</v>
      </c>
      <c r="H67" s="151">
        <v>552993</v>
      </c>
      <c r="I67" s="151">
        <v>539097</v>
      </c>
      <c r="J67" s="151">
        <v>524835</v>
      </c>
      <c r="K67" s="151">
        <v>511265</v>
      </c>
      <c r="L67" s="151">
        <v>499238</v>
      </c>
      <c r="M67" s="151">
        <v>488829</v>
      </c>
      <c r="N67" s="151">
        <v>480280</v>
      </c>
      <c r="O67" s="151">
        <v>472605</v>
      </c>
      <c r="P67" s="151">
        <v>465796</v>
      </c>
      <c r="Q67" s="151">
        <v>458407</v>
      </c>
      <c r="R67" s="151">
        <v>444368</v>
      </c>
      <c r="S67" s="151">
        <v>427426</v>
      </c>
      <c r="T67" s="151">
        <v>407973</v>
      </c>
      <c r="U67" s="151">
        <v>390824</v>
      </c>
      <c r="V67" s="151">
        <v>378511</v>
      </c>
      <c r="W67" s="151">
        <v>367177</v>
      </c>
      <c r="X67" s="151">
        <v>365478</v>
      </c>
      <c r="Y67" s="151">
        <v>357736</v>
      </c>
      <c r="Z67" s="151">
        <v>342398</v>
      </c>
      <c r="AA67" s="151">
        <v>325844</v>
      </c>
    </row>
    <row r="68" spans="1:27" x14ac:dyDescent="0.25">
      <c r="A68" s="1" t="s">
        <v>268</v>
      </c>
      <c r="B68" s="6" t="s">
        <v>238</v>
      </c>
      <c r="C68" s="7">
        <v>4057095</v>
      </c>
      <c r="D68" s="151" t="s">
        <v>267</v>
      </c>
      <c r="E68" s="151">
        <v>1865395</v>
      </c>
      <c r="F68" s="151">
        <v>1857011</v>
      </c>
      <c r="G68" s="151">
        <v>1846163</v>
      </c>
      <c r="H68" s="151">
        <v>1831700</v>
      </c>
      <c r="I68" s="151">
        <v>1816251</v>
      </c>
      <c r="J68" s="151">
        <v>1806970</v>
      </c>
      <c r="K68" s="151">
        <v>1797898</v>
      </c>
      <c r="L68" s="151">
        <v>1790212</v>
      </c>
      <c r="M68" s="151">
        <v>1785245</v>
      </c>
      <c r="N68" s="151">
        <v>1778850</v>
      </c>
      <c r="O68" s="151">
        <v>1778336</v>
      </c>
      <c r="P68" s="151">
        <v>1774042</v>
      </c>
      <c r="Q68" s="151">
        <v>1742016</v>
      </c>
      <c r="R68" s="151">
        <v>1732218</v>
      </c>
      <c r="S68" s="151">
        <v>1719986</v>
      </c>
      <c r="T68" s="151">
        <v>1709399</v>
      </c>
      <c r="U68" s="151">
        <v>1693048</v>
      </c>
      <c r="V68" s="151">
        <v>1673702</v>
      </c>
      <c r="W68" s="151">
        <v>1665668</v>
      </c>
      <c r="X68" s="151">
        <v>1679196</v>
      </c>
      <c r="Y68" s="151">
        <v>1621128</v>
      </c>
      <c r="Z68" s="151">
        <v>1569893</v>
      </c>
      <c r="AA68" s="151">
        <v>1593570</v>
      </c>
    </row>
    <row r="69" spans="1:27" x14ac:dyDescent="0.25">
      <c r="B69" s="6" t="s">
        <v>239</v>
      </c>
      <c r="C69" s="7">
        <v>4062485</v>
      </c>
      <c r="D69" s="151">
        <v>860438</v>
      </c>
      <c r="E69" s="151">
        <v>850720</v>
      </c>
      <c r="F69" s="151">
        <v>841427</v>
      </c>
      <c r="G69" s="151">
        <v>830781</v>
      </c>
      <c r="H69" s="151">
        <v>819336</v>
      </c>
      <c r="I69" s="151">
        <v>807586</v>
      </c>
      <c r="J69" s="151">
        <v>795013</v>
      </c>
      <c r="K69" s="151">
        <v>781612</v>
      </c>
      <c r="L69" s="151">
        <v>773385</v>
      </c>
      <c r="M69" s="151">
        <v>763655</v>
      </c>
      <c r="N69" s="151">
        <v>756711</v>
      </c>
      <c r="O69" s="151">
        <v>750811</v>
      </c>
      <c r="P69" s="151">
        <v>746532</v>
      </c>
      <c r="Q69" s="151">
        <v>737851</v>
      </c>
      <c r="R69" s="151">
        <v>722003</v>
      </c>
      <c r="S69" s="151">
        <v>703249</v>
      </c>
      <c r="T69" s="151">
        <v>682783</v>
      </c>
      <c r="U69" s="151">
        <v>661739</v>
      </c>
      <c r="V69" s="151">
        <v>633678</v>
      </c>
      <c r="W69" s="151">
        <v>613540</v>
      </c>
      <c r="X69" s="151">
        <v>597845</v>
      </c>
      <c r="Y69" s="151">
        <v>580292</v>
      </c>
      <c r="Z69" s="151">
        <v>556703</v>
      </c>
      <c r="AA69" s="151">
        <v>532616</v>
      </c>
    </row>
    <row r="70" spans="1:27" x14ac:dyDescent="0.25">
      <c r="B70" s="6" t="s">
        <v>240</v>
      </c>
      <c r="C70" s="7">
        <v>4057140</v>
      </c>
      <c r="D70" s="151" t="s">
        <v>267</v>
      </c>
      <c r="E70" s="151">
        <v>1100072</v>
      </c>
      <c r="F70" s="151">
        <v>1072685</v>
      </c>
      <c r="G70" s="151">
        <v>1046087</v>
      </c>
      <c r="H70" s="151">
        <v>990924</v>
      </c>
      <c r="I70" s="151">
        <v>999183</v>
      </c>
      <c r="J70" s="151">
        <v>977895</v>
      </c>
      <c r="K70" s="151">
        <v>953796</v>
      </c>
      <c r="L70" s="151">
        <v>938410</v>
      </c>
      <c r="M70" s="151">
        <v>924311</v>
      </c>
      <c r="N70" s="151">
        <v>913437</v>
      </c>
      <c r="O70" s="151">
        <v>903876</v>
      </c>
      <c r="P70" s="151">
        <v>891349</v>
      </c>
      <c r="Q70" s="151">
        <v>881572</v>
      </c>
      <c r="R70" s="151">
        <v>862784</v>
      </c>
      <c r="S70" s="151">
        <v>836193</v>
      </c>
      <c r="T70" s="151">
        <v>824463</v>
      </c>
      <c r="U70" s="151">
        <v>777555</v>
      </c>
      <c r="V70" s="151">
        <v>755075</v>
      </c>
      <c r="W70" s="151">
        <v>735847</v>
      </c>
      <c r="X70" s="151">
        <v>732756</v>
      </c>
      <c r="Y70" s="151">
        <v>706007</v>
      </c>
      <c r="Z70" s="151">
        <v>671274</v>
      </c>
      <c r="AA70" s="151">
        <v>648444</v>
      </c>
    </row>
    <row r="71" spans="1:27" x14ac:dyDescent="0.25">
      <c r="A71" s="1" t="s">
        <v>268</v>
      </c>
      <c r="B71" s="6" t="s">
        <v>243</v>
      </c>
      <c r="C71" s="7">
        <v>4057096</v>
      </c>
      <c r="D71" s="151">
        <v>321650</v>
      </c>
      <c r="E71" s="151">
        <v>319738</v>
      </c>
      <c r="F71" s="151">
        <v>317662</v>
      </c>
      <c r="G71" s="151">
        <v>322285</v>
      </c>
      <c r="H71" s="151">
        <v>313043</v>
      </c>
      <c r="I71" s="151">
        <v>310620</v>
      </c>
      <c r="J71" s="151">
        <v>308718</v>
      </c>
      <c r="K71" s="151">
        <v>307217</v>
      </c>
      <c r="L71" s="151">
        <v>305780</v>
      </c>
      <c r="M71" s="151">
        <v>304497</v>
      </c>
      <c r="N71" s="151">
        <v>303038</v>
      </c>
      <c r="O71" s="151">
        <v>301290</v>
      </c>
      <c r="P71" s="151">
        <v>299130</v>
      </c>
      <c r="Q71" s="151">
        <v>297777</v>
      </c>
      <c r="R71" s="151">
        <v>296471</v>
      </c>
      <c r="S71" s="151">
        <v>295374</v>
      </c>
      <c r="T71" s="151">
        <v>294647</v>
      </c>
      <c r="U71" s="151">
        <v>293334</v>
      </c>
      <c r="V71" s="151">
        <v>291686</v>
      </c>
      <c r="W71" s="151">
        <v>289860</v>
      </c>
      <c r="X71" s="151">
        <v>287688</v>
      </c>
      <c r="Y71" s="151">
        <v>285943</v>
      </c>
      <c r="Z71" s="151">
        <v>287806</v>
      </c>
      <c r="AA71" s="151">
        <v>288204</v>
      </c>
    </row>
    <row r="72" spans="1:27" x14ac:dyDescent="0.25">
      <c r="B72" s="6" t="s">
        <v>292</v>
      </c>
      <c r="C72" s="7">
        <v>4057097</v>
      </c>
      <c r="D72" s="151" t="s">
        <v>267</v>
      </c>
      <c r="E72" s="151" t="s">
        <v>267</v>
      </c>
      <c r="F72" s="151">
        <v>891930</v>
      </c>
      <c r="G72" s="151">
        <v>886026</v>
      </c>
      <c r="H72" s="151">
        <v>880387</v>
      </c>
      <c r="I72" s="151">
        <v>875462</v>
      </c>
      <c r="J72" s="151">
        <v>970120</v>
      </c>
      <c r="K72" s="151">
        <v>865899</v>
      </c>
      <c r="L72" s="151">
        <v>861987</v>
      </c>
      <c r="M72" s="151">
        <v>856816</v>
      </c>
      <c r="N72" s="151">
        <v>852135</v>
      </c>
      <c r="O72" s="151">
        <v>847306</v>
      </c>
      <c r="P72" s="151">
        <v>842444</v>
      </c>
      <c r="Q72" s="151">
        <v>838857</v>
      </c>
      <c r="R72" s="151">
        <v>835028</v>
      </c>
      <c r="S72" s="151">
        <v>828089</v>
      </c>
      <c r="T72" s="151">
        <v>818117</v>
      </c>
      <c r="U72" s="151">
        <v>805772</v>
      </c>
      <c r="V72" s="151">
        <v>794868</v>
      </c>
      <c r="W72" s="151">
        <v>782530</v>
      </c>
      <c r="X72" s="151">
        <v>768911</v>
      </c>
      <c r="Y72" s="151">
        <v>756215</v>
      </c>
      <c r="Z72" s="151">
        <v>743432</v>
      </c>
      <c r="AA72" s="151">
        <v>729508</v>
      </c>
    </row>
    <row r="73" spans="1:27" x14ac:dyDescent="0.25">
      <c r="B73" s="6" t="s">
        <v>293</v>
      </c>
      <c r="C73" s="7">
        <v>4057098</v>
      </c>
      <c r="D73" s="151" t="s">
        <v>267</v>
      </c>
      <c r="E73" s="151" t="s">
        <v>267</v>
      </c>
      <c r="F73" s="151">
        <v>170102</v>
      </c>
      <c r="G73" s="151">
        <v>166539</v>
      </c>
      <c r="H73" s="151">
        <v>163591</v>
      </c>
      <c r="I73" s="151">
        <v>161151</v>
      </c>
      <c r="J73" s="151">
        <v>158199</v>
      </c>
      <c r="K73" s="151">
        <v>155734</v>
      </c>
      <c r="L73" s="151">
        <v>153708</v>
      </c>
      <c r="M73" s="151">
        <v>152530</v>
      </c>
      <c r="N73" s="151">
        <v>151597</v>
      </c>
      <c r="O73" s="151">
        <v>150623</v>
      </c>
      <c r="P73" s="151">
        <v>149351</v>
      </c>
      <c r="Q73" s="151">
        <v>148777</v>
      </c>
      <c r="R73" s="151">
        <v>147025</v>
      </c>
      <c r="S73" s="151">
        <v>142754</v>
      </c>
      <c r="T73" s="151">
        <v>136892</v>
      </c>
      <c r="U73" s="151">
        <v>131272</v>
      </c>
      <c r="V73" s="151">
        <v>126249</v>
      </c>
      <c r="W73" s="151">
        <v>121972</v>
      </c>
      <c r="X73" s="151">
        <v>116996</v>
      </c>
      <c r="Y73" s="151">
        <v>111945</v>
      </c>
      <c r="Z73" s="151">
        <v>106974</v>
      </c>
      <c r="AA73" s="151">
        <v>102589</v>
      </c>
    </row>
    <row r="74" spans="1:27" x14ac:dyDescent="0.25">
      <c r="A74" s="1" t="s">
        <v>268</v>
      </c>
      <c r="B74" s="6" t="s">
        <v>244</v>
      </c>
      <c r="C74" s="7">
        <v>4063023</v>
      </c>
      <c r="D74" s="151">
        <v>408237</v>
      </c>
      <c r="E74" s="151" t="s">
        <v>267</v>
      </c>
      <c r="F74" s="151">
        <v>393721</v>
      </c>
      <c r="G74" s="151">
        <v>391983</v>
      </c>
      <c r="H74" s="151">
        <v>380763</v>
      </c>
      <c r="I74" s="151">
        <v>375299</v>
      </c>
      <c r="J74" s="151">
        <v>369704</v>
      </c>
      <c r="K74" s="151">
        <v>363973</v>
      </c>
      <c r="L74" s="151">
        <v>359710</v>
      </c>
      <c r="M74" s="151">
        <v>354445</v>
      </c>
      <c r="N74" s="151">
        <v>348856</v>
      </c>
      <c r="O74" s="151">
        <v>345083</v>
      </c>
      <c r="P74" s="151">
        <v>341258</v>
      </c>
      <c r="Q74" s="151">
        <v>337134</v>
      </c>
      <c r="R74" s="151">
        <v>332506</v>
      </c>
      <c r="S74" s="151">
        <v>351573</v>
      </c>
      <c r="T74" s="151">
        <v>334010</v>
      </c>
      <c r="U74" s="151">
        <v>405376</v>
      </c>
      <c r="V74" s="151">
        <v>414506</v>
      </c>
      <c r="W74" s="151">
        <v>296378</v>
      </c>
      <c r="X74" s="151">
        <v>330278</v>
      </c>
      <c r="Y74" s="151">
        <v>329912</v>
      </c>
      <c r="Z74" s="151">
        <v>270524</v>
      </c>
      <c r="AA74" s="151">
        <v>274696</v>
      </c>
    </row>
    <row r="75" spans="1:27" x14ac:dyDescent="0.25">
      <c r="B75" s="6" t="s">
        <v>245</v>
      </c>
      <c r="C75" s="7">
        <v>4057146</v>
      </c>
      <c r="D75" s="151">
        <v>6096866</v>
      </c>
      <c r="E75" s="151" t="s">
        <v>267</v>
      </c>
      <c r="F75" s="151">
        <v>5812235</v>
      </c>
      <c r="G75" s="151">
        <v>5777076</v>
      </c>
      <c r="H75" s="151">
        <v>5744043</v>
      </c>
      <c r="I75" s="151">
        <v>5701384</v>
      </c>
      <c r="J75" s="151">
        <v>5667381</v>
      </c>
      <c r="K75" s="151">
        <v>5638630</v>
      </c>
      <c r="L75" s="151">
        <v>5606346</v>
      </c>
      <c r="M75" s="151">
        <v>5576584</v>
      </c>
      <c r="N75" s="151">
        <v>5549399</v>
      </c>
      <c r="O75" s="151">
        <v>5516867</v>
      </c>
      <c r="P75" s="151">
        <v>5494958</v>
      </c>
      <c r="Q75" s="151">
        <v>5467401</v>
      </c>
      <c r="R75" s="151">
        <v>5445996</v>
      </c>
      <c r="S75" s="151">
        <v>5392165</v>
      </c>
      <c r="T75" s="151">
        <v>5328609</v>
      </c>
      <c r="U75" s="151">
        <v>5266356</v>
      </c>
      <c r="V75" s="151">
        <v>5198353</v>
      </c>
      <c r="W75" s="151">
        <v>5143877</v>
      </c>
      <c r="X75" s="151">
        <v>5064323</v>
      </c>
      <c r="Y75" s="151">
        <v>5008662</v>
      </c>
      <c r="Z75" s="151">
        <v>4939388</v>
      </c>
      <c r="AA75" s="151">
        <v>4864772</v>
      </c>
    </row>
    <row r="76" spans="1:27" x14ac:dyDescent="0.25">
      <c r="A76" s="1" t="s">
        <v>268</v>
      </c>
      <c r="B76" s="6" t="s">
        <v>247</v>
      </c>
      <c r="C76" s="7">
        <v>4063060</v>
      </c>
      <c r="D76" s="151">
        <v>206935</v>
      </c>
      <c r="E76" s="151">
        <v>204121</v>
      </c>
      <c r="F76" s="151">
        <v>200329</v>
      </c>
      <c r="G76" s="151">
        <v>198647</v>
      </c>
      <c r="H76" s="151">
        <v>196142</v>
      </c>
      <c r="I76" s="151">
        <v>193817</v>
      </c>
      <c r="J76" s="151">
        <v>189956</v>
      </c>
      <c r="K76" s="151">
        <v>187354</v>
      </c>
      <c r="L76" s="151">
        <v>184472</v>
      </c>
      <c r="M76" s="151">
        <v>180709</v>
      </c>
      <c r="N76" s="151">
        <v>177259</v>
      </c>
      <c r="O76" s="151">
        <v>175592</v>
      </c>
      <c r="P76" s="151">
        <v>175720</v>
      </c>
      <c r="Q76" s="151">
        <v>175024</v>
      </c>
      <c r="R76" s="151">
        <v>174586</v>
      </c>
      <c r="S76" s="151">
        <v>174160</v>
      </c>
      <c r="T76" s="151">
        <v>173639</v>
      </c>
      <c r="U76" s="151">
        <v>170817</v>
      </c>
      <c r="V76" s="151">
        <v>170057</v>
      </c>
      <c r="W76" s="151">
        <v>169319</v>
      </c>
      <c r="X76" s="151">
        <v>166886</v>
      </c>
      <c r="Y76" s="151">
        <v>166295</v>
      </c>
      <c r="Z76" s="151">
        <v>160630</v>
      </c>
      <c r="AA76" s="151">
        <v>157317</v>
      </c>
    </row>
    <row r="77" spans="1:27" x14ac:dyDescent="0.25">
      <c r="B77" s="6" t="s">
        <v>248</v>
      </c>
      <c r="C77" s="7">
        <v>4057100</v>
      </c>
      <c r="D77" s="151">
        <v>114671</v>
      </c>
      <c r="E77" s="151">
        <v>114125</v>
      </c>
      <c r="F77" s="151">
        <v>113193</v>
      </c>
      <c r="G77" s="151">
        <v>112776</v>
      </c>
      <c r="H77" s="151">
        <v>112292</v>
      </c>
      <c r="I77" s="151">
        <v>111966</v>
      </c>
      <c r="J77" s="151">
        <v>111281</v>
      </c>
      <c r="K77" s="151">
        <v>111159</v>
      </c>
      <c r="L77" s="151">
        <v>110947</v>
      </c>
      <c r="M77" s="151">
        <v>110512</v>
      </c>
      <c r="N77" s="151">
        <v>110341</v>
      </c>
      <c r="O77" s="151">
        <v>110652</v>
      </c>
      <c r="P77" s="151">
        <v>110693</v>
      </c>
      <c r="Q77" s="151">
        <v>111139</v>
      </c>
      <c r="R77" s="151">
        <v>111718</v>
      </c>
      <c r="S77" s="151">
        <v>111099</v>
      </c>
      <c r="T77" s="151">
        <v>111253</v>
      </c>
      <c r="U77" s="151">
        <v>110737</v>
      </c>
      <c r="V77" s="151">
        <v>110360</v>
      </c>
      <c r="W77" s="151">
        <v>110380</v>
      </c>
      <c r="X77" s="151">
        <v>109380</v>
      </c>
      <c r="Y77" s="151">
        <v>109459</v>
      </c>
      <c r="Z77" s="151">
        <v>107987</v>
      </c>
      <c r="AA77" s="151">
        <v>106897</v>
      </c>
    </row>
    <row r="78" spans="1:27" x14ac:dyDescent="0.25">
      <c r="B78" s="6" t="s">
        <v>294</v>
      </c>
      <c r="C78" s="7">
        <v>4064035</v>
      </c>
      <c r="D78" s="151" t="s">
        <v>267</v>
      </c>
      <c r="E78" s="151" t="s">
        <v>267</v>
      </c>
      <c r="F78" s="151">
        <v>18205</v>
      </c>
      <c r="G78" s="151">
        <v>18568</v>
      </c>
      <c r="H78" s="151">
        <v>18441</v>
      </c>
      <c r="I78" s="151">
        <v>18577</v>
      </c>
      <c r="J78" s="151">
        <v>18796</v>
      </c>
      <c r="K78" s="151">
        <v>18951</v>
      </c>
      <c r="L78" s="151">
        <v>19047</v>
      </c>
      <c r="M78" s="151">
        <v>19260</v>
      </c>
      <c r="N78" s="151">
        <v>19434</v>
      </c>
      <c r="O78" s="151">
        <v>19350</v>
      </c>
      <c r="P78" s="151">
        <v>19545</v>
      </c>
      <c r="Q78" s="151">
        <v>19968</v>
      </c>
      <c r="R78" s="151">
        <v>19967</v>
      </c>
      <c r="S78" s="151">
        <v>20347</v>
      </c>
      <c r="T78" s="151">
        <v>20674</v>
      </c>
      <c r="U78" s="151">
        <v>20117</v>
      </c>
      <c r="V78" s="151">
        <v>20977</v>
      </c>
      <c r="W78" s="151">
        <v>21302</v>
      </c>
      <c r="X78" s="151">
        <v>21031</v>
      </c>
      <c r="Y78" s="151">
        <v>21620</v>
      </c>
      <c r="Z78" s="151">
        <v>21777</v>
      </c>
      <c r="AA78" s="151">
        <v>21523</v>
      </c>
    </row>
    <row r="79" spans="1:27" x14ac:dyDescent="0.25">
      <c r="B79" s="6" t="s">
        <v>295</v>
      </c>
      <c r="C79" s="7">
        <v>4060957</v>
      </c>
      <c r="D79" s="151" t="s">
        <v>267</v>
      </c>
      <c r="E79" s="151" t="s">
        <v>267</v>
      </c>
      <c r="F79" s="151">
        <v>1176466</v>
      </c>
      <c r="G79" s="151">
        <v>1171829</v>
      </c>
      <c r="H79" s="151">
        <v>1164174</v>
      </c>
      <c r="I79" s="151">
        <v>1155158</v>
      </c>
      <c r="J79" s="151">
        <v>1155004</v>
      </c>
      <c r="K79" s="151">
        <v>647129</v>
      </c>
      <c r="L79" s="151">
        <v>643203</v>
      </c>
      <c r="M79" s="151">
        <v>638152</v>
      </c>
      <c r="N79" s="151">
        <v>638717</v>
      </c>
      <c r="O79" s="151">
        <v>641134</v>
      </c>
      <c r="P79" s="151">
        <v>642606</v>
      </c>
      <c r="Q79" s="151">
        <v>643424</v>
      </c>
      <c r="R79" s="151">
        <v>644113</v>
      </c>
      <c r="S79" s="151">
        <v>643980</v>
      </c>
      <c r="T79" s="151">
        <v>641935</v>
      </c>
      <c r="U79" s="151">
        <v>641770</v>
      </c>
      <c r="V79" s="151">
        <v>640475</v>
      </c>
      <c r="W79" s="151">
        <v>637806</v>
      </c>
      <c r="X79" s="151">
        <v>635707</v>
      </c>
      <c r="Y79" s="151">
        <v>632024</v>
      </c>
      <c r="Z79" s="151">
        <v>629255</v>
      </c>
      <c r="AA79" s="151">
        <v>624361</v>
      </c>
    </row>
    <row r="80" spans="1:27" x14ac:dyDescent="0.25">
      <c r="B80" s="6" t="s">
        <v>250</v>
      </c>
      <c r="C80" s="7">
        <v>4063179</v>
      </c>
      <c r="D80" s="151">
        <v>2695</v>
      </c>
      <c r="E80" s="151">
        <v>2695</v>
      </c>
      <c r="F80" s="151">
        <v>2521</v>
      </c>
      <c r="G80" s="151">
        <v>2996</v>
      </c>
      <c r="H80" s="151">
        <v>2997</v>
      </c>
      <c r="I80" s="151">
        <v>2993</v>
      </c>
      <c r="J80" s="151">
        <v>2959</v>
      </c>
      <c r="K80" s="151">
        <v>2927</v>
      </c>
      <c r="L80" s="151">
        <v>2907</v>
      </c>
      <c r="M80" s="151">
        <v>2907</v>
      </c>
      <c r="N80" s="151">
        <v>2897</v>
      </c>
      <c r="O80" s="151">
        <v>2917</v>
      </c>
      <c r="P80" s="151">
        <v>2959</v>
      </c>
      <c r="Q80" s="151">
        <v>3057</v>
      </c>
      <c r="R80" s="151">
        <v>3099</v>
      </c>
      <c r="S80" s="151">
        <v>3141</v>
      </c>
      <c r="T80" s="151">
        <v>3196</v>
      </c>
      <c r="U80" s="151">
        <v>3278</v>
      </c>
      <c r="V80" s="151">
        <v>3321</v>
      </c>
      <c r="W80" s="151">
        <v>3333</v>
      </c>
      <c r="X80" s="151">
        <v>3377</v>
      </c>
      <c r="Y80" s="151">
        <v>3663</v>
      </c>
      <c r="Z80" s="151">
        <v>3409</v>
      </c>
      <c r="AA80" s="151">
        <v>3375</v>
      </c>
    </row>
    <row r="81" spans="1:27" x14ac:dyDescent="0.25">
      <c r="A81" s="1" t="s">
        <v>268</v>
      </c>
      <c r="B81" s="6" t="s">
        <v>251</v>
      </c>
      <c r="C81" s="7">
        <v>4063183</v>
      </c>
      <c r="D81" s="151">
        <v>16670</v>
      </c>
      <c r="E81" s="151">
        <v>16443</v>
      </c>
      <c r="F81" s="151">
        <v>16477</v>
      </c>
      <c r="G81" s="151">
        <v>16169</v>
      </c>
      <c r="H81" s="151">
        <v>16169</v>
      </c>
      <c r="I81" s="151">
        <v>16189</v>
      </c>
      <c r="J81" s="151">
        <v>15937</v>
      </c>
      <c r="K81" s="151">
        <v>15796</v>
      </c>
      <c r="L81" s="151">
        <v>15644</v>
      </c>
      <c r="M81" s="151">
        <v>15573</v>
      </c>
      <c r="N81" s="151">
        <v>15505</v>
      </c>
      <c r="O81" s="151">
        <v>15507</v>
      </c>
      <c r="P81" s="151">
        <v>15457</v>
      </c>
      <c r="Q81" s="151">
        <v>15313</v>
      </c>
      <c r="R81" s="151">
        <v>15358</v>
      </c>
      <c r="S81" s="151">
        <v>15259</v>
      </c>
      <c r="T81" s="151">
        <v>15511</v>
      </c>
      <c r="U81" s="151">
        <v>15476</v>
      </c>
      <c r="V81" s="151">
        <v>15474</v>
      </c>
      <c r="W81" s="151">
        <v>15291</v>
      </c>
      <c r="X81" s="151">
        <v>15251</v>
      </c>
      <c r="Y81" s="151">
        <v>14969</v>
      </c>
      <c r="Z81" s="151">
        <v>14720</v>
      </c>
      <c r="AA81" s="151">
        <v>14428</v>
      </c>
    </row>
    <row r="82" spans="1:27" x14ac:dyDescent="0.25">
      <c r="B82" s="6" t="s">
        <v>252</v>
      </c>
      <c r="C82" s="7">
        <v>4063281</v>
      </c>
      <c r="D82" s="151">
        <v>12953</v>
      </c>
      <c r="E82" s="151">
        <v>12873</v>
      </c>
      <c r="F82" s="151">
        <v>12814</v>
      </c>
      <c r="G82" s="151">
        <v>12769</v>
      </c>
      <c r="H82" s="151">
        <v>12717</v>
      </c>
      <c r="I82" s="151">
        <v>12652</v>
      </c>
      <c r="J82" s="151">
        <v>12570</v>
      </c>
      <c r="K82" s="151">
        <v>12485</v>
      </c>
      <c r="L82" s="151">
        <v>12432</v>
      </c>
      <c r="M82" s="151">
        <v>12381</v>
      </c>
      <c r="N82" s="151">
        <v>12326</v>
      </c>
      <c r="O82" s="151">
        <v>12326</v>
      </c>
      <c r="P82" s="151">
        <v>12263</v>
      </c>
      <c r="Q82" s="151">
        <v>12160</v>
      </c>
      <c r="R82" s="151">
        <v>12108</v>
      </c>
      <c r="S82" s="151">
        <v>12038</v>
      </c>
      <c r="T82" s="151">
        <v>11979</v>
      </c>
      <c r="U82" s="151">
        <v>11884</v>
      </c>
      <c r="V82" s="151">
        <v>11874</v>
      </c>
      <c r="W82" s="151">
        <v>11775</v>
      </c>
      <c r="X82" s="151">
        <v>11650</v>
      </c>
      <c r="Y82" s="151">
        <v>11478</v>
      </c>
      <c r="Z82" s="151">
        <v>11379</v>
      </c>
      <c r="AA82" s="151">
        <v>11232</v>
      </c>
    </row>
    <row r="83" spans="1:27" x14ac:dyDescent="0.25">
      <c r="B83" s="6" t="s">
        <v>253</v>
      </c>
      <c r="C83" s="7">
        <v>4059746</v>
      </c>
      <c r="D83" s="151">
        <v>1219333</v>
      </c>
      <c r="E83" s="151">
        <v>1210083</v>
      </c>
      <c r="F83" s="151">
        <v>1208812</v>
      </c>
      <c r="G83" s="151">
        <v>1205480</v>
      </c>
      <c r="H83" s="151">
        <v>1202978</v>
      </c>
      <c r="I83" s="151">
        <v>1200199</v>
      </c>
      <c r="J83" s="151">
        <v>1193036</v>
      </c>
      <c r="K83" s="151">
        <v>1191380</v>
      </c>
      <c r="L83" s="151">
        <v>1190682</v>
      </c>
      <c r="M83" s="151">
        <v>1190208</v>
      </c>
      <c r="N83" s="151">
        <v>1181939</v>
      </c>
      <c r="O83" s="151">
        <v>1186556</v>
      </c>
      <c r="P83" s="151">
        <v>1193758</v>
      </c>
      <c r="Q83" s="151">
        <v>1201285</v>
      </c>
      <c r="R83" s="151">
        <v>1209821</v>
      </c>
      <c r="S83" s="151">
        <v>1215988</v>
      </c>
      <c r="T83" s="151">
        <v>1218695</v>
      </c>
      <c r="U83" s="151">
        <v>1217546</v>
      </c>
      <c r="V83" s="151">
        <v>1215966</v>
      </c>
      <c r="W83" s="151">
        <v>1213805</v>
      </c>
      <c r="X83" s="151">
        <v>1221538</v>
      </c>
      <c r="Y83" s="151">
        <v>1234870</v>
      </c>
      <c r="Z83" s="151">
        <v>1201730</v>
      </c>
      <c r="AA83" s="151">
        <v>1171867</v>
      </c>
    </row>
    <row r="84" spans="1:27" x14ac:dyDescent="0.25">
      <c r="A84" s="1" t="s">
        <v>268</v>
      </c>
      <c r="B84" s="6" t="s">
        <v>296</v>
      </c>
      <c r="C84" s="7">
        <v>4062279</v>
      </c>
      <c r="D84" s="151" t="s">
        <v>267</v>
      </c>
      <c r="E84" s="151" t="s">
        <v>267</v>
      </c>
      <c r="F84" s="151" t="s">
        <v>267</v>
      </c>
      <c r="G84" s="151" t="s">
        <v>267</v>
      </c>
      <c r="H84" s="151">
        <v>169263</v>
      </c>
      <c r="I84" s="151">
        <v>168032</v>
      </c>
      <c r="J84" s="151">
        <v>166713</v>
      </c>
      <c r="K84" s="151">
        <v>165383</v>
      </c>
      <c r="L84" s="151">
        <v>163789</v>
      </c>
      <c r="M84" s="151">
        <v>161432</v>
      </c>
      <c r="N84" s="151">
        <v>159858</v>
      </c>
      <c r="O84" s="151">
        <v>159006</v>
      </c>
      <c r="P84" s="151">
        <v>159353</v>
      </c>
      <c r="Q84" s="151">
        <v>159736</v>
      </c>
      <c r="R84" s="151">
        <v>159586</v>
      </c>
      <c r="S84" s="151">
        <v>160704</v>
      </c>
      <c r="T84" s="151">
        <v>159969</v>
      </c>
      <c r="U84" s="151">
        <v>159242</v>
      </c>
      <c r="V84" s="151">
        <v>158366</v>
      </c>
      <c r="W84" s="151">
        <v>157465</v>
      </c>
      <c r="X84" s="151">
        <v>156271</v>
      </c>
      <c r="Y84" s="151">
        <v>155994</v>
      </c>
      <c r="Z84" s="151">
        <v>154125</v>
      </c>
      <c r="AA84" s="151">
        <v>147871</v>
      </c>
    </row>
    <row r="85" spans="1:27" x14ac:dyDescent="0.25">
      <c r="A85" s="1" t="s">
        <v>268</v>
      </c>
      <c r="B85" s="6" t="s">
        <v>297</v>
      </c>
      <c r="C85" s="7">
        <v>4063729</v>
      </c>
      <c r="D85" s="151" t="s">
        <v>267</v>
      </c>
      <c r="E85" s="151" t="s">
        <v>267</v>
      </c>
      <c r="F85" s="151">
        <v>53205</v>
      </c>
      <c r="G85" s="151">
        <v>52356</v>
      </c>
      <c r="H85" s="151">
        <v>51027</v>
      </c>
      <c r="I85" s="151">
        <v>50021</v>
      </c>
      <c r="J85" s="151">
        <v>48978</v>
      </c>
      <c r="K85" s="151">
        <v>47847</v>
      </c>
      <c r="L85" s="151">
        <v>46607</v>
      </c>
      <c r="M85" s="151">
        <v>45491</v>
      </c>
      <c r="N85" s="151">
        <v>44132</v>
      </c>
      <c r="O85" s="151">
        <v>43223</v>
      </c>
      <c r="P85" s="151">
        <v>42364</v>
      </c>
      <c r="Q85" s="151">
        <v>40945</v>
      </c>
      <c r="R85" s="151">
        <v>39900</v>
      </c>
      <c r="S85" s="151">
        <v>38978</v>
      </c>
      <c r="T85" s="151">
        <v>37838</v>
      </c>
      <c r="U85" s="151">
        <v>36699</v>
      </c>
      <c r="V85" s="151">
        <v>35500</v>
      </c>
      <c r="W85" s="151">
        <v>34662</v>
      </c>
      <c r="X85" s="151">
        <v>33916</v>
      </c>
      <c r="Y85" s="151">
        <v>32887</v>
      </c>
      <c r="Z85" s="151">
        <v>32188</v>
      </c>
      <c r="AA85" s="151">
        <v>30735</v>
      </c>
    </row>
    <row r="86" spans="1:27" x14ac:dyDescent="0.25">
      <c r="B86" s="6" t="s">
        <v>254</v>
      </c>
      <c r="C86" s="7">
        <v>4063762</v>
      </c>
      <c r="D86" s="151">
        <v>312000</v>
      </c>
      <c r="E86" s="151" t="s">
        <v>267</v>
      </c>
      <c r="F86" s="151">
        <v>300623</v>
      </c>
      <c r="G86" s="151">
        <v>298000</v>
      </c>
      <c r="H86" s="151">
        <v>296062</v>
      </c>
      <c r="I86" s="151">
        <v>293213</v>
      </c>
      <c r="J86" s="151">
        <v>289764</v>
      </c>
      <c r="K86" s="151">
        <v>286484</v>
      </c>
      <c r="L86" s="151">
        <v>283920</v>
      </c>
      <c r="M86" s="151">
        <v>281005</v>
      </c>
      <c r="N86" s="151">
        <v>278175</v>
      </c>
      <c r="O86" s="151">
        <v>275184</v>
      </c>
      <c r="P86" s="151">
        <v>272740</v>
      </c>
      <c r="Q86" s="151">
        <v>271407</v>
      </c>
      <c r="R86" s="151">
        <v>269299</v>
      </c>
      <c r="S86" s="151">
        <v>269746</v>
      </c>
      <c r="T86" s="151">
        <v>266962</v>
      </c>
      <c r="U86" s="151">
        <v>256113</v>
      </c>
      <c r="V86" s="151">
        <v>250971</v>
      </c>
      <c r="W86" s="151">
        <v>245488</v>
      </c>
      <c r="X86" s="151">
        <v>236605</v>
      </c>
      <c r="Y86" s="151">
        <v>232710</v>
      </c>
      <c r="Z86" s="151">
        <v>224968</v>
      </c>
      <c r="AA86" s="151">
        <v>216124</v>
      </c>
    </row>
    <row r="87" spans="1:27" x14ac:dyDescent="0.25">
      <c r="B87" s="6" t="s">
        <v>256</v>
      </c>
      <c r="C87" s="7">
        <v>4058284</v>
      </c>
      <c r="D87" s="151">
        <f>E87</f>
        <v>1200837</v>
      </c>
      <c r="E87" s="151">
        <v>1200837</v>
      </c>
      <c r="F87" s="151">
        <v>1188758</v>
      </c>
      <c r="G87" s="151">
        <v>1177330</v>
      </c>
      <c r="H87" s="151">
        <v>1160175</v>
      </c>
      <c r="I87" s="151">
        <v>1144504</v>
      </c>
      <c r="J87" s="151">
        <v>1133084</v>
      </c>
      <c r="K87" s="151">
        <v>1124146</v>
      </c>
      <c r="L87" s="151">
        <v>1110704</v>
      </c>
      <c r="M87" s="151">
        <v>1095115</v>
      </c>
      <c r="N87" s="151">
        <v>1091542</v>
      </c>
      <c r="O87" s="151">
        <v>1079808</v>
      </c>
      <c r="P87" s="151">
        <v>1074187</v>
      </c>
      <c r="Q87" s="151">
        <v>1055630</v>
      </c>
      <c r="R87" s="151">
        <v>1047937</v>
      </c>
      <c r="S87" s="151">
        <v>1031040</v>
      </c>
      <c r="T87" s="151">
        <v>1004553</v>
      </c>
      <c r="U87" s="151">
        <v>980868</v>
      </c>
      <c r="V87" s="151">
        <v>935761</v>
      </c>
      <c r="W87" s="151">
        <v>941456</v>
      </c>
      <c r="X87" s="151">
        <v>907465</v>
      </c>
      <c r="Y87" s="151">
        <v>868474</v>
      </c>
      <c r="Z87" s="151">
        <v>880014</v>
      </c>
      <c r="AA87" s="151">
        <v>822623</v>
      </c>
    </row>
    <row r="88" spans="1:27" x14ac:dyDescent="0.25">
      <c r="B88" s="6" t="s">
        <v>258</v>
      </c>
      <c r="C88" s="7">
        <v>4008752</v>
      </c>
      <c r="D88" s="151">
        <v>643970</v>
      </c>
      <c r="E88" s="151">
        <v>644138</v>
      </c>
      <c r="F88" s="151">
        <v>638758</v>
      </c>
      <c r="G88" s="151">
        <v>632794</v>
      </c>
      <c r="H88" s="151">
        <v>626570</v>
      </c>
      <c r="I88" s="151">
        <v>620382</v>
      </c>
      <c r="J88" s="151">
        <v>614491</v>
      </c>
      <c r="K88" s="151">
        <v>608912</v>
      </c>
      <c r="L88" s="151">
        <v>605122</v>
      </c>
      <c r="M88" s="151">
        <v>601970</v>
      </c>
      <c r="N88" s="151">
        <v>599478</v>
      </c>
      <c r="O88" s="151">
        <v>597326</v>
      </c>
      <c r="P88" s="151">
        <v>594702</v>
      </c>
      <c r="Q88" s="151">
        <v>591898</v>
      </c>
      <c r="R88" s="151">
        <v>588266</v>
      </c>
      <c r="S88" s="151">
        <v>584211</v>
      </c>
      <c r="T88" s="151">
        <v>578172</v>
      </c>
      <c r="U88" s="151">
        <v>570927</v>
      </c>
      <c r="V88" s="151">
        <v>562817</v>
      </c>
      <c r="W88" s="151">
        <v>556768</v>
      </c>
      <c r="X88" s="151">
        <v>548586</v>
      </c>
      <c r="Y88" s="151">
        <v>540679</v>
      </c>
      <c r="Z88" s="151">
        <v>529984</v>
      </c>
      <c r="AA88" s="151">
        <v>521020</v>
      </c>
    </row>
    <row r="89" spans="1:27" x14ac:dyDescent="0.25">
      <c r="B89" s="6" t="s">
        <v>259</v>
      </c>
      <c r="C89" s="7">
        <v>4008669</v>
      </c>
      <c r="D89" s="151">
        <v>196242</v>
      </c>
      <c r="E89" s="151">
        <v>194159</v>
      </c>
      <c r="F89" s="151">
        <v>191712</v>
      </c>
      <c r="G89" s="151">
        <v>189749</v>
      </c>
      <c r="H89" s="151">
        <v>188117</v>
      </c>
      <c r="I89" s="151">
        <v>186405</v>
      </c>
      <c r="J89" s="151">
        <v>185485</v>
      </c>
      <c r="K89" s="151">
        <v>183818</v>
      </c>
      <c r="L89" s="151">
        <v>182107</v>
      </c>
      <c r="M89" s="151">
        <v>180405</v>
      </c>
      <c r="N89" s="151">
        <v>179256</v>
      </c>
      <c r="O89" s="151">
        <v>178309</v>
      </c>
      <c r="P89" s="151">
        <v>177389</v>
      </c>
      <c r="Q89" s="151">
        <v>176647</v>
      </c>
      <c r="R89" s="151">
        <v>174852</v>
      </c>
      <c r="S89" s="151">
        <v>172684</v>
      </c>
      <c r="T89" s="151">
        <v>172312</v>
      </c>
      <c r="U89" s="151">
        <v>169216</v>
      </c>
      <c r="V89" s="151">
        <v>166961</v>
      </c>
      <c r="W89" s="151">
        <v>165567</v>
      </c>
      <c r="X89" s="151">
        <v>159515</v>
      </c>
      <c r="Y89" s="151">
        <v>157077</v>
      </c>
      <c r="Z89" s="151">
        <v>153970</v>
      </c>
      <c r="AA89" s="151">
        <v>150657</v>
      </c>
    </row>
    <row r="90" spans="1:27" x14ac:dyDescent="0.25">
      <c r="B90" s="6" t="s">
        <v>298</v>
      </c>
      <c r="C90" s="7">
        <v>4076892</v>
      </c>
      <c r="D90" s="151">
        <v>6955</v>
      </c>
      <c r="E90" s="151">
        <v>6919</v>
      </c>
      <c r="F90" s="151">
        <v>6884</v>
      </c>
      <c r="G90" s="151">
        <v>6888</v>
      </c>
      <c r="H90" s="151">
        <v>6886</v>
      </c>
      <c r="I90" s="151">
        <v>6855</v>
      </c>
      <c r="J90" s="151">
        <v>6873</v>
      </c>
      <c r="K90" s="151">
        <v>6916</v>
      </c>
      <c r="L90" s="151">
        <v>6905</v>
      </c>
      <c r="M90" s="151">
        <v>6876</v>
      </c>
      <c r="N90" s="151">
        <v>6882</v>
      </c>
      <c r="O90" s="151">
        <v>6852</v>
      </c>
      <c r="P90" s="151">
        <v>6858</v>
      </c>
      <c r="Q90" s="151">
        <v>6814</v>
      </c>
      <c r="R90" s="151">
        <v>6735</v>
      </c>
      <c r="S90" s="151">
        <v>6711</v>
      </c>
      <c r="T90" s="151">
        <v>6741</v>
      </c>
      <c r="U90" s="151">
        <v>6702</v>
      </c>
      <c r="V90" s="151">
        <v>6720</v>
      </c>
      <c r="W90" s="151">
        <v>6765</v>
      </c>
      <c r="X90" s="151">
        <v>6201</v>
      </c>
      <c r="Y90" s="151">
        <v>6746</v>
      </c>
      <c r="Z90" s="151">
        <v>6771</v>
      </c>
      <c r="AA90" s="151">
        <v>6651</v>
      </c>
    </row>
    <row r="91" spans="1:27" x14ac:dyDescent="0.25">
      <c r="A91" s="1" t="s">
        <v>268</v>
      </c>
      <c r="B91" s="6" t="s">
        <v>261</v>
      </c>
      <c r="C91" s="7">
        <v>4064141</v>
      </c>
      <c r="D91" s="151">
        <v>247588</v>
      </c>
      <c r="E91" s="151" t="s">
        <v>267</v>
      </c>
      <c r="F91" s="151">
        <v>241063</v>
      </c>
      <c r="G91" s="151">
        <v>233810</v>
      </c>
      <c r="H91" s="151">
        <v>230056</v>
      </c>
      <c r="I91" s="151">
        <v>226436</v>
      </c>
      <c r="J91" s="151">
        <v>222894</v>
      </c>
      <c r="K91" s="151">
        <v>219369</v>
      </c>
      <c r="L91" s="151">
        <v>214694</v>
      </c>
      <c r="M91" s="151">
        <v>211542</v>
      </c>
      <c r="N91" s="151">
        <v>207753</v>
      </c>
      <c r="O91" s="151">
        <v>205886</v>
      </c>
      <c r="P91" s="151">
        <v>206438</v>
      </c>
      <c r="Q91" s="151">
        <v>204835</v>
      </c>
      <c r="R91" s="151">
        <v>202743</v>
      </c>
      <c r="S91" s="151">
        <v>199377</v>
      </c>
      <c r="T91" s="151">
        <v>196870</v>
      </c>
      <c r="U91" s="151">
        <v>194212</v>
      </c>
      <c r="V91" s="151">
        <v>192816</v>
      </c>
      <c r="W91" s="151">
        <v>190984</v>
      </c>
      <c r="X91" s="151">
        <v>191112</v>
      </c>
      <c r="Y91" s="151">
        <v>185373</v>
      </c>
      <c r="Z91" s="151">
        <v>184711</v>
      </c>
      <c r="AA91" s="151">
        <v>183696</v>
      </c>
    </row>
    <row r="92" spans="1:27" x14ac:dyDescent="0.25">
      <c r="B92" s="6"/>
      <c r="C92" s="7"/>
      <c r="D92" s="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1:27" x14ac:dyDescent="0.25">
      <c r="B93" s="6"/>
      <c r="C93" s="7"/>
      <c r="D93" s="7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1:27" x14ac:dyDescent="0.25">
      <c r="B94" s="6"/>
      <c r="C94" s="7"/>
      <c r="D94" s="7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1:27" x14ac:dyDescent="0.25">
      <c r="B95" s="6"/>
      <c r="C95" s="7"/>
      <c r="D95" s="7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1:27" x14ac:dyDescent="0.25">
      <c r="B96" s="6"/>
      <c r="C96" s="7"/>
      <c r="D96" s="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6"/>
      <c r="T96" s="16"/>
      <c r="U96" s="16"/>
      <c r="V96" s="16"/>
      <c r="W96" s="16"/>
      <c r="X96" s="16"/>
      <c r="Y96" s="16"/>
      <c r="Z96" s="16"/>
      <c r="AA96" s="16"/>
    </row>
    <row r="97" spans="2:27" x14ac:dyDescent="0.25">
      <c r="B97" s="6"/>
      <c r="C97" s="7"/>
      <c r="D97" s="7"/>
      <c r="E97" s="17"/>
      <c r="F97" s="17"/>
      <c r="G97" s="17"/>
      <c r="H97" s="17"/>
      <c r="I97" s="17"/>
      <c r="J97" s="17"/>
      <c r="K97" s="17"/>
      <c r="L97" s="17"/>
      <c r="M97" s="17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2:27" x14ac:dyDescent="0.25">
      <c r="B98" s="7"/>
      <c r="C98" s="18"/>
      <c r="D98" s="18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2:27" x14ac:dyDescent="0.25">
      <c r="B99" s="6"/>
      <c r="C99" s="7"/>
      <c r="D99" s="7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2:27" x14ac:dyDescent="0.25">
      <c r="B100" s="6"/>
      <c r="C100" s="7"/>
      <c r="D100" s="7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2:27" x14ac:dyDescent="0.25">
      <c r="B101" s="6"/>
      <c r="C101" s="7"/>
      <c r="D101" s="7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2:27" x14ac:dyDescent="0.25">
      <c r="B102" s="6"/>
      <c r="C102" s="7"/>
      <c r="D102" s="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2:27" x14ac:dyDescent="0.25">
      <c r="B103" s="6"/>
      <c r="C103" s="7"/>
      <c r="D103" s="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2:27" x14ac:dyDescent="0.25">
      <c r="B104" s="6"/>
      <c r="C104" s="7"/>
      <c r="D104" s="7"/>
      <c r="E104" s="17"/>
      <c r="F104" s="17"/>
      <c r="G104" s="17"/>
      <c r="H104" s="17"/>
      <c r="I104" s="17"/>
      <c r="J104" s="17"/>
      <c r="K104" s="17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2:27" x14ac:dyDescent="0.25">
      <c r="B105" s="6"/>
      <c r="C105" s="7"/>
      <c r="D105" s="7"/>
      <c r="E105" s="16"/>
      <c r="F105" s="16"/>
      <c r="G105" s="1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2:27" x14ac:dyDescent="0.25">
      <c r="B106" s="6"/>
      <c r="C106" s="7"/>
      <c r="D106" s="7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2:27" x14ac:dyDescent="0.25">
      <c r="B107" s="6"/>
      <c r="C107" s="7"/>
      <c r="D107" s="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2:27" x14ac:dyDescent="0.25">
      <c r="B108" s="6"/>
      <c r="C108" s="7"/>
      <c r="D108" s="7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27" x14ac:dyDescent="0.25">
      <c r="B109" s="6"/>
      <c r="C109" s="7"/>
      <c r="D109" s="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27" x14ac:dyDescent="0.25">
      <c r="B110" s="6"/>
      <c r="C110" s="7"/>
      <c r="D110" s="7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2:27" x14ac:dyDescent="0.25">
      <c r="B111" s="6"/>
      <c r="C111" s="7"/>
      <c r="D111" s="7"/>
      <c r="E111" s="16"/>
      <c r="F111" s="16"/>
      <c r="G111" s="16"/>
      <c r="H111" s="16"/>
      <c r="I111" s="16"/>
      <c r="J111" s="17"/>
      <c r="K111" s="17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2:27" x14ac:dyDescent="0.25">
      <c r="B112" s="6"/>
      <c r="C112" s="7"/>
      <c r="D112" s="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2:27" x14ac:dyDescent="0.25">
      <c r="B113" s="6"/>
      <c r="C113" s="7"/>
      <c r="D113" s="7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2:27" x14ac:dyDescent="0.25">
      <c r="B114" s="6"/>
      <c r="C114" s="7"/>
      <c r="D114" s="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2:27" x14ac:dyDescent="0.25">
      <c r="B115" s="6"/>
      <c r="C115" s="7"/>
      <c r="D115" s="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2:27" x14ac:dyDescent="0.25">
      <c r="B116" s="6"/>
      <c r="C116" s="7"/>
      <c r="D116" s="7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2:27" x14ac:dyDescent="0.25">
      <c r="B117" s="6"/>
      <c r="C117" s="7"/>
      <c r="D117" s="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2:27" x14ac:dyDescent="0.25">
      <c r="B118" s="6"/>
      <c r="C118" s="7"/>
      <c r="D118" s="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2:27" x14ac:dyDescent="0.25">
      <c r="B119" s="6"/>
      <c r="C119" s="7"/>
      <c r="D119" s="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2:27" x14ac:dyDescent="0.25">
      <c r="B120" s="6"/>
      <c r="C120" s="7"/>
      <c r="D120" s="7"/>
      <c r="E120" s="16"/>
      <c r="F120" s="16"/>
      <c r="G120" s="16"/>
      <c r="H120" s="16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2:27" x14ac:dyDescent="0.25">
      <c r="B121" s="6"/>
      <c r="C121" s="7"/>
      <c r="D121" s="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2:27" x14ac:dyDescent="0.25">
      <c r="B122" s="6"/>
      <c r="C122" s="7"/>
      <c r="D122" s="7"/>
      <c r="E122" s="16"/>
      <c r="F122" s="16"/>
      <c r="G122" s="16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2:27" x14ac:dyDescent="0.25">
      <c r="B123" s="6"/>
      <c r="C123" s="7"/>
      <c r="D123" s="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2:27" x14ac:dyDescent="0.25">
      <c r="B124" s="6"/>
      <c r="C124" s="7"/>
      <c r="D124" s="7"/>
      <c r="E124" s="17"/>
      <c r="F124" s="17"/>
      <c r="G124" s="17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2:27" x14ac:dyDescent="0.25">
      <c r="B125" s="6"/>
      <c r="C125" s="7"/>
      <c r="D125" s="7"/>
      <c r="E125" s="16"/>
      <c r="F125" s="16"/>
      <c r="G125" s="16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2:27" x14ac:dyDescent="0.25">
      <c r="B126" s="6"/>
      <c r="C126" s="7"/>
      <c r="D126" s="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2:27" x14ac:dyDescent="0.25">
      <c r="B127" s="6"/>
      <c r="C127" s="7"/>
      <c r="D127" s="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2:27" x14ac:dyDescent="0.25">
      <c r="B128" s="6"/>
      <c r="C128" s="7"/>
      <c r="D128" s="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2:27" x14ac:dyDescent="0.25">
      <c r="B129" s="6"/>
      <c r="C129" s="7"/>
      <c r="D129" s="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2:27" x14ac:dyDescent="0.25">
      <c r="B130" s="6"/>
      <c r="C130" s="7"/>
      <c r="D130" s="7"/>
      <c r="E130" s="16"/>
      <c r="F130" s="16"/>
      <c r="G130" s="16"/>
      <c r="H130" s="17"/>
      <c r="I130" s="17"/>
      <c r="J130" s="17"/>
      <c r="K130" s="17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2:27" x14ac:dyDescent="0.25">
      <c r="B131" s="6"/>
      <c r="C131" s="7"/>
      <c r="D131" s="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2:27" x14ac:dyDescent="0.25">
      <c r="B132" s="6"/>
      <c r="C132" s="7"/>
      <c r="D132" s="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2:27" x14ac:dyDescent="0.25">
      <c r="B133" s="6"/>
      <c r="C133" s="7"/>
      <c r="D133" s="7"/>
      <c r="E133" s="16"/>
      <c r="F133" s="16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2:27" x14ac:dyDescent="0.25">
      <c r="B134" s="6"/>
      <c r="C134" s="7"/>
      <c r="D134" s="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2:27" x14ac:dyDescent="0.25">
      <c r="B135" s="6"/>
      <c r="C135" s="7"/>
      <c r="D135" s="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2:27" x14ac:dyDescent="0.25">
      <c r="B136" s="6"/>
      <c r="C136" s="7"/>
      <c r="D136" s="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2:27" x14ac:dyDescent="0.25">
      <c r="B137" s="6"/>
      <c r="C137" s="7"/>
      <c r="D137" s="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2:27" x14ac:dyDescent="0.25">
      <c r="B138" s="6"/>
      <c r="C138" s="7"/>
      <c r="D138" s="7"/>
      <c r="E138" s="17"/>
      <c r="F138" s="17"/>
      <c r="G138" s="16"/>
      <c r="H138" s="16"/>
      <c r="I138" s="16"/>
      <c r="J138" s="16"/>
      <c r="K138" s="16"/>
      <c r="L138" s="16"/>
      <c r="M138" s="17"/>
      <c r="N138" s="17"/>
      <c r="O138" s="17"/>
      <c r="P138" s="17"/>
      <c r="Q138" s="17"/>
      <c r="R138" s="17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2:27" x14ac:dyDescent="0.25">
      <c r="B139" s="6"/>
      <c r="C139" s="7"/>
      <c r="D139" s="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2:27" x14ac:dyDescent="0.25">
      <c r="B140" s="6"/>
      <c r="C140" s="7"/>
      <c r="D140" s="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2:27" x14ac:dyDescent="0.25">
      <c r="B141" s="6"/>
      <c r="C141" s="7"/>
      <c r="D141" s="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2:27" x14ac:dyDescent="0.25">
      <c r="B142" s="6"/>
      <c r="C142" s="7"/>
      <c r="D142" s="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2:27" x14ac:dyDescent="0.25">
      <c r="B143" s="6"/>
      <c r="C143" s="7"/>
      <c r="D143" s="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27" x14ac:dyDescent="0.25">
      <c r="B144" s="6"/>
      <c r="C144" s="7"/>
      <c r="D144" s="7"/>
      <c r="E144" s="17"/>
      <c r="F144" s="17"/>
      <c r="G144" s="17"/>
      <c r="H144" s="17"/>
      <c r="I144" s="16"/>
      <c r="J144" s="17"/>
      <c r="K144" s="17"/>
      <c r="L144" s="17"/>
      <c r="M144" s="17"/>
      <c r="N144" s="17"/>
      <c r="O144" s="17"/>
      <c r="P144" s="17"/>
      <c r="Q144" s="17"/>
      <c r="R144" s="17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27" x14ac:dyDescent="0.25">
      <c r="B145" s="6"/>
      <c r="C145" s="7"/>
      <c r="D145" s="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27" x14ac:dyDescent="0.25">
      <c r="B146" s="6"/>
      <c r="C146" s="7"/>
      <c r="D146" s="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27" x14ac:dyDescent="0.25">
      <c r="B147" s="6"/>
      <c r="C147" s="7"/>
      <c r="D147" s="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2:27" x14ac:dyDescent="0.25">
      <c r="B148" s="6"/>
      <c r="C148" s="7"/>
      <c r="D148" s="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2:27" x14ac:dyDescent="0.25">
      <c r="B149" s="6"/>
      <c r="C149" s="7"/>
      <c r="D149" s="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2:27" x14ac:dyDescent="0.25">
      <c r="B150" s="6"/>
      <c r="C150" s="7"/>
      <c r="D150" s="7"/>
      <c r="E150" s="16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2:27" x14ac:dyDescent="0.25">
      <c r="B151" s="6"/>
      <c r="C151" s="7"/>
      <c r="D151" s="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2:27" x14ac:dyDescent="0.25">
      <c r="B152" s="6"/>
      <c r="C152" s="7"/>
      <c r="D152" s="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2:27" x14ac:dyDescent="0.25">
      <c r="B153" s="6"/>
      <c r="C153" s="7"/>
      <c r="D153" s="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2:27" x14ac:dyDescent="0.25">
      <c r="B154" s="6"/>
      <c r="C154" s="7"/>
      <c r="D154" s="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2:27" x14ac:dyDescent="0.25">
      <c r="B155" s="6"/>
      <c r="C155" s="7"/>
      <c r="D155" s="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2:27" x14ac:dyDescent="0.25">
      <c r="B156" s="6"/>
      <c r="C156" s="7"/>
      <c r="D156" s="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2:27" x14ac:dyDescent="0.25">
      <c r="B157" s="6"/>
      <c r="C157" s="7"/>
      <c r="D157" s="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2:27" x14ac:dyDescent="0.25">
      <c r="B158" s="6"/>
      <c r="C158" s="7"/>
      <c r="D158" s="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2:27" x14ac:dyDescent="0.25">
      <c r="B159" s="6"/>
      <c r="C159" s="7"/>
      <c r="D159" s="7"/>
      <c r="E159" s="17"/>
      <c r="F159" s="17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2:27" x14ac:dyDescent="0.25">
      <c r="B160" s="6"/>
      <c r="C160" s="7"/>
      <c r="D160" s="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2:27" x14ac:dyDescent="0.25">
      <c r="B161" s="6"/>
      <c r="C161" s="7"/>
      <c r="D161" s="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2:27" x14ac:dyDescent="0.25">
      <c r="B162" s="6"/>
      <c r="C162" s="7"/>
      <c r="D162" s="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2:27" x14ac:dyDescent="0.25">
      <c r="B163" s="6"/>
      <c r="C163" s="7"/>
      <c r="D163" s="7"/>
      <c r="E163" s="16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2:27" x14ac:dyDescent="0.25">
      <c r="B164" s="6"/>
      <c r="C164" s="7"/>
      <c r="D164" s="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2:27" x14ac:dyDescent="0.25">
      <c r="B165" s="6"/>
      <c r="C165" s="7"/>
      <c r="D165" s="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2:27" x14ac:dyDescent="0.25">
      <c r="B166" s="6"/>
      <c r="C166" s="7"/>
      <c r="D166" s="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2:27" x14ac:dyDescent="0.25">
      <c r="B167" s="6"/>
      <c r="C167" s="7"/>
      <c r="D167" s="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2:27" x14ac:dyDescent="0.25">
      <c r="B168" s="6"/>
      <c r="C168" s="7"/>
      <c r="D168" s="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2:27" x14ac:dyDescent="0.25">
      <c r="B169" s="6"/>
      <c r="C169" s="7"/>
      <c r="D169" s="7"/>
      <c r="E169" s="16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2:27" x14ac:dyDescent="0.25">
      <c r="B170" s="6"/>
      <c r="C170" s="7"/>
      <c r="D170" s="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2:27" x14ac:dyDescent="0.25">
      <c r="B171" s="6"/>
      <c r="C171" s="7"/>
      <c r="D171" s="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2:27" x14ac:dyDescent="0.25">
      <c r="B172" s="6"/>
      <c r="C172" s="7"/>
      <c r="D172" s="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2:27" x14ac:dyDescent="0.25">
      <c r="B173" s="6"/>
      <c r="C173" s="7"/>
      <c r="D173" s="7"/>
      <c r="E173" s="17"/>
      <c r="F173" s="17"/>
      <c r="G173" s="17"/>
      <c r="H173" s="17"/>
      <c r="I173" s="17"/>
      <c r="J173" s="16"/>
      <c r="K173" s="16"/>
      <c r="L173" s="16"/>
      <c r="M173" s="16"/>
      <c r="N173" s="16"/>
      <c r="O173" s="16"/>
      <c r="P173" s="17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2:27" x14ac:dyDescent="0.25">
      <c r="B174" s="6"/>
      <c r="C174" s="7"/>
      <c r="D174" s="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2:27" x14ac:dyDescent="0.25">
      <c r="B175" s="6"/>
      <c r="C175" s="7"/>
      <c r="D175" s="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2:27" x14ac:dyDescent="0.25">
      <c r="B176" s="6"/>
      <c r="C176" s="7"/>
      <c r="D176" s="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2:27" x14ac:dyDescent="0.25">
      <c r="B177" s="6"/>
      <c r="C177" s="7"/>
      <c r="D177" s="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2:27" x14ac:dyDescent="0.25">
      <c r="B178" s="6"/>
      <c r="C178" s="7"/>
      <c r="D178" s="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27" x14ac:dyDescent="0.25">
      <c r="B179" s="6"/>
      <c r="C179" s="7"/>
      <c r="D179" s="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27" x14ac:dyDescent="0.25">
      <c r="B180" s="6"/>
      <c r="C180" s="7"/>
      <c r="D180" s="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2:27" x14ac:dyDescent="0.25">
      <c r="B181" s="6"/>
      <c r="C181" s="7"/>
      <c r="D181" s="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2:27" x14ac:dyDescent="0.25">
      <c r="B182" s="6"/>
      <c r="C182" s="7"/>
      <c r="D182" s="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2:27" x14ac:dyDescent="0.25">
      <c r="B183" s="6"/>
      <c r="C183" s="7"/>
      <c r="D183" s="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2:27" x14ac:dyDescent="0.25">
      <c r="B184" s="6"/>
      <c r="C184" s="7"/>
      <c r="D184" s="7"/>
      <c r="E184" s="16"/>
      <c r="F184" s="16"/>
      <c r="G184" s="16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2:27" x14ac:dyDescent="0.25">
      <c r="B185" s="6"/>
      <c r="C185" s="7"/>
      <c r="D185" s="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2:27" x14ac:dyDescent="0.25">
      <c r="B186" s="6"/>
      <c r="C186" s="7"/>
      <c r="D186" s="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2:27" x14ac:dyDescent="0.25">
      <c r="B187" s="6"/>
      <c r="C187" s="7"/>
      <c r="D187" s="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2:27" x14ac:dyDescent="0.25">
      <c r="B188" s="6"/>
      <c r="C188" s="7"/>
      <c r="D188" s="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2:27" x14ac:dyDescent="0.25">
      <c r="B189" s="6"/>
      <c r="C189" s="7"/>
      <c r="D189" s="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2:27" x14ac:dyDescent="0.25">
      <c r="B190" s="6"/>
      <c r="C190" s="7"/>
      <c r="D190" s="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2:27" x14ac:dyDescent="0.25">
      <c r="B191" s="6"/>
      <c r="C191" s="7"/>
      <c r="D191" s="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2:27" x14ac:dyDescent="0.25">
      <c r="B192" s="6"/>
      <c r="C192" s="7"/>
      <c r="D192" s="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2:27" x14ac:dyDescent="0.25">
      <c r="B193" s="6"/>
      <c r="C193" s="7"/>
      <c r="D193" s="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2:27" x14ac:dyDescent="0.25">
      <c r="B194" s="6"/>
      <c r="C194" s="7"/>
      <c r="D194" s="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2:27" x14ac:dyDescent="0.25">
      <c r="B195" s="6"/>
      <c r="C195" s="7"/>
      <c r="D195" s="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2:27" x14ac:dyDescent="0.25">
      <c r="B196" s="6"/>
      <c r="C196" s="7"/>
      <c r="D196" s="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2:27" x14ac:dyDescent="0.25">
      <c r="B197" s="6"/>
      <c r="C197" s="7"/>
      <c r="D197" s="7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7"/>
      <c r="P197" s="17"/>
      <c r="Q197" s="17"/>
      <c r="R197" s="17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2:27" x14ac:dyDescent="0.25">
      <c r="B198" s="6"/>
      <c r="C198" s="7"/>
      <c r="D198" s="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2:27" x14ac:dyDescent="0.25">
      <c r="B199" s="6"/>
      <c r="C199" s="7"/>
      <c r="D199" s="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2:27" x14ac:dyDescent="0.25">
      <c r="B200" s="6"/>
      <c r="C200" s="7"/>
      <c r="D200" s="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2:27" x14ac:dyDescent="0.25">
      <c r="B201" s="6"/>
      <c r="C201" s="7"/>
      <c r="D201" s="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2:27" x14ac:dyDescent="0.25">
      <c r="B202" s="6"/>
      <c r="C202" s="7"/>
      <c r="D202" s="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2:27" x14ac:dyDescent="0.25">
      <c r="B203" s="6"/>
      <c r="C203" s="7"/>
      <c r="D203" s="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2:27" x14ac:dyDescent="0.25">
      <c r="B204" s="6"/>
      <c r="C204" s="7"/>
      <c r="D204" s="7"/>
      <c r="E204" s="16"/>
      <c r="F204" s="16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6"/>
      <c r="T204" s="16"/>
      <c r="U204" s="16"/>
      <c r="V204" s="16"/>
      <c r="W204" s="16"/>
      <c r="X204" s="16"/>
      <c r="Y204" s="16"/>
      <c r="Z204" s="16"/>
      <c r="AA204" s="16"/>
    </row>
  </sheetData>
  <conditionalFormatting sqref="C98:D98">
    <cfRule type="cellIs" dxfId="5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3:AC91"/>
  <sheetViews>
    <sheetView zoomScale="75" zoomScaleNormal="75" workbookViewId="0">
      <selection activeCell="B1" sqref="B1"/>
    </sheetView>
  </sheetViews>
  <sheetFormatPr defaultColWidth="9.33203125" defaultRowHeight="14.4" x14ac:dyDescent="0.3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9" width="17.5546875" style="126" customWidth="1"/>
    <col min="30" max="16384" width="9.33203125" style="126"/>
  </cols>
  <sheetData>
    <row r="3" spans="1:29" ht="43.2" x14ac:dyDescent="0.3">
      <c r="D3" s="152" t="s">
        <v>303</v>
      </c>
      <c r="E3" s="152" t="s">
        <v>303</v>
      </c>
      <c r="F3" s="152" t="s">
        <v>303</v>
      </c>
      <c r="G3" s="152" t="s">
        <v>303</v>
      </c>
      <c r="H3" s="152" t="s">
        <v>303</v>
      </c>
      <c r="I3" s="152" t="s">
        <v>303</v>
      </c>
      <c r="J3" s="152" t="s">
        <v>303</v>
      </c>
      <c r="K3" s="152" t="s">
        <v>303</v>
      </c>
      <c r="L3" s="152" t="s">
        <v>303</v>
      </c>
      <c r="M3" s="152" t="s">
        <v>303</v>
      </c>
      <c r="N3" s="152" t="s">
        <v>303</v>
      </c>
      <c r="O3" s="152" t="s">
        <v>303</v>
      </c>
      <c r="P3" s="152" t="s">
        <v>303</v>
      </c>
      <c r="Q3" s="152" t="s">
        <v>303</v>
      </c>
      <c r="R3" s="152" t="s">
        <v>303</v>
      </c>
      <c r="S3" s="152" t="s">
        <v>303</v>
      </c>
      <c r="T3" s="152" t="s">
        <v>303</v>
      </c>
      <c r="U3" s="152" t="s">
        <v>303</v>
      </c>
      <c r="V3" s="152" t="s">
        <v>303</v>
      </c>
      <c r="W3" s="152" t="s">
        <v>303</v>
      </c>
      <c r="X3" s="152" t="s">
        <v>303</v>
      </c>
      <c r="Y3" s="152" t="s">
        <v>303</v>
      </c>
      <c r="Z3" s="152" t="s">
        <v>303</v>
      </c>
      <c r="AA3" s="152" t="s">
        <v>303</v>
      </c>
      <c r="AB3" s="152" t="s">
        <v>303</v>
      </c>
      <c r="AC3" s="152" t="s">
        <v>303</v>
      </c>
    </row>
    <row r="4" spans="1:29" x14ac:dyDescent="0.3">
      <c r="B4" s="2"/>
      <c r="C4" s="2"/>
      <c r="D4" s="152" t="s">
        <v>304</v>
      </c>
      <c r="E4" s="152" t="s">
        <v>304</v>
      </c>
      <c r="F4" s="152" t="s">
        <v>304</v>
      </c>
      <c r="G4" s="152" t="s">
        <v>304</v>
      </c>
      <c r="H4" s="152" t="s">
        <v>304</v>
      </c>
      <c r="I4" s="152" t="s">
        <v>304</v>
      </c>
      <c r="J4" s="152" t="s">
        <v>304</v>
      </c>
      <c r="K4" s="152" t="s">
        <v>304</v>
      </c>
      <c r="L4" s="152" t="s">
        <v>304</v>
      </c>
      <c r="M4" s="152" t="s">
        <v>304</v>
      </c>
      <c r="N4" s="152" t="s">
        <v>304</v>
      </c>
      <c r="O4" s="152" t="s">
        <v>304</v>
      </c>
      <c r="P4" s="152" t="s">
        <v>304</v>
      </c>
      <c r="Q4" s="152" t="s">
        <v>304</v>
      </c>
      <c r="R4" s="152" t="s">
        <v>304</v>
      </c>
      <c r="S4" s="152" t="s">
        <v>304</v>
      </c>
      <c r="T4" s="152" t="s">
        <v>304</v>
      </c>
      <c r="U4" s="152" t="s">
        <v>304</v>
      </c>
      <c r="V4" s="152" t="s">
        <v>304</v>
      </c>
      <c r="W4" s="152" t="s">
        <v>304</v>
      </c>
      <c r="X4" s="152" t="s">
        <v>304</v>
      </c>
      <c r="Y4" s="152" t="s">
        <v>304</v>
      </c>
      <c r="Z4" s="152" t="s">
        <v>304</v>
      </c>
      <c r="AA4" s="152" t="s">
        <v>304</v>
      </c>
      <c r="AB4" s="152" t="s">
        <v>304</v>
      </c>
      <c r="AC4" s="152" t="s">
        <v>304</v>
      </c>
    </row>
    <row r="5" spans="1:29" x14ac:dyDescent="0.3">
      <c r="A5" s="3" t="s">
        <v>264</v>
      </c>
      <c r="B5" s="4" t="s">
        <v>265</v>
      </c>
      <c r="C5" s="5" t="s">
        <v>64</v>
      </c>
      <c r="D5" s="152" t="s">
        <v>176</v>
      </c>
      <c r="E5" s="152" t="s">
        <v>175</v>
      </c>
      <c r="F5" s="152" t="s">
        <v>174</v>
      </c>
      <c r="G5" s="152" t="s">
        <v>173</v>
      </c>
      <c r="H5" s="152" t="s">
        <v>172</v>
      </c>
      <c r="I5" s="152" t="s">
        <v>171</v>
      </c>
      <c r="J5" s="152" t="s">
        <v>170</v>
      </c>
      <c r="K5" s="152" t="s">
        <v>169</v>
      </c>
      <c r="L5" s="152" t="s">
        <v>168</v>
      </c>
      <c r="M5" s="152" t="s">
        <v>167</v>
      </c>
      <c r="N5" s="152" t="s">
        <v>166</v>
      </c>
      <c r="O5" s="152" t="s">
        <v>165</v>
      </c>
      <c r="P5" s="152" t="s">
        <v>164</v>
      </c>
      <c r="Q5" s="152" t="s">
        <v>163</v>
      </c>
      <c r="R5" s="152" t="s">
        <v>162</v>
      </c>
      <c r="S5" s="152" t="s">
        <v>161</v>
      </c>
      <c r="T5" s="152" t="s">
        <v>160</v>
      </c>
      <c r="U5" s="152" t="s">
        <v>159</v>
      </c>
      <c r="V5" s="152" t="s">
        <v>158</v>
      </c>
      <c r="W5" s="152" t="s">
        <v>157</v>
      </c>
      <c r="X5" s="152" t="s">
        <v>156</v>
      </c>
      <c r="Y5" s="152" t="s">
        <v>155</v>
      </c>
      <c r="Z5" s="152" t="s">
        <v>150</v>
      </c>
      <c r="AA5" s="152" t="s">
        <v>305</v>
      </c>
      <c r="AB5" s="152" t="s">
        <v>306</v>
      </c>
      <c r="AC5" s="152" t="s">
        <v>307</v>
      </c>
    </row>
    <row r="6" spans="1:29" x14ac:dyDescent="0.3">
      <c r="B6" s="2"/>
      <c r="C6" s="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x14ac:dyDescent="0.3">
      <c r="B7" s="6" t="s">
        <v>266</v>
      </c>
      <c r="C7" s="7">
        <v>4058513</v>
      </c>
      <c r="D7" s="153" t="s">
        <v>267</v>
      </c>
      <c r="E7" s="153" t="s">
        <v>267</v>
      </c>
      <c r="F7" s="153" t="s">
        <v>267</v>
      </c>
      <c r="G7" s="153">
        <v>128977</v>
      </c>
      <c r="H7" s="153">
        <v>120906</v>
      </c>
      <c r="I7" s="153">
        <v>116358</v>
      </c>
      <c r="J7" s="153">
        <v>109831</v>
      </c>
      <c r="K7" s="153">
        <v>105536</v>
      </c>
      <c r="L7" s="153">
        <v>102290</v>
      </c>
      <c r="M7" s="153">
        <v>98262</v>
      </c>
      <c r="N7" s="153">
        <v>96652</v>
      </c>
      <c r="O7" s="153">
        <v>92308</v>
      </c>
      <c r="P7" s="153">
        <v>90669</v>
      </c>
      <c r="Q7" s="153">
        <v>88650</v>
      </c>
      <c r="R7" s="153">
        <v>85646</v>
      </c>
      <c r="S7" s="153">
        <v>83314</v>
      </c>
      <c r="T7" s="153">
        <v>80735</v>
      </c>
      <c r="U7" s="153">
        <v>63503</v>
      </c>
      <c r="V7" s="153">
        <v>61454</v>
      </c>
      <c r="W7" s="153" t="s">
        <v>267</v>
      </c>
      <c r="X7" s="153" t="s">
        <v>267</v>
      </c>
      <c r="Y7" s="153" t="s">
        <v>267</v>
      </c>
      <c r="Z7" s="153" t="s">
        <v>267</v>
      </c>
      <c r="AA7" s="153" t="s">
        <v>267</v>
      </c>
      <c r="AB7" s="153" t="s">
        <v>267</v>
      </c>
      <c r="AC7" s="153" t="s">
        <v>267</v>
      </c>
    </row>
    <row r="8" spans="1:29" x14ac:dyDescent="0.3">
      <c r="B8" s="6" t="s">
        <v>148</v>
      </c>
      <c r="C8" s="7">
        <v>4054707</v>
      </c>
      <c r="D8" s="153">
        <v>4298411</v>
      </c>
      <c r="E8" s="153">
        <v>4142785</v>
      </c>
      <c r="F8" s="153">
        <v>3940130</v>
      </c>
      <c r="G8" s="153">
        <v>3765040</v>
      </c>
      <c r="H8" s="153">
        <v>3589050</v>
      </c>
      <c r="I8" s="153">
        <v>3411677</v>
      </c>
      <c r="J8" s="153">
        <v>3210431</v>
      </c>
      <c r="K8" s="153">
        <v>3060459</v>
      </c>
      <c r="L8" s="153">
        <v>2931312</v>
      </c>
      <c r="M8" s="153">
        <v>2865754</v>
      </c>
      <c r="N8" s="153">
        <v>2723387</v>
      </c>
      <c r="O8" s="153">
        <v>2612180</v>
      </c>
      <c r="P8" s="153">
        <v>2449306</v>
      </c>
      <c r="Q8" s="153">
        <v>2360198</v>
      </c>
      <c r="R8" s="153">
        <v>2299507</v>
      </c>
      <c r="S8" s="153">
        <v>2235159</v>
      </c>
      <c r="T8" s="153">
        <v>2127817</v>
      </c>
      <c r="U8" s="153">
        <v>2005820</v>
      </c>
      <c r="V8" s="153">
        <v>1941213</v>
      </c>
      <c r="W8" s="153">
        <v>1828881</v>
      </c>
      <c r="X8" s="153">
        <v>1743696</v>
      </c>
      <c r="Y8" s="153">
        <v>1674869</v>
      </c>
      <c r="Z8" s="153">
        <v>1551165</v>
      </c>
      <c r="AA8" s="153">
        <v>1477934</v>
      </c>
      <c r="AB8" s="153">
        <v>1394178</v>
      </c>
      <c r="AC8" s="153">
        <v>1300293</v>
      </c>
    </row>
    <row r="9" spans="1:29" x14ac:dyDescent="0.3">
      <c r="B9" s="6" t="s">
        <v>179</v>
      </c>
      <c r="C9" s="7">
        <v>4057075</v>
      </c>
      <c r="D9" s="153">
        <v>1284443</v>
      </c>
      <c r="E9" s="153">
        <v>1207392</v>
      </c>
      <c r="F9" s="153">
        <v>1124838</v>
      </c>
      <c r="G9" s="153">
        <v>1032674</v>
      </c>
      <c r="H9" s="153">
        <v>954102</v>
      </c>
      <c r="I9" s="153">
        <v>878792</v>
      </c>
      <c r="J9" s="153">
        <v>810296</v>
      </c>
      <c r="K9" s="153">
        <v>761853</v>
      </c>
      <c r="L9" s="153">
        <v>704623</v>
      </c>
      <c r="M9" s="153">
        <v>683732</v>
      </c>
      <c r="N9" s="153">
        <v>652890</v>
      </c>
      <c r="O9" s="153">
        <v>630546</v>
      </c>
      <c r="P9" s="153">
        <v>599422</v>
      </c>
      <c r="Q9" s="153">
        <v>547114</v>
      </c>
      <c r="R9" s="153">
        <v>502237</v>
      </c>
      <c r="S9" s="153">
        <v>471575</v>
      </c>
      <c r="T9" s="153">
        <v>469415</v>
      </c>
      <c r="U9" s="153">
        <v>449501</v>
      </c>
      <c r="V9" s="153">
        <v>430273</v>
      </c>
      <c r="W9" s="153">
        <v>414422</v>
      </c>
      <c r="X9" s="153">
        <v>396100</v>
      </c>
      <c r="Y9" s="153">
        <v>372208</v>
      </c>
      <c r="Z9" s="153">
        <v>352332</v>
      </c>
      <c r="AA9" s="153">
        <v>310486</v>
      </c>
      <c r="AB9" s="153">
        <v>302853</v>
      </c>
      <c r="AC9" s="153">
        <v>276295</v>
      </c>
    </row>
    <row r="10" spans="1:29" x14ac:dyDescent="0.3">
      <c r="A10" s="1" t="s">
        <v>268</v>
      </c>
      <c r="B10" s="6" t="s">
        <v>181</v>
      </c>
      <c r="C10" s="7">
        <v>4007784</v>
      </c>
      <c r="D10" s="153">
        <v>3183762</v>
      </c>
      <c r="E10" s="153">
        <v>2876921</v>
      </c>
      <c r="F10" s="153">
        <v>2505627</v>
      </c>
      <c r="G10" s="153">
        <v>2265054</v>
      </c>
      <c r="H10" s="153">
        <v>2067727</v>
      </c>
      <c r="I10" s="153">
        <v>1853697</v>
      </c>
      <c r="J10" s="153">
        <v>1665849</v>
      </c>
      <c r="K10" s="153">
        <v>1571725</v>
      </c>
      <c r="L10" s="153">
        <v>1465103</v>
      </c>
      <c r="M10" s="153">
        <v>1307437</v>
      </c>
      <c r="N10" s="153">
        <v>1239535</v>
      </c>
      <c r="O10" s="153">
        <v>1187015</v>
      </c>
      <c r="P10" s="153">
        <v>1152093</v>
      </c>
      <c r="Q10" s="153">
        <v>1112176</v>
      </c>
      <c r="R10" s="153">
        <v>1081790</v>
      </c>
      <c r="S10" s="153">
        <v>1053715</v>
      </c>
      <c r="T10" s="153">
        <v>1025611</v>
      </c>
      <c r="U10" s="153">
        <v>1007402</v>
      </c>
      <c r="V10" s="153">
        <v>985953</v>
      </c>
      <c r="W10" s="153">
        <v>962452</v>
      </c>
      <c r="X10" s="153">
        <v>939292</v>
      </c>
      <c r="Y10" s="153">
        <v>914248</v>
      </c>
      <c r="Z10" s="153">
        <v>868360</v>
      </c>
      <c r="AA10" s="153">
        <v>800567</v>
      </c>
      <c r="AB10" s="153">
        <v>728827</v>
      </c>
      <c r="AC10" s="153">
        <v>646102</v>
      </c>
    </row>
    <row r="11" spans="1:29" x14ac:dyDescent="0.3">
      <c r="A11" s="1" t="s">
        <v>268</v>
      </c>
      <c r="B11" s="6" t="s">
        <v>269</v>
      </c>
      <c r="C11" s="7">
        <v>4058656</v>
      </c>
      <c r="D11" s="153">
        <v>1873509</v>
      </c>
      <c r="E11" s="153">
        <v>1819347</v>
      </c>
      <c r="F11" s="153">
        <v>1494030</v>
      </c>
      <c r="G11" s="153">
        <v>1383288</v>
      </c>
      <c r="H11" s="153">
        <v>1277733</v>
      </c>
      <c r="I11" s="153">
        <v>1171905</v>
      </c>
      <c r="J11" s="153">
        <v>1115172</v>
      </c>
      <c r="K11" s="153">
        <v>1026799</v>
      </c>
      <c r="L11" s="153">
        <v>1021868</v>
      </c>
      <c r="M11" s="153">
        <v>960222</v>
      </c>
      <c r="N11" s="153">
        <v>914270</v>
      </c>
      <c r="O11" s="153">
        <v>883075</v>
      </c>
      <c r="P11" s="153">
        <v>841795</v>
      </c>
      <c r="Q11" s="153">
        <v>792573</v>
      </c>
      <c r="R11" s="153">
        <v>744977</v>
      </c>
      <c r="S11" s="153">
        <v>691819</v>
      </c>
      <c r="T11" s="153">
        <v>337161</v>
      </c>
      <c r="U11" s="153">
        <v>319622</v>
      </c>
      <c r="V11" s="153">
        <v>298148</v>
      </c>
      <c r="W11" s="153">
        <v>284438</v>
      </c>
      <c r="X11" s="153" t="s">
        <v>267</v>
      </c>
      <c r="Y11" s="153">
        <v>258132</v>
      </c>
      <c r="Z11" s="153" t="s">
        <v>267</v>
      </c>
      <c r="AA11" s="153" t="s">
        <v>267</v>
      </c>
      <c r="AB11" s="153" t="s">
        <v>267</v>
      </c>
      <c r="AC11" s="153" t="s">
        <v>267</v>
      </c>
    </row>
    <row r="12" spans="1:29" x14ac:dyDescent="0.3">
      <c r="A12" s="1" t="s">
        <v>268</v>
      </c>
      <c r="B12" s="6" t="s">
        <v>186</v>
      </c>
      <c r="C12" s="7">
        <v>4057110</v>
      </c>
      <c r="D12" s="153">
        <v>106266</v>
      </c>
      <c r="E12" s="153">
        <v>102504</v>
      </c>
      <c r="F12" s="153">
        <v>90838</v>
      </c>
      <c r="G12" s="153">
        <v>86333</v>
      </c>
      <c r="H12" s="153">
        <v>82200</v>
      </c>
      <c r="I12" s="153">
        <v>77397</v>
      </c>
      <c r="J12" s="153">
        <v>75105</v>
      </c>
      <c r="K12" s="153">
        <v>71402</v>
      </c>
      <c r="L12" s="153">
        <v>66003</v>
      </c>
      <c r="M12" s="153">
        <v>62042</v>
      </c>
      <c r="N12" s="153">
        <v>59756</v>
      </c>
      <c r="O12" s="153">
        <v>58093</v>
      </c>
      <c r="P12" s="153">
        <v>56904</v>
      </c>
      <c r="Q12" s="153">
        <v>54704</v>
      </c>
      <c r="R12" s="153">
        <v>53091</v>
      </c>
      <c r="S12" s="153">
        <v>51779</v>
      </c>
      <c r="T12" s="153">
        <v>50101</v>
      </c>
      <c r="U12" s="153">
        <v>48427</v>
      </c>
      <c r="V12" s="153">
        <v>47020</v>
      </c>
      <c r="W12" s="153">
        <v>45592</v>
      </c>
      <c r="X12" s="153">
        <v>43939</v>
      </c>
      <c r="Y12" s="153">
        <v>45523</v>
      </c>
      <c r="Z12" s="153">
        <v>43857</v>
      </c>
      <c r="AA12" s="153">
        <v>91030</v>
      </c>
      <c r="AB12" s="153">
        <v>85051</v>
      </c>
      <c r="AC12" s="153">
        <v>80162</v>
      </c>
    </row>
    <row r="13" spans="1:29" x14ac:dyDescent="0.3">
      <c r="B13" s="6" t="s">
        <v>188</v>
      </c>
      <c r="C13" s="7">
        <v>4058516</v>
      </c>
      <c r="D13" s="153">
        <v>329788</v>
      </c>
      <c r="E13" s="153">
        <v>305091</v>
      </c>
      <c r="F13" s="153">
        <v>288018</v>
      </c>
      <c r="G13" s="153">
        <v>272328</v>
      </c>
      <c r="H13" s="153">
        <v>241828</v>
      </c>
      <c r="I13" s="153">
        <v>208299</v>
      </c>
      <c r="J13" s="153">
        <v>184674</v>
      </c>
      <c r="K13" s="153">
        <v>169612</v>
      </c>
      <c r="L13" s="153">
        <v>156344</v>
      </c>
      <c r="M13" s="153">
        <v>141621</v>
      </c>
      <c r="N13" s="153">
        <v>130878</v>
      </c>
      <c r="O13" s="153">
        <v>122891</v>
      </c>
      <c r="P13" s="153">
        <v>119345</v>
      </c>
      <c r="Q13" s="153">
        <v>117412</v>
      </c>
      <c r="R13" s="153">
        <v>112607</v>
      </c>
      <c r="S13" s="153">
        <v>105281</v>
      </c>
      <c r="T13" s="153">
        <v>98571</v>
      </c>
      <c r="U13" s="153">
        <v>94002</v>
      </c>
      <c r="V13" s="153">
        <v>90093</v>
      </c>
      <c r="W13" s="153">
        <v>87180</v>
      </c>
      <c r="X13" s="153">
        <v>84789</v>
      </c>
      <c r="Y13" s="153">
        <v>112753</v>
      </c>
      <c r="Z13" s="153">
        <v>108976</v>
      </c>
      <c r="AA13" s="153">
        <v>104041</v>
      </c>
      <c r="AB13" s="153">
        <v>97745</v>
      </c>
      <c r="AC13" s="153">
        <v>93372</v>
      </c>
    </row>
    <row r="14" spans="1:29" x14ac:dyDescent="0.3">
      <c r="B14" s="6" t="s">
        <v>190</v>
      </c>
      <c r="C14" s="7">
        <v>4058793</v>
      </c>
      <c r="D14" s="153">
        <v>15209</v>
      </c>
      <c r="E14" s="153">
        <v>13055</v>
      </c>
      <c r="F14" s="153">
        <v>11697</v>
      </c>
      <c r="G14" s="153">
        <v>9326</v>
      </c>
      <c r="H14" s="153">
        <v>9679</v>
      </c>
      <c r="I14" s="153">
        <v>9214</v>
      </c>
      <c r="J14" s="153">
        <v>8945</v>
      </c>
      <c r="K14" s="153">
        <v>8841</v>
      </c>
      <c r="L14" s="153">
        <v>8799</v>
      </c>
      <c r="M14" s="153">
        <v>8379</v>
      </c>
      <c r="N14" s="153">
        <v>8152</v>
      </c>
      <c r="O14" s="153">
        <v>7950</v>
      </c>
      <c r="P14" s="153">
        <v>7510</v>
      </c>
      <c r="Q14" s="153">
        <v>7221</v>
      </c>
      <c r="R14" s="153">
        <v>6946</v>
      </c>
      <c r="S14" s="153">
        <v>6731</v>
      </c>
      <c r="T14" s="153">
        <v>6282</v>
      </c>
      <c r="U14" s="153">
        <v>5654</v>
      </c>
      <c r="V14" s="153">
        <v>5314</v>
      </c>
      <c r="W14" s="153">
        <v>4913</v>
      </c>
      <c r="X14" s="153">
        <v>4437</v>
      </c>
      <c r="Y14" s="153">
        <v>4141</v>
      </c>
      <c r="Z14" s="153">
        <v>3722</v>
      </c>
      <c r="AA14" s="153" t="s">
        <v>267</v>
      </c>
      <c r="AB14" s="153" t="s">
        <v>267</v>
      </c>
      <c r="AC14" s="153" t="s">
        <v>267</v>
      </c>
    </row>
    <row r="15" spans="1:29" x14ac:dyDescent="0.3">
      <c r="A15" s="1" t="s">
        <v>268</v>
      </c>
      <c r="B15" s="6" t="s">
        <v>192</v>
      </c>
      <c r="C15" s="7">
        <v>4057111</v>
      </c>
      <c r="D15" s="153">
        <v>1762077</v>
      </c>
      <c r="E15" s="153">
        <v>1697382</v>
      </c>
      <c r="F15" s="153">
        <v>1553580</v>
      </c>
      <c r="G15" s="153">
        <v>1490636</v>
      </c>
      <c r="H15" s="153">
        <v>1384633</v>
      </c>
      <c r="I15" s="153">
        <v>1371149</v>
      </c>
      <c r="J15" s="153">
        <v>1306636</v>
      </c>
      <c r="K15" s="153">
        <v>1232858</v>
      </c>
      <c r="L15" s="153">
        <v>1194008</v>
      </c>
      <c r="M15" s="153">
        <v>1104252</v>
      </c>
      <c r="N15" s="153">
        <v>1019751</v>
      </c>
      <c r="O15" s="153">
        <v>869974</v>
      </c>
      <c r="P15" s="153">
        <v>770115</v>
      </c>
      <c r="Q15" s="153">
        <v>698979</v>
      </c>
      <c r="R15" s="153">
        <v>652199</v>
      </c>
      <c r="S15" s="153">
        <v>604002</v>
      </c>
      <c r="T15" s="153">
        <v>591516</v>
      </c>
      <c r="U15" s="153">
        <v>535858</v>
      </c>
      <c r="V15" s="153">
        <v>1056834</v>
      </c>
      <c r="W15" s="153">
        <v>963728</v>
      </c>
      <c r="X15" s="153">
        <v>869935</v>
      </c>
      <c r="Y15" s="153">
        <v>814117</v>
      </c>
      <c r="Z15" s="153">
        <v>770899</v>
      </c>
      <c r="AA15" s="153">
        <v>724048</v>
      </c>
      <c r="AB15" s="153">
        <v>674842</v>
      </c>
      <c r="AC15" s="153">
        <v>628965</v>
      </c>
    </row>
    <row r="16" spans="1:29" x14ac:dyDescent="0.3">
      <c r="A16" s="1" t="s">
        <v>268</v>
      </c>
      <c r="B16" s="6" t="s">
        <v>193</v>
      </c>
      <c r="C16" s="7">
        <v>4018679</v>
      </c>
      <c r="D16" s="153">
        <v>6056781</v>
      </c>
      <c r="E16" s="153">
        <v>5693498</v>
      </c>
      <c r="F16" s="153">
        <v>4849069</v>
      </c>
      <c r="G16" s="153">
        <v>4249244</v>
      </c>
      <c r="H16" s="153">
        <v>3800745</v>
      </c>
      <c r="I16" s="153">
        <v>3656745</v>
      </c>
      <c r="J16" s="153">
        <v>3446169</v>
      </c>
      <c r="K16" s="153">
        <v>3196294</v>
      </c>
      <c r="L16" s="153">
        <v>3112462</v>
      </c>
      <c r="M16" s="153">
        <v>3006226</v>
      </c>
      <c r="N16" s="153">
        <v>2850055</v>
      </c>
      <c r="O16" s="153">
        <v>2702511</v>
      </c>
      <c r="P16" s="153">
        <v>2588733</v>
      </c>
      <c r="Q16" s="153">
        <v>2417141</v>
      </c>
      <c r="R16" s="153">
        <v>2314850</v>
      </c>
      <c r="S16" s="153">
        <v>2195227</v>
      </c>
      <c r="T16" s="153">
        <v>2102315</v>
      </c>
      <c r="U16" s="153">
        <v>1973656</v>
      </c>
      <c r="V16" s="153">
        <v>1854279</v>
      </c>
      <c r="W16" s="153">
        <v>1751455</v>
      </c>
      <c r="X16" s="153">
        <v>1685592</v>
      </c>
      <c r="Y16" s="153">
        <v>1603590</v>
      </c>
      <c r="Z16" s="153">
        <v>1518875</v>
      </c>
      <c r="AA16" s="153">
        <v>1452939</v>
      </c>
      <c r="AB16" s="153">
        <v>1386063</v>
      </c>
      <c r="AC16" s="153">
        <v>1296880</v>
      </c>
    </row>
    <row r="17" spans="1:29" x14ac:dyDescent="0.3">
      <c r="B17" s="6" t="s">
        <v>195</v>
      </c>
      <c r="C17" s="7">
        <v>4057112</v>
      </c>
      <c r="D17" s="153">
        <v>1097470</v>
      </c>
      <c r="E17" s="153">
        <v>1003218</v>
      </c>
      <c r="F17" s="153">
        <v>938699</v>
      </c>
      <c r="G17" s="153">
        <v>864003</v>
      </c>
      <c r="H17" s="153">
        <v>801240</v>
      </c>
      <c r="I17" s="153">
        <v>750455</v>
      </c>
      <c r="J17" s="153">
        <v>700157</v>
      </c>
      <c r="K17" s="153">
        <v>674675</v>
      </c>
      <c r="L17" s="153">
        <v>650754</v>
      </c>
      <c r="M17" s="153">
        <v>623284</v>
      </c>
      <c r="N17" s="153">
        <v>612262</v>
      </c>
      <c r="O17" s="153">
        <v>605744</v>
      </c>
      <c r="P17" s="153">
        <v>596305</v>
      </c>
      <c r="Q17" s="153">
        <v>572919</v>
      </c>
      <c r="R17" s="153">
        <v>552758</v>
      </c>
      <c r="S17" s="153">
        <v>536865</v>
      </c>
      <c r="T17" s="153">
        <v>514397</v>
      </c>
      <c r="U17" s="153">
        <v>479106</v>
      </c>
      <c r="V17" s="153">
        <v>455188</v>
      </c>
      <c r="W17" s="153">
        <v>435850</v>
      </c>
      <c r="X17" s="153">
        <v>422340</v>
      </c>
      <c r="Y17" s="153">
        <v>408492</v>
      </c>
      <c r="Z17" s="153">
        <v>389794</v>
      </c>
      <c r="AA17" s="153">
        <v>371764</v>
      </c>
      <c r="AB17" s="153">
        <v>348375</v>
      </c>
      <c r="AC17" s="153">
        <v>313981</v>
      </c>
    </row>
    <row r="18" spans="1:29" x14ac:dyDescent="0.3">
      <c r="A18" s="1" t="s">
        <v>268</v>
      </c>
      <c r="B18" s="6" t="s">
        <v>196</v>
      </c>
      <c r="C18" s="7">
        <v>4057076</v>
      </c>
      <c r="D18" s="153" t="s">
        <v>267</v>
      </c>
      <c r="E18" s="153">
        <v>555806</v>
      </c>
      <c r="F18" s="153">
        <v>507034</v>
      </c>
      <c r="G18" s="153">
        <v>444474</v>
      </c>
      <c r="H18" s="153">
        <v>400854</v>
      </c>
      <c r="I18" s="153">
        <v>360938</v>
      </c>
      <c r="J18" s="153">
        <v>326724</v>
      </c>
      <c r="K18" s="153">
        <v>304469</v>
      </c>
      <c r="L18" s="153">
        <v>270716</v>
      </c>
      <c r="M18" s="153">
        <v>252699</v>
      </c>
      <c r="N18" s="153">
        <v>240247</v>
      </c>
      <c r="O18" s="153">
        <v>230224</v>
      </c>
      <c r="P18" s="153">
        <v>214171</v>
      </c>
      <c r="Q18" s="153">
        <v>200954</v>
      </c>
      <c r="R18" s="153">
        <v>191746</v>
      </c>
      <c r="S18" s="153">
        <v>179702</v>
      </c>
      <c r="T18" s="153">
        <v>168147</v>
      </c>
      <c r="U18" s="153">
        <v>153214</v>
      </c>
      <c r="V18" s="153">
        <v>143692</v>
      </c>
      <c r="W18" s="153">
        <v>135245</v>
      </c>
      <c r="X18" s="153">
        <v>128712</v>
      </c>
      <c r="Y18" s="153">
        <v>121513</v>
      </c>
      <c r="Z18" s="153">
        <v>115543</v>
      </c>
      <c r="AA18" s="153">
        <v>108717</v>
      </c>
      <c r="AB18" s="153">
        <v>103980</v>
      </c>
      <c r="AC18" s="153">
        <v>100002</v>
      </c>
    </row>
    <row r="19" spans="1:29" x14ac:dyDescent="0.3">
      <c r="B19" s="6" t="s">
        <v>270</v>
      </c>
      <c r="C19" s="7">
        <v>4059166</v>
      </c>
      <c r="D19" s="153">
        <v>296444</v>
      </c>
      <c r="E19" s="153">
        <v>281383</v>
      </c>
      <c r="F19" s="153">
        <v>233817</v>
      </c>
      <c r="G19" s="153">
        <v>229711</v>
      </c>
      <c r="H19" s="153">
        <v>223107</v>
      </c>
      <c r="I19" s="153">
        <v>213988</v>
      </c>
      <c r="J19" s="153">
        <v>202640</v>
      </c>
      <c r="K19" s="153">
        <v>184939</v>
      </c>
      <c r="L19" s="153">
        <v>179222</v>
      </c>
      <c r="M19" s="153">
        <v>174628</v>
      </c>
      <c r="N19" s="153">
        <v>165127</v>
      </c>
      <c r="O19" s="153">
        <v>163896</v>
      </c>
      <c r="P19" s="153">
        <v>154228</v>
      </c>
      <c r="Q19" s="153">
        <v>150943</v>
      </c>
      <c r="R19" s="153">
        <v>146249</v>
      </c>
      <c r="S19" s="153">
        <v>139787</v>
      </c>
      <c r="T19" s="153">
        <v>137746</v>
      </c>
      <c r="U19" s="153">
        <v>133531</v>
      </c>
      <c r="V19" s="153">
        <v>132140</v>
      </c>
      <c r="W19" s="153">
        <v>130375</v>
      </c>
      <c r="X19" s="153">
        <v>126193</v>
      </c>
      <c r="Y19" s="153" t="s">
        <v>267</v>
      </c>
      <c r="Z19" s="153" t="s">
        <v>267</v>
      </c>
      <c r="AA19" s="153">
        <v>109326</v>
      </c>
      <c r="AB19" s="153">
        <v>103545</v>
      </c>
      <c r="AC19" s="153">
        <v>97605</v>
      </c>
    </row>
    <row r="20" spans="1:29" x14ac:dyDescent="0.3">
      <c r="B20" s="6" t="s">
        <v>271</v>
      </c>
      <c r="C20" s="7">
        <v>4059227</v>
      </c>
      <c r="D20" s="153">
        <v>27002</v>
      </c>
      <c r="E20" s="153">
        <v>26354</v>
      </c>
      <c r="F20" s="153">
        <v>25896</v>
      </c>
      <c r="G20" s="153">
        <v>25510</v>
      </c>
      <c r="H20" s="153">
        <v>25120</v>
      </c>
      <c r="I20" s="153">
        <v>24515</v>
      </c>
      <c r="J20" s="153">
        <v>24137</v>
      </c>
      <c r="K20" s="153">
        <v>24091</v>
      </c>
      <c r="L20" s="153">
        <v>23312</v>
      </c>
      <c r="M20" s="153">
        <v>23117</v>
      </c>
      <c r="N20" s="153">
        <v>22823</v>
      </c>
      <c r="O20" s="153">
        <v>22356</v>
      </c>
      <c r="P20" s="153">
        <v>22156</v>
      </c>
      <c r="Q20" s="153">
        <v>21479</v>
      </c>
      <c r="R20" s="153">
        <v>21430</v>
      </c>
      <c r="S20" s="153">
        <v>21125</v>
      </c>
      <c r="T20" s="153" t="s">
        <v>267</v>
      </c>
      <c r="U20" s="153">
        <v>20331</v>
      </c>
      <c r="V20" s="153">
        <v>20046</v>
      </c>
      <c r="W20" s="153" t="s">
        <v>267</v>
      </c>
      <c r="X20" s="153">
        <v>19098</v>
      </c>
      <c r="Y20" s="153" t="s">
        <v>267</v>
      </c>
      <c r="Z20" s="153" t="s">
        <v>267</v>
      </c>
      <c r="AA20" s="153" t="s">
        <v>267</v>
      </c>
      <c r="AB20" s="153">
        <v>16599</v>
      </c>
      <c r="AC20" s="153">
        <v>15589</v>
      </c>
    </row>
    <row r="21" spans="1:29" x14ac:dyDescent="0.3">
      <c r="A21" s="1" t="s">
        <v>268</v>
      </c>
      <c r="B21" s="6" t="s">
        <v>197</v>
      </c>
      <c r="C21" s="7">
        <v>4057114</v>
      </c>
      <c r="D21" s="153">
        <v>368622</v>
      </c>
      <c r="E21" s="153">
        <v>335476</v>
      </c>
      <c r="F21" s="153">
        <v>323758</v>
      </c>
      <c r="G21" s="153">
        <v>315941</v>
      </c>
      <c r="H21" s="153">
        <v>310579</v>
      </c>
      <c r="I21" s="153">
        <v>307640</v>
      </c>
      <c r="J21" s="153">
        <v>302670</v>
      </c>
      <c r="K21" s="153">
        <v>294600</v>
      </c>
      <c r="L21" s="153">
        <v>286003</v>
      </c>
      <c r="M21" s="153">
        <v>272165</v>
      </c>
      <c r="N21" s="153">
        <v>258530</v>
      </c>
      <c r="O21" s="153">
        <v>249579</v>
      </c>
      <c r="P21" s="153">
        <v>237138</v>
      </c>
      <c r="Q21" s="153">
        <v>228701</v>
      </c>
      <c r="R21" s="153">
        <v>216942</v>
      </c>
      <c r="S21" s="153">
        <v>210981</v>
      </c>
      <c r="T21" s="153">
        <v>202883</v>
      </c>
      <c r="U21" s="153">
        <v>193273</v>
      </c>
      <c r="V21" s="153">
        <v>396950</v>
      </c>
      <c r="W21" s="153">
        <v>379852</v>
      </c>
      <c r="X21" s="153">
        <v>357967</v>
      </c>
      <c r="Y21" s="153">
        <v>354136</v>
      </c>
      <c r="Z21" s="153">
        <v>330984</v>
      </c>
      <c r="AA21" s="153">
        <v>308602</v>
      </c>
      <c r="AB21" s="153">
        <v>283606</v>
      </c>
      <c r="AC21" s="153">
        <v>262585</v>
      </c>
    </row>
    <row r="22" spans="1:29" x14ac:dyDescent="0.3">
      <c r="B22" s="6" t="s">
        <v>198</v>
      </c>
      <c r="C22" s="7">
        <v>4059355</v>
      </c>
      <c r="D22" s="153">
        <v>579684</v>
      </c>
      <c r="E22" s="153">
        <v>526943</v>
      </c>
      <c r="F22" s="153">
        <v>478407</v>
      </c>
      <c r="G22" s="153">
        <v>445905</v>
      </c>
      <c r="H22" s="153">
        <v>415187</v>
      </c>
      <c r="I22" s="153">
        <v>384458</v>
      </c>
      <c r="J22" s="153">
        <v>354917</v>
      </c>
      <c r="K22" s="153">
        <v>327919</v>
      </c>
      <c r="L22" s="153">
        <v>310090</v>
      </c>
      <c r="M22" s="153">
        <v>295096</v>
      </c>
      <c r="N22" s="153">
        <v>282814</v>
      </c>
      <c r="O22" s="153">
        <v>275331</v>
      </c>
      <c r="P22" s="153">
        <v>265568</v>
      </c>
      <c r="Q22" s="153">
        <v>254761</v>
      </c>
      <c r="R22" s="153">
        <v>247385</v>
      </c>
      <c r="S22" s="153">
        <v>238119</v>
      </c>
      <c r="T22" s="153">
        <v>232522</v>
      </c>
      <c r="U22" s="153">
        <v>228320</v>
      </c>
      <c r="V22" s="153">
        <v>223209</v>
      </c>
      <c r="W22" s="153">
        <v>212591</v>
      </c>
      <c r="X22" s="153">
        <v>203849</v>
      </c>
      <c r="Y22" s="153">
        <v>195708</v>
      </c>
      <c r="Z22" s="153">
        <v>186927</v>
      </c>
      <c r="AA22" s="153">
        <v>178739</v>
      </c>
      <c r="AB22" s="153">
        <v>174808</v>
      </c>
      <c r="AC22" s="153">
        <v>163848</v>
      </c>
    </row>
    <row r="23" spans="1:29" x14ac:dyDescent="0.3">
      <c r="B23" s="6" t="s">
        <v>200</v>
      </c>
      <c r="C23" s="7">
        <v>4088325</v>
      </c>
      <c r="D23" s="153">
        <v>245278</v>
      </c>
      <c r="E23" s="153">
        <v>227295</v>
      </c>
      <c r="F23" s="153">
        <v>202283</v>
      </c>
      <c r="G23" s="153">
        <v>182631</v>
      </c>
      <c r="H23" s="153">
        <v>166586</v>
      </c>
      <c r="I23" s="153">
        <v>157184</v>
      </c>
      <c r="J23" s="153">
        <v>142799</v>
      </c>
      <c r="K23" s="153">
        <v>131123</v>
      </c>
      <c r="L23" s="153">
        <v>123607</v>
      </c>
      <c r="M23" s="153">
        <v>115299</v>
      </c>
      <c r="N23" s="153">
        <v>108446</v>
      </c>
      <c r="O23" s="153">
        <v>103272</v>
      </c>
      <c r="P23" s="153">
        <v>94706</v>
      </c>
      <c r="Q23" s="153">
        <v>90809</v>
      </c>
      <c r="R23" s="153">
        <v>87330</v>
      </c>
      <c r="S23" s="153">
        <v>83915</v>
      </c>
      <c r="T23" s="153">
        <v>80498</v>
      </c>
      <c r="U23" s="153">
        <v>78141</v>
      </c>
      <c r="V23" s="153">
        <v>78161</v>
      </c>
      <c r="W23" s="153">
        <v>76723</v>
      </c>
      <c r="X23" s="153">
        <v>73298</v>
      </c>
      <c r="Y23" s="153">
        <v>70505</v>
      </c>
      <c r="Z23" s="153">
        <v>67741</v>
      </c>
      <c r="AA23" s="153">
        <v>63392</v>
      </c>
      <c r="AB23" s="153">
        <v>60386</v>
      </c>
      <c r="AC23" s="153">
        <v>57306</v>
      </c>
    </row>
    <row r="24" spans="1:29" x14ac:dyDescent="0.3">
      <c r="B24" s="6" t="s">
        <v>272</v>
      </c>
      <c r="C24" s="7">
        <v>4088326</v>
      </c>
      <c r="D24" s="153">
        <v>4820621</v>
      </c>
      <c r="E24" s="153">
        <v>4466803</v>
      </c>
      <c r="F24" s="153">
        <v>4139288</v>
      </c>
      <c r="G24" s="153">
        <v>3847493</v>
      </c>
      <c r="H24" s="153">
        <v>3541464</v>
      </c>
      <c r="I24" s="153">
        <v>3202340</v>
      </c>
      <c r="J24" s="153">
        <v>2950611</v>
      </c>
      <c r="K24" s="153">
        <v>2713470</v>
      </c>
      <c r="L24" s="153">
        <v>2501282</v>
      </c>
      <c r="M24" s="153">
        <v>2303821</v>
      </c>
      <c r="N24" s="153">
        <v>2158135</v>
      </c>
      <c r="O24" s="153">
        <v>2005667</v>
      </c>
      <c r="P24" s="153">
        <v>1871562</v>
      </c>
      <c r="Q24" s="153">
        <v>1719379</v>
      </c>
      <c r="R24" s="153">
        <v>1665073</v>
      </c>
      <c r="S24" s="153">
        <v>1581118</v>
      </c>
      <c r="T24" s="153">
        <v>1532356</v>
      </c>
      <c r="U24" s="153">
        <v>1485302</v>
      </c>
      <c r="V24" s="153">
        <v>1450687</v>
      </c>
      <c r="W24" s="153">
        <v>1395294</v>
      </c>
      <c r="X24" s="153" t="s">
        <v>267</v>
      </c>
      <c r="Y24" s="153">
        <v>1319724</v>
      </c>
      <c r="Z24" s="153">
        <v>1267971</v>
      </c>
      <c r="AA24" s="153">
        <v>1220769</v>
      </c>
      <c r="AB24" s="153">
        <v>1160183</v>
      </c>
      <c r="AC24" s="153">
        <v>1095955</v>
      </c>
    </row>
    <row r="25" spans="1:29" x14ac:dyDescent="0.3">
      <c r="A25" s="1" t="s">
        <v>268</v>
      </c>
      <c r="B25" s="6" t="s">
        <v>273</v>
      </c>
      <c r="C25" s="7">
        <v>4059358</v>
      </c>
      <c r="D25" s="153">
        <v>2782243</v>
      </c>
      <c r="E25" s="153">
        <v>2504036</v>
      </c>
      <c r="F25" s="153">
        <v>2269176</v>
      </c>
      <c r="G25" s="153">
        <v>2012819</v>
      </c>
      <c r="H25" s="153">
        <v>1806099</v>
      </c>
      <c r="I25" s="153">
        <v>1610205</v>
      </c>
      <c r="J25" s="153">
        <v>1451516</v>
      </c>
      <c r="K25" s="153">
        <v>1296600</v>
      </c>
      <c r="L25" s="153">
        <v>1159999</v>
      </c>
      <c r="M25" s="153">
        <v>1037908</v>
      </c>
      <c r="N25" s="153">
        <v>950381</v>
      </c>
      <c r="O25" s="153">
        <v>895719</v>
      </c>
      <c r="P25" s="153">
        <v>821797</v>
      </c>
      <c r="Q25" s="153">
        <v>761045</v>
      </c>
      <c r="R25" s="153">
        <v>720630</v>
      </c>
      <c r="S25" s="153">
        <v>680825</v>
      </c>
      <c r="T25" s="153">
        <v>643455</v>
      </c>
      <c r="U25" s="153">
        <v>627889</v>
      </c>
      <c r="V25" s="153">
        <v>610802</v>
      </c>
      <c r="W25" s="153">
        <v>591936</v>
      </c>
      <c r="X25" s="153">
        <v>566912</v>
      </c>
      <c r="Y25" s="153">
        <v>544746</v>
      </c>
      <c r="Z25" s="153">
        <v>528547</v>
      </c>
      <c r="AA25" s="153">
        <v>502209</v>
      </c>
      <c r="AB25" s="153">
        <v>481397</v>
      </c>
      <c r="AC25" s="153">
        <v>461380</v>
      </c>
    </row>
    <row r="26" spans="1:29" x14ac:dyDescent="0.3">
      <c r="B26" s="6" t="s">
        <v>274</v>
      </c>
      <c r="C26" s="7">
        <v>4059359</v>
      </c>
      <c r="D26" s="153">
        <v>1448775</v>
      </c>
      <c r="E26" s="153">
        <v>1353881</v>
      </c>
      <c r="F26" s="153">
        <v>1240678</v>
      </c>
      <c r="G26" s="153">
        <v>1164324</v>
      </c>
      <c r="H26" s="153">
        <v>1078728</v>
      </c>
      <c r="I26" s="153">
        <v>985503</v>
      </c>
      <c r="J26" s="153">
        <v>914064</v>
      </c>
      <c r="K26" s="153">
        <v>830106</v>
      </c>
      <c r="L26" s="153">
        <v>753358</v>
      </c>
      <c r="M26" s="153">
        <v>707487</v>
      </c>
      <c r="N26" s="153">
        <v>680063</v>
      </c>
      <c r="O26" s="153">
        <v>618057</v>
      </c>
      <c r="P26" s="153">
        <v>597876</v>
      </c>
      <c r="Q26" s="153">
        <v>571454</v>
      </c>
      <c r="R26" s="153">
        <v>548123</v>
      </c>
      <c r="S26" s="153">
        <v>524712</v>
      </c>
      <c r="T26" s="153">
        <v>499282</v>
      </c>
      <c r="U26" s="153">
        <v>482302</v>
      </c>
      <c r="V26" s="153">
        <v>450599</v>
      </c>
      <c r="W26" s="153">
        <v>433380</v>
      </c>
      <c r="X26" s="153">
        <v>406549</v>
      </c>
      <c r="Y26" s="153" t="s">
        <v>267</v>
      </c>
      <c r="Z26" s="153">
        <v>354504</v>
      </c>
      <c r="AA26" s="153">
        <v>317332</v>
      </c>
      <c r="AB26" s="153" t="s">
        <v>267</v>
      </c>
      <c r="AC26" s="153" t="s">
        <v>267</v>
      </c>
    </row>
    <row r="27" spans="1:29" x14ac:dyDescent="0.3">
      <c r="A27" s="1" t="s">
        <v>268</v>
      </c>
      <c r="B27" s="6" t="s">
        <v>202</v>
      </c>
      <c r="C27" s="7">
        <v>4059402</v>
      </c>
      <c r="D27" s="153">
        <v>911424</v>
      </c>
      <c r="E27" s="153">
        <v>885459</v>
      </c>
      <c r="F27" s="153">
        <v>845009</v>
      </c>
      <c r="G27" s="153">
        <v>806122</v>
      </c>
      <c r="H27" s="153">
        <v>770960</v>
      </c>
      <c r="I27" s="153">
        <v>724001</v>
      </c>
      <c r="J27" s="153">
        <v>673903</v>
      </c>
      <c r="K27" s="153">
        <v>635129</v>
      </c>
      <c r="L27" s="153">
        <v>605440</v>
      </c>
      <c r="M27" s="153">
        <v>578600</v>
      </c>
      <c r="N27" s="153">
        <v>557990</v>
      </c>
      <c r="O27" s="153">
        <v>563486</v>
      </c>
      <c r="P27" s="153">
        <v>552683</v>
      </c>
      <c r="Q27" s="153">
        <v>536019</v>
      </c>
      <c r="R27" s="153">
        <v>522066</v>
      </c>
      <c r="S27" s="153">
        <v>503156</v>
      </c>
      <c r="T27" s="153">
        <v>485386</v>
      </c>
      <c r="U27" s="153">
        <v>470045</v>
      </c>
      <c r="V27" s="153">
        <v>454766</v>
      </c>
      <c r="W27" s="153">
        <v>438758</v>
      </c>
      <c r="X27" s="153">
        <v>394200</v>
      </c>
      <c r="Y27" s="153">
        <v>381965</v>
      </c>
      <c r="Z27" s="153">
        <v>366794</v>
      </c>
      <c r="AA27" s="153">
        <v>347515</v>
      </c>
      <c r="AB27" s="153">
        <v>328047</v>
      </c>
      <c r="AC27" s="153">
        <v>310586</v>
      </c>
    </row>
    <row r="28" spans="1:29" x14ac:dyDescent="0.3">
      <c r="A28" s="1" t="s">
        <v>268</v>
      </c>
      <c r="B28" s="6" t="s">
        <v>204</v>
      </c>
      <c r="C28" s="7">
        <v>4057080</v>
      </c>
      <c r="D28" s="153">
        <v>8497540</v>
      </c>
      <c r="E28" s="153">
        <v>7959211</v>
      </c>
      <c r="F28" s="153">
        <v>7191048</v>
      </c>
      <c r="G28" s="153">
        <v>6483385</v>
      </c>
      <c r="H28" s="153">
        <v>5891454</v>
      </c>
      <c r="I28" s="153">
        <v>5374273</v>
      </c>
      <c r="J28" s="153">
        <v>4741384</v>
      </c>
      <c r="K28" s="153">
        <v>4249532</v>
      </c>
      <c r="L28" s="153">
        <v>3926889</v>
      </c>
      <c r="M28" s="153">
        <v>3610878</v>
      </c>
      <c r="N28" s="153">
        <v>3301820</v>
      </c>
      <c r="O28" s="153">
        <v>3025520</v>
      </c>
      <c r="P28" s="153">
        <v>2789532</v>
      </c>
      <c r="Q28" s="153">
        <v>2577852</v>
      </c>
      <c r="R28" s="153">
        <v>2445432</v>
      </c>
      <c r="S28" s="153">
        <v>2292855</v>
      </c>
      <c r="T28" s="153">
        <v>2162736</v>
      </c>
      <c r="U28" s="153">
        <v>2030145</v>
      </c>
      <c r="V28" s="153">
        <v>1902805</v>
      </c>
      <c r="W28" s="153">
        <v>1791455</v>
      </c>
      <c r="X28" s="153">
        <v>1705259</v>
      </c>
      <c r="Y28" s="153">
        <v>1626315</v>
      </c>
      <c r="Z28" s="153">
        <v>1541535</v>
      </c>
      <c r="AA28" s="153">
        <v>1454291</v>
      </c>
      <c r="AB28" s="153">
        <v>1362359</v>
      </c>
      <c r="AC28" s="153">
        <v>1273185</v>
      </c>
    </row>
    <row r="29" spans="1:29" x14ac:dyDescent="0.3">
      <c r="B29" s="6" t="s">
        <v>205</v>
      </c>
      <c r="C29" s="7">
        <v>4057081</v>
      </c>
      <c r="D29" s="153">
        <v>5701611</v>
      </c>
      <c r="E29" s="153">
        <v>5235428</v>
      </c>
      <c r="F29" s="153">
        <v>4650411</v>
      </c>
      <c r="G29" s="153">
        <v>4181921</v>
      </c>
      <c r="H29" s="153">
        <v>3805705</v>
      </c>
      <c r="I29" s="153">
        <v>3497182</v>
      </c>
      <c r="J29" s="153">
        <v>3239233</v>
      </c>
      <c r="K29" s="153">
        <v>3014718</v>
      </c>
      <c r="L29" s="153">
        <v>2861200</v>
      </c>
      <c r="M29" s="153">
        <v>2742375</v>
      </c>
      <c r="N29" s="153">
        <v>2654410</v>
      </c>
      <c r="O29" s="153">
        <v>2557421</v>
      </c>
      <c r="P29" s="153">
        <v>2459443</v>
      </c>
      <c r="Q29" s="153">
        <v>2285645</v>
      </c>
      <c r="R29" s="153">
        <v>2216516</v>
      </c>
      <c r="S29" s="153">
        <v>2140572</v>
      </c>
      <c r="T29" s="153">
        <v>2056922</v>
      </c>
      <c r="U29" s="153">
        <v>1976032</v>
      </c>
      <c r="V29" s="153">
        <v>1898656</v>
      </c>
      <c r="W29" s="153">
        <v>1806833</v>
      </c>
      <c r="X29" s="153">
        <v>1722362</v>
      </c>
      <c r="Y29" s="153">
        <v>1650457</v>
      </c>
      <c r="Z29" s="153">
        <v>1570879</v>
      </c>
      <c r="AA29" s="153">
        <v>1491165</v>
      </c>
      <c r="AB29" s="153">
        <v>1408510</v>
      </c>
      <c r="AC29" s="153">
        <v>1325339</v>
      </c>
    </row>
    <row r="30" spans="1:29" x14ac:dyDescent="0.3">
      <c r="A30" s="1" t="s">
        <v>268</v>
      </c>
      <c r="B30" s="6" t="s">
        <v>207</v>
      </c>
      <c r="C30" s="7">
        <v>4059459</v>
      </c>
      <c r="D30" s="153">
        <v>80630</v>
      </c>
      <c r="E30" s="153">
        <v>76611</v>
      </c>
      <c r="F30" s="153">
        <v>73127</v>
      </c>
      <c r="G30" s="153">
        <v>67307</v>
      </c>
      <c r="H30" s="153">
        <v>63264</v>
      </c>
      <c r="I30" s="153">
        <v>56845</v>
      </c>
      <c r="J30" s="153">
        <v>54825</v>
      </c>
      <c r="K30" s="153">
        <v>48281</v>
      </c>
      <c r="L30" s="153">
        <v>42168</v>
      </c>
      <c r="M30" s="153">
        <v>36568</v>
      </c>
      <c r="N30" s="153">
        <v>32260</v>
      </c>
      <c r="O30" s="153">
        <v>27493</v>
      </c>
      <c r="P30" s="153">
        <v>23356</v>
      </c>
      <c r="Q30" s="153">
        <v>18287</v>
      </c>
      <c r="R30" s="153">
        <v>16909</v>
      </c>
      <c r="S30" s="153">
        <v>15106</v>
      </c>
      <c r="T30" s="153">
        <v>14191</v>
      </c>
      <c r="U30" s="153">
        <v>13625</v>
      </c>
      <c r="V30" s="153">
        <v>12944</v>
      </c>
      <c r="W30" s="153">
        <v>12352</v>
      </c>
      <c r="X30" s="153">
        <v>11738</v>
      </c>
      <c r="Y30" s="153">
        <v>11238</v>
      </c>
      <c r="Z30" s="153">
        <v>10678</v>
      </c>
      <c r="AA30" s="153">
        <v>9981</v>
      </c>
      <c r="AB30" s="153">
        <v>9487</v>
      </c>
      <c r="AC30" s="153">
        <v>9113</v>
      </c>
    </row>
    <row r="31" spans="1:29" x14ac:dyDescent="0.3">
      <c r="B31" s="6" t="s">
        <v>208</v>
      </c>
      <c r="C31" s="7">
        <v>4057118</v>
      </c>
      <c r="D31" s="153">
        <v>143466</v>
      </c>
      <c r="E31" s="153">
        <v>138983</v>
      </c>
      <c r="F31" s="153">
        <v>130183</v>
      </c>
      <c r="G31" s="153">
        <v>126218</v>
      </c>
      <c r="H31" s="153">
        <v>123349</v>
      </c>
      <c r="I31" s="153">
        <v>119537</v>
      </c>
      <c r="J31" s="153">
        <v>117226</v>
      </c>
      <c r="K31" s="153">
        <v>113536</v>
      </c>
      <c r="L31" s="153">
        <v>110523</v>
      </c>
      <c r="M31" s="153">
        <v>105608</v>
      </c>
      <c r="N31" s="153">
        <v>103205</v>
      </c>
      <c r="O31" s="153">
        <v>100605</v>
      </c>
      <c r="P31" s="153">
        <v>98475</v>
      </c>
      <c r="Q31" s="153">
        <v>95388</v>
      </c>
      <c r="R31" s="153">
        <v>93391</v>
      </c>
      <c r="S31" s="153">
        <v>90701</v>
      </c>
      <c r="T31" s="153">
        <v>87884</v>
      </c>
      <c r="U31" s="153">
        <v>84971</v>
      </c>
      <c r="V31" s="153">
        <v>80653</v>
      </c>
      <c r="W31" s="153">
        <v>78481</v>
      </c>
      <c r="X31" s="153">
        <v>75590</v>
      </c>
      <c r="Y31" s="153">
        <v>71662</v>
      </c>
      <c r="Z31" s="153">
        <v>67055</v>
      </c>
      <c r="AA31" s="153">
        <v>60653</v>
      </c>
      <c r="AB31" s="153">
        <v>56770</v>
      </c>
      <c r="AC31" s="153">
        <v>52107</v>
      </c>
    </row>
    <row r="32" spans="1:29" x14ac:dyDescent="0.3">
      <c r="B32" s="6" t="s">
        <v>210</v>
      </c>
      <c r="C32" s="7">
        <v>4057126</v>
      </c>
      <c r="D32" s="153">
        <v>4366879</v>
      </c>
      <c r="E32" s="153">
        <v>4004366</v>
      </c>
      <c r="F32" s="153">
        <v>3737313</v>
      </c>
      <c r="G32" s="153">
        <v>3448875</v>
      </c>
      <c r="H32" s="153">
        <v>3246667</v>
      </c>
      <c r="I32" s="153">
        <v>3047115</v>
      </c>
      <c r="J32" s="153">
        <v>2906166</v>
      </c>
      <c r="K32" s="153">
        <v>2756975</v>
      </c>
      <c r="L32" s="153">
        <v>2607170</v>
      </c>
      <c r="M32" s="153">
        <v>2526062</v>
      </c>
      <c r="N32" s="153">
        <v>2399854</v>
      </c>
      <c r="O32" s="153">
        <v>2342532</v>
      </c>
      <c r="P32" s="153">
        <v>2285484</v>
      </c>
      <c r="Q32" s="153">
        <v>2191019</v>
      </c>
      <c r="R32" s="153">
        <v>2175136</v>
      </c>
      <c r="S32" s="153">
        <v>2085843</v>
      </c>
      <c r="T32" s="153">
        <v>2019748</v>
      </c>
      <c r="U32" s="153">
        <v>1960876</v>
      </c>
      <c r="V32" s="153">
        <v>1903177</v>
      </c>
      <c r="W32" s="153">
        <v>1852197</v>
      </c>
      <c r="X32" s="153">
        <v>1794593</v>
      </c>
      <c r="Y32" s="153">
        <v>1723829</v>
      </c>
      <c r="Z32" s="153">
        <v>1661191</v>
      </c>
      <c r="AA32" s="153">
        <v>1604507</v>
      </c>
      <c r="AB32" s="153">
        <v>1544734</v>
      </c>
      <c r="AC32" s="153">
        <v>1455826</v>
      </c>
    </row>
    <row r="33" spans="1:29" x14ac:dyDescent="0.3">
      <c r="B33" s="6" t="s">
        <v>275</v>
      </c>
      <c r="C33" s="7">
        <v>4057103</v>
      </c>
      <c r="D33" s="153" t="s">
        <v>267</v>
      </c>
      <c r="E33" s="153">
        <v>606476</v>
      </c>
      <c r="F33" s="153">
        <v>546414</v>
      </c>
      <c r="G33" s="153">
        <v>482331</v>
      </c>
      <c r="H33" s="153" t="s">
        <v>267</v>
      </c>
      <c r="I33" s="153">
        <v>431131</v>
      </c>
      <c r="J33" s="153">
        <v>421026</v>
      </c>
      <c r="K33" s="153">
        <v>414138</v>
      </c>
      <c r="L33" s="153">
        <v>406367</v>
      </c>
      <c r="M33" s="153">
        <v>393816</v>
      </c>
      <c r="N33" s="153">
        <v>384146</v>
      </c>
      <c r="O33" s="153">
        <v>368643</v>
      </c>
      <c r="P33" s="153">
        <v>336617</v>
      </c>
      <c r="Q33" s="153">
        <v>311175</v>
      </c>
      <c r="R33" s="153">
        <v>289654</v>
      </c>
      <c r="S33" s="153">
        <v>269283</v>
      </c>
      <c r="T33" s="153">
        <v>249146</v>
      </c>
      <c r="U33" s="153">
        <v>232766</v>
      </c>
      <c r="V33" s="153">
        <v>208746</v>
      </c>
      <c r="W33" s="153">
        <v>190492</v>
      </c>
      <c r="X33" s="153">
        <v>177315</v>
      </c>
      <c r="Y33" s="153">
        <v>166241</v>
      </c>
      <c r="Z33" s="153">
        <v>157203</v>
      </c>
      <c r="AA33" s="153">
        <v>148218</v>
      </c>
      <c r="AB33" s="153">
        <v>141206</v>
      </c>
      <c r="AC33" s="153">
        <v>133607</v>
      </c>
    </row>
    <row r="34" spans="1:29" x14ac:dyDescent="0.3">
      <c r="B34" s="6" t="s">
        <v>211</v>
      </c>
      <c r="C34" s="7">
        <v>4057079</v>
      </c>
      <c r="D34" s="153">
        <v>2341981</v>
      </c>
      <c r="E34" s="153">
        <v>2198754</v>
      </c>
      <c r="F34" s="153">
        <v>2065217</v>
      </c>
      <c r="G34" s="153">
        <v>1986438</v>
      </c>
      <c r="H34" s="153">
        <v>1907745</v>
      </c>
      <c r="I34" s="153">
        <v>1847701</v>
      </c>
      <c r="J34" s="153">
        <v>1767289</v>
      </c>
      <c r="K34" s="153">
        <v>1682128</v>
      </c>
      <c r="L34" s="153">
        <v>1589967</v>
      </c>
      <c r="M34" s="153">
        <v>1509713</v>
      </c>
      <c r="N34" s="153">
        <v>1407748</v>
      </c>
      <c r="O34" s="153">
        <v>1303155</v>
      </c>
      <c r="P34" s="153">
        <v>1207713</v>
      </c>
      <c r="Q34" s="153">
        <v>1101969</v>
      </c>
      <c r="R34" s="153">
        <v>1026155</v>
      </c>
      <c r="S34" s="153">
        <v>953899</v>
      </c>
      <c r="T34" s="153">
        <v>884736</v>
      </c>
      <c r="U34" s="153">
        <v>809089</v>
      </c>
      <c r="V34" s="153">
        <v>731835</v>
      </c>
      <c r="W34" s="153">
        <v>673780</v>
      </c>
      <c r="X34" s="153">
        <v>625993</v>
      </c>
      <c r="Y34" s="153">
        <v>599560</v>
      </c>
      <c r="Z34" s="153">
        <v>571940</v>
      </c>
      <c r="AA34" s="153">
        <v>548002</v>
      </c>
      <c r="AB34" s="153">
        <v>522026</v>
      </c>
      <c r="AC34" s="153">
        <v>504767</v>
      </c>
    </row>
    <row r="35" spans="1:29" x14ac:dyDescent="0.3">
      <c r="B35" s="6" t="s">
        <v>276</v>
      </c>
      <c r="C35" s="7">
        <v>4081251</v>
      </c>
      <c r="D35" s="153" t="s">
        <v>267</v>
      </c>
      <c r="E35" s="153">
        <v>1802</v>
      </c>
      <c r="F35" s="153">
        <v>1759</v>
      </c>
      <c r="G35" s="153">
        <v>1668</v>
      </c>
      <c r="H35" s="153">
        <v>1632</v>
      </c>
      <c r="I35" s="153">
        <v>1574</v>
      </c>
      <c r="J35" s="153">
        <v>1493</v>
      </c>
      <c r="K35" s="153">
        <v>1409</v>
      </c>
      <c r="L35" s="153">
        <v>1384</v>
      </c>
      <c r="M35" s="153">
        <v>1328</v>
      </c>
      <c r="N35" s="153">
        <v>1275</v>
      </c>
      <c r="O35" s="153">
        <v>1230</v>
      </c>
      <c r="P35" s="153">
        <v>1207</v>
      </c>
      <c r="Q35" s="153">
        <v>1165</v>
      </c>
      <c r="R35" s="153">
        <v>1131</v>
      </c>
      <c r="S35" s="153">
        <v>1125</v>
      </c>
      <c r="T35" s="153">
        <v>1046</v>
      </c>
      <c r="U35" s="153">
        <v>1014</v>
      </c>
      <c r="V35" s="153">
        <v>977</v>
      </c>
      <c r="W35" s="153">
        <v>918</v>
      </c>
      <c r="X35" s="153">
        <v>899</v>
      </c>
      <c r="Y35" s="153" t="s">
        <v>267</v>
      </c>
      <c r="Z35" s="153" t="s">
        <v>267</v>
      </c>
      <c r="AA35" s="153" t="s">
        <v>267</v>
      </c>
      <c r="AB35" s="153" t="s">
        <v>267</v>
      </c>
      <c r="AC35" s="153" t="s">
        <v>267</v>
      </c>
    </row>
    <row r="36" spans="1:29" x14ac:dyDescent="0.3">
      <c r="B36" s="6" t="s">
        <v>277</v>
      </c>
      <c r="C36" s="7">
        <v>4060572</v>
      </c>
      <c r="D36" s="153">
        <v>493250</v>
      </c>
      <c r="E36" s="153">
        <v>449339</v>
      </c>
      <c r="F36" s="153">
        <v>413189</v>
      </c>
      <c r="G36" s="153">
        <v>382790</v>
      </c>
      <c r="H36" s="153">
        <v>349637</v>
      </c>
      <c r="I36" s="153">
        <v>312202</v>
      </c>
      <c r="J36" s="153">
        <v>295378</v>
      </c>
      <c r="K36" s="153">
        <v>275407</v>
      </c>
      <c r="L36" s="153">
        <v>268139</v>
      </c>
      <c r="M36" s="153">
        <v>261067</v>
      </c>
      <c r="N36" s="153">
        <v>245522</v>
      </c>
      <c r="O36" s="153">
        <v>238613</v>
      </c>
      <c r="P36" s="153">
        <v>230947</v>
      </c>
      <c r="Q36" s="153">
        <v>223494</v>
      </c>
      <c r="R36" s="153">
        <v>215514</v>
      </c>
      <c r="S36" s="153">
        <v>207529</v>
      </c>
      <c r="T36" s="153">
        <v>202059</v>
      </c>
      <c r="U36" s="153">
        <v>197384</v>
      </c>
      <c r="V36" s="153">
        <v>187969</v>
      </c>
      <c r="W36" s="153">
        <v>180031</v>
      </c>
      <c r="X36" s="153">
        <v>172116</v>
      </c>
      <c r="Y36" s="153" t="s">
        <v>267</v>
      </c>
      <c r="Z36" s="153" t="s">
        <v>267</v>
      </c>
      <c r="AA36" s="153">
        <v>156493</v>
      </c>
      <c r="AB36" s="153">
        <v>147582</v>
      </c>
      <c r="AC36" s="153">
        <v>140121</v>
      </c>
    </row>
    <row r="37" spans="1:29" x14ac:dyDescent="0.3">
      <c r="B37" s="6" t="s">
        <v>278</v>
      </c>
      <c r="C37" s="7">
        <v>4083318</v>
      </c>
      <c r="D37" s="153">
        <v>18163</v>
      </c>
      <c r="E37" s="153">
        <v>17677</v>
      </c>
      <c r="F37" s="153">
        <v>17389</v>
      </c>
      <c r="G37" s="153">
        <v>17092</v>
      </c>
      <c r="H37" s="153">
        <v>16942</v>
      </c>
      <c r="I37" s="153">
        <v>16724</v>
      </c>
      <c r="J37" s="153">
        <v>16232</v>
      </c>
      <c r="K37" s="153">
        <v>15908</v>
      </c>
      <c r="L37" s="153">
        <v>15444</v>
      </c>
      <c r="M37" s="153">
        <v>15159</v>
      </c>
      <c r="N37" s="153">
        <v>14877</v>
      </c>
      <c r="O37" s="153">
        <v>14654</v>
      </c>
      <c r="P37" s="153">
        <v>14469</v>
      </c>
      <c r="Q37" s="153">
        <v>14330</v>
      </c>
      <c r="R37" s="153">
        <v>14186</v>
      </c>
      <c r="S37" s="153">
        <v>13997</v>
      </c>
      <c r="T37" s="153">
        <v>13829</v>
      </c>
      <c r="U37" s="153">
        <v>13628</v>
      </c>
      <c r="V37" s="153">
        <v>13242</v>
      </c>
      <c r="W37" s="153" t="s">
        <v>267</v>
      </c>
      <c r="X37" s="153" t="s">
        <v>267</v>
      </c>
      <c r="Y37" s="153" t="s">
        <v>267</v>
      </c>
      <c r="Z37" s="153" t="s">
        <v>267</v>
      </c>
      <c r="AA37" s="153" t="s">
        <v>267</v>
      </c>
      <c r="AB37" s="153">
        <v>10182</v>
      </c>
      <c r="AC37" s="153">
        <v>8759</v>
      </c>
    </row>
    <row r="38" spans="1:29" x14ac:dyDescent="0.3">
      <c r="B38" s="6" t="s">
        <v>279</v>
      </c>
      <c r="C38" s="7">
        <v>4057125</v>
      </c>
      <c r="D38" s="153">
        <v>2203157</v>
      </c>
      <c r="E38" s="153">
        <v>2139359</v>
      </c>
      <c r="F38" s="153">
        <v>1842013</v>
      </c>
      <c r="G38" s="153">
        <v>1596323</v>
      </c>
      <c r="H38" s="153">
        <v>1557373</v>
      </c>
      <c r="I38" s="153">
        <v>1503304</v>
      </c>
      <c r="J38" s="153">
        <v>1424710</v>
      </c>
      <c r="K38" s="153">
        <v>1387041</v>
      </c>
      <c r="L38" s="153">
        <v>1339067</v>
      </c>
      <c r="M38" s="153">
        <v>1262374</v>
      </c>
      <c r="N38" s="153">
        <v>1242827</v>
      </c>
      <c r="O38" s="153">
        <v>1222202</v>
      </c>
      <c r="P38" s="153">
        <v>1136136</v>
      </c>
      <c r="Q38" s="153">
        <v>1120778</v>
      </c>
      <c r="R38" s="153">
        <v>1101636</v>
      </c>
      <c r="S38" s="153">
        <v>1079777</v>
      </c>
      <c r="T38" s="153">
        <v>988293</v>
      </c>
      <c r="U38" s="153">
        <v>936124</v>
      </c>
      <c r="V38" s="153">
        <v>912082</v>
      </c>
      <c r="W38" s="153">
        <v>896824</v>
      </c>
      <c r="X38" s="153">
        <v>830767</v>
      </c>
      <c r="Y38" s="153">
        <v>807196</v>
      </c>
      <c r="Z38" s="153">
        <v>772086</v>
      </c>
      <c r="AA38" s="153">
        <v>740752</v>
      </c>
      <c r="AB38" s="153">
        <v>693932</v>
      </c>
      <c r="AC38" s="153">
        <v>648122</v>
      </c>
    </row>
    <row r="39" spans="1:29" x14ac:dyDescent="0.3">
      <c r="B39" s="6" t="s">
        <v>280</v>
      </c>
      <c r="C39" s="7">
        <v>4087741</v>
      </c>
      <c r="D39" s="153" t="s">
        <v>267</v>
      </c>
      <c r="E39" s="153" t="s">
        <v>267</v>
      </c>
      <c r="F39" s="153">
        <v>1522865</v>
      </c>
      <c r="G39" s="153">
        <v>1444284</v>
      </c>
      <c r="H39" s="153">
        <v>1382641</v>
      </c>
      <c r="I39" s="153">
        <v>1327505</v>
      </c>
      <c r="J39" s="153">
        <v>1280489</v>
      </c>
      <c r="K39" s="153">
        <v>1233466</v>
      </c>
      <c r="L39" s="153">
        <v>1191748</v>
      </c>
      <c r="M39" s="153">
        <v>1148203</v>
      </c>
      <c r="N39" s="153">
        <v>1118596</v>
      </c>
      <c r="O39" s="153">
        <v>1083815</v>
      </c>
      <c r="P39" s="153">
        <v>1072309</v>
      </c>
      <c r="Q39" s="153">
        <v>1031280</v>
      </c>
      <c r="R39" s="153">
        <v>991663</v>
      </c>
      <c r="S39" s="153">
        <v>950240</v>
      </c>
      <c r="T39" s="153">
        <v>907068</v>
      </c>
      <c r="U39" s="153">
        <v>868110</v>
      </c>
      <c r="V39" s="153">
        <v>823189</v>
      </c>
      <c r="W39" s="153" t="s">
        <v>267</v>
      </c>
      <c r="X39" s="153">
        <v>745889</v>
      </c>
      <c r="Y39" s="153" t="s">
        <v>267</v>
      </c>
      <c r="Z39" s="153" t="s">
        <v>267</v>
      </c>
      <c r="AA39" s="153" t="s">
        <v>267</v>
      </c>
      <c r="AB39" s="153" t="s">
        <v>267</v>
      </c>
      <c r="AC39" s="153" t="s">
        <v>267</v>
      </c>
    </row>
    <row r="40" spans="1:29" x14ac:dyDescent="0.3">
      <c r="B40" s="6" t="s">
        <v>281</v>
      </c>
      <c r="C40" s="7">
        <v>4059875</v>
      </c>
      <c r="D40" s="153">
        <v>603816</v>
      </c>
      <c r="E40" s="153">
        <v>523473</v>
      </c>
      <c r="F40" s="153">
        <v>469999</v>
      </c>
      <c r="G40" s="153">
        <v>445561</v>
      </c>
      <c r="H40" s="153">
        <v>415297</v>
      </c>
      <c r="I40" s="153">
        <v>395296</v>
      </c>
      <c r="J40" s="153">
        <v>364156</v>
      </c>
      <c r="K40" s="153">
        <v>143324</v>
      </c>
      <c r="L40" s="153">
        <v>136378</v>
      </c>
      <c r="M40" s="153">
        <v>309972</v>
      </c>
      <c r="N40" s="153">
        <v>299599</v>
      </c>
      <c r="O40" s="153">
        <v>290604</v>
      </c>
      <c r="P40" s="153">
        <v>272496</v>
      </c>
      <c r="Q40" s="153">
        <v>257912</v>
      </c>
      <c r="R40" s="153">
        <v>241489</v>
      </c>
      <c r="S40" s="153">
        <v>221353</v>
      </c>
      <c r="T40" s="153">
        <v>218732</v>
      </c>
      <c r="U40" s="153">
        <v>205924</v>
      </c>
      <c r="V40" s="153">
        <v>181243</v>
      </c>
      <c r="W40" s="153" t="s">
        <v>267</v>
      </c>
      <c r="X40" s="153">
        <v>155214</v>
      </c>
      <c r="Y40" s="153">
        <v>146178</v>
      </c>
      <c r="Z40" s="153">
        <v>139691</v>
      </c>
      <c r="AA40" s="153">
        <v>129433</v>
      </c>
      <c r="AB40" s="153">
        <v>119719</v>
      </c>
      <c r="AC40" s="153">
        <v>113061</v>
      </c>
    </row>
    <row r="41" spans="1:29" x14ac:dyDescent="0.3">
      <c r="B41" s="6" t="s">
        <v>212</v>
      </c>
      <c r="C41" s="7">
        <v>4057090</v>
      </c>
      <c r="D41" s="153">
        <v>1075161</v>
      </c>
      <c r="E41" s="153">
        <v>1029149</v>
      </c>
      <c r="F41" s="153">
        <v>984030</v>
      </c>
      <c r="G41" s="153">
        <v>943963</v>
      </c>
      <c r="H41" s="153">
        <v>883475</v>
      </c>
      <c r="I41" s="153">
        <v>818369</v>
      </c>
      <c r="J41" s="153">
        <v>756502</v>
      </c>
      <c r="K41" s="153">
        <v>700841</v>
      </c>
      <c r="L41" s="153">
        <v>645232</v>
      </c>
      <c r="M41" s="153">
        <v>611817</v>
      </c>
      <c r="N41" s="153">
        <v>574219</v>
      </c>
      <c r="O41" s="153">
        <v>544481</v>
      </c>
      <c r="P41" s="153">
        <v>511329</v>
      </c>
      <c r="Q41" s="153">
        <v>464243</v>
      </c>
      <c r="R41" s="153">
        <v>440121</v>
      </c>
      <c r="S41" s="153">
        <v>425927</v>
      </c>
      <c r="T41" s="153">
        <v>404952</v>
      </c>
      <c r="U41" s="153">
        <v>388159</v>
      </c>
      <c r="V41" s="153">
        <v>356807</v>
      </c>
      <c r="W41" s="153">
        <v>332059</v>
      </c>
      <c r="X41" s="153">
        <v>315583</v>
      </c>
      <c r="Y41" s="153">
        <v>296415</v>
      </c>
      <c r="Z41" s="153">
        <v>273974</v>
      </c>
      <c r="AA41" s="153">
        <v>269758</v>
      </c>
      <c r="AB41" s="153">
        <v>254253</v>
      </c>
      <c r="AC41" s="153">
        <v>239290</v>
      </c>
    </row>
    <row r="42" spans="1:29" x14ac:dyDescent="0.3">
      <c r="B42" s="6" t="s">
        <v>213</v>
      </c>
      <c r="C42" s="7">
        <v>4008754</v>
      </c>
      <c r="D42" s="153">
        <v>428405</v>
      </c>
      <c r="E42" s="153">
        <v>407795</v>
      </c>
      <c r="F42" s="153">
        <v>389525</v>
      </c>
      <c r="G42" s="153">
        <v>369290</v>
      </c>
      <c r="H42" s="153">
        <v>352252</v>
      </c>
      <c r="I42" s="153">
        <v>338320</v>
      </c>
      <c r="J42" s="153">
        <v>327849</v>
      </c>
      <c r="K42" s="153">
        <v>311909</v>
      </c>
      <c r="L42" s="153">
        <v>296823</v>
      </c>
      <c r="M42" s="153">
        <v>284962</v>
      </c>
      <c r="N42" s="153">
        <v>271383</v>
      </c>
      <c r="O42" s="153">
        <v>262525</v>
      </c>
      <c r="P42" s="153">
        <v>249629</v>
      </c>
      <c r="Q42" s="153">
        <v>240677</v>
      </c>
      <c r="R42" s="153">
        <v>233783</v>
      </c>
      <c r="S42" s="153">
        <v>226161</v>
      </c>
      <c r="T42" s="153">
        <v>217301</v>
      </c>
      <c r="U42" s="153">
        <v>210877</v>
      </c>
      <c r="V42" s="153">
        <v>200983</v>
      </c>
      <c r="W42" s="153">
        <v>186974</v>
      </c>
      <c r="X42" s="153">
        <v>177083</v>
      </c>
      <c r="Y42" s="153">
        <v>170810</v>
      </c>
      <c r="Z42" s="153">
        <v>166607</v>
      </c>
      <c r="AA42" s="153">
        <v>163880</v>
      </c>
      <c r="AB42" s="153">
        <v>160121</v>
      </c>
      <c r="AC42" s="153">
        <v>156191</v>
      </c>
    </row>
    <row r="43" spans="1:29" x14ac:dyDescent="0.3">
      <c r="B43" s="6" t="s">
        <v>282</v>
      </c>
      <c r="C43" s="7">
        <v>4061474</v>
      </c>
      <c r="D43" s="153">
        <v>25849</v>
      </c>
      <c r="E43" s="153">
        <v>25013</v>
      </c>
      <c r="F43" s="153">
        <v>24095</v>
      </c>
      <c r="G43" s="153">
        <v>23359</v>
      </c>
      <c r="H43" s="153">
        <v>22722</v>
      </c>
      <c r="I43" s="153">
        <v>22177</v>
      </c>
      <c r="J43" s="153">
        <v>20987</v>
      </c>
      <c r="K43" s="153">
        <v>19984</v>
      </c>
      <c r="L43" s="153">
        <v>19245</v>
      </c>
      <c r="M43" s="153">
        <v>18832</v>
      </c>
      <c r="N43" s="153">
        <v>18459</v>
      </c>
      <c r="O43" s="153">
        <v>17839</v>
      </c>
      <c r="P43" s="153">
        <v>17311</v>
      </c>
      <c r="Q43" s="153">
        <v>16518</v>
      </c>
      <c r="R43" s="153">
        <v>16225</v>
      </c>
      <c r="S43" s="153">
        <v>15887</v>
      </c>
      <c r="T43" s="153">
        <v>15521</v>
      </c>
      <c r="U43" s="153">
        <v>15113</v>
      </c>
      <c r="V43" s="153">
        <v>10759</v>
      </c>
      <c r="W43" s="153" t="s">
        <v>267</v>
      </c>
      <c r="X43" s="153">
        <v>10110</v>
      </c>
      <c r="Y43" s="153" t="s">
        <v>267</v>
      </c>
      <c r="Z43" s="153" t="s">
        <v>267</v>
      </c>
      <c r="AA43" s="153">
        <v>9189</v>
      </c>
      <c r="AB43" s="153">
        <v>8948</v>
      </c>
      <c r="AC43" s="153">
        <v>8369</v>
      </c>
    </row>
    <row r="44" spans="1:29" x14ac:dyDescent="0.3">
      <c r="B44" s="6" t="s">
        <v>283</v>
      </c>
      <c r="C44" s="7">
        <v>4076679</v>
      </c>
      <c r="D44" s="153">
        <v>44877</v>
      </c>
      <c r="E44" s="153">
        <v>43016</v>
      </c>
      <c r="F44" s="153">
        <v>40862</v>
      </c>
      <c r="G44" s="153">
        <v>38875</v>
      </c>
      <c r="H44" s="153">
        <v>37250</v>
      </c>
      <c r="I44" s="153">
        <v>35478</v>
      </c>
      <c r="J44" s="153">
        <v>32978</v>
      </c>
      <c r="K44" s="153">
        <v>30651</v>
      </c>
      <c r="L44" s="153">
        <v>29599</v>
      </c>
      <c r="M44" s="153">
        <v>28617</v>
      </c>
      <c r="N44" s="153">
        <v>27532</v>
      </c>
      <c r="O44" s="153">
        <v>26362</v>
      </c>
      <c r="P44" s="153">
        <v>25520</v>
      </c>
      <c r="Q44" s="153">
        <v>24478</v>
      </c>
      <c r="R44" s="153">
        <v>23646</v>
      </c>
      <c r="S44" s="153">
        <v>22060</v>
      </c>
      <c r="T44" s="153">
        <v>20809</v>
      </c>
      <c r="U44" s="153">
        <v>20038</v>
      </c>
      <c r="V44" s="153">
        <v>18759</v>
      </c>
      <c r="W44" s="153">
        <v>16923</v>
      </c>
      <c r="X44" s="153">
        <v>15998</v>
      </c>
      <c r="Y44" s="153" t="s">
        <v>267</v>
      </c>
      <c r="Z44" s="153" t="s">
        <v>267</v>
      </c>
      <c r="AA44" s="153" t="s">
        <v>267</v>
      </c>
      <c r="AB44" s="153" t="s">
        <v>267</v>
      </c>
      <c r="AC44" s="153" t="s">
        <v>267</v>
      </c>
    </row>
    <row r="45" spans="1:29" x14ac:dyDescent="0.3">
      <c r="B45" s="6" t="s">
        <v>215</v>
      </c>
      <c r="C45" s="7">
        <v>4061634</v>
      </c>
      <c r="D45" s="153">
        <v>642798</v>
      </c>
      <c r="E45" s="153">
        <v>598152</v>
      </c>
      <c r="F45" s="153">
        <v>546427</v>
      </c>
      <c r="G45" s="153">
        <v>491817</v>
      </c>
      <c r="H45" s="153">
        <v>467665</v>
      </c>
      <c r="I45" s="153">
        <v>450016</v>
      </c>
      <c r="J45" s="153">
        <v>432514</v>
      </c>
      <c r="K45" s="153">
        <v>418827</v>
      </c>
      <c r="L45" s="153">
        <v>408195</v>
      </c>
      <c r="M45" s="153">
        <v>398567</v>
      </c>
      <c r="N45" s="153">
        <v>389071</v>
      </c>
      <c r="O45" s="153">
        <v>374867</v>
      </c>
      <c r="P45" s="153">
        <v>369712</v>
      </c>
      <c r="Q45" s="153">
        <v>358718</v>
      </c>
      <c r="R45" s="153">
        <v>348788</v>
      </c>
      <c r="S45" s="153">
        <v>338990</v>
      </c>
      <c r="T45" s="153">
        <v>289703</v>
      </c>
      <c r="U45" s="153">
        <v>276696</v>
      </c>
      <c r="V45" s="153">
        <v>268403</v>
      </c>
      <c r="W45" s="153">
        <v>258042</v>
      </c>
      <c r="X45" s="153">
        <v>248801</v>
      </c>
      <c r="Y45" s="153">
        <v>225020</v>
      </c>
      <c r="Z45" s="153">
        <v>217438</v>
      </c>
      <c r="AA45" s="153">
        <v>211245</v>
      </c>
      <c r="AB45" s="153">
        <v>204736</v>
      </c>
      <c r="AC45" s="153">
        <v>197228</v>
      </c>
    </row>
    <row r="46" spans="1:29" x14ac:dyDescent="0.3">
      <c r="B46" s="6" t="s">
        <v>216</v>
      </c>
      <c r="C46" s="7">
        <v>4061687</v>
      </c>
      <c r="D46" s="153">
        <v>1983301</v>
      </c>
      <c r="E46" s="153">
        <v>1927350</v>
      </c>
      <c r="F46" s="153">
        <v>1873317</v>
      </c>
      <c r="G46" s="153">
        <v>1822483</v>
      </c>
      <c r="H46" s="153">
        <v>1774038</v>
      </c>
      <c r="I46" s="153">
        <v>1720869</v>
      </c>
      <c r="J46" s="153">
        <v>1681269</v>
      </c>
      <c r="K46" s="153">
        <v>1636440</v>
      </c>
      <c r="L46" s="153">
        <v>1603993</v>
      </c>
      <c r="M46" s="153">
        <v>1568635</v>
      </c>
      <c r="N46" s="153">
        <v>1531841</v>
      </c>
      <c r="O46" s="153">
        <v>1492815</v>
      </c>
      <c r="P46" s="153">
        <v>1460827</v>
      </c>
      <c r="Q46" s="153">
        <v>1419719</v>
      </c>
      <c r="R46" s="153">
        <v>1383510</v>
      </c>
      <c r="S46" s="153">
        <v>1344377</v>
      </c>
      <c r="T46" s="153">
        <v>1311186</v>
      </c>
      <c r="U46" s="153">
        <v>1274674</v>
      </c>
      <c r="V46" s="153">
        <v>1232024</v>
      </c>
      <c r="W46" s="153">
        <v>1196417</v>
      </c>
      <c r="X46" s="153">
        <v>1215470</v>
      </c>
      <c r="Y46" s="153">
        <v>1138954</v>
      </c>
      <c r="Z46" s="153">
        <v>1102672</v>
      </c>
      <c r="AA46" s="153">
        <v>1070455</v>
      </c>
      <c r="AB46" s="153">
        <v>1022575</v>
      </c>
      <c r="AC46" s="153">
        <v>970819</v>
      </c>
    </row>
    <row r="47" spans="1:29" x14ac:dyDescent="0.3">
      <c r="A47" s="1" t="s">
        <v>268</v>
      </c>
      <c r="B47" s="6" t="s">
        <v>217</v>
      </c>
      <c r="C47" s="7">
        <v>4061755</v>
      </c>
      <c r="D47" s="153">
        <v>2154624</v>
      </c>
      <c r="E47" s="153">
        <v>2020663</v>
      </c>
      <c r="F47" s="153">
        <v>1824373</v>
      </c>
      <c r="G47" s="153">
        <v>1699893</v>
      </c>
      <c r="H47" s="153">
        <v>1556200</v>
      </c>
      <c r="I47" s="153">
        <v>1438374</v>
      </c>
      <c r="J47" s="153">
        <v>1316836</v>
      </c>
      <c r="K47" s="153">
        <v>1227014</v>
      </c>
      <c r="L47" s="153">
        <v>1164165</v>
      </c>
      <c r="M47" s="153">
        <v>1128870</v>
      </c>
      <c r="N47" s="153">
        <v>1052012</v>
      </c>
      <c r="O47" s="153">
        <v>1026985</v>
      </c>
      <c r="P47" s="153">
        <v>989721</v>
      </c>
      <c r="Q47" s="153">
        <v>954367</v>
      </c>
      <c r="R47" s="153">
        <v>924650</v>
      </c>
      <c r="S47" s="153">
        <v>896398</v>
      </c>
      <c r="T47" s="153">
        <v>861044</v>
      </c>
      <c r="U47" s="153">
        <v>822018</v>
      </c>
      <c r="V47" s="153">
        <v>793451</v>
      </c>
      <c r="W47" s="153">
        <v>762959</v>
      </c>
      <c r="X47" s="153">
        <v>750297</v>
      </c>
      <c r="Y47" s="153">
        <v>712620</v>
      </c>
      <c r="Z47" s="153">
        <v>675001</v>
      </c>
      <c r="AA47" s="153">
        <v>639153</v>
      </c>
      <c r="AB47" s="153">
        <v>603672</v>
      </c>
      <c r="AC47" s="153">
        <v>571125</v>
      </c>
    </row>
    <row r="48" spans="1:29" x14ac:dyDescent="0.3">
      <c r="A48" s="1" t="s">
        <v>268</v>
      </c>
      <c r="B48" s="6" t="s">
        <v>219</v>
      </c>
      <c r="C48" s="7">
        <v>4004389</v>
      </c>
      <c r="D48" s="153">
        <v>1138047</v>
      </c>
      <c r="E48" s="153">
        <v>1082350</v>
      </c>
      <c r="F48" s="153">
        <v>1006333</v>
      </c>
      <c r="G48" s="153">
        <v>967483</v>
      </c>
      <c r="H48" s="153">
        <v>911637</v>
      </c>
      <c r="I48" s="153">
        <v>871365</v>
      </c>
      <c r="J48" s="153">
        <v>843107</v>
      </c>
      <c r="K48" s="153">
        <v>776258</v>
      </c>
      <c r="L48" s="153">
        <v>746932</v>
      </c>
      <c r="M48" s="153">
        <v>714707</v>
      </c>
      <c r="N48" s="153">
        <v>686547</v>
      </c>
      <c r="O48" s="153">
        <v>668663</v>
      </c>
      <c r="P48" s="153">
        <v>655340</v>
      </c>
      <c r="Q48" s="153">
        <v>632375</v>
      </c>
      <c r="R48" s="153">
        <v>616020</v>
      </c>
      <c r="S48" s="153">
        <v>603054</v>
      </c>
      <c r="T48" s="153">
        <v>590664</v>
      </c>
      <c r="U48" s="153">
        <v>574870</v>
      </c>
      <c r="V48" s="153">
        <v>556263</v>
      </c>
      <c r="W48" s="153">
        <v>539120</v>
      </c>
      <c r="X48" s="153">
        <v>520539</v>
      </c>
      <c r="Y48" s="153">
        <v>503302</v>
      </c>
      <c r="Z48" s="153">
        <v>480249</v>
      </c>
      <c r="AA48" s="153">
        <v>451349</v>
      </c>
      <c r="AB48" s="153">
        <v>425816</v>
      </c>
      <c r="AC48" s="153">
        <v>393455</v>
      </c>
    </row>
    <row r="49" spans="1:29" x14ac:dyDescent="0.3">
      <c r="A49" s="1" t="s">
        <v>268</v>
      </c>
      <c r="B49" s="6" t="s">
        <v>220</v>
      </c>
      <c r="C49" s="7">
        <v>4057014</v>
      </c>
      <c r="D49" s="153">
        <v>2368080</v>
      </c>
      <c r="E49" s="153">
        <v>2278325</v>
      </c>
      <c r="F49" s="153">
        <v>2189107</v>
      </c>
      <c r="G49" s="153">
        <v>2100333</v>
      </c>
      <c r="H49" s="153">
        <v>1991269</v>
      </c>
      <c r="I49" s="153">
        <v>1946904</v>
      </c>
      <c r="J49" s="153">
        <v>1846058</v>
      </c>
      <c r="K49" s="153">
        <v>1771511</v>
      </c>
      <c r="L49" s="153">
        <v>1722549</v>
      </c>
      <c r="M49" s="153">
        <v>1680788</v>
      </c>
      <c r="N49" s="153">
        <v>1630157</v>
      </c>
      <c r="O49" s="153">
        <v>1581697</v>
      </c>
      <c r="P49" s="153">
        <v>1525893</v>
      </c>
      <c r="Q49" s="153">
        <v>1468304</v>
      </c>
      <c r="R49" s="153">
        <v>1436544</v>
      </c>
      <c r="S49" s="153">
        <v>1379790</v>
      </c>
      <c r="T49" s="153">
        <v>1307579</v>
      </c>
      <c r="U49" s="153">
        <v>1281724</v>
      </c>
      <c r="V49" s="153">
        <v>1232854</v>
      </c>
      <c r="W49" s="153">
        <v>1229808</v>
      </c>
      <c r="X49" s="153">
        <v>1194189</v>
      </c>
      <c r="Y49" s="153">
        <v>1146296</v>
      </c>
      <c r="Z49" s="153">
        <v>1080651</v>
      </c>
      <c r="AA49" s="153">
        <v>1040731</v>
      </c>
      <c r="AB49" s="153">
        <v>985177</v>
      </c>
      <c r="AC49" s="153">
        <v>937726</v>
      </c>
    </row>
    <row r="50" spans="1:29" x14ac:dyDescent="0.3">
      <c r="B50" s="6" t="s">
        <v>221</v>
      </c>
      <c r="C50" s="7">
        <v>4057130</v>
      </c>
      <c r="D50" s="153">
        <v>577515</v>
      </c>
      <c r="E50" s="153">
        <v>560846</v>
      </c>
      <c r="F50" s="153">
        <v>536477</v>
      </c>
      <c r="G50" s="153">
        <v>486023</v>
      </c>
      <c r="H50" s="153">
        <v>460824</v>
      </c>
      <c r="I50" s="153">
        <v>448774</v>
      </c>
      <c r="J50" s="153">
        <v>421449</v>
      </c>
      <c r="K50" s="153">
        <v>394812</v>
      </c>
      <c r="L50" s="153">
        <v>372450</v>
      </c>
      <c r="M50" s="153">
        <v>359629</v>
      </c>
      <c r="N50" s="153">
        <v>355905</v>
      </c>
      <c r="O50" s="153">
        <v>347426</v>
      </c>
      <c r="P50" s="153">
        <v>343486</v>
      </c>
      <c r="Q50" s="153">
        <v>336008</v>
      </c>
      <c r="R50" s="153">
        <v>313689</v>
      </c>
      <c r="S50" s="153">
        <v>302787</v>
      </c>
      <c r="T50" s="153">
        <v>291478</v>
      </c>
      <c r="U50" s="153">
        <v>284812</v>
      </c>
      <c r="V50" s="153">
        <v>279349</v>
      </c>
      <c r="W50" s="153">
        <v>271308</v>
      </c>
      <c r="X50" s="153">
        <v>265516</v>
      </c>
      <c r="Y50" s="153">
        <v>256150</v>
      </c>
      <c r="Z50" s="153">
        <v>247040</v>
      </c>
      <c r="AA50" s="153">
        <v>237972</v>
      </c>
      <c r="AB50" s="153">
        <v>228075</v>
      </c>
      <c r="AC50" s="153" t="s">
        <v>267</v>
      </c>
    </row>
    <row r="51" spans="1:29" x14ac:dyDescent="0.3">
      <c r="B51" s="6" t="s">
        <v>223</v>
      </c>
      <c r="C51" s="7">
        <v>4057131</v>
      </c>
      <c r="D51" s="153">
        <v>5556566</v>
      </c>
      <c r="E51" s="153">
        <v>5167315</v>
      </c>
      <c r="F51" s="153">
        <v>4718665</v>
      </c>
      <c r="G51" s="153">
        <v>4371057</v>
      </c>
      <c r="H51" s="153">
        <v>4134797</v>
      </c>
      <c r="I51" s="153">
        <v>3917155</v>
      </c>
      <c r="J51" s="153">
        <v>3687702</v>
      </c>
      <c r="K51" s="153">
        <v>3559561</v>
      </c>
      <c r="L51" s="153">
        <v>3511380</v>
      </c>
      <c r="M51" s="153">
        <v>3413491</v>
      </c>
      <c r="N51" s="153">
        <v>3321232</v>
      </c>
      <c r="O51" s="153">
        <v>3222584</v>
      </c>
      <c r="P51" s="153">
        <v>3122237</v>
      </c>
      <c r="Q51" s="153">
        <v>3014304</v>
      </c>
      <c r="R51" s="153">
        <v>2926410</v>
      </c>
      <c r="S51" s="153">
        <v>2822164</v>
      </c>
      <c r="T51" s="153">
        <v>2651669</v>
      </c>
      <c r="U51" s="153">
        <v>2552582</v>
      </c>
      <c r="V51" s="153">
        <v>2445101</v>
      </c>
      <c r="W51" s="153">
        <v>2355594</v>
      </c>
      <c r="X51" s="153">
        <v>2256923</v>
      </c>
      <c r="Y51" s="153">
        <v>2178632</v>
      </c>
      <c r="Z51" s="153">
        <v>2104253</v>
      </c>
      <c r="AA51" s="153">
        <v>2041440</v>
      </c>
      <c r="AB51" s="153">
        <v>1971948</v>
      </c>
      <c r="AC51" s="153">
        <v>1899327</v>
      </c>
    </row>
    <row r="52" spans="1:29" x14ac:dyDescent="0.3">
      <c r="B52" s="6" t="s">
        <v>224</v>
      </c>
      <c r="C52" s="7">
        <v>4012860</v>
      </c>
      <c r="D52" s="153">
        <v>2288079</v>
      </c>
      <c r="E52" s="153">
        <v>2171088</v>
      </c>
      <c r="F52" s="153">
        <v>2038936</v>
      </c>
      <c r="G52" s="153">
        <v>1916919</v>
      </c>
      <c r="H52" s="153">
        <v>1821297</v>
      </c>
      <c r="I52" s="153">
        <v>1703155</v>
      </c>
      <c r="J52" s="153">
        <v>1618467</v>
      </c>
      <c r="K52" s="153">
        <v>1528398</v>
      </c>
      <c r="L52" s="153">
        <v>1464497</v>
      </c>
      <c r="M52" s="153">
        <v>1396279</v>
      </c>
      <c r="N52" s="153">
        <v>1356310</v>
      </c>
      <c r="O52" s="153">
        <v>1221102</v>
      </c>
      <c r="P52" s="153">
        <v>1192299</v>
      </c>
      <c r="Q52" s="153">
        <v>1153626</v>
      </c>
      <c r="R52" s="153">
        <v>1121122</v>
      </c>
      <c r="S52" s="153">
        <v>1079119</v>
      </c>
      <c r="T52" s="153">
        <v>1051384</v>
      </c>
      <c r="U52" s="153">
        <v>1013836</v>
      </c>
      <c r="V52" s="153">
        <v>977287</v>
      </c>
      <c r="W52" s="153">
        <v>950739</v>
      </c>
      <c r="X52" s="153">
        <v>913099</v>
      </c>
      <c r="Y52" s="153">
        <v>871376</v>
      </c>
      <c r="Z52" s="153">
        <v>844327</v>
      </c>
      <c r="AA52" s="153">
        <v>810472</v>
      </c>
      <c r="AB52" s="153">
        <v>784540</v>
      </c>
      <c r="AC52" s="153">
        <v>746912</v>
      </c>
    </row>
    <row r="53" spans="1:29" x14ac:dyDescent="0.3">
      <c r="B53" s="6" t="s">
        <v>227</v>
      </c>
      <c r="C53" s="7">
        <v>4061925</v>
      </c>
      <c r="D53" s="153">
        <v>352138</v>
      </c>
      <c r="E53" s="153">
        <v>327525</v>
      </c>
      <c r="F53" s="153">
        <v>310058</v>
      </c>
      <c r="G53" s="153">
        <v>291131</v>
      </c>
      <c r="H53" s="153">
        <v>269375</v>
      </c>
      <c r="I53" s="153">
        <v>250522</v>
      </c>
      <c r="J53" s="153">
        <v>232239</v>
      </c>
      <c r="K53" s="153">
        <v>212664</v>
      </c>
      <c r="L53" s="153">
        <v>201669</v>
      </c>
      <c r="M53" s="153">
        <v>192583</v>
      </c>
      <c r="N53" s="153">
        <v>180060</v>
      </c>
      <c r="O53" s="153">
        <v>170333</v>
      </c>
      <c r="P53" s="153">
        <v>160826</v>
      </c>
      <c r="Q53" s="153">
        <v>157225</v>
      </c>
      <c r="R53" s="153">
        <v>150720</v>
      </c>
      <c r="S53" s="153">
        <v>146316</v>
      </c>
      <c r="T53" s="153">
        <v>138002</v>
      </c>
      <c r="U53" s="153">
        <v>129737</v>
      </c>
      <c r="V53" s="153">
        <v>123251</v>
      </c>
      <c r="W53" s="153">
        <v>118945</v>
      </c>
      <c r="X53" s="153">
        <v>115310</v>
      </c>
      <c r="Y53" s="153">
        <v>108653</v>
      </c>
      <c r="Z53" s="153">
        <v>103355</v>
      </c>
      <c r="AA53" s="153">
        <v>95728</v>
      </c>
      <c r="AB53" s="153">
        <v>90230</v>
      </c>
      <c r="AC53" s="153">
        <v>84002</v>
      </c>
    </row>
    <row r="54" spans="1:29" x14ac:dyDescent="0.3">
      <c r="B54" s="6" t="s">
        <v>284</v>
      </c>
      <c r="C54" s="7">
        <v>4057132</v>
      </c>
      <c r="D54" s="153" t="s">
        <v>267</v>
      </c>
      <c r="E54" s="153" t="s">
        <v>267</v>
      </c>
      <c r="F54" s="153" t="s">
        <v>267</v>
      </c>
      <c r="G54" s="153">
        <v>2161775</v>
      </c>
      <c r="H54" s="153">
        <v>2078202</v>
      </c>
      <c r="I54" s="153">
        <v>2003154</v>
      </c>
      <c r="J54" s="153">
        <v>1937177</v>
      </c>
      <c r="K54" s="153">
        <v>1875731</v>
      </c>
      <c r="L54" s="153">
        <v>1820666</v>
      </c>
      <c r="M54" s="153">
        <v>1771064</v>
      </c>
      <c r="N54" s="153">
        <v>1722620</v>
      </c>
      <c r="O54" s="153">
        <v>1684619</v>
      </c>
      <c r="P54" s="153">
        <v>1632712</v>
      </c>
      <c r="Q54" s="153">
        <v>1558717</v>
      </c>
      <c r="R54" s="153">
        <v>1480419</v>
      </c>
      <c r="S54" s="153">
        <v>1399434</v>
      </c>
      <c r="T54" s="153">
        <v>1334548</v>
      </c>
      <c r="U54" s="153" t="s">
        <v>267</v>
      </c>
      <c r="V54" s="153">
        <v>1189492</v>
      </c>
      <c r="W54" s="153">
        <v>1132356</v>
      </c>
      <c r="X54" s="153">
        <v>1080059</v>
      </c>
      <c r="Y54" s="153">
        <v>1022486</v>
      </c>
      <c r="Z54" s="153">
        <v>964737</v>
      </c>
      <c r="AA54" s="153">
        <v>908282</v>
      </c>
      <c r="AB54" s="153">
        <v>843385</v>
      </c>
      <c r="AC54" s="153">
        <v>781081</v>
      </c>
    </row>
    <row r="55" spans="1:29" x14ac:dyDescent="0.3">
      <c r="A55" s="1" t="s">
        <v>268</v>
      </c>
      <c r="B55" s="6" t="s">
        <v>285</v>
      </c>
      <c r="C55" s="7">
        <v>4057115</v>
      </c>
      <c r="D55" s="153">
        <v>798096</v>
      </c>
      <c r="E55" s="153">
        <v>718545</v>
      </c>
      <c r="F55" s="153">
        <v>601133</v>
      </c>
      <c r="G55" s="153">
        <v>545117</v>
      </c>
      <c r="H55" s="153">
        <v>496512</v>
      </c>
      <c r="I55" s="153">
        <v>452660</v>
      </c>
      <c r="J55" s="153">
        <v>420550</v>
      </c>
      <c r="K55" s="153">
        <v>428544</v>
      </c>
      <c r="L55" s="153">
        <v>375844</v>
      </c>
      <c r="M55" s="153">
        <v>349276</v>
      </c>
      <c r="N55" s="153">
        <v>331049</v>
      </c>
      <c r="O55" s="153">
        <v>318309</v>
      </c>
      <c r="P55" s="153">
        <v>300894</v>
      </c>
      <c r="Q55" s="153">
        <v>288607</v>
      </c>
      <c r="R55" s="153">
        <v>274617</v>
      </c>
      <c r="S55" s="153">
        <v>262423</v>
      </c>
      <c r="T55" s="153">
        <v>254897</v>
      </c>
      <c r="U55" s="153">
        <v>240919</v>
      </c>
      <c r="V55" s="153">
        <v>229068</v>
      </c>
      <c r="W55" s="153" t="s">
        <v>267</v>
      </c>
      <c r="X55" s="153">
        <v>209593</v>
      </c>
      <c r="Y55" s="153" t="s">
        <v>267</v>
      </c>
      <c r="Z55" s="153">
        <v>373032</v>
      </c>
      <c r="AA55" s="153">
        <v>356735</v>
      </c>
      <c r="AB55" s="153">
        <v>340194</v>
      </c>
      <c r="AC55" s="153">
        <v>330104</v>
      </c>
    </row>
    <row r="56" spans="1:29" x14ac:dyDescent="0.3">
      <c r="B56" s="6" t="s">
        <v>228</v>
      </c>
      <c r="C56" s="7">
        <v>4064479</v>
      </c>
      <c r="D56" s="153">
        <v>86509</v>
      </c>
      <c r="E56" s="153">
        <v>83901</v>
      </c>
      <c r="F56" s="153">
        <v>81745</v>
      </c>
      <c r="G56" s="153">
        <v>79539</v>
      </c>
      <c r="H56" s="153">
        <v>77150</v>
      </c>
      <c r="I56" s="153">
        <v>71282</v>
      </c>
      <c r="J56" s="153">
        <v>69284</v>
      </c>
      <c r="K56" s="153">
        <v>67967</v>
      </c>
      <c r="L56" s="153">
        <v>66071</v>
      </c>
      <c r="M56" s="153">
        <v>64382</v>
      </c>
      <c r="N56" s="153">
        <v>62308</v>
      </c>
      <c r="O56" s="153">
        <v>59876</v>
      </c>
      <c r="P56" s="153">
        <v>58684</v>
      </c>
      <c r="Q56" s="153">
        <v>57030</v>
      </c>
      <c r="R56" s="153">
        <v>55648</v>
      </c>
      <c r="S56" s="153">
        <v>53960</v>
      </c>
      <c r="T56" s="153">
        <v>52511</v>
      </c>
      <c r="U56" s="153">
        <v>51063</v>
      </c>
      <c r="V56" s="153">
        <v>49889</v>
      </c>
      <c r="W56" s="153">
        <v>48630</v>
      </c>
      <c r="X56" s="153">
        <v>47159</v>
      </c>
      <c r="Y56" s="153">
        <v>45708</v>
      </c>
      <c r="Z56" s="153">
        <v>44493</v>
      </c>
      <c r="AA56" s="153">
        <v>43268</v>
      </c>
      <c r="AB56" s="153">
        <v>41607</v>
      </c>
      <c r="AC56" s="153">
        <v>39785</v>
      </c>
    </row>
    <row r="57" spans="1:29" x14ac:dyDescent="0.3">
      <c r="B57" s="6" t="s">
        <v>286</v>
      </c>
      <c r="C57" s="7">
        <v>4062025</v>
      </c>
      <c r="D57" s="153">
        <v>78256</v>
      </c>
      <c r="E57" s="153">
        <v>69143</v>
      </c>
      <c r="F57" s="153">
        <v>59774</v>
      </c>
      <c r="G57" s="153">
        <v>58072</v>
      </c>
      <c r="H57" s="153">
        <v>55784</v>
      </c>
      <c r="I57" s="153">
        <v>51308</v>
      </c>
      <c r="J57" s="153">
        <v>48941</v>
      </c>
      <c r="K57" s="153">
        <v>43924</v>
      </c>
      <c r="L57" s="153">
        <v>42238</v>
      </c>
      <c r="M57" s="153">
        <v>40707</v>
      </c>
      <c r="N57" s="153">
        <v>39018</v>
      </c>
      <c r="O57" s="153">
        <v>37813</v>
      </c>
      <c r="P57" s="153">
        <v>36245</v>
      </c>
      <c r="Q57" s="153">
        <v>33985</v>
      </c>
      <c r="R57" s="153">
        <v>32108</v>
      </c>
      <c r="S57" s="153">
        <v>30887</v>
      </c>
      <c r="T57" s="153">
        <v>30028</v>
      </c>
      <c r="U57" s="153">
        <v>28312</v>
      </c>
      <c r="V57" s="153">
        <v>27134</v>
      </c>
      <c r="W57" s="153">
        <v>26044</v>
      </c>
      <c r="X57" s="153">
        <v>24811</v>
      </c>
      <c r="Y57" s="153">
        <v>23892</v>
      </c>
      <c r="Z57" s="153">
        <v>22473</v>
      </c>
      <c r="AA57" s="153">
        <v>20592</v>
      </c>
      <c r="AB57" s="153">
        <v>19608</v>
      </c>
      <c r="AC57" s="153">
        <v>17242</v>
      </c>
    </row>
    <row r="58" spans="1:29" x14ac:dyDescent="0.3">
      <c r="B58" s="6" t="s">
        <v>287</v>
      </c>
      <c r="C58" s="7">
        <v>4064481</v>
      </c>
      <c r="D58" s="153" t="s">
        <v>267</v>
      </c>
      <c r="E58" s="153" t="s">
        <v>267</v>
      </c>
      <c r="F58" s="153">
        <v>2030612</v>
      </c>
      <c r="G58" s="153">
        <v>1951131</v>
      </c>
      <c r="H58" s="153">
        <v>1861071</v>
      </c>
      <c r="I58" s="153">
        <v>1771168</v>
      </c>
      <c r="J58" s="153">
        <v>1662702</v>
      </c>
      <c r="K58" s="153">
        <v>1567292</v>
      </c>
      <c r="L58" s="153">
        <v>1480511</v>
      </c>
      <c r="M58" s="153">
        <v>1401380</v>
      </c>
      <c r="N58" s="153">
        <v>1332406</v>
      </c>
      <c r="O58" s="153">
        <v>1247104</v>
      </c>
      <c r="P58" s="153">
        <v>1188515</v>
      </c>
      <c r="Q58" s="153">
        <v>1117432</v>
      </c>
      <c r="R58" s="153">
        <v>1051855</v>
      </c>
      <c r="S58" s="153">
        <v>1010012</v>
      </c>
      <c r="T58" s="153">
        <v>960708</v>
      </c>
      <c r="U58" s="153">
        <v>918405</v>
      </c>
      <c r="V58" s="153">
        <v>854002</v>
      </c>
      <c r="W58" s="153">
        <v>832800</v>
      </c>
      <c r="X58" s="153">
        <v>788371</v>
      </c>
      <c r="Y58" s="153">
        <v>719284</v>
      </c>
      <c r="Z58" s="153">
        <v>706402</v>
      </c>
      <c r="AA58" s="153">
        <v>685080</v>
      </c>
      <c r="AB58" s="153">
        <v>657084</v>
      </c>
      <c r="AC58" s="153" t="s">
        <v>267</v>
      </c>
    </row>
    <row r="59" spans="1:29" x14ac:dyDescent="0.3">
      <c r="A59" s="1" t="s">
        <v>268</v>
      </c>
      <c r="B59" s="6" t="s">
        <v>229</v>
      </c>
      <c r="C59" s="7">
        <v>4057093</v>
      </c>
      <c r="D59" s="153">
        <v>815531</v>
      </c>
      <c r="E59" s="153">
        <v>777185</v>
      </c>
      <c r="F59" s="153">
        <v>718788</v>
      </c>
      <c r="G59" s="153">
        <v>673496</v>
      </c>
      <c r="H59" s="153">
        <v>628050</v>
      </c>
      <c r="I59" s="153">
        <v>586486</v>
      </c>
      <c r="J59" s="153">
        <v>549379</v>
      </c>
      <c r="K59" s="153">
        <v>525718</v>
      </c>
      <c r="L59" s="153">
        <v>498350</v>
      </c>
      <c r="M59" s="153">
        <v>460606</v>
      </c>
      <c r="N59" s="153">
        <v>433920</v>
      </c>
      <c r="O59" s="153">
        <v>398805</v>
      </c>
      <c r="P59" s="153">
        <v>378241</v>
      </c>
      <c r="Q59" s="153">
        <v>359065</v>
      </c>
      <c r="R59" s="153">
        <v>342381</v>
      </c>
      <c r="S59" s="153">
        <v>324371</v>
      </c>
      <c r="T59" s="153">
        <v>308270</v>
      </c>
      <c r="U59" s="153">
        <v>295865</v>
      </c>
      <c r="V59" s="153">
        <v>280938</v>
      </c>
      <c r="W59" s="153">
        <v>269088</v>
      </c>
      <c r="X59" s="153">
        <v>257431</v>
      </c>
      <c r="Y59" s="153">
        <v>240705</v>
      </c>
      <c r="Z59" s="153">
        <v>232172</v>
      </c>
      <c r="AA59" s="153">
        <v>218120</v>
      </c>
      <c r="AB59" s="153">
        <v>205676</v>
      </c>
      <c r="AC59" s="153">
        <v>197386</v>
      </c>
    </row>
    <row r="60" spans="1:29" x14ac:dyDescent="0.3">
      <c r="B60" s="6" t="s">
        <v>230</v>
      </c>
      <c r="C60" s="7">
        <v>4004218</v>
      </c>
      <c r="D60" s="153">
        <v>12938513</v>
      </c>
      <c r="E60" s="153">
        <v>11929220</v>
      </c>
      <c r="F60" s="153">
        <v>11048640</v>
      </c>
      <c r="G60" s="153">
        <v>10153337</v>
      </c>
      <c r="H60" s="153">
        <v>9336286</v>
      </c>
      <c r="I60" s="153">
        <v>8433857</v>
      </c>
      <c r="J60" s="153">
        <v>7789078</v>
      </c>
      <c r="K60" s="153">
        <v>7246771</v>
      </c>
      <c r="L60" s="153">
        <v>6699864</v>
      </c>
      <c r="M60" s="153">
        <v>6282257</v>
      </c>
      <c r="N60" s="153">
        <v>5940938</v>
      </c>
      <c r="O60" s="153">
        <v>5686185</v>
      </c>
      <c r="P60" s="153">
        <v>5448260</v>
      </c>
      <c r="Q60" s="153">
        <v>5217285</v>
      </c>
      <c r="R60" s="153">
        <v>5027707</v>
      </c>
      <c r="S60" s="153">
        <v>4837174</v>
      </c>
      <c r="T60" s="153">
        <v>4634484</v>
      </c>
      <c r="U60" s="153">
        <v>4498999</v>
      </c>
      <c r="V60" s="153">
        <v>4336206</v>
      </c>
      <c r="W60" s="153">
        <v>4169015</v>
      </c>
      <c r="X60" s="153">
        <v>4023240</v>
      </c>
      <c r="Y60" s="153">
        <v>3888813</v>
      </c>
      <c r="Z60" s="153">
        <v>3749429</v>
      </c>
      <c r="AA60" s="153">
        <v>3774719</v>
      </c>
      <c r="AB60" s="153">
        <v>3555339</v>
      </c>
      <c r="AC60" s="153">
        <v>3378754</v>
      </c>
    </row>
    <row r="61" spans="1:29" x14ac:dyDescent="0.3">
      <c r="A61" s="1" t="s">
        <v>268</v>
      </c>
      <c r="B61" s="6" t="s">
        <v>288</v>
      </c>
      <c r="C61" s="7">
        <v>4062222</v>
      </c>
      <c r="D61" s="153">
        <v>2964752</v>
      </c>
      <c r="E61" s="153">
        <v>2773265</v>
      </c>
      <c r="F61" s="153">
        <v>2570632</v>
      </c>
      <c r="G61" s="153">
        <v>2399002</v>
      </c>
      <c r="H61" s="153">
        <v>2251658</v>
      </c>
      <c r="I61" s="153">
        <v>2123550</v>
      </c>
      <c r="J61" s="153">
        <v>1994939</v>
      </c>
      <c r="K61" s="153">
        <v>1858572</v>
      </c>
      <c r="L61" s="153">
        <v>1787095</v>
      </c>
      <c r="M61" s="153">
        <v>1719386</v>
      </c>
      <c r="N61" s="153">
        <v>1661672</v>
      </c>
      <c r="O61" s="153">
        <v>1611139</v>
      </c>
      <c r="P61" s="153">
        <v>1565183</v>
      </c>
      <c r="Q61" s="153">
        <v>1518452</v>
      </c>
      <c r="R61" s="153">
        <v>1474549</v>
      </c>
      <c r="S61" s="153">
        <v>1422043</v>
      </c>
      <c r="T61" s="153">
        <v>1376953</v>
      </c>
      <c r="U61" s="153">
        <v>1323620</v>
      </c>
      <c r="V61" s="153">
        <v>1265834</v>
      </c>
      <c r="W61" s="153">
        <v>1229421</v>
      </c>
      <c r="X61" s="153" t="s">
        <v>267</v>
      </c>
      <c r="Y61" s="153">
        <v>846148</v>
      </c>
      <c r="Z61" s="153">
        <v>842435</v>
      </c>
      <c r="AA61" s="153">
        <v>842293</v>
      </c>
      <c r="AB61" s="153">
        <v>840074</v>
      </c>
      <c r="AC61" s="153">
        <v>828298</v>
      </c>
    </row>
    <row r="62" spans="1:29" x14ac:dyDescent="0.3">
      <c r="B62" s="6" t="s">
        <v>233</v>
      </c>
      <c r="C62" s="7">
        <v>4057135</v>
      </c>
      <c r="D62" s="153">
        <v>4889714</v>
      </c>
      <c r="E62" s="153">
        <v>4403106</v>
      </c>
      <c r="F62" s="153">
        <v>4021752</v>
      </c>
      <c r="G62" s="153">
        <v>3826155</v>
      </c>
      <c r="H62" s="153">
        <v>3508438</v>
      </c>
      <c r="I62" s="153">
        <v>3325097</v>
      </c>
      <c r="J62" s="153">
        <v>3054042</v>
      </c>
      <c r="K62" s="153">
        <v>2829609</v>
      </c>
      <c r="L62" s="153">
        <v>2555557</v>
      </c>
      <c r="M62" s="153">
        <v>2365701</v>
      </c>
      <c r="N62" s="153">
        <v>2197878</v>
      </c>
      <c r="O62" s="153">
        <v>2036231</v>
      </c>
      <c r="P62" s="153">
        <v>1995335</v>
      </c>
      <c r="Q62" s="153">
        <v>1891171</v>
      </c>
      <c r="R62" s="153">
        <v>1756857</v>
      </c>
      <c r="S62" s="153">
        <v>1677354</v>
      </c>
      <c r="T62" s="153">
        <v>1633603</v>
      </c>
      <c r="U62" s="153">
        <v>1597448</v>
      </c>
      <c r="V62" s="153">
        <v>1575897</v>
      </c>
      <c r="W62" s="153">
        <v>1539749</v>
      </c>
      <c r="X62" s="153">
        <v>1481850</v>
      </c>
      <c r="Y62" s="153">
        <v>1436973</v>
      </c>
      <c r="Z62" s="153">
        <v>1399780</v>
      </c>
      <c r="AA62" s="153">
        <v>1370131</v>
      </c>
      <c r="AB62" s="153">
        <v>1330735</v>
      </c>
      <c r="AC62" s="153">
        <v>1292140</v>
      </c>
    </row>
    <row r="63" spans="1:29" x14ac:dyDescent="0.3">
      <c r="B63" s="6" t="s">
        <v>234</v>
      </c>
      <c r="C63" s="7">
        <v>4063341</v>
      </c>
      <c r="D63" s="153">
        <v>2056024</v>
      </c>
      <c r="E63" s="153">
        <v>1847779</v>
      </c>
      <c r="F63" s="153">
        <v>1677614</v>
      </c>
      <c r="G63" s="153">
        <v>1534151</v>
      </c>
      <c r="H63" s="153">
        <v>1429078</v>
      </c>
      <c r="I63" s="153">
        <v>1326146</v>
      </c>
      <c r="J63" s="153">
        <v>1238426</v>
      </c>
      <c r="K63" s="153">
        <v>1175198</v>
      </c>
      <c r="L63" s="153">
        <v>1100724</v>
      </c>
      <c r="M63" s="153">
        <v>1035565</v>
      </c>
      <c r="N63" s="153">
        <v>983845</v>
      </c>
      <c r="O63" s="153">
        <v>955763</v>
      </c>
      <c r="P63" s="153">
        <v>899768</v>
      </c>
      <c r="Q63" s="153">
        <v>808651</v>
      </c>
      <c r="R63" s="153">
        <v>781064</v>
      </c>
      <c r="S63" s="153">
        <v>734677</v>
      </c>
      <c r="T63" s="153">
        <v>710113</v>
      </c>
      <c r="U63" s="153">
        <v>679673</v>
      </c>
      <c r="V63" s="153">
        <v>564642</v>
      </c>
      <c r="W63" s="153">
        <v>571023</v>
      </c>
      <c r="X63" s="153">
        <v>554666</v>
      </c>
      <c r="Y63" s="153">
        <v>522830</v>
      </c>
      <c r="Z63" s="153">
        <v>455488</v>
      </c>
      <c r="AA63" s="153">
        <v>416392</v>
      </c>
      <c r="AB63" s="153">
        <v>360116</v>
      </c>
      <c r="AC63" s="153">
        <v>342460</v>
      </c>
    </row>
    <row r="64" spans="1:29" x14ac:dyDescent="0.3">
      <c r="A64" s="1" t="s">
        <v>268</v>
      </c>
      <c r="B64" s="6" t="s">
        <v>289</v>
      </c>
      <c r="C64" s="7">
        <v>4083575</v>
      </c>
      <c r="D64" s="153">
        <v>1767109</v>
      </c>
      <c r="E64" s="153">
        <v>1637659</v>
      </c>
      <c r="F64" s="153">
        <v>1568836</v>
      </c>
      <c r="G64" s="153">
        <v>1480738</v>
      </c>
      <c r="H64" s="153">
        <v>1429087</v>
      </c>
      <c r="I64" s="153">
        <v>1373971</v>
      </c>
      <c r="J64" s="153">
        <v>1346998</v>
      </c>
      <c r="K64" s="153">
        <v>1305573</v>
      </c>
      <c r="L64" s="153">
        <v>1286725</v>
      </c>
      <c r="M64" s="153">
        <v>1262824</v>
      </c>
      <c r="N64" s="153">
        <v>1239387</v>
      </c>
      <c r="O64" s="153">
        <v>1213739</v>
      </c>
      <c r="P64" s="153">
        <v>1178668</v>
      </c>
      <c r="Q64" s="153">
        <v>1144099</v>
      </c>
      <c r="R64" s="153">
        <v>1108029</v>
      </c>
      <c r="S64" s="153">
        <v>1075190</v>
      </c>
      <c r="T64" s="153">
        <v>1043737</v>
      </c>
      <c r="U64" s="153">
        <v>1015759</v>
      </c>
      <c r="V64" s="153">
        <v>986854</v>
      </c>
      <c r="W64" s="153">
        <v>914532</v>
      </c>
      <c r="X64" s="153" t="s">
        <v>267</v>
      </c>
      <c r="Y64" s="153" t="s">
        <v>267</v>
      </c>
      <c r="Z64" s="153" t="s">
        <v>267</v>
      </c>
      <c r="AA64" s="153" t="s">
        <v>267</v>
      </c>
      <c r="AB64" s="153" t="s">
        <v>267</v>
      </c>
      <c r="AC64" s="153" t="s">
        <v>267</v>
      </c>
    </row>
    <row r="65" spans="1:29" x14ac:dyDescent="0.3">
      <c r="B65" s="6" t="s">
        <v>290</v>
      </c>
      <c r="C65" s="7">
        <v>4062303</v>
      </c>
      <c r="D65" s="153">
        <v>3057</v>
      </c>
      <c r="E65" s="153">
        <v>2973</v>
      </c>
      <c r="F65" s="153">
        <v>2651</v>
      </c>
      <c r="G65" s="153">
        <v>2537</v>
      </c>
      <c r="H65" s="153" t="s">
        <v>267</v>
      </c>
      <c r="I65" s="153">
        <v>2893</v>
      </c>
      <c r="J65" s="153">
        <v>2764</v>
      </c>
      <c r="K65" s="153">
        <v>2690</v>
      </c>
      <c r="L65" s="153">
        <v>2568</v>
      </c>
      <c r="M65" s="153">
        <v>2077</v>
      </c>
      <c r="N65" s="153">
        <v>2042</v>
      </c>
      <c r="O65" s="153">
        <v>1922</v>
      </c>
      <c r="P65" s="153">
        <v>1853</v>
      </c>
      <c r="Q65" s="153">
        <v>1690</v>
      </c>
      <c r="R65" s="153">
        <v>1557</v>
      </c>
      <c r="S65" s="153">
        <v>1494</v>
      </c>
      <c r="T65" s="153">
        <v>1162</v>
      </c>
      <c r="U65" s="153">
        <v>1101</v>
      </c>
      <c r="V65" s="153">
        <v>1083</v>
      </c>
      <c r="W65" s="153">
        <v>1001</v>
      </c>
      <c r="X65" s="153">
        <v>902</v>
      </c>
      <c r="Y65" s="153" t="s">
        <v>267</v>
      </c>
      <c r="Z65" s="153" t="s">
        <v>267</v>
      </c>
      <c r="AA65" s="153" t="s">
        <v>267</v>
      </c>
      <c r="AB65" s="153" t="s">
        <v>267</v>
      </c>
      <c r="AC65" s="153" t="s">
        <v>267</v>
      </c>
    </row>
    <row r="66" spans="1:29" x14ac:dyDescent="0.3">
      <c r="B66" s="6" t="s">
        <v>291</v>
      </c>
      <c r="C66" s="7">
        <v>4083581</v>
      </c>
      <c r="D66" s="153">
        <v>8459</v>
      </c>
      <c r="E66" s="153">
        <v>8161</v>
      </c>
      <c r="F66" s="153">
        <v>7922</v>
      </c>
      <c r="G66" s="153">
        <v>7630</v>
      </c>
      <c r="H66" s="153">
        <v>6890</v>
      </c>
      <c r="I66" s="153">
        <v>6421</v>
      </c>
      <c r="J66" s="153">
        <v>5849</v>
      </c>
      <c r="K66" s="153">
        <v>5874</v>
      </c>
      <c r="L66" s="153">
        <v>5528</v>
      </c>
      <c r="M66" s="153">
        <v>5523</v>
      </c>
      <c r="N66" s="153">
        <v>5516</v>
      </c>
      <c r="O66" s="153">
        <v>5516</v>
      </c>
      <c r="P66" s="153">
        <v>5505</v>
      </c>
      <c r="Q66" s="153">
        <v>5498</v>
      </c>
      <c r="R66" s="153">
        <v>5378</v>
      </c>
      <c r="S66" s="153">
        <v>5329</v>
      </c>
      <c r="T66" s="153">
        <v>5014</v>
      </c>
      <c r="U66" s="153">
        <v>4662</v>
      </c>
      <c r="V66" s="153" t="s">
        <v>267</v>
      </c>
      <c r="W66" s="153">
        <v>4306</v>
      </c>
      <c r="X66" s="153">
        <v>3880</v>
      </c>
      <c r="Y66" s="153" t="s">
        <v>267</v>
      </c>
      <c r="Z66" s="153" t="s">
        <v>267</v>
      </c>
      <c r="AA66" s="153" t="s">
        <v>267</v>
      </c>
      <c r="AB66" s="153" t="s">
        <v>267</v>
      </c>
      <c r="AC66" s="153" t="s">
        <v>267</v>
      </c>
    </row>
    <row r="67" spans="1:29" x14ac:dyDescent="0.3">
      <c r="B67" s="6" t="s">
        <v>236</v>
      </c>
      <c r="C67" s="7">
        <v>4057139</v>
      </c>
      <c r="D67" s="153">
        <v>1889107</v>
      </c>
      <c r="E67" s="153">
        <v>1777809</v>
      </c>
      <c r="F67" s="153">
        <v>1587906</v>
      </c>
      <c r="G67" s="153">
        <v>1518938</v>
      </c>
      <c r="H67" s="153">
        <v>1453906</v>
      </c>
      <c r="I67" s="153">
        <v>1360142</v>
      </c>
      <c r="J67" s="153">
        <v>1287258</v>
      </c>
      <c r="K67" s="153">
        <v>1197804</v>
      </c>
      <c r="L67" s="153">
        <v>1156607</v>
      </c>
      <c r="M67" s="153">
        <v>1114563</v>
      </c>
      <c r="N67" s="153">
        <v>1077792</v>
      </c>
      <c r="O67" s="153">
        <v>1046466</v>
      </c>
      <c r="P67" s="153">
        <v>1020965</v>
      </c>
      <c r="Q67" s="153">
        <v>931158</v>
      </c>
      <c r="R67" s="153">
        <v>862739</v>
      </c>
      <c r="S67" s="153">
        <v>792180</v>
      </c>
      <c r="T67" s="153">
        <v>743735</v>
      </c>
      <c r="U67" s="153">
        <v>706523</v>
      </c>
      <c r="V67" s="153">
        <v>670672</v>
      </c>
      <c r="W67" s="153">
        <v>634589</v>
      </c>
      <c r="X67" s="153">
        <v>582470</v>
      </c>
      <c r="Y67" s="153">
        <v>564485</v>
      </c>
      <c r="Z67" s="153">
        <v>542232</v>
      </c>
      <c r="AA67" s="153">
        <v>504893</v>
      </c>
      <c r="AB67" s="153">
        <v>461312</v>
      </c>
      <c r="AC67" s="153">
        <v>418972</v>
      </c>
    </row>
    <row r="68" spans="1:29" x14ac:dyDescent="0.3">
      <c r="A68" s="1" t="s">
        <v>268</v>
      </c>
      <c r="B68" s="6" t="s">
        <v>238</v>
      </c>
      <c r="C68" s="7">
        <v>4057095</v>
      </c>
      <c r="D68" s="153" t="s">
        <v>267</v>
      </c>
      <c r="E68" s="153">
        <v>8347906</v>
      </c>
      <c r="F68" s="153">
        <v>7774068</v>
      </c>
      <c r="G68" s="153">
        <v>7043908</v>
      </c>
      <c r="H68" s="153">
        <v>6380422</v>
      </c>
      <c r="I68" s="153">
        <v>5878921</v>
      </c>
      <c r="J68" s="153">
        <v>5488872</v>
      </c>
      <c r="K68" s="153">
        <v>5237998</v>
      </c>
      <c r="L68" s="153">
        <v>5069193</v>
      </c>
      <c r="M68" s="153">
        <v>4857813</v>
      </c>
      <c r="N68" s="153">
        <v>4684259</v>
      </c>
      <c r="O68" s="153">
        <v>4425778</v>
      </c>
      <c r="P68" s="153">
        <v>4227913</v>
      </c>
      <c r="Q68" s="153">
        <v>4033186</v>
      </c>
      <c r="R68" s="153">
        <v>3871857</v>
      </c>
      <c r="S68" s="153">
        <v>3687486</v>
      </c>
      <c r="T68" s="153">
        <v>3444129</v>
      </c>
      <c r="U68" s="153">
        <v>3290070</v>
      </c>
      <c r="V68" s="153">
        <v>3139678</v>
      </c>
      <c r="W68" s="153">
        <v>2992210</v>
      </c>
      <c r="X68" s="153">
        <v>2860145</v>
      </c>
      <c r="Y68" s="153">
        <v>2731577</v>
      </c>
      <c r="Z68" s="153">
        <v>2607571</v>
      </c>
      <c r="AA68" s="153">
        <v>2472362</v>
      </c>
      <c r="AB68" s="153">
        <v>2357584</v>
      </c>
      <c r="AC68" s="153">
        <v>2250694</v>
      </c>
    </row>
    <row r="69" spans="1:29" x14ac:dyDescent="0.3">
      <c r="B69" s="6" t="s">
        <v>239</v>
      </c>
      <c r="C69" s="7">
        <v>4062485</v>
      </c>
      <c r="D69" s="153">
        <v>4343497</v>
      </c>
      <c r="E69" s="153">
        <v>4093494</v>
      </c>
      <c r="F69" s="153">
        <v>3850309</v>
      </c>
      <c r="G69" s="153">
        <v>3620622</v>
      </c>
      <c r="H69" s="153">
        <v>3417350</v>
      </c>
      <c r="I69" s="153">
        <v>3233768</v>
      </c>
      <c r="J69" s="153">
        <v>3105837</v>
      </c>
      <c r="K69" s="153">
        <v>2958072</v>
      </c>
      <c r="L69" s="153">
        <v>2828799</v>
      </c>
      <c r="M69" s="153">
        <v>2691047</v>
      </c>
      <c r="N69" s="153">
        <v>2585583</v>
      </c>
      <c r="O69" s="153">
        <v>2483982</v>
      </c>
      <c r="P69" s="153">
        <v>2321448</v>
      </c>
      <c r="Q69" s="153">
        <v>2165598</v>
      </c>
      <c r="R69" s="153">
        <v>1994973</v>
      </c>
      <c r="S69" s="153">
        <v>1708693</v>
      </c>
      <c r="T69" s="153">
        <v>1597767</v>
      </c>
      <c r="U69" s="153">
        <v>1499359</v>
      </c>
      <c r="V69" s="153">
        <v>1417297</v>
      </c>
      <c r="W69" s="153">
        <v>1322933</v>
      </c>
      <c r="X69" s="153">
        <v>1213627</v>
      </c>
      <c r="Y69" s="153">
        <v>1132712</v>
      </c>
      <c r="Z69" s="153">
        <v>1041832</v>
      </c>
      <c r="AA69" s="153">
        <v>975787</v>
      </c>
      <c r="AB69" s="153">
        <v>953920</v>
      </c>
      <c r="AC69" s="153">
        <v>907148</v>
      </c>
    </row>
    <row r="70" spans="1:29" x14ac:dyDescent="0.3">
      <c r="B70" s="6" t="s">
        <v>240</v>
      </c>
      <c r="C70" s="7">
        <v>4057140</v>
      </c>
      <c r="D70" s="153">
        <v>2908845</v>
      </c>
      <c r="E70" s="153">
        <v>2806682</v>
      </c>
      <c r="F70" s="153">
        <v>2733447</v>
      </c>
      <c r="G70" s="153">
        <v>2604002</v>
      </c>
      <c r="H70" s="153">
        <v>2456089</v>
      </c>
      <c r="I70" s="153">
        <v>2196798</v>
      </c>
      <c r="J70" s="153">
        <v>2003921</v>
      </c>
      <c r="K70" s="153">
        <v>1861499</v>
      </c>
      <c r="L70" s="153">
        <v>1690524</v>
      </c>
      <c r="M70" s="153">
        <v>1583103</v>
      </c>
      <c r="N70" s="153">
        <v>1490113</v>
      </c>
      <c r="O70" s="153">
        <v>1414078</v>
      </c>
      <c r="P70" s="153">
        <v>1362904</v>
      </c>
      <c r="Q70" s="153">
        <v>1293798</v>
      </c>
      <c r="R70" s="153">
        <v>1174110</v>
      </c>
      <c r="S70" s="153">
        <v>1104430</v>
      </c>
      <c r="T70" s="153">
        <v>1047365</v>
      </c>
      <c r="U70" s="153">
        <v>990984</v>
      </c>
      <c r="V70" s="153">
        <v>941645</v>
      </c>
      <c r="W70" s="153">
        <v>875415</v>
      </c>
      <c r="X70" s="153">
        <v>818802</v>
      </c>
      <c r="Y70" s="153">
        <v>725874</v>
      </c>
      <c r="Z70" s="153">
        <v>685710</v>
      </c>
      <c r="AA70" s="153">
        <v>641225</v>
      </c>
      <c r="AB70" s="153">
        <v>608571</v>
      </c>
      <c r="AC70" s="153">
        <v>587128</v>
      </c>
    </row>
    <row r="71" spans="1:29" x14ac:dyDescent="0.3">
      <c r="A71" s="1" t="s">
        <v>268</v>
      </c>
      <c r="B71" s="6" t="s">
        <v>243</v>
      </c>
      <c r="C71" s="7">
        <v>4057096</v>
      </c>
      <c r="D71" s="153">
        <v>1026610</v>
      </c>
      <c r="E71" s="153">
        <v>985645</v>
      </c>
      <c r="F71" s="153">
        <v>903804</v>
      </c>
      <c r="G71" s="153">
        <v>867459</v>
      </c>
      <c r="H71" s="153">
        <v>786839</v>
      </c>
      <c r="I71" s="153">
        <v>754937</v>
      </c>
      <c r="J71" s="153">
        <v>735851</v>
      </c>
      <c r="K71" s="153">
        <v>710934</v>
      </c>
      <c r="L71" s="153">
        <v>686555</v>
      </c>
      <c r="M71" s="153">
        <v>655293</v>
      </c>
      <c r="N71" s="153">
        <v>633956</v>
      </c>
      <c r="O71" s="153">
        <v>616088</v>
      </c>
      <c r="P71" s="153">
        <v>609603</v>
      </c>
      <c r="Q71" s="153">
        <v>595544</v>
      </c>
      <c r="R71" s="153">
        <v>581522</v>
      </c>
      <c r="S71" s="153">
        <v>569794</v>
      </c>
      <c r="T71" s="153">
        <v>554658</v>
      </c>
      <c r="U71" s="153" t="s">
        <v>267</v>
      </c>
      <c r="V71" s="153" t="s">
        <v>267</v>
      </c>
      <c r="W71" s="153">
        <v>492522</v>
      </c>
      <c r="X71" s="153">
        <v>467095</v>
      </c>
      <c r="Y71" s="153">
        <v>449857</v>
      </c>
      <c r="Z71" s="153">
        <v>431742</v>
      </c>
      <c r="AA71" s="153">
        <v>413656</v>
      </c>
      <c r="AB71" s="153">
        <v>387953</v>
      </c>
      <c r="AC71" s="153">
        <v>379072</v>
      </c>
    </row>
    <row r="72" spans="1:29" x14ac:dyDescent="0.3">
      <c r="B72" s="6" t="s">
        <v>292</v>
      </c>
      <c r="C72" s="7">
        <v>4057097</v>
      </c>
      <c r="D72" s="153" t="s">
        <v>267</v>
      </c>
      <c r="E72" s="153" t="s">
        <v>267</v>
      </c>
      <c r="F72" s="153">
        <v>1958242</v>
      </c>
      <c r="G72" s="153">
        <v>1778411</v>
      </c>
      <c r="H72" s="153">
        <v>1499320</v>
      </c>
      <c r="I72" s="153">
        <v>1290088</v>
      </c>
      <c r="J72" s="153">
        <v>1213416</v>
      </c>
      <c r="K72" s="153">
        <v>1149498</v>
      </c>
      <c r="L72" s="153">
        <v>1134424</v>
      </c>
      <c r="M72" s="153">
        <v>1094767</v>
      </c>
      <c r="N72" s="153">
        <v>1032669</v>
      </c>
      <c r="O72" s="153">
        <v>959332</v>
      </c>
      <c r="P72" s="153">
        <v>914742</v>
      </c>
      <c r="Q72" s="153">
        <v>912779</v>
      </c>
      <c r="R72" s="153">
        <v>887841</v>
      </c>
      <c r="S72" s="153">
        <v>858955</v>
      </c>
      <c r="T72" s="153">
        <v>811133</v>
      </c>
      <c r="U72" s="153">
        <v>790548</v>
      </c>
      <c r="V72" s="153">
        <v>765448</v>
      </c>
      <c r="W72" s="153">
        <v>743077</v>
      </c>
      <c r="X72" s="153">
        <v>721708</v>
      </c>
      <c r="Y72" s="153">
        <v>701559</v>
      </c>
      <c r="Z72" s="153">
        <v>677487</v>
      </c>
      <c r="AA72" s="153">
        <v>658272</v>
      </c>
      <c r="AB72" s="153">
        <v>637799</v>
      </c>
      <c r="AC72" s="153">
        <v>615992</v>
      </c>
    </row>
    <row r="73" spans="1:29" x14ac:dyDescent="0.3">
      <c r="B73" s="6" t="s">
        <v>293</v>
      </c>
      <c r="C73" s="7">
        <v>4057098</v>
      </c>
      <c r="D73" s="153" t="s">
        <v>267</v>
      </c>
      <c r="E73" s="153">
        <v>415279</v>
      </c>
      <c r="F73" s="153">
        <v>401224</v>
      </c>
      <c r="G73" s="153">
        <v>388465</v>
      </c>
      <c r="H73" s="153">
        <v>379565</v>
      </c>
      <c r="I73" s="153">
        <v>372290</v>
      </c>
      <c r="J73" s="153">
        <v>363640</v>
      </c>
      <c r="K73" s="153">
        <v>354520</v>
      </c>
      <c r="L73" s="153">
        <v>339118</v>
      </c>
      <c r="M73" s="153">
        <v>311686</v>
      </c>
      <c r="N73" s="153">
        <v>302961</v>
      </c>
      <c r="O73" s="153">
        <v>294485</v>
      </c>
      <c r="P73" s="153">
        <v>276798</v>
      </c>
      <c r="Q73" s="153">
        <v>264965</v>
      </c>
      <c r="R73" s="153">
        <v>250773</v>
      </c>
      <c r="S73" s="153">
        <v>238917</v>
      </c>
      <c r="T73" s="153">
        <v>226084</v>
      </c>
      <c r="U73" s="153">
        <v>216182</v>
      </c>
      <c r="V73" s="153">
        <v>200120</v>
      </c>
      <c r="W73" s="153" t="s">
        <v>267</v>
      </c>
      <c r="X73" s="153">
        <v>171885</v>
      </c>
      <c r="Y73" s="153">
        <v>158932</v>
      </c>
      <c r="Z73" s="153">
        <v>151639</v>
      </c>
      <c r="AA73" s="153">
        <v>143552</v>
      </c>
      <c r="AB73" s="153">
        <v>131740</v>
      </c>
      <c r="AC73" s="153">
        <v>122591</v>
      </c>
    </row>
    <row r="74" spans="1:29" x14ac:dyDescent="0.3">
      <c r="A74" s="1" t="s">
        <v>268</v>
      </c>
      <c r="B74" s="6" t="s">
        <v>244</v>
      </c>
      <c r="C74" s="7">
        <v>4063023</v>
      </c>
      <c r="D74" s="153" t="s">
        <v>267</v>
      </c>
      <c r="E74" s="153">
        <v>2441342</v>
      </c>
      <c r="F74" s="153">
        <v>2213398</v>
      </c>
      <c r="G74" s="153">
        <v>2044991</v>
      </c>
      <c r="H74" s="153">
        <v>1872273</v>
      </c>
      <c r="I74" s="153">
        <v>1701682</v>
      </c>
      <c r="J74" s="153">
        <v>1547214</v>
      </c>
      <c r="K74" s="153">
        <v>1417938</v>
      </c>
      <c r="L74" s="153">
        <v>1299853</v>
      </c>
      <c r="M74" s="153">
        <v>1172547</v>
      </c>
      <c r="N74" s="153">
        <v>1084990</v>
      </c>
      <c r="O74" s="153">
        <v>1021233</v>
      </c>
      <c r="P74" s="153">
        <v>959837</v>
      </c>
      <c r="Q74" s="153">
        <v>919236</v>
      </c>
      <c r="R74" s="153">
        <v>878157</v>
      </c>
      <c r="S74" s="153">
        <v>831847</v>
      </c>
      <c r="T74" s="153">
        <v>781800</v>
      </c>
      <c r="U74" s="153">
        <v>736073</v>
      </c>
      <c r="V74" s="153">
        <v>696912</v>
      </c>
      <c r="W74" s="153">
        <v>658503</v>
      </c>
      <c r="X74" s="153">
        <v>622702</v>
      </c>
      <c r="Y74" s="153">
        <v>584272</v>
      </c>
      <c r="Z74" s="153">
        <v>549557</v>
      </c>
      <c r="AA74" s="153">
        <v>513535</v>
      </c>
      <c r="AB74" s="153">
        <v>477968</v>
      </c>
      <c r="AC74" s="153">
        <v>445304</v>
      </c>
    </row>
    <row r="75" spans="1:29" x14ac:dyDescent="0.3">
      <c r="B75" s="6" t="s">
        <v>245</v>
      </c>
      <c r="C75" s="7">
        <v>4057146</v>
      </c>
      <c r="D75" s="153" t="s">
        <v>267</v>
      </c>
      <c r="E75" s="153">
        <v>11397559</v>
      </c>
      <c r="F75" s="153">
        <v>10767621</v>
      </c>
      <c r="G75" s="153">
        <v>10180779</v>
      </c>
      <c r="H75" s="153">
        <v>9452970</v>
      </c>
      <c r="I75" s="153">
        <v>8744904</v>
      </c>
      <c r="J75" s="153">
        <v>8054732</v>
      </c>
      <c r="K75" s="153">
        <v>7548301</v>
      </c>
      <c r="L75" s="153">
        <v>7248972</v>
      </c>
      <c r="M75" s="153">
        <v>6931522</v>
      </c>
      <c r="N75" s="153">
        <v>6473956</v>
      </c>
      <c r="O75" s="153">
        <v>6249766</v>
      </c>
      <c r="P75" s="153">
        <v>6023217</v>
      </c>
      <c r="Q75" s="153">
        <v>5820039</v>
      </c>
      <c r="R75" s="153">
        <v>5589938</v>
      </c>
      <c r="S75" s="153">
        <v>5319299</v>
      </c>
      <c r="T75" s="153">
        <v>5043640</v>
      </c>
      <c r="U75" s="153">
        <v>4839568</v>
      </c>
      <c r="V75" s="153">
        <v>4654819</v>
      </c>
      <c r="W75" s="153">
        <v>4505409</v>
      </c>
      <c r="X75" s="153">
        <v>4387857</v>
      </c>
      <c r="Y75" s="153">
        <v>4285877</v>
      </c>
      <c r="Z75" s="153">
        <v>4200349</v>
      </c>
      <c r="AA75" s="153">
        <v>4129947</v>
      </c>
      <c r="AB75" s="153">
        <v>4059064</v>
      </c>
      <c r="AC75" s="153" t="s">
        <v>267</v>
      </c>
    </row>
    <row r="76" spans="1:29" x14ac:dyDescent="0.3">
      <c r="A76" s="1" t="s">
        <v>268</v>
      </c>
      <c r="B76" s="6" t="s">
        <v>247</v>
      </c>
      <c r="C76" s="7">
        <v>4063060</v>
      </c>
      <c r="D76" s="153">
        <v>1014627</v>
      </c>
      <c r="E76" s="153">
        <v>960763</v>
      </c>
      <c r="F76" s="153">
        <v>901383</v>
      </c>
      <c r="G76" s="153">
        <v>851965</v>
      </c>
      <c r="H76" s="153">
        <v>816418</v>
      </c>
      <c r="I76" s="153">
        <v>753459</v>
      </c>
      <c r="J76" s="153">
        <v>698750</v>
      </c>
      <c r="K76" s="153">
        <v>651616</v>
      </c>
      <c r="L76" s="153">
        <v>633105</v>
      </c>
      <c r="M76" s="153">
        <v>599382</v>
      </c>
      <c r="N76" s="153">
        <v>580989</v>
      </c>
      <c r="O76" s="153">
        <v>566309</v>
      </c>
      <c r="P76" s="153">
        <v>550034</v>
      </c>
      <c r="Q76" s="153">
        <v>537067</v>
      </c>
      <c r="R76" s="153">
        <v>519714</v>
      </c>
      <c r="S76" s="153">
        <v>500465</v>
      </c>
      <c r="T76" s="153">
        <v>474888</v>
      </c>
      <c r="U76" s="153">
        <v>459576</v>
      </c>
      <c r="V76" s="153">
        <v>440903</v>
      </c>
      <c r="W76" s="153">
        <v>422761</v>
      </c>
      <c r="X76" s="153">
        <v>400459</v>
      </c>
      <c r="Y76" s="153" t="s">
        <v>267</v>
      </c>
      <c r="Z76" s="153">
        <v>369400</v>
      </c>
      <c r="AA76" s="153">
        <v>358337</v>
      </c>
      <c r="AB76" s="153">
        <v>336966</v>
      </c>
      <c r="AC76" s="153">
        <v>317989</v>
      </c>
    </row>
    <row r="77" spans="1:29" x14ac:dyDescent="0.3">
      <c r="B77" s="6" t="s">
        <v>248</v>
      </c>
      <c r="C77" s="7">
        <v>4057100</v>
      </c>
      <c r="D77" s="153">
        <v>399534</v>
      </c>
      <c r="E77" s="153">
        <v>363820</v>
      </c>
      <c r="F77" s="153">
        <v>335724</v>
      </c>
      <c r="G77" s="153">
        <v>298238</v>
      </c>
      <c r="H77" s="153">
        <v>271799</v>
      </c>
      <c r="I77" s="153">
        <v>245847</v>
      </c>
      <c r="J77" s="153">
        <v>218014</v>
      </c>
      <c r="K77" s="153">
        <v>194039</v>
      </c>
      <c r="L77" s="153">
        <v>183004</v>
      </c>
      <c r="M77" s="153">
        <v>175243</v>
      </c>
      <c r="N77" s="153">
        <v>167846</v>
      </c>
      <c r="O77" s="153">
        <v>162203</v>
      </c>
      <c r="P77" s="153">
        <v>154288</v>
      </c>
      <c r="Q77" s="153">
        <v>147378</v>
      </c>
      <c r="R77" s="153">
        <v>142521</v>
      </c>
      <c r="S77" s="153">
        <v>135703</v>
      </c>
      <c r="T77" s="153">
        <v>128513</v>
      </c>
      <c r="U77" s="153">
        <v>124823</v>
      </c>
      <c r="V77" s="153">
        <v>118899</v>
      </c>
      <c r="W77" s="153">
        <v>111484</v>
      </c>
      <c r="X77" s="153">
        <v>109153</v>
      </c>
      <c r="Y77" s="153">
        <v>105469</v>
      </c>
      <c r="Z77" s="153">
        <v>100643</v>
      </c>
      <c r="AA77" s="153">
        <v>96473</v>
      </c>
      <c r="AB77" s="153">
        <v>92701</v>
      </c>
      <c r="AC77" s="153">
        <v>88839</v>
      </c>
    </row>
    <row r="78" spans="1:29" x14ac:dyDescent="0.3">
      <c r="B78" s="6" t="s">
        <v>294</v>
      </c>
      <c r="C78" s="7">
        <v>4064035</v>
      </c>
      <c r="D78" s="153" t="s">
        <v>267</v>
      </c>
      <c r="E78" s="153">
        <v>57015</v>
      </c>
      <c r="F78" s="153">
        <v>51183</v>
      </c>
      <c r="G78" s="153">
        <v>48051</v>
      </c>
      <c r="H78" s="153">
        <v>46453</v>
      </c>
      <c r="I78" s="153">
        <v>44182</v>
      </c>
      <c r="J78" s="153">
        <v>42456</v>
      </c>
      <c r="K78" s="153">
        <v>39665</v>
      </c>
      <c r="L78" s="153">
        <v>37291</v>
      </c>
      <c r="M78" s="153">
        <v>36207</v>
      </c>
      <c r="N78" s="153">
        <v>35108</v>
      </c>
      <c r="O78" s="153">
        <v>33890</v>
      </c>
      <c r="P78" s="153">
        <v>32731</v>
      </c>
      <c r="Q78" s="153">
        <v>31091</v>
      </c>
      <c r="R78" s="153">
        <v>29764</v>
      </c>
      <c r="S78" s="153">
        <v>28672</v>
      </c>
      <c r="T78" s="153">
        <v>27720</v>
      </c>
      <c r="U78" s="153">
        <v>26744</v>
      </c>
      <c r="V78" s="153" t="s">
        <v>267</v>
      </c>
      <c r="W78" s="153">
        <v>24597</v>
      </c>
      <c r="X78" s="153">
        <v>23783</v>
      </c>
      <c r="Y78" s="153" t="s">
        <v>267</v>
      </c>
      <c r="Z78" s="153">
        <v>21178</v>
      </c>
      <c r="AA78" s="153">
        <v>20232</v>
      </c>
      <c r="AB78" s="153">
        <v>19232</v>
      </c>
      <c r="AC78" s="153">
        <v>17570</v>
      </c>
    </row>
    <row r="79" spans="1:29" x14ac:dyDescent="0.3">
      <c r="B79" s="6" t="s">
        <v>295</v>
      </c>
      <c r="C79" s="7">
        <v>4060957</v>
      </c>
      <c r="D79" s="153">
        <v>2068846</v>
      </c>
      <c r="E79" s="153">
        <v>1936470</v>
      </c>
      <c r="F79" s="153">
        <v>1815945</v>
      </c>
      <c r="G79" s="153">
        <v>1717871</v>
      </c>
      <c r="H79" s="153">
        <v>1578868</v>
      </c>
      <c r="I79" s="153">
        <v>1491649</v>
      </c>
      <c r="J79" s="153">
        <v>1406805</v>
      </c>
      <c r="K79" s="153">
        <v>1346402</v>
      </c>
      <c r="L79" s="153">
        <v>1282522</v>
      </c>
      <c r="M79" s="153">
        <v>1218573</v>
      </c>
      <c r="N79" s="153">
        <v>1169538</v>
      </c>
      <c r="O79" s="153">
        <v>1128055</v>
      </c>
      <c r="P79" s="153">
        <v>1087076</v>
      </c>
      <c r="Q79" s="153">
        <v>1049118</v>
      </c>
      <c r="R79" s="153">
        <v>1012942</v>
      </c>
      <c r="S79" s="153">
        <v>970032</v>
      </c>
      <c r="T79" s="153">
        <v>932343</v>
      </c>
      <c r="U79" s="153">
        <v>896117</v>
      </c>
      <c r="V79" s="153">
        <v>857848</v>
      </c>
      <c r="W79" s="153">
        <v>820786</v>
      </c>
      <c r="X79" s="153">
        <v>788826</v>
      </c>
      <c r="Y79" s="153">
        <v>755615</v>
      </c>
      <c r="Z79" s="153">
        <v>726810</v>
      </c>
      <c r="AA79" s="153">
        <v>695993</v>
      </c>
      <c r="AB79" s="153">
        <v>664328</v>
      </c>
      <c r="AC79" s="153">
        <v>633716</v>
      </c>
    </row>
    <row r="80" spans="1:29" x14ac:dyDescent="0.3">
      <c r="B80" s="6" t="s">
        <v>250</v>
      </c>
      <c r="C80" s="7">
        <v>4063179</v>
      </c>
      <c r="D80" s="153">
        <v>7303</v>
      </c>
      <c r="E80" s="153">
        <v>7262</v>
      </c>
      <c r="F80" s="153">
        <v>6850</v>
      </c>
      <c r="G80" s="153">
        <v>6579</v>
      </c>
      <c r="H80" s="153">
        <v>6449</v>
      </c>
      <c r="I80" s="153">
        <v>6305</v>
      </c>
      <c r="J80" s="153">
        <v>6151</v>
      </c>
      <c r="K80" s="153">
        <v>6078</v>
      </c>
      <c r="L80" s="153">
        <v>6015</v>
      </c>
      <c r="M80" s="153">
        <v>6002</v>
      </c>
      <c r="N80" s="153">
        <v>5950</v>
      </c>
      <c r="O80" s="153">
        <v>5671</v>
      </c>
      <c r="P80" s="153">
        <v>5615</v>
      </c>
      <c r="Q80" s="153">
        <v>5571</v>
      </c>
      <c r="R80" s="153">
        <v>5562</v>
      </c>
      <c r="S80" s="153">
        <v>5519</v>
      </c>
      <c r="T80" s="153">
        <v>5531</v>
      </c>
      <c r="U80" s="153">
        <v>5536</v>
      </c>
      <c r="V80" s="153">
        <v>5496</v>
      </c>
      <c r="W80" s="153">
        <v>5447</v>
      </c>
      <c r="X80" s="153">
        <v>5372</v>
      </c>
      <c r="Y80" s="153">
        <v>5451</v>
      </c>
      <c r="Z80" s="153">
        <v>5395</v>
      </c>
      <c r="AA80" s="153">
        <v>5341</v>
      </c>
      <c r="AB80" s="153">
        <v>4822</v>
      </c>
      <c r="AC80" s="153">
        <v>4708</v>
      </c>
    </row>
    <row r="81" spans="1:29" x14ac:dyDescent="0.3">
      <c r="A81" s="1" t="s">
        <v>268</v>
      </c>
      <c r="B81" s="6" t="s">
        <v>251</v>
      </c>
      <c r="C81" s="7">
        <v>4063183</v>
      </c>
      <c r="D81" s="153">
        <v>64722</v>
      </c>
      <c r="E81" s="153">
        <v>64755</v>
      </c>
      <c r="F81" s="153">
        <v>86120</v>
      </c>
      <c r="G81" s="153">
        <v>88590</v>
      </c>
      <c r="H81" s="153">
        <v>88909</v>
      </c>
      <c r="I81" s="153">
        <v>89594</v>
      </c>
      <c r="J81" s="153">
        <v>57942</v>
      </c>
      <c r="K81" s="153">
        <v>55155</v>
      </c>
      <c r="L81" s="153">
        <v>42050</v>
      </c>
      <c r="M81" s="153">
        <v>40681</v>
      </c>
      <c r="N81" s="153">
        <v>40140</v>
      </c>
      <c r="O81" s="153">
        <v>39128</v>
      </c>
      <c r="P81" s="153">
        <v>37777</v>
      </c>
      <c r="Q81" s="153">
        <v>37122</v>
      </c>
      <c r="R81" s="153">
        <v>36088</v>
      </c>
      <c r="S81" s="153">
        <v>35616</v>
      </c>
      <c r="T81" s="153">
        <v>35025</v>
      </c>
      <c r="U81" s="153">
        <v>34687</v>
      </c>
      <c r="V81" s="153">
        <v>34301</v>
      </c>
      <c r="W81" s="153">
        <v>33940</v>
      </c>
      <c r="X81" s="153">
        <v>33504</v>
      </c>
      <c r="Y81" s="153">
        <v>32725</v>
      </c>
      <c r="Z81" s="153">
        <v>32263</v>
      </c>
      <c r="AA81" s="153">
        <v>30187</v>
      </c>
      <c r="AB81" s="153">
        <v>29714</v>
      </c>
      <c r="AC81" s="153">
        <v>28147</v>
      </c>
    </row>
    <row r="82" spans="1:29" x14ac:dyDescent="0.3">
      <c r="B82" s="6" t="s">
        <v>252</v>
      </c>
      <c r="C82" s="7">
        <v>4063281</v>
      </c>
      <c r="D82" s="153">
        <v>32886</v>
      </c>
      <c r="E82" s="153">
        <v>31529</v>
      </c>
      <c r="F82" s="153">
        <v>29372</v>
      </c>
      <c r="G82" s="153">
        <v>26746</v>
      </c>
      <c r="H82" s="153">
        <v>24782</v>
      </c>
      <c r="I82" s="153">
        <v>23242</v>
      </c>
      <c r="J82" s="153">
        <v>22828</v>
      </c>
      <c r="K82" s="153">
        <v>21960</v>
      </c>
      <c r="L82" s="153">
        <v>20668</v>
      </c>
      <c r="M82" s="153">
        <v>20080</v>
      </c>
      <c r="N82" s="153">
        <v>19593</v>
      </c>
      <c r="O82" s="153">
        <v>19236</v>
      </c>
      <c r="P82" s="153">
        <v>18716</v>
      </c>
      <c r="Q82" s="153">
        <v>18128</v>
      </c>
      <c r="R82" s="153">
        <v>17779</v>
      </c>
      <c r="S82" s="153">
        <v>17345</v>
      </c>
      <c r="T82" s="153">
        <v>16976</v>
      </c>
      <c r="U82" s="153">
        <v>16708</v>
      </c>
      <c r="V82" s="153">
        <v>16235</v>
      </c>
      <c r="W82" s="153">
        <v>15351</v>
      </c>
      <c r="X82" s="153">
        <v>14968</v>
      </c>
      <c r="Y82" s="153">
        <v>14565</v>
      </c>
      <c r="Z82" s="153">
        <v>14321</v>
      </c>
      <c r="AA82" s="153">
        <v>14047</v>
      </c>
      <c r="AB82" s="153">
        <v>12185</v>
      </c>
      <c r="AC82" s="153">
        <v>11706</v>
      </c>
    </row>
    <row r="83" spans="1:29" x14ac:dyDescent="0.3">
      <c r="B83" s="6" t="s">
        <v>253</v>
      </c>
      <c r="C83" s="7">
        <v>4059746</v>
      </c>
      <c r="D83" s="153">
        <v>3924822</v>
      </c>
      <c r="E83" s="153">
        <v>3739138</v>
      </c>
      <c r="F83" s="153">
        <v>3436342</v>
      </c>
      <c r="G83" s="153">
        <v>3229218</v>
      </c>
      <c r="H83" s="153">
        <v>2980865</v>
      </c>
      <c r="I83" s="153">
        <v>2734427</v>
      </c>
      <c r="J83" s="153">
        <v>2499020</v>
      </c>
      <c r="K83" s="153">
        <v>2300392</v>
      </c>
      <c r="L83" s="153">
        <v>2093255</v>
      </c>
      <c r="M83" s="153">
        <v>1905414</v>
      </c>
      <c r="N83" s="153">
        <v>1750182</v>
      </c>
      <c r="O83" s="153">
        <v>1609369</v>
      </c>
      <c r="P83" s="153">
        <v>1499781</v>
      </c>
      <c r="Q83" s="153">
        <v>1400672</v>
      </c>
      <c r="R83" s="153">
        <v>1325530</v>
      </c>
      <c r="S83" s="153">
        <v>1265006</v>
      </c>
      <c r="T83" s="153">
        <v>1226310</v>
      </c>
      <c r="U83" s="153">
        <v>1173536</v>
      </c>
      <c r="V83" s="153">
        <v>1114370</v>
      </c>
      <c r="W83" s="153">
        <v>1055071</v>
      </c>
      <c r="X83" s="153">
        <v>1036541</v>
      </c>
      <c r="Y83" s="153">
        <v>994073</v>
      </c>
      <c r="Z83" s="153">
        <v>960981</v>
      </c>
      <c r="AA83" s="153">
        <v>920762</v>
      </c>
      <c r="AB83" s="153">
        <v>826360</v>
      </c>
      <c r="AC83" s="153">
        <v>794620</v>
      </c>
    </row>
    <row r="84" spans="1:29" x14ac:dyDescent="0.3">
      <c r="A84" s="1" t="s">
        <v>268</v>
      </c>
      <c r="B84" s="6" t="s">
        <v>296</v>
      </c>
      <c r="C84" s="7">
        <v>4062279</v>
      </c>
      <c r="D84" s="153" t="s">
        <v>267</v>
      </c>
      <c r="E84" s="153" t="s">
        <v>267</v>
      </c>
      <c r="F84" s="153" t="s">
        <v>267</v>
      </c>
      <c r="G84" s="153">
        <v>783122</v>
      </c>
      <c r="H84" s="153">
        <v>739555</v>
      </c>
      <c r="I84" s="153">
        <v>693702</v>
      </c>
      <c r="J84" s="153">
        <v>646603</v>
      </c>
      <c r="K84" s="153">
        <v>611010</v>
      </c>
      <c r="L84" s="153">
        <v>577847</v>
      </c>
      <c r="M84" s="153">
        <v>556731</v>
      </c>
      <c r="N84" s="153">
        <v>534821</v>
      </c>
      <c r="O84" s="153">
        <v>524003</v>
      </c>
      <c r="P84" s="153">
        <v>509879</v>
      </c>
      <c r="Q84" s="153">
        <v>489913</v>
      </c>
      <c r="R84" s="153">
        <v>474201</v>
      </c>
      <c r="S84" s="153">
        <v>461517</v>
      </c>
      <c r="T84" s="153">
        <v>445928</v>
      </c>
      <c r="U84" s="153">
        <v>427033</v>
      </c>
      <c r="V84" s="153">
        <v>408624</v>
      </c>
      <c r="W84" s="153">
        <v>398196</v>
      </c>
      <c r="X84" s="153">
        <v>375832</v>
      </c>
      <c r="Y84" s="153" t="s">
        <v>267</v>
      </c>
      <c r="Z84" s="153">
        <v>336026</v>
      </c>
      <c r="AA84" s="153">
        <v>317394</v>
      </c>
      <c r="AB84" s="153">
        <v>290717</v>
      </c>
      <c r="AC84" s="153">
        <v>268214</v>
      </c>
    </row>
    <row r="85" spans="1:29" x14ac:dyDescent="0.3">
      <c r="A85" s="1" t="s">
        <v>268</v>
      </c>
      <c r="B85" s="6" t="s">
        <v>297</v>
      </c>
      <c r="C85" s="7">
        <v>4063729</v>
      </c>
      <c r="D85" s="153" t="s">
        <v>267</v>
      </c>
      <c r="E85" s="153" t="s">
        <v>267</v>
      </c>
      <c r="F85" s="153" t="s">
        <v>267</v>
      </c>
      <c r="G85" s="153">
        <v>184995</v>
      </c>
      <c r="H85" s="153">
        <v>170980</v>
      </c>
      <c r="I85" s="153">
        <v>163387</v>
      </c>
      <c r="J85" s="153">
        <v>154496</v>
      </c>
      <c r="K85" s="153">
        <v>145869</v>
      </c>
      <c r="L85" s="153">
        <v>137402</v>
      </c>
      <c r="M85" s="153">
        <v>129556</v>
      </c>
      <c r="N85" s="153">
        <v>123611</v>
      </c>
      <c r="O85" s="153">
        <v>117075</v>
      </c>
      <c r="P85" s="153">
        <v>107829</v>
      </c>
      <c r="Q85" s="153">
        <v>99483</v>
      </c>
      <c r="R85" s="153">
        <v>92202</v>
      </c>
      <c r="S85" s="153">
        <v>85674</v>
      </c>
      <c r="T85" s="153">
        <v>76030</v>
      </c>
      <c r="U85" s="153">
        <v>66842</v>
      </c>
      <c r="V85" s="153">
        <v>61703</v>
      </c>
      <c r="W85" s="153">
        <v>59013</v>
      </c>
      <c r="X85" s="153">
        <v>55768</v>
      </c>
      <c r="Y85" s="153">
        <v>52566</v>
      </c>
      <c r="Z85" s="153" t="s">
        <v>267</v>
      </c>
      <c r="AA85" s="153" t="s">
        <v>267</v>
      </c>
      <c r="AB85" s="153">
        <v>42059</v>
      </c>
      <c r="AC85" s="153">
        <v>39273</v>
      </c>
    </row>
    <row r="86" spans="1:29" x14ac:dyDescent="0.3">
      <c r="B86" s="6" t="s">
        <v>254</v>
      </c>
      <c r="C86" s="7">
        <v>4063762</v>
      </c>
      <c r="D86" s="153">
        <v>1249935</v>
      </c>
      <c r="E86" s="153">
        <v>1024854</v>
      </c>
      <c r="F86" s="153">
        <v>939004</v>
      </c>
      <c r="G86" s="153">
        <v>899989</v>
      </c>
      <c r="H86" s="153">
        <v>855860</v>
      </c>
      <c r="I86" s="153">
        <v>770089</v>
      </c>
      <c r="J86" s="153">
        <v>720731</v>
      </c>
      <c r="K86" s="153">
        <v>705800</v>
      </c>
      <c r="L86" s="153">
        <v>664055</v>
      </c>
      <c r="M86" s="153">
        <v>627878</v>
      </c>
      <c r="N86" s="153">
        <v>575925</v>
      </c>
      <c r="O86" s="153">
        <v>547724</v>
      </c>
      <c r="P86" s="153">
        <v>524814</v>
      </c>
      <c r="Q86" s="153">
        <v>514362</v>
      </c>
      <c r="R86" s="153">
        <v>479382</v>
      </c>
      <c r="S86" s="153">
        <v>471995</v>
      </c>
      <c r="T86" s="153">
        <v>454631</v>
      </c>
      <c r="U86" s="153">
        <v>447769</v>
      </c>
      <c r="V86" s="153">
        <v>420154</v>
      </c>
      <c r="W86" s="153">
        <v>407415</v>
      </c>
      <c r="X86" s="153">
        <v>404501</v>
      </c>
      <c r="Y86" s="153">
        <v>380479</v>
      </c>
      <c r="Z86" s="153">
        <v>363876</v>
      </c>
      <c r="AA86" s="153">
        <v>343635</v>
      </c>
      <c r="AB86" s="153">
        <v>321424</v>
      </c>
      <c r="AC86" s="153" t="s">
        <v>267</v>
      </c>
    </row>
    <row r="87" spans="1:29" x14ac:dyDescent="0.3">
      <c r="B87" s="6" t="s">
        <v>256</v>
      </c>
      <c r="C87" s="7">
        <v>4058284</v>
      </c>
      <c r="D87" s="153">
        <v>4635780</v>
      </c>
      <c r="E87" s="153">
        <v>4364147</v>
      </c>
      <c r="F87" s="153">
        <v>4194113</v>
      </c>
      <c r="G87" s="153">
        <v>3967156</v>
      </c>
      <c r="H87" s="153">
        <v>3680573</v>
      </c>
      <c r="I87" s="153">
        <v>3409804</v>
      </c>
      <c r="J87" s="153">
        <v>3180604</v>
      </c>
      <c r="K87" s="153">
        <v>2942346</v>
      </c>
      <c r="L87" s="153">
        <v>2784850</v>
      </c>
      <c r="M87" s="153">
        <v>2672351</v>
      </c>
      <c r="N87" s="153">
        <v>2600605</v>
      </c>
      <c r="O87" s="153">
        <v>2526185</v>
      </c>
      <c r="P87" s="153">
        <v>2448401</v>
      </c>
      <c r="Q87" s="153">
        <v>2353154</v>
      </c>
      <c r="R87" s="153">
        <v>2271180</v>
      </c>
      <c r="S87" s="153">
        <v>2160688</v>
      </c>
      <c r="T87" s="153">
        <v>2093107</v>
      </c>
      <c r="U87" s="153">
        <v>2022730</v>
      </c>
      <c r="V87" s="153">
        <v>1900487</v>
      </c>
      <c r="W87" s="153">
        <v>1831266</v>
      </c>
      <c r="X87" s="153">
        <v>1724871</v>
      </c>
      <c r="Y87" s="153">
        <v>1630878</v>
      </c>
      <c r="Z87" s="153">
        <v>1555162</v>
      </c>
      <c r="AA87" s="153">
        <v>1464376</v>
      </c>
      <c r="AB87" s="153">
        <v>1370193</v>
      </c>
      <c r="AC87" s="153">
        <v>1246311</v>
      </c>
    </row>
    <row r="88" spans="1:29" x14ac:dyDescent="0.3">
      <c r="B88" s="6" t="s">
        <v>258</v>
      </c>
      <c r="C88" s="7">
        <v>4008752</v>
      </c>
      <c r="D88" s="153">
        <v>2407670</v>
      </c>
      <c r="E88" s="153">
        <v>2285370</v>
      </c>
      <c r="F88" s="153">
        <v>2140766</v>
      </c>
      <c r="G88" s="153">
        <v>2014531</v>
      </c>
      <c r="H88" s="153">
        <v>1877033</v>
      </c>
      <c r="I88" s="153">
        <v>1774474</v>
      </c>
      <c r="J88" s="153">
        <v>1542369</v>
      </c>
      <c r="K88" s="153">
        <v>1425191</v>
      </c>
      <c r="L88" s="153">
        <v>1324645</v>
      </c>
      <c r="M88" s="153">
        <v>1222177</v>
      </c>
      <c r="N88" s="153">
        <v>1157689</v>
      </c>
      <c r="O88" s="153">
        <v>1103483</v>
      </c>
      <c r="P88" s="153">
        <v>1054805</v>
      </c>
      <c r="Q88" s="153">
        <v>994858</v>
      </c>
      <c r="R88" s="153">
        <v>957925</v>
      </c>
      <c r="S88" s="153">
        <v>927273</v>
      </c>
      <c r="T88" s="153">
        <v>892139</v>
      </c>
      <c r="U88" s="153">
        <v>851969</v>
      </c>
      <c r="V88" s="153">
        <v>816360</v>
      </c>
      <c r="W88" s="153">
        <v>773915</v>
      </c>
      <c r="X88" s="153">
        <v>747996</v>
      </c>
      <c r="Y88" s="153">
        <v>715124</v>
      </c>
      <c r="Z88" s="153">
        <v>689374</v>
      </c>
      <c r="AA88" s="153">
        <v>664105</v>
      </c>
      <c r="AB88" s="153">
        <v>639784</v>
      </c>
      <c r="AC88" s="153">
        <v>617598</v>
      </c>
    </row>
    <row r="89" spans="1:29" x14ac:dyDescent="0.3">
      <c r="B89" s="6" t="s">
        <v>259</v>
      </c>
      <c r="C89" s="7">
        <v>4008669</v>
      </c>
      <c r="D89" s="153">
        <v>696859</v>
      </c>
      <c r="E89" s="153">
        <v>642181</v>
      </c>
      <c r="F89" s="153">
        <v>608209</v>
      </c>
      <c r="G89" s="153">
        <v>572015</v>
      </c>
      <c r="H89" s="153">
        <v>537142</v>
      </c>
      <c r="I89" s="153">
        <v>494197</v>
      </c>
      <c r="J89" s="153">
        <v>464020</v>
      </c>
      <c r="K89" s="153">
        <v>445667</v>
      </c>
      <c r="L89" s="153">
        <v>429542</v>
      </c>
      <c r="M89" s="153">
        <v>417620</v>
      </c>
      <c r="N89" s="153">
        <v>404073</v>
      </c>
      <c r="O89" s="153">
        <v>386148</v>
      </c>
      <c r="P89" s="153">
        <v>362749</v>
      </c>
      <c r="Q89" s="153">
        <v>279904</v>
      </c>
      <c r="R89" s="153">
        <v>318969</v>
      </c>
      <c r="S89" s="153">
        <v>307677</v>
      </c>
      <c r="T89" s="153">
        <v>293049</v>
      </c>
      <c r="U89" s="153">
        <v>278921</v>
      </c>
      <c r="V89" s="153">
        <v>263418</v>
      </c>
      <c r="W89" s="153">
        <v>258099</v>
      </c>
      <c r="X89" s="153">
        <v>250863</v>
      </c>
      <c r="Y89" s="153">
        <v>236673</v>
      </c>
      <c r="Z89" s="153">
        <v>227831</v>
      </c>
      <c r="AA89" s="153">
        <v>221820</v>
      </c>
      <c r="AB89" s="153">
        <v>213306</v>
      </c>
      <c r="AC89" s="153">
        <v>204509</v>
      </c>
    </row>
    <row r="90" spans="1:29" x14ac:dyDescent="0.3">
      <c r="B90" s="6" t="s">
        <v>298</v>
      </c>
      <c r="C90" s="7">
        <v>4076892</v>
      </c>
      <c r="D90" s="153">
        <v>12673</v>
      </c>
      <c r="E90" s="153">
        <v>12550</v>
      </c>
      <c r="F90" s="153">
        <v>12347</v>
      </c>
      <c r="G90" s="153">
        <v>12257</v>
      </c>
      <c r="H90" s="153">
        <v>12153</v>
      </c>
      <c r="I90" s="153">
        <v>11912</v>
      </c>
      <c r="J90" s="153">
        <v>11729</v>
      </c>
      <c r="K90" s="153">
        <v>11537</v>
      </c>
      <c r="L90" s="153">
        <v>11456</v>
      </c>
      <c r="M90" s="153">
        <v>11262</v>
      </c>
      <c r="N90" s="153">
        <v>10790</v>
      </c>
      <c r="O90" s="153">
        <v>9550</v>
      </c>
      <c r="P90" s="153">
        <v>9251</v>
      </c>
      <c r="Q90" s="153">
        <v>8779</v>
      </c>
      <c r="R90" s="153">
        <v>8224</v>
      </c>
      <c r="S90" s="153">
        <v>8080</v>
      </c>
      <c r="T90" s="153">
        <v>7889</v>
      </c>
      <c r="U90" s="153">
        <v>7759</v>
      </c>
      <c r="V90" s="153">
        <v>7359</v>
      </c>
      <c r="W90" s="153" t="s">
        <v>267</v>
      </c>
      <c r="X90" s="153" t="s">
        <v>267</v>
      </c>
      <c r="Y90" s="153" t="s">
        <v>267</v>
      </c>
      <c r="Z90" s="153" t="s">
        <v>267</v>
      </c>
      <c r="AA90" s="153" t="s">
        <v>267</v>
      </c>
      <c r="AB90" s="153" t="s">
        <v>267</v>
      </c>
      <c r="AC90" s="153" t="s">
        <v>267</v>
      </c>
    </row>
    <row r="91" spans="1:29" x14ac:dyDescent="0.3">
      <c r="A91" s="1" t="s">
        <v>268</v>
      </c>
      <c r="B91" s="6" t="s">
        <v>261</v>
      </c>
      <c r="C91" s="7">
        <v>4064141</v>
      </c>
      <c r="D91" s="153">
        <v>2103278</v>
      </c>
      <c r="E91" s="153">
        <v>1932542</v>
      </c>
      <c r="F91" s="153">
        <v>1743530</v>
      </c>
      <c r="G91" s="153">
        <v>1601099</v>
      </c>
      <c r="H91" s="153">
        <v>1489922</v>
      </c>
      <c r="I91" s="153">
        <v>1358745</v>
      </c>
      <c r="J91" s="153">
        <v>1304010</v>
      </c>
      <c r="K91" s="153">
        <v>1207933</v>
      </c>
      <c r="L91" s="153">
        <v>1124061</v>
      </c>
      <c r="M91" s="153">
        <v>1040044</v>
      </c>
      <c r="N91" s="153">
        <v>945406</v>
      </c>
      <c r="O91" s="153">
        <v>890696</v>
      </c>
      <c r="P91" s="153">
        <v>829638</v>
      </c>
      <c r="Q91" s="153">
        <v>774476</v>
      </c>
      <c r="R91" s="153">
        <v>753415</v>
      </c>
      <c r="S91" s="153">
        <v>722815</v>
      </c>
      <c r="T91" s="153">
        <v>688670</v>
      </c>
      <c r="U91" s="153">
        <v>647928</v>
      </c>
      <c r="V91" s="153">
        <v>600431</v>
      </c>
      <c r="W91" s="153">
        <v>556525</v>
      </c>
      <c r="X91" s="153">
        <v>530802</v>
      </c>
      <c r="Y91" s="153">
        <v>516461</v>
      </c>
      <c r="Z91" s="153">
        <v>498933</v>
      </c>
      <c r="AA91" s="153">
        <v>477617</v>
      </c>
      <c r="AB91" s="153">
        <v>456089</v>
      </c>
      <c r="AC91" s="153">
        <v>445857</v>
      </c>
    </row>
  </sheetData>
  <conditionalFormatting sqref="D7:D97 C98:D98 D99:D204">
    <cfRule type="cellIs" dxfId="4" priority="5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2:AF97"/>
  <sheetViews>
    <sheetView zoomScale="50" zoomScaleNormal="50" workbookViewId="0">
      <selection activeCell="B1" sqref="B1"/>
    </sheetView>
  </sheetViews>
  <sheetFormatPr defaultColWidth="9.33203125" defaultRowHeight="14.4" x14ac:dyDescent="0.3"/>
  <cols>
    <col min="1" max="1" width="14.33203125" style="1" bestFit="1" customWidth="1"/>
    <col min="2" max="2" width="63.6640625" style="1" customWidth="1"/>
    <col min="3" max="3" width="22" style="1" customWidth="1"/>
    <col min="4" max="29" width="17.5546875" style="126" customWidth="1"/>
    <col min="30" max="16384" width="9.33203125" style="126"/>
  </cols>
  <sheetData>
    <row r="2" spans="1:32" ht="21" x14ac:dyDescent="0.4">
      <c r="B2" s="154"/>
      <c r="C2" s="154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</row>
    <row r="3" spans="1:32" ht="84" x14ac:dyDescent="0.4">
      <c r="B3" s="155"/>
      <c r="C3" s="155"/>
      <c r="D3" s="161" t="s">
        <v>308</v>
      </c>
      <c r="E3" s="161" t="s">
        <v>308</v>
      </c>
      <c r="F3" s="161" t="s">
        <v>308</v>
      </c>
      <c r="G3" s="161" t="s">
        <v>308</v>
      </c>
      <c r="H3" s="161" t="s">
        <v>308</v>
      </c>
      <c r="I3" s="161" t="s">
        <v>308</v>
      </c>
      <c r="J3" s="161" t="s">
        <v>308</v>
      </c>
      <c r="K3" s="161" t="s">
        <v>308</v>
      </c>
      <c r="L3" s="161" t="s">
        <v>308</v>
      </c>
      <c r="M3" s="161" t="s">
        <v>308</v>
      </c>
      <c r="N3" s="161" t="s">
        <v>308</v>
      </c>
      <c r="O3" s="161" t="s">
        <v>308</v>
      </c>
      <c r="P3" s="161" t="s">
        <v>308</v>
      </c>
      <c r="Q3" s="161" t="s">
        <v>308</v>
      </c>
      <c r="R3" s="161" t="s">
        <v>308</v>
      </c>
      <c r="S3" s="161" t="s">
        <v>308</v>
      </c>
      <c r="T3" s="161" t="s">
        <v>308</v>
      </c>
      <c r="U3" s="161" t="s">
        <v>308</v>
      </c>
      <c r="V3" s="161" t="s">
        <v>308</v>
      </c>
      <c r="W3" s="161" t="s">
        <v>308</v>
      </c>
      <c r="X3" s="161" t="s">
        <v>308</v>
      </c>
      <c r="Y3" s="161" t="s">
        <v>308</v>
      </c>
      <c r="Z3" s="161" t="s">
        <v>308</v>
      </c>
      <c r="AA3" s="162" t="s">
        <v>308</v>
      </c>
      <c r="AB3" s="162" t="s">
        <v>308</v>
      </c>
      <c r="AC3" s="162" t="s">
        <v>308</v>
      </c>
      <c r="AD3" s="137"/>
      <c r="AE3" s="137"/>
      <c r="AF3" s="137"/>
    </row>
    <row r="4" spans="1:32" ht="63" x14ac:dyDescent="0.4">
      <c r="B4" s="156"/>
      <c r="C4" s="156"/>
      <c r="D4" s="161" t="s">
        <v>309</v>
      </c>
      <c r="E4" s="161" t="s">
        <v>309</v>
      </c>
      <c r="F4" s="161" t="s">
        <v>309</v>
      </c>
      <c r="G4" s="161" t="s">
        <v>309</v>
      </c>
      <c r="H4" s="161" t="s">
        <v>309</v>
      </c>
      <c r="I4" s="161" t="s">
        <v>309</v>
      </c>
      <c r="J4" s="161" t="s">
        <v>309</v>
      </c>
      <c r="K4" s="161" t="s">
        <v>309</v>
      </c>
      <c r="L4" s="161" t="s">
        <v>309</v>
      </c>
      <c r="M4" s="161" t="s">
        <v>309</v>
      </c>
      <c r="N4" s="161" t="s">
        <v>309</v>
      </c>
      <c r="O4" s="161" t="s">
        <v>309</v>
      </c>
      <c r="P4" s="161" t="s">
        <v>309</v>
      </c>
      <c r="Q4" s="161" t="s">
        <v>309</v>
      </c>
      <c r="R4" s="161" t="s">
        <v>309</v>
      </c>
      <c r="S4" s="161" t="s">
        <v>309</v>
      </c>
      <c r="T4" s="161" t="s">
        <v>309</v>
      </c>
      <c r="U4" s="161" t="s">
        <v>309</v>
      </c>
      <c r="V4" s="161" t="s">
        <v>309</v>
      </c>
      <c r="W4" s="161" t="s">
        <v>309</v>
      </c>
      <c r="X4" s="161" t="s">
        <v>309</v>
      </c>
      <c r="Y4" s="161" t="s">
        <v>309</v>
      </c>
      <c r="Z4" s="161" t="s">
        <v>309</v>
      </c>
      <c r="AA4" s="162" t="s">
        <v>309</v>
      </c>
      <c r="AB4" s="162" t="s">
        <v>309</v>
      </c>
      <c r="AC4" s="162" t="s">
        <v>309</v>
      </c>
      <c r="AD4" s="137"/>
      <c r="AE4" s="137"/>
      <c r="AF4" s="137"/>
    </row>
    <row r="5" spans="1:32" ht="21" x14ac:dyDescent="0.4">
      <c r="A5" s="3" t="s">
        <v>264</v>
      </c>
      <c r="B5" s="157" t="s">
        <v>265</v>
      </c>
      <c r="C5" s="158" t="s">
        <v>64</v>
      </c>
      <c r="D5" s="161" t="s">
        <v>176</v>
      </c>
      <c r="E5" s="161" t="s">
        <v>175</v>
      </c>
      <c r="F5" s="161" t="s">
        <v>174</v>
      </c>
      <c r="G5" s="161" t="s">
        <v>173</v>
      </c>
      <c r="H5" s="161" t="s">
        <v>172</v>
      </c>
      <c r="I5" s="161" t="s">
        <v>171</v>
      </c>
      <c r="J5" s="161" t="s">
        <v>170</v>
      </c>
      <c r="K5" s="161" t="s">
        <v>169</v>
      </c>
      <c r="L5" s="161" t="s">
        <v>168</v>
      </c>
      <c r="M5" s="161" t="s">
        <v>167</v>
      </c>
      <c r="N5" s="161" t="s">
        <v>166</v>
      </c>
      <c r="O5" s="161" t="s">
        <v>165</v>
      </c>
      <c r="P5" s="161" t="s">
        <v>164</v>
      </c>
      <c r="Q5" s="161" t="s">
        <v>163</v>
      </c>
      <c r="R5" s="161" t="s">
        <v>162</v>
      </c>
      <c r="S5" s="161" t="s">
        <v>161</v>
      </c>
      <c r="T5" s="161" t="s">
        <v>160</v>
      </c>
      <c r="U5" s="161" t="s">
        <v>159</v>
      </c>
      <c r="V5" s="161" t="s">
        <v>158</v>
      </c>
      <c r="W5" s="161" t="s">
        <v>157</v>
      </c>
      <c r="X5" s="161" t="s">
        <v>156</v>
      </c>
      <c r="Y5" s="161" t="s">
        <v>155</v>
      </c>
      <c r="Z5" s="161" t="s">
        <v>150</v>
      </c>
      <c r="AA5" s="162" t="s">
        <v>305</v>
      </c>
      <c r="AB5" s="162" t="s">
        <v>306</v>
      </c>
      <c r="AC5" s="162" t="s">
        <v>307</v>
      </c>
      <c r="AD5" s="137"/>
      <c r="AE5" s="137"/>
      <c r="AF5" s="137"/>
    </row>
    <row r="6" spans="1:32" ht="21" x14ac:dyDescent="0.4">
      <c r="B6" s="156"/>
      <c r="C6" s="156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62"/>
      <c r="AC6" s="162"/>
      <c r="AD6" s="137"/>
      <c r="AE6" s="137"/>
      <c r="AF6" s="137"/>
    </row>
    <row r="7" spans="1:32" ht="21" x14ac:dyDescent="0.4">
      <c r="B7" s="159" t="s">
        <v>266</v>
      </c>
      <c r="C7" s="160">
        <v>4058513</v>
      </c>
      <c r="D7" s="163" t="s">
        <v>267</v>
      </c>
      <c r="E7" s="163" t="s">
        <v>267</v>
      </c>
      <c r="F7" s="163" t="s">
        <v>267</v>
      </c>
      <c r="G7" s="163">
        <v>74949</v>
      </c>
      <c r="H7" s="163">
        <v>72095</v>
      </c>
      <c r="I7" s="163">
        <v>68762</v>
      </c>
      <c r="J7" s="163">
        <v>64712</v>
      </c>
      <c r="K7" s="163">
        <v>60939</v>
      </c>
      <c r="L7" s="163">
        <v>57617</v>
      </c>
      <c r="M7" s="163">
        <v>54590</v>
      </c>
      <c r="N7" s="163">
        <v>51830</v>
      </c>
      <c r="O7" s="163">
        <v>48902</v>
      </c>
      <c r="P7" s="163">
        <v>47776</v>
      </c>
      <c r="Q7" s="163">
        <v>45485</v>
      </c>
      <c r="R7" s="163">
        <v>42929</v>
      </c>
      <c r="S7" s="163">
        <v>41277</v>
      </c>
      <c r="T7" s="163" t="s">
        <v>267</v>
      </c>
      <c r="U7" s="163" t="s">
        <v>267</v>
      </c>
      <c r="V7" s="163" t="s">
        <v>267</v>
      </c>
      <c r="W7" s="163">
        <v>0</v>
      </c>
      <c r="X7" s="163">
        <v>24940</v>
      </c>
      <c r="Y7" s="163">
        <v>23332</v>
      </c>
      <c r="Z7" s="163">
        <v>21777</v>
      </c>
      <c r="AA7" s="164">
        <v>20222</v>
      </c>
      <c r="AB7" s="164">
        <v>18739</v>
      </c>
      <c r="AC7" s="164">
        <v>17596</v>
      </c>
      <c r="AD7" s="137"/>
      <c r="AE7" s="137"/>
      <c r="AF7" s="137"/>
    </row>
    <row r="8" spans="1:32" ht="21" x14ac:dyDescent="0.4">
      <c r="B8" s="159" t="s">
        <v>148</v>
      </c>
      <c r="C8" s="160">
        <v>4054707</v>
      </c>
      <c r="D8" s="163">
        <v>1500077</v>
      </c>
      <c r="E8" s="163">
        <v>1423907</v>
      </c>
      <c r="F8" s="163">
        <v>1350329</v>
      </c>
      <c r="G8" s="163">
        <v>1293537</v>
      </c>
      <c r="H8" s="163">
        <v>1229893</v>
      </c>
      <c r="I8" s="163">
        <v>1170404</v>
      </c>
      <c r="J8" s="163">
        <v>1146445</v>
      </c>
      <c r="K8" s="163">
        <v>1124693</v>
      </c>
      <c r="L8" s="163">
        <v>1051228</v>
      </c>
      <c r="M8" s="163">
        <v>1008761</v>
      </c>
      <c r="N8" s="163">
        <v>918267</v>
      </c>
      <c r="O8" s="163">
        <v>878304</v>
      </c>
      <c r="P8" s="163">
        <v>839359</v>
      </c>
      <c r="Q8" s="163">
        <v>818382</v>
      </c>
      <c r="R8" s="163">
        <v>793295</v>
      </c>
      <c r="S8" s="163">
        <v>749029</v>
      </c>
      <c r="T8" s="163">
        <f>+S8/(1.0476)</f>
        <v>714995.22718594875</v>
      </c>
      <c r="U8" s="163">
        <f>+T8/(1.0476)</f>
        <v>682507.85336573946</v>
      </c>
      <c r="V8" s="163">
        <f t="shared" ref="V8:Z8" si="0">+U8/(1.0476)</f>
        <v>651496.61451483332</v>
      </c>
      <c r="W8" s="163">
        <f t="shared" si="0"/>
        <v>621894.43920850824</v>
      </c>
      <c r="X8" s="163">
        <f t="shared" si="0"/>
        <v>593637.30355909525</v>
      </c>
      <c r="Y8" s="163">
        <f t="shared" si="0"/>
        <v>566664.09274445893</v>
      </c>
      <c r="Z8" s="163">
        <f t="shared" si="0"/>
        <v>540916.46882823494</v>
      </c>
      <c r="AA8" s="164" t="s">
        <v>267</v>
      </c>
      <c r="AB8" s="164" t="s">
        <v>267</v>
      </c>
      <c r="AC8" s="164" t="s">
        <v>267</v>
      </c>
      <c r="AD8" s="137"/>
      <c r="AE8" s="137"/>
      <c r="AF8" s="137"/>
    </row>
    <row r="9" spans="1:32" ht="21" x14ac:dyDescent="0.4">
      <c r="B9" s="159"/>
      <c r="C9" s="160"/>
      <c r="D9" s="163"/>
      <c r="E9" s="165">
        <f>+D8/E8-1</f>
        <v>5.3493662156306465E-2</v>
      </c>
      <c r="F9" s="165">
        <f t="shared" ref="F9:S9" si="1">+E8/F8-1</f>
        <v>5.4488943064986417E-2</v>
      </c>
      <c r="G9" s="165">
        <f t="shared" si="1"/>
        <v>4.3904426390586337E-2</v>
      </c>
      <c r="H9" s="165">
        <f t="shared" si="1"/>
        <v>5.1747591050603559E-2</v>
      </c>
      <c r="I9" s="165">
        <f t="shared" si="1"/>
        <v>5.0827748367230363E-2</v>
      </c>
      <c r="J9" s="165">
        <f t="shared" si="1"/>
        <v>2.0898516719074944E-2</v>
      </c>
      <c r="K9" s="165">
        <f t="shared" si="1"/>
        <v>1.9340388888345439E-2</v>
      </c>
      <c r="L9" s="165">
        <f t="shared" si="1"/>
        <v>6.9884934571758039E-2</v>
      </c>
      <c r="M9" s="165">
        <f t="shared" si="1"/>
        <v>4.2098177863735708E-2</v>
      </c>
      <c r="N9" s="165">
        <f t="shared" si="1"/>
        <v>9.8548679196791333E-2</v>
      </c>
      <c r="O9" s="165">
        <f t="shared" si="1"/>
        <v>4.5500191277735302E-2</v>
      </c>
      <c r="P9" s="165">
        <f t="shared" si="1"/>
        <v>4.6398501713807772E-2</v>
      </c>
      <c r="Q9" s="165">
        <f t="shared" si="1"/>
        <v>2.5632284190023835E-2</v>
      </c>
      <c r="R9" s="165">
        <f t="shared" si="1"/>
        <v>3.1623796948171856E-2</v>
      </c>
      <c r="S9" s="165">
        <f t="shared" si="1"/>
        <v>5.9097845343771827E-2</v>
      </c>
      <c r="T9" s="165"/>
      <c r="U9" s="165"/>
      <c r="V9" s="165"/>
      <c r="W9" s="165"/>
      <c r="X9" s="165"/>
      <c r="Y9" s="165"/>
      <c r="Z9" s="165"/>
      <c r="AA9" s="166"/>
      <c r="AB9" s="166"/>
      <c r="AC9" s="166"/>
      <c r="AD9" s="137"/>
      <c r="AE9" s="137"/>
      <c r="AF9" s="137"/>
    </row>
    <row r="10" spans="1:32" ht="21" x14ac:dyDescent="0.4">
      <c r="B10" s="159"/>
      <c r="C10" s="160"/>
      <c r="D10" s="165">
        <f>AVERAGE(E9:S9)</f>
        <v>4.7565712516195277E-2</v>
      </c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4"/>
      <c r="AB10" s="164"/>
      <c r="AC10" s="164"/>
      <c r="AD10" s="137"/>
      <c r="AE10" s="137"/>
      <c r="AF10" s="137"/>
    </row>
    <row r="11" spans="1:32" ht="21" x14ac:dyDescent="0.4">
      <c r="B11" s="159" t="s">
        <v>179</v>
      </c>
      <c r="C11" s="160">
        <v>4057075</v>
      </c>
      <c r="D11" s="163">
        <v>377906</v>
      </c>
      <c r="E11" s="163">
        <v>354876</v>
      </c>
      <c r="F11" s="163">
        <v>340260</v>
      </c>
      <c r="G11" s="163">
        <v>321664</v>
      </c>
      <c r="H11" s="163">
        <v>304046</v>
      </c>
      <c r="I11" s="163">
        <v>286927</v>
      </c>
      <c r="J11" s="163">
        <v>269811</v>
      </c>
      <c r="K11" s="163">
        <v>256829</v>
      </c>
      <c r="L11" s="163">
        <v>246430</v>
      </c>
      <c r="M11" s="163">
        <v>235771</v>
      </c>
      <c r="N11" s="163">
        <v>225949</v>
      </c>
      <c r="O11" s="163">
        <v>217067</v>
      </c>
      <c r="P11" s="163">
        <v>168874</v>
      </c>
      <c r="Q11" s="163">
        <v>200085</v>
      </c>
      <c r="R11" s="163">
        <v>187384</v>
      </c>
      <c r="S11" s="163">
        <v>176412</v>
      </c>
      <c r="T11" s="163">
        <v>177996</v>
      </c>
      <c r="U11" s="163">
        <v>165837</v>
      </c>
      <c r="V11" s="163">
        <v>154105</v>
      </c>
      <c r="W11" s="163">
        <v>140639</v>
      </c>
      <c r="X11" s="163">
        <v>129924</v>
      </c>
      <c r="Y11" s="163">
        <v>120148</v>
      </c>
      <c r="Z11" s="163">
        <v>110633</v>
      </c>
      <c r="AA11" s="164" t="s">
        <v>267</v>
      </c>
      <c r="AB11" s="164">
        <v>93477</v>
      </c>
      <c r="AC11" s="164">
        <v>85667</v>
      </c>
      <c r="AD11" s="137"/>
      <c r="AE11" s="137"/>
      <c r="AF11" s="137"/>
    </row>
    <row r="12" spans="1:32" ht="21" x14ac:dyDescent="0.4">
      <c r="A12" s="1" t="s">
        <v>268</v>
      </c>
      <c r="B12" s="159" t="s">
        <v>181</v>
      </c>
      <c r="C12" s="160">
        <v>4007784</v>
      </c>
      <c r="D12" s="163">
        <v>604946</v>
      </c>
      <c r="E12" s="163">
        <v>578248</v>
      </c>
      <c r="F12" s="163">
        <v>567189</v>
      </c>
      <c r="G12" s="163">
        <v>545762</v>
      </c>
      <c r="H12" s="163">
        <v>539945</v>
      </c>
      <c r="I12" s="163">
        <v>517475</v>
      </c>
      <c r="J12" s="163">
        <v>491489</v>
      </c>
      <c r="K12" s="163">
        <v>466405</v>
      </c>
      <c r="L12" s="163">
        <v>438695</v>
      </c>
      <c r="M12" s="163">
        <v>416416</v>
      </c>
      <c r="N12" s="163">
        <v>398163</v>
      </c>
      <c r="O12" s="163">
        <v>388386</v>
      </c>
      <c r="P12" s="163" t="s">
        <v>267</v>
      </c>
      <c r="Q12" s="163">
        <v>362463</v>
      </c>
      <c r="R12" s="163">
        <v>342124</v>
      </c>
      <c r="S12" s="163">
        <v>325566</v>
      </c>
      <c r="T12" s="163">
        <v>314052</v>
      </c>
      <c r="U12" s="163">
        <v>304106</v>
      </c>
      <c r="V12" s="163">
        <v>290340</v>
      </c>
      <c r="W12" s="163">
        <v>276593</v>
      </c>
      <c r="X12" s="163">
        <v>269509</v>
      </c>
      <c r="Y12" s="163">
        <v>265147</v>
      </c>
      <c r="Z12" s="163">
        <v>248262</v>
      </c>
      <c r="AA12" s="164">
        <v>228992</v>
      </c>
      <c r="AB12" s="164">
        <v>212084</v>
      </c>
      <c r="AC12" s="164">
        <v>196622</v>
      </c>
      <c r="AD12" s="137"/>
      <c r="AE12" s="137"/>
      <c r="AF12" s="137"/>
    </row>
    <row r="13" spans="1:32" ht="21" x14ac:dyDescent="0.4">
      <c r="A13" s="1" t="s">
        <v>268</v>
      </c>
      <c r="B13" s="159" t="s">
        <v>269</v>
      </c>
      <c r="C13" s="160">
        <v>4058656</v>
      </c>
      <c r="D13" s="163" t="s">
        <v>267</v>
      </c>
      <c r="E13" s="163" t="s">
        <v>267</v>
      </c>
      <c r="F13" s="163" t="s">
        <v>267</v>
      </c>
      <c r="G13" s="163" t="s">
        <v>267</v>
      </c>
      <c r="H13" s="163" t="s">
        <v>267</v>
      </c>
      <c r="I13" s="163" t="s">
        <v>267</v>
      </c>
      <c r="J13" s="163" t="s">
        <v>267</v>
      </c>
      <c r="K13" s="163" t="s">
        <v>267</v>
      </c>
      <c r="L13" s="163" t="s">
        <v>267</v>
      </c>
      <c r="M13" s="163" t="s">
        <v>267</v>
      </c>
      <c r="N13" s="163" t="s">
        <v>267</v>
      </c>
      <c r="O13" s="163" t="s">
        <v>267</v>
      </c>
      <c r="P13" s="163" t="s">
        <v>267</v>
      </c>
      <c r="Q13" s="163" t="s">
        <v>267</v>
      </c>
      <c r="R13" s="163" t="s">
        <v>267</v>
      </c>
      <c r="S13" s="163" t="s">
        <v>267</v>
      </c>
      <c r="T13" s="163" t="s">
        <v>267</v>
      </c>
      <c r="U13" s="163" t="s">
        <v>267</v>
      </c>
      <c r="V13" s="163" t="s">
        <v>267</v>
      </c>
      <c r="W13" s="163" t="s">
        <v>267</v>
      </c>
      <c r="X13" s="163" t="s">
        <v>267</v>
      </c>
      <c r="Y13" s="163" t="s">
        <v>267</v>
      </c>
      <c r="Z13" s="163" t="s">
        <v>267</v>
      </c>
      <c r="AA13" s="164" t="s">
        <v>267</v>
      </c>
      <c r="AB13" s="164" t="s">
        <v>267</v>
      </c>
      <c r="AC13" s="164" t="s">
        <v>267</v>
      </c>
      <c r="AD13" s="137"/>
      <c r="AE13" s="137"/>
      <c r="AF13" s="137"/>
    </row>
    <row r="14" spans="1:32" ht="21" x14ac:dyDescent="0.4">
      <c r="A14" s="1" t="s">
        <v>268</v>
      </c>
      <c r="B14" s="159" t="s">
        <v>186</v>
      </c>
      <c r="C14" s="160">
        <v>4057110</v>
      </c>
      <c r="D14" s="163" t="s">
        <v>267</v>
      </c>
      <c r="E14" s="163" t="s">
        <v>267</v>
      </c>
      <c r="F14" s="163" t="s">
        <v>267</v>
      </c>
      <c r="G14" s="163" t="s">
        <v>267</v>
      </c>
      <c r="H14" s="163" t="s">
        <v>267</v>
      </c>
      <c r="I14" s="163" t="s">
        <v>267</v>
      </c>
      <c r="J14" s="163" t="s">
        <v>267</v>
      </c>
      <c r="K14" s="163" t="s">
        <v>267</v>
      </c>
      <c r="L14" s="163" t="s">
        <v>267</v>
      </c>
      <c r="M14" s="163" t="s">
        <v>267</v>
      </c>
      <c r="N14" s="163" t="s">
        <v>267</v>
      </c>
      <c r="O14" s="163" t="s">
        <v>267</v>
      </c>
      <c r="P14" s="163" t="s">
        <v>267</v>
      </c>
      <c r="Q14" s="163" t="s">
        <v>267</v>
      </c>
      <c r="R14" s="163" t="s">
        <v>267</v>
      </c>
      <c r="S14" s="163" t="s">
        <v>267</v>
      </c>
      <c r="T14" s="163" t="s">
        <v>267</v>
      </c>
      <c r="U14" s="163" t="s">
        <v>267</v>
      </c>
      <c r="V14" s="163" t="s">
        <v>267</v>
      </c>
      <c r="W14" s="163" t="s">
        <v>267</v>
      </c>
      <c r="X14" s="163" t="s">
        <v>267</v>
      </c>
      <c r="Y14" s="163" t="s">
        <v>267</v>
      </c>
      <c r="Z14" s="163" t="s">
        <v>267</v>
      </c>
      <c r="AA14" s="164" t="s">
        <v>267</v>
      </c>
      <c r="AB14" s="164" t="s">
        <v>267</v>
      </c>
      <c r="AC14" s="164" t="s">
        <v>267</v>
      </c>
      <c r="AD14" s="137"/>
      <c r="AE14" s="137"/>
      <c r="AF14" s="137"/>
    </row>
    <row r="15" spans="1:32" ht="21" x14ac:dyDescent="0.4">
      <c r="B15" s="159" t="s">
        <v>188</v>
      </c>
      <c r="C15" s="160">
        <v>4058516</v>
      </c>
      <c r="D15" s="163">
        <v>90953</v>
      </c>
      <c r="E15" s="163">
        <v>83109</v>
      </c>
      <c r="F15" s="163">
        <v>83231</v>
      </c>
      <c r="G15" s="163">
        <v>79851</v>
      </c>
      <c r="H15" s="163">
        <v>68437</v>
      </c>
      <c r="I15" s="163">
        <v>73761</v>
      </c>
      <c r="J15" s="163">
        <v>70110</v>
      </c>
      <c r="K15" s="163">
        <v>67914</v>
      </c>
      <c r="L15" s="163">
        <v>65264</v>
      </c>
      <c r="M15" s="163">
        <v>62200</v>
      </c>
      <c r="N15" s="163">
        <v>59359</v>
      </c>
      <c r="O15" s="163">
        <v>55117</v>
      </c>
      <c r="P15" s="163">
        <v>52312</v>
      </c>
      <c r="Q15" s="163">
        <v>49719</v>
      </c>
      <c r="R15" s="163">
        <v>47471</v>
      </c>
      <c r="S15" s="163">
        <v>45069</v>
      </c>
      <c r="T15" s="163">
        <v>42994</v>
      </c>
      <c r="U15" s="163">
        <v>41287</v>
      </c>
      <c r="V15" s="163">
        <v>39436</v>
      </c>
      <c r="W15" s="163">
        <v>37457</v>
      </c>
      <c r="X15" s="163">
        <v>35489</v>
      </c>
      <c r="Y15" s="163">
        <v>45779</v>
      </c>
      <c r="Z15" s="163">
        <v>43585</v>
      </c>
      <c r="AA15" s="164">
        <v>41168</v>
      </c>
      <c r="AB15" s="164">
        <v>38772</v>
      </c>
      <c r="AC15" s="164">
        <v>36576</v>
      </c>
      <c r="AD15" s="137"/>
      <c r="AE15" s="137"/>
      <c r="AF15" s="137"/>
    </row>
    <row r="16" spans="1:32" ht="21" x14ac:dyDescent="0.4">
      <c r="B16" s="159" t="s">
        <v>190</v>
      </c>
      <c r="C16" s="160">
        <v>4058793</v>
      </c>
      <c r="D16" s="163" t="s">
        <v>267</v>
      </c>
      <c r="E16" s="163" t="s">
        <v>267</v>
      </c>
      <c r="F16" s="163" t="s">
        <v>267</v>
      </c>
      <c r="G16" s="163" t="s">
        <v>267</v>
      </c>
      <c r="H16" s="163" t="s">
        <v>267</v>
      </c>
      <c r="I16" s="163" t="s">
        <v>267</v>
      </c>
      <c r="J16" s="163" t="s">
        <v>267</v>
      </c>
      <c r="K16" s="163" t="s">
        <v>267</v>
      </c>
      <c r="L16" s="163" t="s">
        <v>267</v>
      </c>
      <c r="M16" s="163" t="s">
        <v>267</v>
      </c>
      <c r="N16" s="163" t="s">
        <v>267</v>
      </c>
      <c r="O16" s="163" t="s">
        <v>267</v>
      </c>
      <c r="P16" s="163" t="s">
        <v>267</v>
      </c>
      <c r="Q16" s="163">
        <v>1878</v>
      </c>
      <c r="R16" s="163">
        <v>1757</v>
      </c>
      <c r="S16" s="163">
        <v>1749</v>
      </c>
      <c r="T16" s="163">
        <v>1782</v>
      </c>
      <c r="U16" s="163">
        <v>1719</v>
      </c>
      <c r="V16" s="163" t="s">
        <v>267</v>
      </c>
      <c r="W16" s="163" t="s">
        <v>267</v>
      </c>
      <c r="X16" s="163" t="s">
        <v>267</v>
      </c>
      <c r="Y16" s="163">
        <v>1315</v>
      </c>
      <c r="Z16" s="163">
        <v>1227</v>
      </c>
      <c r="AA16" s="164">
        <v>0</v>
      </c>
      <c r="AB16" s="164">
        <v>988</v>
      </c>
      <c r="AC16" s="164">
        <v>0</v>
      </c>
      <c r="AD16" s="137"/>
      <c r="AE16" s="137"/>
      <c r="AF16" s="137"/>
    </row>
    <row r="17" spans="1:32" ht="21" x14ac:dyDescent="0.4">
      <c r="A17" s="1" t="s">
        <v>268</v>
      </c>
      <c r="B17" s="159" t="s">
        <v>192</v>
      </c>
      <c r="C17" s="160">
        <v>4057111</v>
      </c>
      <c r="D17" s="163" t="s">
        <v>267</v>
      </c>
      <c r="E17" s="163" t="s">
        <v>267</v>
      </c>
      <c r="F17" s="163" t="s">
        <v>267</v>
      </c>
      <c r="G17" s="163" t="s">
        <v>267</v>
      </c>
      <c r="H17" s="163" t="s">
        <v>267</v>
      </c>
      <c r="I17" s="163" t="s">
        <v>267</v>
      </c>
      <c r="J17" s="163" t="s">
        <v>267</v>
      </c>
      <c r="K17" s="163" t="s">
        <v>267</v>
      </c>
      <c r="L17" s="163" t="s">
        <v>267</v>
      </c>
      <c r="M17" s="163" t="s">
        <v>267</v>
      </c>
      <c r="N17" s="163" t="s">
        <v>267</v>
      </c>
      <c r="O17" s="163" t="s">
        <v>267</v>
      </c>
      <c r="P17" s="163" t="s">
        <v>267</v>
      </c>
      <c r="Q17" s="163" t="s">
        <v>267</v>
      </c>
      <c r="R17" s="163" t="s">
        <v>267</v>
      </c>
      <c r="S17" s="163" t="s">
        <v>267</v>
      </c>
      <c r="T17" s="163" t="s">
        <v>267</v>
      </c>
      <c r="U17" s="163" t="s">
        <v>267</v>
      </c>
      <c r="V17" s="163" t="s">
        <v>267</v>
      </c>
      <c r="W17" s="163" t="s">
        <v>267</v>
      </c>
      <c r="X17" s="163" t="s">
        <v>267</v>
      </c>
      <c r="Y17" s="163" t="s">
        <v>267</v>
      </c>
      <c r="Z17" s="163" t="s">
        <v>267</v>
      </c>
      <c r="AA17" s="164">
        <v>230310</v>
      </c>
      <c r="AB17" s="164">
        <v>202810</v>
      </c>
      <c r="AC17" s="164">
        <v>177742</v>
      </c>
      <c r="AD17" s="137"/>
      <c r="AE17" s="137"/>
      <c r="AF17" s="137"/>
    </row>
    <row r="18" spans="1:32" ht="21" x14ac:dyDescent="0.4">
      <c r="A18" s="1" t="s">
        <v>268</v>
      </c>
      <c r="B18" s="159" t="s">
        <v>193</v>
      </c>
      <c r="C18" s="160">
        <v>4018679</v>
      </c>
      <c r="D18" s="163">
        <v>884433</v>
      </c>
      <c r="E18" s="163">
        <v>830889</v>
      </c>
      <c r="F18" s="163">
        <v>908136</v>
      </c>
      <c r="G18" s="163">
        <v>920347</v>
      </c>
      <c r="H18" s="163">
        <v>894049</v>
      </c>
      <c r="I18" s="163">
        <v>948087</v>
      </c>
      <c r="J18" s="163">
        <v>957734</v>
      </c>
      <c r="K18" s="163">
        <v>948172</v>
      </c>
      <c r="L18" s="163">
        <v>880338</v>
      </c>
      <c r="M18" s="163">
        <v>875514</v>
      </c>
      <c r="N18" s="163">
        <v>817471</v>
      </c>
      <c r="O18" s="163">
        <v>765812</v>
      </c>
      <c r="P18" s="163">
        <v>716513</v>
      </c>
      <c r="Q18" s="163">
        <v>665940</v>
      </c>
      <c r="R18" s="163">
        <v>606347</v>
      </c>
      <c r="S18" s="163">
        <v>586107</v>
      </c>
      <c r="T18" s="163">
        <v>549467</v>
      </c>
      <c r="U18" s="163">
        <v>514524</v>
      </c>
      <c r="V18" s="163">
        <v>476214</v>
      </c>
      <c r="W18" s="163">
        <v>444780</v>
      </c>
      <c r="X18" s="163">
        <v>400567</v>
      </c>
      <c r="Y18" s="163">
        <v>375172</v>
      </c>
      <c r="Z18" s="163">
        <v>343754</v>
      </c>
      <c r="AA18" s="164">
        <v>314321</v>
      </c>
      <c r="AB18" s="164">
        <v>277401</v>
      </c>
      <c r="AC18" s="164">
        <v>252760</v>
      </c>
      <c r="AD18" s="137"/>
      <c r="AE18" s="137"/>
      <c r="AF18" s="137"/>
    </row>
    <row r="19" spans="1:32" ht="21" x14ac:dyDescent="0.4">
      <c r="B19" s="159" t="s">
        <v>195</v>
      </c>
      <c r="C19" s="160">
        <v>4057112</v>
      </c>
      <c r="D19" s="163">
        <v>464076</v>
      </c>
      <c r="E19" s="163">
        <v>445692</v>
      </c>
      <c r="F19" s="163">
        <v>428550</v>
      </c>
      <c r="G19" s="163">
        <v>420420</v>
      </c>
      <c r="H19" s="163">
        <v>401047</v>
      </c>
      <c r="I19" s="163">
        <v>383849</v>
      </c>
      <c r="J19" s="163">
        <v>363333</v>
      </c>
      <c r="K19" s="163">
        <v>347102</v>
      </c>
      <c r="L19" s="163">
        <v>331934</v>
      </c>
      <c r="M19" s="163">
        <v>316517</v>
      </c>
      <c r="N19" s="163">
        <v>301431</v>
      </c>
      <c r="O19" s="163">
        <v>286359</v>
      </c>
      <c r="P19" s="163">
        <v>270926</v>
      </c>
      <c r="Q19" s="163">
        <v>256816</v>
      </c>
      <c r="R19" s="163">
        <v>242227</v>
      </c>
      <c r="S19" s="163">
        <v>228552</v>
      </c>
      <c r="T19" s="163">
        <v>216083</v>
      </c>
      <c r="U19" s="163">
        <v>202689</v>
      </c>
      <c r="V19" s="163">
        <v>152003</v>
      </c>
      <c r="W19" s="163">
        <v>178860</v>
      </c>
      <c r="X19" s="163">
        <v>167411</v>
      </c>
      <c r="Y19" s="163">
        <v>156246</v>
      </c>
      <c r="Z19" s="163">
        <v>145598</v>
      </c>
      <c r="AA19" s="164">
        <v>123610</v>
      </c>
      <c r="AB19" s="164">
        <v>113434</v>
      </c>
      <c r="AC19" s="164">
        <v>104174</v>
      </c>
      <c r="AD19" s="137"/>
      <c r="AE19" s="137"/>
      <c r="AF19" s="137"/>
    </row>
    <row r="20" spans="1:32" ht="21" x14ac:dyDescent="0.4">
      <c r="A20" s="1" t="s">
        <v>268</v>
      </c>
      <c r="B20" s="159" t="s">
        <v>196</v>
      </c>
      <c r="C20" s="160">
        <v>4057076</v>
      </c>
      <c r="D20" s="163" t="s">
        <v>267</v>
      </c>
      <c r="E20" s="163">
        <v>100143</v>
      </c>
      <c r="F20" s="163">
        <v>95576</v>
      </c>
      <c r="G20" s="163">
        <v>92315</v>
      </c>
      <c r="H20" s="163">
        <v>90203</v>
      </c>
      <c r="I20" s="163">
        <v>87192</v>
      </c>
      <c r="J20" s="163">
        <v>84618</v>
      </c>
      <c r="K20" s="163">
        <v>78709</v>
      </c>
      <c r="L20" s="163">
        <v>75443</v>
      </c>
      <c r="M20" s="163">
        <v>71549</v>
      </c>
      <c r="N20" s="163">
        <v>67170</v>
      </c>
      <c r="O20" s="163">
        <v>62761</v>
      </c>
      <c r="P20" s="163">
        <v>56075</v>
      </c>
      <c r="Q20" s="163">
        <v>53593</v>
      </c>
      <c r="R20" s="163">
        <v>52862</v>
      </c>
      <c r="S20" s="163">
        <v>49636</v>
      </c>
      <c r="T20" s="163">
        <v>46729</v>
      </c>
      <c r="U20" s="163">
        <v>44335</v>
      </c>
      <c r="V20" s="163">
        <v>41719</v>
      </c>
      <c r="W20" s="163">
        <v>39224</v>
      </c>
      <c r="X20" s="163">
        <v>36972</v>
      </c>
      <c r="Y20" s="163">
        <v>34373</v>
      </c>
      <c r="Z20" s="163">
        <v>32003</v>
      </c>
      <c r="AA20" s="164" t="s">
        <v>267</v>
      </c>
      <c r="AB20" s="164">
        <v>28215</v>
      </c>
      <c r="AC20" s="164">
        <v>26366</v>
      </c>
      <c r="AD20" s="137"/>
      <c r="AE20" s="137"/>
      <c r="AF20" s="137"/>
    </row>
    <row r="21" spans="1:32" ht="21" x14ac:dyDescent="0.4">
      <c r="B21" s="159" t="s">
        <v>270</v>
      </c>
      <c r="C21" s="160">
        <v>4059166</v>
      </c>
      <c r="D21" s="163">
        <v>116466</v>
      </c>
      <c r="E21" s="163">
        <v>111653</v>
      </c>
      <c r="F21" s="163">
        <v>107042</v>
      </c>
      <c r="G21" s="163">
        <v>102606</v>
      </c>
      <c r="H21" s="163">
        <v>100592</v>
      </c>
      <c r="I21" s="163">
        <v>96824</v>
      </c>
      <c r="J21" s="163">
        <v>94491</v>
      </c>
      <c r="K21" s="163">
        <v>94914</v>
      </c>
      <c r="L21" s="163">
        <v>90611</v>
      </c>
      <c r="M21" s="163">
        <v>88348</v>
      </c>
      <c r="N21" s="163">
        <v>85441</v>
      </c>
      <c r="O21" s="163">
        <v>80499</v>
      </c>
      <c r="P21" s="163">
        <v>75178</v>
      </c>
      <c r="Q21" s="163">
        <v>72357</v>
      </c>
      <c r="R21" s="163">
        <v>67686</v>
      </c>
      <c r="S21" s="163">
        <v>63037</v>
      </c>
      <c r="T21" s="163" t="s">
        <v>267</v>
      </c>
      <c r="U21" s="163" t="s">
        <v>267</v>
      </c>
      <c r="V21" s="163" t="s">
        <v>267</v>
      </c>
      <c r="W21" s="163" t="s">
        <v>267</v>
      </c>
      <c r="X21" s="163">
        <v>42287</v>
      </c>
      <c r="Y21" s="163" t="s">
        <v>267</v>
      </c>
      <c r="Z21" s="163" t="s">
        <v>267</v>
      </c>
      <c r="AA21" s="164">
        <v>32493</v>
      </c>
      <c r="AB21" s="164">
        <v>29211</v>
      </c>
      <c r="AC21" s="164">
        <v>26445</v>
      </c>
      <c r="AD21" s="137"/>
      <c r="AE21" s="137"/>
      <c r="AF21" s="137"/>
    </row>
    <row r="22" spans="1:32" ht="21" x14ac:dyDescent="0.4">
      <c r="B22" s="159" t="s">
        <v>271</v>
      </c>
      <c r="C22" s="160">
        <v>4059227</v>
      </c>
      <c r="D22" s="163" t="s">
        <v>267</v>
      </c>
      <c r="E22" s="163" t="s">
        <v>267</v>
      </c>
      <c r="F22" s="163" t="s">
        <v>267</v>
      </c>
      <c r="G22" s="163" t="s">
        <v>267</v>
      </c>
      <c r="H22" s="163" t="s">
        <v>267</v>
      </c>
      <c r="I22" s="163" t="s">
        <v>267</v>
      </c>
      <c r="J22" s="163" t="s">
        <v>267</v>
      </c>
      <c r="K22" s="163" t="s">
        <v>267</v>
      </c>
      <c r="L22" s="163" t="s">
        <v>267</v>
      </c>
      <c r="M22" s="163" t="s">
        <v>267</v>
      </c>
      <c r="N22" s="163" t="s">
        <v>267</v>
      </c>
      <c r="O22" s="163" t="s">
        <v>267</v>
      </c>
      <c r="P22" s="163" t="s">
        <v>267</v>
      </c>
      <c r="Q22" s="163" t="s">
        <v>267</v>
      </c>
      <c r="R22" s="163" t="s">
        <v>267</v>
      </c>
      <c r="S22" s="163" t="s">
        <v>267</v>
      </c>
      <c r="T22" s="163" t="s">
        <v>267</v>
      </c>
      <c r="U22" s="163" t="s">
        <v>267</v>
      </c>
      <c r="V22" s="163" t="s">
        <v>267</v>
      </c>
      <c r="W22" s="163" t="s">
        <v>267</v>
      </c>
      <c r="X22" s="163" t="s">
        <v>267</v>
      </c>
      <c r="Y22" s="163" t="s">
        <v>267</v>
      </c>
      <c r="Z22" s="163" t="s">
        <v>267</v>
      </c>
      <c r="AA22" s="164" t="s">
        <v>267</v>
      </c>
      <c r="AB22" s="164">
        <v>7709</v>
      </c>
      <c r="AC22" s="164">
        <v>7768</v>
      </c>
      <c r="AD22" s="137"/>
      <c r="AE22" s="137"/>
      <c r="AF22" s="137"/>
    </row>
    <row r="23" spans="1:32" ht="21" x14ac:dyDescent="0.4">
      <c r="A23" s="1" t="s">
        <v>268</v>
      </c>
      <c r="B23" s="159" t="s">
        <v>197</v>
      </c>
      <c r="C23" s="160">
        <v>4057114</v>
      </c>
      <c r="D23" s="163" t="s">
        <v>267</v>
      </c>
      <c r="E23" s="163" t="s">
        <v>267</v>
      </c>
      <c r="F23" s="163" t="s">
        <v>267</v>
      </c>
      <c r="G23" s="163" t="s">
        <v>267</v>
      </c>
      <c r="H23" s="163" t="s">
        <v>267</v>
      </c>
      <c r="I23" s="163" t="s">
        <v>267</v>
      </c>
      <c r="J23" s="163" t="s">
        <v>267</v>
      </c>
      <c r="K23" s="163" t="s">
        <v>267</v>
      </c>
      <c r="L23" s="163" t="s">
        <v>267</v>
      </c>
      <c r="M23" s="163" t="s">
        <v>267</v>
      </c>
      <c r="N23" s="163" t="s">
        <v>267</v>
      </c>
      <c r="O23" s="163" t="s">
        <v>267</v>
      </c>
      <c r="P23" s="163" t="s">
        <v>267</v>
      </c>
      <c r="Q23" s="163" t="s">
        <v>267</v>
      </c>
      <c r="R23" s="163" t="s">
        <v>267</v>
      </c>
      <c r="S23" s="163" t="s">
        <v>267</v>
      </c>
      <c r="T23" s="163" t="s">
        <v>267</v>
      </c>
      <c r="U23" s="163" t="s">
        <v>267</v>
      </c>
      <c r="V23" s="163" t="s">
        <v>267</v>
      </c>
      <c r="W23" s="163" t="s">
        <v>267</v>
      </c>
      <c r="X23" s="163" t="s">
        <v>267</v>
      </c>
      <c r="Y23" s="163" t="s">
        <v>267</v>
      </c>
      <c r="Z23" s="163" t="s">
        <v>267</v>
      </c>
      <c r="AA23" s="164" t="s">
        <v>267</v>
      </c>
      <c r="AB23" s="164" t="s">
        <v>267</v>
      </c>
      <c r="AC23" s="164" t="s">
        <v>267</v>
      </c>
      <c r="AD23" s="137"/>
      <c r="AE23" s="137"/>
      <c r="AF23" s="137"/>
    </row>
    <row r="24" spans="1:32" ht="21" x14ac:dyDescent="0.4">
      <c r="B24" s="159" t="s">
        <v>198</v>
      </c>
      <c r="C24" s="160">
        <v>4059355</v>
      </c>
      <c r="D24" s="163">
        <v>161472</v>
      </c>
      <c r="E24" s="163">
        <v>157411</v>
      </c>
      <c r="F24" s="163">
        <v>152230</v>
      </c>
      <c r="G24" s="163">
        <v>146970</v>
      </c>
      <c r="H24" s="163">
        <v>140752</v>
      </c>
      <c r="I24" s="163">
        <v>137047</v>
      </c>
      <c r="J24" s="163">
        <v>132046</v>
      </c>
      <c r="K24" s="163">
        <v>129304</v>
      </c>
      <c r="L24" s="163">
        <v>126822</v>
      </c>
      <c r="M24" s="163">
        <v>124253</v>
      </c>
      <c r="N24" s="163">
        <v>120907</v>
      </c>
      <c r="O24" s="163">
        <v>116859</v>
      </c>
      <c r="P24" s="163">
        <v>115070</v>
      </c>
      <c r="Q24" s="163">
        <v>112207</v>
      </c>
      <c r="R24" s="163">
        <v>109630</v>
      </c>
      <c r="S24" s="163">
        <v>106587</v>
      </c>
      <c r="T24" s="163">
        <v>103376</v>
      </c>
      <c r="U24" s="163">
        <v>103190</v>
      </c>
      <c r="V24" s="163">
        <v>100934</v>
      </c>
      <c r="W24" s="163">
        <v>94318</v>
      </c>
      <c r="X24" s="163" t="s">
        <v>267</v>
      </c>
      <c r="Y24" s="163">
        <v>83207</v>
      </c>
      <c r="Z24" s="163">
        <v>77619</v>
      </c>
      <c r="AA24" s="164">
        <v>72845</v>
      </c>
      <c r="AB24" s="164">
        <v>67855</v>
      </c>
      <c r="AC24" s="164">
        <v>63047</v>
      </c>
      <c r="AD24" s="137"/>
      <c r="AE24" s="137"/>
      <c r="AF24" s="137"/>
    </row>
    <row r="25" spans="1:32" ht="21" x14ac:dyDescent="0.4">
      <c r="B25" s="159" t="s">
        <v>200</v>
      </c>
      <c r="C25" s="160">
        <v>4088325</v>
      </c>
      <c r="D25" s="163">
        <v>59959</v>
      </c>
      <c r="E25" s="163">
        <v>57307</v>
      </c>
      <c r="F25" s="163">
        <v>54223</v>
      </c>
      <c r="G25" s="163">
        <v>51742</v>
      </c>
      <c r="H25" s="163">
        <v>50168</v>
      </c>
      <c r="I25" s="163">
        <v>48866</v>
      </c>
      <c r="J25" s="163">
        <v>46704</v>
      </c>
      <c r="K25" s="163">
        <v>45645</v>
      </c>
      <c r="L25" s="163">
        <v>45096</v>
      </c>
      <c r="M25" s="163">
        <v>43960</v>
      </c>
      <c r="N25" s="163">
        <v>43718</v>
      </c>
      <c r="O25" s="163">
        <v>43251</v>
      </c>
      <c r="P25" s="163">
        <v>42735</v>
      </c>
      <c r="Q25" s="163">
        <v>41417</v>
      </c>
      <c r="R25" s="163">
        <v>40227</v>
      </c>
      <c r="S25" s="163">
        <v>38321</v>
      </c>
      <c r="T25" s="163">
        <v>36733</v>
      </c>
      <c r="U25" s="163">
        <v>35195</v>
      </c>
      <c r="V25" s="163" t="s">
        <v>267</v>
      </c>
      <c r="W25" s="163" t="s">
        <v>267</v>
      </c>
      <c r="X25" s="163" t="s">
        <v>267</v>
      </c>
      <c r="Y25" s="163">
        <v>29035</v>
      </c>
      <c r="Z25" s="163">
        <v>27613</v>
      </c>
      <c r="AA25" s="164">
        <v>26622</v>
      </c>
      <c r="AB25" s="164">
        <v>24969</v>
      </c>
      <c r="AC25" s="164">
        <v>23341</v>
      </c>
      <c r="AD25" s="137"/>
      <c r="AE25" s="137"/>
      <c r="AF25" s="137"/>
    </row>
    <row r="26" spans="1:32" ht="21" x14ac:dyDescent="0.4">
      <c r="B26" s="159" t="s">
        <v>272</v>
      </c>
      <c r="C26" s="160">
        <v>4088326</v>
      </c>
      <c r="D26" s="163">
        <v>1216654</v>
      </c>
      <c r="E26" s="163">
        <v>1144140</v>
      </c>
      <c r="F26" s="163">
        <v>1066738</v>
      </c>
      <c r="G26" s="163">
        <v>992013</v>
      </c>
      <c r="H26" s="163">
        <v>941248</v>
      </c>
      <c r="I26" s="163">
        <v>912285</v>
      </c>
      <c r="J26" s="163">
        <v>857508</v>
      </c>
      <c r="K26" s="163">
        <v>817111</v>
      </c>
      <c r="L26" s="163">
        <v>786624</v>
      </c>
      <c r="M26" s="163">
        <v>752005</v>
      </c>
      <c r="N26" s="163">
        <v>734850</v>
      </c>
      <c r="O26" s="163">
        <v>698185</v>
      </c>
      <c r="P26" s="163">
        <v>665062</v>
      </c>
      <c r="Q26" s="163">
        <v>636129</v>
      </c>
      <c r="R26" s="163">
        <v>606075</v>
      </c>
      <c r="S26" s="163">
        <v>577138</v>
      </c>
      <c r="T26" s="163">
        <v>550159</v>
      </c>
      <c r="U26" s="163">
        <v>548073</v>
      </c>
      <c r="V26" s="163">
        <v>549648</v>
      </c>
      <c r="W26" s="163">
        <v>552586</v>
      </c>
      <c r="X26" s="163" t="s">
        <v>267</v>
      </c>
      <c r="Y26" s="163">
        <v>554664</v>
      </c>
      <c r="Z26" s="163">
        <v>566971</v>
      </c>
      <c r="AA26" s="164">
        <v>537393</v>
      </c>
      <c r="AB26" s="164">
        <v>503527</v>
      </c>
      <c r="AC26" s="164">
        <v>476408</v>
      </c>
      <c r="AD26" s="137"/>
      <c r="AE26" s="137"/>
      <c r="AF26" s="137"/>
    </row>
    <row r="27" spans="1:32" ht="21" x14ac:dyDescent="0.4">
      <c r="A27" s="1" t="s">
        <v>268</v>
      </c>
      <c r="B27" s="159" t="s">
        <v>273</v>
      </c>
      <c r="C27" s="160">
        <v>4059358</v>
      </c>
      <c r="D27" s="163" t="s">
        <v>267</v>
      </c>
      <c r="E27" s="163" t="s">
        <v>267</v>
      </c>
      <c r="F27" s="163" t="s">
        <v>267</v>
      </c>
      <c r="G27" s="163" t="s">
        <v>267</v>
      </c>
      <c r="H27" s="163" t="s">
        <v>267</v>
      </c>
      <c r="I27" s="163" t="s">
        <v>267</v>
      </c>
      <c r="J27" s="163" t="s">
        <v>267</v>
      </c>
      <c r="K27" s="163" t="s">
        <v>267</v>
      </c>
      <c r="L27" s="163" t="s">
        <v>267</v>
      </c>
      <c r="M27" s="163" t="s">
        <v>267</v>
      </c>
      <c r="N27" s="163" t="s">
        <v>267</v>
      </c>
      <c r="O27" s="163" t="s">
        <v>267</v>
      </c>
      <c r="P27" s="163" t="s">
        <v>267</v>
      </c>
      <c r="Q27" s="163" t="s">
        <v>267</v>
      </c>
      <c r="R27" s="163" t="s">
        <v>267</v>
      </c>
      <c r="S27" s="163" t="s">
        <v>267</v>
      </c>
      <c r="T27" s="163" t="s">
        <v>267</v>
      </c>
      <c r="U27" s="163" t="s">
        <v>267</v>
      </c>
      <c r="V27" s="163" t="s">
        <v>267</v>
      </c>
      <c r="W27" s="163" t="s">
        <v>267</v>
      </c>
      <c r="X27" s="163">
        <v>612</v>
      </c>
      <c r="Y27" s="163" t="s">
        <v>267</v>
      </c>
      <c r="Z27" s="163" t="s">
        <v>267</v>
      </c>
      <c r="AA27" s="164" t="s">
        <v>267</v>
      </c>
      <c r="AB27" s="164" t="s">
        <v>267</v>
      </c>
      <c r="AC27" s="164" t="s">
        <v>267</v>
      </c>
      <c r="AD27" s="137"/>
      <c r="AE27" s="137"/>
      <c r="AF27" s="137"/>
    </row>
    <row r="28" spans="1:32" ht="21" x14ac:dyDescent="0.4">
      <c r="B28" s="159" t="s">
        <v>274</v>
      </c>
      <c r="C28" s="160">
        <v>4059359</v>
      </c>
      <c r="D28" s="163">
        <v>386977</v>
      </c>
      <c r="E28" s="163">
        <v>365219</v>
      </c>
      <c r="F28" s="163">
        <v>342787</v>
      </c>
      <c r="G28" s="163">
        <v>1647</v>
      </c>
      <c r="H28" s="163">
        <v>297907</v>
      </c>
      <c r="I28" s="163">
        <v>277290</v>
      </c>
      <c r="J28" s="163">
        <v>258318</v>
      </c>
      <c r="K28" s="163">
        <v>240514</v>
      </c>
      <c r="L28" s="163">
        <v>224078</v>
      </c>
      <c r="M28" s="163">
        <v>209921</v>
      </c>
      <c r="N28" s="163">
        <v>195393</v>
      </c>
      <c r="O28" s="163">
        <v>182478</v>
      </c>
      <c r="P28" s="163">
        <v>169617</v>
      </c>
      <c r="Q28" s="163">
        <v>157734</v>
      </c>
      <c r="R28" s="163">
        <v>147230</v>
      </c>
      <c r="S28" s="163">
        <v>136362</v>
      </c>
      <c r="T28" s="163">
        <v>124789</v>
      </c>
      <c r="U28" s="163" t="s">
        <v>267</v>
      </c>
      <c r="V28" s="163" t="s">
        <v>267</v>
      </c>
      <c r="W28" s="163" t="s">
        <v>267</v>
      </c>
      <c r="X28" s="163" t="s">
        <v>267</v>
      </c>
      <c r="Y28" s="163" t="s">
        <v>267</v>
      </c>
      <c r="Z28" s="163">
        <v>74437</v>
      </c>
      <c r="AA28" s="164">
        <v>68964</v>
      </c>
      <c r="AB28" s="164" t="s">
        <v>267</v>
      </c>
      <c r="AC28" s="164" t="s">
        <v>267</v>
      </c>
      <c r="AD28" s="137"/>
      <c r="AE28" s="137"/>
      <c r="AF28" s="137"/>
    </row>
    <row r="29" spans="1:32" ht="21" x14ac:dyDescent="0.4">
      <c r="A29" s="1" t="s">
        <v>268</v>
      </c>
      <c r="B29" s="159" t="s">
        <v>202</v>
      </c>
      <c r="C29" s="160">
        <v>4059402</v>
      </c>
      <c r="D29" s="163">
        <v>505292</v>
      </c>
      <c r="E29" s="163">
        <v>486016</v>
      </c>
      <c r="F29" s="163">
        <v>460098</v>
      </c>
      <c r="G29" s="163">
        <v>449483</v>
      </c>
      <c r="H29" s="163" t="s">
        <v>267</v>
      </c>
      <c r="I29" s="163">
        <v>398814</v>
      </c>
      <c r="J29" s="163">
        <v>375907</v>
      </c>
      <c r="K29" s="163">
        <v>356209</v>
      </c>
      <c r="L29" s="163">
        <v>333099</v>
      </c>
      <c r="M29" s="163">
        <v>312911</v>
      </c>
      <c r="N29" s="163">
        <v>294936</v>
      </c>
      <c r="O29" s="163">
        <v>284015</v>
      </c>
      <c r="P29" s="163">
        <v>257375</v>
      </c>
      <c r="Q29" s="163">
        <v>243375</v>
      </c>
      <c r="R29" s="163">
        <v>232887</v>
      </c>
      <c r="S29" s="163">
        <v>215612</v>
      </c>
      <c r="T29" s="163">
        <v>207297</v>
      </c>
      <c r="U29" s="163">
        <v>191074</v>
      </c>
      <c r="V29" s="163" t="s">
        <v>267</v>
      </c>
      <c r="W29" s="163" t="s">
        <v>267</v>
      </c>
      <c r="X29" s="163" t="s">
        <v>267</v>
      </c>
      <c r="Y29" s="163">
        <v>132849</v>
      </c>
      <c r="Z29" s="163">
        <v>121908</v>
      </c>
      <c r="AA29" s="164">
        <v>109682</v>
      </c>
      <c r="AB29" s="164">
        <v>99005</v>
      </c>
      <c r="AC29" s="164">
        <v>89449</v>
      </c>
      <c r="AD29" s="137"/>
      <c r="AE29" s="137"/>
      <c r="AF29" s="137"/>
    </row>
    <row r="30" spans="1:32" ht="21" x14ac:dyDescent="0.4">
      <c r="A30" s="1" t="s">
        <v>268</v>
      </c>
      <c r="B30" s="159" t="s">
        <v>204</v>
      </c>
      <c r="C30" s="160">
        <v>4057080</v>
      </c>
      <c r="D30" s="163">
        <v>1395185</v>
      </c>
      <c r="E30" s="163">
        <v>1276174</v>
      </c>
      <c r="F30" s="163">
        <v>1212731</v>
      </c>
      <c r="G30" s="163">
        <v>1128699</v>
      </c>
      <c r="H30" s="163">
        <v>1109522</v>
      </c>
      <c r="I30" s="163">
        <v>1053743</v>
      </c>
      <c r="J30" s="163">
        <v>1004884</v>
      </c>
      <c r="K30" s="163">
        <v>952542</v>
      </c>
      <c r="L30" s="163">
        <v>882724</v>
      </c>
      <c r="M30" s="163">
        <v>811630</v>
      </c>
      <c r="N30" s="163">
        <v>749635</v>
      </c>
      <c r="O30" s="163">
        <v>697168</v>
      </c>
      <c r="P30" s="163">
        <v>654655</v>
      </c>
      <c r="Q30" s="163">
        <v>618997</v>
      </c>
      <c r="R30" s="163">
        <v>579904</v>
      </c>
      <c r="S30" s="163">
        <v>537924</v>
      </c>
      <c r="T30" s="163">
        <v>500384</v>
      </c>
      <c r="U30" s="163">
        <v>462602</v>
      </c>
      <c r="V30" s="163">
        <v>431102</v>
      </c>
      <c r="W30" s="163">
        <v>404890</v>
      </c>
      <c r="X30" s="163">
        <v>377575</v>
      </c>
      <c r="Y30" s="163">
        <v>348410</v>
      </c>
      <c r="Z30" s="163">
        <v>318915</v>
      </c>
      <c r="AA30" s="164">
        <v>291426</v>
      </c>
      <c r="AB30" s="164">
        <v>268640</v>
      </c>
      <c r="AC30" s="164">
        <v>245351</v>
      </c>
      <c r="AD30" s="137"/>
      <c r="AE30" s="137"/>
      <c r="AF30" s="137"/>
    </row>
    <row r="31" spans="1:32" ht="21" x14ac:dyDescent="0.4">
      <c r="B31" s="159" t="s">
        <v>205</v>
      </c>
      <c r="C31" s="160">
        <v>4057081</v>
      </c>
      <c r="D31" s="163">
        <v>2413834</v>
      </c>
      <c r="E31" s="163">
        <v>2295251</v>
      </c>
      <c r="F31" s="163">
        <v>2178057</v>
      </c>
      <c r="G31" s="163">
        <v>2074548</v>
      </c>
      <c r="H31" s="163">
        <v>1984804</v>
      </c>
      <c r="I31" s="163">
        <v>1905140</v>
      </c>
      <c r="J31" s="163">
        <v>1836225</v>
      </c>
      <c r="K31" s="163">
        <v>1776417</v>
      </c>
      <c r="L31" s="163">
        <v>1714727</v>
      </c>
      <c r="M31" s="163">
        <v>1647763</v>
      </c>
      <c r="N31" s="163">
        <v>1586520</v>
      </c>
      <c r="O31" s="163">
        <v>1528832</v>
      </c>
      <c r="P31" s="163">
        <v>1478542</v>
      </c>
      <c r="Q31" s="163">
        <v>1402450</v>
      </c>
      <c r="R31" s="163">
        <v>1468887</v>
      </c>
      <c r="S31" s="163">
        <v>1397984</v>
      </c>
      <c r="T31" s="163">
        <v>1328511</v>
      </c>
      <c r="U31" s="163">
        <v>1263590</v>
      </c>
      <c r="V31" s="163">
        <v>1180196</v>
      </c>
      <c r="W31" s="163">
        <v>1098892</v>
      </c>
      <c r="X31" s="163">
        <v>1023095</v>
      </c>
      <c r="Y31" s="163">
        <v>962316</v>
      </c>
      <c r="Z31" s="163">
        <v>893628</v>
      </c>
      <c r="AA31" s="164">
        <v>835087</v>
      </c>
      <c r="AB31" s="164">
        <v>778863</v>
      </c>
      <c r="AC31" s="164">
        <v>731258</v>
      </c>
      <c r="AD31" s="137"/>
      <c r="AE31" s="137"/>
      <c r="AF31" s="137"/>
    </row>
    <row r="32" spans="1:32" ht="21" x14ac:dyDescent="0.4">
      <c r="A32" s="1" t="s">
        <v>268</v>
      </c>
      <c r="B32" s="159" t="s">
        <v>207</v>
      </c>
      <c r="C32" s="160">
        <v>4059459</v>
      </c>
      <c r="D32" s="163">
        <v>7587</v>
      </c>
      <c r="E32" s="163">
        <v>7145</v>
      </c>
      <c r="F32" s="163">
        <v>6688</v>
      </c>
      <c r="G32" s="163">
        <v>6228</v>
      </c>
      <c r="H32" s="163">
        <v>9450</v>
      </c>
      <c r="I32" s="163">
        <v>12520</v>
      </c>
      <c r="J32" s="163">
        <v>11660</v>
      </c>
      <c r="K32" s="163">
        <v>11049</v>
      </c>
      <c r="L32" s="163">
        <v>9146</v>
      </c>
      <c r="M32" s="163">
        <v>7704</v>
      </c>
      <c r="N32" s="163">
        <v>6372</v>
      </c>
      <c r="O32" s="163">
        <v>5815</v>
      </c>
      <c r="P32" s="163">
        <v>5174</v>
      </c>
      <c r="Q32" s="163">
        <v>4861</v>
      </c>
      <c r="R32" s="163">
        <v>4561</v>
      </c>
      <c r="S32" s="163">
        <v>4323</v>
      </c>
      <c r="T32" s="163">
        <v>4099</v>
      </c>
      <c r="U32" s="163">
        <v>3919</v>
      </c>
      <c r="V32" s="163">
        <v>3695</v>
      </c>
      <c r="W32" s="163">
        <v>3508</v>
      </c>
      <c r="X32" s="163">
        <v>3302</v>
      </c>
      <c r="Y32" s="163">
        <v>3081</v>
      </c>
      <c r="Z32" s="163">
        <v>2904</v>
      </c>
      <c r="AA32" s="164">
        <v>2712</v>
      </c>
      <c r="AB32" s="164">
        <v>2546</v>
      </c>
      <c r="AC32" s="164">
        <v>2381</v>
      </c>
      <c r="AD32" s="137"/>
      <c r="AE32" s="137"/>
      <c r="AF32" s="137"/>
    </row>
    <row r="33" spans="2:32" ht="21" x14ac:dyDescent="0.4">
      <c r="B33" s="159" t="s">
        <v>208</v>
      </c>
      <c r="C33" s="160">
        <v>4057118</v>
      </c>
      <c r="D33" s="163">
        <v>58500</v>
      </c>
      <c r="E33" s="163">
        <v>58547</v>
      </c>
      <c r="F33" s="163">
        <v>58542</v>
      </c>
      <c r="G33" s="163">
        <v>52414</v>
      </c>
      <c r="H33" s="163">
        <v>50268</v>
      </c>
      <c r="I33" s="163">
        <v>47346</v>
      </c>
      <c r="J33" s="163">
        <v>44842</v>
      </c>
      <c r="K33" s="163">
        <v>41612</v>
      </c>
      <c r="L33" s="163">
        <v>39126</v>
      </c>
      <c r="M33" s="163">
        <v>36923</v>
      </c>
      <c r="N33" s="163">
        <v>34617</v>
      </c>
      <c r="O33" s="163">
        <v>33818</v>
      </c>
      <c r="P33" s="163">
        <v>32965</v>
      </c>
      <c r="Q33" s="163">
        <v>32424</v>
      </c>
      <c r="R33" s="163">
        <v>30164</v>
      </c>
      <c r="S33" s="163">
        <v>27911</v>
      </c>
      <c r="T33" s="163">
        <v>25847</v>
      </c>
      <c r="U33" s="163">
        <v>24640</v>
      </c>
      <c r="V33" s="163">
        <v>22667</v>
      </c>
      <c r="W33" s="163">
        <v>21050</v>
      </c>
      <c r="X33" s="163">
        <v>19340</v>
      </c>
      <c r="Y33" s="163">
        <v>17844</v>
      </c>
      <c r="Z33" s="163">
        <v>16184</v>
      </c>
      <c r="AA33" s="164">
        <v>14974</v>
      </c>
      <c r="AB33" s="164">
        <v>13763</v>
      </c>
      <c r="AC33" s="164">
        <v>12577</v>
      </c>
      <c r="AD33" s="137"/>
      <c r="AE33" s="137"/>
      <c r="AF33" s="137"/>
    </row>
    <row r="34" spans="2:32" ht="21" x14ac:dyDescent="0.4">
      <c r="B34" s="159" t="s">
        <v>210</v>
      </c>
      <c r="C34" s="160">
        <v>4057126</v>
      </c>
      <c r="D34" s="163">
        <v>1551375</v>
      </c>
      <c r="E34" s="163">
        <v>1537280</v>
      </c>
      <c r="F34" s="163">
        <v>1520250</v>
      </c>
      <c r="G34" s="163">
        <v>1488262</v>
      </c>
      <c r="H34" s="163">
        <v>1445931</v>
      </c>
      <c r="I34" s="163">
        <v>1431410</v>
      </c>
      <c r="J34" s="163">
        <v>1411153</v>
      </c>
      <c r="K34" s="163">
        <v>1404631</v>
      </c>
      <c r="L34" s="163">
        <v>1379765</v>
      </c>
      <c r="M34" s="163">
        <v>1363076</v>
      </c>
      <c r="N34" s="163">
        <v>1337175</v>
      </c>
      <c r="O34" s="163">
        <v>1324505</v>
      </c>
      <c r="P34" s="163">
        <v>1298639</v>
      </c>
      <c r="Q34" s="163">
        <v>1303573</v>
      </c>
      <c r="R34" s="163">
        <v>1253416</v>
      </c>
      <c r="S34" s="163">
        <v>1294393</v>
      </c>
      <c r="T34" s="163">
        <v>1247606</v>
      </c>
      <c r="U34" s="163">
        <v>1184337</v>
      </c>
      <c r="V34" s="163">
        <v>1126677</v>
      </c>
      <c r="W34" s="163">
        <v>1070361</v>
      </c>
      <c r="X34" s="163">
        <v>1019549</v>
      </c>
      <c r="Y34" s="163">
        <v>966931</v>
      </c>
      <c r="Z34" s="163">
        <v>918679</v>
      </c>
      <c r="AA34" s="164">
        <v>867997</v>
      </c>
      <c r="AB34" s="164">
        <v>804549</v>
      </c>
      <c r="AC34" s="164">
        <v>745342</v>
      </c>
      <c r="AD34" s="137"/>
      <c r="AE34" s="137"/>
      <c r="AF34" s="137"/>
    </row>
    <row r="35" spans="2:32" ht="21" x14ac:dyDescent="0.4">
      <c r="B35" s="159" t="s">
        <v>275</v>
      </c>
      <c r="C35" s="160">
        <v>4057103</v>
      </c>
      <c r="D35" s="163" t="s">
        <v>267</v>
      </c>
      <c r="E35" s="163">
        <v>161066</v>
      </c>
      <c r="F35" s="163">
        <v>159406</v>
      </c>
      <c r="G35" s="163">
        <v>155335</v>
      </c>
      <c r="H35" s="163" t="s">
        <v>267</v>
      </c>
      <c r="I35" s="163">
        <v>143043</v>
      </c>
      <c r="J35" s="163">
        <v>134241</v>
      </c>
      <c r="K35" s="163">
        <v>126370</v>
      </c>
      <c r="L35" s="163">
        <v>118199</v>
      </c>
      <c r="M35" s="163">
        <v>111826</v>
      </c>
      <c r="N35" s="163">
        <v>103582</v>
      </c>
      <c r="O35" s="163">
        <v>98459</v>
      </c>
      <c r="P35" s="163">
        <v>93099</v>
      </c>
      <c r="Q35" s="163">
        <v>89078</v>
      </c>
      <c r="R35" s="163">
        <v>85141</v>
      </c>
      <c r="S35" s="163">
        <v>83083</v>
      </c>
      <c r="T35" s="163">
        <v>77354</v>
      </c>
      <c r="U35" s="163">
        <v>72910</v>
      </c>
      <c r="V35" s="163">
        <v>67866</v>
      </c>
      <c r="W35" s="163" t="s">
        <v>267</v>
      </c>
      <c r="X35" s="163" t="s">
        <v>267</v>
      </c>
      <c r="Y35" s="163">
        <v>55160</v>
      </c>
      <c r="Z35" s="163">
        <v>51412</v>
      </c>
      <c r="AA35" s="164">
        <v>47425</v>
      </c>
      <c r="AB35" s="164">
        <v>43567</v>
      </c>
      <c r="AC35" s="164">
        <v>40142</v>
      </c>
      <c r="AD35" s="137"/>
      <c r="AE35" s="137"/>
      <c r="AF35" s="137"/>
    </row>
    <row r="36" spans="2:32" ht="21" x14ac:dyDescent="0.4">
      <c r="B36" s="159" t="s">
        <v>211</v>
      </c>
      <c r="C36" s="160">
        <v>4057079</v>
      </c>
      <c r="D36" s="163">
        <v>674286</v>
      </c>
      <c r="E36" s="163">
        <v>631110</v>
      </c>
      <c r="F36" s="163">
        <v>586276</v>
      </c>
      <c r="G36" s="163">
        <v>567172</v>
      </c>
      <c r="H36" s="163">
        <v>529763</v>
      </c>
      <c r="I36" s="163">
        <v>503566</v>
      </c>
      <c r="J36" s="163">
        <v>472311</v>
      </c>
      <c r="K36" s="163">
        <v>441865</v>
      </c>
      <c r="L36" s="163">
        <v>415020</v>
      </c>
      <c r="M36" s="163">
        <v>395902</v>
      </c>
      <c r="N36" s="163">
        <v>370906</v>
      </c>
      <c r="O36" s="163">
        <v>347596</v>
      </c>
      <c r="P36" s="163">
        <v>328069</v>
      </c>
      <c r="Q36" s="163">
        <v>307655</v>
      </c>
      <c r="R36" s="163">
        <v>287826</v>
      </c>
      <c r="S36" s="163">
        <v>269895</v>
      </c>
      <c r="T36" s="163">
        <v>254562</v>
      </c>
      <c r="U36" s="163">
        <v>241907</v>
      </c>
      <c r="V36" s="163">
        <v>228812</v>
      </c>
      <c r="W36" s="163">
        <v>217180</v>
      </c>
      <c r="X36" s="163">
        <v>204271</v>
      </c>
      <c r="Y36" s="163">
        <v>188930</v>
      </c>
      <c r="Z36" s="163">
        <v>175009</v>
      </c>
      <c r="AA36" s="164">
        <v>165561</v>
      </c>
      <c r="AB36" s="164">
        <v>153000</v>
      </c>
      <c r="AC36" s="164">
        <v>140721</v>
      </c>
      <c r="AD36" s="137"/>
      <c r="AE36" s="137"/>
      <c r="AF36" s="137"/>
    </row>
    <row r="37" spans="2:32" ht="21" x14ac:dyDescent="0.4">
      <c r="B37" s="159" t="s">
        <v>276</v>
      </c>
      <c r="C37" s="160">
        <v>4081251</v>
      </c>
      <c r="D37" s="163" t="s">
        <v>267</v>
      </c>
      <c r="E37" s="163" t="s">
        <v>267</v>
      </c>
      <c r="F37" s="163" t="s">
        <v>267</v>
      </c>
      <c r="G37" s="163" t="s">
        <v>267</v>
      </c>
      <c r="H37" s="163" t="s">
        <v>267</v>
      </c>
      <c r="I37" s="163" t="s">
        <v>267</v>
      </c>
      <c r="J37" s="163" t="s">
        <v>267</v>
      </c>
      <c r="K37" s="163" t="s">
        <v>267</v>
      </c>
      <c r="L37" s="163" t="s">
        <v>267</v>
      </c>
      <c r="M37" s="163" t="s">
        <v>267</v>
      </c>
      <c r="N37" s="163" t="s">
        <v>267</v>
      </c>
      <c r="O37" s="163" t="s">
        <v>267</v>
      </c>
      <c r="P37" s="163" t="s">
        <v>267</v>
      </c>
      <c r="Q37" s="163" t="s">
        <v>267</v>
      </c>
      <c r="R37" s="163" t="s">
        <v>267</v>
      </c>
      <c r="S37" s="163" t="s">
        <v>267</v>
      </c>
      <c r="T37" s="163" t="s">
        <v>267</v>
      </c>
      <c r="U37" s="163" t="s">
        <v>267</v>
      </c>
      <c r="V37" s="163" t="s">
        <v>267</v>
      </c>
      <c r="W37" s="163" t="s">
        <v>267</v>
      </c>
      <c r="X37" s="163" t="s">
        <v>267</v>
      </c>
      <c r="Y37" s="163" t="s">
        <v>267</v>
      </c>
      <c r="Z37" s="163" t="s">
        <v>267</v>
      </c>
      <c r="AA37" s="164" t="s">
        <v>267</v>
      </c>
      <c r="AB37" s="164" t="s">
        <v>267</v>
      </c>
      <c r="AC37" s="164" t="s">
        <v>267</v>
      </c>
      <c r="AD37" s="137"/>
      <c r="AE37" s="137"/>
      <c r="AF37" s="137"/>
    </row>
    <row r="38" spans="2:32" ht="21" x14ac:dyDescent="0.4">
      <c r="B38" s="159" t="s">
        <v>277</v>
      </c>
      <c r="C38" s="160">
        <v>4060572</v>
      </c>
      <c r="D38" s="163">
        <v>146121</v>
      </c>
      <c r="E38" s="163">
        <v>141531</v>
      </c>
      <c r="F38" s="163">
        <v>137454</v>
      </c>
      <c r="G38" s="163">
        <v>133622</v>
      </c>
      <c r="H38" s="163">
        <v>129728</v>
      </c>
      <c r="I38" s="163">
        <v>122116</v>
      </c>
      <c r="J38" s="163">
        <v>117225</v>
      </c>
      <c r="K38" s="163">
        <v>113758</v>
      </c>
      <c r="L38" s="163">
        <v>109832</v>
      </c>
      <c r="M38" s="163">
        <v>106410</v>
      </c>
      <c r="N38" s="163">
        <v>98377</v>
      </c>
      <c r="O38" s="163">
        <v>93036</v>
      </c>
      <c r="P38" s="163">
        <v>88618</v>
      </c>
      <c r="Q38" s="163">
        <v>85021</v>
      </c>
      <c r="R38" s="163">
        <v>78649</v>
      </c>
      <c r="S38" s="163">
        <v>74750</v>
      </c>
      <c r="T38" s="163">
        <v>77723</v>
      </c>
      <c r="U38" s="163">
        <v>75632</v>
      </c>
      <c r="V38" s="163" t="s">
        <v>267</v>
      </c>
      <c r="W38" s="163" t="s">
        <v>267</v>
      </c>
      <c r="X38" s="163" t="s">
        <v>267</v>
      </c>
      <c r="Y38" s="163" t="s">
        <v>267</v>
      </c>
      <c r="Z38" s="163" t="s">
        <v>267</v>
      </c>
      <c r="AA38" s="164">
        <v>61172</v>
      </c>
      <c r="AB38" s="164">
        <v>59194</v>
      </c>
      <c r="AC38" s="164" t="s">
        <v>267</v>
      </c>
      <c r="AD38" s="137"/>
      <c r="AE38" s="137"/>
      <c r="AF38" s="137"/>
    </row>
    <row r="39" spans="2:32" ht="21" x14ac:dyDescent="0.4">
      <c r="B39" s="159" t="s">
        <v>278</v>
      </c>
      <c r="C39" s="160">
        <v>4083318</v>
      </c>
      <c r="D39" s="163">
        <v>13919</v>
      </c>
      <c r="E39" s="163">
        <v>13425</v>
      </c>
      <c r="F39" s="163">
        <v>12924</v>
      </c>
      <c r="G39" s="163">
        <v>12428</v>
      </c>
      <c r="H39" s="163">
        <v>11944</v>
      </c>
      <c r="I39" s="163">
        <v>11481</v>
      </c>
      <c r="J39" s="163">
        <v>10995</v>
      </c>
      <c r="K39" s="163">
        <v>10532</v>
      </c>
      <c r="L39" s="163">
        <v>10084</v>
      </c>
      <c r="M39" s="163">
        <v>9229</v>
      </c>
      <c r="N39" s="163">
        <v>9229</v>
      </c>
      <c r="O39" s="163">
        <v>8801</v>
      </c>
      <c r="P39" s="163">
        <v>8382</v>
      </c>
      <c r="Q39" s="163" t="s">
        <v>267</v>
      </c>
      <c r="R39" s="163" t="s">
        <v>267</v>
      </c>
      <c r="S39" s="163" t="s">
        <v>267</v>
      </c>
      <c r="T39" s="163">
        <v>6748</v>
      </c>
      <c r="U39" s="163">
        <v>6367</v>
      </c>
      <c r="V39" s="163">
        <v>5970</v>
      </c>
      <c r="W39" s="163" t="s">
        <v>267</v>
      </c>
      <c r="X39" s="163" t="s">
        <v>267</v>
      </c>
      <c r="Y39" s="163" t="s">
        <v>267</v>
      </c>
      <c r="Z39" s="163" t="s">
        <v>267</v>
      </c>
      <c r="AA39" s="164" t="s">
        <v>267</v>
      </c>
      <c r="AB39" s="164">
        <v>4196</v>
      </c>
      <c r="AC39" s="164">
        <v>2988</v>
      </c>
      <c r="AD39" s="137"/>
      <c r="AE39" s="137"/>
      <c r="AF39" s="137"/>
    </row>
    <row r="40" spans="2:32" ht="21" x14ac:dyDescent="0.4">
      <c r="B40" s="159" t="s">
        <v>279</v>
      </c>
      <c r="C40" s="160">
        <v>4057125</v>
      </c>
      <c r="D40" s="163" t="s">
        <v>267</v>
      </c>
      <c r="E40" s="163" t="s">
        <v>267</v>
      </c>
      <c r="F40" s="163" t="s">
        <v>267</v>
      </c>
      <c r="G40" s="163" t="s">
        <v>267</v>
      </c>
      <c r="H40" s="163" t="s">
        <v>267</v>
      </c>
      <c r="I40" s="163" t="s">
        <v>267</v>
      </c>
      <c r="J40" s="163" t="s">
        <v>267</v>
      </c>
      <c r="K40" s="163" t="s">
        <v>267</v>
      </c>
      <c r="L40" s="163" t="s">
        <v>267</v>
      </c>
      <c r="M40" s="163" t="s">
        <v>267</v>
      </c>
      <c r="N40" s="163" t="s">
        <v>267</v>
      </c>
      <c r="O40" s="163" t="s">
        <v>267</v>
      </c>
      <c r="P40" s="163" t="s">
        <v>267</v>
      </c>
      <c r="Q40" s="163" t="s">
        <v>267</v>
      </c>
      <c r="R40" s="163" t="s">
        <v>267</v>
      </c>
      <c r="S40" s="163" t="s">
        <v>267</v>
      </c>
      <c r="T40" s="163" t="s">
        <v>267</v>
      </c>
      <c r="U40" s="163" t="s">
        <v>267</v>
      </c>
      <c r="V40" s="163" t="s">
        <v>267</v>
      </c>
      <c r="W40" s="163" t="s">
        <v>267</v>
      </c>
      <c r="X40" s="163" t="s">
        <v>267</v>
      </c>
      <c r="Y40" s="163" t="s">
        <v>267</v>
      </c>
      <c r="Z40" s="163" t="s">
        <v>267</v>
      </c>
      <c r="AA40" s="164" t="s">
        <v>267</v>
      </c>
      <c r="AB40" s="164" t="s">
        <v>267</v>
      </c>
      <c r="AC40" s="164" t="s">
        <v>267</v>
      </c>
      <c r="AD40" s="137"/>
      <c r="AE40" s="137"/>
      <c r="AF40" s="137"/>
    </row>
    <row r="41" spans="2:32" ht="21" x14ac:dyDescent="0.4">
      <c r="B41" s="159" t="s">
        <v>280</v>
      </c>
      <c r="C41" s="160">
        <v>4087741</v>
      </c>
      <c r="D41" s="163" t="s">
        <v>267</v>
      </c>
      <c r="E41" s="163" t="s">
        <v>267</v>
      </c>
      <c r="F41" s="163">
        <v>490300</v>
      </c>
      <c r="G41" s="163">
        <v>474438</v>
      </c>
      <c r="H41" s="163">
        <v>464233</v>
      </c>
      <c r="I41" s="163">
        <v>463947</v>
      </c>
      <c r="J41" s="163">
        <v>456002</v>
      </c>
      <c r="K41" s="163">
        <v>452326</v>
      </c>
      <c r="L41" s="163">
        <v>440996</v>
      </c>
      <c r="M41" s="163">
        <v>428577</v>
      </c>
      <c r="N41" s="163">
        <v>418442</v>
      </c>
      <c r="O41" s="163">
        <v>407824</v>
      </c>
      <c r="P41" s="163">
        <v>414625</v>
      </c>
      <c r="Q41" s="163">
        <v>394246</v>
      </c>
      <c r="R41" s="163">
        <v>374213</v>
      </c>
      <c r="S41" s="163">
        <v>351935</v>
      </c>
      <c r="T41" s="163">
        <v>327907</v>
      </c>
      <c r="U41" s="163">
        <v>305414</v>
      </c>
      <c r="V41" s="163">
        <v>283117</v>
      </c>
      <c r="W41" s="163" t="s">
        <v>267</v>
      </c>
      <c r="X41" s="163">
        <v>248275</v>
      </c>
      <c r="Y41" s="163" t="s">
        <v>267</v>
      </c>
      <c r="Z41" s="163" t="s">
        <v>267</v>
      </c>
      <c r="AA41" s="164" t="s">
        <v>267</v>
      </c>
      <c r="AB41" s="164" t="s">
        <v>267</v>
      </c>
      <c r="AC41" s="164" t="s">
        <v>267</v>
      </c>
      <c r="AD41" s="137"/>
      <c r="AE41" s="137"/>
      <c r="AF41" s="137"/>
    </row>
    <row r="42" spans="2:32" ht="21" x14ac:dyDescent="0.4">
      <c r="B42" s="159" t="s">
        <v>281</v>
      </c>
      <c r="C42" s="160">
        <v>4059875</v>
      </c>
      <c r="D42" s="163">
        <v>179382</v>
      </c>
      <c r="E42" s="163">
        <v>214534</v>
      </c>
      <c r="F42" s="163">
        <v>156339</v>
      </c>
      <c r="G42" s="163">
        <v>161324</v>
      </c>
      <c r="H42" s="163">
        <v>114504</v>
      </c>
      <c r="I42" s="163">
        <v>106495</v>
      </c>
      <c r="J42" s="163">
        <v>101268</v>
      </c>
      <c r="K42" s="163">
        <v>88694</v>
      </c>
      <c r="L42" s="163" t="s">
        <v>267</v>
      </c>
      <c r="M42" s="163" t="s">
        <v>267</v>
      </c>
      <c r="N42" s="163" t="s">
        <v>267</v>
      </c>
      <c r="O42" s="163" t="s">
        <v>267</v>
      </c>
      <c r="P42" s="163" t="s">
        <v>267</v>
      </c>
      <c r="Q42" s="163" t="s">
        <v>267</v>
      </c>
      <c r="R42" s="163" t="s">
        <v>267</v>
      </c>
      <c r="S42" s="163" t="s">
        <v>267</v>
      </c>
      <c r="T42" s="163" t="s">
        <v>267</v>
      </c>
      <c r="U42" s="163">
        <v>2853</v>
      </c>
      <c r="V42" s="163" t="s">
        <v>267</v>
      </c>
      <c r="W42" s="163" t="s">
        <v>267</v>
      </c>
      <c r="X42" s="163" t="s">
        <v>267</v>
      </c>
      <c r="Y42" s="163" t="s">
        <v>267</v>
      </c>
      <c r="Z42" s="163" t="s">
        <v>267</v>
      </c>
      <c r="AA42" s="164" t="s">
        <v>267</v>
      </c>
      <c r="AB42" s="164" t="s">
        <v>267</v>
      </c>
      <c r="AC42" s="164" t="s">
        <v>267</v>
      </c>
      <c r="AD42" s="137"/>
      <c r="AE42" s="137"/>
      <c r="AF42" s="137"/>
    </row>
    <row r="43" spans="2:32" ht="21" x14ac:dyDescent="0.4">
      <c r="B43" s="159" t="s">
        <v>212</v>
      </c>
      <c r="C43" s="160">
        <v>4057090</v>
      </c>
      <c r="D43" s="163">
        <v>318257</v>
      </c>
      <c r="E43" s="163">
        <v>302468</v>
      </c>
      <c r="F43" s="163">
        <v>286112</v>
      </c>
      <c r="G43" s="163">
        <v>267951</v>
      </c>
      <c r="H43" s="163">
        <v>249222</v>
      </c>
      <c r="I43" s="163">
        <v>234892</v>
      </c>
      <c r="J43" s="163">
        <v>220610</v>
      </c>
      <c r="K43" s="163">
        <v>210147</v>
      </c>
      <c r="L43" s="163">
        <v>201131</v>
      </c>
      <c r="M43" s="163">
        <v>189161</v>
      </c>
      <c r="N43" s="163">
        <v>54833</v>
      </c>
      <c r="O43" s="163">
        <v>169707</v>
      </c>
      <c r="P43" s="163">
        <v>167528</v>
      </c>
      <c r="Q43" s="163">
        <v>156229</v>
      </c>
      <c r="R43" s="163">
        <v>146047</v>
      </c>
      <c r="S43" s="163">
        <v>137543</v>
      </c>
      <c r="T43" s="163">
        <v>127007</v>
      </c>
      <c r="U43" s="163">
        <v>116219</v>
      </c>
      <c r="V43" s="163">
        <v>113995</v>
      </c>
      <c r="W43" s="163">
        <v>106369</v>
      </c>
      <c r="X43" s="163">
        <v>98673</v>
      </c>
      <c r="Y43" s="163">
        <v>91914</v>
      </c>
      <c r="Z43" s="163">
        <v>88978</v>
      </c>
      <c r="AA43" s="164">
        <v>83094</v>
      </c>
      <c r="AB43" s="164">
        <v>77430</v>
      </c>
      <c r="AC43" s="164" t="s">
        <v>267</v>
      </c>
      <c r="AD43" s="137"/>
      <c r="AE43" s="137"/>
      <c r="AF43" s="137"/>
    </row>
    <row r="44" spans="2:32" ht="21" x14ac:dyDescent="0.4">
      <c r="B44" s="159" t="s">
        <v>213</v>
      </c>
      <c r="C44" s="160">
        <v>4008754</v>
      </c>
      <c r="D44" s="163">
        <v>179298</v>
      </c>
      <c r="E44" s="163">
        <v>175337</v>
      </c>
      <c r="F44" s="163">
        <v>170808</v>
      </c>
      <c r="G44" s="163">
        <v>167411</v>
      </c>
      <c r="H44" s="163">
        <v>163925</v>
      </c>
      <c r="I44" s="163">
        <v>159891</v>
      </c>
      <c r="J44" s="163">
        <v>160010</v>
      </c>
      <c r="K44" s="163">
        <v>159181</v>
      </c>
      <c r="L44" s="163">
        <v>157591</v>
      </c>
      <c r="M44" s="163">
        <v>155247</v>
      </c>
      <c r="N44" s="163">
        <v>153616</v>
      </c>
      <c r="O44" s="163">
        <v>151858</v>
      </c>
      <c r="P44" s="163">
        <v>146572</v>
      </c>
      <c r="Q44" s="163">
        <v>140280</v>
      </c>
      <c r="R44" s="163">
        <v>133885</v>
      </c>
      <c r="S44" s="163">
        <v>126627</v>
      </c>
      <c r="T44" s="163">
        <v>119741</v>
      </c>
      <c r="U44" s="163">
        <v>114410</v>
      </c>
      <c r="V44" s="163">
        <v>108754</v>
      </c>
      <c r="W44" s="163">
        <v>103015</v>
      </c>
      <c r="X44" s="163">
        <v>95438</v>
      </c>
      <c r="Y44" s="163">
        <v>90348</v>
      </c>
      <c r="Z44" s="163">
        <v>85563</v>
      </c>
      <c r="AA44" s="164">
        <v>80883</v>
      </c>
      <c r="AB44" s="164">
        <v>75723</v>
      </c>
      <c r="AC44" s="164">
        <v>70821</v>
      </c>
      <c r="AD44" s="137"/>
      <c r="AE44" s="137"/>
      <c r="AF44" s="137"/>
    </row>
    <row r="45" spans="2:32" ht="21" x14ac:dyDescent="0.4">
      <c r="B45" s="159" t="s">
        <v>282</v>
      </c>
      <c r="C45" s="160">
        <v>4061474</v>
      </c>
      <c r="D45" s="163" t="s">
        <v>267</v>
      </c>
      <c r="E45" s="163" t="s">
        <v>267</v>
      </c>
      <c r="F45" s="163" t="s">
        <v>267</v>
      </c>
      <c r="G45" s="163" t="s">
        <v>267</v>
      </c>
      <c r="H45" s="163" t="s">
        <v>267</v>
      </c>
      <c r="I45" s="163" t="s">
        <v>267</v>
      </c>
      <c r="J45" s="163" t="s">
        <v>267</v>
      </c>
      <c r="K45" s="163" t="s">
        <v>267</v>
      </c>
      <c r="L45" s="163" t="s">
        <v>267</v>
      </c>
      <c r="M45" s="163" t="s">
        <v>267</v>
      </c>
      <c r="N45" s="163" t="s">
        <v>267</v>
      </c>
      <c r="O45" s="163" t="s">
        <v>267</v>
      </c>
      <c r="P45" s="163" t="s">
        <v>267</v>
      </c>
      <c r="Q45" s="163" t="s">
        <v>267</v>
      </c>
      <c r="R45" s="163" t="s">
        <v>267</v>
      </c>
      <c r="S45" s="163" t="s">
        <v>267</v>
      </c>
      <c r="T45" s="163" t="s">
        <v>267</v>
      </c>
      <c r="U45" s="163" t="s">
        <v>267</v>
      </c>
      <c r="V45" s="163" t="s">
        <v>267</v>
      </c>
      <c r="W45" s="163" t="s">
        <v>267</v>
      </c>
      <c r="X45" s="163" t="s">
        <v>267</v>
      </c>
      <c r="Y45" s="163" t="s">
        <v>267</v>
      </c>
      <c r="Z45" s="163" t="s">
        <v>267</v>
      </c>
      <c r="AA45" s="164" t="s">
        <v>267</v>
      </c>
      <c r="AB45" s="164" t="s">
        <v>267</v>
      </c>
      <c r="AC45" s="164" t="s">
        <v>267</v>
      </c>
      <c r="AD45" s="137"/>
      <c r="AE45" s="137"/>
      <c r="AF45" s="137"/>
    </row>
    <row r="46" spans="2:32" ht="21" x14ac:dyDescent="0.4">
      <c r="B46" s="159" t="s">
        <v>283</v>
      </c>
      <c r="C46" s="160">
        <v>4076679</v>
      </c>
      <c r="D46" s="163">
        <v>22884</v>
      </c>
      <c r="E46" s="163">
        <v>21483</v>
      </c>
      <c r="F46" s="163">
        <v>20142</v>
      </c>
      <c r="G46" s="163">
        <v>18873</v>
      </c>
      <c r="H46" s="163">
        <v>17737</v>
      </c>
      <c r="I46" s="163">
        <v>16615</v>
      </c>
      <c r="J46" s="163">
        <v>16344</v>
      </c>
      <c r="K46" s="163">
        <v>15333</v>
      </c>
      <c r="L46" s="163">
        <v>14458</v>
      </c>
      <c r="M46" s="163">
        <v>13517</v>
      </c>
      <c r="N46" s="163">
        <v>12683</v>
      </c>
      <c r="O46" s="163">
        <v>11833</v>
      </c>
      <c r="P46" s="163">
        <v>11004</v>
      </c>
      <c r="Q46" s="163">
        <v>10178</v>
      </c>
      <c r="R46" s="163">
        <v>9398</v>
      </c>
      <c r="S46" s="163">
        <v>8696</v>
      </c>
      <c r="T46" s="163">
        <v>8005</v>
      </c>
      <c r="U46" s="163">
        <v>7356</v>
      </c>
      <c r="V46" s="163">
        <v>6752</v>
      </c>
      <c r="W46" s="163">
        <v>6160</v>
      </c>
      <c r="X46" s="163">
        <v>5610</v>
      </c>
      <c r="Y46" s="163" t="s">
        <v>267</v>
      </c>
      <c r="Z46" s="163" t="s">
        <v>267</v>
      </c>
      <c r="AA46" s="164" t="s">
        <v>267</v>
      </c>
      <c r="AB46" s="164" t="s">
        <v>267</v>
      </c>
      <c r="AC46" s="164" t="s">
        <v>267</v>
      </c>
      <c r="AD46" s="137"/>
      <c r="AE46" s="137"/>
      <c r="AF46" s="137"/>
    </row>
    <row r="47" spans="2:32" ht="21" x14ac:dyDescent="0.4">
      <c r="B47" s="159" t="s">
        <v>215</v>
      </c>
      <c r="C47" s="160">
        <v>4061634</v>
      </c>
      <c r="D47" s="163">
        <v>296436</v>
      </c>
      <c r="E47" s="163">
        <v>285654</v>
      </c>
      <c r="F47" s="163">
        <v>274798</v>
      </c>
      <c r="G47" s="163">
        <v>268482</v>
      </c>
      <c r="H47" s="163">
        <v>259270</v>
      </c>
      <c r="I47" s="163">
        <v>250736</v>
      </c>
      <c r="J47" s="163">
        <v>240343</v>
      </c>
      <c r="K47" s="163">
        <v>229840</v>
      </c>
      <c r="L47" s="163">
        <v>219839</v>
      </c>
      <c r="M47" s="163">
        <v>210720</v>
      </c>
      <c r="N47" s="163">
        <v>201782</v>
      </c>
      <c r="O47" s="163">
        <v>194603</v>
      </c>
      <c r="P47" s="163">
        <v>191857</v>
      </c>
      <c r="Q47" s="163" t="s">
        <v>267</v>
      </c>
      <c r="R47" s="163" t="s">
        <v>267</v>
      </c>
      <c r="S47" s="163" t="s">
        <v>267</v>
      </c>
      <c r="T47" s="163">
        <v>143255</v>
      </c>
      <c r="U47" s="163" t="s">
        <v>267</v>
      </c>
      <c r="V47" s="163" t="s">
        <v>267</v>
      </c>
      <c r="W47" s="163" t="s">
        <v>267</v>
      </c>
      <c r="X47" s="163" t="s">
        <v>267</v>
      </c>
      <c r="Y47" s="163">
        <v>103705</v>
      </c>
      <c r="Z47" s="163">
        <v>97658</v>
      </c>
      <c r="AA47" s="164">
        <v>92679</v>
      </c>
      <c r="AB47" s="164">
        <v>88863</v>
      </c>
      <c r="AC47" s="164">
        <v>84378</v>
      </c>
      <c r="AD47" s="137"/>
      <c r="AE47" s="137"/>
      <c r="AF47" s="137"/>
    </row>
    <row r="48" spans="2:32" ht="21" x14ac:dyDescent="0.4">
      <c r="B48" s="159" t="s">
        <v>216</v>
      </c>
      <c r="C48" s="160">
        <v>4061687</v>
      </c>
      <c r="D48" s="163">
        <v>773543</v>
      </c>
      <c r="E48" s="163">
        <v>748514</v>
      </c>
      <c r="F48" s="163">
        <v>725939</v>
      </c>
      <c r="G48" s="163">
        <v>701909</v>
      </c>
      <c r="H48" s="163">
        <v>679083</v>
      </c>
      <c r="I48" s="163">
        <v>656825</v>
      </c>
      <c r="J48" s="163">
        <v>634858</v>
      </c>
      <c r="K48" s="163">
        <v>609331</v>
      </c>
      <c r="L48" s="163">
        <v>578188</v>
      </c>
      <c r="M48" s="163">
        <v>562862</v>
      </c>
      <c r="N48" s="163">
        <v>539014</v>
      </c>
      <c r="O48" s="163">
        <v>517248</v>
      </c>
      <c r="P48" s="163">
        <v>495063</v>
      </c>
      <c r="Q48" s="163">
        <v>473629</v>
      </c>
      <c r="R48" s="163">
        <v>452594</v>
      </c>
      <c r="S48" s="163">
        <v>433559</v>
      </c>
      <c r="T48" s="163">
        <v>409857</v>
      </c>
      <c r="U48" s="163">
        <v>385956</v>
      </c>
      <c r="V48" s="163">
        <v>364851</v>
      </c>
      <c r="W48" s="163">
        <v>245661</v>
      </c>
      <c r="X48" s="163" t="s">
        <v>267</v>
      </c>
      <c r="Y48" s="163">
        <v>302879</v>
      </c>
      <c r="Z48" s="163">
        <v>283296</v>
      </c>
      <c r="AA48" s="164">
        <v>268271</v>
      </c>
      <c r="AB48" s="164">
        <v>254282</v>
      </c>
      <c r="AC48" s="164">
        <v>235263</v>
      </c>
      <c r="AD48" s="137"/>
      <c r="AE48" s="137"/>
      <c r="AF48" s="137"/>
    </row>
    <row r="49" spans="1:32" ht="21" x14ac:dyDescent="0.4">
      <c r="A49" s="1" t="s">
        <v>268</v>
      </c>
      <c r="B49" s="159" t="s">
        <v>217</v>
      </c>
      <c r="C49" s="160">
        <v>4061755</v>
      </c>
      <c r="D49" s="163">
        <v>325629</v>
      </c>
      <c r="E49" s="163">
        <v>319038</v>
      </c>
      <c r="F49" s="163">
        <v>326661</v>
      </c>
      <c r="G49" s="163">
        <v>334259</v>
      </c>
      <c r="H49" s="163">
        <v>347931</v>
      </c>
      <c r="I49" s="163">
        <v>363585</v>
      </c>
      <c r="J49" s="163">
        <v>354004</v>
      </c>
      <c r="K49" s="163">
        <v>356226</v>
      </c>
      <c r="L49" s="163">
        <v>366751</v>
      </c>
      <c r="M49" s="163">
        <v>367819</v>
      </c>
      <c r="N49" s="163">
        <v>348492</v>
      </c>
      <c r="O49" s="163">
        <v>348492</v>
      </c>
      <c r="P49" s="163">
        <v>335143</v>
      </c>
      <c r="Q49" s="163">
        <v>317443</v>
      </c>
      <c r="R49" s="163">
        <v>298826</v>
      </c>
      <c r="S49" s="163">
        <v>294231</v>
      </c>
      <c r="T49" s="163">
        <v>276407</v>
      </c>
      <c r="U49" s="163">
        <v>184568</v>
      </c>
      <c r="V49" s="163">
        <v>239388</v>
      </c>
      <c r="W49" s="163">
        <v>223180</v>
      </c>
      <c r="X49" s="163">
        <v>208441</v>
      </c>
      <c r="Y49" s="163">
        <v>192903</v>
      </c>
      <c r="Z49" s="163">
        <v>180295</v>
      </c>
      <c r="AA49" s="164">
        <v>166826</v>
      </c>
      <c r="AB49" s="164">
        <v>153966</v>
      </c>
      <c r="AC49" s="164">
        <v>141535</v>
      </c>
      <c r="AD49" s="137"/>
      <c r="AE49" s="137"/>
      <c r="AF49" s="137"/>
    </row>
    <row r="50" spans="1:32" ht="21" x14ac:dyDescent="0.4">
      <c r="A50" s="1" t="s">
        <v>268</v>
      </c>
      <c r="B50" s="159" t="s">
        <v>219</v>
      </c>
      <c r="C50" s="160">
        <v>4004389</v>
      </c>
      <c r="D50" s="163">
        <v>379322</v>
      </c>
      <c r="E50" s="163">
        <v>366663</v>
      </c>
      <c r="F50" s="163">
        <v>354890</v>
      </c>
      <c r="G50" s="163">
        <v>333524</v>
      </c>
      <c r="H50" s="163">
        <v>321680</v>
      </c>
      <c r="I50" s="163">
        <v>316925</v>
      </c>
      <c r="J50" s="163">
        <v>305419</v>
      </c>
      <c r="K50" s="163">
        <v>283876</v>
      </c>
      <c r="L50" s="163">
        <v>272699</v>
      </c>
      <c r="M50" s="163">
        <v>260806</v>
      </c>
      <c r="N50" s="163">
        <v>248677</v>
      </c>
      <c r="O50" s="163">
        <v>237049</v>
      </c>
      <c r="P50" s="163">
        <v>223428</v>
      </c>
      <c r="Q50" s="163">
        <v>210758</v>
      </c>
      <c r="R50" s="163">
        <v>197519</v>
      </c>
      <c r="S50" s="163">
        <v>186576</v>
      </c>
      <c r="T50" s="163">
        <v>175327</v>
      </c>
      <c r="U50" s="163">
        <v>165793</v>
      </c>
      <c r="V50" s="163">
        <v>161184</v>
      </c>
      <c r="W50" s="163">
        <v>152464</v>
      </c>
      <c r="X50" s="163" t="s">
        <v>267</v>
      </c>
      <c r="Y50" s="163">
        <v>134578</v>
      </c>
      <c r="Z50" s="163">
        <v>126733</v>
      </c>
      <c r="AA50" s="164">
        <v>118609</v>
      </c>
      <c r="AB50" s="164">
        <v>111549</v>
      </c>
      <c r="AC50" s="164">
        <v>105387</v>
      </c>
      <c r="AD50" s="137"/>
      <c r="AE50" s="137"/>
      <c r="AF50" s="137"/>
    </row>
    <row r="51" spans="1:32" ht="21" x14ac:dyDescent="0.4">
      <c r="A51" s="1" t="s">
        <v>268</v>
      </c>
      <c r="B51" s="159" t="s">
        <v>220</v>
      </c>
      <c r="C51" s="160">
        <v>4057014</v>
      </c>
      <c r="D51" s="163">
        <v>852599</v>
      </c>
      <c r="E51" s="163">
        <v>819260</v>
      </c>
      <c r="F51" s="163">
        <v>793728</v>
      </c>
      <c r="G51" s="163">
        <v>768267</v>
      </c>
      <c r="H51" s="163">
        <v>715306</v>
      </c>
      <c r="I51" s="163">
        <v>708737</v>
      </c>
      <c r="J51" s="163">
        <v>680206</v>
      </c>
      <c r="K51" s="163">
        <v>670201</v>
      </c>
      <c r="L51" s="163">
        <v>640257</v>
      </c>
      <c r="M51" s="163">
        <v>610795</v>
      </c>
      <c r="N51" s="163">
        <v>585952</v>
      </c>
      <c r="O51" s="163">
        <v>566170</v>
      </c>
      <c r="P51" s="163">
        <v>541008</v>
      </c>
      <c r="Q51" s="163">
        <v>516989</v>
      </c>
      <c r="R51" s="163">
        <v>507494</v>
      </c>
      <c r="S51" s="163">
        <v>477715</v>
      </c>
      <c r="T51" s="163">
        <v>452988</v>
      </c>
      <c r="U51" s="163">
        <v>430831</v>
      </c>
      <c r="V51" s="163">
        <v>406833</v>
      </c>
      <c r="W51" s="163">
        <v>402453</v>
      </c>
      <c r="X51" s="163">
        <v>385008</v>
      </c>
      <c r="Y51" s="163">
        <v>363090</v>
      </c>
      <c r="Z51" s="163">
        <f>+(Y51+AA51)/2</f>
        <v>338949.5</v>
      </c>
      <c r="AA51" s="164">
        <v>314809</v>
      </c>
      <c r="AB51" s="164">
        <v>292139</v>
      </c>
      <c r="AC51" s="164">
        <v>272055</v>
      </c>
      <c r="AD51" s="137"/>
      <c r="AE51" s="137"/>
      <c r="AF51" s="137"/>
    </row>
    <row r="52" spans="1:32" ht="21" x14ac:dyDescent="0.4">
      <c r="B52" s="159" t="s">
        <v>221</v>
      </c>
      <c r="C52" s="160">
        <v>4057130</v>
      </c>
      <c r="D52" s="163">
        <v>209645</v>
      </c>
      <c r="E52" s="163">
        <v>198985</v>
      </c>
      <c r="F52" s="163">
        <v>188787</v>
      </c>
      <c r="G52" s="163">
        <v>171669</v>
      </c>
      <c r="H52" s="163">
        <v>166455</v>
      </c>
      <c r="I52" s="163">
        <v>162583</v>
      </c>
      <c r="J52" s="163">
        <v>158990</v>
      </c>
      <c r="K52" s="163">
        <v>155548</v>
      </c>
      <c r="L52" s="163">
        <v>150719</v>
      </c>
      <c r="M52" s="163">
        <v>145474</v>
      </c>
      <c r="N52" s="163">
        <v>140663</v>
      </c>
      <c r="O52" s="163">
        <v>134822</v>
      </c>
      <c r="P52" s="163">
        <v>132473</v>
      </c>
      <c r="Q52" s="163">
        <v>127799</v>
      </c>
      <c r="R52" s="163">
        <v>124453</v>
      </c>
      <c r="S52" s="163">
        <v>119745</v>
      </c>
      <c r="T52" s="163">
        <v>116771</v>
      </c>
      <c r="U52" s="163">
        <v>112894</v>
      </c>
      <c r="V52" s="163">
        <v>109058</v>
      </c>
      <c r="W52" s="163">
        <v>105452</v>
      </c>
      <c r="X52" s="163">
        <v>101270</v>
      </c>
      <c r="Y52" s="163">
        <v>96082</v>
      </c>
      <c r="Z52" s="163">
        <v>90389</v>
      </c>
      <c r="AA52" s="164">
        <v>84899</v>
      </c>
      <c r="AB52" s="164">
        <v>79702</v>
      </c>
      <c r="AC52" s="164" t="s">
        <v>267</v>
      </c>
      <c r="AD52" s="137"/>
      <c r="AE52" s="137"/>
      <c r="AF52" s="137"/>
    </row>
    <row r="53" spans="1:32" ht="21" x14ac:dyDescent="0.4">
      <c r="B53" s="159" t="s">
        <v>223</v>
      </c>
      <c r="C53" s="160">
        <v>4057131</v>
      </c>
      <c r="D53" s="163">
        <v>2789253</v>
      </c>
      <c r="E53" s="163">
        <v>2710187</v>
      </c>
      <c r="F53" s="163">
        <v>2639154</v>
      </c>
      <c r="G53" s="163">
        <v>2573746</v>
      </c>
      <c r="H53" s="163">
        <v>2524941</v>
      </c>
      <c r="I53" s="163">
        <v>2471127</v>
      </c>
      <c r="J53" s="163">
        <v>2423803</v>
      </c>
      <c r="K53" s="163">
        <v>2349285</v>
      </c>
      <c r="L53" s="163">
        <v>2116200</v>
      </c>
      <c r="M53" s="163">
        <v>2016234</v>
      </c>
      <c r="N53" s="163">
        <v>1924415</v>
      </c>
      <c r="O53" s="163">
        <v>1832394</v>
      </c>
      <c r="P53" s="163">
        <v>1754092</v>
      </c>
      <c r="Q53" s="163">
        <v>1675408</v>
      </c>
      <c r="R53" s="163">
        <v>1588374</v>
      </c>
      <c r="S53" s="163">
        <v>1501953</v>
      </c>
      <c r="T53" s="163">
        <v>1507331</v>
      </c>
      <c r="U53" s="163">
        <v>1423003</v>
      </c>
      <c r="V53" s="163">
        <v>1344731</v>
      </c>
      <c r="W53" s="163">
        <v>1268622</v>
      </c>
      <c r="X53" s="163">
        <v>1181107</v>
      </c>
      <c r="Y53" s="163">
        <v>1107660</v>
      </c>
      <c r="Z53" s="163">
        <v>1040376</v>
      </c>
      <c r="AA53" s="164">
        <v>966695</v>
      </c>
      <c r="AB53" s="164">
        <v>894951</v>
      </c>
      <c r="AC53" s="164">
        <v>827017</v>
      </c>
      <c r="AD53" s="137"/>
      <c r="AE53" s="137"/>
      <c r="AF53" s="137"/>
    </row>
    <row r="54" spans="1:32" ht="21" x14ac:dyDescent="0.4">
      <c r="B54" s="159" t="s">
        <v>224</v>
      </c>
      <c r="C54" s="160">
        <v>4012860</v>
      </c>
      <c r="D54" s="163">
        <v>1182511</v>
      </c>
      <c r="E54" s="163">
        <v>1168899</v>
      </c>
      <c r="F54" s="163">
        <v>1142437</v>
      </c>
      <c r="G54" s="163">
        <v>1144589</v>
      </c>
      <c r="H54" s="163">
        <v>1165320</v>
      </c>
      <c r="I54" s="163">
        <v>1187830</v>
      </c>
      <c r="J54" s="163">
        <v>1203051</v>
      </c>
      <c r="K54" s="163">
        <v>1213218</v>
      </c>
      <c r="L54" s="163">
        <v>1240285</v>
      </c>
      <c r="M54" s="163">
        <v>1256274</v>
      </c>
      <c r="N54" s="163">
        <v>1198204</v>
      </c>
      <c r="O54" s="163">
        <v>1143360</v>
      </c>
      <c r="P54" s="163">
        <v>1081021</v>
      </c>
      <c r="Q54" s="163">
        <v>1010440</v>
      </c>
      <c r="R54" s="163">
        <v>949185</v>
      </c>
      <c r="S54" s="163">
        <v>890318</v>
      </c>
      <c r="T54" s="163">
        <v>832691</v>
      </c>
      <c r="U54" s="163">
        <v>776416</v>
      </c>
      <c r="V54" s="163">
        <v>724461</v>
      </c>
      <c r="W54" s="163">
        <v>740726</v>
      </c>
      <c r="X54" s="163">
        <v>624198</v>
      </c>
      <c r="Y54" s="163">
        <v>576582</v>
      </c>
      <c r="Z54" s="163">
        <v>532951</v>
      </c>
      <c r="AA54" s="164">
        <v>488080</v>
      </c>
      <c r="AB54" s="164">
        <v>444631</v>
      </c>
      <c r="AC54" s="164">
        <v>403829</v>
      </c>
      <c r="AD54" s="137"/>
      <c r="AE54" s="137"/>
      <c r="AF54" s="137"/>
    </row>
    <row r="55" spans="1:32" ht="21" x14ac:dyDescent="0.4">
      <c r="B55" s="159" t="s">
        <v>227</v>
      </c>
      <c r="C55" s="160">
        <v>4061925</v>
      </c>
      <c r="D55" s="163">
        <v>166579</v>
      </c>
      <c r="E55" s="163">
        <v>158478</v>
      </c>
      <c r="F55" s="163">
        <v>150417</v>
      </c>
      <c r="G55" s="163">
        <v>143328</v>
      </c>
      <c r="H55" s="163">
        <v>138105</v>
      </c>
      <c r="I55" s="163">
        <v>133090</v>
      </c>
      <c r="J55" s="163">
        <v>127059</v>
      </c>
      <c r="K55" s="163">
        <v>121224</v>
      </c>
      <c r="L55" s="163">
        <v>114575</v>
      </c>
      <c r="M55" s="163">
        <v>108108</v>
      </c>
      <c r="N55" s="163">
        <v>102130</v>
      </c>
      <c r="O55" s="163">
        <v>94963</v>
      </c>
      <c r="P55" s="163">
        <v>89674</v>
      </c>
      <c r="Q55" s="163">
        <v>84375</v>
      </c>
      <c r="R55" s="163">
        <v>78931</v>
      </c>
      <c r="S55" s="163">
        <v>74054</v>
      </c>
      <c r="T55" s="163">
        <v>69053</v>
      </c>
      <c r="U55" s="163">
        <v>63727</v>
      </c>
      <c r="V55" s="163">
        <v>59655</v>
      </c>
      <c r="W55" s="163">
        <v>55568</v>
      </c>
      <c r="X55" s="163">
        <v>51310</v>
      </c>
      <c r="Y55" s="163">
        <v>47841</v>
      </c>
      <c r="Z55" s="163">
        <v>44476</v>
      </c>
      <c r="AA55" s="164">
        <v>40372</v>
      </c>
      <c r="AB55" s="164">
        <v>36790</v>
      </c>
      <c r="AC55" s="164">
        <v>33471</v>
      </c>
      <c r="AD55" s="137"/>
      <c r="AE55" s="137"/>
      <c r="AF55" s="137"/>
    </row>
    <row r="56" spans="1:32" ht="21" x14ac:dyDescent="0.4">
      <c r="B56" s="159" t="s">
        <v>284</v>
      </c>
      <c r="C56" s="160">
        <v>4057132</v>
      </c>
      <c r="D56" s="163" t="s">
        <v>267</v>
      </c>
      <c r="E56" s="163" t="s">
        <v>267</v>
      </c>
      <c r="F56" s="163" t="s">
        <v>267</v>
      </c>
      <c r="G56" s="163">
        <v>1030346</v>
      </c>
      <c r="H56" s="163">
        <v>981401</v>
      </c>
      <c r="I56" s="163">
        <v>943450</v>
      </c>
      <c r="J56" s="163">
        <v>903901</v>
      </c>
      <c r="K56" s="163">
        <v>869551</v>
      </c>
      <c r="L56" s="163">
        <v>830897</v>
      </c>
      <c r="M56" s="163">
        <v>795422</v>
      </c>
      <c r="N56" s="163">
        <v>756342</v>
      </c>
      <c r="O56" s="163">
        <v>720918</v>
      </c>
      <c r="P56" s="163">
        <v>692897</v>
      </c>
      <c r="Q56" s="163" t="s">
        <v>267</v>
      </c>
      <c r="R56" s="163" t="s">
        <v>267</v>
      </c>
      <c r="S56" s="163" t="s">
        <v>267</v>
      </c>
      <c r="T56" s="163" t="s">
        <v>267</v>
      </c>
      <c r="U56" s="163" t="s">
        <v>267</v>
      </c>
      <c r="V56" s="163">
        <v>446317</v>
      </c>
      <c r="W56" s="163">
        <v>412142</v>
      </c>
      <c r="X56" s="163">
        <v>380213</v>
      </c>
      <c r="Y56" s="163">
        <v>350155</v>
      </c>
      <c r="Z56" s="163">
        <v>322805</v>
      </c>
      <c r="AA56" s="164">
        <v>295290</v>
      </c>
      <c r="AB56" s="164">
        <v>270027</v>
      </c>
      <c r="AC56" s="164">
        <v>246120</v>
      </c>
      <c r="AD56" s="137"/>
      <c r="AE56" s="137"/>
      <c r="AF56" s="137"/>
    </row>
    <row r="57" spans="1:32" ht="21" x14ac:dyDescent="0.4">
      <c r="A57" s="1" t="s">
        <v>268</v>
      </c>
      <c r="B57" s="159" t="s">
        <v>285</v>
      </c>
      <c r="C57" s="160">
        <v>4057115</v>
      </c>
      <c r="D57" s="163" t="s">
        <v>267</v>
      </c>
      <c r="E57" s="163" t="s">
        <v>267</v>
      </c>
      <c r="F57" s="163" t="s">
        <v>267</v>
      </c>
      <c r="G57" s="163" t="s">
        <v>267</v>
      </c>
      <c r="H57" s="163" t="s">
        <v>267</v>
      </c>
      <c r="I57" s="163" t="s">
        <v>267</v>
      </c>
      <c r="J57" s="163" t="s">
        <v>267</v>
      </c>
      <c r="K57" s="163" t="s">
        <v>267</v>
      </c>
      <c r="L57" s="163" t="s">
        <v>267</v>
      </c>
      <c r="M57" s="163" t="s">
        <v>267</v>
      </c>
      <c r="N57" s="163" t="s">
        <v>267</v>
      </c>
      <c r="O57" s="163" t="s">
        <v>267</v>
      </c>
      <c r="P57" s="163" t="s">
        <v>267</v>
      </c>
      <c r="Q57" s="163" t="s">
        <v>267</v>
      </c>
      <c r="R57" s="163" t="s">
        <v>267</v>
      </c>
      <c r="S57" s="163" t="s">
        <v>267</v>
      </c>
      <c r="T57" s="163" t="s">
        <v>267</v>
      </c>
      <c r="U57" s="163" t="s">
        <v>267</v>
      </c>
      <c r="V57" s="163" t="s">
        <v>267</v>
      </c>
      <c r="W57" s="163" t="s">
        <v>267</v>
      </c>
      <c r="X57" s="163" t="s">
        <v>267</v>
      </c>
      <c r="Y57" s="163" t="s">
        <v>267</v>
      </c>
      <c r="Z57" s="163" t="s">
        <v>267</v>
      </c>
      <c r="AA57" s="164" t="s">
        <v>267</v>
      </c>
      <c r="AB57" s="164" t="s">
        <v>267</v>
      </c>
      <c r="AC57" s="164" t="s">
        <v>267</v>
      </c>
      <c r="AD57" s="137"/>
      <c r="AE57" s="137"/>
      <c r="AF57" s="137"/>
    </row>
    <row r="58" spans="1:32" ht="21" x14ac:dyDescent="0.4">
      <c r="B58" s="159" t="s">
        <v>228</v>
      </c>
      <c r="C58" s="160">
        <v>4064479</v>
      </c>
      <c r="D58" s="163">
        <v>58845</v>
      </c>
      <c r="E58" s="163">
        <v>57127</v>
      </c>
      <c r="F58" s="163">
        <v>54935</v>
      </c>
      <c r="G58" s="163">
        <v>52807</v>
      </c>
      <c r="H58" s="163">
        <v>50183</v>
      </c>
      <c r="I58" s="163">
        <v>46290</v>
      </c>
      <c r="J58" s="163">
        <v>44646</v>
      </c>
      <c r="K58" s="163">
        <v>42905</v>
      </c>
      <c r="L58" s="163">
        <v>41400</v>
      </c>
      <c r="M58" s="163">
        <v>39886</v>
      </c>
      <c r="N58" s="163">
        <v>38231</v>
      </c>
      <c r="O58" s="163">
        <v>36604</v>
      </c>
      <c r="P58" s="163">
        <v>35048</v>
      </c>
      <c r="Q58" s="163">
        <v>33592</v>
      </c>
      <c r="R58" s="163">
        <v>32120</v>
      </c>
      <c r="S58" s="163">
        <v>30695</v>
      </c>
      <c r="T58" s="163">
        <v>29337</v>
      </c>
      <c r="U58" s="163">
        <v>28327</v>
      </c>
      <c r="V58" s="163">
        <v>27003</v>
      </c>
      <c r="W58" s="163">
        <v>25562</v>
      </c>
      <c r="X58" s="163">
        <v>24148</v>
      </c>
      <c r="Y58" s="163">
        <v>22769</v>
      </c>
      <c r="Z58" s="163">
        <v>21517</v>
      </c>
      <c r="AA58" s="164">
        <v>20263</v>
      </c>
      <c r="AB58" s="164">
        <v>19078</v>
      </c>
      <c r="AC58" s="164">
        <v>18003</v>
      </c>
      <c r="AD58" s="137"/>
      <c r="AE58" s="137"/>
      <c r="AF58" s="137"/>
    </row>
    <row r="59" spans="1:32" ht="21" x14ac:dyDescent="0.4">
      <c r="B59" s="159" t="s">
        <v>286</v>
      </c>
      <c r="C59" s="160">
        <v>4062025</v>
      </c>
      <c r="D59" s="163" t="s">
        <v>267</v>
      </c>
      <c r="E59" s="163" t="s">
        <v>267</v>
      </c>
      <c r="F59" s="163" t="s">
        <v>267</v>
      </c>
      <c r="G59" s="163" t="s">
        <v>267</v>
      </c>
      <c r="H59" s="163" t="s">
        <v>267</v>
      </c>
      <c r="I59" s="163" t="s">
        <v>267</v>
      </c>
      <c r="J59" s="163" t="s">
        <v>267</v>
      </c>
      <c r="K59" s="163" t="s">
        <v>267</v>
      </c>
      <c r="L59" s="163" t="s">
        <v>267</v>
      </c>
      <c r="M59" s="163" t="s">
        <v>267</v>
      </c>
      <c r="N59" s="163" t="s">
        <v>267</v>
      </c>
      <c r="O59" s="163" t="s">
        <v>267</v>
      </c>
      <c r="P59" s="163" t="s">
        <v>267</v>
      </c>
      <c r="Q59" s="163" t="s">
        <v>267</v>
      </c>
      <c r="R59" s="163" t="s">
        <v>267</v>
      </c>
      <c r="S59" s="163" t="s">
        <v>267</v>
      </c>
      <c r="T59" s="163" t="s">
        <v>267</v>
      </c>
      <c r="U59" s="163" t="s">
        <v>267</v>
      </c>
      <c r="V59" s="163" t="s">
        <v>267</v>
      </c>
      <c r="W59" s="163" t="s">
        <v>267</v>
      </c>
      <c r="X59" s="163" t="s">
        <v>267</v>
      </c>
      <c r="Y59" s="163" t="s">
        <v>267</v>
      </c>
      <c r="Z59" s="163" t="s">
        <v>267</v>
      </c>
      <c r="AA59" s="164" t="s">
        <v>267</v>
      </c>
      <c r="AB59" s="164" t="s">
        <v>267</v>
      </c>
      <c r="AC59" s="164" t="s">
        <v>267</v>
      </c>
      <c r="AD59" s="137"/>
      <c r="AE59" s="137"/>
      <c r="AF59" s="137"/>
    </row>
    <row r="60" spans="1:32" ht="21" x14ac:dyDescent="0.4">
      <c r="B60" s="159" t="s">
        <v>287</v>
      </c>
      <c r="C60" s="160">
        <v>4064481</v>
      </c>
      <c r="D60" s="163" t="s">
        <v>267</v>
      </c>
      <c r="E60" s="163" t="s">
        <v>267</v>
      </c>
      <c r="F60" s="163">
        <v>679607</v>
      </c>
      <c r="G60" s="163">
        <v>647566</v>
      </c>
      <c r="H60" s="163">
        <v>619953</v>
      </c>
      <c r="I60" s="163">
        <v>594234</v>
      </c>
      <c r="J60" s="163">
        <v>566418</v>
      </c>
      <c r="K60" s="163">
        <v>539580</v>
      </c>
      <c r="L60" s="163">
        <v>516584</v>
      </c>
      <c r="M60" s="163">
        <v>490334</v>
      </c>
      <c r="N60" s="163">
        <v>466273</v>
      </c>
      <c r="O60" s="163">
        <v>444965</v>
      </c>
      <c r="P60" s="163">
        <v>422783</v>
      </c>
      <c r="Q60" s="163">
        <v>407928</v>
      </c>
      <c r="R60" s="163">
        <v>392273</v>
      </c>
      <c r="S60" s="163">
        <v>374538</v>
      </c>
      <c r="T60" s="163">
        <v>358725</v>
      </c>
      <c r="U60" s="163">
        <v>339386</v>
      </c>
      <c r="V60" s="163">
        <v>325559</v>
      </c>
      <c r="W60" s="163">
        <v>313984</v>
      </c>
      <c r="X60" s="163">
        <v>297753</v>
      </c>
      <c r="Y60" s="163">
        <v>268743</v>
      </c>
      <c r="Z60" s="163">
        <v>267162</v>
      </c>
      <c r="AA60" s="164">
        <v>250625</v>
      </c>
      <c r="AB60" s="164" t="s">
        <v>267</v>
      </c>
      <c r="AC60" s="164" t="s">
        <v>267</v>
      </c>
      <c r="AD60" s="137"/>
      <c r="AE60" s="137"/>
      <c r="AF60" s="137"/>
    </row>
    <row r="61" spans="1:32" ht="21" x14ac:dyDescent="0.4">
      <c r="A61" s="1" t="s">
        <v>268</v>
      </c>
      <c r="B61" s="159" t="s">
        <v>229</v>
      </c>
      <c r="C61" s="160">
        <v>4057093</v>
      </c>
      <c r="D61" s="163">
        <v>248466</v>
      </c>
      <c r="E61" s="163">
        <v>232409</v>
      </c>
      <c r="F61" s="163">
        <v>218345</v>
      </c>
      <c r="G61" s="163">
        <v>204495</v>
      </c>
      <c r="H61" s="163">
        <v>192952</v>
      </c>
      <c r="I61" s="163">
        <v>182850</v>
      </c>
      <c r="J61" s="163">
        <v>172524</v>
      </c>
      <c r="K61" s="163">
        <v>160680</v>
      </c>
      <c r="L61" s="163">
        <v>150997</v>
      </c>
      <c r="M61" s="163">
        <v>141399</v>
      </c>
      <c r="N61" s="163">
        <v>132175</v>
      </c>
      <c r="O61" s="163">
        <v>125793</v>
      </c>
      <c r="P61" s="163">
        <v>118144</v>
      </c>
      <c r="Q61" s="163">
        <v>111909</v>
      </c>
      <c r="R61" s="163">
        <v>105825</v>
      </c>
      <c r="S61" s="163">
        <v>100043</v>
      </c>
      <c r="T61" s="163">
        <v>94346</v>
      </c>
      <c r="U61" s="163">
        <v>91707</v>
      </c>
      <c r="V61" s="163">
        <v>86088</v>
      </c>
      <c r="W61" s="163">
        <v>80826</v>
      </c>
      <c r="X61" s="163">
        <v>75818</v>
      </c>
      <c r="Y61" s="163">
        <v>79136</v>
      </c>
      <c r="Z61" s="163">
        <v>76852</v>
      </c>
      <c r="AA61" s="164">
        <v>71856</v>
      </c>
      <c r="AB61" s="164">
        <v>67237</v>
      </c>
      <c r="AC61" s="164">
        <v>62650</v>
      </c>
      <c r="AD61" s="137"/>
      <c r="AE61" s="137"/>
      <c r="AF61" s="137"/>
    </row>
    <row r="62" spans="1:32" ht="21" x14ac:dyDescent="0.4">
      <c r="B62" s="159" t="s">
        <v>230</v>
      </c>
      <c r="C62" s="160">
        <v>4004218</v>
      </c>
      <c r="D62" s="163">
        <v>5894624</v>
      </c>
      <c r="E62" s="163">
        <v>5623609</v>
      </c>
      <c r="F62" s="163">
        <v>5344337</v>
      </c>
      <c r="G62" s="163">
        <v>5099734</v>
      </c>
      <c r="H62" s="163">
        <v>4849089</v>
      </c>
      <c r="I62" s="163">
        <v>4600948</v>
      </c>
      <c r="J62" s="163">
        <v>4370240</v>
      </c>
      <c r="K62" s="163">
        <v>4183610</v>
      </c>
      <c r="L62" s="163">
        <v>4020208</v>
      </c>
      <c r="M62" s="163">
        <v>3866243</v>
      </c>
      <c r="N62" s="163">
        <v>3684266</v>
      </c>
      <c r="O62" s="163">
        <v>3531979</v>
      </c>
      <c r="P62" s="163">
        <v>3398647</v>
      </c>
      <c r="Q62" s="163">
        <v>3269324</v>
      </c>
      <c r="R62" s="163">
        <v>3129244</v>
      </c>
      <c r="S62" s="163">
        <v>3005126</v>
      </c>
      <c r="T62" s="163">
        <v>2860618</v>
      </c>
      <c r="U62" s="163">
        <v>1863258</v>
      </c>
      <c r="V62" s="163">
        <v>2659445</v>
      </c>
      <c r="W62" s="163">
        <v>2500812</v>
      </c>
      <c r="X62" s="163">
        <v>2352959</v>
      </c>
      <c r="Y62" s="163">
        <v>2207806</v>
      </c>
      <c r="Z62" s="163">
        <v>2096630</v>
      </c>
      <c r="AA62" s="164">
        <v>2060491</v>
      </c>
      <c r="AB62" s="164">
        <v>1922742</v>
      </c>
      <c r="AC62" s="164">
        <v>1788439</v>
      </c>
      <c r="AD62" s="137"/>
      <c r="AE62" s="137"/>
      <c r="AF62" s="137"/>
    </row>
    <row r="63" spans="1:32" ht="21" x14ac:dyDescent="0.4">
      <c r="A63" s="1" t="s">
        <v>268</v>
      </c>
      <c r="B63" s="159" t="s">
        <v>288</v>
      </c>
      <c r="C63" s="160">
        <v>4062222</v>
      </c>
      <c r="D63" s="163" t="s">
        <v>267</v>
      </c>
      <c r="E63" s="163" t="s">
        <v>267</v>
      </c>
      <c r="F63" s="163" t="s">
        <v>267</v>
      </c>
      <c r="G63" s="163" t="s">
        <v>267</v>
      </c>
      <c r="H63" s="163" t="s">
        <v>267</v>
      </c>
      <c r="I63" s="163" t="s">
        <v>267</v>
      </c>
      <c r="J63" s="163" t="s">
        <v>267</v>
      </c>
      <c r="K63" s="163" t="s">
        <v>267</v>
      </c>
      <c r="L63" s="163" t="s">
        <v>267</v>
      </c>
      <c r="M63" s="163" t="s">
        <v>267</v>
      </c>
      <c r="N63" s="163" t="s">
        <v>267</v>
      </c>
      <c r="O63" s="163" t="s">
        <v>267</v>
      </c>
      <c r="P63" s="163" t="s">
        <v>267</v>
      </c>
      <c r="Q63" s="163" t="s">
        <v>267</v>
      </c>
      <c r="R63" s="163" t="s">
        <v>267</v>
      </c>
      <c r="S63" s="163" t="s">
        <v>267</v>
      </c>
      <c r="T63" s="163" t="s">
        <v>267</v>
      </c>
      <c r="U63" s="163" t="s">
        <v>267</v>
      </c>
      <c r="V63" s="163" t="s">
        <v>267</v>
      </c>
      <c r="W63" s="163" t="s">
        <v>267</v>
      </c>
      <c r="X63" s="163" t="s">
        <v>267</v>
      </c>
      <c r="Y63" s="163" t="s">
        <v>267</v>
      </c>
      <c r="Z63" s="163" t="s">
        <v>267</v>
      </c>
      <c r="AA63" s="164" t="s">
        <v>267</v>
      </c>
      <c r="AB63" s="164" t="s">
        <v>267</v>
      </c>
      <c r="AC63" s="164" t="s">
        <v>267</v>
      </c>
      <c r="AD63" s="137"/>
      <c r="AE63" s="137"/>
      <c r="AF63" s="137"/>
    </row>
    <row r="64" spans="1:32" ht="21" x14ac:dyDescent="0.4">
      <c r="B64" s="159" t="s">
        <v>233</v>
      </c>
      <c r="C64" s="160">
        <v>4057135</v>
      </c>
      <c r="D64" s="163">
        <v>1239365</v>
      </c>
      <c r="E64" s="163">
        <v>1175936</v>
      </c>
      <c r="F64" s="163">
        <v>1103891</v>
      </c>
      <c r="G64" s="163">
        <v>1015905</v>
      </c>
      <c r="H64" s="163">
        <v>954359</v>
      </c>
      <c r="I64" s="163">
        <v>908933</v>
      </c>
      <c r="J64" s="163">
        <v>883686</v>
      </c>
      <c r="K64" s="163">
        <v>853597</v>
      </c>
      <c r="L64" s="163">
        <v>822936</v>
      </c>
      <c r="M64" s="163">
        <v>803704</v>
      </c>
      <c r="N64" s="163">
        <v>778105</v>
      </c>
      <c r="O64" s="163">
        <v>732535</v>
      </c>
      <c r="P64" s="163">
        <v>709147</v>
      </c>
      <c r="Q64" s="163">
        <v>682590</v>
      </c>
      <c r="R64" s="163">
        <v>666881</v>
      </c>
      <c r="S64" s="163">
        <v>635733</v>
      </c>
      <c r="T64" s="163">
        <v>612763</v>
      </c>
      <c r="U64" s="163">
        <v>588522</v>
      </c>
      <c r="V64" s="163">
        <v>565543</v>
      </c>
      <c r="W64" s="163">
        <v>544737</v>
      </c>
      <c r="X64" s="163">
        <v>520985</v>
      </c>
      <c r="Y64" s="163">
        <v>491646</v>
      </c>
      <c r="Z64" s="163">
        <v>461009</v>
      </c>
      <c r="AA64" s="164">
        <v>431197</v>
      </c>
      <c r="AB64" s="164">
        <v>401505</v>
      </c>
      <c r="AC64" s="164">
        <v>375575</v>
      </c>
      <c r="AD64" s="137"/>
      <c r="AE64" s="137"/>
      <c r="AF64" s="137"/>
    </row>
    <row r="65" spans="1:32" ht="21" x14ac:dyDescent="0.4">
      <c r="B65" s="159" t="s">
        <v>234</v>
      </c>
      <c r="C65" s="160">
        <v>4063341</v>
      </c>
      <c r="D65" s="163">
        <v>761968</v>
      </c>
      <c r="E65" s="163">
        <v>737863</v>
      </c>
      <c r="F65" s="163">
        <v>716667</v>
      </c>
      <c r="G65" s="163">
        <v>683169</v>
      </c>
      <c r="H65" s="163">
        <v>659288</v>
      </c>
      <c r="I65" s="163">
        <v>632212</v>
      </c>
      <c r="J65" s="163">
        <v>591363</v>
      </c>
      <c r="K65" s="163">
        <v>553400</v>
      </c>
      <c r="L65" s="163">
        <v>536373</v>
      </c>
      <c r="M65" s="163">
        <v>473465</v>
      </c>
      <c r="N65" s="163">
        <v>439314</v>
      </c>
      <c r="O65" s="163">
        <v>404540</v>
      </c>
      <c r="P65" s="163">
        <v>372292</v>
      </c>
      <c r="Q65" s="163">
        <v>375308</v>
      </c>
      <c r="R65" s="163">
        <v>317020</v>
      </c>
      <c r="S65" s="163">
        <v>292024</v>
      </c>
      <c r="T65" s="163">
        <v>272786</v>
      </c>
      <c r="U65" s="163">
        <v>253590</v>
      </c>
      <c r="V65" s="163">
        <v>217568</v>
      </c>
      <c r="W65" s="163" t="s">
        <v>267</v>
      </c>
      <c r="X65" s="163" t="s">
        <v>267</v>
      </c>
      <c r="Y65" s="163">
        <v>187152</v>
      </c>
      <c r="Z65" s="163">
        <v>172412</v>
      </c>
      <c r="AA65" s="164" t="s">
        <v>267</v>
      </c>
      <c r="AB65" s="164" t="s">
        <v>267</v>
      </c>
      <c r="AC65" s="164" t="s">
        <v>267</v>
      </c>
      <c r="AD65" s="137"/>
      <c r="AE65" s="137"/>
      <c r="AF65" s="137"/>
    </row>
    <row r="66" spans="1:32" ht="21" x14ac:dyDescent="0.4">
      <c r="A66" s="1" t="s">
        <v>268</v>
      </c>
      <c r="B66" s="159" t="s">
        <v>289</v>
      </c>
      <c r="C66" s="160">
        <v>4083575</v>
      </c>
      <c r="D66" s="163" t="s">
        <v>267</v>
      </c>
      <c r="E66" s="163" t="s">
        <v>267</v>
      </c>
      <c r="F66" s="163" t="s">
        <v>267</v>
      </c>
      <c r="G66" s="163" t="s">
        <v>267</v>
      </c>
      <c r="H66" s="163" t="s">
        <v>267</v>
      </c>
      <c r="I66" s="163" t="s">
        <v>267</v>
      </c>
      <c r="J66" s="163" t="s">
        <v>267</v>
      </c>
      <c r="K66" s="163" t="s">
        <v>267</v>
      </c>
      <c r="L66" s="163" t="s">
        <v>267</v>
      </c>
      <c r="M66" s="163" t="s">
        <v>267</v>
      </c>
      <c r="N66" s="163" t="s">
        <v>267</v>
      </c>
      <c r="O66" s="163" t="s">
        <v>267</v>
      </c>
      <c r="P66" s="163" t="s">
        <v>267</v>
      </c>
      <c r="Q66" s="163" t="s">
        <v>267</v>
      </c>
      <c r="R66" s="163" t="s">
        <v>267</v>
      </c>
      <c r="S66" s="163" t="s">
        <v>267</v>
      </c>
      <c r="T66" s="163" t="s">
        <v>267</v>
      </c>
      <c r="U66" s="163" t="s">
        <v>267</v>
      </c>
      <c r="V66" s="163" t="s">
        <v>267</v>
      </c>
      <c r="W66" s="163" t="s">
        <v>267</v>
      </c>
      <c r="X66" s="163" t="s">
        <v>267</v>
      </c>
      <c r="Y66" s="163" t="s">
        <v>267</v>
      </c>
      <c r="Z66" s="163" t="s">
        <v>267</v>
      </c>
      <c r="AA66" s="164" t="s">
        <v>267</v>
      </c>
      <c r="AB66" s="164" t="s">
        <v>267</v>
      </c>
      <c r="AC66" s="164" t="s">
        <v>267</v>
      </c>
      <c r="AD66" s="137"/>
      <c r="AE66" s="137"/>
      <c r="AF66" s="137"/>
    </row>
    <row r="67" spans="1:32" ht="21" x14ac:dyDescent="0.4">
      <c r="B67" s="159" t="s">
        <v>290</v>
      </c>
      <c r="C67" s="160">
        <v>4062303</v>
      </c>
      <c r="D67" s="163" t="s">
        <v>267</v>
      </c>
      <c r="E67" s="163" t="s">
        <v>267</v>
      </c>
      <c r="F67" s="163" t="s">
        <v>267</v>
      </c>
      <c r="G67" s="163" t="s">
        <v>267</v>
      </c>
      <c r="H67" s="163" t="s">
        <v>267</v>
      </c>
      <c r="I67" s="163" t="s">
        <v>267</v>
      </c>
      <c r="J67" s="163" t="s">
        <v>267</v>
      </c>
      <c r="K67" s="163" t="s">
        <v>267</v>
      </c>
      <c r="L67" s="163" t="s">
        <v>267</v>
      </c>
      <c r="M67" s="163" t="s">
        <v>267</v>
      </c>
      <c r="N67" s="163" t="s">
        <v>267</v>
      </c>
      <c r="O67" s="163" t="s">
        <v>267</v>
      </c>
      <c r="P67" s="163" t="s">
        <v>267</v>
      </c>
      <c r="Q67" s="163" t="s">
        <v>267</v>
      </c>
      <c r="R67" s="163" t="s">
        <v>267</v>
      </c>
      <c r="S67" s="163" t="s">
        <v>267</v>
      </c>
      <c r="T67" s="163" t="s">
        <v>267</v>
      </c>
      <c r="U67" s="163" t="s">
        <v>267</v>
      </c>
      <c r="V67" s="163" t="s">
        <v>267</v>
      </c>
      <c r="W67" s="163" t="s">
        <v>267</v>
      </c>
      <c r="X67" s="163" t="s">
        <v>267</v>
      </c>
      <c r="Y67" s="163" t="s">
        <v>267</v>
      </c>
      <c r="Z67" s="163" t="s">
        <v>267</v>
      </c>
      <c r="AA67" s="164" t="s">
        <v>267</v>
      </c>
      <c r="AB67" s="164" t="s">
        <v>267</v>
      </c>
      <c r="AC67" s="164" t="s">
        <v>267</v>
      </c>
      <c r="AD67" s="137"/>
      <c r="AE67" s="137"/>
      <c r="AF67" s="137"/>
    </row>
    <row r="68" spans="1:32" ht="21" x14ac:dyDescent="0.4">
      <c r="B68" s="159" t="s">
        <v>291</v>
      </c>
      <c r="C68" s="160">
        <v>4083581</v>
      </c>
      <c r="D68" s="163">
        <v>1923</v>
      </c>
      <c r="E68" s="163">
        <v>1640</v>
      </c>
      <c r="F68" s="163">
        <v>1368</v>
      </c>
      <c r="G68" s="163">
        <v>1102</v>
      </c>
      <c r="H68" s="163">
        <v>858</v>
      </c>
      <c r="I68" s="163">
        <v>634</v>
      </c>
      <c r="J68" s="163">
        <v>429</v>
      </c>
      <c r="K68" s="163">
        <v>3542</v>
      </c>
      <c r="L68" s="163">
        <v>3542</v>
      </c>
      <c r="M68" s="163">
        <v>3475</v>
      </c>
      <c r="N68" s="163">
        <v>3368</v>
      </c>
      <c r="O68" s="163">
        <v>3235</v>
      </c>
      <c r="P68" s="163">
        <v>3103</v>
      </c>
      <c r="Q68" s="163">
        <v>2971</v>
      </c>
      <c r="R68" s="163">
        <v>2843</v>
      </c>
      <c r="S68" s="163">
        <v>2737</v>
      </c>
      <c r="T68" s="163">
        <v>2594</v>
      </c>
      <c r="U68" s="163">
        <v>2470</v>
      </c>
      <c r="V68" s="163">
        <v>2340</v>
      </c>
      <c r="W68" s="163">
        <v>2232</v>
      </c>
      <c r="X68" s="163" t="s">
        <v>267</v>
      </c>
      <c r="Y68" s="163" t="s">
        <v>267</v>
      </c>
      <c r="Z68" s="163" t="s">
        <v>267</v>
      </c>
      <c r="AA68" s="164" t="s">
        <v>267</v>
      </c>
      <c r="AB68" s="164" t="s">
        <v>267</v>
      </c>
      <c r="AC68" s="164" t="s">
        <v>267</v>
      </c>
      <c r="AD68" s="137"/>
      <c r="AE68" s="137"/>
      <c r="AF68" s="137"/>
    </row>
    <row r="69" spans="1:32" ht="21" x14ac:dyDescent="0.4">
      <c r="B69" s="159" t="s">
        <v>236</v>
      </c>
      <c r="C69" s="160">
        <v>4057139</v>
      </c>
      <c r="D69" s="163">
        <v>717734</v>
      </c>
      <c r="E69" s="163">
        <v>679096</v>
      </c>
      <c r="F69" s="163">
        <v>648858</v>
      </c>
      <c r="G69" s="163">
        <v>620171</v>
      </c>
      <c r="H69" s="163">
        <v>594714</v>
      </c>
      <c r="I69" s="163">
        <v>565253</v>
      </c>
      <c r="J69" s="163">
        <v>531482</v>
      </c>
      <c r="K69" s="163">
        <v>261740</v>
      </c>
      <c r="L69" s="163">
        <v>244495</v>
      </c>
      <c r="M69" s="163">
        <v>228187</v>
      </c>
      <c r="N69" s="163">
        <v>214896</v>
      </c>
      <c r="O69" s="163">
        <v>199152</v>
      </c>
      <c r="P69" s="163">
        <v>183712</v>
      </c>
      <c r="Q69" s="163">
        <v>163342</v>
      </c>
      <c r="R69" s="163">
        <v>152479</v>
      </c>
      <c r="S69" s="163">
        <v>138825</v>
      </c>
      <c r="T69" s="163">
        <v>253508</v>
      </c>
      <c r="U69" s="163">
        <v>234508</v>
      </c>
      <c r="V69" s="163">
        <v>213211</v>
      </c>
      <c r="W69" s="163">
        <v>194158</v>
      </c>
      <c r="X69" s="163">
        <v>177315</v>
      </c>
      <c r="Y69" s="163">
        <v>161949</v>
      </c>
      <c r="Z69" s="163">
        <v>147033</v>
      </c>
      <c r="AA69" s="164">
        <v>133260</v>
      </c>
      <c r="AB69" s="164">
        <v>119038</v>
      </c>
      <c r="AC69" s="164">
        <v>107425</v>
      </c>
      <c r="AD69" s="137"/>
      <c r="AE69" s="137"/>
      <c r="AF69" s="137"/>
    </row>
    <row r="70" spans="1:32" ht="21" x14ac:dyDescent="0.4">
      <c r="A70" s="1" t="s">
        <v>268</v>
      </c>
      <c r="B70" s="159" t="s">
        <v>238</v>
      </c>
      <c r="C70" s="160">
        <v>4057095</v>
      </c>
      <c r="D70" s="163" t="s">
        <v>267</v>
      </c>
      <c r="E70" s="163">
        <v>2127524</v>
      </c>
      <c r="F70" s="163">
        <v>2103981</v>
      </c>
      <c r="G70" s="163">
        <v>2086009</v>
      </c>
      <c r="H70" s="163">
        <v>2065479</v>
      </c>
      <c r="I70" s="163">
        <v>2043957</v>
      </c>
      <c r="J70" s="163">
        <v>1984623</v>
      </c>
      <c r="K70" s="163">
        <v>1931747</v>
      </c>
      <c r="L70" s="163">
        <v>1853589</v>
      </c>
      <c r="M70" s="163">
        <v>1815936</v>
      </c>
      <c r="N70" s="163">
        <v>1755201</v>
      </c>
      <c r="O70" s="163">
        <v>1714882</v>
      </c>
      <c r="P70" s="163">
        <v>1686050</v>
      </c>
      <c r="Q70" s="163">
        <v>1632574</v>
      </c>
      <c r="R70" s="163">
        <v>1580252</v>
      </c>
      <c r="S70" s="163">
        <v>1561891</v>
      </c>
      <c r="T70" s="163">
        <v>1480514</v>
      </c>
      <c r="U70" s="163">
        <v>1402820</v>
      </c>
      <c r="V70" s="163">
        <v>1330164</v>
      </c>
      <c r="W70" s="163">
        <v>1240309</v>
      </c>
      <c r="X70" s="163">
        <v>1190833</v>
      </c>
      <c r="Y70" s="163">
        <v>1128002</v>
      </c>
      <c r="Z70" s="163">
        <f>+Y70/(1+Y71)</f>
        <v>1068486.1034284404</v>
      </c>
      <c r="AA70" s="164" t="s">
        <v>267</v>
      </c>
      <c r="AB70" s="164" t="s">
        <v>267</v>
      </c>
      <c r="AC70" s="164" t="s">
        <v>267</v>
      </c>
      <c r="AD70" s="137"/>
      <c r="AE70" s="137"/>
      <c r="AF70" s="137"/>
    </row>
    <row r="71" spans="1:32" ht="21" x14ac:dyDescent="0.4">
      <c r="B71" s="159"/>
      <c r="C71" s="160"/>
      <c r="D71" s="165"/>
      <c r="E71" s="165"/>
      <c r="F71" s="165">
        <f t="shared" ref="F71:X71" si="2">+E70/F70-1</f>
        <v>1.1189739831300782E-2</v>
      </c>
      <c r="G71" s="165">
        <f t="shared" si="2"/>
        <v>8.615494947529001E-3</v>
      </c>
      <c r="H71" s="165">
        <f t="shared" si="2"/>
        <v>9.9395830216622016E-3</v>
      </c>
      <c r="I71" s="165">
        <f t="shared" si="2"/>
        <v>1.052957572003721E-2</v>
      </c>
      <c r="J71" s="165">
        <f t="shared" si="2"/>
        <v>2.9896862023669035E-2</v>
      </c>
      <c r="K71" s="165">
        <f t="shared" si="2"/>
        <v>2.7372114464264685E-2</v>
      </c>
      <c r="L71" s="165">
        <f t="shared" si="2"/>
        <v>4.2165765981563297E-2</v>
      </c>
      <c r="M71" s="165">
        <f t="shared" si="2"/>
        <v>2.0734761577500427E-2</v>
      </c>
      <c r="N71" s="165">
        <f t="shared" si="2"/>
        <v>3.4602874542573714E-2</v>
      </c>
      <c r="O71" s="165">
        <f t="shared" si="2"/>
        <v>2.3511238674147839E-2</v>
      </c>
      <c r="P71" s="165">
        <f t="shared" si="2"/>
        <v>1.7100323240710535E-2</v>
      </c>
      <c r="Q71" s="165">
        <f t="shared" si="2"/>
        <v>3.2755636191682536E-2</v>
      </c>
      <c r="R71" s="165">
        <f t="shared" si="2"/>
        <v>3.3109909052480235E-2</v>
      </c>
      <c r="S71" s="165">
        <f t="shared" si="2"/>
        <v>1.175562187118051E-2</v>
      </c>
      <c r="T71" s="165">
        <f t="shared" si="2"/>
        <v>5.4965370134966607E-2</v>
      </c>
      <c r="U71" s="165">
        <f t="shared" si="2"/>
        <v>5.5384154773955308E-2</v>
      </c>
      <c r="V71" s="165">
        <f t="shared" si="2"/>
        <v>5.4621836104420174E-2</v>
      </c>
      <c r="W71" s="165">
        <f t="shared" si="2"/>
        <v>7.2445656687164295E-2</v>
      </c>
      <c r="X71" s="165">
        <f t="shared" si="2"/>
        <v>4.1547387417043335E-2</v>
      </c>
      <c r="Y71" s="165">
        <f>+X70/Y70-1</f>
        <v>5.5701142373861146E-2</v>
      </c>
      <c r="Z71" s="165"/>
      <c r="AA71" s="164"/>
      <c r="AB71" s="164"/>
      <c r="AC71" s="164"/>
      <c r="AD71" s="137"/>
      <c r="AE71" s="137"/>
      <c r="AF71" s="137"/>
    </row>
    <row r="72" spans="1:32" ht="21" x14ac:dyDescent="0.4">
      <c r="B72" s="159" t="s">
        <v>239</v>
      </c>
      <c r="C72" s="160">
        <v>4062485</v>
      </c>
      <c r="D72" s="163">
        <v>1639878</v>
      </c>
      <c r="E72" s="163">
        <v>1553327</v>
      </c>
      <c r="F72" s="163">
        <v>1473933</v>
      </c>
      <c r="G72" s="163">
        <v>1393434</v>
      </c>
      <c r="H72" s="163">
        <v>1311631</v>
      </c>
      <c r="I72" s="163">
        <v>1226432</v>
      </c>
      <c r="J72" s="163">
        <v>1150266</v>
      </c>
      <c r="K72" s="163">
        <v>1069057</v>
      </c>
      <c r="L72" s="163">
        <v>994151</v>
      </c>
      <c r="M72" s="163">
        <v>922399</v>
      </c>
      <c r="N72" s="163">
        <v>851599</v>
      </c>
      <c r="O72" s="163">
        <v>786975</v>
      </c>
      <c r="P72" s="163">
        <v>716169</v>
      </c>
      <c r="Q72" s="163">
        <v>656461</v>
      </c>
      <c r="R72" s="163">
        <v>619110</v>
      </c>
      <c r="S72" s="163">
        <v>542830</v>
      </c>
      <c r="T72" s="163">
        <v>503283</v>
      </c>
      <c r="U72" s="163">
        <v>466465</v>
      </c>
      <c r="V72" s="163">
        <v>430524</v>
      </c>
      <c r="W72" s="163">
        <v>397916</v>
      </c>
      <c r="X72" s="163">
        <v>364000</v>
      </c>
      <c r="Y72" s="163">
        <v>331377</v>
      </c>
      <c r="Z72" s="163">
        <v>301426</v>
      </c>
      <c r="AA72" s="164">
        <v>282734</v>
      </c>
      <c r="AB72" s="164">
        <v>257371</v>
      </c>
      <c r="AC72" s="164">
        <v>235287</v>
      </c>
      <c r="AD72" s="137"/>
      <c r="AE72" s="137"/>
      <c r="AF72" s="137"/>
    </row>
    <row r="73" spans="1:32" ht="21" x14ac:dyDescent="0.4">
      <c r="B73" s="159" t="s">
        <v>240</v>
      </c>
      <c r="C73" s="160">
        <v>4057140</v>
      </c>
      <c r="D73" s="163">
        <v>646656</v>
      </c>
      <c r="E73" s="163">
        <v>610409</v>
      </c>
      <c r="F73" s="163">
        <v>589325</v>
      </c>
      <c r="G73" s="163">
        <v>540355</v>
      </c>
      <c r="H73" s="163">
        <v>511866</v>
      </c>
      <c r="I73" s="163">
        <v>673339</v>
      </c>
      <c r="J73" s="163">
        <v>575781</v>
      </c>
      <c r="K73" s="163">
        <v>565922</v>
      </c>
      <c r="L73" s="163">
        <v>561919</v>
      </c>
      <c r="M73" s="163">
        <v>543446</v>
      </c>
      <c r="N73" s="163">
        <v>610228</v>
      </c>
      <c r="O73" s="163">
        <v>482581</v>
      </c>
      <c r="P73" s="163">
        <v>451920</v>
      </c>
      <c r="Q73" s="163">
        <v>470582</v>
      </c>
      <c r="R73" s="163">
        <v>440179</v>
      </c>
      <c r="S73" s="163">
        <v>413998</v>
      </c>
      <c r="T73" s="163">
        <v>382038</v>
      </c>
      <c r="U73" s="163">
        <v>351229</v>
      </c>
      <c r="V73" s="163" t="s">
        <v>267</v>
      </c>
      <c r="W73" s="163">
        <v>84751</v>
      </c>
      <c r="X73" s="163">
        <v>292616</v>
      </c>
      <c r="Y73" s="163">
        <v>271133</v>
      </c>
      <c r="Z73" s="163">
        <v>249659</v>
      </c>
      <c r="AA73" s="164">
        <v>233346</v>
      </c>
      <c r="AB73" s="164">
        <v>215405</v>
      </c>
      <c r="AC73" s="164">
        <v>202981</v>
      </c>
      <c r="AD73" s="137"/>
      <c r="AE73" s="137"/>
      <c r="AF73" s="137"/>
    </row>
    <row r="74" spans="1:32" ht="21" x14ac:dyDescent="0.4">
      <c r="A74" s="1" t="s">
        <v>268</v>
      </c>
      <c r="B74" s="159" t="s">
        <v>243</v>
      </c>
      <c r="C74" s="160">
        <v>4057096</v>
      </c>
      <c r="D74" s="163">
        <v>379939</v>
      </c>
      <c r="E74" s="163">
        <v>362148</v>
      </c>
      <c r="F74" s="163">
        <v>348281</v>
      </c>
      <c r="G74" s="163">
        <v>333608</v>
      </c>
      <c r="H74" s="163">
        <v>316284</v>
      </c>
      <c r="I74" s="163">
        <v>307261</v>
      </c>
      <c r="J74" s="163">
        <v>289087</v>
      </c>
      <c r="K74" s="163">
        <v>277246</v>
      </c>
      <c r="L74" s="163">
        <v>265070</v>
      </c>
      <c r="M74" s="163">
        <v>253374</v>
      </c>
      <c r="N74" s="163">
        <v>241400</v>
      </c>
      <c r="O74" s="163">
        <v>230003</v>
      </c>
      <c r="P74" s="163">
        <v>221065</v>
      </c>
      <c r="Q74" s="163">
        <v>215621</v>
      </c>
      <c r="R74" s="163">
        <v>205393</v>
      </c>
      <c r="S74" s="163">
        <v>196916</v>
      </c>
      <c r="T74" s="163">
        <v>185843</v>
      </c>
      <c r="U74" s="163" t="s">
        <v>267</v>
      </c>
      <c r="V74" s="163" t="s">
        <v>267</v>
      </c>
      <c r="W74" s="163">
        <v>167597</v>
      </c>
      <c r="X74" s="163">
        <v>166496</v>
      </c>
      <c r="Y74" s="163">
        <v>160814</v>
      </c>
      <c r="Z74" s="163">
        <v>154687</v>
      </c>
      <c r="AA74" s="164">
        <v>147222</v>
      </c>
      <c r="AB74" s="164">
        <v>139563</v>
      </c>
      <c r="AC74" s="164">
        <v>133768</v>
      </c>
      <c r="AD74" s="137"/>
      <c r="AE74" s="137"/>
      <c r="AF74" s="137"/>
    </row>
    <row r="75" spans="1:32" ht="21" x14ac:dyDescent="0.4">
      <c r="B75" s="159" t="s">
        <v>292</v>
      </c>
      <c r="C75" s="160">
        <v>4057097</v>
      </c>
      <c r="D75" s="163" t="s">
        <v>267</v>
      </c>
      <c r="E75" s="163" t="s">
        <v>267</v>
      </c>
      <c r="F75" s="163">
        <v>618450</v>
      </c>
      <c r="G75" s="163">
        <v>590958</v>
      </c>
      <c r="H75" s="163">
        <v>563509</v>
      </c>
      <c r="I75" s="163">
        <v>536428</v>
      </c>
      <c r="J75" s="163">
        <v>518727</v>
      </c>
      <c r="K75" s="163">
        <v>497322</v>
      </c>
      <c r="L75" s="163">
        <v>469712</v>
      </c>
      <c r="M75" s="163">
        <v>449819</v>
      </c>
      <c r="N75" s="163">
        <v>424289</v>
      </c>
      <c r="O75" s="163">
        <v>408051</v>
      </c>
      <c r="P75" s="163">
        <v>395866</v>
      </c>
      <c r="Q75" s="163">
        <v>349054</v>
      </c>
      <c r="R75" s="163">
        <v>333558</v>
      </c>
      <c r="S75" s="163">
        <v>319628</v>
      </c>
      <c r="T75" s="163">
        <v>515312</v>
      </c>
      <c r="U75" s="163">
        <v>492311</v>
      </c>
      <c r="V75" s="163">
        <v>473183</v>
      </c>
      <c r="W75" s="163">
        <v>450271</v>
      </c>
      <c r="X75" s="163">
        <v>425520</v>
      </c>
      <c r="Y75" s="163">
        <v>401189</v>
      </c>
      <c r="Z75" s="163">
        <v>377401</v>
      </c>
      <c r="AA75" s="164">
        <v>350791</v>
      </c>
      <c r="AB75" s="164">
        <v>325898</v>
      </c>
      <c r="AC75" s="164">
        <v>301247</v>
      </c>
      <c r="AD75" s="137"/>
      <c r="AE75" s="137"/>
      <c r="AF75" s="137"/>
    </row>
    <row r="76" spans="1:32" ht="21" x14ac:dyDescent="0.4">
      <c r="B76" s="159" t="s">
        <v>293</v>
      </c>
      <c r="C76" s="160">
        <v>4057098</v>
      </c>
      <c r="D76" s="163" t="s">
        <v>267</v>
      </c>
      <c r="E76" s="163">
        <v>188820</v>
      </c>
      <c r="F76" s="163">
        <v>181675</v>
      </c>
      <c r="G76" s="163">
        <v>176121</v>
      </c>
      <c r="H76" s="163">
        <v>168539</v>
      </c>
      <c r="I76" s="163">
        <v>160850</v>
      </c>
      <c r="J76" s="163">
        <v>155816</v>
      </c>
      <c r="K76" s="163">
        <v>149197</v>
      </c>
      <c r="L76" s="163">
        <v>141560</v>
      </c>
      <c r="M76" s="163">
        <v>134043</v>
      </c>
      <c r="N76" s="163">
        <v>126587</v>
      </c>
      <c r="O76" s="163">
        <v>108598</v>
      </c>
      <c r="P76" s="163">
        <v>102481</v>
      </c>
      <c r="Q76" s="163">
        <v>96594</v>
      </c>
      <c r="R76" s="163">
        <v>92820</v>
      </c>
      <c r="S76" s="163">
        <v>86772</v>
      </c>
      <c r="T76" s="163">
        <v>80631</v>
      </c>
      <c r="U76" s="163">
        <v>53543</v>
      </c>
      <c r="V76" s="163">
        <v>68549</v>
      </c>
      <c r="W76" s="163" t="s">
        <v>267</v>
      </c>
      <c r="X76" s="163">
        <v>58117</v>
      </c>
      <c r="Y76" s="163">
        <v>53277</v>
      </c>
      <c r="Z76" s="163">
        <v>48943</v>
      </c>
      <c r="AA76" s="164">
        <v>44823</v>
      </c>
      <c r="AB76" s="164">
        <v>41154</v>
      </c>
      <c r="AC76" s="164" t="s">
        <v>267</v>
      </c>
      <c r="AD76" s="137"/>
      <c r="AE76" s="137"/>
      <c r="AF76" s="137"/>
    </row>
    <row r="77" spans="1:32" ht="21" x14ac:dyDescent="0.4">
      <c r="A77" s="1" t="s">
        <v>268</v>
      </c>
      <c r="B77" s="159" t="s">
        <v>244</v>
      </c>
      <c r="C77" s="160">
        <v>4063023</v>
      </c>
      <c r="D77" s="163" t="s">
        <v>267</v>
      </c>
      <c r="E77" s="163">
        <v>392979</v>
      </c>
      <c r="F77" s="163">
        <v>369649</v>
      </c>
      <c r="G77" s="163">
        <v>353341</v>
      </c>
      <c r="H77" s="163">
        <v>343925</v>
      </c>
      <c r="I77" s="163">
        <v>329600</v>
      </c>
      <c r="J77" s="163">
        <v>312399</v>
      </c>
      <c r="K77" s="163">
        <v>300958</v>
      </c>
      <c r="L77" s="163">
        <v>286695</v>
      </c>
      <c r="M77" s="163">
        <v>269608</v>
      </c>
      <c r="N77" s="163">
        <v>253534</v>
      </c>
      <c r="O77" s="163">
        <v>236795</v>
      </c>
      <c r="P77" s="163">
        <v>222276</v>
      </c>
      <c r="Q77" s="163">
        <v>207527</v>
      </c>
      <c r="R77" s="163">
        <v>193496</v>
      </c>
      <c r="S77" s="163">
        <v>180071</v>
      </c>
      <c r="T77" s="163">
        <v>165673</v>
      </c>
      <c r="U77" s="163">
        <v>198766</v>
      </c>
      <c r="V77" s="163">
        <v>184972</v>
      </c>
      <c r="W77" s="163">
        <v>172896</v>
      </c>
      <c r="X77" s="163">
        <v>162149</v>
      </c>
      <c r="Y77" s="163">
        <v>150323</v>
      </c>
      <c r="Z77" s="163">
        <v>139892</v>
      </c>
      <c r="AA77" s="164">
        <v>130149</v>
      </c>
      <c r="AB77" s="164">
        <v>121664</v>
      </c>
      <c r="AC77" s="164">
        <v>112783</v>
      </c>
      <c r="AD77" s="137"/>
      <c r="AE77" s="137"/>
      <c r="AF77" s="137"/>
    </row>
    <row r="78" spans="1:32" ht="21" x14ac:dyDescent="0.4">
      <c r="B78" s="159" t="s">
        <v>245</v>
      </c>
      <c r="C78" s="160">
        <v>4057146</v>
      </c>
      <c r="D78" s="163" t="s">
        <v>267</v>
      </c>
      <c r="E78" s="163">
        <v>3677301</v>
      </c>
      <c r="F78" s="163">
        <v>3482276</v>
      </c>
      <c r="G78" s="163">
        <v>3344614</v>
      </c>
      <c r="H78" s="163">
        <v>3198494</v>
      </c>
      <c r="I78" s="163">
        <v>3090323</v>
      </c>
      <c r="J78" s="163">
        <v>2958030</v>
      </c>
      <c r="K78" s="163">
        <v>2811114</v>
      </c>
      <c r="L78" s="163">
        <v>2807443</v>
      </c>
      <c r="M78" s="163">
        <v>2637203</v>
      </c>
      <c r="N78" s="163">
        <v>2473715</v>
      </c>
      <c r="O78" s="163">
        <v>2368859</v>
      </c>
      <c r="P78" s="163">
        <v>2197951</v>
      </c>
      <c r="Q78" s="163">
        <v>2159445</v>
      </c>
      <c r="R78" s="163">
        <v>2095799</v>
      </c>
      <c r="S78" s="163">
        <v>2018755</v>
      </c>
      <c r="T78" s="163">
        <v>3085745</v>
      </c>
      <c r="U78" s="163">
        <v>2967760</v>
      </c>
      <c r="V78" s="163">
        <v>2817573</v>
      </c>
      <c r="W78" s="163">
        <v>2664859</v>
      </c>
      <c r="X78" s="163">
        <v>2508327</v>
      </c>
      <c r="Y78" s="163">
        <v>2359644</v>
      </c>
      <c r="Z78" s="163">
        <v>2198338</v>
      </c>
      <c r="AA78" s="164">
        <v>2048783</v>
      </c>
      <c r="AB78" s="164" t="s">
        <v>267</v>
      </c>
      <c r="AC78" s="164" t="s">
        <v>267</v>
      </c>
      <c r="AD78" s="137"/>
      <c r="AE78" s="137"/>
      <c r="AF78" s="137"/>
    </row>
    <row r="79" spans="1:32" ht="21" x14ac:dyDescent="0.4">
      <c r="A79" s="1" t="s">
        <v>268</v>
      </c>
      <c r="B79" s="159" t="s">
        <v>247</v>
      </c>
      <c r="C79" s="160">
        <v>4063060</v>
      </c>
      <c r="D79" s="163">
        <v>361896</v>
      </c>
      <c r="E79" s="163">
        <v>344935</v>
      </c>
      <c r="F79" s="163">
        <v>325116</v>
      </c>
      <c r="G79" s="163">
        <v>316286</v>
      </c>
      <c r="H79" s="163">
        <v>305546</v>
      </c>
      <c r="I79" s="163">
        <v>289605</v>
      </c>
      <c r="J79" s="163">
        <v>275715</v>
      </c>
      <c r="K79" s="163">
        <v>259052</v>
      </c>
      <c r="L79" s="163">
        <v>268871</v>
      </c>
      <c r="M79" s="163">
        <v>252807</v>
      </c>
      <c r="N79" s="163">
        <v>243628</v>
      </c>
      <c r="O79" s="163">
        <v>234072</v>
      </c>
      <c r="P79" s="163">
        <v>213241</v>
      </c>
      <c r="Q79" s="163">
        <v>204864</v>
      </c>
      <c r="R79" s="163">
        <v>196343</v>
      </c>
      <c r="S79" s="163">
        <v>186923</v>
      </c>
      <c r="T79" s="163">
        <v>187598</v>
      </c>
      <c r="U79" s="163">
        <v>174494</v>
      </c>
      <c r="V79" s="163">
        <v>164620</v>
      </c>
      <c r="W79" s="163">
        <v>155339</v>
      </c>
      <c r="X79" s="163">
        <v>146272</v>
      </c>
      <c r="Y79" s="163" t="s">
        <v>267</v>
      </c>
      <c r="Z79" s="163">
        <v>124149</v>
      </c>
      <c r="AA79" s="164">
        <v>116344</v>
      </c>
      <c r="AB79" s="164">
        <v>105164</v>
      </c>
      <c r="AC79" s="164">
        <v>95006</v>
      </c>
      <c r="AD79" s="137"/>
      <c r="AE79" s="137"/>
      <c r="AF79" s="137"/>
    </row>
    <row r="80" spans="1:32" ht="21" x14ac:dyDescent="0.4">
      <c r="B80" s="159" t="s">
        <v>248</v>
      </c>
      <c r="C80" s="160">
        <v>4057100</v>
      </c>
      <c r="D80" s="163">
        <v>119934</v>
      </c>
      <c r="E80" s="163" t="s">
        <v>267</v>
      </c>
      <c r="F80" s="163">
        <v>104380</v>
      </c>
      <c r="G80" s="163">
        <v>97857</v>
      </c>
      <c r="H80" s="163">
        <v>92450</v>
      </c>
      <c r="I80" s="163">
        <v>87364</v>
      </c>
      <c r="J80" s="163">
        <v>84523</v>
      </c>
      <c r="K80" s="163">
        <v>81300</v>
      </c>
      <c r="L80" s="163">
        <v>77555</v>
      </c>
      <c r="M80" s="163">
        <v>74076</v>
      </c>
      <c r="N80" s="163">
        <v>71320</v>
      </c>
      <c r="O80" s="163">
        <v>68167</v>
      </c>
      <c r="P80" s="163">
        <v>65386</v>
      </c>
      <c r="Q80" s="163">
        <v>63079</v>
      </c>
      <c r="R80" s="163">
        <v>60000</v>
      </c>
      <c r="S80" s="163">
        <v>55435</v>
      </c>
      <c r="T80" s="163">
        <v>54559</v>
      </c>
      <c r="U80" s="163">
        <v>52431</v>
      </c>
      <c r="V80" s="163">
        <v>49467</v>
      </c>
      <c r="W80" s="163">
        <v>47829</v>
      </c>
      <c r="X80" s="163">
        <v>44809</v>
      </c>
      <c r="Y80" s="163">
        <v>42676</v>
      </c>
      <c r="Z80" s="163">
        <v>40959</v>
      </c>
      <c r="AA80" s="164">
        <v>38643</v>
      </c>
      <c r="AB80" s="164">
        <v>36493</v>
      </c>
      <c r="AC80" s="164">
        <v>34779</v>
      </c>
      <c r="AD80" s="137"/>
      <c r="AE80" s="137"/>
      <c r="AF80" s="137"/>
    </row>
    <row r="81" spans="1:32" ht="21" x14ac:dyDescent="0.4">
      <c r="B81" s="159" t="s">
        <v>294</v>
      </c>
      <c r="C81" s="160">
        <v>4064035</v>
      </c>
      <c r="D81" s="163" t="s">
        <v>267</v>
      </c>
      <c r="E81" s="163">
        <v>24390</v>
      </c>
      <c r="F81" s="163">
        <v>23749</v>
      </c>
      <c r="G81" s="163">
        <v>23155</v>
      </c>
      <c r="H81" s="163">
        <v>22485</v>
      </c>
      <c r="I81" s="163">
        <v>21908</v>
      </c>
      <c r="J81" s="163">
        <v>21431</v>
      </c>
      <c r="K81" s="163">
        <v>20935</v>
      </c>
      <c r="L81" s="163">
        <v>21058</v>
      </c>
      <c r="M81" s="163">
        <v>20059</v>
      </c>
      <c r="N81" s="163">
        <v>19090</v>
      </c>
      <c r="O81" s="163">
        <v>18150</v>
      </c>
      <c r="P81" s="163">
        <v>17246</v>
      </c>
      <c r="Q81" s="163">
        <v>16391</v>
      </c>
      <c r="R81" s="163" t="s">
        <v>267</v>
      </c>
      <c r="S81" s="163">
        <v>14824</v>
      </c>
      <c r="T81" s="163">
        <v>14097</v>
      </c>
      <c r="U81" s="163" t="s">
        <v>267</v>
      </c>
      <c r="V81" s="163" t="s">
        <v>267</v>
      </c>
      <c r="W81" s="163">
        <v>12111</v>
      </c>
      <c r="X81" s="163" t="s">
        <v>267</v>
      </c>
      <c r="Y81" s="163" t="s">
        <v>267</v>
      </c>
      <c r="Z81" s="163" t="s">
        <v>267</v>
      </c>
      <c r="AA81" s="164" t="s">
        <v>267</v>
      </c>
      <c r="AB81" s="164" t="s">
        <v>267</v>
      </c>
      <c r="AC81" s="164" t="s">
        <v>267</v>
      </c>
      <c r="AD81" s="137"/>
      <c r="AE81" s="137"/>
      <c r="AF81" s="137"/>
    </row>
    <row r="82" spans="1:32" ht="21" x14ac:dyDescent="0.4">
      <c r="B82" s="159" t="s">
        <v>295</v>
      </c>
      <c r="C82" s="160">
        <v>4060957</v>
      </c>
      <c r="D82" s="163">
        <v>502469</v>
      </c>
      <c r="E82" s="163">
        <v>489306</v>
      </c>
      <c r="F82" s="163">
        <v>474783</v>
      </c>
      <c r="G82" s="163">
        <v>460358</v>
      </c>
      <c r="H82" s="163">
        <v>446987</v>
      </c>
      <c r="I82" s="163">
        <v>434480</v>
      </c>
      <c r="J82" s="163">
        <v>418426</v>
      </c>
      <c r="K82" s="163">
        <v>404850</v>
      </c>
      <c r="L82" s="163">
        <v>386156</v>
      </c>
      <c r="M82" s="163">
        <v>371281</v>
      </c>
      <c r="N82" s="163">
        <v>354163</v>
      </c>
      <c r="O82" s="163">
        <v>337183</v>
      </c>
      <c r="P82" s="163">
        <v>321217</v>
      </c>
      <c r="Q82" s="163">
        <v>312117</v>
      </c>
      <c r="R82" s="163">
        <v>301895</v>
      </c>
      <c r="S82" s="163">
        <v>338044</v>
      </c>
      <c r="T82" s="163">
        <v>333350</v>
      </c>
      <c r="U82" s="163">
        <v>329500</v>
      </c>
      <c r="V82" s="163">
        <v>322148</v>
      </c>
      <c r="W82" s="163">
        <v>313121</v>
      </c>
      <c r="X82" s="163">
        <v>304705</v>
      </c>
      <c r="Y82" s="163">
        <v>296639</v>
      </c>
      <c r="Z82" s="163">
        <v>287785</v>
      </c>
      <c r="AA82" s="164">
        <v>273373</v>
      </c>
      <c r="AB82" s="164">
        <v>258086</v>
      </c>
      <c r="AC82" s="164">
        <v>244516</v>
      </c>
      <c r="AD82" s="137"/>
      <c r="AE82" s="137"/>
      <c r="AF82" s="137"/>
    </row>
    <row r="83" spans="1:32" ht="21" x14ac:dyDescent="0.4">
      <c r="B83" s="159" t="s">
        <v>250</v>
      </c>
      <c r="C83" s="160">
        <v>4063179</v>
      </c>
      <c r="D83" s="163">
        <v>5071</v>
      </c>
      <c r="E83" s="163" t="s">
        <v>267</v>
      </c>
      <c r="F83" s="163">
        <v>4806</v>
      </c>
      <c r="G83" s="163">
        <v>4659</v>
      </c>
      <c r="H83" s="163">
        <v>4465</v>
      </c>
      <c r="I83" s="163">
        <v>4265</v>
      </c>
      <c r="J83" s="163">
        <v>4069</v>
      </c>
      <c r="K83" s="163">
        <v>3897</v>
      </c>
      <c r="L83" s="163">
        <v>3699</v>
      </c>
      <c r="M83" s="163">
        <v>3543</v>
      </c>
      <c r="N83" s="163">
        <v>3379</v>
      </c>
      <c r="O83" s="163">
        <v>3222</v>
      </c>
      <c r="P83" s="163">
        <v>3079</v>
      </c>
      <c r="Q83" s="163">
        <v>2937</v>
      </c>
      <c r="R83" s="163">
        <v>2791</v>
      </c>
      <c r="S83" s="163">
        <v>2628</v>
      </c>
      <c r="T83" s="163">
        <v>2496</v>
      </c>
      <c r="U83" s="163">
        <v>2387</v>
      </c>
      <c r="V83" s="163">
        <v>2219</v>
      </c>
      <c r="W83" s="163" t="s">
        <v>267</v>
      </c>
      <c r="X83" s="163" t="s">
        <v>267</v>
      </c>
      <c r="Y83" s="163">
        <v>1806</v>
      </c>
      <c r="Z83" s="163">
        <v>1631</v>
      </c>
      <c r="AA83" s="164">
        <v>1488</v>
      </c>
      <c r="AB83" s="164" t="s">
        <v>267</v>
      </c>
      <c r="AC83" s="164" t="s">
        <v>267</v>
      </c>
      <c r="AD83" s="137"/>
      <c r="AE83" s="137"/>
      <c r="AF83" s="137"/>
    </row>
    <row r="84" spans="1:32" ht="21" x14ac:dyDescent="0.4">
      <c r="A84" s="1" t="s">
        <v>268</v>
      </c>
      <c r="B84" s="159" t="s">
        <v>251</v>
      </c>
      <c r="C84" s="160">
        <v>4063183</v>
      </c>
      <c r="D84" s="163">
        <v>28377</v>
      </c>
      <c r="E84" s="163">
        <v>26977</v>
      </c>
      <c r="F84" s="163">
        <v>25692</v>
      </c>
      <c r="G84" s="163" t="s">
        <v>267</v>
      </c>
      <c r="H84" s="163">
        <v>24081</v>
      </c>
      <c r="I84" s="163">
        <v>23580</v>
      </c>
      <c r="J84" s="163">
        <v>22673</v>
      </c>
      <c r="K84" s="163">
        <v>21856</v>
      </c>
      <c r="L84" s="163">
        <v>21139</v>
      </c>
      <c r="M84" s="163">
        <v>20919</v>
      </c>
      <c r="N84" s="163">
        <v>20337</v>
      </c>
      <c r="O84" s="163">
        <v>19678</v>
      </c>
      <c r="P84" s="163">
        <v>19190</v>
      </c>
      <c r="Q84" s="163">
        <v>18649</v>
      </c>
      <c r="R84" s="163">
        <v>18071</v>
      </c>
      <c r="S84" s="163">
        <v>17185</v>
      </c>
      <c r="T84" s="163">
        <v>16346</v>
      </c>
      <c r="U84" s="163">
        <v>15533</v>
      </c>
      <c r="V84" s="163">
        <v>14627</v>
      </c>
      <c r="W84" s="163">
        <v>13757</v>
      </c>
      <c r="X84" s="163">
        <v>12962</v>
      </c>
      <c r="Y84" s="163">
        <v>12063</v>
      </c>
      <c r="Z84" s="163">
        <v>11143</v>
      </c>
      <c r="AA84" s="164" t="s">
        <v>267</v>
      </c>
      <c r="AB84" s="164">
        <v>9191</v>
      </c>
      <c r="AC84" s="164">
        <v>8275</v>
      </c>
      <c r="AD84" s="137"/>
      <c r="AE84" s="137"/>
      <c r="AF84" s="137"/>
    </row>
    <row r="85" spans="1:32" ht="21" x14ac:dyDescent="0.4">
      <c r="B85" s="159" t="s">
        <v>252</v>
      </c>
      <c r="C85" s="160">
        <v>4063281</v>
      </c>
      <c r="D85" s="163">
        <v>19590</v>
      </c>
      <c r="E85" s="163">
        <v>18624</v>
      </c>
      <c r="F85" s="163">
        <v>17587</v>
      </c>
      <c r="G85" s="163">
        <v>16773</v>
      </c>
      <c r="H85" s="163">
        <v>15821</v>
      </c>
      <c r="I85" s="163">
        <v>15137</v>
      </c>
      <c r="J85" s="163">
        <v>14424</v>
      </c>
      <c r="K85" s="163">
        <v>13849</v>
      </c>
      <c r="L85" s="163">
        <v>13304</v>
      </c>
      <c r="M85" s="163">
        <v>12633</v>
      </c>
      <c r="N85" s="163">
        <v>12109</v>
      </c>
      <c r="O85" s="163">
        <v>11468</v>
      </c>
      <c r="P85" s="163">
        <v>10866</v>
      </c>
      <c r="Q85" s="163">
        <v>10337</v>
      </c>
      <c r="R85" s="163">
        <v>9786</v>
      </c>
      <c r="S85" s="163">
        <v>9200</v>
      </c>
      <c r="T85" s="163">
        <v>8683</v>
      </c>
      <c r="U85" s="163">
        <v>8152</v>
      </c>
      <c r="V85" s="163">
        <v>7719</v>
      </c>
      <c r="W85" s="163">
        <v>7237</v>
      </c>
      <c r="X85" s="163">
        <v>6718</v>
      </c>
      <c r="Y85" s="163">
        <v>6236</v>
      </c>
      <c r="Z85" s="163">
        <v>5923</v>
      </c>
      <c r="AA85" s="164">
        <v>5515</v>
      </c>
      <c r="AB85" s="164">
        <v>5159</v>
      </c>
      <c r="AC85" s="164">
        <v>4862</v>
      </c>
      <c r="AD85" s="137"/>
      <c r="AE85" s="137"/>
      <c r="AF85" s="137"/>
    </row>
    <row r="86" spans="1:32" ht="21" x14ac:dyDescent="0.4">
      <c r="B86" s="159" t="s">
        <v>253</v>
      </c>
      <c r="C86" s="160">
        <v>4059746</v>
      </c>
      <c r="D86" s="163">
        <v>1167722</v>
      </c>
      <c r="E86" s="163">
        <v>1085232</v>
      </c>
      <c r="F86" s="163">
        <v>1052807</v>
      </c>
      <c r="G86" s="163">
        <v>992652</v>
      </c>
      <c r="H86" s="163">
        <v>927820</v>
      </c>
      <c r="I86" s="163">
        <v>869611</v>
      </c>
      <c r="J86" s="163">
        <v>818318</v>
      </c>
      <c r="K86" s="163">
        <v>769372</v>
      </c>
      <c r="L86" s="163">
        <v>723495</v>
      </c>
      <c r="M86" s="163">
        <v>681706</v>
      </c>
      <c r="N86" s="163">
        <v>642201</v>
      </c>
      <c r="O86" s="163">
        <v>603245</v>
      </c>
      <c r="P86" s="163">
        <v>567057</v>
      </c>
      <c r="Q86" s="163">
        <v>513518</v>
      </c>
      <c r="R86" s="163">
        <v>478599</v>
      </c>
      <c r="S86" s="163">
        <v>450655</v>
      </c>
      <c r="T86" s="163">
        <v>438381</v>
      </c>
      <c r="U86" s="163">
        <v>411484</v>
      </c>
      <c r="V86" s="163">
        <v>380465</v>
      </c>
      <c r="W86" s="163">
        <v>412027</v>
      </c>
      <c r="X86" s="163">
        <v>410935</v>
      </c>
      <c r="Y86" s="163">
        <v>392864</v>
      </c>
      <c r="Z86" s="163">
        <v>373335</v>
      </c>
      <c r="AA86" s="164">
        <v>354784</v>
      </c>
      <c r="AB86" s="164">
        <v>292124</v>
      </c>
      <c r="AC86" s="164" t="s">
        <v>267</v>
      </c>
      <c r="AD86" s="137"/>
      <c r="AE86" s="137"/>
      <c r="AF86" s="137"/>
    </row>
    <row r="87" spans="1:32" ht="21" x14ac:dyDescent="0.4">
      <c r="A87" s="1" t="s">
        <v>268</v>
      </c>
      <c r="B87" s="159" t="s">
        <v>296</v>
      </c>
      <c r="C87" s="160">
        <v>4062279</v>
      </c>
      <c r="D87" s="163" t="s">
        <v>267</v>
      </c>
      <c r="E87" s="163" t="s">
        <v>267</v>
      </c>
      <c r="F87" s="163" t="s">
        <v>267</v>
      </c>
      <c r="G87" s="163" t="s">
        <v>267</v>
      </c>
      <c r="H87" s="163" t="s">
        <v>267</v>
      </c>
      <c r="I87" s="163" t="s">
        <v>267</v>
      </c>
      <c r="J87" s="163" t="s">
        <v>267</v>
      </c>
      <c r="K87" s="163" t="s">
        <v>267</v>
      </c>
      <c r="L87" s="163" t="s">
        <v>267</v>
      </c>
      <c r="M87" s="163" t="s">
        <v>267</v>
      </c>
      <c r="N87" s="163" t="s">
        <v>267</v>
      </c>
      <c r="O87" s="163" t="s">
        <v>267</v>
      </c>
      <c r="P87" s="163" t="s">
        <v>267</v>
      </c>
      <c r="Q87" s="163" t="s">
        <v>267</v>
      </c>
      <c r="R87" s="163" t="s">
        <v>267</v>
      </c>
      <c r="S87" s="163" t="s">
        <v>267</v>
      </c>
      <c r="T87" s="163" t="s">
        <v>267</v>
      </c>
      <c r="U87" s="163" t="s">
        <v>267</v>
      </c>
      <c r="V87" s="163" t="s">
        <v>267</v>
      </c>
      <c r="W87" s="163" t="s">
        <v>267</v>
      </c>
      <c r="X87" s="163" t="s">
        <v>267</v>
      </c>
      <c r="Y87" s="163" t="s">
        <v>267</v>
      </c>
      <c r="Z87" s="163" t="s">
        <v>267</v>
      </c>
      <c r="AA87" s="164" t="s">
        <v>267</v>
      </c>
      <c r="AB87" s="164" t="s">
        <v>267</v>
      </c>
      <c r="AC87" s="164" t="s">
        <v>267</v>
      </c>
      <c r="AD87" s="137"/>
      <c r="AE87" s="137"/>
      <c r="AF87" s="137"/>
    </row>
    <row r="88" spans="1:32" ht="21" x14ac:dyDescent="0.4">
      <c r="A88" s="1" t="s">
        <v>268</v>
      </c>
      <c r="B88" s="159" t="s">
        <v>297</v>
      </c>
      <c r="C88" s="160">
        <v>4063729</v>
      </c>
      <c r="D88" s="163" t="s">
        <v>267</v>
      </c>
      <c r="E88" s="163" t="s">
        <v>267</v>
      </c>
      <c r="F88" s="163" t="s">
        <v>267</v>
      </c>
      <c r="G88" s="163">
        <v>65633</v>
      </c>
      <c r="H88" s="163">
        <v>62325</v>
      </c>
      <c r="I88" s="163">
        <v>59743</v>
      </c>
      <c r="J88" s="163">
        <v>40553</v>
      </c>
      <c r="K88" s="163">
        <v>38326</v>
      </c>
      <c r="L88" s="163">
        <v>36254</v>
      </c>
      <c r="M88" s="163">
        <v>34690</v>
      </c>
      <c r="N88" s="163">
        <v>32960</v>
      </c>
      <c r="O88" s="163">
        <v>32363</v>
      </c>
      <c r="P88" s="163">
        <v>31645</v>
      </c>
      <c r="Q88" s="163">
        <v>30632</v>
      </c>
      <c r="R88" s="163">
        <v>29059</v>
      </c>
      <c r="S88" s="163">
        <v>30586</v>
      </c>
      <c r="T88" s="163">
        <v>28222</v>
      </c>
      <c r="U88" s="163">
        <v>25390</v>
      </c>
      <c r="V88" s="163">
        <v>22898</v>
      </c>
      <c r="W88" s="163">
        <v>20942</v>
      </c>
      <c r="X88" s="163">
        <v>18949</v>
      </c>
      <c r="Y88" s="163">
        <v>17315</v>
      </c>
      <c r="Z88" s="163" t="s">
        <v>267</v>
      </c>
      <c r="AA88" s="164" t="s">
        <v>267</v>
      </c>
      <c r="AB88" s="164">
        <v>12918</v>
      </c>
      <c r="AC88" s="164">
        <v>12710</v>
      </c>
      <c r="AD88" s="137"/>
      <c r="AE88" s="137"/>
      <c r="AF88" s="137"/>
    </row>
    <row r="89" spans="1:32" ht="21" x14ac:dyDescent="0.4">
      <c r="B89" s="159" t="s">
        <v>254</v>
      </c>
      <c r="C89" s="160">
        <v>4063762</v>
      </c>
      <c r="D89" s="163">
        <v>343137</v>
      </c>
      <c r="E89" s="163">
        <v>326945</v>
      </c>
      <c r="F89" s="163">
        <v>305830</v>
      </c>
      <c r="G89" s="163">
        <v>293293</v>
      </c>
      <c r="H89" s="163">
        <v>276400</v>
      </c>
      <c r="I89" s="163">
        <v>261125</v>
      </c>
      <c r="J89" s="163">
        <v>245119</v>
      </c>
      <c r="K89" s="163">
        <v>259713</v>
      </c>
      <c r="L89" s="163">
        <v>217655</v>
      </c>
      <c r="M89" s="163">
        <v>216848</v>
      </c>
      <c r="N89" s="163">
        <v>218254</v>
      </c>
      <c r="O89" s="163">
        <v>211102</v>
      </c>
      <c r="P89" s="163">
        <v>195941</v>
      </c>
      <c r="Q89" s="163">
        <v>184077</v>
      </c>
      <c r="R89" s="163">
        <v>176698</v>
      </c>
      <c r="S89" s="163">
        <v>166341</v>
      </c>
      <c r="T89" s="163">
        <v>154445</v>
      </c>
      <c r="U89" s="163">
        <v>147405</v>
      </c>
      <c r="V89" s="163">
        <v>136878</v>
      </c>
      <c r="W89" s="163">
        <v>126609</v>
      </c>
      <c r="X89" s="163">
        <v>116116</v>
      </c>
      <c r="Y89" s="163">
        <v>108979</v>
      </c>
      <c r="Z89" s="163">
        <v>102126</v>
      </c>
      <c r="AA89" s="164">
        <v>93546</v>
      </c>
      <c r="AB89" s="164">
        <v>84328</v>
      </c>
      <c r="AC89" s="164" t="s">
        <v>267</v>
      </c>
      <c r="AD89" s="137"/>
      <c r="AE89" s="137"/>
      <c r="AF89" s="137"/>
    </row>
    <row r="90" spans="1:32" ht="21" x14ac:dyDescent="0.4">
      <c r="B90" s="159" t="s">
        <v>256</v>
      </c>
      <c r="C90" s="160">
        <v>4058284</v>
      </c>
      <c r="D90" s="163">
        <v>1468249</v>
      </c>
      <c r="E90" s="163">
        <v>1423348</v>
      </c>
      <c r="F90" s="163">
        <v>1379730</v>
      </c>
      <c r="G90" s="163">
        <v>1344533</v>
      </c>
      <c r="H90" s="163">
        <v>1309409</v>
      </c>
      <c r="I90" s="163">
        <v>1270757</v>
      </c>
      <c r="J90" s="163">
        <v>1238412</v>
      </c>
      <c r="K90" s="163">
        <v>1206131</v>
      </c>
      <c r="L90" s="163">
        <v>1170261</v>
      </c>
      <c r="M90" s="163">
        <v>1132245</v>
      </c>
      <c r="N90" s="163">
        <v>1101839</v>
      </c>
      <c r="O90" s="163">
        <v>1054085</v>
      </c>
      <c r="P90" s="163">
        <v>1030643</v>
      </c>
      <c r="Q90" s="163">
        <v>972645</v>
      </c>
      <c r="R90" s="163">
        <v>905173</v>
      </c>
      <c r="S90" s="163">
        <v>907746</v>
      </c>
      <c r="T90" s="163">
        <v>850473</v>
      </c>
      <c r="U90" s="163">
        <v>796906</v>
      </c>
      <c r="V90" s="163">
        <v>699841</v>
      </c>
      <c r="W90" s="163">
        <v>653273</v>
      </c>
      <c r="X90" s="163">
        <v>608657</v>
      </c>
      <c r="Y90" s="163">
        <v>567146</v>
      </c>
      <c r="Z90" s="163">
        <v>532122</v>
      </c>
      <c r="AA90" s="164">
        <v>497291</v>
      </c>
      <c r="AB90" s="164">
        <v>463543</v>
      </c>
      <c r="AC90" s="164">
        <v>426547</v>
      </c>
      <c r="AD90" s="137"/>
      <c r="AE90" s="137"/>
      <c r="AF90" s="137"/>
    </row>
    <row r="91" spans="1:32" ht="21" x14ac:dyDescent="0.4">
      <c r="B91" s="159" t="s">
        <v>258</v>
      </c>
      <c r="C91" s="160">
        <v>4008752</v>
      </c>
      <c r="D91" s="163">
        <v>884905</v>
      </c>
      <c r="E91" s="163">
        <v>855980</v>
      </c>
      <c r="F91" s="163">
        <v>827324</v>
      </c>
      <c r="G91" s="163">
        <v>796100</v>
      </c>
      <c r="H91" s="163">
        <v>771390</v>
      </c>
      <c r="I91" s="163">
        <v>744491</v>
      </c>
      <c r="J91" s="163">
        <v>721830</v>
      </c>
      <c r="K91" s="163">
        <v>713860</v>
      </c>
      <c r="L91" s="163">
        <v>706628</v>
      </c>
      <c r="M91" s="163">
        <v>692456</v>
      </c>
      <c r="N91" s="163">
        <v>681627</v>
      </c>
      <c r="O91" s="163">
        <v>664392</v>
      </c>
      <c r="P91" s="163">
        <v>635599</v>
      </c>
      <c r="Q91" s="163">
        <v>607631</v>
      </c>
      <c r="R91" s="163">
        <v>580474</v>
      </c>
      <c r="S91" s="163">
        <v>554660</v>
      </c>
      <c r="T91" s="163">
        <v>527267</v>
      </c>
      <c r="U91" s="163">
        <v>500793</v>
      </c>
      <c r="V91" s="163">
        <v>475458</v>
      </c>
      <c r="W91" s="163">
        <v>451255</v>
      </c>
      <c r="X91" s="163">
        <v>426166</v>
      </c>
      <c r="Y91" s="163">
        <v>403354</v>
      </c>
      <c r="Z91" s="163">
        <v>380917</v>
      </c>
      <c r="AA91" s="164">
        <v>358762</v>
      </c>
      <c r="AB91" s="164">
        <v>338040</v>
      </c>
      <c r="AC91" s="164">
        <v>319209</v>
      </c>
      <c r="AD91" s="137"/>
      <c r="AE91" s="137"/>
      <c r="AF91" s="137"/>
    </row>
    <row r="92" spans="1:32" ht="21" x14ac:dyDescent="0.4">
      <c r="B92" s="159" t="s">
        <v>259</v>
      </c>
      <c r="C92" s="160">
        <v>4008669</v>
      </c>
      <c r="D92" s="163">
        <v>256143</v>
      </c>
      <c r="E92" s="163">
        <v>250414</v>
      </c>
      <c r="F92" s="163">
        <v>243533</v>
      </c>
      <c r="G92" s="163">
        <v>237748</v>
      </c>
      <c r="H92" s="163">
        <v>232253</v>
      </c>
      <c r="I92" s="163">
        <v>226706</v>
      </c>
      <c r="J92" s="163">
        <v>219574</v>
      </c>
      <c r="K92" s="163">
        <v>212135</v>
      </c>
      <c r="L92" s="163">
        <v>205134</v>
      </c>
      <c r="M92" s="163">
        <v>197584</v>
      </c>
      <c r="N92" s="163">
        <v>189801</v>
      </c>
      <c r="O92" s="163">
        <v>184575</v>
      </c>
      <c r="P92" s="163">
        <v>177176</v>
      </c>
      <c r="Q92" s="163">
        <v>171380</v>
      </c>
      <c r="R92" s="163">
        <v>166490</v>
      </c>
      <c r="S92" s="163">
        <v>156022</v>
      </c>
      <c r="T92" s="163">
        <v>147410</v>
      </c>
      <c r="U92" s="163">
        <v>141966</v>
      </c>
      <c r="V92" s="163">
        <v>132894</v>
      </c>
      <c r="W92" s="163">
        <v>124486</v>
      </c>
      <c r="X92" s="163">
        <v>119306</v>
      </c>
      <c r="Y92" s="163">
        <v>112341</v>
      </c>
      <c r="Z92" s="163">
        <v>103974</v>
      </c>
      <c r="AA92" s="164">
        <v>96766</v>
      </c>
      <c r="AB92" s="164">
        <v>91130</v>
      </c>
      <c r="AC92" s="164">
        <v>83883</v>
      </c>
      <c r="AD92" s="137"/>
      <c r="AE92" s="137"/>
      <c r="AF92" s="137"/>
    </row>
    <row r="93" spans="1:32" ht="21" x14ac:dyDescent="0.4">
      <c r="B93" s="159" t="s">
        <v>298</v>
      </c>
      <c r="C93" s="160">
        <v>4076892</v>
      </c>
      <c r="D93" s="163">
        <v>7235</v>
      </c>
      <c r="E93" s="163">
        <v>7010</v>
      </c>
      <c r="F93" s="163">
        <v>6790</v>
      </c>
      <c r="G93" s="163">
        <v>6561</v>
      </c>
      <c r="H93" s="163">
        <v>6316</v>
      </c>
      <c r="I93" s="163">
        <v>6073</v>
      </c>
      <c r="J93" s="163">
        <v>5849</v>
      </c>
      <c r="K93" s="163">
        <v>5622</v>
      </c>
      <c r="L93" s="163">
        <v>5400</v>
      </c>
      <c r="M93" s="163">
        <v>5184</v>
      </c>
      <c r="N93" s="163">
        <v>4992</v>
      </c>
      <c r="O93" s="163">
        <v>4532</v>
      </c>
      <c r="P93" s="163">
        <v>4341</v>
      </c>
      <c r="Q93" s="163">
        <v>4155</v>
      </c>
      <c r="R93" s="163">
        <v>3992</v>
      </c>
      <c r="S93" s="163">
        <v>3822</v>
      </c>
      <c r="T93" s="163">
        <v>3656</v>
      </c>
      <c r="U93" s="163">
        <v>3493</v>
      </c>
      <c r="V93" s="163" t="s">
        <v>267</v>
      </c>
      <c r="W93" s="163" t="s">
        <v>267</v>
      </c>
      <c r="X93" s="163" t="s">
        <v>267</v>
      </c>
      <c r="Y93" s="163" t="s">
        <v>267</v>
      </c>
      <c r="Z93" s="163" t="s">
        <v>267</v>
      </c>
      <c r="AA93" s="164" t="s">
        <v>267</v>
      </c>
      <c r="AB93" s="164" t="s">
        <v>267</v>
      </c>
      <c r="AC93" s="164" t="s">
        <v>267</v>
      </c>
      <c r="AD93" s="137"/>
      <c r="AE93" s="137"/>
      <c r="AF93" s="137"/>
    </row>
    <row r="94" spans="1:32" ht="21" x14ac:dyDescent="0.4">
      <c r="A94" s="1" t="s">
        <v>268</v>
      </c>
      <c r="B94" s="159" t="s">
        <v>261</v>
      </c>
      <c r="C94" s="160">
        <v>4064141</v>
      </c>
      <c r="D94" s="163">
        <v>416963</v>
      </c>
      <c r="E94" s="163">
        <v>406803</v>
      </c>
      <c r="F94" s="163">
        <v>396041</v>
      </c>
      <c r="G94" s="163">
        <v>392198</v>
      </c>
      <c r="H94" s="163">
        <v>371835</v>
      </c>
      <c r="I94" s="163">
        <v>360182</v>
      </c>
      <c r="J94" s="163">
        <v>358461</v>
      </c>
      <c r="K94" s="163">
        <v>341546</v>
      </c>
      <c r="L94" s="163">
        <v>332567</v>
      </c>
      <c r="M94" s="163">
        <v>321804</v>
      </c>
      <c r="N94" s="163">
        <v>311925</v>
      </c>
      <c r="O94" s="163">
        <v>298403</v>
      </c>
      <c r="P94" s="163">
        <v>284869</v>
      </c>
      <c r="Q94" s="163">
        <v>274709</v>
      </c>
      <c r="R94" s="163">
        <v>273337</v>
      </c>
      <c r="S94" s="163">
        <v>262207</v>
      </c>
      <c r="T94" s="163">
        <v>268255</v>
      </c>
      <c r="U94" s="163">
        <v>257621</v>
      </c>
      <c r="V94" s="163">
        <v>247837</v>
      </c>
      <c r="W94" s="163" t="s">
        <v>267</v>
      </c>
      <c r="X94" s="163" t="s">
        <v>267</v>
      </c>
      <c r="Y94" s="163">
        <v>204357</v>
      </c>
      <c r="Z94" s="163">
        <v>189588</v>
      </c>
      <c r="AA94" s="164">
        <v>176128</v>
      </c>
      <c r="AB94" s="164">
        <v>163170</v>
      </c>
      <c r="AC94" s="164">
        <v>158247</v>
      </c>
      <c r="AD94" s="137"/>
      <c r="AE94" s="137"/>
      <c r="AF94" s="137"/>
    </row>
    <row r="95" spans="1:32" ht="21" x14ac:dyDescent="0.4">
      <c r="B95" s="155"/>
      <c r="C95" s="155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37"/>
      <c r="AB95" s="137"/>
      <c r="AC95" s="137"/>
      <c r="AD95" s="137"/>
      <c r="AE95" s="137"/>
      <c r="AF95" s="137"/>
    </row>
    <row r="96" spans="1:32" ht="21" x14ac:dyDescent="0.4">
      <c r="B96" s="154"/>
      <c r="C96" s="154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</row>
    <row r="97" spans="2:32" ht="21" x14ac:dyDescent="0.4">
      <c r="B97" s="154"/>
      <c r="C97" s="154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</row>
  </sheetData>
  <conditionalFormatting sqref="D7:D207 C101">
    <cfRule type="cellIs" dxfId="3" priority="6" operator="equal">
      <formula>"NA"</formula>
    </cfRule>
  </conditionalFormatting>
  <pageMargins left="0.7" right="0.7" top="0.75" bottom="0.75" header="0.3" footer="0.3"/>
  <pageSetup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3:AC91"/>
  <sheetViews>
    <sheetView zoomScale="75" zoomScaleNormal="75" workbookViewId="0">
      <selection activeCell="M45" sqref="M45"/>
    </sheetView>
  </sheetViews>
  <sheetFormatPr defaultColWidth="9.33203125" defaultRowHeight="14.4" x14ac:dyDescent="0.3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9" width="17.5546875" style="126" customWidth="1"/>
    <col min="30" max="16384" width="9.33203125" style="126"/>
  </cols>
  <sheetData>
    <row r="3" spans="1:29" ht="28.8" x14ac:dyDescent="0.3">
      <c r="D3" s="152" t="s">
        <v>310</v>
      </c>
      <c r="E3" s="152" t="s">
        <v>310</v>
      </c>
      <c r="F3" s="152" t="s">
        <v>310</v>
      </c>
      <c r="G3" s="152" t="s">
        <v>310</v>
      </c>
      <c r="H3" s="152" t="s">
        <v>310</v>
      </c>
      <c r="I3" s="152" t="s">
        <v>310</v>
      </c>
      <c r="J3" s="152" t="s">
        <v>310</v>
      </c>
      <c r="K3" s="152" t="s">
        <v>310</v>
      </c>
      <c r="L3" s="152" t="s">
        <v>310</v>
      </c>
      <c r="M3" s="152" t="s">
        <v>310</v>
      </c>
      <c r="N3" s="152" t="s">
        <v>310</v>
      </c>
      <c r="O3" s="152" t="s">
        <v>310</v>
      </c>
      <c r="P3" s="152" t="s">
        <v>310</v>
      </c>
      <c r="Q3" s="152" t="s">
        <v>310</v>
      </c>
      <c r="R3" s="152" t="s">
        <v>310</v>
      </c>
      <c r="S3" s="152" t="s">
        <v>310</v>
      </c>
      <c r="T3" s="152" t="s">
        <v>310</v>
      </c>
      <c r="U3" s="152" t="s">
        <v>310</v>
      </c>
      <c r="V3" s="152" t="s">
        <v>310</v>
      </c>
      <c r="W3" s="152" t="s">
        <v>310</v>
      </c>
      <c r="X3" s="152" t="s">
        <v>310</v>
      </c>
      <c r="Y3" s="152" t="s">
        <v>310</v>
      </c>
      <c r="Z3" s="152" t="s">
        <v>310</v>
      </c>
      <c r="AA3" s="152" t="s">
        <v>310</v>
      </c>
      <c r="AB3" s="152" t="s">
        <v>310</v>
      </c>
      <c r="AC3" s="152" t="s">
        <v>310</v>
      </c>
    </row>
    <row r="4" spans="1:29" ht="28.8" x14ac:dyDescent="0.3">
      <c r="B4" s="2"/>
      <c r="C4" s="2"/>
      <c r="D4" s="152" t="s">
        <v>311</v>
      </c>
      <c r="E4" s="152" t="s">
        <v>311</v>
      </c>
      <c r="F4" s="152" t="s">
        <v>311</v>
      </c>
      <c r="G4" s="152" t="s">
        <v>311</v>
      </c>
      <c r="H4" s="152" t="s">
        <v>311</v>
      </c>
      <c r="I4" s="152" t="s">
        <v>311</v>
      </c>
      <c r="J4" s="152" t="s">
        <v>311</v>
      </c>
      <c r="K4" s="152" t="s">
        <v>311</v>
      </c>
      <c r="L4" s="152" t="s">
        <v>311</v>
      </c>
      <c r="M4" s="152" t="s">
        <v>311</v>
      </c>
      <c r="N4" s="152" t="s">
        <v>311</v>
      </c>
      <c r="O4" s="152" t="s">
        <v>311</v>
      </c>
      <c r="P4" s="152" t="s">
        <v>311</v>
      </c>
      <c r="Q4" s="152" t="s">
        <v>311</v>
      </c>
      <c r="R4" s="152" t="s">
        <v>311</v>
      </c>
      <c r="S4" s="152" t="s">
        <v>311</v>
      </c>
      <c r="T4" s="152" t="s">
        <v>311</v>
      </c>
      <c r="U4" s="152" t="s">
        <v>311</v>
      </c>
      <c r="V4" s="152" t="s">
        <v>311</v>
      </c>
      <c r="W4" s="152" t="s">
        <v>311</v>
      </c>
      <c r="X4" s="152" t="s">
        <v>311</v>
      </c>
      <c r="Y4" s="152" t="s">
        <v>311</v>
      </c>
      <c r="Z4" s="152" t="s">
        <v>311</v>
      </c>
      <c r="AA4" s="152" t="s">
        <v>311</v>
      </c>
      <c r="AB4" s="152" t="s">
        <v>311</v>
      </c>
      <c r="AC4" s="152" t="s">
        <v>311</v>
      </c>
    </row>
    <row r="5" spans="1:29" x14ac:dyDescent="0.3">
      <c r="A5" s="3" t="s">
        <v>264</v>
      </c>
      <c r="B5" s="4" t="s">
        <v>265</v>
      </c>
      <c r="C5" s="5" t="s">
        <v>64</v>
      </c>
      <c r="D5" s="152" t="s">
        <v>176</v>
      </c>
      <c r="E5" s="152" t="s">
        <v>175</v>
      </c>
      <c r="F5" s="152" t="s">
        <v>174</v>
      </c>
      <c r="G5" s="152" t="s">
        <v>173</v>
      </c>
      <c r="H5" s="152" t="s">
        <v>172</v>
      </c>
      <c r="I5" s="152" t="s">
        <v>171</v>
      </c>
      <c r="J5" s="152" t="s">
        <v>170</v>
      </c>
      <c r="K5" s="152" t="s">
        <v>169</v>
      </c>
      <c r="L5" s="152" t="s">
        <v>168</v>
      </c>
      <c r="M5" s="152" t="s">
        <v>167</v>
      </c>
      <c r="N5" s="152" t="s">
        <v>166</v>
      </c>
      <c r="O5" s="152" t="s">
        <v>165</v>
      </c>
      <c r="P5" s="152" t="s">
        <v>164</v>
      </c>
      <c r="Q5" s="152" t="s">
        <v>163</v>
      </c>
      <c r="R5" s="152" t="s">
        <v>162</v>
      </c>
      <c r="S5" s="152" t="s">
        <v>161</v>
      </c>
      <c r="T5" s="152" t="s">
        <v>160</v>
      </c>
      <c r="U5" s="152" t="s">
        <v>159</v>
      </c>
      <c r="V5" s="152" t="s">
        <v>158</v>
      </c>
      <c r="W5" s="152" t="s">
        <v>157</v>
      </c>
      <c r="X5" s="152" t="s">
        <v>156</v>
      </c>
      <c r="Y5" s="152" t="s">
        <v>155</v>
      </c>
      <c r="Z5" s="152" t="s">
        <v>150</v>
      </c>
      <c r="AA5" s="152" t="s">
        <v>305</v>
      </c>
      <c r="AB5" s="152" t="s">
        <v>306</v>
      </c>
      <c r="AC5" s="152" t="s">
        <v>307</v>
      </c>
    </row>
    <row r="6" spans="1:29" x14ac:dyDescent="0.3">
      <c r="B6" s="2"/>
      <c r="C6" s="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x14ac:dyDescent="0.3">
      <c r="B7" s="6" t="s">
        <v>266</v>
      </c>
      <c r="C7" s="7">
        <v>4058513</v>
      </c>
      <c r="D7" s="153" t="s">
        <v>267</v>
      </c>
      <c r="E7" s="153" t="s">
        <v>267</v>
      </c>
      <c r="F7" s="153" t="s">
        <v>267</v>
      </c>
      <c r="G7" s="153">
        <v>23985</v>
      </c>
      <c r="H7" s="153">
        <v>22863</v>
      </c>
      <c r="I7" s="153">
        <v>21600</v>
      </c>
      <c r="J7" s="153">
        <v>20874</v>
      </c>
      <c r="K7" s="153">
        <v>18722</v>
      </c>
      <c r="L7" s="153">
        <v>17490</v>
      </c>
      <c r="M7" s="153">
        <v>16781</v>
      </c>
      <c r="N7" s="153">
        <v>16599</v>
      </c>
      <c r="O7" s="153">
        <v>15498</v>
      </c>
      <c r="P7" s="153">
        <v>15260</v>
      </c>
      <c r="Q7" s="153">
        <v>15110</v>
      </c>
      <c r="R7" s="153">
        <v>14961</v>
      </c>
      <c r="S7" s="153">
        <v>14895</v>
      </c>
      <c r="T7" s="153">
        <v>14078</v>
      </c>
      <c r="U7" s="153">
        <v>13674</v>
      </c>
      <c r="V7" s="153">
        <v>13950</v>
      </c>
      <c r="W7" s="153" t="s">
        <v>267</v>
      </c>
      <c r="X7" s="153" t="s">
        <v>267</v>
      </c>
      <c r="Y7" s="153" t="s">
        <v>267</v>
      </c>
      <c r="Z7" s="153" t="s">
        <v>267</v>
      </c>
      <c r="AA7" s="153" t="s">
        <v>267</v>
      </c>
      <c r="AB7" s="153" t="s">
        <v>267</v>
      </c>
      <c r="AC7" s="153" t="s">
        <v>267</v>
      </c>
    </row>
    <row r="8" spans="1:29" x14ac:dyDescent="0.3">
      <c r="B8" s="6" t="s">
        <v>148</v>
      </c>
      <c r="C8" s="7">
        <v>4054707</v>
      </c>
      <c r="D8" s="153">
        <v>239943</v>
      </c>
      <c r="E8" s="153">
        <v>281881</v>
      </c>
      <c r="F8" s="153">
        <v>257478</v>
      </c>
      <c r="G8" s="153">
        <v>223182</v>
      </c>
      <c r="H8" s="153">
        <v>231163</v>
      </c>
      <c r="I8" s="153">
        <v>208993</v>
      </c>
      <c r="J8" s="153">
        <v>199499</v>
      </c>
      <c r="K8" s="153">
        <v>183527</v>
      </c>
      <c r="L8" s="153">
        <v>167876</v>
      </c>
      <c r="M8" s="153">
        <v>165392</v>
      </c>
      <c r="N8" s="153">
        <v>154932</v>
      </c>
      <c r="O8" s="153">
        <v>155561</v>
      </c>
      <c r="P8" s="153">
        <v>149244</v>
      </c>
      <c r="Q8" s="153">
        <v>135388</v>
      </c>
      <c r="R8" s="153">
        <v>121412</v>
      </c>
      <c r="S8" s="153">
        <v>118393</v>
      </c>
      <c r="T8" s="153">
        <v>117308</v>
      </c>
      <c r="U8" s="153">
        <v>124963</v>
      </c>
      <c r="V8" s="153">
        <v>152452</v>
      </c>
      <c r="W8" s="153">
        <v>155471</v>
      </c>
      <c r="X8" s="153">
        <v>171198</v>
      </c>
      <c r="Y8" s="153">
        <v>167294</v>
      </c>
      <c r="Z8" s="153">
        <v>161605</v>
      </c>
      <c r="AA8" s="153">
        <v>177058</v>
      </c>
      <c r="AB8" s="153">
        <v>173565</v>
      </c>
      <c r="AC8" s="153">
        <v>231532</v>
      </c>
    </row>
    <row r="9" spans="1:29" x14ac:dyDescent="0.3">
      <c r="B9" s="6" t="s">
        <v>179</v>
      </c>
      <c r="C9" s="7">
        <v>4057075</v>
      </c>
      <c r="D9" s="153">
        <v>70276</v>
      </c>
      <c r="E9" s="153">
        <v>69191</v>
      </c>
      <c r="F9" s="153">
        <v>61968</v>
      </c>
      <c r="G9" s="153">
        <v>43949</v>
      </c>
      <c r="H9" s="153">
        <v>39141</v>
      </c>
      <c r="I9" s="153">
        <v>37036</v>
      </c>
      <c r="J9" s="153">
        <v>34391</v>
      </c>
      <c r="K9" s="153">
        <v>31929</v>
      </c>
      <c r="L9" s="153">
        <v>28704</v>
      </c>
      <c r="M9" s="153">
        <v>27108</v>
      </c>
      <c r="N9" s="153">
        <v>25068</v>
      </c>
      <c r="O9" s="153">
        <v>22672</v>
      </c>
      <c r="P9" s="153">
        <v>20364</v>
      </c>
      <c r="Q9" s="153">
        <v>18646</v>
      </c>
      <c r="R9" s="153">
        <v>18537</v>
      </c>
      <c r="S9" s="153">
        <v>15639</v>
      </c>
      <c r="T9" s="153">
        <v>14965</v>
      </c>
      <c r="U9" s="153">
        <v>13164</v>
      </c>
      <c r="V9" s="153">
        <v>13006</v>
      </c>
      <c r="W9" s="153">
        <v>13042</v>
      </c>
      <c r="X9" s="153">
        <v>12732</v>
      </c>
      <c r="Y9" s="153">
        <v>11635</v>
      </c>
      <c r="Z9" s="153">
        <v>11042</v>
      </c>
      <c r="AA9" s="153">
        <v>6707</v>
      </c>
      <c r="AB9" s="153">
        <v>9584</v>
      </c>
      <c r="AC9" s="153">
        <v>9194</v>
      </c>
    </row>
    <row r="10" spans="1:29" x14ac:dyDescent="0.3">
      <c r="A10" s="1" t="s">
        <v>268</v>
      </c>
      <c r="B10" s="6" t="s">
        <v>181</v>
      </c>
      <c r="C10" s="7">
        <v>4007784</v>
      </c>
      <c r="D10" s="153">
        <v>30669</v>
      </c>
      <c r="E10" s="153">
        <v>23194</v>
      </c>
      <c r="F10" s="153">
        <v>21687</v>
      </c>
      <c r="G10" s="153">
        <v>19509</v>
      </c>
      <c r="H10" s="153">
        <v>18275</v>
      </c>
      <c r="I10" s="153">
        <v>12372</v>
      </c>
      <c r="J10" s="153">
        <v>11556</v>
      </c>
      <c r="K10" s="153">
        <v>10979</v>
      </c>
      <c r="L10" s="153">
        <v>10795</v>
      </c>
      <c r="M10" s="153">
        <v>9117</v>
      </c>
      <c r="N10" s="153">
        <v>9450</v>
      </c>
      <c r="O10" s="153">
        <v>7854</v>
      </c>
      <c r="P10" s="153">
        <v>7340</v>
      </c>
      <c r="Q10" s="153">
        <v>7028</v>
      </c>
      <c r="R10" s="153">
        <v>6462</v>
      </c>
      <c r="S10" s="153">
        <v>5862</v>
      </c>
      <c r="T10" s="153">
        <v>4795</v>
      </c>
      <c r="U10" s="153">
        <v>4667</v>
      </c>
      <c r="V10" s="153">
        <v>4864</v>
      </c>
      <c r="W10" s="153">
        <v>4353</v>
      </c>
      <c r="X10" s="153">
        <v>5663</v>
      </c>
      <c r="Y10" s="153">
        <v>6007</v>
      </c>
      <c r="Z10" s="153">
        <v>6009</v>
      </c>
      <c r="AA10" s="153">
        <v>5517</v>
      </c>
      <c r="AB10" s="153">
        <v>5467</v>
      </c>
      <c r="AC10" s="153">
        <v>4650</v>
      </c>
    </row>
    <row r="11" spans="1:29" x14ac:dyDescent="0.3">
      <c r="A11" s="1" t="s">
        <v>268</v>
      </c>
      <c r="B11" s="6" t="s">
        <v>269</v>
      </c>
      <c r="C11" s="7">
        <v>4058656</v>
      </c>
      <c r="D11" s="153">
        <v>44884</v>
      </c>
      <c r="E11" s="153">
        <v>43583</v>
      </c>
      <c r="F11" s="153">
        <v>45749</v>
      </c>
      <c r="G11" s="153">
        <v>44142</v>
      </c>
      <c r="H11" s="153">
        <v>41439</v>
      </c>
      <c r="I11" s="153">
        <v>35705</v>
      </c>
      <c r="J11" s="153">
        <v>33649</v>
      </c>
      <c r="K11" s="153">
        <v>35587</v>
      </c>
      <c r="L11" s="153">
        <v>32435</v>
      </c>
      <c r="M11" s="153">
        <v>27685</v>
      </c>
      <c r="N11" s="153">
        <v>24652</v>
      </c>
      <c r="O11" s="153">
        <v>24391</v>
      </c>
      <c r="P11" s="153">
        <v>22400</v>
      </c>
      <c r="Q11" s="153">
        <v>27427</v>
      </c>
      <c r="R11" s="153">
        <v>25702</v>
      </c>
      <c r="S11" s="153">
        <v>30831</v>
      </c>
      <c r="T11" s="153">
        <v>39150</v>
      </c>
      <c r="U11" s="153">
        <v>45357</v>
      </c>
      <c r="V11" s="153">
        <v>45494</v>
      </c>
      <c r="W11" s="153">
        <v>45726</v>
      </c>
      <c r="X11" s="153">
        <v>46722</v>
      </c>
      <c r="Y11" s="153">
        <v>57982</v>
      </c>
      <c r="Z11" s="153">
        <v>51301</v>
      </c>
      <c r="AA11" s="153">
        <v>50404</v>
      </c>
      <c r="AB11" s="153">
        <v>70640</v>
      </c>
      <c r="AC11" s="153" t="s">
        <v>267</v>
      </c>
    </row>
    <row r="12" spans="1:29" x14ac:dyDescent="0.3">
      <c r="A12" s="1" t="s">
        <v>268</v>
      </c>
      <c r="B12" s="6" t="s">
        <v>186</v>
      </c>
      <c r="C12" s="7">
        <v>4057110</v>
      </c>
      <c r="D12" s="153">
        <v>38930</v>
      </c>
      <c r="E12" s="153">
        <v>37389</v>
      </c>
      <c r="F12" s="153">
        <v>35839</v>
      </c>
      <c r="G12" s="153">
        <v>32693</v>
      </c>
      <c r="H12" s="153">
        <v>26345</v>
      </c>
      <c r="I12" s="153">
        <v>19283</v>
      </c>
      <c r="J12" s="153">
        <v>17882</v>
      </c>
      <c r="K12" s="153">
        <v>16618</v>
      </c>
      <c r="L12" s="153">
        <v>13422</v>
      </c>
      <c r="M12" s="153">
        <v>13411</v>
      </c>
      <c r="N12" s="153">
        <v>12012</v>
      </c>
      <c r="O12" s="153">
        <v>12311</v>
      </c>
      <c r="P12" s="153">
        <v>11888</v>
      </c>
      <c r="Q12" s="153">
        <v>11183</v>
      </c>
      <c r="R12" s="153">
        <v>10340</v>
      </c>
      <c r="S12" s="153">
        <v>9813</v>
      </c>
      <c r="T12" s="153">
        <v>9209</v>
      </c>
      <c r="U12" s="153">
        <v>9257</v>
      </c>
      <c r="V12" s="153">
        <v>8710</v>
      </c>
      <c r="W12" s="153">
        <v>8341</v>
      </c>
      <c r="X12" s="153">
        <v>8374</v>
      </c>
      <c r="Y12" s="153">
        <v>8251</v>
      </c>
      <c r="Z12" s="153">
        <v>9239</v>
      </c>
      <c r="AA12" s="153">
        <v>9338</v>
      </c>
      <c r="AB12" s="153">
        <v>9485</v>
      </c>
      <c r="AC12" s="153">
        <v>9640</v>
      </c>
    </row>
    <row r="13" spans="1:29" x14ac:dyDescent="0.3">
      <c r="B13" s="6" t="s">
        <v>188</v>
      </c>
      <c r="C13" s="7">
        <v>4058516</v>
      </c>
      <c r="D13" s="153">
        <v>57947</v>
      </c>
      <c r="E13" s="153">
        <v>43679</v>
      </c>
      <c r="F13" s="153">
        <v>41833</v>
      </c>
      <c r="G13" s="153">
        <v>41697</v>
      </c>
      <c r="H13" s="153">
        <v>42517</v>
      </c>
      <c r="I13" s="153">
        <v>39000</v>
      </c>
      <c r="J13" s="153">
        <v>36172</v>
      </c>
      <c r="K13" s="153">
        <v>33417</v>
      </c>
      <c r="L13" s="153">
        <v>30650</v>
      </c>
      <c r="M13" s="153">
        <v>30394</v>
      </c>
      <c r="N13" s="153">
        <v>31679</v>
      </c>
      <c r="O13" s="153">
        <v>28495</v>
      </c>
      <c r="P13" s="153">
        <v>27139</v>
      </c>
      <c r="Q13" s="153">
        <v>30270</v>
      </c>
      <c r="R13" s="153">
        <v>28695</v>
      </c>
      <c r="S13" s="153">
        <v>27269</v>
      </c>
      <c r="T13" s="153">
        <v>26646</v>
      </c>
      <c r="U13" s="153">
        <v>27003</v>
      </c>
      <c r="V13" s="153">
        <v>25999</v>
      </c>
      <c r="W13" s="153">
        <v>24497</v>
      </c>
      <c r="X13" s="153">
        <v>24273</v>
      </c>
      <c r="Y13" s="153">
        <v>28439</v>
      </c>
      <c r="Z13" s="153">
        <v>27016</v>
      </c>
      <c r="AA13" s="153">
        <v>25682</v>
      </c>
      <c r="AB13" s="153">
        <v>25109</v>
      </c>
      <c r="AC13" s="153">
        <v>21432</v>
      </c>
    </row>
    <row r="14" spans="1:29" x14ac:dyDescent="0.3">
      <c r="B14" s="6" t="s">
        <v>190</v>
      </c>
      <c r="C14" s="7">
        <v>4058793</v>
      </c>
      <c r="D14" s="153">
        <v>1788</v>
      </c>
      <c r="E14" s="153">
        <v>1742</v>
      </c>
      <c r="F14" s="153">
        <v>1628</v>
      </c>
      <c r="G14" s="153">
        <v>1608</v>
      </c>
      <c r="H14" s="153">
        <v>1555</v>
      </c>
      <c r="I14" s="153">
        <v>1386</v>
      </c>
      <c r="J14" s="153">
        <v>1326</v>
      </c>
      <c r="K14" s="153">
        <v>1326</v>
      </c>
      <c r="L14" s="153">
        <v>1212</v>
      </c>
      <c r="M14" s="153">
        <v>1167</v>
      </c>
      <c r="N14" s="153">
        <v>1141</v>
      </c>
      <c r="O14" s="153">
        <v>1140</v>
      </c>
      <c r="P14" s="153">
        <v>1148</v>
      </c>
      <c r="Q14" s="153">
        <v>1058</v>
      </c>
      <c r="R14" s="153">
        <v>996</v>
      </c>
      <c r="S14" s="153">
        <v>993</v>
      </c>
      <c r="T14" s="153">
        <v>1042</v>
      </c>
      <c r="U14" s="153">
        <v>1124</v>
      </c>
      <c r="V14" s="153">
        <v>1002</v>
      </c>
      <c r="W14" s="153">
        <v>957</v>
      </c>
      <c r="X14" s="153">
        <v>925</v>
      </c>
      <c r="Y14" s="153">
        <v>819</v>
      </c>
      <c r="Z14" s="153">
        <v>803</v>
      </c>
      <c r="AA14" s="153" t="s">
        <v>267</v>
      </c>
      <c r="AB14" s="153" t="s">
        <v>267</v>
      </c>
      <c r="AC14" s="153" t="s">
        <v>267</v>
      </c>
    </row>
    <row r="15" spans="1:29" x14ac:dyDescent="0.3">
      <c r="A15" s="1" t="s">
        <v>268</v>
      </c>
      <c r="B15" s="6" t="s">
        <v>192</v>
      </c>
      <c r="C15" s="7">
        <v>4057111</v>
      </c>
      <c r="D15" s="153">
        <v>89394</v>
      </c>
      <c r="E15" s="153">
        <v>81710</v>
      </c>
      <c r="F15" s="153">
        <v>76882</v>
      </c>
      <c r="G15" s="153">
        <v>75725</v>
      </c>
      <c r="H15" s="153">
        <v>85765</v>
      </c>
      <c r="I15" s="153">
        <v>75152</v>
      </c>
      <c r="J15" s="153">
        <v>65679</v>
      </c>
      <c r="K15" s="153">
        <v>62522</v>
      </c>
      <c r="L15" s="153">
        <v>55679</v>
      </c>
      <c r="M15" s="153">
        <v>53311</v>
      </c>
      <c r="N15" s="153">
        <v>51645</v>
      </c>
      <c r="O15" s="153">
        <v>49227</v>
      </c>
      <c r="P15" s="153">
        <v>45993</v>
      </c>
      <c r="Q15" s="153">
        <v>39428</v>
      </c>
      <c r="R15" s="153">
        <v>42743</v>
      </c>
      <c r="S15" s="153">
        <v>31989</v>
      </c>
      <c r="T15" s="153">
        <v>27572</v>
      </c>
      <c r="U15" s="153">
        <v>33940</v>
      </c>
      <c r="V15" s="153">
        <v>33562</v>
      </c>
      <c r="W15" s="153">
        <v>30363</v>
      </c>
      <c r="X15" s="153">
        <v>24433</v>
      </c>
      <c r="Y15" s="153">
        <v>34901</v>
      </c>
      <c r="Z15" s="153">
        <v>40673</v>
      </c>
      <c r="AA15" s="153">
        <v>41876</v>
      </c>
      <c r="AB15" s="153">
        <v>40820</v>
      </c>
      <c r="AC15" s="153">
        <v>40370</v>
      </c>
    </row>
    <row r="16" spans="1:29" x14ac:dyDescent="0.3">
      <c r="A16" s="1" t="s">
        <v>268</v>
      </c>
      <c r="B16" s="6" t="s">
        <v>193</v>
      </c>
      <c r="C16" s="7">
        <v>4018679</v>
      </c>
      <c r="D16" s="153">
        <v>205157</v>
      </c>
      <c r="E16" s="153">
        <v>195655</v>
      </c>
      <c r="F16" s="153">
        <v>179622</v>
      </c>
      <c r="G16" s="153">
        <v>165686</v>
      </c>
      <c r="H16" s="153">
        <v>162914</v>
      </c>
      <c r="I16" s="153">
        <v>154460</v>
      </c>
      <c r="J16" s="153">
        <v>138522</v>
      </c>
      <c r="K16" s="153">
        <v>129731</v>
      </c>
      <c r="L16" s="153">
        <v>124006</v>
      </c>
      <c r="M16" s="153">
        <v>126610</v>
      </c>
      <c r="N16" s="153">
        <v>134150</v>
      </c>
      <c r="O16" s="153">
        <v>128026</v>
      </c>
      <c r="P16" s="153">
        <v>133394</v>
      </c>
      <c r="Q16" s="153">
        <v>145116</v>
      </c>
      <c r="R16" s="153">
        <v>149144</v>
      </c>
      <c r="S16" s="153">
        <v>156446</v>
      </c>
      <c r="T16" s="153">
        <v>155606</v>
      </c>
      <c r="U16" s="153">
        <v>182410</v>
      </c>
      <c r="V16" s="153">
        <v>179780</v>
      </c>
      <c r="W16" s="153">
        <v>175053</v>
      </c>
      <c r="X16" s="153">
        <v>177279</v>
      </c>
      <c r="Y16" s="153">
        <v>174452</v>
      </c>
      <c r="Z16" s="153">
        <v>168775</v>
      </c>
      <c r="AA16" s="153">
        <v>164165</v>
      </c>
      <c r="AB16" s="153">
        <v>167111</v>
      </c>
      <c r="AC16" s="153">
        <v>166742</v>
      </c>
    </row>
    <row r="17" spans="1:29" x14ac:dyDescent="0.3">
      <c r="B17" s="6" t="s">
        <v>195</v>
      </c>
      <c r="C17" s="7">
        <v>4057112</v>
      </c>
      <c r="D17" s="153">
        <v>78091</v>
      </c>
      <c r="E17" s="153">
        <v>75039</v>
      </c>
      <c r="F17" s="153">
        <v>70302</v>
      </c>
      <c r="G17" s="153">
        <v>66262</v>
      </c>
      <c r="H17" s="153">
        <v>64131</v>
      </c>
      <c r="I17" s="153">
        <v>62440</v>
      </c>
      <c r="J17" s="153">
        <v>55532</v>
      </c>
      <c r="K17" s="153">
        <v>52782</v>
      </c>
      <c r="L17" s="153">
        <v>51956</v>
      </c>
      <c r="M17" s="153">
        <v>49649</v>
      </c>
      <c r="N17" s="153">
        <v>48268</v>
      </c>
      <c r="O17" s="153">
        <v>51005</v>
      </c>
      <c r="P17" s="153">
        <v>53096</v>
      </c>
      <c r="Q17" s="153">
        <v>51512</v>
      </c>
      <c r="R17" s="153">
        <v>49570</v>
      </c>
      <c r="S17" s="153">
        <v>49759</v>
      </c>
      <c r="T17" s="153">
        <v>47716</v>
      </c>
      <c r="U17" s="153">
        <v>44766</v>
      </c>
      <c r="V17" s="153">
        <v>41405</v>
      </c>
      <c r="W17" s="153">
        <v>39958</v>
      </c>
      <c r="X17" s="153">
        <v>35592</v>
      </c>
      <c r="Y17" s="153">
        <v>35194</v>
      </c>
      <c r="Z17" s="153">
        <v>35624</v>
      </c>
      <c r="AA17" s="153">
        <v>35597</v>
      </c>
      <c r="AB17" s="153">
        <v>34084</v>
      </c>
      <c r="AC17" s="153">
        <v>33162</v>
      </c>
    </row>
    <row r="18" spans="1:29" x14ac:dyDescent="0.3">
      <c r="A18" s="1" t="s">
        <v>268</v>
      </c>
      <c r="B18" s="6" t="s">
        <v>196</v>
      </c>
      <c r="C18" s="7">
        <v>4057076</v>
      </c>
      <c r="D18" s="153" t="s">
        <v>267</v>
      </c>
      <c r="E18" s="153">
        <v>0</v>
      </c>
      <c r="F18" s="153">
        <v>0</v>
      </c>
      <c r="G18" s="153">
        <v>0</v>
      </c>
      <c r="H18" s="153">
        <v>0</v>
      </c>
      <c r="I18" s="153">
        <v>0</v>
      </c>
      <c r="J18" s="153">
        <v>0</v>
      </c>
      <c r="K18" s="153"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3">
        <v>0</v>
      </c>
      <c r="R18" s="153">
        <v>0</v>
      </c>
      <c r="S18" s="153">
        <v>0</v>
      </c>
      <c r="T18" s="153">
        <v>0</v>
      </c>
      <c r="U18" s="153">
        <v>0</v>
      </c>
      <c r="V18" s="153">
        <v>0</v>
      </c>
      <c r="W18" s="153">
        <v>0</v>
      </c>
      <c r="X18" s="153">
        <v>0</v>
      </c>
      <c r="Y18" s="153">
        <v>0</v>
      </c>
      <c r="Z18" s="153">
        <v>0</v>
      </c>
      <c r="AA18" s="153">
        <v>0</v>
      </c>
      <c r="AB18" s="153">
        <v>0</v>
      </c>
      <c r="AC18" s="153">
        <v>0</v>
      </c>
    </row>
    <row r="19" spans="1:29" x14ac:dyDescent="0.3">
      <c r="B19" s="6" t="s">
        <v>270</v>
      </c>
      <c r="C19" s="7">
        <v>4059166</v>
      </c>
      <c r="D19" s="153">
        <v>15733</v>
      </c>
      <c r="E19" s="153">
        <v>16116</v>
      </c>
      <c r="F19" s="153">
        <v>12551</v>
      </c>
      <c r="G19" s="153">
        <v>13012</v>
      </c>
      <c r="H19" s="153">
        <v>8627</v>
      </c>
      <c r="I19" s="153">
        <v>8233</v>
      </c>
      <c r="J19" s="153">
        <v>7550</v>
      </c>
      <c r="K19" s="153">
        <v>6753</v>
      </c>
      <c r="L19" s="153">
        <v>5633</v>
      </c>
      <c r="M19" s="153">
        <v>5294</v>
      </c>
      <c r="N19" s="153">
        <v>4685</v>
      </c>
      <c r="O19" s="153">
        <v>4427</v>
      </c>
      <c r="P19" s="153">
        <v>3514</v>
      </c>
      <c r="Q19" s="153">
        <v>2161</v>
      </c>
      <c r="R19" s="153">
        <v>3020</v>
      </c>
      <c r="S19" s="153">
        <v>2116</v>
      </c>
      <c r="T19" s="153">
        <v>2039</v>
      </c>
      <c r="U19" s="153">
        <v>2974</v>
      </c>
      <c r="V19" s="153">
        <v>3517</v>
      </c>
      <c r="W19" s="153">
        <v>3615</v>
      </c>
      <c r="X19" s="153">
        <v>6878</v>
      </c>
      <c r="Y19" s="153" t="s">
        <v>267</v>
      </c>
      <c r="Z19" s="153" t="s">
        <v>267</v>
      </c>
      <c r="AA19" s="153">
        <v>9477</v>
      </c>
      <c r="AB19" s="153">
        <v>9828</v>
      </c>
      <c r="AC19" s="153">
        <v>9714</v>
      </c>
    </row>
    <row r="20" spans="1:29" x14ac:dyDescent="0.3">
      <c r="B20" s="6" t="s">
        <v>271</v>
      </c>
      <c r="C20" s="7">
        <v>4059227</v>
      </c>
      <c r="D20" s="153">
        <v>6902</v>
      </c>
      <c r="E20" s="153">
        <v>6797</v>
      </c>
      <c r="F20" s="153">
        <v>6953</v>
      </c>
      <c r="G20" s="153">
        <v>6145</v>
      </c>
      <c r="H20" s="153">
        <v>6082</v>
      </c>
      <c r="I20" s="153">
        <v>5907</v>
      </c>
      <c r="J20" s="153">
        <v>5729</v>
      </c>
      <c r="K20" s="153">
        <v>5573</v>
      </c>
      <c r="L20" s="153">
        <v>5676</v>
      </c>
      <c r="M20" s="153">
        <v>5660</v>
      </c>
      <c r="N20" s="153">
        <v>5667</v>
      </c>
      <c r="O20" s="153">
        <v>5752</v>
      </c>
      <c r="P20" s="153">
        <v>5870</v>
      </c>
      <c r="Q20" s="153">
        <v>5756</v>
      </c>
      <c r="R20" s="153">
        <v>5917</v>
      </c>
      <c r="S20" s="153">
        <v>5879</v>
      </c>
      <c r="T20" s="153" t="s">
        <v>267</v>
      </c>
      <c r="U20" s="153">
        <v>5809</v>
      </c>
      <c r="V20" s="153">
        <v>5880</v>
      </c>
      <c r="W20" s="153" t="s">
        <v>267</v>
      </c>
      <c r="X20" s="153">
        <v>5563</v>
      </c>
      <c r="Y20" s="153" t="s">
        <v>267</v>
      </c>
      <c r="Z20" s="153" t="s">
        <v>267</v>
      </c>
      <c r="AA20" s="153" t="s">
        <v>267</v>
      </c>
      <c r="AB20" s="153">
        <v>2223</v>
      </c>
      <c r="AC20" s="153">
        <v>2668</v>
      </c>
    </row>
    <row r="21" spans="1:29" x14ac:dyDescent="0.3">
      <c r="A21" s="1" t="s">
        <v>268</v>
      </c>
      <c r="B21" s="6" t="s">
        <v>197</v>
      </c>
      <c r="C21" s="7">
        <v>4057114</v>
      </c>
      <c r="D21" s="153">
        <v>25763</v>
      </c>
      <c r="E21" s="153">
        <v>24018</v>
      </c>
      <c r="F21" s="153">
        <v>23781</v>
      </c>
      <c r="G21" s="153">
        <v>22661</v>
      </c>
      <c r="H21" s="153">
        <v>21530</v>
      </c>
      <c r="I21" s="153">
        <v>23819</v>
      </c>
      <c r="J21" s="153">
        <v>21590</v>
      </c>
      <c r="K21" s="153">
        <v>19991</v>
      </c>
      <c r="L21" s="153">
        <v>19004</v>
      </c>
      <c r="M21" s="153">
        <v>19754</v>
      </c>
      <c r="N21" s="153">
        <v>19756</v>
      </c>
      <c r="O21" s="153">
        <v>21342</v>
      </c>
      <c r="P21" s="153">
        <v>19757</v>
      </c>
      <c r="Q21" s="153">
        <v>16912</v>
      </c>
      <c r="R21" s="153">
        <v>15916</v>
      </c>
      <c r="S21" s="153">
        <v>14506</v>
      </c>
      <c r="T21" s="153">
        <v>15550</v>
      </c>
      <c r="U21" s="153">
        <v>14070</v>
      </c>
      <c r="V21" s="153">
        <v>16221</v>
      </c>
      <c r="W21" s="153">
        <v>15567</v>
      </c>
      <c r="X21" s="153">
        <v>14602</v>
      </c>
      <c r="Y21" s="153">
        <v>14311</v>
      </c>
      <c r="Z21" s="153">
        <v>19804</v>
      </c>
      <c r="AA21" s="153">
        <v>15937</v>
      </c>
      <c r="AB21" s="153">
        <v>15009</v>
      </c>
      <c r="AC21" s="153">
        <v>13976</v>
      </c>
    </row>
    <row r="22" spans="1:29" x14ac:dyDescent="0.3">
      <c r="B22" s="6" t="s">
        <v>198</v>
      </c>
      <c r="C22" s="7">
        <v>4059355</v>
      </c>
      <c r="D22" s="153">
        <v>6247</v>
      </c>
      <c r="E22" s="153">
        <v>6169</v>
      </c>
      <c r="F22" s="153">
        <v>5975</v>
      </c>
      <c r="G22" s="153">
        <v>5750</v>
      </c>
      <c r="H22" s="153">
        <v>4938</v>
      </c>
      <c r="I22" s="153">
        <v>4825</v>
      </c>
      <c r="J22" s="153">
        <v>4434</v>
      </c>
      <c r="K22" s="153">
        <v>5201</v>
      </c>
      <c r="L22" s="153">
        <v>5302</v>
      </c>
      <c r="M22" s="153">
        <v>5133</v>
      </c>
      <c r="N22" s="153">
        <v>4478</v>
      </c>
      <c r="O22" s="153">
        <v>4436</v>
      </c>
      <c r="P22" s="153">
        <v>4667</v>
      </c>
      <c r="Q22" s="153">
        <v>4312</v>
      </c>
      <c r="R22" s="153">
        <v>4904</v>
      </c>
      <c r="S22" s="153">
        <v>4811</v>
      </c>
      <c r="T22" s="153">
        <v>5280</v>
      </c>
      <c r="U22" s="153">
        <v>5218</v>
      </c>
      <c r="V22" s="153">
        <v>5290</v>
      </c>
      <c r="W22" s="153">
        <v>5059</v>
      </c>
      <c r="X22" s="153">
        <v>5102</v>
      </c>
      <c r="Y22" s="153">
        <v>5078</v>
      </c>
      <c r="Z22" s="153">
        <v>5084</v>
      </c>
      <c r="AA22" s="153">
        <v>4879</v>
      </c>
      <c r="AB22" s="153">
        <v>5575</v>
      </c>
      <c r="AC22" s="153">
        <v>3219</v>
      </c>
    </row>
    <row r="23" spans="1:29" x14ac:dyDescent="0.3">
      <c r="B23" s="6" t="s">
        <v>200</v>
      </c>
      <c r="C23" s="7">
        <v>4088325</v>
      </c>
      <c r="D23" s="153">
        <v>3174</v>
      </c>
      <c r="E23" s="153">
        <v>2945</v>
      </c>
      <c r="F23" s="153">
        <v>2336</v>
      </c>
      <c r="G23" s="153">
        <v>2321</v>
      </c>
      <c r="H23" s="153">
        <v>2151</v>
      </c>
      <c r="I23" s="153">
        <v>2114</v>
      </c>
      <c r="J23" s="153">
        <v>1993</v>
      </c>
      <c r="K23" s="153">
        <v>1880</v>
      </c>
      <c r="L23" s="153">
        <v>1741</v>
      </c>
      <c r="M23" s="153">
        <v>1676</v>
      </c>
      <c r="N23" s="153">
        <v>1469</v>
      </c>
      <c r="O23" s="153">
        <v>1401</v>
      </c>
      <c r="P23" s="153">
        <v>1570</v>
      </c>
      <c r="Q23" s="153">
        <v>1351</v>
      </c>
      <c r="R23" s="153">
        <v>1442</v>
      </c>
      <c r="S23" s="153">
        <v>1459</v>
      </c>
      <c r="T23" s="153">
        <v>1487</v>
      </c>
      <c r="U23" s="153">
        <v>1429</v>
      </c>
      <c r="V23" s="153">
        <v>1451</v>
      </c>
      <c r="W23" s="153">
        <v>1199</v>
      </c>
      <c r="X23" s="153">
        <v>1182</v>
      </c>
      <c r="Y23" s="153">
        <v>1061</v>
      </c>
      <c r="Z23" s="153">
        <v>1018</v>
      </c>
      <c r="AA23" s="153">
        <v>996</v>
      </c>
      <c r="AB23" s="153">
        <v>979</v>
      </c>
      <c r="AC23" s="153">
        <v>1092</v>
      </c>
    </row>
    <row r="24" spans="1:29" x14ac:dyDescent="0.3">
      <c r="B24" s="6" t="s">
        <v>272</v>
      </c>
      <c r="C24" s="7">
        <v>4088326</v>
      </c>
      <c r="D24" s="153">
        <v>75648</v>
      </c>
      <c r="E24" s="153">
        <v>72657</v>
      </c>
      <c r="F24" s="153">
        <v>75188</v>
      </c>
      <c r="G24" s="153">
        <v>74714</v>
      </c>
      <c r="H24" s="153">
        <v>71542</v>
      </c>
      <c r="I24" s="153">
        <v>74250</v>
      </c>
      <c r="J24" s="153">
        <v>71030</v>
      </c>
      <c r="K24" s="153">
        <v>47202</v>
      </c>
      <c r="L24" s="153">
        <v>46734</v>
      </c>
      <c r="M24" s="153">
        <v>46225</v>
      </c>
      <c r="N24" s="153">
        <v>39351</v>
      </c>
      <c r="O24" s="153">
        <v>39587</v>
      </c>
      <c r="P24" s="153">
        <v>39405</v>
      </c>
      <c r="Q24" s="153">
        <v>38811</v>
      </c>
      <c r="R24" s="153">
        <v>39502</v>
      </c>
      <c r="S24" s="153">
        <v>40542</v>
      </c>
      <c r="T24" s="153">
        <v>42048</v>
      </c>
      <c r="U24" s="153">
        <v>45675</v>
      </c>
      <c r="V24" s="153">
        <v>49540</v>
      </c>
      <c r="W24" s="153">
        <v>48359</v>
      </c>
      <c r="X24" s="153" t="s">
        <v>267</v>
      </c>
      <c r="Y24" s="153">
        <v>50795</v>
      </c>
      <c r="Z24" s="153">
        <v>61304</v>
      </c>
      <c r="AA24" s="153">
        <v>51034</v>
      </c>
      <c r="AB24" s="153">
        <v>46325</v>
      </c>
      <c r="AC24" s="153">
        <v>41412</v>
      </c>
    </row>
    <row r="25" spans="1:29" x14ac:dyDescent="0.3">
      <c r="A25" s="1" t="s">
        <v>268</v>
      </c>
      <c r="B25" s="6" t="s">
        <v>273</v>
      </c>
      <c r="C25" s="7">
        <v>4059358</v>
      </c>
      <c r="D25" s="153">
        <v>28364</v>
      </c>
      <c r="E25" s="153">
        <v>28735</v>
      </c>
      <c r="F25" s="153">
        <v>27923</v>
      </c>
      <c r="G25" s="153">
        <v>27947</v>
      </c>
      <c r="H25" s="153">
        <v>25581</v>
      </c>
      <c r="I25" s="153">
        <v>25651</v>
      </c>
      <c r="J25" s="153">
        <v>25536</v>
      </c>
      <c r="K25" s="153">
        <v>25013</v>
      </c>
      <c r="L25" s="153">
        <v>24603</v>
      </c>
      <c r="M25" s="153">
        <v>24403</v>
      </c>
      <c r="N25" s="153">
        <v>22476</v>
      </c>
      <c r="O25" s="153">
        <v>21892</v>
      </c>
      <c r="P25" s="153">
        <v>22498</v>
      </c>
      <c r="Q25" s="153">
        <v>20335</v>
      </c>
      <c r="R25" s="153">
        <v>21324</v>
      </c>
      <c r="S25" s="153">
        <v>22036</v>
      </c>
      <c r="T25" s="153">
        <v>23357</v>
      </c>
      <c r="U25" s="153">
        <v>22859</v>
      </c>
      <c r="V25" s="153">
        <v>23443</v>
      </c>
      <c r="W25" s="153">
        <v>22929</v>
      </c>
      <c r="X25" s="153">
        <v>22489</v>
      </c>
      <c r="Y25" s="153">
        <v>19914</v>
      </c>
      <c r="Z25" s="153">
        <v>17979</v>
      </c>
      <c r="AA25" s="153">
        <v>18540</v>
      </c>
      <c r="AB25" s="153">
        <v>13539</v>
      </c>
      <c r="AC25" s="153">
        <v>12001</v>
      </c>
    </row>
    <row r="26" spans="1:29" x14ac:dyDescent="0.3">
      <c r="B26" s="6" t="s">
        <v>274</v>
      </c>
      <c r="C26" s="7">
        <v>4059359</v>
      </c>
      <c r="D26" s="153">
        <v>13282</v>
      </c>
      <c r="E26" s="153">
        <v>13733</v>
      </c>
      <c r="F26" s="153">
        <v>13443</v>
      </c>
      <c r="G26" s="153">
        <v>12681</v>
      </c>
      <c r="H26" s="153">
        <v>12154</v>
      </c>
      <c r="I26" s="153">
        <v>12613</v>
      </c>
      <c r="J26" s="153">
        <v>11873</v>
      </c>
      <c r="K26" s="153">
        <v>11673</v>
      </c>
      <c r="L26" s="153">
        <v>11329</v>
      </c>
      <c r="M26" s="153">
        <v>11369</v>
      </c>
      <c r="N26" s="153">
        <v>10693</v>
      </c>
      <c r="O26" s="153">
        <v>10496</v>
      </c>
      <c r="P26" s="153">
        <v>10673</v>
      </c>
      <c r="Q26" s="153">
        <v>10272</v>
      </c>
      <c r="R26" s="153">
        <v>10753</v>
      </c>
      <c r="S26" s="153">
        <v>11137</v>
      </c>
      <c r="T26" s="153">
        <v>10923</v>
      </c>
      <c r="U26" s="153">
        <v>12512</v>
      </c>
      <c r="V26" s="153">
        <v>12510</v>
      </c>
      <c r="W26" s="153">
        <v>12487</v>
      </c>
      <c r="X26" s="153">
        <v>12081</v>
      </c>
      <c r="Y26" s="153" t="s">
        <v>267</v>
      </c>
      <c r="Z26" s="153">
        <v>10811</v>
      </c>
      <c r="AA26" s="153">
        <v>9502</v>
      </c>
      <c r="AB26" s="153" t="s">
        <v>267</v>
      </c>
      <c r="AC26" s="153" t="s">
        <v>267</v>
      </c>
    </row>
    <row r="27" spans="1:29" x14ac:dyDescent="0.3">
      <c r="A27" s="1" t="s">
        <v>268</v>
      </c>
      <c r="B27" s="6" t="s">
        <v>202</v>
      </c>
      <c r="C27" s="7">
        <v>4059402</v>
      </c>
      <c r="D27" s="153">
        <v>64136</v>
      </c>
      <c r="E27" s="153">
        <v>61263</v>
      </c>
      <c r="F27" s="153">
        <v>57088</v>
      </c>
      <c r="G27" s="153">
        <v>53292</v>
      </c>
      <c r="H27" s="153">
        <v>52167</v>
      </c>
      <c r="I27" s="153">
        <v>47903</v>
      </c>
      <c r="J27" s="153">
        <v>41371</v>
      </c>
      <c r="K27" s="153">
        <v>41641</v>
      </c>
      <c r="L27" s="153">
        <v>41804</v>
      </c>
      <c r="M27" s="153">
        <v>41140</v>
      </c>
      <c r="N27" s="153">
        <v>41723</v>
      </c>
      <c r="O27" s="153">
        <v>27539</v>
      </c>
      <c r="P27" s="153">
        <v>28499</v>
      </c>
      <c r="Q27" s="153">
        <v>27720</v>
      </c>
      <c r="R27" s="153">
        <v>25742</v>
      </c>
      <c r="S27" s="153">
        <v>25663</v>
      </c>
      <c r="T27" s="153">
        <v>24278</v>
      </c>
      <c r="U27" s="153">
        <v>45485</v>
      </c>
      <c r="V27" s="153">
        <v>48934</v>
      </c>
      <c r="W27" s="153">
        <v>50695</v>
      </c>
      <c r="X27" s="153">
        <v>50487</v>
      </c>
      <c r="Y27" s="153">
        <v>50956</v>
      </c>
      <c r="Z27" s="153">
        <v>47230</v>
      </c>
      <c r="AA27" s="153">
        <v>42679</v>
      </c>
      <c r="AB27" s="153">
        <v>42478</v>
      </c>
      <c r="AC27" s="153">
        <v>44143</v>
      </c>
    </row>
    <row r="28" spans="1:29" x14ac:dyDescent="0.3">
      <c r="A28" s="1" t="s">
        <v>268</v>
      </c>
      <c r="B28" s="6" t="s">
        <v>204</v>
      </c>
      <c r="C28" s="7">
        <v>4057080</v>
      </c>
      <c r="D28" s="153">
        <v>16245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53">
        <v>0</v>
      </c>
      <c r="V28" s="153">
        <v>0</v>
      </c>
      <c r="W28" s="153">
        <v>0</v>
      </c>
      <c r="X28" s="153">
        <v>0</v>
      </c>
      <c r="Y28" s="153">
        <v>0</v>
      </c>
      <c r="Z28" s="153">
        <v>0</v>
      </c>
      <c r="AA28" s="153">
        <v>0</v>
      </c>
      <c r="AB28" s="153">
        <v>0</v>
      </c>
      <c r="AC28" s="153">
        <v>0</v>
      </c>
    </row>
    <row r="29" spans="1:29" x14ac:dyDescent="0.3">
      <c r="B29" s="6" t="s">
        <v>205</v>
      </c>
      <c r="C29" s="7">
        <v>4057081</v>
      </c>
      <c r="D29" s="153">
        <v>249931</v>
      </c>
      <c r="E29" s="153">
        <v>235646</v>
      </c>
      <c r="F29" s="153">
        <v>224020</v>
      </c>
      <c r="G29" s="153">
        <v>207527</v>
      </c>
      <c r="H29" s="153">
        <v>197868</v>
      </c>
      <c r="I29" s="153">
        <v>169876</v>
      </c>
      <c r="J29" s="153">
        <v>131699</v>
      </c>
      <c r="K29" s="153">
        <v>94751</v>
      </c>
      <c r="L29" s="153">
        <v>69584</v>
      </c>
      <c r="M29" s="153">
        <v>67556</v>
      </c>
      <c r="N29" s="153">
        <v>63738</v>
      </c>
      <c r="O29" s="153">
        <v>66471</v>
      </c>
      <c r="P29" s="153">
        <v>61995</v>
      </c>
      <c r="Q29" s="153">
        <v>62226</v>
      </c>
      <c r="R29" s="153">
        <v>52355</v>
      </c>
      <c r="S29" s="153">
        <v>56320</v>
      </c>
      <c r="T29" s="153">
        <v>53853</v>
      </c>
      <c r="U29" s="153">
        <v>70914</v>
      </c>
      <c r="V29" s="153">
        <v>71374</v>
      </c>
      <c r="W29" s="153">
        <v>60786</v>
      </c>
      <c r="X29" s="153">
        <v>64797</v>
      </c>
      <c r="Y29" s="153">
        <v>52280</v>
      </c>
      <c r="Z29" s="153">
        <v>51099</v>
      </c>
      <c r="AA29" s="153">
        <v>49401</v>
      </c>
      <c r="AB29" s="153">
        <v>47469</v>
      </c>
      <c r="AC29" s="153">
        <v>47593</v>
      </c>
    </row>
    <row r="30" spans="1:29" x14ac:dyDescent="0.3">
      <c r="A30" s="1" t="s">
        <v>268</v>
      </c>
      <c r="B30" s="6" t="s">
        <v>207</v>
      </c>
      <c r="C30" s="7">
        <v>4059459</v>
      </c>
      <c r="D30" s="153">
        <v>12071</v>
      </c>
      <c r="E30" s="153">
        <v>11830</v>
      </c>
      <c r="F30" s="153">
        <v>11877</v>
      </c>
      <c r="G30" s="153">
        <v>11308</v>
      </c>
      <c r="H30" s="153">
        <v>10837</v>
      </c>
      <c r="I30" s="153">
        <v>10756</v>
      </c>
      <c r="J30" s="153">
        <v>10460</v>
      </c>
      <c r="K30" s="153">
        <v>9589</v>
      </c>
      <c r="L30" s="153">
        <v>8792</v>
      </c>
      <c r="M30" s="153">
        <v>8100</v>
      </c>
      <c r="N30" s="153">
        <v>7843</v>
      </c>
      <c r="O30" s="153">
        <v>7673</v>
      </c>
      <c r="P30" s="153">
        <v>7635</v>
      </c>
      <c r="Q30" s="153">
        <v>7497</v>
      </c>
      <c r="R30" s="153">
        <v>7233</v>
      </c>
      <c r="S30" s="153">
        <v>7182</v>
      </c>
      <c r="T30" s="153">
        <v>7090</v>
      </c>
      <c r="U30" s="153">
        <v>7010</v>
      </c>
      <c r="V30" s="153">
        <v>7080</v>
      </c>
      <c r="W30" s="153">
        <v>6972</v>
      </c>
      <c r="X30" s="153">
        <v>6826</v>
      </c>
      <c r="Y30" s="153">
        <v>6661</v>
      </c>
      <c r="Z30" s="153">
        <v>6979</v>
      </c>
      <c r="AA30" s="153">
        <v>6832</v>
      </c>
      <c r="AB30" s="153">
        <v>6582</v>
      </c>
      <c r="AC30" s="153">
        <v>6654</v>
      </c>
    </row>
    <row r="31" spans="1:29" x14ac:dyDescent="0.3">
      <c r="B31" s="6" t="s">
        <v>208</v>
      </c>
      <c r="C31" s="7">
        <v>4057118</v>
      </c>
      <c r="D31" s="153">
        <v>19759</v>
      </c>
      <c r="E31" s="153">
        <v>19996</v>
      </c>
      <c r="F31" s="153">
        <v>23181</v>
      </c>
      <c r="G31" s="153">
        <v>24267</v>
      </c>
      <c r="H31" s="153">
        <v>23888</v>
      </c>
      <c r="I31" s="153">
        <v>23644</v>
      </c>
      <c r="J31" s="153">
        <v>23033</v>
      </c>
      <c r="K31" s="153">
        <v>22782</v>
      </c>
      <c r="L31" s="153">
        <v>22596</v>
      </c>
      <c r="M31" s="153">
        <v>22579</v>
      </c>
      <c r="N31" s="153">
        <v>21966</v>
      </c>
      <c r="O31" s="153">
        <v>21242</v>
      </c>
      <c r="P31" s="153">
        <v>20825</v>
      </c>
      <c r="Q31" s="153">
        <v>20231</v>
      </c>
      <c r="R31" s="153">
        <v>19294</v>
      </c>
      <c r="S31" s="153">
        <v>19077</v>
      </c>
      <c r="T31" s="153">
        <v>19046</v>
      </c>
      <c r="U31" s="153">
        <v>18941</v>
      </c>
      <c r="V31" s="153">
        <v>17803</v>
      </c>
      <c r="W31" s="153">
        <v>15894</v>
      </c>
      <c r="X31" s="153">
        <v>15368</v>
      </c>
      <c r="Y31" s="153">
        <v>15239</v>
      </c>
      <c r="Z31" s="153">
        <v>14554</v>
      </c>
      <c r="AA31" s="153">
        <v>13822</v>
      </c>
      <c r="AB31" s="153">
        <v>12913</v>
      </c>
      <c r="AC31" s="153">
        <v>11191</v>
      </c>
    </row>
    <row r="32" spans="1:29" x14ac:dyDescent="0.3">
      <c r="B32" s="6" t="s">
        <v>210</v>
      </c>
      <c r="C32" s="7">
        <v>4057126</v>
      </c>
      <c r="D32" s="153">
        <v>322659</v>
      </c>
      <c r="E32" s="153">
        <v>307929</v>
      </c>
      <c r="F32" s="153">
        <v>260249</v>
      </c>
      <c r="G32" s="153">
        <v>221693</v>
      </c>
      <c r="H32" s="153">
        <v>213761</v>
      </c>
      <c r="I32" s="153">
        <v>206941</v>
      </c>
      <c r="J32" s="153">
        <v>202494</v>
      </c>
      <c r="K32" s="153">
        <v>187002</v>
      </c>
      <c r="L32" s="153">
        <v>183292</v>
      </c>
      <c r="M32" s="153">
        <v>183536</v>
      </c>
      <c r="N32" s="153">
        <v>177530</v>
      </c>
      <c r="O32" s="153">
        <v>201518</v>
      </c>
      <c r="P32" s="153">
        <v>250232</v>
      </c>
      <c r="Q32" s="153">
        <v>222157</v>
      </c>
      <c r="R32" s="153">
        <v>231062</v>
      </c>
      <c r="S32" s="153">
        <v>233946</v>
      </c>
      <c r="T32" s="153">
        <v>236881</v>
      </c>
      <c r="U32" s="153">
        <v>246974</v>
      </c>
      <c r="V32" s="153">
        <v>331641</v>
      </c>
      <c r="W32" s="153">
        <v>327207</v>
      </c>
      <c r="X32" s="153">
        <v>323435</v>
      </c>
      <c r="Y32" s="153">
        <v>312886</v>
      </c>
      <c r="Z32" s="153">
        <v>292000</v>
      </c>
      <c r="AA32" s="153">
        <v>248778</v>
      </c>
      <c r="AB32" s="153">
        <v>247418</v>
      </c>
      <c r="AC32" s="153">
        <v>229403</v>
      </c>
    </row>
    <row r="33" spans="1:29" x14ac:dyDescent="0.3">
      <c r="B33" s="6" t="s">
        <v>275</v>
      </c>
      <c r="C33" s="7">
        <v>4057103</v>
      </c>
      <c r="D33" s="153" t="s">
        <v>267</v>
      </c>
      <c r="E33" s="153">
        <v>13290</v>
      </c>
      <c r="F33" s="153">
        <v>11788</v>
      </c>
      <c r="G33" s="153">
        <v>1798</v>
      </c>
      <c r="H33" s="153" t="s">
        <v>267</v>
      </c>
      <c r="I33" s="153">
        <v>3207</v>
      </c>
      <c r="J33" s="153">
        <v>3159</v>
      </c>
      <c r="K33" s="153">
        <v>3048</v>
      </c>
      <c r="L33" s="153">
        <v>3286</v>
      </c>
      <c r="M33" s="153">
        <v>3203</v>
      </c>
      <c r="N33" s="153">
        <v>3158</v>
      </c>
      <c r="O33" s="153">
        <v>3000</v>
      </c>
      <c r="P33" s="153">
        <v>2100</v>
      </c>
      <c r="Q33" s="153">
        <v>1979</v>
      </c>
      <c r="R33" s="153">
        <v>1974</v>
      </c>
      <c r="S33" s="153">
        <v>1942</v>
      </c>
      <c r="T33" s="153">
        <v>1922</v>
      </c>
      <c r="U33" s="153">
        <v>1873</v>
      </c>
      <c r="V33" s="153">
        <v>2125</v>
      </c>
      <c r="W33" s="153">
        <v>2717</v>
      </c>
      <c r="X33" s="153">
        <v>3725</v>
      </c>
      <c r="Y33" s="153">
        <v>3275</v>
      </c>
      <c r="Z33" s="153">
        <v>3389</v>
      </c>
      <c r="AA33" s="153">
        <v>3553</v>
      </c>
      <c r="AB33" s="153">
        <v>3652</v>
      </c>
      <c r="AC33" s="153">
        <v>3639</v>
      </c>
    </row>
    <row r="34" spans="1:29" x14ac:dyDescent="0.3">
      <c r="B34" s="6" t="s">
        <v>211</v>
      </c>
      <c r="C34" s="7">
        <v>4057079</v>
      </c>
      <c r="D34" s="153">
        <v>87731</v>
      </c>
      <c r="E34" s="153">
        <v>73276</v>
      </c>
      <c r="F34" s="153">
        <v>64078</v>
      </c>
      <c r="G34" s="153">
        <v>54320</v>
      </c>
      <c r="H34" s="153">
        <v>52894</v>
      </c>
      <c r="I34" s="153">
        <v>52808</v>
      </c>
      <c r="J34" s="153">
        <v>50959</v>
      </c>
      <c r="K34" s="153">
        <v>48017</v>
      </c>
      <c r="L34" s="153">
        <v>40995</v>
      </c>
      <c r="M34" s="153">
        <v>14005</v>
      </c>
      <c r="N34" s="153">
        <v>13067</v>
      </c>
      <c r="O34" s="153">
        <v>12378</v>
      </c>
      <c r="P34" s="153">
        <v>11394</v>
      </c>
      <c r="Q34" s="153">
        <v>11211</v>
      </c>
      <c r="R34" s="153">
        <v>10811</v>
      </c>
      <c r="S34" s="153">
        <v>10689</v>
      </c>
      <c r="T34" s="153">
        <v>10476</v>
      </c>
      <c r="U34" s="153">
        <v>9063</v>
      </c>
      <c r="V34" s="153">
        <v>10565</v>
      </c>
      <c r="W34" s="153">
        <v>11930</v>
      </c>
      <c r="X34" s="153">
        <v>13855</v>
      </c>
      <c r="Y34" s="153">
        <v>12337</v>
      </c>
      <c r="Z34" s="153">
        <v>12794</v>
      </c>
      <c r="AA34" s="153">
        <v>13706</v>
      </c>
      <c r="AB34" s="153">
        <v>14036</v>
      </c>
      <c r="AC34" s="153">
        <v>13894</v>
      </c>
    </row>
    <row r="35" spans="1:29" x14ac:dyDescent="0.3">
      <c r="B35" s="6" t="s">
        <v>276</v>
      </c>
      <c r="C35" s="7">
        <v>4081251</v>
      </c>
      <c r="D35" s="153" t="s">
        <v>267</v>
      </c>
      <c r="E35" s="153">
        <v>495</v>
      </c>
      <c r="F35" s="153">
        <v>463</v>
      </c>
      <c r="G35" s="153">
        <v>455</v>
      </c>
      <c r="H35" s="153">
        <v>431</v>
      </c>
      <c r="I35" s="153">
        <v>458</v>
      </c>
      <c r="J35" s="153">
        <v>392</v>
      </c>
      <c r="K35" s="153">
        <v>306</v>
      </c>
      <c r="L35" s="153">
        <v>306</v>
      </c>
      <c r="M35" s="153">
        <v>306</v>
      </c>
      <c r="N35" s="153">
        <v>303</v>
      </c>
      <c r="O35" s="153">
        <v>327</v>
      </c>
      <c r="P35" s="153">
        <v>322</v>
      </c>
      <c r="Q35" s="153">
        <v>325</v>
      </c>
      <c r="R35" s="153">
        <v>289</v>
      </c>
      <c r="S35" s="153">
        <v>254</v>
      </c>
      <c r="T35" s="153">
        <v>172</v>
      </c>
      <c r="U35" s="153">
        <v>149</v>
      </c>
      <c r="V35" s="153">
        <v>148</v>
      </c>
      <c r="W35" s="153">
        <v>146</v>
      </c>
      <c r="X35" s="153">
        <v>159</v>
      </c>
      <c r="Y35" s="153" t="s">
        <v>267</v>
      </c>
      <c r="Z35" s="153" t="s">
        <v>267</v>
      </c>
      <c r="AA35" s="153" t="s">
        <v>267</v>
      </c>
      <c r="AB35" s="153" t="s">
        <v>267</v>
      </c>
      <c r="AC35" s="153" t="s">
        <v>267</v>
      </c>
    </row>
    <row r="36" spans="1:29" x14ac:dyDescent="0.3">
      <c r="B36" s="6" t="s">
        <v>277</v>
      </c>
      <c r="C36" s="7">
        <v>4060572</v>
      </c>
      <c r="D36" s="153">
        <v>17638</v>
      </c>
      <c r="E36" s="153">
        <v>15170</v>
      </c>
      <c r="F36" s="153">
        <v>15671</v>
      </c>
      <c r="G36" s="153">
        <v>14892</v>
      </c>
      <c r="H36" s="153">
        <v>12235</v>
      </c>
      <c r="I36" s="153">
        <v>12292</v>
      </c>
      <c r="J36" s="153">
        <v>11287</v>
      </c>
      <c r="K36" s="153">
        <v>11301</v>
      </c>
      <c r="L36" s="153">
        <v>10696</v>
      </c>
      <c r="M36" s="153">
        <v>9134</v>
      </c>
      <c r="N36" s="153">
        <v>8542</v>
      </c>
      <c r="O36" s="153">
        <v>8518</v>
      </c>
      <c r="P36" s="153">
        <v>7996</v>
      </c>
      <c r="Q36" s="153">
        <v>7883</v>
      </c>
      <c r="R36" s="153">
        <v>8246</v>
      </c>
      <c r="S36" s="153">
        <v>11060</v>
      </c>
      <c r="T36" s="153">
        <v>11200</v>
      </c>
      <c r="U36" s="153">
        <v>10709</v>
      </c>
      <c r="V36" s="153">
        <v>10251</v>
      </c>
      <c r="W36" s="153">
        <v>9972</v>
      </c>
      <c r="X36" s="153">
        <v>11528</v>
      </c>
      <c r="Y36" s="153" t="s">
        <v>267</v>
      </c>
      <c r="Z36" s="153" t="s">
        <v>267</v>
      </c>
      <c r="AA36" s="153">
        <v>14063</v>
      </c>
      <c r="AB36" s="153">
        <v>9893</v>
      </c>
      <c r="AC36" s="153">
        <v>9423</v>
      </c>
    </row>
    <row r="37" spans="1:29" x14ac:dyDescent="0.3">
      <c r="B37" s="6" t="s">
        <v>278</v>
      </c>
      <c r="C37" s="7">
        <v>4083318</v>
      </c>
      <c r="D37" s="153">
        <v>3146</v>
      </c>
      <c r="E37" s="153">
        <v>2999</v>
      </c>
      <c r="F37" s="153">
        <v>3454</v>
      </c>
      <c r="G37" s="153">
        <v>3641</v>
      </c>
      <c r="H37" s="153">
        <v>3334</v>
      </c>
      <c r="I37" s="153">
        <v>3098</v>
      </c>
      <c r="J37" s="153">
        <v>2650</v>
      </c>
      <c r="K37" s="153">
        <v>2496</v>
      </c>
      <c r="L37" s="153">
        <v>2315</v>
      </c>
      <c r="M37" s="153">
        <v>2161</v>
      </c>
      <c r="N37" s="153">
        <v>2074</v>
      </c>
      <c r="O37" s="153">
        <v>1941</v>
      </c>
      <c r="P37" s="153">
        <v>1872</v>
      </c>
      <c r="Q37" s="153">
        <v>1854</v>
      </c>
      <c r="R37" s="153">
        <v>1818</v>
      </c>
      <c r="S37" s="153">
        <v>1652</v>
      </c>
      <c r="T37" s="153">
        <v>1704</v>
      </c>
      <c r="U37" s="153">
        <v>1681</v>
      </c>
      <c r="V37" s="153">
        <v>1906</v>
      </c>
      <c r="W37" s="153" t="s">
        <v>267</v>
      </c>
      <c r="X37" s="153" t="s">
        <v>267</v>
      </c>
      <c r="Y37" s="153" t="s">
        <v>267</v>
      </c>
      <c r="Z37" s="153" t="s">
        <v>267</v>
      </c>
      <c r="AA37" s="153" t="s">
        <v>267</v>
      </c>
      <c r="AB37" s="153">
        <v>1075</v>
      </c>
      <c r="AC37" s="153">
        <v>928</v>
      </c>
    </row>
    <row r="38" spans="1:29" x14ac:dyDescent="0.3">
      <c r="B38" s="6" t="s">
        <v>279</v>
      </c>
      <c r="C38" s="7">
        <v>4057125</v>
      </c>
      <c r="D38" s="153">
        <v>105759</v>
      </c>
      <c r="E38" s="153">
        <v>105619</v>
      </c>
      <c r="F38" s="153">
        <v>98374</v>
      </c>
      <c r="G38" s="153">
        <v>77743</v>
      </c>
      <c r="H38" s="153">
        <v>76663</v>
      </c>
      <c r="I38" s="153">
        <v>74624</v>
      </c>
      <c r="J38" s="153">
        <v>67618</v>
      </c>
      <c r="K38" s="153">
        <v>64626</v>
      </c>
      <c r="L38" s="153">
        <v>64309</v>
      </c>
      <c r="M38" s="153">
        <v>58071</v>
      </c>
      <c r="N38" s="153">
        <v>58228</v>
      </c>
      <c r="O38" s="153">
        <v>58545</v>
      </c>
      <c r="P38" s="153">
        <v>54192</v>
      </c>
      <c r="Q38" s="153">
        <v>52931</v>
      </c>
      <c r="R38" s="153">
        <v>49259</v>
      </c>
      <c r="S38" s="153">
        <v>49714</v>
      </c>
      <c r="T38" s="153">
        <v>48145</v>
      </c>
      <c r="U38" s="153">
        <v>44604</v>
      </c>
      <c r="V38" s="153">
        <v>44859</v>
      </c>
      <c r="W38" s="153">
        <v>46393</v>
      </c>
      <c r="X38" s="153">
        <v>44717</v>
      </c>
      <c r="Y38" s="153">
        <v>44451</v>
      </c>
      <c r="Z38" s="153">
        <v>45849</v>
      </c>
      <c r="AA38" s="153">
        <v>60915</v>
      </c>
      <c r="AB38" s="153">
        <v>91935</v>
      </c>
      <c r="AC38" s="153">
        <v>85271</v>
      </c>
    </row>
    <row r="39" spans="1:29" x14ac:dyDescent="0.3">
      <c r="B39" s="6" t="s">
        <v>280</v>
      </c>
      <c r="C39" s="7">
        <v>4087741</v>
      </c>
      <c r="D39" s="153" t="s">
        <v>267</v>
      </c>
      <c r="E39" s="153" t="s">
        <v>267</v>
      </c>
      <c r="F39" s="153">
        <v>122162</v>
      </c>
      <c r="G39" s="153">
        <v>112757</v>
      </c>
      <c r="H39" s="153">
        <v>109120</v>
      </c>
      <c r="I39" s="153">
        <v>107290</v>
      </c>
      <c r="J39" s="153">
        <v>107277</v>
      </c>
      <c r="K39" s="153">
        <v>101596</v>
      </c>
      <c r="L39" s="153">
        <v>99414</v>
      </c>
      <c r="M39" s="153">
        <v>93064</v>
      </c>
      <c r="N39" s="153">
        <v>90233</v>
      </c>
      <c r="O39" s="153">
        <v>85011</v>
      </c>
      <c r="P39" s="153">
        <v>82765</v>
      </c>
      <c r="Q39" s="153">
        <v>78814</v>
      </c>
      <c r="R39" s="153">
        <v>90357</v>
      </c>
      <c r="S39" s="153">
        <v>90869</v>
      </c>
      <c r="T39" s="153">
        <v>87517</v>
      </c>
      <c r="U39" s="153">
        <v>77823</v>
      </c>
      <c r="V39" s="153">
        <v>75574</v>
      </c>
      <c r="W39" s="153" t="s">
        <v>267</v>
      </c>
      <c r="X39" s="153">
        <v>69817</v>
      </c>
      <c r="Y39" s="153" t="s">
        <v>267</v>
      </c>
      <c r="Z39" s="153" t="s">
        <v>267</v>
      </c>
      <c r="AA39" s="153" t="s">
        <v>267</v>
      </c>
      <c r="AB39" s="153" t="s">
        <v>267</v>
      </c>
      <c r="AC39" s="153" t="s">
        <v>267</v>
      </c>
    </row>
    <row r="40" spans="1:29" x14ac:dyDescent="0.3">
      <c r="B40" s="6" t="s">
        <v>281</v>
      </c>
      <c r="C40" s="7">
        <v>4059875</v>
      </c>
      <c r="D40" s="153">
        <v>44408</v>
      </c>
      <c r="E40" s="153">
        <v>35939</v>
      </c>
      <c r="F40" s="153">
        <v>29522</v>
      </c>
      <c r="G40" s="153">
        <v>24927</v>
      </c>
      <c r="H40" s="153">
        <v>23326</v>
      </c>
      <c r="I40" s="153">
        <v>18670</v>
      </c>
      <c r="J40" s="153">
        <v>10591</v>
      </c>
      <c r="K40" s="153">
        <v>9474</v>
      </c>
      <c r="L40" s="153">
        <v>8146</v>
      </c>
      <c r="M40" s="153">
        <v>16197</v>
      </c>
      <c r="N40" s="153">
        <v>16061</v>
      </c>
      <c r="O40" s="153">
        <v>16049</v>
      </c>
      <c r="P40" s="153">
        <v>15098</v>
      </c>
      <c r="Q40" s="153">
        <v>12089</v>
      </c>
      <c r="R40" s="153">
        <v>11333</v>
      </c>
      <c r="S40" s="153">
        <v>10220</v>
      </c>
      <c r="T40" s="153">
        <v>10444</v>
      </c>
      <c r="U40" s="153">
        <v>11582</v>
      </c>
      <c r="V40" s="153">
        <v>20388</v>
      </c>
      <c r="W40" s="153" t="s">
        <v>267</v>
      </c>
      <c r="X40" s="153">
        <v>11051</v>
      </c>
      <c r="Y40" s="153">
        <v>10976</v>
      </c>
      <c r="Z40" s="153">
        <v>9221</v>
      </c>
      <c r="AA40" s="153">
        <v>8948</v>
      </c>
      <c r="AB40" s="153">
        <v>8666</v>
      </c>
      <c r="AC40" s="153">
        <v>8021</v>
      </c>
    </row>
    <row r="41" spans="1:29" x14ac:dyDescent="0.3">
      <c r="B41" s="6" t="s">
        <v>212</v>
      </c>
      <c r="C41" s="7">
        <v>4057090</v>
      </c>
      <c r="D41" s="153">
        <v>15890</v>
      </c>
      <c r="E41" s="153">
        <v>14848</v>
      </c>
      <c r="F41" s="153">
        <v>13897</v>
      </c>
      <c r="G41" s="153">
        <v>12382</v>
      </c>
      <c r="H41" s="153">
        <v>12101</v>
      </c>
      <c r="I41" s="153">
        <v>11065</v>
      </c>
      <c r="J41" s="153">
        <v>10992</v>
      </c>
      <c r="K41" s="153">
        <v>9476</v>
      </c>
      <c r="L41" s="153">
        <v>9274</v>
      </c>
      <c r="M41" s="153">
        <v>8467</v>
      </c>
      <c r="N41" s="153">
        <v>9305</v>
      </c>
      <c r="O41" s="153">
        <v>9226</v>
      </c>
      <c r="P41" s="153">
        <v>9038</v>
      </c>
      <c r="Q41" s="153">
        <v>9033</v>
      </c>
      <c r="R41" s="153">
        <v>10346</v>
      </c>
      <c r="S41" s="153">
        <v>9747</v>
      </c>
      <c r="T41" s="153">
        <v>9273</v>
      </c>
      <c r="U41" s="153">
        <v>8822</v>
      </c>
      <c r="V41" s="153">
        <v>8983</v>
      </c>
      <c r="W41" s="153">
        <v>10342</v>
      </c>
      <c r="X41" s="153">
        <v>10926</v>
      </c>
      <c r="Y41" s="153">
        <v>10583</v>
      </c>
      <c r="Z41" s="153">
        <v>10092</v>
      </c>
      <c r="AA41" s="153">
        <v>11387</v>
      </c>
      <c r="AB41" s="153">
        <v>11103</v>
      </c>
      <c r="AC41" s="153">
        <v>10798</v>
      </c>
    </row>
    <row r="42" spans="1:29" x14ac:dyDescent="0.3">
      <c r="B42" s="6" t="s">
        <v>213</v>
      </c>
      <c r="C42" s="7">
        <v>4008754</v>
      </c>
      <c r="D42" s="153">
        <v>6091</v>
      </c>
      <c r="E42" s="153">
        <v>5626</v>
      </c>
      <c r="F42" s="153">
        <v>3569</v>
      </c>
      <c r="G42" s="153">
        <v>3368</v>
      </c>
      <c r="H42" s="153">
        <v>3304</v>
      </c>
      <c r="I42" s="153">
        <v>4783</v>
      </c>
      <c r="J42" s="153">
        <v>4589</v>
      </c>
      <c r="K42" s="153">
        <v>4413</v>
      </c>
      <c r="L42" s="153">
        <v>4173</v>
      </c>
      <c r="M42" s="153">
        <v>4137</v>
      </c>
      <c r="N42" s="153">
        <v>4041</v>
      </c>
      <c r="O42" s="153">
        <v>4005</v>
      </c>
      <c r="P42" s="153">
        <v>3827</v>
      </c>
      <c r="Q42" s="153">
        <v>3660</v>
      </c>
      <c r="R42" s="153">
        <v>3524</v>
      </c>
      <c r="S42" s="153">
        <v>3421</v>
      </c>
      <c r="T42" s="153">
        <v>3392</v>
      </c>
      <c r="U42" s="153">
        <v>3304</v>
      </c>
      <c r="V42" s="153">
        <v>3042</v>
      </c>
      <c r="W42" s="153">
        <v>2952</v>
      </c>
      <c r="X42" s="153">
        <v>2644</v>
      </c>
      <c r="Y42" s="153">
        <v>2522</v>
      </c>
      <c r="Z42" s="153">
        <v>2440</v>
      </c>
      <c r="AA42" s="153">
        <v>2364</v>
      </c>
      <c r="AB42" s="153">
        <v>2865</v>
      </c>
      <c r="AC42" s="153">
        <v>2547</v>
      </c>
    </row>
    <row r="43" spans="1:29" x14ac:dyDescent="0.3">
      <c r="B43" s="6" t="s">
        <v>282</v>
      </c>
      <c r="C43" s="7">
        <v>4061474</v>
      </c>
      <c r="D43" s="153">
        <v>5149</v>
      </c>
      <c r="E43" s="153">
        <v>5108</v>
      </c>
      <c r="F43" s="153">
        <v>4847</v>
      </c>
      <c r="G43" s="153">
        <v>4701</v>
      </c>
      <c r="H43" s="153">
        <v>4640</v>
      </c>
      <c r="I43" s="153">
        <v>4630</v>
      </c>
      <c r="J43" s="153">
        <v>4556</v>
      </c>
      <c r="K43" s="153">
        <v>4261</v>
      </c>
      <c r="L43" s="153">
        <v>4153</v>
      </c>
      <c r="M43" s="153">
        <v>3946</v>
      </c>
      <c r="N43" s="153">
        <v>2941</v>
      </c>
      <c r="O43" s="153">
        <v>2409</v>
      </c>
      <c r="P43" s="153">
        <v>2270</v>
      </c>
      <c r="Q43" s="153">
        <v>2192</v>
      </c>
      <c r="R43" s="153">
        <v>2123</v>
      </c>
      <c r="S43" s="153">
        <v>1477</v>
      </c>
      <c r="T43" s="153">
        <v>1425</v>
      </c>
      <c r="U43" s="153">
        <v>1432</v>
      </c>
      <c r="V43" s="153">
        <v>1376</v>
      </c>
      <c r="W43" s="153" t="s">
        <v>267</v>
      </c>
      <c r="X43" s="153">
        <v>1347</v>
      </c>
      <c r="Y43" s="153" t="s">
        <v>267</v>
      </c>
      <c r="Z43" s="153" t="s">
        <v>267</v>
      </c>
      <c r="AA43" s="153">
        <v>1205</v>
      </c>
      <c r="AB43" s="153">
        <v>1172</v>
      </c>
      <c r="AC43" s="153">
        <v>1101</v>
      </c>
    </row>
    <row r="44" spans="1:29" x14ac:dyDescent="0.3">
      <c r="B44" s="6" t="s">
        <v>283</v>
      </c>
      <c r="C44" s="7">
        <v>4076679</v>
      </c>
      <c r="D44" s="153">
        <v>3744</v>
      </c>
      <c r="E44" s="153">
        <v>3038</v>
      </c>
      <c r="F44" s="153">
        <v>2868</v>
      </c>
      <c r="G44" s="153">
        <v>2829</v>
      </c>
      <c r="H44" s="153">
        <v>2479</v>
      </c>
      <c r="I44" s="153">
        <v>2376</v>
      </c>
      <c r="J44" s="153">
        <v>2252</v>
      </c>
      <c r="K44" s="153">
        <v>2130</v>
      </c>
      <c r="L44" s="153">
        <v>2009</v>
      </c>
      <c r="M44" s="153">
        <v>1874</v>
      </c>
      <c r="N44" s="153">
        <v>1571</v>
      </c>
      <c r="O44" s="153">
        <v>1496</v>
      </c>
      <c r="P44" s="153">
        <v>1420</v>
      </c>
      <c r="Q44" s="153">
        <v>1394</v>
      </c>
      <c r="R44" s="153">
        <v>1315</v>
      </c>
      <c r="S44" s="153">
        <v>1298</v>
      </c>
      <c r="T44" s="153">
        <v>1080</v>
      </c>
      <c r="U44" s="153">
        <v>1008</v>
      </c>
      <c r="V44" s="153">
        <v>914</v>
      </c>
      <c r="W44" s="153">
        <v>856</v>
      </c>
      <c r="X44" s="153">
        <v>744</v>
      </c>
      <c r="Y44" s="153" t="s">
        <v>267</v>
      </c>
      <c r="Z44" s="153" t="s">
        <v>267</v>
      </c>
      <c r="AA44" s="153" t="s">
        <v>267</v>
      </c>
      <c r="AB44" s="153" t="s">
        <v>267</v>
      </c>
      <c r="AC44" s="153" t="s">
        <v>267</v>
      </c>
    </row>
    <row r="45" spans="1:29" x14ac:dyDescent="0.3">
      <c r="B45" s="6" t="s">
        <v>215</v>
      </c>
      <c r="C45" s="7">
        <v>4061634</v>
      </c>
      <c r="D45" s="153">
        <v>36377</v>
      </c>
      <c r="E45" s="153">
        <v>34782</v>
      </c>
      <c r="F45" s="153">
        <v>34711</v>
      </c>
      <c r="G45" s="153">
        <v>33370</v>
      </c>
      <c r="H45" s="153">
        <v>32078</v>
      </c>
      <c r="I45" s="153">
        <v>34910</v>
      </c>
      <c r="J45" s="153">
        <v>34405</v>
      </c>
      <c r="K45" s="153">
        <v>28250</v>
      </c>
      <c r="L45" s="153">
        <v>24804</v>
      </c>
      <c r="M45" s="153">
        <v>25300</v>
      </c>
      <c r="N45" s="153">
        <v>26230</v>
      </c>
      <c r="O45" s="153">
        <v>21132</v>
      </c>
      <c r="P45" s="153">
        <v>21130</v>
      </c>
      <c r="Q45" s="153">
        <v>21545</v>
      </c>
      <c r="R45" s="153">
        <v>37218</v>
      </c>
      <c r="S45" s="153">
        <v>36431</v>
      </c>
      <c r="T45" s="153">
        <v>35516</v>
      </c>
      <c r="U45" s="153">
        <v>36312</v>
      </c>
      <c r="V45" s="153">
        <v>37202</v>
      </c>
      <c r="W45" s="153">
        <v>38525</v>
      </c>
      <c r="X45" s="153">
        <v>31778</v>
      </c>
      <c r="Y45" s="153">
        <v>28814</v>
      </c>
      <c r="Z45" s="153">
        <v>24710</v>
      </c>
      <c r="AA45" s="153">
        <v>21760</v>
      </c>
      <c r="AB45" s="153">
        <v>18453</v>
      </c>
      <c r="AC45" s="153">
        <v>17544</v>
      </c>
    </row>
    <row r="46" spans="1:29" x14ac:dyDescent="0.3">
      <c r="B46" s="6" t="s">
        <v>216</v>
      </c>
      <c r="C46" s="7">
        <v>4061687</v>
      </c>
      <c r="D46" s="153">
        <v>108712</v>
      </c>
      <c r="E46" s="153">
        <v>101354</v>
      </c>
      <c r="F46" s="153">
        <v>100616</v>
      </c>
      <c r="G46" s="153">
        <v>98233</v>
      </c>
      <c r="H46" s="153">
        <v>93775</v>
      </c>
      <c r="I46" s="153">
        <v>89620</v>
      </c>
      <c r="J46" s="153">
        <v>82922</v>
      </c>
      <c r="K46" s="153">
        <v>73357</v>
      </c>
      <c r="L46" s="153">
        <v>72464</v>
      </c>
      <c r="M46" s="153">
        <v>71185</v>
      </c>
      <c r="N46" s="153">
        <v>66186</v>
      </c>
      <c r="O46" s="153">
        <v>63872</v>
      </c>
      <c r="P46" s="153">
        <v>63133</v>
      </c>
      <c r="Q46" s="153">
        <v>60226</v>
      </c>
      <c r="R46" s="153">
        <v>49221</v>
      </c>
      <c r="S46" s="153">
        <v>56937</v>
      </c>
      <c r="T46" s="153">
        <v>56139</v>
      </c>
      <c r="U46" s="153">
        <v>52459</v>
      </c>
      <c r="V46" s="153">
        <v>53332</v>
      </c>
      <c r="W46" s="153">
        <v>53276</v>
      </c>
      <c r="X46" s="153">
        <v>64706</v>
      </c>
      <c r="Y46" s="153">
        <v>54069</v>
      </c>
      <c r="Z46" s="153">
        <v>53228</v>
      </c>
      <c r="AA46" s="153">
        <v>54005</v>
      </c>
      <c r="AB46" s="153">
        <v>56015</v>
      </c>
      <c r="AC46" s="153">
        <v>54937</v>
      </c>
    </row>
    <row r="47" spans="1:29" x14ac:dyDescent="0.3">
      <c r="A47" s="1" t="s">
        <v>268</v>
      </c>
      <c r="B47" s="6" t="s">
        <v>217</v>
      </c>
      <c r="C47" s="7">
        <v>4061755</v>
      </c>
      <c r="D47" s="153">
        <v>153404</v>
      </c>
      <c r="E47" s="153">
        <v>126209</v>
      </c>
      <c r="F47" s="153">
        <v>116536</v>
      </c>
      <c r="G47" s="153">
        <v>111964</v>
      </c>
      <c r="H47" s="153">
        <v>102230</v>
      </c>
      <c r="I47" s="153">
        <v>71033</v>
      </c>
      <c r="J47" s="153">
        <v>61095</v>
      </c>
      <c r="K47" s="153">
        <v>57944</v>
      </c>
      <c r="L47" s="153">
        <v>52438</v>
      </c>
      <c r="M47" s="153">
        <v>47511</v>
      </c>
      <c r="N47" s="153">
        <v>67839</v>
      </c>
      <c r="O47" s="153">
        <v>58483</v>
      </c>
      <c r="P47" s="153">
        <v>55177</v>
      </c>
      <c r="Q47" s="153">
        <v>53470</v>
      </c>
      <c r="R47" s="153">
        <v>50098</v>
      </c>
      <c r="S47" s="153">
        <v>49644</v>
      </c>
      <c r="T47" s="153">
        <v>52167</v>
      </c>
      <c r="U47" s="153">
        <v>55921</v>
      </c>
      <c r="V47" s="153">
        <v>53966</v>
      </c>
      <c r="W47" s="153">
        <v>54240</v>
      </c>
      <c r="X47" s="153">
        <v>52921</v>
      </c>
      <c r="Y47" s="153">
        <v>58276</v>
      </c>
      <c r="Z47" s="153">
        <v>55873</v>
      </c>
      <c r="AA47" s="153">
        <v>52178</v>
      </c>
      <c r="AB47" s="153">
        <v>37691</v>
      </c>
      <c r="AC47" s="153">
        <v>36553</v>
      </c>
    </row>
    <row r="48" spans="1:29" x14ac:dyDescent="0.3">
      <c r="A48" s="1" t="s">
        <v>268</v>
      </c>
      <c r="B48" s="6" t="s">
        <v>219</v>
      </c>
      <c r="C48" s="7">
        <v>4004389</v>
      </c>
      <c r="D48" s="153">
        <v>24645</v>
      </c>
      <c r="E48" s="153">
        <v>23903</v>
      </c>
      <c r="F48" s="153">
        <v>23335</v>
      </c>
      <c r="G48" s="153">
        <v>22443</v>
      </c>
      <c r="H48" s="153">
        <v>21816</v>
      </c>
      <c r="I48" s="153">
        <v>21062</v>
      </c>
      <c r="J48" s="153">
        <v>21299</v>
      </c>
      <c r="K48" s="153">
        <v>24945</v>
      </c>
      <c r="L48" s="153">
        <v>23189</v>
      </c>
      <c r="M48" s="153">
        <v>21473</v>
      </c>
      <c r="N48" s="153">
        <v>23043</v>
      </c>
      <c r="O48" s="153">
        <v>23086</v>
      </c>
      <c r="P48" s="153">
        <v>22471</v>
      </c>
      <c r="Q48" s="153">
        <v>21979</v>
      </c>
      <c r="R48" s="153">
        <v>21250</v>
      </c>
      <c r="S48" s="153">
        <v>19731</v>
      </c>
      <c r="T48" s="153">
        <v>19990</v>
      </c>
      <c r="U48" s="153">
        <v>24498</v>
      </c>
      <c r="V48" s="153">
        <v>25496</v>
      </c>
      <c r="W48" s="153">
        <v>25053</v>
      </c>
      <c r="X48" s="153">
        <v>26065</v>
      </c>
      <c r="Y48" s="153">
        <v>24324</v>
      </c>
      <c r="Z48" s="153">
        <v>23912</v>
      </c>
      <c r="AA48" s="153">
        <v>23567</v>
      </c>
      <c r="AB48" s="153">
        <v>14486</v>
      </c>
      <c r="AC48" s="153">
        <v>10892</v>
      </c>
    </row>
    <row r="49" spans="1:29" x14ac:dyDescent="0.3">
      <c r="A49" s="1" t="s">
        <v>268</v>
      </c>
      <c r="B49" s="6" t="s">
        <v>220</v>
      </c>
      <c r="C49" s="7">
        <v>4057014</v>
      </c>
      <c r="D49" s="153">
        <v>90919</v>
      </c>
      <c r="E49" s="153">
        <v>90258</v>
      </c>
      <c r="F49" s="153">
        <v>85812</v>
      </c>
      <c r="G49" s="153">
        <v>83793</v>
      </c>
      <c r="H49" s="153">
        <v>80296</v>
      </c>
      <c r="I49" s="153">
        <v>90552</v>
      </c>
      <c r="J49" s="153">
        <v>87496</v>
      </c>
      <c r="K49" s="153">
        <v>82024</v>
      </c>
      <c r="L49" s="153">
        <v>79598</v>
      </c>
      <c r="M49" s="153">
        <v>77749</v>
      </c>
      <c r="N49" s="153">
        <v>76492</v>
      </c>
      <c r="O49" s="153">
        <v>71145</v>
      </c>
      <c r="P49" s="153">
        <v>68055</v>
      </c>
      <c r="Q49" s="153">
        <v>65203</v>
      </c>
      <c r="R49" s="153">
        <v>52673</v>
      </c>
      <c r="S49" s="153">
        <v>52709</v>
      </c>
      <c r="T49" s="153">
        <v>52963</v>
      </c>
      <c r="U49" s="153">
        <v>52986</v>
      </c>
      <c r="V49" s="153">
        <v>33443</v>
      </c>
      <c r="W49" s="153">
        <v>30992</v>
      </c>
      <c r="X49" s="153">
        <v>30285</v>
      </c>
      <c r="Y49" s="153">
        <v>33212</v>
      </c>
      <c r="Z49" s="153">
        <v>31632</v>
      </c>
      <c r="AA49" s="153">
        <v>24364</v>
      </c>
      <c r="AB49" s="153">
        <v>20759</v>
      </c>
      <c r="AC49" s="153">
        <v>18910</v>
      </c>
    </row>
    <row r="50" spans="1:29" x14ac:dyDescent="0.3">
      <c r="B50" s="6" t="s">
        <v>221</v>
      </c>
      <c r="C50" s="7">
        <v>4057130</v>
      </c>
      <c r="D50" s="153">
        <v>21394</v>
      </c>
      <c r="E50" s="153">
        <v>20520</v>
      </c>
      <c r="F50" s="153">
        <v>18704</v>
      </c>
      <c r="G50" s="153">
        <v>17573</v>
      </c>
      <c r="H50" s="153">
        <v>17170</v>
      </c>
      <c r="I50" s="153">
        <v>18003</v>
      </c>
      <c r="J50" s="153">
        <v>18018</v>
      </c>
      <c r="K50" s="153">
        <v>16113</v>
      </c>
      <c r="L50" s="153">
        <v>15258</v>
      </c>
      <c r="M50" s="153">
        <v>13721</v>
      </c>
      <c r="N50" s="153">
        <v>13361</v>
      </c>
      <c r="O50" s="153">
        <v>16203</v>
      </c>
      <c r="P50" s="153">
        <v>15771</v>
      </c>
      <c r="Q50" s="153">
        <v>15173</v>
      </c>
      <c r="R50" s="153">
        <v>16114</v>
      </c>
      <c r="S50" s="153">
        <v>16044</v>
      </c>
      <c r="T50" s="153">
        <v>16802</v>
      </c>
      <c r="U50" s="153">
        <v>16406</v>
      </c>
      <c r="V50" s="153">
        <v>14805</v>
      </c>
      <c r="W50" s="153">
        <v>15087</v>
      </c>
      <c r="X50" s="153">
        <v>15193</v>
      </c>
      <c r="Y50" s="153">
        <v>14105</v>
      </c>
      <c r="Z50" s="153">
        <v>13559</v>
      </c>
      <c r="AA50" s="153">
        <v>13029</v>
      </c>
      <c r="AB50" s="153">
        <v>13237</v>
      </c>
      <c r="AC50" s="153" t="s">
        <v>267</v>
      </c>
    </row>
    <row r="51" spans="1:29" x14ac:dyDescent="0.3">
      <c r="B51" s="6" t="s">
        <v>223</v>
      </c>
      <c r="C51" s="7">
        <v>4057131</v>
      </c>
      <c r="D51" s="153">
        <v>483192</v>
      </c>
      <c r="E51" s="153">
        <v>440637</v>
      </c>
      <c r="F51" s="153">
        <v>398430</v>
      </c>
      <c r="G51" s="153">
        <v>363920</v>
      </c>
      <c r="H51" s="153">
        <v>330620</v>
      </c>
      <c r="I51" s="153">
        <v>319280</v>
      </c>
      <c r="J51" s="153">
        <v>293083</v>
      </c>
      <c r="K51" s="153">
        <v>286883</v>
      </c>
      <c r="L51" s="153">
        <v>297495</v>
      </c>
      <c r="M51" s="153">
        <v>282793</v>
      </c>
      <c r="N51" s="153">
        <v>275292</v>
      </c>
      <c r="O51" s="153">
        <v>275588</v>
      </c>
      <c r="P51" s="153">
        <v>262758</v>
      </c>
      <c r="Q51" s="153">
        <v>255573</v>
      </c>
      <c r="R51" s="153">
        <v>250885</v>
      </c>
      <c r="S51" s="153">
        <v>243507</v>
      </c>
      <c r="T51" s="153">
        <v>246221</v>
      </c>
      <c r="U51" s="153">
        <v>247081</v>
      </c>
      <c r="V51" s="153">
        <v>245200</v>
      </c>
      <c r="W51" s="153">
        <v>240469</v>
      </c>
      <c r="X51" s="153">
        <v>237149</v>
      </c>
      <c r="Y51" s="153">
        <v>228645</v>
      </c>
      <c r="Z51" s="153">
        <v>225670</v>
      </c>
      <c r="AA51" s="153">
        <v>214882</v>
      </c>
      <c r="AB51" s="153">
        <v>210961</v>
      </c>
      <c r="AC51" s="153">
        <v>205863</v>
      </c>
    </row>
    <row r="52" spans="1:29" x14ac:dyDescent="0.3">
      <c r="B52" s="6" t="s">
        <v>224</v>
      </c>
      <c r="C52" s="7">
        <v>4012860</v>
      </c>
      <c r="D52" s="153">
        <v>52637</v>
      </c>
      <c r="E52" s="153">
        <v>52861</v>
      </c>
      <c r="F52" s="153">
        <v>51573</v>
      </c>
      <c r="G52" s="153">
        <v>66335</v>
      </c>
      <c r="H52" s="153">
        <v>64617</v>
      </c>
      <c r="I52" s="153">
        <v>69827</v>
      </c>
      <c r="J52" s="153">
        <v>67241</v>
      </c>
      <c r="K52" s="153">
        <v>67882</v>
      </c>
      <c r="L52" s="153">
        <v>68760</v>
      </c>
      <c r="M52" s="153">
        <v>71742</v>
      </c>
      <c r="N52" s="153">
        <v>69307</v>
      </c>
      <c r="O52" s="153">
        <v>65526</v>
      </c>
      <c r="P52" s="153">
        <v>69276</v>
      </c>
      <c r="Q52" s="153">
        <v>71225</v>
      </c>
      <c r="R52" s="153">
        <v>84994</v>
      </c>
      <c r="S52" s="153">
        <v>85186</v>
      </c>
      <c r="T52" s="153">
        <v>82681</v>
      </c>
      <c r="U52" s="153">
        <v>90959</v>
      </c>
      <c r="V52" s="153">
        <v>90770</v>
      </c>
      <c r="W52" s="153">
        <v>96115</v>
      </c>
      <c r="X52" s="153">
        <v>98033</v>
      </c>
      <c r="Y52" s="153">
        <v>85149</v>
      </c>
      <c r="Z52" s="153">
        <v>85950</v>
      </c>
      <c r="AA52" s="153">
        <v>82975</v>
      </c>
      <c r="AB52" s="153">
        <v>81048</v>
      </c>
      <c r="AC52" s="153">
        <v>87727</v>
      </c>
    </row>
    <row r="53" spans="1:29" x14ac:dyDescent="0.3">
      <c r="B53" s="6" t="s">
        <v>227</v>
      </c>
      <c r="C53" s="7">
        <v>4061925</v>
      </c>
      <c r="D53" s="153">
        <v>23375</v>
      </c>
      <c r="E53" s="153">
        <v>21948</v>
      </c>
      <c r="F53" s="153">
        <v>20136</v>
      </c>
      <c r="G53" s="153">
        <v>20104</v>
      </c>
      <c r="H53" s="153">
        <v>18028</v>
      </c>
      <c r="I53" s="153">
        <v>17665</v>
      </c>
      <c r="J53" s="153">
        <v>16109</v>
      </c>
      <c r="K53" s="153">
        <v>15159</v>
      </c>
      <c r="L53" s="153">
        <v>14960</v>
      </c>
      <c r="M53" s="153">
        <v>14026</v>
      </c>
      <c r="N53" s="153">
        <v>12872</v>
      </c>
      <c r="O53" s="153">
        <v>10943</v>
      </c>
      <c r="P53" s="153">
        <v>5537</v>
      </c>
      <c r="Q53" s="153">
        <v>4635</v>
      </c>
      <c r="R53" s="153">
        <v>4254</v>
      </c>
      <c r="S53" s="153">
        <v>3612</v>
      </c>
      <c r="T53" s="153">
        <v>3382</v>
      </c>
      <c r="U53" s="153">
        <v>3030</v>
      </c>
      <c r="V53" s="153">
        <v>2703</v>
      </c>
      <c r="W53" s="153">
        <v>2693</v>
      </c>
      <c r="X53" s="153">
        <v>2672</v>
      </c>
      <c r="Y53" s="153">
        <v>2551</v>
      </c>
      <c r="Z53" s="153">
        <v>2828</v>
      </c>
      <c r="AA53" s="153">
        <v>2400</v>
      </c>
      <c r="AB53" s="153">
        <v>2388</v>
      </c>
      <c r="AC53" s="153">
        <v>2309</v>
      </c>
    </row>
    <row r="54" spans="1:29" x14ac:dyDescent="0.3">
      <c r="B54" s="6" t="s">
        <v>284</v>
      </c>
      <c r="C54" s="7">
        <v>4057132</v>
      </c>
      <c r="D54" s="153" t="s">
        <v>267</v>
      </c>
      <c r="E54" s="153" t="s">
        <v>267</v>
      </c>
      <c r="F54" s="153" t="s">
        <v>267</v>
      </c>
      <c r="G54" s="153">
        <v>203450</v>
      </c>
      <c r="H54" s="153">
        <v>188971</v>
      </c>
      <c r="I54" s="153">
        <v>184627</v>
      </c>
      <c r="J54" s="153">
        <v>179822</v>
      </c>
      <c r="K54" s="153">
        <v>176327</v>
      </c>
      <c r="L54" s="153">
        <v>138056</v>
      </c>
      <c r="M54" s="153">
        <v>114436</v>
      </c>
      <c r="N54" s="153">
        <v>105686</v>
      </c>
      <c r="O54" s="153">
        <v>104880</v>
      </c>
      <c r="P54" s="153">
        <v>100838</v>
      </c>
      <c r="Q54" s="153">
        <v>96613</v>
      </c>
      <c r="R54" s="153">
        <v>92946</v>
      </c>
      <c r="S54" s="153">
        <v>90780</v>
      </c>
      <c r="T54" s="153">
        <v>91649</v>
      </c>
      <c r="U54" s="153" t="s">
        <v>267</v>
      </c>
      <c r="V54" s="153">
        <v>83878</v>
      </c>
      <c r="W54" s="153">
        <v>80411</v>
      </c>
      <c r="X54" s="153">
        <v>82909</v>
      </c>
      <c r="Y54" s="153">
        <v>80509</v>
      </c>
      <c r="Z54" s="153">
        <v>78729</v>
      </c>
      <c r="AA54" s="153">
        <v>76519</v>
      </c>
      <c r="AB54" s="153">
        <v>66483</v>
      </c>
      <c r="AC54" s="153">
        <v>64856</v>
      </c>
    </row>
    <row r="55" spans="1:29" x14ac:dyDescent="0.3">
      <c r="A55" s="1" t="s">
        <v>268</v>
      </c>
      <c r="B55" s="6" t="s">
        <v>285</v>
      </c>
      <c r="C55" s="7">
        <v>4057115</v>
      </c>
      <c r="D55" s="153">
        <v>83438</v>
      </c>
      <c r="E55" s="153">
        <v>91234</v>
      </c>
      <c r="F55" s="153">
        <v>91862</v>
      </c>
      <c r="G55" s="153">
        <v>81249</v>
      </c>
      <c r="H55" s="153">
        <v>72482</v>
      </c>
      <c r="I55" s="153">
        <v>55531</v>
      </c>
      <c r="J55" s="153">
        <v>52968</v>
      </c>
      <c r="K55" s="153">
        <v>46816</v>
      </c>
      <c r="L55" s="153">
        <v>44684</v>
      </c>
      <c r="M55" s="153">
        <v>41512</v>
      </c>
      <c r="N55" s="153">
        <v>38056</v>
      </c>
      <c r="O55" s="153">
        <v>35317</v>
      </c>
      <c r="P55" s="153">
        <v>33309</v>
      </c>
      <c r="Q55" s="153">
        <v>30261</v>
      </c>
      <c r="R55" s="153">
        <v>25565</v>
      </c>
      <c r="S55" s="153">
        <v>24276</v>
      </c>
      <c r="T55" s="153">
        <v>25510</v>
      </c>
      <c r="U55" s="153">
        <v>23693</v>
      </c>
      <c r="V55" s="153">
        <v>22207</v>
      </c>
      <c r="W55" s="153" t="s">
        <v>267</v>
      </c>
      <c r="X55" s="153">
        <v>16774</v>
      </c>
      <c r="Y55" s="153" t="s">
        <v>267</v>
      </c>
      <c r="Z55" s="153">
        <v>16645</v>
      </c>
      <c r="AA55" s="153">
        <v>15413</v>
      </c>
      <c r="AB55" s="153">
        <v>15817</v>
      </c>
      <c r="AC55" s="153">
        <v>15494</v>
      </c>
    </row>
    <row r="56" spans="1:29" x14ac:dyDescent="0.3">
      <c r="B56" s="6" t="s">
        <v>228</v>
      </c>
      <c r="C56" s="7">
        <v>4064479</v>
      </c>
      <c r="D56" s="153">
        <v>4944</v>
      </c>
      <c r="E56" s="153">
        <v>4618</v>
      </c>
      <c r="F56" s="153">
        <v>4530</v>
      </c>
      <c r="G56" s="153">
        <v>4507</v>
      </c>
      <c r="H56" s="153">
        <v>4566</v>
      </c>
      <c r="I56" s="153">
        <v>8700</v>
      </c>
      <c r="J56" s="153">
        <v>8577</v>
      </c>
      <c r="K56" s="153">
        <v>8603</v>
      </c>
      <c r="L56" s="153">
        <v>8441</v>
      </c>
      <c r="M56" s="153">
        <v>8135</v>
      </c>
      <c r="N56" s="153">
        <v>6461</v>
      </c>
      <c r="O56" s="153">
        <v>5821</v>
      </c>
      <c r="P56" s="153">
        <v>5407</v>
      </c>
      <c r="Q56" s="153">
        <v>4909</v>
      </c>
      <c r="R56" s="153">
        <v>4489</v>
      </c>
      <c r="S56" s="153">
        <v>4428</v>
      </c>
      <c r="T56" s="153">
        <v>4474</v>
      </c>
      <c r="U56" s="153">
        <v>4274</v>
      </c>
      <c r="V56" s="153">
        <v>4077</v>
      </c>
      <c r="W56" s="153">
        <v>4603</v>
      </c>
      <c r="X56" s="153">
        <v>4505</v>
      </c>
      <c r="Y56" s="153">
        <v>4431</v>
      </c>
      <c r="Z56" s="153">
        <v>4191</v>
      </c>
      <c r="AA56" s="153">
        <v>4020</v>
      </c>
      <c r="AB56" s="153">
        <v>3796</v>
      </c>
      <c r="AC56" s="153">
        <v>3070</v>
      </c>
    </row>
    <row r="57" spans="1:29" x14ac:dyDescent="0.3">
      <c r="B57" s="6" t="s">
        <v>286</v>
      </c>
      <c r="C57" s="7">
        <v>4062025</v>
      </c>
      <c r="D57" s="153">
        <v>18335</v>
      </c>
      <c r="E57" s="153">
        <v>16985</v>
      </c>
      <c r="F57" s="153">
        <v>13973</v>
      </c>
      <c r="G57" s="153">
        <v>13515</v>
      </c>
      <c r="H57" s="153">
        <v>13393</v>
      </c>
      <c r="I57" s="153">
        <v>12599</v>
      </c>
      <c r="J57" s="153">
        <v>12362</v>
      </c>
      <c r="K57" s="153">
        <v>12411</v>
      </c>
      <c r="L57" s="153">
        <v>12509</v>
      </c>
      <c r="M57" s="153">
        <v>12284</v>
      </c>
      <c r="N57" s="153">
        <v>11889</v>
      </c>
      <c r="O57" s="153">
        <v>11789</v>
      </c>
      <c r="P57" s="153">
        <v>11301</v>
      </c>
      <c r="Q57" s="153">
        <v>10668</v>
      </c>
      <c r="R57" s="153">
        <v>10436</v>
      </c>
      <c r="S57" s="153">
        <v>10353</v>
      </c>
      <c r="T57" s="153">
        <v>10162</v>
      </c>
      <c r="U57" s="153">
        <v>9921</v>
      </c>
      <c r="V57" s="153">
        <v>9549</v>
      </c>
      <c r="W57" s="153">
        <v>9380</v>
      </c>
      <c r="X57" s="153">
        <v>9065</v>
      </c>
      <c r="Y57" s="153">
        <v>8903</v>
      </c>
      <c r="Z57" s="153">
        <v>5646</v>
      </c>
      <c r="AA57" s="153">
        <v>5546</v>
      </c>
      <c r="AB57" s="153">
        <v>5399</v>
      </c>
      <c r="AC57" s="153">
        <v>5215</v>
      </c>
    </row>
    <row r="58" spans="1:29" x14ac:dyDescent="0.3">
      <c r="B58" s="6" t="s">
        <v>287</v>
      </c>
      <c r="C58" s="7">
        <v>4064481</v>
      </c>
      <c r="D58" s="153" t="s">
        <v>267</v>
      </c>
      <c r="E58" s="153" t="s">
        <v>267</v>
      </c>
      <c r="F58" s="153">
        <v>114467</v>
      </c>
      <c r="G58" s="153">
        <v>111656</v>
      </c>
      <c r="H58" s="153">
        <v>107189</v>
      </c>
      <c r="I58" s="153">
        <v>99283</v>
      </c>
      <c r="J58" s="153">
        <v>97861</v>
      </c>
      <c r="K58" s="153">
        <v>95303</v>
      </c>
      <c r="L58" s="153">
        <v>84278</v>
      </c>
      <c r="M58" s="153">
        <v>82303</v>
      </c>
      <c r="N58" s="153">
        <v>72316</v>
      </c>
      <c r="O58" s="153">
        <v>60957</v>
      </c>
      <c r="P58" s="153">
        <v>53532</v>
      </c>
      <c r="Q58" s="153">
        <v>50533</v>
      </c>
      <c r="R58" s="153">
        <v>51298</v>
      </c>
      <c r="S58" s="153">
        <v>52118</v>
      </c>
      <c r="T58" s="153">
        <v>74450</v>
      </c>
      <c r="U58" s="153">
        <v>73882</v>
      </c>
      <c r="V58" s="153">
        <v>80793</v>
      </c>
      <c r="W58" s="153">
        <v>81070</v>
      </c>
      <c r="X58" s="153">
        <v>77476</v>
      </c>
      <c r="Y58" s="153">
        <v>75054</v>
      </c>
      <c r="Z58" s="153">
        <v>52441</v>
      </c>
      <c r="AA58" s="153">
        <v>85622</v>
      </c>
      <c r="AB58" s="153">
        <v>75757</v>
      </c>
      <c r="AC58" s="153" t="s">
        <v>267</v>
      </c>
    </row>
    <row r="59" spans="1:29" x14ac:dyDescent="0.3">
      <c r="A59" s="1" t="s">
        <v>268</v>
      </c>
      <c r="B59" s="6" t="s">
        <v>229</v>
      </c>
      <c r="C59" s="7">
        <v>4057093</v>
      </c>
      <c r="D59" s="153">
        <v>25510</v>
      </c>
      <c r="E59" s="153">
        <v>17716</v>
      </c>
      <c r="F59" s="153">
        <v>16488</v>
      </c>
      <c r="G59" s="153">
        <v>14821</v>
      </c>
      <c r="H59" s="153">
        <v>13899</v>
      </c>
      <c r="I59" s="153">
        <v>13612</v>
      </c>
      <c r="J59" s="153">
        <v>14492</v>
      </c>
      <c r="K59" s="153">
        <v>14113</v>
      </c>
      <c r="L59" s="153">
        <v>12631</v>
      </c>
      <c r="M59" s="153">
        <v>11844</v>
      </c>
      <c r="N59" s="153">
        <v>10904</v>
      </c>
      <c r="O59" s="153">
        <v>10438</v>
      </c>
      <c r="P59" s="153">
        <v>9328</v>
      </c>
      <c r="Q59" s="153">
        <v>8641</v>
      </c>
      <c r="R59" s="153">
        <v>7676</v>
      </c>
      <c r="S59" s="153">
        <v>7189</v>
      </c>
      <c r="T59" s="153">
        <v>6494</v>
      </c>
      <c r="U59" s="153">
        <v>6280</v>
      </c>
      <c r="V59" s="153">
        <v>5893</v>
      </c>
      <c r="W59" s="153">
        <v>6570</v>
      </c>
      <c r="X59" s="153">
        <v>7148</v>
      </c>
      <c r="Y59" s="153">
        <v>7913</v>
      </c>
      <c r="Z59" s="153">
        <v>8109</v>
      </c>
      <c r="AA59" s="153">
        <v>7691</v>
      </c>
      <c r="AB59" s="153">
        <v>7746</v>
      </c>
      <c r="AC59" s="153">
        <v>7619</v>
      </c>
    </row>
    <row r="60" spans="1:29" x14ac:dyDescent="0.3">
      <c r="B60" s="6" t="s">
        <v>230</v>
      </c>
      <c r="C60" s="7">
        <v>4004218</v>
      </c>
      <c r="D60" s="153">
        <v>491732</v>
      </c>
      <c r="E60" s="153">
        <v>484183</v>
      </c>
      <c r="F60" s="153">
        <v>460316</v>
      </c>
      <c r="G60" s="153">
        <v>393077</v>
      </c>
      <c r="H60" s="153">
        <v>284998</v>
      </c>
      <c r="I60" s="153">
        <v>226029</v>
      </c>
      <c r="J60" s="153">
        <v>204572</v>
      </c>
      <c r="K60" s="153">
        <v>183776</v>
      </c>
      <c r="L60" s="153">
        <v>121403</v>
      </c>
      <c r="M60" s="153">
        <v>92789</v>
      </c>
      <c r="N60" s="153">
        <v>80682</v>
      </c>
      <c r="O60" s="153">
        <v>67539</v>
      </c>
      <c r="P60" s="153">
        <v>67240</v>
      </c>
      <c r="Q60" s="153">
        <v>65781</v>
      </c>
      <c r="R60" s="153">
        <v>66757</v>
      </c>
      <c r="S60" s="153">
        <v>68263</v>
      </c>
      <c r="T60" s="153">
        <v>68490</v>
      </c>
      <c r="U60" s="153">
        <v>69203</v>
      </c>
      <c r="V60" s="153">
        <v>69059</v>
      </c>
      <c r="W60" s="153">
        <v>68076</v>
      </c>
      <c r="X60" s="153">
        <v>68288</v>
      </c>
      <c r="Y60" s="153">
        <v>70259</v>
      </c>
      <c r="Z60" s="153">
        <v>68438</v>
      </c>
      <c r="AA60" s="153">
        <v>67475</v>
      </c>
      <c r="AB60" s="153">
        <v>68285</v>
      </c>
      <c r="AC60" s="153">
        <v>67105</v>
      </c>
    </row>
    <row r="61" spans="1:29" x14ac:dyDescent="0.3">
      <c r="A61" s="1" t="s">
        <v>268</v>
      </c>
      <c r="B61" s="6" t="s">
        <v>288</v>
      </c>
      <c r="C61" s="7">
        <v>4062222</v>
      </c>
      <c r="D61" s="153">
        <v>33504</v>
      </c>
      <c r="E61" s="153">
        <v>28643</v>
      </c>
      <c r="F61" s="153">
        <v>28028</v>
      </c>
      <c r="G61" s="153">
        <v>21551</v>
      </c>
      <c r="H61" s="153">
        <v>17970</v>
      </c>
      <c r="I61" s="153">
        <v>16593</v>
      </c>
      <c r="J61" s="153">
        <v>15850</v>
      </c>
      <c r="K61" s="153">
        <v>17039</v>
      </c>
      <c r="L61" s="153">
        <v>16545</v>
      </c>
      <c r="M61" s="153">
        <v>13787</v>
      </c>
      <c r="N61" s="153">
        <v>13152</v>
      </c>
      <c r="O61" s="153">
        <v>12635</v>
      </c>
      <c r="P61" s="153">
        <v>11897</v>
      </c>
      <c r="Q61" s="153">
        <v>10842</v>
      </c>
      <c r="R61" s="153">
        <v>10532</v>
      </c>
      <c r="S61" s="153">
        <v>11325</v>
      </c>
      <c r="T61" s="153">
        <v>10182</v>
      </c>
      <c r="U61" s="153">
        <v>8663</v>
      </c>
      <c r="V61" s="153">
        <v>8286</v>
      </c>
      <c r="W61" s="153">
        <v>8026</v>
      </c>
      <c r="X61" s="153" t="s">
        <v>267</v>
      </c>
      <c r="Y61" s="153">
        <v>4964</v>
      </c>
      <c r="Z61" s="153">
        <v>4920</v>
      </c>
      <c r="AA61" s="153">
        <v>4989</v>
      </c>
      <c r="AB61" s="153">
        <v>5000</v>
      </c>
      <c r="AC61" s="153">
        <v>4988</v>
      </c>
    </row>
    <row r="62" spans="1:29" x14ac:dyDescent="0.3">
      <c r="B62" s="6" t="s">
        <v>233</v>
      </c>
      <c r="C62" s="7">
        <v>4057135</v>
      </c>
      <c r="D62" s="153">
        <v>132815</v>
      </c>
      <c r="E62" s="153">
        <v>115565</v>
      </c>
      <c r="F62" s="153">
        <v>109666</v>
      </c>
      <c r="G62" s="153">
        <v>96354</v>
      </c>
      <c r="H62" s="153">
        <v>94039</v>
      </c>
      <c r="I62" s="153">
        <v>95283</v>
      </c>
      <c r="J62" s="153">
        <v>95148</v>
      </c>
      <c r="K62" s="153">
        <v>84661</v>
      </c>
      <c r="L62" s="153">
        <v>78118</v>
      </c>
      <c r="M62" s="153">
        <v>64672</v>
      </c>
      <c r="N62" s="153">
        <v>64615</v>
      </c>
      <c r="O62" s="153">
        <v>66402</v>
      </c>
      <c r="P62" s="153">
        <v>66657</v>
      </c>
      <c r="Q62" s="153">
        <v>94706</v>
      </c>
      <c r="R62" s="153">
        <v>95617</v>
      </c>
      <c r="S62" s="153">
        <v>91870</v>
      </c>
      <c r="T62" s="153">
        <v>127227</v>
      </c>
      <c r="U62" s="153">
        <v>126752</v>
      </c>
      <c r="V62" s="153">
        <v>119568</v>
      </c>
      <c r="W62" s="153">
        <v>116468</v>
      </c>
      <c r="X62" s="153">
        <v>108984</v>
      </c>
      <c r="Y62" s="153">
        <v>113248</v>
      </c>
      <c r="Z62" s="153">
        <v>106759</v>
      </c>
      <c r="AA62" s="153">
        <v>100903</v>
      </c>
      <c r="AB62" s="153">
        <v>100622</v>
      </c>
      <c r="AC62" s="153">
        <v>95618</v>
      </c>
    </row>
    <row r="63" spans="1:29" x14ac:dyDescent="0.3">
      <c r="B63" s="6" t="s">
        <v>234</v>
      </c>
      <c r="C63" s="7">
        <v>4063341</v>
      </c>
      <c r="D63" s="153">
        <v>71808</v>
      </c>
      <c r="E63" s="153">
        <v>46965</v>
      </c>
      <c r="F63" s="153">
        <v>42059</v>
      </c>
      <c r="G63" s="153">
        <v>39196</v>
      </c>
      <c r="H63" s="153">
        <v>38838</v>
      </c>
      <c r="I63" s="153">
        <v>47356</v>
      </c>
      <c r="J63" s="153">
        <v>36557</v>
      </c>
      <c r="K63" s="153">
        <v>42636</v>
      </c>
      <c r="L63" s="153">
        <v>38807</v>
      </c>
      <c r="M63" s="153">
        <v>37210</v>
      </c>
      <c r="N63" s="153">
        <v>36047</v>
      </c>
      <c r="O63" s="153">
        <v>38040</v>
      </c>
      <c r="P63" s="153">
        <v>43266</v>
      </c>
      <c r="Q63" s="153">
        <v>42233</v>
      </c>
      <c r="R63" s="153">
        <v>41199</v>
      </c>
      <c r="S63" s="153">
        <v>40843</v>
      </c>
      <c r="T63" s="153">
        <v>39484</v>
      </c>
      <c r="U63" s="153">
        <v>40426</v>
      </c>
      <c r="V63" s="153">
        <v>50350</v>
      </c>
      <c r="W63" s="153">
        <v>47078</v>
      </c>
      <c r="X63" s="153">
        <v>41668</v>
      </c>
      <c r="Y63" s="153">
        <v>48732</v>
      </c>
      <c r="Z63" s="153">
        <v>43886</v>
      </c>
      <c r="AA63" s="153">
        <v>42182</v>
      </c>
      <c r="AB63" s="153">
        <v>39448</v>
      </c>
      <c r="AC63" s="153">
        <v>36522</v>
      </c>
    </row>
    <row r="64" spans="1:29" x14ac:dyDescent="0.3">
      <c r="A64" s="1" t="s">
        <v>268</v>
      </c>
      <c r="B64" s="6" t="s">
        <v>289</v>
      </c>
      <c r="C64" s="7">
        <v>4083575</v>
      </c>
      <c r="D64" s="153">
        <v>243986</v>
      </c>
      <c r="E64" s="153">
        <v>239882</v>
      </c>
      <c r="F64" s="153">
        <v>205164</v>
      </c>
      <c r="G64" s="153">
        <v>187225</v>
      </c>
      <c r="H64" s="153">
        <v>186841</v>
      </c>
      <c r="I64" s="153">
        <v>186187</v>
      </c>
      <c r="J64" s="153">
        <v>175422</v>
      </c>
      <c r="K64" s="153">
        <v>167148</v>
      </c>
      <c r="L64" s="153">
        <v>165211</v>
      </c>
      <c r="M64" s="153">
        <v>168404</v>
      </c>
      <c r="N64" s="153">
        <v>167653</v>
      </c>
      <c r="O64" s="153">
        <v>165936</v>
      </c>
      <c r="P64" s="153">
        <v>153984</v>
      </c>
      <c r="Q64" s="153">
        <v>155557</v>
      </c>
      <c r="R64" s="153">
        <v>155611</v>
      </c>
      <c r="S64" s="153">
        <v>158938</v>
      </c>
      <c r="T64" s="153">
        <v>144970</v>
      </c>
      <c r="U64" s="153">
        <v>141863</v>
      </c>
      <c r="V64" s="153">
        <v>137848</v>
      </c>
      <c r="W64" s="153">
        <v>108167</v>
      </c>
      <c r="X64" s="153" t="s">
        <v>267</v>
      </c>
      <c r="Y64" s="153" t="s">
        <v>267</v>
      </c>
      <c r="Z64" s="153" t="s">
        <v>267</v>
      </c>
      <c r="AA64" s="153" t="s">
        <v>267</v>
      </c>
      <c r="AB64" s="153" t="s">
        <v>267</v>
      </c>
      <c r="AC64" s="153" t="s">
        <v>267</v>
      </c>
    </row>
    <row r="65" spans="1:29" x14ac:dyDescent="0.3">
      <c r="B65" s="6" t="s">
        <v>290</v>
      </c>
      <c r="C65" s="7">
        <v>4062303</v>
      </c>
      <c r="D65" s="153">
        <v>553</v>
      </c>
      <c r="E65" s="153">
        <v>562</v>
      </c>
      <c r="F65" s="153">
        <v>542</v>
      </c>
      <c r="G65" s="153">
        <v>486</v>
      </c>
      <c r="H65" s="153" t="s">
        <v>267</v>
      </c>
      <c r="I65" s="153">
        <v>0</v>
      </c>
      <c r="J65" s="153">
        <v>0</v>
      </c>
      <c r="K65" s="153">
        <v>0</v>
      </c>
      <c r="L65" s="153">
        <v>0</v>
      </c>
      <c r="M65" s="153">
        <v>0</v>
      </c>
      <c r="N65" s="153">
        <v>0</v>
      </c>
      <c r="O65" s="153">
        <v>0</v>
      </c>
      <c r="P65" s="153">
        <v>0</v>
      </c>
      <c r="Q65" s="153">
        <v>0</v>
      </c>
      <c r="R65" s="153">
        <v>0</v>
      </c>
      <c r="S65" s="153">
        <v>0</v>
      </c>
      <c r="T65" s="153">
        <v>0</v>
      </c>
      <c r="U65" s="153">
        <v>8</v>
      </c>
      <c r="V65" s="153">
        <v>16</v>
      </c>
      <c r="W65" s="153">
        <v>0</v>
      </c>
      <c r="X65" s="153">
        <v>0</v>
      </c>
      <c r="Y65" s="153" t="s">
        <v>267</v>
      </c>
      <c r="Z65" s="153" t="s">
        <v>267</v>
      </c>
      <c r="AA65" s="153" t="s">
        <v>267</v>
      </c>
      <c r="AB65" s="153" t="s">
        <v>267</v>
      </c>
      <c r="AC65" s="153" t="s">
        <v>267</v>
      </c>
    </row>
    <row r="66" spans="1:29" x14ac:dyDescent="0.3">
      <c r="B66" s="6" t="s">
        <v>291</v>
      </c>
      <c r="C66" s="7">
        <v>4083581</v>
      </c>
      <c r="D66" s="153">
        <v>589</v>
      </c>
      <c r="E66" s="153">
        <v>601</v>
      </c>
      <c r="F66" s="153">
        <v>619</v>
      </c>
      <c r="G66" s="153">
        <v>630</v>
      </c>
      <c r="H66" s="153">
        <v>648</v>
      </c>
      <c r="I66" s="153">
        <v>648</v>
      </c>
      <c r="J66" s="153">
        <v>664</v>
      </c>
      <c r="K66" s="153">
        <v>980</v>
      </c>
      <c r="L66" s="153">
        <v>989</v>
      </c>
      <c r="M66" s="153">
        <v>989</v>
      </c>
      <c r="N66" s="153">
        <v>866</v>
      </c>
      <c r="O66" s="153">
        <v>859</v>
      </c>
      <c r="P66" s="153">
        <v>840</v>
      </c>
      <c r="Q66" s="153">
        <v>857</v>
      </c>
      <c r="R66" s="153">
        <v>835</v>
      </c>
      <c r="S66" s="153">
        <v>771</v>
      </c>
      <c r="T66" s="153">
        <v>768</v>
      </c>
      <c r="U66" s="153">
        <v>804</v>
      </c>
      <c r="V66" s="153" t="s">
        <v>267</v>
      </c>
      <c r="W66" s="153">
        <v>784</v>
      </c>
      <c r="X66" s="153">
        <v>705</v>
      </c>
      <c r="Y66" s="153" t="s">
        <v>267</v>
      </c>
      <c r="Z66" s="153" t="s">
        <v>267</v>
      </c>
      <c r="AA66" s="153" t="s">
        <v>267</v>
      </c>
      <c r="AB66" s="153" t="s">
        <v>267</v>
      </c>
      <c r="AC66" s="153" t="s">
        <v>267</v>
      </c>
    </row>
    <row r="67" spans="1:29" x14ac:dyDescent="0.3">
      <c r="B67" s="6" t="s">
        <v>236</v>
      </c>
      <c r="C67" s="7">
        <v>4057139</v>
      </c>
      <c r="D67" s="153">
        <v>86608</v>
      </c>
      <c r="E67" s="153">
        <v>83033</v>
      </c>
      <c r="F67" s="153">
        <v>96425</v>
      </c>
      <c r="G67" s="153">
        <v>95344</v>
      </c>
      <c r="H67" s="153">
        <v>87888</v>
      </c>
      <c r="I67" s="153">
        <v>84277</v>
      </c>
      <c r="J67" s="153">
        <v>79390</v>
      </c>
      <c r="K67" s="153">
        <v>74563</v>
      </c>
      <c r="L67" s="153">
        <v>72424</v>
      </c>
      <c r="M67" s="153">
        <v>70344</v>
      </c>
      <c r="N67" s="153">
        <v>69754</v>
      </c>
      <c r="O67" s="153">
        <v>69304</v>
      </c>
      <c r="P67" s="153">
        <v>67025</v>
      </c>
      <c r="Q67" s="153">
        <v>61881</v>
      </c>
      <c r="R67" s="153">
        <v>71102</v>
      </c>
      <c r="S67" s="153">
        <v>67977</v>
      </c>
      <c r="T67" s="153">
        <v>68249</v>
      </c>
      <c r="U67" s="153">
        <v>86596</v>
      </c>
      <c r="V67" s="153">
        <v>99045</v>
      </c>
      <c r="W67" s="153">
        <v>95915</v>
      </c>
      <c r="X67" s="153">
        <v>80902</v>
      </c>
      <c r="Y67" s="153">
        <v>90219</v>
      </c>
      <c r="Z67" s="153">
        <v>81543</v>
      </c>
      <c r="AA67" s="153">
        <v>74915</v>
      </c>
      <c r="AB67" s="153">
        <v>65559</v>
      </c>
      <c r="AC67" s="153">
        <v>58764</v>
      </c>
    </row>
    <row r="68" spans="1:29" x14ac:dyDescent="0.3">
      <c r="A68" s="1" t="s">
        <v>268</v>
      </c>
      <c r="B68" s="6" t="s">
        <v>238</v>
      </c>
      <c r="C68" s="7">
        <v>4057095</v>
      </c>
      <c r="D68" s="153" t="s">
        <v>267</v>
      </c>
      <c r="E68" s="153">
        <v>190497</v>
      </c>
      <c r="F68" s="153">
        <v>183488</v>
      </c>
      <c r="G68" s="153">
        <v>141813</v>
      </c>
      <c r="H68" s="153">
        <v>94431</v>
      </c>
      <c r="I68" s="153">
        <v>82569</v>
      </c>
      <c r="J68" s="153">
        <v>92993</v>
      </c>
      <c r="K68" s="153">
        <v>95892</v>
      </c>
      <c r="L68" s="153">
        <v>104061</v>
      </c>
      <c r="M68" s="153">
        <v>108070</v>
      </c>
      <c r="N68" s="153">
        <v>112851</v>
      </c>
      <c r="O68" s="153">
        <v>126294</v>
      </c>
      <c r="P68" s="153">
        <v>150659</v>
      </c>
      <c r="Q68" s="153">
        <v>142874</v>
      </c>
      <c r="R68" s="153">
        <v>147608</v>
      </c>
      <c r="S68" s="153">
        <v>152764</v>
      </c>
      <c r="T68" s="153">
        <v>145124</v>
      </c>
      <c r="U68" s="153">
        <v>140252</v>
      </c>
      <c r="V68" s="153">
        <v>131392</v>
      </c>
      <c r="W68" s="153">
        <v>128928</v>
      </c>
      <c r="X68" s="153">
        <v>117871</v>
      </c>
      <c r="Y68" s="153">
        <v>105904</v>
      </c>
      <c r="Z68" s="153">
        <v>52355</v>
      </c>
      <c r="AA68" s="153">
        <v>51307</v>
      </c>
      <c r="AB68" s="153">
        <v>42081</v>
      </c>
      <c r="AC68" s="153">
        <v>39315</v>
      </c>
    </row>
    <row r="69" spans="1:29" x14ac:dyDescent="0.3">
      <c r="B69" s="6" t="s">
        <v>239</v>
      </c>
      <c r="C69" s="7">
        <v>4062485</v>
      </c>
      <c r="D69" s="153">
        <v>41470</v>
      </c>
      <c r="E69" s="153">
        <v>41428</v>
      </c>
      <c r="F69" s="153">
        <v>25700</v>
      </c>
      <c r="G69" s="153">
        <v>23832</v>
      </c>
      <c r="H69" s="153">
        <v>34434</v>
      </c>
      <c r="I69" s="153">
        <v>32812</v>
      </c>
      <c r="J69" s="153">
        <v>32571</v>
      </c>
      <c r="K69" s="153">
        <v>36261</v>
      </c>
      <c r="L69" s="153">
        <v>34698</v>
      </c>
      <c r="M69" s="153">
        <v>32711</v>
      </c>
      <c r="N69" s="153">
        <v>32031</v>
      </c>
      <c r="O69" s="153">
        <v>22344</v>
      </c>
      <c r="P69" s="153">
        <v>49741</v>
      </c>
      <c r="Q69" s="153">
        <v>47919</v>
      </c>
      <c r="R69" s="153">
        <v>42998</v>
      </c>
      <c r="S69" s="153">
        <v>42359</v>
      </c>
      <c r="T69" s="153">
        <v>50553</v>
      </c>
      <c r="U69" s="153">
        <v>51143</v>
      </c>
      <c r="V69" s="153">
        <v>56500</v>
      </c>
      <c r="W69" s="153">
        <v>57022</v>
      </c>
      <c r="X69" s="153">
        <v>58554</v>
      </c>
      <c r="Y69" s="153">
        <v>59228</v>
      </c>
      <c r="Z69" s="153">
        <v>59948</v>
      </c>
      <c r="AA69" s="153">
        <v>86890</v>
      </c>
      <c r="AB69" s="153">
        <v>113287</v>
      </c>
      <c r="AC69" s="153">
        <v>97190</v>
      </c>
    </row>
    <row r="70" spans="1:29" x14ac:dyDescent="0.3">
      <c r="B70" s="6" t="s">
        <v>240</v>
      </c>
      <c r="C70" s="7">
        <v>4057140</v>
      </c>
      <c r="D70" s="153">
        <v>267552</v>
      </c>
      <c r="E70" s="153">
        <v>260659</v>
      </c>
      <c r="F70" s="153">
        <v>262091</v>
      </c>
      <c r="G70" s="153">
        <v>265598</v>
      </c>
      <c r="H70" s="153">
        <v>290396</v>
      </c>
      <c r="I70" s="153">
        <v>241412</v>
      </c>
      <c r="J70" s="153">
        <v>225741</v>
      </c>
      <c r="K70" s="153">
        <v>208902</v>
      </c>
      <c r="L70" s="153">
        <v>199297</v>
      </c>
      <c r="M70" s="153">
        <v>200214</v>
      </c>
      <c r="N70" s="153">
        <v>188259</v>
      </c>
      <c r="O70" s="153">
        <v>183106</v>
      </c>
      <c r="P70" s="153">
        <v>173982</v>
      </c>
      <c r="Q70" s="153">
        <v>125589</v>
      </c>
      <c r="R70" s="153">
        <v>122166</v>
      </c>
      <c r="S70" s="153">
        <v>168747</v>
      </c>
      <c r="T70" s="153">
        <v>161179</v>
      </c>
      <c r="U70" s="153">
        <v>136905</v>
      </c>
      <c r="V70" s="153">
        <v>142668</v>
      </c>
      <c r="W70" s="153">
        <v>137650</v>
      </c>
      <c r="X70" s="153">
        <v>124337</v>
      </c>
      <c r="Y70" s="153">
        <v>119794</v>
      </c>
      <c r="Z70" s="153">
        <v>113485</v>
      </c>
      <c r="AA70" s="153">
        <v>97342</v>
      </c>
      <c r="AB70" s="153">
        <v>97740</v>
      </c>
      <c r="AC70" s="153">
        <v>78239</v>
      </c>
    </row>
    <row r="71" spans="1:29" x14ac:dyDescent="0.3">
      <c r="A71" s="1" t="s">
        <v>268</v>
      </c>
      <c r="B71" s="6" t="s">
        <v>243</v>
      </c>
      <c r="C71" s="7">
        <v>4057096</v>
      </c>
      <c r="D71" s="153">
        <v>7907</v>
      </c>
      <c r="E71" s="153">
        <v>7386</v>
      </c>
      <c r="F71" s="153">
        <v>6862</v>
      </c>
      <c r="G71" s="153">
        <v>6495</v>
      </c>
      <c r="H71" s="153">
        <v>6220</v>
      </c>
      <c r="I71" s="153">
        <v>5909</v>
      </c>
      <c r="J71" s="153">
        <v>5654</v>
      </c>
      <c r="K71" s="153">
        <v>5351</v>
      </c>
      <c r="L71" s="153">
        <v>4166</v>
      </c>
      <c r="M71" s="153">
        <v>3804</v>
      </c>
      <c r="N71" s="153">
        <v>3721</v>
      </c>
      <c r="O71" s="153">
        <v>3735</v>
      </c>
      <c r="P71" s="153">
        <v>3640</v>
      </c>
      <c r="Q71" s="153">
        <v>3543</v>
      </c>
      <c r="R71" s="153">
        <v>3550</v>
      </c>
      <c r="S71" s="153">
        <v>3362</v>
      </c>
      <c r="T71" s="153">
        <v>3175</v>
      </c>
      <c r="U71" s="153" t="s">
        <v>267</v>
      </c>
      <c r="V71" s="153" t="s">
        <v>267</v>
      </c>
      <c r="W71" s="153">
        <v>3993</v>
      </c>
      <c r="X71" s="153">
        <v>3877</v>
      </c>
      <c r="Y71" s="153">
        <v>3699</v>
      </c>
      <c r="Z71" s="153">
        <v>3497</v>
      </c>
      <c r="AA71" s="153">
        <v>3254</v>
      </c>
      <c r="AB71" s="153">
        <v>3197</v>
      </c>
      <c r="AC71" s="153">
        <v>2917</v>
      </c>
    </row>
    <row r="72" spans="1:29" x14ac:dyDescent="0.3">
      <c r="B72" s="6" t="s">
        <v>292</v>
      </c>
      <c r="C72" s="7">
        <v>4057097</v>
      </c>
      <c r="D72" s="153" t="s">
        <v>267</v>
      </c>
      <c r="E72" s="153" t="s">
        <v>267</v>
      </c>
      <c r="F72" s="153">
        <v>14559</v>
      </c>
      <c r="G72" s="153">
        <v>14055</v>
      </c>
      <c r="H72" s="153">
        <v>13701</v>
      </c>
      <c r="I72" s="153">
        <v>11634</v>
      </c>
      <c r="J72" s="153">
        <v>11411</v>
      </c>
      <c r="K72" s="153">
        <v>10659</v>
      </c>
      <c r="L72" s="153">
        <v>10026</v>
      </c>
      <c r="M72" s="153">
        <v>9689</v>
      </c>
      <c r="N72" s="153">
        <v>9557</v>
      </c>
      <c r="O72" s="153">
        <v>10139</v>
      </c>
      <c r="P72" s="153">
        <v>10193</v>
      </c>
      <c r="Q72" s="153">
        <v>10691</v>
      </c>
      <c r="R72" s="153">
        <v>10472</v>
      </c>
      <c r="S72" s="153">
        <v>10306</v>
      </c>
      <c r="T72" s="153">
        <v>10013</v>
      </c>
      <c r="U72" s="153">
        <v>10207</v>
      </c>
      <c r="V72" s="153">
        <v>9723</v>
      </c>
      <c r="W72" s="153">
        <v>9279</v>
      </c>
      <c r="X72" s="153">
        <v>8578</v>
      </c>
      <c r="Y72" s="153">
        <v>8624</v>
      </c>
      <c r="Z72" s="153">
        <v>8596</v>
      </c>
      <c r="AA72" s="153">
        <v>7799</v>
      </c>
      <c r="AB72" s="153">
        <v>8018</v>
      </c>
      <c r="AC72" s="153">
        <v>7679</v>
      </c>
    </row>
    <row r="73" spans="1:29" x14ac:dyDescent="0.3">
      <c r="B73" s="6" t="s">
        <v>293</v>
      </c>
      <c r="C73" s="7">
        <v>4057098</v>
      </c>
      <c r="D73" s="153" t="s">
        <v>267</v>
      </c>
      <c r="E73" s="153">
        <v>3824</v>
      </c>
      <c r="F73" s="153">
        <v>3887</v>
      </c>
      <c r="G73" s="153">
        <v>3976</v>
      </c>
      <c r="H73" s="153">
        <v>4703</v>
      </c>
      <c r="I73" s="153">
        <v>3945</v>
      </c>
      <c r="J73" s="153">
        <v>3742</v>
      </c>
      <c r="K73" s="153">
        <v>3862</v>
      </c>
      <c r="L73" s="153">
        <v>3740</v>
      </c>
      <c r="M73" s="153">
        <v>2906</v>
      </c>
      <c r="N73" s="153">
        <v>2918</v>
      </c>
      <c r="O73" s="153">
        <v>3230</v>
      </c>
      <c r="P73" s="153">
        <v>3251</v>
      </c>
      <c r="Q73" s="153">
        <v>3585</v>
      </c>
      <c r="R73" s="153">
        <v>3421</v>
      </c>
      <c r="S73" s="153">
        <v>3812</v>
      </c>
      <c r="T73" s="153">
        <v>3140</v>
      </c>
      <c r="U73" s="153">
        <v>3236</v>
      </c>
      <c r="V73" s="153">
        <v>2550</v>
      </c>
      <c r="W73" s="153" t="s">
        <v>267</v>
      </c>
      <c r="X73" s="153">
        <v>2762</v>
      </c>
      <c r="Y73" s="153">
        <v>2805</v>
      </c>
      <c r="Z73" s="153">
        <v>2939</v>
      </c>
      <c r="AA73" s="153">
        <v>3082</v>
      </c>
      <c r="AB73" s="153">
        <v>2916</v>
      </c>
      <c r="AC73" s="153">
        <v>2906</v>
      </c>
    </row>
    <row r="74" spans="1:29" x14ac:dyDescent="0.3">
      <c r="A74" s="1" t="s">
        <v>268</v>
      </c>
      <c r="B74" s="6" t="s">
        <v>244</v>
      </c>
      <c r="C74" s="7">
        <v>4063023</v>
      </c>
      <c r="D74" s="153" t="s">
        <v>267</v>
      </c>
      <c r="E74" s="153">
        <v>238379</v>
      </c>
      <c r="F74" s="153">
        <v>241254</v>
      </c>
      <c r="G74" s="153">
        <v>175755</v>
      </c>
      <c r="H74" s="153">
        <v>169620</v>
      </c>
      <c r="I74" s="153">
        <v>163841</v>
      </c>
      <c r="J74" s="153">
        <v>103567</v>
      </c>
      <c r="K74" s="153">
        <v>53162</v>
      </c>
      <c r="L74" s="153">
        <v>50925</v>
      </c>
      <c r="M74" s="153">
        <v>51621</v>
      </c>
      <c r="N74" s="153">
        <v>50862</v>
      </c>
      <c r="O74" s="153">
        <v>45008</v>
      </c>
      <c r="P74" s="153">
        <v>41092</v>
      </c>
      <c r="Q74" s="153">
        <v>37106</v>
      </c>
      <c r="R74" s="153">
        <v>35499</v>
      </c>
      <c r="S74" s="153">
        <v>34532</v>
      </c>
      <c r="T74" s="153">
        <v>36243</v>
      </c>
      <c r="U74" s="153">
        <v>36345</v>
      </c>
      <c r="V74" s="153">
        <v>33617</v>
      </c>
      <c r="W74" s="153">
        <v>32581</v>
      </c>
      <c r="X74" s="153">
        <v>32021</v>
      </c>
      <c r="Y74" s="153">
        <v>29275</v>
      </c>
      <c r="Z74" s="153">
        <v>29087</v>
      </c>
      <c r="AA74" s="153">
        <v>26096</v>
      </c>
      <c r="AB74" s="153">
        <v>25142</v>
      </c>
      <c r="AC74" s="153">
        <v>24578</v>
      </c>
    </row>
    <row r="75" spans="1:29" x14ac:dyDescent="0.3">
      <c r="B75" s="6" t="s">
        <v>245</v>
      </c>
      <c r="C75" s="7">
        <v>4057146</v>
      </c>
      <c r="D75" s="153" t="s">
        <v>267</v>
      </c>
      <c r="E75" s="153">
        <v>1905330</v>
      </c>
      <c r="F75" s="153">
        <v>1824625</v>
      </c>
      <c r="G75" s="153">
        <v>1695119</v>
      </c>
      <c r="H75" s="153">
        <v>1553853</v>
      </c>
      <c r="I75" s="153">
        <v>1437730</v>
      </c>
      <c r="J75" s="153">
        <v>1294842</v>
      </c>
      <c r="K75" s="153">
        <v>1223656</v>
      </c>
      <c r="L75" s="153">
        <v>1023721</v>
      </c>
      <c r="M75" s="153">
        <v>813496</v>
      </c>
      <c r="N75" s="153">
        <v>763570</v>
      </c>
      <c r="O75" s="153">
        <v>626622</v>
      </c>
      <c r="P75" s="153">
        <v>588518</v>
      </c>
      <c r="Q75" s="153">
        <v>566448</v>
      </c>
      <c r="R75" s="153">
        <v>593851</v>
      </c>
      <c r="S75" s="153">
        <v>585016</v>
      </c>
      <c r="T75" s="153">
        <v>586912</v>
      </c>
      <c r="U75" s="153">
        <v>573443</v>
      </c>
      <c r="V75" s="153">
        <v>474075</v>
      </c>
      <c r="W75" s="153">
        <v>468236</v>
      </c>
      <c r="X75" s="153">
        <v>467557</v>
      </c>
      <c r="Y75" s="153">
        <v>452814</v>
      </c>
      <c r="Z75" s="153">
        <v>438322</v>
      </c>
      <c r="AA75" s="153">
        <v>428551</v>
      </c>
      <c r="AB75" s="153">
        <v>501440</v>
      </c>
      <c r="AC75" s="153" t="s">
        <v>267</v>
      </c>
    </row>
    <row r="76" spans="1:29" x14ac:dyDescent="0.3">
      <c r="A76" s="1" t="s">
        <v>268</v>
      </c>
      <c r="B76" s="6" t="s">
        <v>247</v>
      </c>
      <c r="C76" s="7">
        <v>4063060</v>
      </c>
      <c r="D76" s="153">
        <v>52823</v>
      </c>
      <c r="E76" s="153">
        <v>48963</v>
      </c>
      <c r="F76" s="153">
        <v>50176</v>
      </c>
      <c r="G76" s="153">
        <v>46381</v>
      </c>
      <c r="H76" s="153">
        <v>40693</v>
      </c>
      <c r="I76" s="153">
        <v>48086</v>
      </c>
      <c r="J76" s="153">
        <v>31810</v>
      </c>
      <c r="K76" s="153">
        <v>31729</v>
      </c>
      <c r="L76" s="153">
        <v>30760</v>
      </c>
      <c r="M76" s="153">
        <v>27508</v>
      </c>
      <c r="N76" s="153">
        <v>27365</v>
      </c>
      <c r="O76" s="153">
        <v>40501</v>
      </c>
      <c r="P76" s="153">
        <v>40760</v>
      </c>
      <c r="Q76" s="153">
        <v>29568</v>
      </c>
      <c r="R76" s="153">
        <v>41605</v>
      </c>
      <c r="S76" s="153">
        <v>40402</v>
      </c>
      <c r="T76" s="153">
        <v>39392</v>
      </c>
      <c r="U76" s="153">
        <v>38933</v>
      </c>
      <c r="V76" s="153">
        <v>38845</v>
      </c>
      <c r="W76" s="153">
        <v>35928</v>
      </c>
      <c r="X76" s="153">
        <v>30879</v>
      </c>
      <c r="Y76" s="153" t="s">
        <v>267</v>
      </c>
      <c r="Z76" s="153">
        <v>27404</v>
      </c>
      <c r="AA76" s="153">
        <v>28232</v>
      </c>
      <c r="AB76" s="153">
        <v>25890</v>
      </c>
      <c r="AC76" s="153">
        <v>23285</v>
      </c>
    </row>
    <row r="77" spans="1:29" x14ac:dyDescent="0.3">
      <c r="B77" s="6" t="s">
        <v>248</v>
      </c>
      <c r="C77" s="7">
        <v>4057100</v>
      </c>
      <c r="D77" s="153">
        <v>18882</v>
      </c>
      <c r="E77" s="153">
        <v>26961</v>
      </c>
      <c r="F77" s="153">
        <v>15197</v>
      </c>
      <c r="G77" s="153">
        <v>12436</v>
      </c>
      <c r="H77" s="153">
        <v>12329</v>
      </c>
      <c r="I77" s="153">
        <v>11909</v>
      </c>
      <c r="J77" s="153">
        <v>11008</v>
      </c>
      <c r="K77" s="153">
        <v>10541</v>
      </c>
      <c r="L77" s="153">
        <v>10739</v>
      </c>
      <c r="M77" s="153">
        <v>10846</v>
      </c>
      <c r="N77" s="153">
        <v>10562</v>
      </c>
      <c r="O77" s="153">
        <v>10025</v>
      </c>
      <c r="P77" s="153">
        <v>8771</v>
      </c>
      <c r="Q77" s="153">
        <v>8143</v>
      </c>
      <c r="R77" s="153">
        <v>7835</v>
      </c>
      <c r="S77" s="153">
        <v>7251</v>
      </c>
      <c r="T77" s="153">
        <v>7192</v>
      </c>
      <c r="U77" s="153">
        <v>6637</v>
      </c>
      <c r="V77" s="153">
        <v>6562</v>
      </c>
      <c r="W77" s="153">
        <v>6094</v>
      </c>
      <c r="X77" s="153">
        <v>5834</v>
      </c>
      <c r="Y77" s="153">
        <v>5531</v>
      </c>
      <c r="Z77" s="153">
        <v>5445</v>
      </c>
      <c r="AA77" s="153">
        <v>5315</v>
      </c>
      <c r="AB77" s="153">
        <v>4895</v>
      </c>
      <c r="AC77" s="153">
        <v>4673</v>
      </c>
    </row>
    <row r="78" spans="1:29" x14ac:dyDescent="0.3">
      <c r="B78" s="6" t="s">
        <v>294</v>
      </c>
      <c r="C78" s="7">
        <v>4064035</v>
      </c>
      <c r="D78" s="153" t="s">
        <v>267</v>
      </c>
      <c r="E78" s="153">
        <v>9182</v>
      </c>
      <c r="F78" s="153">
        <v>7455</v>
      </c>
      <c r="G78" s="153">
        <v>7865</v>
      </c>
      <c r="H78" s="153">
        <v>7610</v>
      </c>
      <c r="I78" s="153">
        <v>7009</v>
      </c>
      <c r="J78" s="153">
        <v>4911</v>
      </c>
      <c r="K78" s="153">
        <v>5490</v>
      </c>
      <c r="L78" s="153">
        <v>4779</v>
      </c>
      <c r="M78" s="153">
        <v>4599</v>
      </c>
      <c r="N78" s="153">
        <v>4509</v>
      </c>
      <c r="O78" s="153">
        <v>4335</v>
      </c>
      <c r="P78" s="153">
        <v>4163</v>
      </c>
      <c r="Q78" s="153">
        <v>4589</v>
      </c>
      <c r="R78" s="153">
        <v>4462</v>
      </c>
      <c r="S78" s="153">
        <v>4274</v>
      </c>
      <c r="T78" s="153">
        <v>4109</v>
      </c>
      <c r="U78" s="153">
        <v>4043</v>
      </c>
      <c r="V78" s="153" t="s">
        <v>267</v>
      </c>
      <c r="W78" s="153">
        <v>3870</v>
      </c>
      <c r="X78" s="153">
        <v>3884</v>
      </c>
      <c r="Y78" s="153" t="s">
        <v>267</v>
      </c>
      <c r="Z78" s="153">
        <v>3641</v>
      </c>
      <c r="AA78" s="153">
        <v>3425</v>
      </c>
      <c r="AB78" s="153">
        <v>3246</v>
      </c>
      <c r="AC78" s="153">
        <v>3011</v>
      </c>
    </row>
    <row r="79" spans="1:29" x14ac:dyDescent="0.3">
      <c r="B79" s="6" t="s">
        <v>295</v>
      </c>
      <c r="C79" s="7">
        <v>4060957</v>
      </c>
      <c r="D79" s="153">
        <v>339888</v>
      </c>
      <c r="E79" s="153">
        <v>309995</v>
      </c>
      <c r="F79" s="153">
        <v>272587</v>
      </c>
      <c r="G79" s="153">
        <v>273351</v>
      </c>
      <c r="H79" s="153">
        <v>233273</v>
      </c>
      <c r="I79" s="153">
        <v>222601</v>
      </c>
      <c r="J79" s="153">
        <v>184471</v>
      </c>
      <c r="K79" s="153">
        <v>170237</v>
      </c>
      <c r="L79" s="153">
        <v>107797</v>
      </c>
      <c r="M79" s="153">
        <v>103089</v>
      </c>
      <c r="N79" s="153">
        <v>95606</v>
      </c>
      <c r="O79" s="153">
        <v>93239</v>
      </c>
      <c r="P79" s="153">
        <v>91806</v>
      </c>
      <c r="Q79" s="153">
        <v>87473</v>
      </c>
      <c r="R79" s="153">
        <v>88198</v>
      </c>
      <c r="S79" s="153">
        <v>87135</v>
      </c>
      <c r="T79" s="153">
        <v>87950</v>
      </c>
      <c r="U79" s="153">
        <v>86626</v>
      </c>
      <c r="V79" s="153">
        <v>84686</v>
      </c>
      <c r="W79" s="153">
        <v>80918</v>
      </c>
      <c r="X79" s="153">
        <v>78650</v>
      </c>
      <c r="Y79" s="153">
        <v>71726</v>
      </c>
      <c r="Z79" s="153">
        <v>55214</v>
      </c>
      <c r="AA79" s="153">
        <v>50742</v>
      </c>
      <c r="AB79" s="153">
        <v>48195</v>
      </c>
      <c r="AC79" s="153">
        <v>43964</v>
      </c>
    </row>
    <row r="80" spans="1:29" x14ac:dyDescent="0.3">
      <c r="B80" s="6" t="s">
        <v>250</v>
      </c>
      <c r="C80" s="7">
        <v>4063179</v>
      </c>
      <c r="D80" s="153">
        <v>919</v>
      </c>
      <c r="E80" s="153">
        <v>940</v>
      </c>
      <c r="F80" s="153">
        <v>875</v>
      </c>
      <c r="G80" s="153">
        <v>794</v>
      </c>
      <c r="H80" s="153">
        <v>775</v>
      </c>
      <c r="I80" s="153">
        <v>742</v>
      </c>
      <c r="J80" s="153">
        <v>709</v>
      </c>
      <c r="K80" s="153">
        <v>640</v>
      </c>
      <c r="L80" s="153">
        <v>622</v>
      </c>
      <c r="M80" s="153">
        <v>626</v>
      </c>
      <c r="N80" s="153">
        <v>602</v>
      </c>
      <c r="O80" s="153">
        <v>642</v>
      </c>
      <c r="P80" s="153">
        <v>626</v>
      </c>
      <c r="Q80" s="153">
        <v>633</v>
      </c>
      <c r="R80" s="153">
        <v>635</v>
      </c>
      <c r="S80" s="153">
        <v>592</v>
      </c>
      <c r="T80" s="153">
        <v>587</v>
      </c>
      <c r="U80" s="153">
        <v>586</v>
      </c>
      <c r="V80" s="153">
        <v>637</v>
      </c>
      <c r="W80" s="153">
        <v>615</v>
      </c>
      <c r="X80" s="153">
        <v>593</v>
      </c>
      <c r="Y80" s="153">
        <v>597</v>
      </c>
      <c r="Z80" s="153">
        <v>564</v>
      </c>
      <c r="AA80" s="153">
        <v>570</v>
      </c>
      <c r="AB80" s="153">
        <v>568</v>
      </c>
      <c r="AC80" s="153">
        <v>508</v>
      </c>
    </row>
    <row r="81" spans="1:29" x14ac:dyDescent="0.3">
      <c r="A81" s="1" t="s">
        <v>268</v>
      </c>
      <c r="B81" s="6" t="s">
        <v>251</v>
      </c>
      <c r="C81" s="7">
        <v>4063183</v>
      </c>
      <c r="D81" s="153">
        <v>15179</v>
      </c>
      <c r="E81" s="153">
        <v>12195</v>
      </c>
      <c r="F81" s="153">
        <v>11789</v>
      </c>
      <c r="G81" s="153">
        <v>11319</v>
      </c>
      <c r="H81" s="153">
        <v>10873</v>
      </c>
      <c r="I81" s="153">
        <v>10385</v>
      </c>
      <c r="J81" s="153">
        <v>9885</v>
      </c>
      <c r="K81" s="153">
        <v>9509</v>
      </c>
      <c r="L81" s="153">
        <v>8571</v>
      </c>
      <c r="M81" s="153">
        <v>8009</v>
      </c>
      <c r="N81" s="153">
        <v>7577</v>
      </c>
      <c r="O81" s="153">
        <v>7185</v>
      </c>
      <c r="P81" s="153">
        <v>6911</v>
      </c>
      <c r="Q81" s="153">
        <v>6957</v>
      </c>
      <c r="R81" s="153">
        <v>6745</v>
      </c>
      <c r="S81" s="153">
        <v>5961</v>
      </c>
      <c r="T81" s="153">
        <v>6201</v>
      </c>
      <c r="U81" s="153">
        <v>6162</v>
      </c>
      <c r="V81" s="153">
        <v>5882</v>
      </c>
      <c r="W81" s="153">
        <v>5827</v>
      </c>
      <c r="X81" s="153">
        <v>5818</v>
      </c>
      <c r="Y81" s="153">
        <v>5714</v>
      </c>
      <c r="Z81" s="153">
        <v>5643</v>
      </c>
      <c r="AA81" s="153">
        <v>5415</v>
      </c>
      <c r="AB81" s="153">
        <v>5364</v>
      </c>
      <c r="AC81" s="153">
        <v>5232</v>
      </c>
    </row>
    <row r="82" spans="1:29" x14ac:dyDescent="0.3">
      <c r="B82" s="6" t="s">
        <v>252</v>
      </c>
      <c r="C82" s="7">
        <v>4063281</v>
      </c>
      <c r="D82" s="153">
        <v>2682</v>
      </c>
      <c r="E82" s="153">
        <v>2559</v>
      </c>
      <c r="F82" s="153">
        <v>2107</v>
      </c>
      <c r="G82" s="153">
        <v>1695</v>
      </c>
      <c r="H82" s="153">
        <v>1327</v>
      </c>
      <c r="I82" s="153">
        <v>1200</v>
      </c>
      <c r="J82" s="153">
        <v>1200</v>
      </c>
      <c r="K82" s="153">
        <v>1168</v>
      </c>
      <c r="L82" s="153">
        <v>1155</v>
      </c>
      <c r="M82" s="153">
        <v>1144</v>
      </c>
      <c r="N82" s="153">
        <v>998</v>
      </c>
      <c r="O82" s="153">
        <v>799</v>
      </c>
      <c r="P82" s="153">
        <v>558</v>
      </c>
      <c r="Q82" s="153">
        <v>526</v>
      </c>
      <c r="R82" s="153">
        <v>449</v>
      </c>
      <c r="S82" s="153">
        <v>423</v>
      </c>
      <c r="T82" s="153">
        <v>380</v>
      </c>
      <c r="U82" s="153">
        <v>310</v>
      </c>
      <c r="V82" s="153">
        <v>258</v>
      </c>
      <c r="W82" s="153">
        <v>237</v>
      </c>
      <c r="X82" s="153">
        <v>237</v>
      </c>
      <c r="Y82" s="153">
        <v>225</v>
      </c>
      <c r="Z82" s="153">
        <v>221</v>
      </c>
      <c r="AA82" s="153">
        <v>218</v>
      </c>
      <c r="AB82" s="153">
        <v>176</v>
      </c>
      <c r="AC82" s="153">
        <v>163</v>
      </c>
    </row>
    <row r="83" spans="1:29" x14ac:dyDescent="0.3">
      <c r="B83" s="6" t="s">
        <v>253</v>
      </c>
      <c r="C83" s="7">
        <v>4059746</v>
      </c>
      <c r="D83" s="153">
        <v>172413</v>
      </c>
      <c r="E83" s="153">
        <v>162771</v>
      </c>
      <c r="F83" s="153">
        <v>163321</v>
      </c>
      <c r="G83" s="153">
        <v>161906</v>
      </c>
      <c r="H83" s="153">
        <v>135248</v>
      </c>
      <c r="I83" s="153">
        <v>181694</v>
      </c>
      <c r="J83" s="153">
        <v>156068</v>
      </c>
      <c r="K83" s="153">
        <v>154907</v>
      </c>
      <c r="L83" s="153">
        <v>151995</v>
      </c>
      <c r="M83" s="153">
        <v>150922</v>
      </c>
      <c r="N83" s="153">
        <v>142417</v>
      </c>
      <c r="O83" s="153">
        <v>137880</v>
      </c>
      <c r="P83" s="153">
        <v>135647</v>
      </c>
      <c r="Q83" s="153">
        <v>133831</v>
      </c>
      <c r="R83" s="153">
        <v>134275</v>
      </c>
      <c r="S83" s="153">
        <v>128480</v>
      </c>
      <c r="T83" s="153">
        <v>125060</v>
      </c>
      <c r="U83" s="153">
        <v>124531</v>
      </c>
      <c r="V83" s="153">
        <v>61805</v>
      </c>
      <c r="W83" s="153">
        <v>81317</v>
      </c>
      <c r="X83" s="153">
        <v>86148</v>
      </c>
      <c r="Y83" s="153">
        <v>83448</v>
      </c>
      <c r="Z83" s="153">
        <v>83637</v>
      </c>
      <c r="AA83" s="153">
        <v>87453</v>
      </c>
      <c r="AB83" s="153">
        <v>77351</v>
      </c>
      <c r="AC83" s="153">
        <v>74460</v>
      </c>
    </row>
    <row r="84" spans="1:29" x14ac:dyDescent="0.3">
      <c r="A84" s="1" t="s">
        <v>268</v>
      </c>
      <c r="B84" s="6" t="s">
        <v>296</v>
      </c>
      <c r="C84" s="7">
        <v>4062279</v>
      </c>
      <c r="D84" s="153" t="s">
        <v>267</v>
      </c>
      <c r="E84" s="153" t="s">
        <v>267</v>
      </c>
      <c r="F84" s="153" t="s">
        <v>267</v>
      </c>
      <c r="G84" s="153">
        <v>38084</v>
      </c>
      <c r="H84" s="153">
        <v>40747</v>
      </c>
      <c r="I84" s="153">
        <v>39337</v>
      </c>
      <c r="J84" s="153">
        <v>38898</v>
      </c>
      <c r="K84" s="153">
        <v>39054</v>
      </c>
      <c r="L84" s="153">
        <v>40120</v>
      </c>
      <c r="M84" s="153">
        <v>41000</v>
      </c>
      <c r="N84" s="153">
        <v>40294</v>
      </c>
      <c r="O84" s="153">
        <v>40313</v>
      </c>
      <c r="P84" s="153">
        <v>42883</v>
      </c>
      <c r="Q84" s="153">
        <v>41867</v>
      </c>
      <c r="R84" s="153">
        <v>40893</v>
      </c>
      <c r="S84" s="153">
        <v>42136</v>
      </c>
      <c r="T84" s="153">
        <v>39074</v>
      </c>
      <c r="U84" s="153">
        <v>36844</v>
      </c>
      <c r="V84" s="153">
        <v>37088</v>
      </c>
      <c r="W84" s="153">
        <v>33749</v>
      </c>
      <c r="X84" s="153">
        <v>33309</v>
      </c>
      <c r="Y84" s="153" t="s">
        <v>267</v>
      </c>
      <c r="Z84" s="153">
        <v>30126</v>
      </c>
      <c r="AA84" s="153">
        <v>27649</v>
      </c>
      <c r="AB84" s="153">
        <v>21330</v>
      </c>
      <c r="AC84" s="153">
        <v>3828</v>
      </c>
    </row>
    <row r="85" spans="1:29" x14ac:dyDescent="0.3">
      <c r="A85" s="1" t="s">
        <v>268</v>
      </c>
      <c r="B85" s="6" t="s">
        <v>297</v>
      </c>
      <c r="C85" s="7">
        <v>4063729</v>
      </c>
      <c r="D85" s="153" t="s">
        <v>267</v>
      </c>
      <c r="E85" s="153" t="s">
        <v>267</v>
      </c>
      <c r="F85" s="153" t="s">
        <v>267</v>
      </c>
      <c r="G85" s="153">
        <v>13981</v>
      </c>
      <c r="H85" s="153">
        <v>13061</v>
      </c>
      <c r="I85" s="153">
        <v>12368</v>
      </c>
      <c r="J85" s="153">
        <v>11235</v>
      </c>
      <c r="K85" s="153">
        <v>10606</v>
      </c>
      <c r="L85" s="153">
        <v>10773</v>
      </c>
      <c r="M85" s="153">
        <v>11769</v>
      </c>
      <c r="N85" s="153">
        <v>12129</v>
      </c>
      <c r="O85" s="153">
        <v>11103</v>
      </c>
      <c r="P85" s="153">
        <v>11357</v>
      </c>
      <c r="Q85" s="153">
        <v>10452</v>
      </c>
      <c r="R85" s="153">
        <v>8988</v>
      </c>
      <c r="S85" s="153">
        <v>8157</v>
      </c>
      <c r="T85" s="153">
        <v>7804</v>
      </c>
      <c r="U85" s="153">
        <v>7336</v>
      </c>
      <c r="V85" s="153">
        <v>6908</v>
      </c>
      <c r="W85" s="153">
        <v>6704</v>
      </c>
      <c r="X85" s="153">
        <v>6437</v>
      </c>
      <c r="Y85" s="153">
        <v>5909</v>
      </c>
      <c r="Z85" s="153" t="s">
        <v>267</v>
      </c>
      <c r="AA85" s="153" t="s">
        <v>267</v>
      </c>
      <c r="AB85" s="153">
        <v>4566</v>
      </c>
      <c r="AC85" s="153">
        <v>4488</v>
      </c>
    </row>
    <row r="86" spans="1:29" x14ac:dyDescent="0.3">
      <c r="B86" s="6" t="s">
        <v>254</v>
      </c>
      <c r="C86" s="7">
        <v>4063762</v>
      </c>
      <c r="D86" s="153">
        <v>45716</v>
      </c>
      <c r="E86" s="153">
        <v>47953</v>
      </c>
      <c r="F86" s="153">
        <v>42417</v>
      </c>
      <c r="G86" s="153">
        <v>38572</v>
      </c>
      <c r="H86" s="153">
        <v>27956</v>
      </c>
      <c r="I86" s="153">
        <v>25407</v>
      </c>
      <c r="J86" s="153">
        <v>24641</v>
      </c>
      <c r="K86" s="153">
        <v>23035</v>
      </c>
      <c r="L86" s="153">
        <v>24011</v>
      </c>
      <c r="M86" s="153">
        <v>21637</v>
      </c>
      <c r="N86" s="153">
        <v>21128</v>
      </c>
      <c r="O86" s="153">
        <v>26927</v>
      </c>
      <c r="P86" s="153">
        <v>21462</v>
      </c>
      <c r="Q86" s="153">
        <v>17856</v>
      </c>
      <c r="R86" s="153">
        <v>15601</v>
      </c>
      <c r="S86" s="153">
        <v>10531</v>
      </c>
      <c r="T86" s="153">
        <v>21698</v>
      </c>
      <c r="U86" s="153">
        <v>21305</v>
      </c>
      <c r="V86" s="153">
        <v>20721</v>
      </c>
      <c r="W86" s="153">
        <v>19435</v>
      </c>
      <c r="X86" s="153">
        <v>20523</v>
      </c>
      <c r="Y86" s="153">
        <v>19313</v>
      </c>
      <c r="Z86" s="153">
        <v>20715</v>
      </c>
      <c r="AA86" s="153">
        <v>21185</v>
      </c>
      <c r="AB86" s="153">
        <v>21060</v>
      </c>
      <c r="AC86" s="153" t="s">
        <v>267</v>
      </c>
    </row>
    <row r="87" spans="1:29" x14ac:dyDescent="0.3">
      <c r="B87" s="6" t="s">
        <v>256</v>
      </c>
      <c r="C87" s="7">
        <v>4058284</v>
      </c>
      <c r="D87" s="153">
        <v>416386</v>
      </c>
      <c r="E87" s="153">
        <v>409372</v>
      </c>
      <c r="F87" s="153">
        <v>359758</v>
      </c>
      <c r="G87" s="153">
        <v>344305</v>
      </c>
      <c r="H87" s="153">
        <v>305008</v>
      </c>
      <c r="I87" s="153">
        <v>295438</v>
      </c>
      <c r="J87" s="153">
        <v>292100</v>
      </c>
      <c r="K87" s="153">
        <v>280622</v>
      </c>
      <c r="L87" s="153">
        <v>281298</v>
      </c>
      <c r="M87" s="153">
        <v>218592</v>
      </c>
      <c r="N87" s="153">
        <v>219367</v>
      </c>
      <c r="O87" s="153">
        <v>206611</v>
      </c>
      <c r="P87" s="153">
        <v>214811</v>
      </c>
      <c r="Q87" s="153">
        <v>202333</v>
      </c>
      <c r="R87" s="153">
        <v>211439</v>
      </c>
      <c r="S87" s="153">
        <v>193831</v>
      </c>
      <c r="T87" s="153">
        <v>179612</v>
      </c>
      <c r="U87" s="153">
        <v>170089</v>
      </c>
      <c r="V87" s="153">
        <v>164528</v>
      </c>
      <c r="W87" s="153">
        <v>143263</v>
      </c>
      <c r="X87" s="153">
        <v>137851</v>
      </c>
      <c r="Y87" s="153">
        <v>128483</v>
      </c>
      <c r="Z87" s="153">
        <v>124834</v>
      </c>
      <c r="AA87" s="153">
        <v>120535</v>
      </c>
      <c r="AB87" s="153">
        <v>120329</v>
      </c>
      <c r="AC87" s="153">
        <v>109737</v>
      </c>
    </row>
    <row r="88" spans="1:29" x14ac:dyDescent="0.3">
      <c r="B88" s="6" t="s">
        <v>258</v>
      </c>
      <c r="C88" s="7">
        <v>4008752</v>
      </c>
      <c r="D88" s="153">
        <v>125142</v>
      </c>
      <c r="E88" s="153">
        <v>112237</v>
      </c>
      <c r="F88" s="153">
        <v>117045</v>
      </c>
      <c r="G88" s="153">
        <v>122033</v>
      </c>
      <c r="H88" s="153">
        <v>118394</v>
      </c>
      <c r="I88" s="153">
        <v>127953</v>
      </c>
      <c r="J88" s="153">
        <v>127509</v>
      </c>
      <c r="K88" s="153">
        <v>117581</v>
      </c>
      <c r="L88" s="153">
        <v>111221</v>
      </c>
      <c r="M88" s="153">
        <v>106530</v>
      </c>
      <c r="N88" s="153">
        <v>105052</v>
      </c>
      <c r="O88" s="153">
        <v>103401</v>
      </c>
      <c r="P88" s="153">
        <v>99304</v>
      </c>
      <c r="Q88" s="153">
        <v>84656</v>
      </c>
      <c r="R88" s="153">
        <v>77923</v>
      </c>
      <c r="S88" s="153">
        <v>60288</v>
      </c>
      <c r="T88" s="153">
        <v>52524</v>
      </c>
      <c r="U88" s="153">
        <v>54742</v>
      </c>
      <c r="V88" s="153">
        <v>99692</v>
      </c>
      <c r="W88" s="153">
        <v>115501</v>
      </c>
      <c r="X88" s="153">
        <v>107949</v>
      </c>
      <c r="Y88" s="153">
        <v>110493</v>
      </c>
      <c r="Z88" s="153">
        <v>106209</v>
      </c>
      <c r="AA88" s="153">
        <v>106315</v>
      </c>
      <c r="AB88" s="153">
        <v>116830</v>
      </c>
      <c r="AC88" s="153">
        <v>113441</v>
      </c>
    </row>
    <row r="89" spans="1:29" x14ac:dyDescent="0.3">
      <c r="B89" s="6" t="s">
        <v>259</v>
      </c>
      <c r="C89" s="7">
        <v>4008669</v>
      </c>
      <c r="D89" s="153">
        <v>17428</v>
      </c>
      <c r="E89" s="153">
        <v>15623</v>
      </c>
      <c r="F89" s="153">
        <v>12478</v>
      </c>
      <c r="G89" s="153">
        <v>13165</v>
      </c>
      <c r="H89" s="153">
        <v>12608</v>
      </c>
      <c r="I89" s="153">
        <v>8868</v>
      </c>
      <c r="J89" s="153">
        <v>8101</v>
      </c>
      <c r="K89" s="153">
        <v>7461</v>
      </c>
      <c r="L89" s="153">
        <v>7422</v>
      </c>
      <c r="M89" s="153">
        <v>7090</v>
      </c>
      <c r="N89" s="153">
        <v>7279</v>
      </c>
      <c r="O89" s="153">
        <v>7578</v>
      </c>
      <c r="P89" s="153">
        <v>7329</v>
      </c>
      <c r="Q89" s="153">
        <v>6335</v>
      </c>
      <c r="R89" s="153">
        <v>6579</v>
      </c>
      <c r="S89" s="153">
        <v>11604</v>
      </c>
      <c r="T89" s="153">
        <v>11058</v>
      </c>
      <c r="U89" s="153">
        <v>10825</v>
      </c>
      <c r="V89" s="153">
        <v>12165</v>
      </c>
      <c r="W89" s="153">
        <v>12028</v>
      </c>
      <c r="X89" s="153">
        <v>11932</v>
      </c>
      <c r="Y89" s="153">
        <v>11063</v>
      </c>
      <c r="Z89" s="153">
        <v>6882</v>
      </c>
      <c r="AA89" s="153">
        <v>6683</v>
      </c>
      <c r="AB89" s="153">
        <v>5996</v>
      </c>
      <c r="AC89" s="153">
        <v>5953</v>
      </c>
    </row>
    <row r="90" spans="1:29" x14ac:dyDescent="0.3">
      <c r="B90" s="6" t="s">
        <v>298</v>
      </c>
      <c r="C90" s="7">
        <v>4076892</v>
      </c>
      <c r="D90" s="153">
        <v>3467</v>
      </c>
      <c r="E90" s="153">
        <v>3542</v>
      </c>
      <c r="F90" s="153">
        <v>3345</v>
      </c>
      <c r="G90" s="153">
        <v>3306</v>
      </c>
      <c r="H90" s="153">
        <v>3321</v>
      </c>
      <c r="I90" s="153">
        <v>2972</v>
      </c>
      <c r="J90" s="153">
        <v>2861</v>
      </c>
      <c r="K90" s="153">
        <v>2689</v>
      </c>
      <c r="L90" s="153">
        <v>2629</v>
      </c>
      <c r="M90" s="153">
        <v>2565</v>
      </c>
      <c r="N90" s="153">
        <v>2617</v>
      </c>
      <c r="O90" s="153">
        <v>1873</v>
      </c>
      <c r="P90" s="153">
        <v>1752</v>
      </c>
      <c r="Q90" s="153">
        <v>1527</v>
      </c>
      <c r="R90" s="153">
        <v>1560</v>
      </c>
      <c r="S90" s="153">
        <v>1440</v>
      </c>
      <c r="T90" s="153">
        <v>1364</v>
      </c>
      <c r="U90" s="153">
        <v>1398</v>
      </c>
      <c r="V90" s="153">
        <v>1342</v>
      </c>
      <c r="W90" s="153" t="s">
        <v>267</v>
      </c>
      <c r="X90" s="153" t="s">
        <v>267</v>
      </c>
      <c r="Y90" s="153" t="s">
        <v>267</v>
      </c>
      <c r="Z90" s="153" t="s">
        <v>267</v>
      </c>
      <c r="AA90" s="153" t="s">
        <v>267</v>
      </c>
      <c r="AB90" s="153" t="s">
        <v>267</v>
      </c>
      <c r="AC90" s="153" t="s">
        <v>267</v>
      </c>
    </row>
    <row r="91" spans="1:29" x14ac:dyDescent="0.3">
      <c r="A91" s="1" t="s">
        <v>268</v>
      </c>
      <c r="B91" s="6" t="s">
        <v>261</v>
      </c>
      <c r="C91" s="7">
        <v>4064141</v>
      </c>
      <c r="D91" s="153">
        <v>89722</v>
      </c>
      <c r="E91" s="153">
        <v>81495</v>
      </c>
      <c r="F91" s="153">
        <v>76805</v>
      </c>
      <c r="G91" s="153">
        <v>75731</v>
      </c>
      <c r="H91" s="153">
        <v>69992</v>
      </c>
      <c r="I91" s="153">
        <v>65555</v>
      </c>
      <c r="J91" s="153">
        <v>66062</v>
      </c>
      <c r="K91" s="153">
        <v>63896</v>
      </c>
      <c r="L91" s="153">
        <v>61963</v>
      </c>
      <c r="M91" s="153">
        <v>59099</v>
      </c>
      <c r="N91" s="153">
        <v>49451</v>
      </c>
      <c r="O91" s="153">
        <v>49502</v>
      </c>
      <c r="P91" s="153">
        <v>47307</v>
      </c>
      <c r="Q91" s="153">
        <v>44076</v>
      </c>
      <c r="R91" s="153">
        <v>80168</v>
      </c>
      <c r="S91" s="153">
        <v>78263</v>
      </c>
      <c r="T91" s="153">
        <v>78436</v>
      </c>
      <c r="U91" s="153">
        <v>80196</v>
      </c>
      <c r="V91" s="153">
        <v>68172</v>
      </c>
      <c r="W91" s="153">
        <v>67961</v>
      </c>
      <c r="X91" s="153">
        <v>67051</v>
      </c>
      <c r="Y91" s="153">
        <v>64958</v>
      </c>
      <c r="Z91" s="153">
        <v>37292</v>
      </c>
      <c r="AA91" s="153">
        <v>35719</v>
      </c>
      <c r="AB91" s="153">
        <v>32589</v>
      </c>
      <c r="AC91" s="153">
        <v>31639</v>
      </c>
    </row>
  </sheetData>
  <conditionalFormatting sqref="C98">
    <cfRule type="cellIs" dxfId="2" priority="5" operator="equal">
      <formula>"NA"</formula>
    </cfRule>
  </conditionalFormatting>
  <conditionalFormatting sqref="D7:D91">
    <cfRule type="cellIs" dxfId="1" priority="4" operator="equal">
      <formula>"NA"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Outputs</vt:lpstr>
      <vt:lpstr>WP-BoGas-Colonial</vt:lpstr>
      <vt:lpstr>Calculation</vt:lpstr>
      <vt:lpstr>Labor Expenditures</vt:lpstr>
      <vt:lpstr>Non-Labor Expenditures</vt:lpstr>
      <vt:lpstr>Total Customers</vt:lpstr>
      <vt:lpstr>Gross Dx Plant</vt:lpstr>
      <vt:lpstr>Dist Plant Depreciation</vt:lpstr>
      <vt:lpstr>Gross Gen Plant</vt:lpstr>
      <vt:lpstr>Gen. Plant Depreciation</vt:lpstr>
      <vt:lpstr>Dist. Plant Gas Additions</vt:lpstr>
      <vt:lpstr>Gen. Plant Additions</vt:lpstr>
      <vt:lpstr>Sheet2</vt:lpstr>
      <vt:lpstr>Sheet4</vt:lpstr>
      <vt:lpstr>Sheet1</vt:lpstr>
      <vt:lpstr>Total Gas Plant</vt:lpstr>
      <vt:lpstr>Sheet3</vt:lpstr>
      <vt:lpstr>Sheet5</vt:lpstr>
      <vt:lpstr>Sheet6</vt:lpstr>
      <vt:lpstr>Sheet7</vt:lpstr>
      <vt:lpstr>PPI-Construction</vt:lpstr>
      <vt:lpstr>GDP-PI</vt:lpstr>
      <vt:lpstr>ECI - Input Price</vt:lpstr>
      <vt:lpstr>RoR</vt:lpstr>
      <vt:lpstr>HW Dx Data</vt:lpstr>
      <vt:lpstr>State Tax Lookup</vt:lpstr>
      <vt:lpstr>Delete Companies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2024-08-01T21:11:50Z</dcterms:created>
  <dcterms:modified xsi:type="dcterms:W3CDTF">2024-08-01T21:11:55Z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a6f161-e42b-4c47-8f69-f6a81e023e2d_Enabled">
    <vt:lpwstr>true</vt:lpwstr>
  </property>
  <property fmtid="{D5CDD505-2E9C-101B-9397-08002B2CF9AE}" pid="3" name="MSIP_Label_b1a6f161-e42b-4c47-8f69-f6a81e023e2d_SetDate">
    <vt:lpwstr>2024-08-01T21:11:55Z</vt:lpwstr>
  </property>
  <property fmtid="{D5CDD505-2E9C-101B-9397-08002B2CF9AE}" pid="4" name="MSIP_Label_b1a6f161-e42b-4c47-8f69-f6a81e023e2d_Method">
    <vt:lpwstr>Standard</vt:lpwstr>
  </property>
  <property fmtid="{D5CDD505-2E9C-101B-9397-08002B2CF9AE}" pid="5" name="MSIP_Label_b1a6f161-e42b-4c47-8f69-f6a81e023e2d_Name">
    <vt:lpwstr>b1a6f161-e42b-4c47-8f69-f6a81e023e2d</vt:lpwstr>
  </property>
  <property fmtid="{D5CDD505-2E9C-101B-9397-08002B2CF9AE}" pid="6" name="MSIP_Label_b1a6f161-e42b-4c47-8f69-f6a81e023e2d_SiteId">
    <vt:lpwstr>271df5c2-953a-497b-93ad-7adf7a4b3cd7</vt:lpwstr>
  </property>
  <property fmtid="{D5CDD505-2E9C-101B-9397-08002B2CF9AE}" pid="7" name="MSIP_Label_b1a6f161-e42b-4c47-8f69-f6a81e023e2d_ActionId">
    <vt:lpwstr>f5e7fb0d-93e4-4e27-9cbe-04df21b692ae</vt:lpwstr>
  </property>
  <property fmtid="{D5CDD505-2E9C-101B-9397-08002B2CF9AE}" pid="8" name="MSIP_Label_b1a6f161-e42b-4c47-8f69-f6a81e023e2d_ContentBits">
    <vt:lpwstr>0</vt:lpwstr>
  </property>
</Properties>
</file>